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Janeiro 2023 - Outubro 2022" sheetId="1" r:id="rId4"/>
    <sheet name="Janeiro 2023 - Valor Real" sheetId="2" r:id="rId5"/>
    <sheet name="Projeção Rend. Fixa" sheetId="3" r:id="rId6"/>
    <sheet name="Folha 1 - Investimento de Milha" sheetId="4" r:id="rId7"/>
    <sheet name="Folha 1 - Tabela 1" sheetId="5" r:id="rId8"/>
    <sheet name="Folha 1 - Tabela 2" sheetId="6" r:id="rId9"/>
  </sheets>
</workbook>
</file>

<file path=xl/sharedStrings.xml><?xml version="1.0" encoding="utf-8"?>
<sst xmlns="http://schemas.openxmlformats.org/spreadsheetml/2006/main" uniqueCount="558">
  <si>
    <t>Outubro 2022</t>
  </si>
  <si>
    <t>Bets</t>
  </si>
  <si>
    <t>Res.</t>
  </si>
  <si>
    <t>Data entrada</t>
  </si>
  <si>
    <t>Agora / Hoje / Semana</t>
  </si>
  <si>
    <t>Data do Jogo</t>
  </si>
  <si>
    <t>Times</t>
  </si>
  <si>
    <t>Mercado</t>
  </si>
  <si>
    <t>BetHouse</t>
  </si>
  <si>
    <t>Odd</t>
  </si>
  <si>
    <t>Stake</t>
  </si>
  <si>
    <t>Arredondado</t>
  </si>
  <si>
    <t>Aposta/Liability</t>
  </si>
  <si>
    <t>Retorno</t>
  </si>
  <si>
    <t>Hoje</t>
  </si>
  <si>
    <t>Abertas</t>
  </si>
  <si>
    <t>Lucro</t>
  </si>
  <si>
    <t>Lucro %</t>
  </si>
  <si>
    <t>Confirmado</t>
  </si>
  <si>
    <t>Min lucro estimado</t>
  </si>
  <si>
    <t>Max lucro estimado</t>
  </si>
  <si>
    <t>% Diário</t>
  </si>
  <si>
    <t>Investimento Diário</t>
  </si>
  <si>
    <t>Montante em Aberto</t>
  </si>
  <si>
    <t>Anulado</t>
  </si>
  <si>
    <t>Lucro Mensal</t>
  </si>
  <si>
    <t>Pra hoje</t>
  </si>
  <si>
    <t>Percentual</t>
  </si>
  <si>
    <t>Saldo</t>
  </si>
  <si>
    <t>Saldo em Aberto</t>
  </si>
  <si>
    <t>Rollover</t>
  </si>
  <si>
    <t>Lucro Líquido</t>
  </si>
  <si>
    <r>
      <rPr>
        <b val="1"/>
        <sz val="12"/>
        <color indexed="8"/>
        <rFont val="Calibri"/>
      </rPr>
      <t>Win x Loss</t>
    </r>
  </si>
  <si>
    <t>Menor</t>
  </si>
  <si>
    <t>Maior</t>
  </si>
  <si>
    <t>Diferença</t>
  </si>
  <si>
    <t>0/0/0</t>
  </si>
  <si>
    <t>Bet365</t>
  </si>
  <si>
    <t>BetFair</t>
  </si>
  <si>
    <t>BetFair Ex</t>
  </si>
  <si>
    <t>BetWay</t>
  </si>
  <si>
    <t>FavBet</t>
  </si>
  <si>
    <t>LEON</t>
  </si>
  <si>
    <t>MarathonBet</t>
  </si>
  <si>
    <t>Pinnacle</t>
  </si>
  <si>
    <t>Smarkets</t>
  </si>
  <si>
    <t>TempoBet</t>
  </si>
  <si>
    <t>TitanBet</t>
  </si>
  <si>
    <t>VBet</t>
  </si>
  <si>
    <t>ZenitBet</t>
  </si>
  <si>
    <t>OK</t>
  </si>
  <si>
    <t>L</t>
  </si>
  <si>
    <t>– 1</t>
  </si>
  <si>
    <t>Ferroviario - Barbalha</t>
  </si>
  <si>
    <t>AH1</t>
  </si>
  <si>
    <t>18,04%</t>
  </si>
  <si>
    <t>W</t>
  </si>
  <si>
    <t>AH2</t>
  </si>
  <si>
    <t xml:space="preserve"> </t>
  </si>
  <si>
    <t>– 2</t>
  </si>
  <si>
    <t>DNB1</t>
  </si>
  <si>
    <t>11,03%</t>
  </si>
  <si>
    <t>DNB2</t>
  </si>
  <si>
    <t>– 3</t>
  </si>
  <si>
    <t>Madureira - Flamengo</t>
  </si>
  <si>
    <t>TO</t>
  </si>
  <si>
    <t>8,56%</t>
  </si>
  <si>
    <t>TU</t>
  </si>
  <si>
    <t>Ferroviario - Barbalha</t>
  </si>
  <si>
    <t>7,86%</t>
  </si>
  <si>
    <t>Valiant - Joblife</t>
  </si>
  <si>
    <t>7,13%</t>
  </si>
  <si>
    <t>6,86%</t>
  </si>
  <si>
    <t>Team WE - Edward Gaming</t>
  </si>
  <si>
    <t>6,71%</t>
  </si>
  <si>
    <t>Lay</t>
  </si>
  <si>
    <t>Liberty - ODDIK</t>
  </si>
  <si>
    <t>6,38%</t>
  </si>
  <si>
    <t>Dundee Utd - Stirling University</t>
  </si>
  <si>
    <t>ScoreBoth</t>
  </si>
  <si>
    <t>6,13%</t>
  </si>
  <si>
    <t>Not ScoreBoth</t>
  </si>
  <si>
    <t>Apollon Paralimniou - Lamia</t>
  </si>
  <si>
    <t>6,05%</t>
  </si>
  <si>
    <t>Florida Panthers - Buffalo Sabres</t>
  </si>
  <si>
    <t>6,57%</t>
  </si>
  <si>
    <t>Maccabi Petach Tikva - Hapoel Ramat Gan</t>
  </si>
  <si>
    <t>X2</t>
  </si>
  <si>
    <t>7,28%</t>
  </si>
  <si>
    <t>Jakub Boruvka - Jan Zajicek</t>
  </si>
  <si>
    <t>7,26%</t>
  </si>
  <si>
    <t>River Plate - Vasco Da Gama</t>
  </si>
  <si>
    <t>6,82%</t>
  </si>
  <si>
    <t>– 15</t>
  </si>
  <si>
    <t>Hapoel Acre - Maccabi Ahi Nazareth</t>
  </si>
  <si>
    <t>18,78%</t>
  </si>
  <si>
    <t>– 16</t>
  </si>
  <si>
    <t>Golubev A / Nedovyesov A - Sweeny D / Tu L</t>
  </si>
  <si>
    <t>17,7%</t>
  </si>
  <si>
    <t>17</t>
  </si>
  <si>
    <t>4,63%</t>
  </si>
  <si>
    <r>
      <rPr>
        <sz val="11"/>
        <color indexed="8"/>
        <rFont val="Calibri"/>
      </rPr>
      <t>17</t>
    </r>
  </si>
  <si>
    <t>Milan Smrcek - Tomas Andrle</t>
  </si>
  <si>
    <t>5,59%</t>
  </si>
  <si>
    <t>Belgium - Bahrain</t>
  </si>
  <si>
    <t>5,95%</t>
  </si>
  <si>
    <t>– 4</t>
  </si>
  <si>
    <t>5,57%</t>
  </si>
  <si>
    <t>– 5</t>
  </si>
  <si>
    <t>Afak Relizane - CF Akbou</t>
  </si>
  <si>
    <t>5,32%</t>
  </si>
  <si>
    <t>– 6</t>
  </si>
  <si>
    <t>Piotr Chlodnicki - Bartosz Czerwinski</t>
  </si>
  <si>
    <t>5,34%</t>
  </si>
  <si>
    <t>X</t>
  </si>
  <si>
    <t>– 7</t>
  </si>
  <si>
    <t>HUSA Agadir - JS Soualem</t>
  </si>
  <si>
    <t>3,25%</t>
  </si>
  <si>
    <t>– 8</t>
  </si>
  <si>
    <t>Honved - FK Javor Ivanjica</t>
  </si>
  <si>
    <t>3,24%</t>
  </si>
  <si>
    <t>– 9</t>
  </si>
  <si>
    <t>Royal Never Give Up - Invictus Gaming</t>
  </si>
  <si>
    <t>3,37%</t>
  </si>
  <si>
    <t>– 10</t>
  </si>
  <si>
    <t>Napoli - US Cremonese</t>
  </si>
  <si>
    <t>3,46%</t>
  </si>
  <si>
    <t>– 11</t>
  </si>
  <si>
    <t>AS Soliman - AS Rejiche</t>
  </si>
  <si>
    <t>3,52%</t>
  </si>
  <si>
    <t>– 12</t>
  </si>
  <si>
    <t>Nouns - Davenport University</t>
  </si>
  <si>
    <t>3,39%</t>
  </si>
  <si>
    <t>– 13</t>
  </si>
  <si>
    <t>3,26%</t>
  </si>
  <si>
    <t>– 14</t>
  </si>
  <si>
    <t>Concordia CA - Figueirense</t>
  </si>
  <si>
    <t>3,03%</t>
  </si>
  <si>
    <t>Leeds - Cardiff</t>
  </si>
  <si>
    <t>EH2</t>
  </si>
  <si>
    <t>EH1</t>
  </si>
  <si>
    <t>– 17</t>
  </si>
  <si>
    <t>3,43%</t>
  </si>
  <si>
    <t>– 18</t>
  </si>
  <si>
    <t>Real Sociedad - Mallorca</t>
  </si>
  <si>
    <t>– 19</t>
  </si>
  <si>
    <t>New Zealand (W) - USA (W)</t>
  </si>
  <si>
    <t>3,55%</t>
  </si>
  <si>
    <t>– 20</t>
  </si>
  <si>
    <t>3,64%</t>
  </si>
  <si>
    <t>– 21</t>
  </si>
  <si>
    <t>3,69%</t>
  </si>
  <si>
    <t>– 22</t>
  </si>
  <si>
    <t>Globo FC - ABC</t>
  </si>
  <si>
    <t>3,62%</t>
  </si>
  <si>
    <t>– 23</t>
  </si>
  <si>
    <t>Noxious - MIBR</t>
  </si>
  <si>
    <t>3,51%</t>
  </si>
  <si>
    <t>– 24</t>
  </si>
  <si>
    <t>3,41%</t>
  </si>
  <si>
    <t>– 25</t>
  </si>
  <si>
    <t>Brooklyn Nets - San Antonio Spurs</t>
  </si>
  <si>
    <t>3,76%</t>
  </si>
  <si>
    <t>– 26</t>
  </si>
  <si>
    <t>CSM Bucuresti - SCM Gloria Buzau</t>
  </si>
  <si>
    <t>3,7%</t>
  </si>
  <si>
    <t>– 28</t>
  </si>
  <si>
    <t>Kirecburnu (W) - Adana Idmanyurduspor (W)</t>
  </si>
  <si>
    <t>3,96%</t>
  </si>
  <si>
    <t>– 27</t>
  </si>
  <si>
    <t>Lemense FC - Velo Clube SP</t>
  </si>
  <si>
    <t>3,95%</t>
  </si>
  <si>
    <t>1X</t>
  </si>
  <si>
    <t>– 30</t>
  </si>
  <si>
    <t>Thermaikos Thermis - Nestos Chrisoupolis</t>
  </si>
  <si>
    <t>4,03%</t>
  </si>
  <si>
    <t>– 29</t>
  </si>
  <si>
    <t>4,07%</t>
  </si>
  <si>
    <t>– 32</t>
  </si>
  <si>
    <t>Tony O`Shea - Terry Jenkins</t>
  </si>
  <si>
    <t>4,12%</t>
  </si>
  <si>
    <t>18</t>
  </si>
  <si>
    <t>DWG KIA - DRX</t>
  </si>
  <si>
    <t>9,4%</t>
  </si>
  <si>
    <r>
      <rPr>
        <sz val="11"/>
        <color indexed="8"/>
        <rFont val="Calibri"/>
      </rPr>
      <t>18</t>
    </r>
  </si>
  <si>
    <t>Storhamar - Manglerud Star</t>
  </si>
  <si>
    <t>5,56%</t>
  </si>
  <si>
    <t>Globo RN - ABC RN</t>
  </si>
  <si>
    <t>5,79%</t>
  </si>
  <si>
    <t>Trabzonspor (W) - Atasehir Belediyespor (W)</t>
  </si>
  <si>
    <t>5,88%</t>
  </si>
  <si>
    <t>Norway - Serbia</t>
  </si>
  <si>
    <t>7,52%</t>
  </si>
  <si>
    <t>Kirecburnu Women - Adana Idman Women</t>
  </si>
  <si>
    <t>8,35%</t>
  </si>
  <si>
    <t>Vancouver WhitecapsHamburger SV</t>
  </si>
  <si>
    <t>7,15%</t>
  </si>
  <si>
    <t>KF Erzeni - KS Teuta Durres</t>
  </si>
  <si>
    <t>7,59%</t>
  </si>
  <si>
    <t>Leicester City (W) - Man City (W)</t>
  </si>
  <si>
    <t>7,46%</t>
  </si>
  <si>
    <t>Kwangdong Freecs - Hanwha Life</t>
  </si>
  <si>
    <t>7,33%</t>
  </si>
  <si>
    <t>7,2%</t>
  </si>
  <si>
    <t>Prestatyn Town - Holywell Town</t>
  </si>
  <si>
    <t>6,81%</t>
  </si>
  <si>
    <t>Real Betis - CA Osasuna</t>
  </si>
  <si>
    <t>6,72%</t>
  </si>
  <si>
    <t>JDA Dijon Handball - Chambray Touraine</t>
  </si>
  <si>
    <t>Daniel Little - Jules Marie</t>
  </si>
  <si>
    <t>6,31%</t>
  </si>
  <si>
    <t>LOSS</t>
  </si>
  <si>
    <t>Minnesota Timberwolves - Denver Nuggets</t>
  </si>
  <si>
    <t>3,4%</t>
  </si>
  <si>
    <t>4,29%</t>
  </si>
  <si>
    <t>Lewes - Brightlingsea Regent</t>
  </si>
  <si>
    <t>4,13%</t>
  </si>
  <si>
    <t>Indiana Pacers - Oklahoma City Thunder</t>
  </si>
  <si>
    <t>4,21%</t>
  </si>
  <si>
    <t>Elliot Benchetrit - Khumoyun Sultanov</t>
  </si>
  <si>
    <t>4,23%</t>
  </si>
  <si>
    <t>Lazio - AC Milan</t>
  </si>
  <si>
    <t>4,25%</t>
  </si>
  <si>
    <t>Brazil - Hungary</t>
  </si>
  <si>
    <t>4,15%</t>
  </si>
  <si>
    <t>4,67%</t>
  </si>
  <si>
    <t>19</t>
  </si>
  <si>
    <t>Osgar O'hoisin - Mac Kiger</t>
  </si>
  <si>
    <t>4,02%</t>
  </si>
  <si>
    <r>
      <rPr>
        <sz val="11"/>
        <color indexed="8"/>
        <rFont val="Calibri"/>
      </rPr>
      <t>19</t>
    </r>
  </si>
  <si>
    <t>-0,29%</t>
  </si>
  <si>
    <t>Nathan Ponwith - Darian King</t>
  </si>
  <si>
    <t>1,05%</t>
  </si>
  <si>
    <t>Harksheide - Niendorfer TSV</t>
  </si>
  <si>
    <t>0,82%</t>
  </si>
  <si>
    <t>Bhayangkara FC - Persik Kediri</t>
  </si>
  <si>
    <t>1,37%</t>
  </si>
  <si>
    <t>2,15%</t>
  </si>
  <si>
    <t>2,37%</t>
  </si>
  <si>
    <t>Darvel - Aberdeen</t>
  </si>
  <si>
    <t>2,47%</t>
  </si>
  <si>
    <t>Bangladesh Police - Azampur FC Uttara</t>
  </si>
  <si>
    <t>2,73%</t>
  </si>
  <si>
    <t>El Alominiom - Misr Lel Makasa</t>
  </si>
  <si>
    <t>2,97%</t>
  </si>
  <si>
    <t>FC Andorra - Albacete Balompie</t>
  </si>
  <si>
    <t>3,34%</t>
  </si>
  <si>
    <t>Catanzaro - Audace Cerignola</t>
  </si>
  <si>
    <t>Trabzonspor - Istanbulspor</t>
  </si>
  <si>
    <t>Fram Reykavik (W) - Fylkir (W)</t>
  </si>
  <si>
    <t>3,44%</t>
  </si>
  <si>
    <t>HellRaisers - Virtus.Pro</t>
  </si>
  <si>
    <t>Ugo Humbert - Holger Rune</t>
  </si>
  <si>
    <t>Mark Lawrence - Darryl Fitton</t>
  </si>
  <si>
    <t>Jonny Clayton - Daniel Larsson</t>
  </si>
  <si>
    <t>Lazio - Bologna FC</t>
  </si>
  <si>
    <t>3,89%</t>
  </si>
  <si>
    <t>3,91%</t>
  </si>
  <si>
    <t>Tsitsipas • - T Griekspoor •</t>
  </si>
  <si>
    <t>4,2%</t>
  </si>
  <si>
    <t>4,49%</t>
  </si>
  <si>
    <t>RSC Anderlecht - Zulte Waregem</t>
  </si>
  <si>
    <t>2,62%</t>
  </si>
  <si>
    <t>Allianz MTV Stuttgart Women - VC Wiesbaden Women</t>
  </si>
  <si>
    <t>3,04%</t>
  </si>
  <si>
    <t>Clement Chidekh - Daniel Little</t>
  </si>
  <si>
    <t>12,85%</t>
  </si>
  <si>
    <t>Windsor Spitfires - Erie Otters</t>
  </si>
  <si>
    <t>12,58%</t>
  </si>
  <si>
    <t>20</t>
  </si>
  <si>
    <t>Team Liquid - Nigma Galaxy</t>
  </si>
  <si>
    <t>3,68%</t>
  </si>
  <si>
    <r>
      <rPr>
        <sz val="11"/>
        <color indexed="8"/>
        <rFont val="Calibri"/>
      </rPr>
      <t>20</t>
    </r>
  </si>
  <si>
    <t>SC Bastia - Lorient</t>
  </si>
  <si>
    <t>Andy Murray - Roberto Bautista Agut</t>
  </si>
  <si>
    <t>3,18%</t>
  </si>
  <si>
    <t>T1 - KT Rolster</t>
  </si>
  <si>
    <t>3,32%</t>
  </si>
  <si>
    <t>Erie Otters - Sarnia Sting</t>
  </si>
  <si>
    <t>-4,97%</t>
  </si>
  <si>
    <t>-4,29%</t>
  </si>
  <si>
    <t>1/2L</t>
  </si>
  <si>
    <t>SS Folgore Falciano Calcio - AC Libertas</t>
  </si>
  <si>
    <t>-2,99%</t>
  </si>
  <si>
    <t>1/2W</t>
  </si>
  <si>
    <t>-2,34%</t>
  </si>
  <si>
    <t>Kusadasispor - Kestel Spor</t>
  </si>
  <si>
    <t>-1,47%</t>
  </si>
  <si>
    <t>Royal Charleroi SC (W) - Oud-Heverlee Leuven (W)</t>
  </si>
  <si>
    <t>-0,65%</t>
  </si>
  <si>
    <t>Auto Esporte Clube - CS Paraibano</t>
  </si>
  <si>
    <t>-0,42%</t>
  </si>
  <si>
    <t>Acerto Semanal</t>
  </si>
  <si>
    <t>-16,22%</t>
  </si>
  <si>
    <t>-9,77%</t>
  </si>
  <si>
    <t>22</t>
  </si>
  <si>
    <t>Team Secret - Into the Breach</t>
  </si>
  <si>
    <t>4,73%</t>
  </si>
  <si>
    <r>
      <rPr>
        <sz val="11"/>
        <color indexed="8"/>
        <rFont val="Calibri"/>
      </rPr>
      <t>22</t>
    </r>
  </si>
  <si>
    <t>SWD Powervolleys Duren - VfB Friedrichshafen</t>
  </si>
  <si>
    <t>Nasarawa United - Akwa United</t>
  </si>
  <si>
    <t>6,79%</t>
  </si>
  <si>
    <t>5,97%</t>
  </si>
  <si>
    <t>5,82%</t>
  </si>
  <si>
    <t>23</t>
  </si>
  <si>
    <t>Linfield Swifts - Glenavon</t>
  </si>
  <si>
    <t>4,78%</t>
  </si>
  <si>
    <r>
      <rPr>
        <sz val="11"/>
        <color indexed="8"/>
        <rFont val="Calibri"/>
      </rPr>
      <t>23</t>
    </r>
  </si>
  <si>
    <t>NK Celje - FK Kolubara</t>
  </si>
  <si>
    <t>13,07%</t>
  </si>
  <si>
    <t>NK Celje - Kolubara</t>
  </si>
  <si>
    <t>9,94%</t>
  </si>
  <si>
    <t>9,62%</t>
  </si>
  <si>
    <t>Wycombe - Oxford Utd</t>
  </si>
  <si>
    <t>9,1%</t>
  </si>
  <si>
    <t>Outplayed - QLASH</t>
  </si>
  <si>
    <t>8,84%</t>
  </si>
  <si>
    <t>Into the Breach - Gladiators</t>
  </si>
  <si>
    <t>9,55%</t>
  </si>
  <si>
    <t>10,18%</t>
  </si>
  <si>
    <t>Port Vale - Derby</t>
  </si>
  <si>
    <t>9,13%</t>
  </si>
  <si>
    <t>FC Edinburgh - Falkirk</t>
  </si>
  <si>
    <t>8,02%</t>
  </si>
  <si>
    <t>Jong PSV - Willem II</t>
  </si>
  <si>
    <t>Persik Kediri - Madura Utd</t>
  </si>
  <si>
    <t>7,55%</t>
  </si>
  <si>
    <t>Nacional de Patos - Auto Esporte</t>
  </si>
  <si>
    <t>7,6%</t>
  </si>
  <si>
    <t>7%</t>
  </si>
  <si>
    <t>Aleksa Pisaric - Benjamin Pietri</t>
  </si>
  <si>
    <t>6,83%</t>
  </si>
  <si>
    <t>Torres - Recanatese</t>
  </si>
  <si>
    <t>6,21%</t>
  </si>
  <si>
    <t>6,18%</t>
  </si>
  <si>
    <t>Charlotte Hornets - Utah Jazz</t>
  </si>
  <si>
    <t>6,29%</t>
  </si>
  <si>
    <t>6,09%</t>
  </si>
  <si>
    <t>6,11%</t>
  </si>
  <si>
    <t>24</t>
  </si>
  <si>
    <t>Bayern Munich - FC Koln</t>
  </si>
  <si>
    <t>3,53%</t>
  </si>
  <si>
    <r>
      <rPr>
        <sz val="11"/>
        <color indexed="8"/>
        <rFont val="Calibri"/>
      </rPr>
      <t>24</t>
    </r>
  </si>
  <si>
    <t>Ipswich Town - Burnley</t>
  </si>
  <si>
    <t>Ben Guerdane - AS Rejiche</t>
  </si>
  <si>
    <t>4,31%</t>
  </si>
  <si>
    <t>USD Sestri Levante - GS Castanese</t>
  </si>
  <si>
    <t>4,65%</t>
  </si>
  <si>
    <t>4,8%</t>
  </si>
  <si>
    <t>Nove Zamky - Slovan Bratislava</t>
  </si>
  <si>
    <t>4,93%</t>
  </si>
  <si>
    <t>FC Emmen - PSV Eindhoven</t>
  </si>
  <si>
    <t>4,89%</t>
  </si>
  <si>
    <t>Southampton - Newcastle</t>
  </si>
  <si>
    <t>3,85%</t>
  </si>
  <si>
    <t>25</t>
  </si>
  <si>
    <t>Astralis - Team Vitality</t>
  </si>
  <si>
    <t>3,78%</t>
  </si>
  <si>
    <r>
      <rPr>
        <sz val="11"/>
        <color indexed="8"/>
        <rFont val="Calibri"/>
      </rPr>
      <t>25</t>
    </r>
  </si>
  <si>
    <t>Amanda Carreras - Chia Yi Tsao</t>
  </si>
  <si>
    <t>3,94%</t>
  </si>
  <si>
    <t>Blackwater Bossing - NLEX Road Warriors</t>
  </si>
  <si>
    <t>3,83%</t>
  </si>
  <si>
    <t>6,2%</t>
  </si>
  <si>
    <t>Kanga - MAMMOTH</t>
  </si>
  <si>
    <t>6,9%</t>
  </si>
  <si>
    <t>Persija Jakarta - PSM Makassar</t>
  </si>
  <si>
    <t>6,04%</t>
  </si>
  <si>
    <t>1. SC Znojmo - 1.FC Slovacko B</t>
  </si>
  <si>
    <t>5,01%</t>
  </si>
  <si>
    <t>5,05%</t>
  </si>
  <si>
    <t>Chadormalu - Khosheh Talaei</t>
  </si>
  <si>
    <t>4,98%</t>
  </si>
  <si>
    <t>HydroTruck Radom - AZS AGH Krakow</t>
  </si>
  <si>
    <t>5,07%</t>
  </si>
  <si>
    <t>Xerez Deportivo FC - UCAM Murcia CF</t>
  </si>
  <si>
    <t>5,8%</t>
  </si>
  <si>
    <t>Nairobi City Stars - Wazito FC</t>
  </si>
  <si>
    <t>5,7%</t>
  </si>
  <si>
    <t>Bristol City - Manchester City</t>
  </si>
  <si>
    <t>5,72%</t>
  </si>
  <si>
    <t>Granada CF B - Cadiz B</t>
  </si>
  <si>
    <t>5,85%</t>
  </si>
  <si>
    <t>HB Koge - FC Nordsjaelland</t>
  </si>
  <si>
    <t>5,63%</t>
  </si>
  <si>
    <t>Barcelona - Levante Las Planas</t>
  </si>
  <si>
    <t>5,54%</t>
  </si>
  <si>
    <t>4,95%</t>
  </si>
  <si>
    <t>5RATFORCESTAFF - nouns</t>
  </si>
  <si>
    <t>5,71%</t>
  </si>
  <si>
    <t>Castleview FC - Midleton FC</t>
  </si>
  <si>
    <t>Ajax - FC Volendam</t>
  </si>
  <si>
    <t>5,51%</t>
  </si>
  <si>
    <t>Karmine Corp - suhhh</t>
  </si>
  <si>
    <t>WinLeastOneOfPer2</t>
  </si>
  <si>
    <t>Not WinLeastOneOfPer2</t>
  </si>
  <si>
    <r>
      <rPr>
        <sz val="11"/>
        <color indexed="8"/>
        <rFont val="Calibri"/>
      </rPr>
      <t>26</t>
    </r>
  </si>
  <si>
    <t>Amiens - Grenoble</t>
  </si>
  <si>
    <t>2,96%</t>
  </si>
  <si>
    <t>AFC Ajax - SC Telstar</t>
  </si>
  <si>
    <t>2,2%</t>
  </si>
  <si>
    <t>Esteghlal Tehran - Malavan</t>
  </si>
  <si>
    <t>3,49%</t>
  </si>
  <si>
    <t>3,97%</t>
  </si>
  <si>
    <t>3,99%</t>
  </si>
  <si>
    <t>4,18%</t>
  </si>
  <si>
    <t>FC Tzeirey Tamra - Hapoel Ironi Arraba</t>
  </si>
  <si>
    <t>EHX1</t>
  </si>
  <si>
    <t>FC Twente - SC Heerenveen</t>
  </si>
  <si>
    <t>4,17%</t>
  </si>
  <si>
    <t>Maccabi Ahva Shaab - MS Shefaram</t>
  </si>
  <si>
    <t>4,32%</t>
  </si>
  <si>
    <t>4,4%</t>
  </si>
  <si>
    <t>4,38%</t>
  </si>
  <si>
    <t>Al Orobah Al Jawf - Al Shoalah</t>
  </si>
  <si>
    <t>5,62%</t>
  </si>
  <si>
    <t>Umea - Uppsala Basket</t>
  </si>
  <si>
    <t>Corinthians - Flamengo</t>
  </si>
  <si>
    <t>5,66%</t>
  </si>
  <si>
    <t>Team Secret - Nigma Galaxy</t>
  </si>
  <si>
    <t>Pacos Ferreira - SL Benfica</t>
  </si>
  <si>
    <t>5,61%</t>
  </si>
  <si>
    <t>Wrexham - Sheff Utd</t>
  </si>
  <si>
    <t>5,17%</t>
  </si>
  <si>
    <t>Femina WS (W) - Oud-Heverlee Leuven (W)</t>
  </si>
  <si>
    <t>5,19%</t>
  </si>
  <si>
    <t>Azampur Uttara - Abahani Limited Chittagong</t>
  </si>
  <si>
    <t>5,18%</t>
  </si>
  <si>
    <t>27</t>
  </si>
  <si>
    <t>BOOM Esports - Blacklist International</t>
  </si>
  <si>
    <t>6,51%</t>
  </si>
  <si>
    <r>
      <rPr>
        <sz val="11"/>
        <color indexed="8"/>
        <rFont val="Calibri"/>
      </rPr>
      <t>27</t>
    </r>
  </si>
  <si>
    <t>6,42%</t>
  </si>
  <si>
    <t>Michal Minda - Szymon Twardowski</t>
  </si>
  <si>
    <t>Formosa Dreamers - Hsinchu Lioneers</t>
  </si>
  <si>
    <t>Middlesbrough - Southampton</t>
  </si>
  <si>
    <t>7,68%</t>
  </si>
  <si>
    <t>7,34%</t>
  </si>
  <si>
    <t>Ud Torre Del Mar - CF Motril</t>
  </si>
  <si>
    <t>7,08%</t>
  </si>
  <si>
    <t>Charleroi - RSC Anderlecht</t>
  </si>
  <si>
    <t>6,66%</t>
  </si>
  <si>
    <t>QPR - Bournemouth</t>
  </si>
  <si>
    <t>6,54%</t>
  </si>
  <si>
    <t>Ajaccio - Olympique Lyonnais</t>
  </si>
  <si>
    <t>6,58%</t>
  </si>
  <si>
    <t>Furious - Paqueta</t>
  </si>
  <si>
    <t>6,5%</t>
  </si>
  <si>
    <t>Talleres - CA Independiente</t>
  </si>
  <si>
    <t>6,41%</t>
  </si>
  <si>
    <t>Nova Iguacu - Bangu</t>
  </si>
  <si>
    <t>6,03%</t>
  </si>
  <si>
    <t>Fortuna Dusseldorf - Magdeburg</t>
  </si>
  <si>
    <t>6,55%</t>
  </si>
  <si>
    <t>Universitatea Craiova - Hermannstadt</t>
  </si>
  <si>
    <t>6,62%</t>
  </si>
  <si>
    <t>Sporting Lisbon - Porto</t>
  </si>
  <si>
    <t>6,61%</t>
  </si>
  <si>
    <t>Las Palmas - Huesca</t>
  </si>
  <si>
    <t>Anton Matusevich - Gianmarco Ferrari</t>
  </si>
  <si>
    <t>Harju JK Laagri - Levadia Tallinn II</t>
  </si>
  <si>
    <t>6,47%</t>
  </si>
  <si>
    <r>
      <rPr>
        <sz val="11"/>
        <color indexed="8"/>
        <rFont val="Calibri"/>
      </rPr>
      <t>29</t>
    </r>
  </si>
  <si>
    <t>FC Twente - Feyenoord</t>
  </si>
  <si>
    <t>4,22%</t>
  </si>
  <si>
    <t>Arkadiusz Mugowski - Szymon Radlo</t>
  </si>
  <si>
    <t>4,43%</t>
  </si>
  <si>
    <r>
      <rPr>
        <sz val="11"/>
        <color indexed="8"/>
        <rFont val="Calibri"/>
      </rPr>
      <t>30</t>
    </r>
  </si>
  <si>
    <t>PSG.LGD - Xtreme</t>
  </si>
  <si>
    <t>3,82%</t>
  </si>
  <si>
    <t>Top Esports - Rare Atom</t>
  </si>
  <si>
    <t>3,09%</t>
  </si>
  <si>
    <t>Top Esports - Rare Atom</t>
  </si>
  <si>
    <t>3,17%</t>
  </si>
  <si>
    <t>SS Assad - Kajiado</t>
  </si>
  <si>
    <t>3,9%</t>
  </si>
  <si>
    <t>Sunderland - Newcastle</t>
  </si>
  <si>
    <t>Tomas Holik - Milan Urban</t>
  </si>
  <si>
    <t>31</t>
  </si>
  <si>
    <t>Charlottetown Islanders - Halifax Mooseheads</t>
  </si>
  <si>
    <t>6,35%</t>
  </si>
  <si>
    <r>
      <rPr>
        <sz val="11"/>
        <color indexed="8"/>
        <rFont val="Calibri"/>
      </rPr>
      <t>31</t>
    </r>
  </si>
  <si>
    <t>Jaroslav Strnad 1961 - Stefan Samko</t>
  </si>
  <si>
    <t>Colorful - Starbuck</t>
  </si>
  <si>
    <t>6,87%</t>
  </si>
  <si>
    <t>Rahmatgonj MFS - Azampur FC Uttara</t>
  </si>
  <si>
    <t>Manipur - Punjab</t>
  </si>
  <si>
    <t>8,12%</t>
  </si>
  <si>
    <t>Foggia - Taranto</t>
  </si>
  <si>
    <t>6,4%</t>
  </si>
  <si>
    <t>JS Cherbourg Manche HB - Massy Essonne</t>
  </si>
  <si>
    <t>Gubbio - Carrarese</t>
  </si>
  <si>
    <t>5,06%</t>
  </si>
  <si>
    <t>Montpellier - Paris St-G</t>
  </si>
  <si>
    <t>Fiorentina - Torino</t>
  </si>
  <si>
    <t>MASONIC - Bitfix</t>
  </si>
  <si>
    <t>4,91%</t>
  </si>
  <si>
    <t>Galatasaray - Umraniyespor</t>
  </si>
  <si>
    <t>4,88%</t>
  </si>
  <si>
    <t>Bjerringbro FH Women - Hadsten Women</t>
  </si>
  <si>
    <t>5,03%</t>
  </si>
  <si>
    <t>Tundra Esports - Entity</t>
  </si>
  <si>
    <t>5,52%</t>
  </si>
  <si>
    <t>RKC Waalwijk - Go Ahead Eagles</t>
  </si>
  <si>
    <t>5,49%</t>
  </si>
  <si>
    <t>Denver Nuggets - New Orleans Pelicans</t>
  </si>
  <si>
    <t>UCAM Murcia - Velez CF</t>
  </si>
  <si>
    <t>Kilmarnock - Dundee Utd</t>
  </si>
  <si>
    <t>5,47%</t>
  </si>
  <si>
    <t>Real Betis - Barcelona</t>
  </si>
  <si>
    <t>5,39%</t>
  </si>
  <si>
    <t>Compostela - Ourense CF</t>
  </si>
  <si>
    <t>5,45%</t>
  </si>
  <si>
    <t>Charlotte Hornets - Milwaukee Bucks</t>
  </si>
  <si>
    <t>CD Estepona - Don Benito</t>
  </si>
  <si>
    <t>5,12%</t>
  </si>
  <si>
    <t>5,1%</t>
  </si>
  <si>
    <t>Montpellier - PSG</t>
  </si>
  <si>
    <t>5,13%</t>
  </si>
  <si>
    <t>Cirencester Town - Barton Rovers</t>
  </si>
  <si>
    <t>5,14%</t>
  </si>
  <si>
    <t>5,25%</t>
  </si>
  <si>
    <t>Yusuf Karakaya - Ethan Hughes</t>
  </si>
  <si>
    <t>Maringa - Cascavel PR</t>
  </si>
  <si>
    <t>5,78%</t>
  </si>
  <si>
    <t>Valor Real</t>
  </si>
  <si>
    <t>Taxa</t>
  </si>
  <si>
    <t>Investimento Inicial</t>
  </si>
  <si>
    <t>Montante Atual</t>
  </si>
  <si>
    <t>Montante Aberto</t>
  </si>
  <si>
    <t>Montante BetHouse</t>
  </si>
  <si>
    <t>Montante Ontem</t>
  </si>
  <si>
    <t>Diferença diária</t>
  </si>
  <si>
    <t>Vitórias</t>
  </si>
  <si>
    <t>Derrotas</t>
  </si>
  <si>
    <t>Saque</t>
  </si>
  <si>
    <t>Depósito</t>
  </si>
  <si>
    <t>RollOver</t>
  </si>
  <si>
    <t>Alvo</t>
  </si>
  <si>
    <t>Quebra</t>
  </si>
  <si>
    <t>Total</t>
  </si>
  <si>
    <t>Tabela 1</t>
  </si>
  <si>
    <t>Montante</t>
  </si>
  <si>
    <t>Rendimento</t>
  </si>
  <si>
    <t>Imposto</t>
  </si>
  <si>
    <t>Percentual Mensal</t>
  </si>
  <si>
    <t>Base de Cálculo</t>
  </si>
  <si>
    <t>Investimento de Milhas</t>
  </si>
  <si>
    <t>Despesas</t>
  </si>
  <si>
    <t>Juros</t>
  </si>
  <si>
    <t>CLUBE ESFERA</t>
  </si>
  <si>
    <t>137 MIL PONTOS</t>
  </si>
  <si>
    <t>200 MIL PONTOS</t>
  </si>
  <si>
    <t>CLUBE SMILE</t>
  </si>
  <si>
    <t>VENDA MILHAS</t>
  </si>
  <si>
    <t>Tabela 2</t>
  </si>
  <si>
    <t>Variável 1</t>
  </si>
  <si>
    <t>Variável 2</t>
  </si>
</sst>
</file>

<file path=xl/styles.xml><?xml version="1.0" encoding="utf-8"?>
<styleSheet xmlns="http://schemas.openxmlformats.org/spreadsheetml/2006/main">
  <numFmts count="12">
    <numFmt numFmtId="0" formatCode="General"/>
    <numFmt numFmtId="59" formatCode="[$R$-416] 0.00"/>
    <numFmt numFmtId="60" formatCode="d mmm, yyyy hh:mm"/>
    <numFmt numFmtId="61" formatCode="[$R$-416] #,##0.00"/>
    <numFmt numFmtId="62" formatCode="0.0000"/>
    <numFmt numFmtId="63" formatCode="#,##0%"/>
    <numFmt numFmtId="64" formatCode="#,##0.00%"/>
    <numFmt numFmtId="65" formatCode="#,##0.0%"/>
    <numFmt numFmtId="66" formatCode="d mmmm"/>
    <numFmt numFmtId="67" formatCode="0.0000%"/>
    <numFmt numFmtId="68" formatCode="0.0%"/>
    <numFmt numFmtId="69" formatCode="mmmm"/>
  </numFmts>
  <fonts count="11">
    <font>
      <sz val="10"/>
      <color indexed="8"/>
      <name val="Helvetica Neue"/>
    </font>
    <font>
      <sz val="12"/>
      <color indexed="8"/>
      <name val="Helvetica Neue"/>
    </font>
    <font>
      <sz val="11"/>
      <color indexed="8"/>
      <name val="Calibri"/>
    </font>
    <font>
      <sz val="14"/>
      <color indexed="8"/>
      <name val="Calibri"/>
    </font>
    <font>
      <sz val="10"/>
      <color indexed="8"/>
      <name val="Calibri"/>
    </font>
    <font>
      <sz val="6"/>
      <color indexed="8"/>
      <name val="Calibri"/>
    </font>
    <font>
      <b val="1"/>
      <sz val="12"/>
      <color indexed="8"/>
      <name val="Calibri"/>
    </font>
    <font>
      <sz val="11"/>
      <color indexed="17"/>
      <name val="Calibri"/>
    </font>
    <font>
      <sz val="14"/>
      <color indexed="8"/>
      <name val="Calibri"/>
    </font>
    <font>
      <sz val="11"/>
      <color indexed="58"/>
      <name val="Calibri"/>
    </font>
    <font>
      <b val="1"/>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27"/>
        <bgColor auto="1"/>
      </patternFill>
    </fill>
    <fill>
      <patternFill patternType="solid">
        <fgColor indexed="51"/>
        <bgColor auto="1"/>
      </patternFill>
    </fill>
    <fill>
      <patternFill patternType="solid">
        <fgColor indexed="52"/>
        <bgColor auto="1"/>
      </patternFill>
    </fill>
  </fills>
  <borders count="142">
    <border>
      <left/>
      <right/>
      <top/>
      <bottom/>
      <diagonal/>
    </border>
    <border>
      <left style="thick">
        <color indexed="8"/>
      </left>
      <right style="thin">
        <color indexed="8"/>
      </right>
      <top style="thick">
        <color indexed="8"/>
      </top>
      <bottom style="medium">
        <color indexed="8"/>
      </bottom>
      <diagonal/>
    </border>
    <border>
      <left style="thin">
        <color indexed="8"/>
      </left>
      <right style="thin">
        <color indexed="8"/>
      </right>
      <top style="thick">
        <color indexed="8"/>
      </top>
      <bottom style="thin">
        <color indexed="8"/>
      </bottom>
      <diagonal/>
    </border>
    <border>
      <left style="thin">
        <color indexed="8"/>
      </left>
      <right style="thin">
        <color indexed="8"/>
      </right>
      <top style="thick">
        <color indexed="8"/>
      </top>
      <bottom style="medium">
        <color indexed="8"/>
      </bottom>
      <diagonal/>
    </border>
    <border>
      <left style="thin">
        <color indexed="8"/>
      </left>
      <right>
        <color indexed="8"/>
      </right>
      <top style="thick">
        <color indexed="8"/>
      </top>
      <bottom style="medium">
        <color indexed="8"/>
      </bottom>
      <diagonal/>
    </border>
    <border>
      <left>
        <color indexed="8"/>
      </left>
      <right style="thin">
        <color indexed="18"/>
      </right>
      <top style="thick">
        <color indexed="8"/>
      </top>
      <bottom style="medium">
        <color indexed="8"/>
      </bottom>
      <diagonal/>
    </border>
    <border>
      <left style="thin">
        <color indexed="18"/>
      </left>
      <right style="thin">
        <color indexed="18"/>
      </right>
      <top style="thick">
        <color indexed="8"/>
      </top>
      <bottom style="medium">
        <color indexed="8"/>
      </bottom>
      <diagonal/>
    </border>
    <border>
      <left style="thin">
        <color indexed="18"/>
      </left>
      <right style="medium">
        <color indexed="8"/>
      </right>
      <top style="thick">
        <color indexed="8"/>
      </top>
      <bottom style="medium">
        <color indexed="8"/>
      </bottom>
      <diagonal/>
    </border>
    <border>
      <left style="medium">
        <color indexed="8"/>
      </left>
      <right style="medium">
        <color indexed="8"/>
      </right>
      <top style="thick">
        <color indexed="8"/>
      </top>
      <bottom style="medium">
        <color indexed="8"/>
      </bottom>
      <diagonal/>
    </border>
    <border>
      <left style="medium">
        <color indexed="8"/>
      </left>
      <right style="thin">
        <color indexed="8"/>
      </right>
      <top style="thick">
        <color indexed="8"/>
      </top>
      <bottom style="medium">
        <color indexed="8"/>
      </bottom>
      <diagonal/>
    </border>
    <border>
      <left style="thin">
        <color indexed="8"/>
      </left>
      <right style="thin">
        <color indexed="40"/>
      </right>
      <top style="thick">
        <color indexed="8"/>
      </top>
      <bottom style="thin">
        <color indexed="8"/>
      </bottom>
      <diagonal/>
    </border>
    <border>
      <left style="thin">
        <color indexed="40"/>
      </left>
      <right style="thin">
        <color indexed="8"/>
      </right>
      <top style="thick">
        <color indexed="8"/>
      </top>
      <bottom style="thin">
        <color indexed="8"/>
      </bottom>
      <diagonal/>
    </border>
    <border>
      <left style="thin">
        <color indexed="8"/>
      </left>
      <right style="thin">
        <color indexed="18"/>
      </right>
      <top style="thick">
        <color indexed="8"/>
      </top>
      <bottom style="medium">
        <color indexed="8"/>
      </bottom>
      <diagonal/>
    </border>
    <border>
      <left style="medium">
        <color indexed="8"/>
      </left>
      <right style="thin">
        <color indexed="18"/>
      </right>
      <top style="thick">
        <color indexed="8"/>
      </top>
      <bottom style="medium">
        <color indexed="8"/>
      </bottom>
      <diagonal/>
    </border>
    <border>
      <left style="thin">
        <color indexed="18"/>
      </left>
      <right style="thick">
        <color indexed="8"/>
      </right>
      <top style="thick">
        <color indexed="8"/>
      </top>
      <bottom style="medium">
        <color indexed="8"/>
      </bottom>
      <diagonal/>
    </border>
    <border>
      <left style="thick">
        <color indexed="8"/>
      </left>
      <right style="thin">
        <color indexed="18"/>
      </right>
      <top style="thick">
        <color indexed="8"/>
      </top>
      <bottom style="thick">
        <color indexed="8"/>
      </bottom>
      <diagonal/>
    </border>
    <border>
      <left style="thin">
        <color indexed="18"/>
      </left>
      <right style="thin">
        <color indexed="18"/>
      </right>
      <top style="thick">
        <color indexed="8"/>
      </top>
      <bottom style="thick">
        <color indexed="8"/>
      </bottom>
      <diagonal/>
    </border>
    <border>
      <left style="thin">
        <color indexed="18"/>
      </left>
      <right style="thin">
        <color indexed="8"/>
      </right>
      <top style="thick">
        <color indexed="8"/>
      </top>
      <bottom style="thick">
        <color indexed="8"/>
      </bottom>
      <diagonal/>
    </border>
    <border>
      <left style="thin">
        <color indexed="8"/>
      </left>
      <right style="thick">
        <color indexed="8"/>
      </right>
      <top style="thick">
        <color indexed="8"/>
      </top>
      <bottom style="thick">
        <color indexed="8"/>
      </bottom>
      <diagonal/>
    </border>
    <border>
      <left style="thick">
        <color indexed="8"/>
      </left>
      <right style="thin">
        <color indexed="8"/>
      </right>
      <top style="thick">
        <color indexed="8"/>
      </top>
      <bottom style="thick">
        <color indexed="8"/>
      </bottom>
      <diagonal/>
    </border>
    <border>
      <left style="thin">
        <color indexed="8"/>
      </left>
      <right style="medium">
        <color indexed="8"/>
      </right>
      <top style="thick">
        <color indexed="8"/>
      </top>
      <bottom style="medium">
        <color indexed="8"/>
      </bottom>
      <diagonal/>
    </border>
    <border>
      <left style="thin">
        <color indexed="18"/>
      </left>
      <right style="thin">
        <color indexed="18"/>
      </right>
      <top style="thick">
        <color indexed="8"/>
      </top>
      <bottom style="thin">
        <color indexed="18"/>
      </bottom>
      <diagonal/>
    </border>
    <border>
      <left style="thick">
        <color indexed="8"/>
      </left>
      <right style="thin">
        <color indexed="8"/>
      </right>
      <top style="medium">
        <color indexed="8"/>
      </top>
      <bottom style="thick">
        <color indexed="8"/>
      </bottom>
      <diagonal/>
    </border>
    <border>
      <left style="thin">
        <color indexed="8"/>
      </left>
      <right style="thin">
        <color indexed="8"/>
      </right>
      <top style="thin">
        <color indexed="8"/>
      </top>
      <bottom style="thick">
        <color indexed="8"/>
      </bottom>
      <diagonal/>
    </border>
    <border>
      <left style="thin">
        <color indexed="8"/>
      </left>
      <right style="thin">
        <color indexed="8"/>
      </right>
      <top style="medium">
        <color indexed="8"/>
      </top>
      <bottom style="thick">
        <color indexed="8"/>
      </bottom>
      <diagonal/>
    </border>
    <border>
      <left style="thin">
        <color indexed="8"/>
      </left>
      <right>
        <color indexed="8"/>
      </right>
      <top style="medium">
        <color indexed="8"/>
      </top>
      <bottom style="thick">
        <color indexed="8"/>
      </bottom>
      <diagonal/>
    </border>
    <border>
      <left>
        <color indexed="8"/>
      </left>
      <right style="thin">
        <color indexed="18"/>
      </right>
      <top style="medium">
        <color indexed="8"/>
      </top>
      <bottom style="thick">
        <color indexed="8"/>
      </bottom>
      <diagonal/>
    </border>
    <border>
      <left style="thin">
        <color indexed="18"/>
      </left>
      <right style="thin">
        <color indexed="18"/>
      </right>
      <top style="medium">
        <color indexed="8"/>
      </top>
      <bottom style="thick">
        <color indexed="8"/>
      </bottom>
      <diagonal/>
    </border>
    <border>
      <left style="thin">
        <color indexed="18"/>
      </left>
      <right style="medium">
        <color indexed="8"/>
      </right>
      <top style="medium">
        <color indexed="8"/>
      </top>
      <bottom style="thick">
        <color indexed="8"/>
      </bottom>
      <diagonal/>
    </border>
    <border>
      <left style="medium">
        <color indexed="8"/>
      </left>
      <right style="medium">
        <color indexed="8"/>
      </right>
      <top style="medium">
        <color indexed="8"/>
      </top>
      <bottom style="thick">
        <color indexed="8"/>
      </bottom>
      <diagonal/>
    </border>
    <border>
      <left style="medium">
        <color indexed="8"/>
      </left>
      <right style="thin">
        <color indexed="8"/>
      </right>
      <top style="medium">
        <color indexed="8"/>
      </top>
      <bottom style="thick">
        <color indexed="8"/>
      </bottom>
      <diagonal/>
    </border>
    <border>
      <left style="thin">
        <color indexed="8"/>
      </left>
      <right style="thin">
        <color indexed="40"/>
      </right>
      <top style="thin">
        <color indexed="8"/>
      </top>
      <bottom style="thick">
        <color indexed="8"/>
      </bottom>
      <diagonal/>
    </border>
    <border>
      <left style="thin">
        <color indexed="40"/>
      </left>
      <right style="thin">
        <color indexed="8"/>
      </right>
      <top style="thin">
        <color indexed="8"/>
      </top>
      <bottom style="thick">
        <color indexed="8"/>
      </bottom>
      <diagonal/>
    </border>
    <border>
      <left style="thin">
        <color indexed="8"/>
      </left>
      <right style="thin">
        <color indexed="18"/>
      </right>
      <top style="medium">
        <color indexed="8"/>
      </top>
      <bottom style="thick">
        <color indexed="8"/>
      </bottom>
      <diagonal/>
    </border>
    <border>
      <left style="medium">
        <color indexed="8"/>
      </left>
      <right style="thin">
        <color indexed="18"/>
      </right>
      <top style="medium">
        <color indexed="8"/>
      </top>
      <bottom style="thick">
        <color indexed="8"/>
      </bottom>
      <diagonal/>
    </border>
    <border>
      <left style="thin">
        <color indexed="18"/>
      </left>
      <right style="thick">
        <color indexed="8"/>
      </right>
      <top style="medium">
        <color indexed="8"/>
      </top>
      <bottom style="thick">
        <color indexed="8"/>
      </bottom>
      <diagonal/>
    </border>
    <border>
      <left style="thin">
        <color indexed="18"/>
      </left>
      <right style="medium">
        <color indexed="8"/>
      </right>
      <top style="thick">
        <color indexed="8"/>
      </top>
      <bottom style="thick">
        <color indexed="8"/>
      </bottom>
      <diagonal/>
    </border>
    <border>
      <left style="medium">
        <color indexed="8"/>
      </left>
      <right style="medium">
        <color indexed="8"/>
      </right>
      <top style="thick">
        <color indexed="8"/>
      </top>
      <bottom style="thick">
        <color indexed="8"/>
      </bottom>
      <diagonal/>
    </border>
    <border>
      <left style="medium">
        <color indexed="8"/>
      </left>
      <right style="thick">
        <color indexed="8"/>
      </right>
      <top style="thick">
        <color indexed="8"/>
      </top>
      <bottom style="thick">
        <color indexed="8"/>
      </bottom>
      <diagonal/>
    </border>
    <border>
      <left style="thick">
        <color indexed="8"/>
      </left>
      <right style="thick">
        <color indexed="8"/>
      </right>
      <top style="thick">
        <color indexed="8"/>
      </top>
      <bottom style="thick">
        <color indexed="8"/>
      </bottom>
      <diagonal/>
    </border>
    <border>
      <left style="medium">
        <color indexed="8"/>
      </left>
      <right style="thin">
        <color indexed="8"/>
      </right>
      <top style="thick">
        <color indexed="8"/>
      </top>
      <bottom style="thick">
        <color indexed="8"/>
      </bottom>
      <diagonal/>
    </border>
    <border>
      <left style="medium">
        <color indexed="8"/>
      </left>
      <right style="thin">
        <color indexed="18"/>
      </right>
      <top style="thick">
        <color indexed="8"/>
      </top>
      <bottom style="thick">
        <color indexed="8"/>
      </bottom>
      <diagonal/>
    </border>
    <border>
      <left style="thin">
        <color indexed="8"/>
      </left>
      <right style="medium">
        <color indexed="8"/>
      </right>
      <top style="medium">
        <color indexed="8"/>
      </top>
      <bottom style="thick">
        <color indexed="8"/>
      </bottom>
      <diagonal/>
    </border>
    <border>
      <left style="thin">
        <color indexed="18"/>
      </left>
      <right style="thin">
        <color indexed="18"/>
      </right>
      <top style="thin">
        <color indexed="18"/>
      </top>
      <bottom style="thick">
        <color indexed="8"/>
      </bottom>
      <diagonal/>
    </border>
    <border>
      <left style="medium">
        <color indexed="8"/>
      </left>
      <right style="medium">
        <color indexed="8"/>
      </right>
      <top style="thick">
        <color indexed="8"/>
      </top>
      <bottom style="thin">
        <color indexed="18"/>
      </bottom>
      <diagonal/>
    </border>
    <border>
      <left style="medium">
        <color indexed="8"/>
      </left>
      <right style="thin">
        <color indexed="8"/>
      </right>
      <top style="thick">
        <color indexed="8"/>
      </top>
      <bottom style="thin">
        <color indexed="18"/>
      </bottom>
      <diagonal/>
    </border>
    <border>
      <left style="thin">
        <color indexed="8"/>
      </left>
      <right style="thin">
        <color indexed="8"/>
      </right>
      <top style="thick">
        <color indexed="8"/>
      </top>
      <bottom style="thin">
        <color indexed="18"/>
      </bottom>
      <diagonal/>
    </border>
    <border>
      <left style="thin">
        <color indexed="8"/>
      </left>
      <right>
        <color indexed="8"/>
      </right>
      <top style="thick">
        <color indexed="8"/>
      </top>
      <bottom style="thin">
        <color indexed="8"/>
      </bottom>
      <diagonal/>
    </border>
    <border>
      <left>
        <color indexed="8"/>
      </left>
      <right style="thin">
        <color indexed="8"/>
      </right>
      <top style="thick">
        <color indexed="8"/>
      </top>
      <bottom style="thin">
        <color indexed="8"/>
      </bottom>
      <diagonal/>
    </border>
    <border>
      <left style="thin">
        <color indexed="8"/>
      </left>
      <right style="thin">
        <color indexed="18"/>
      </right>
      <top style="thick">
        <color indexed="8"/>
      </top>
      <bottom style="thin">
        <color indexed="18"/>
      </bottom>
      <diagonal/>
    </border>
    <border>
      <left style="thin">
        <color indexed="18"/>
      </left>
      <right style="thin">
        <color indexed="8"/>
      </right>
      <top style="thick">
        <color indexed="8"/>
      </top>
      <bottom style="thin">
        <color indexed="18"/>
      </bottom>
      <diagonal/>
    </border>
    <border>
      <left style="thin">
        <color indexed="18"/>
      </left>
      <right style="medium">
        <color indexed="8"/>
      </right>
      <top style="thick">
        <color indexed="8"/>
      </top>
      <bottom style="thin">
        <color indexed="18"/>
      </bottom>
      <diagonal/>
    </border>
    <border>
      <left style="thin">
        <color indexed="8"/>
      </left>
      <right style="thin">
        <color indexed="40"/>
      </right>
      <top style="thick">
        <color indexed="8"/>
      </top>
      <bottom style="thin">
        <color indexed="18"/>
      </bottom>
      <diagonal/>
    </border>
    <border>
      <left style="thin">
        <color indexed="40"/>
      </left>
      <right style="thin">
        <color indexed="8"/>
      </right>
      <top style="thick">
        <color indexed="8"/>
      </top>
      <bottom style="thin">
        <color indexed="18"/>
      </bottom>
      <diagonal/>
    </border>
    <border>
      <left style="thin">
        <color indexed="8"/>
      </left>
      <right style="medium">
        <color indexed="8"/>
      </right>
      <top style="thick">
        <color indexed="8"/>
      </top>
      <bottom style="thin">
        <color indexed="18"/>
      </bottom>
      <diagonal/>
    </border>
    <border>
      <left style="medium">
        <color indexed="8"/>
      </left>
      <right style="thin">
        <color indexed="8"/>
      </right>
      <top style="thick">
        <color indexed="8"/>
      </top>
      <bottom style="thin">
        <color indexed="8"/>
      </bottom>
      <diagonal/>
    </border>
    <border>
      <left style="thin">
        <color indexed="18"/>
      </left>
      <right style="thick">
        <color indexed="8"/>
      </right>
      <top style="thick">
        <color indexed="8"/>
      </top>
      <bottom style="thin">
        <color indexed="18"/>
      </bottom>
      <diagonal/>
    </border>
    <border>
      <left style="thin">
        <color indexed="8"/>
      </left>
      <right style="thick">
        <color indexed="8"/>
      </right>
      <top style="thick">
        <color indexed="8"/>
      </top>
      <bottom style="medium">
        <color indexed="8"/>
      </bottom>
      <diagonal/>
    </border>
    <border>
      <left style="thick">
        <color indexed="8"/>
      </left>
      <right style="medium">
        <color indexed="8"/>
      </right>
      <top style="thick">
        <color indexed="8"/>
      </top>
      <bottom style="medium">
        <color indexed="8"/>
      </bottom>
      <diagonal/>
    </border>
    <border>
      <left style="medium">
        <color indexed="8"/>
      </left>
      <right style="medium">
        <color indexed="8"/>
      </right>
      <top style="thin">
        <color indexed="18"/>
      </top>
      <bottom style="thin">
        <color indexed="18"/>
      </bottom>
      <diagonal/>
    </border>
    <border>
      <left style="medium">
        <color indexed="8"/>
      </left>
      <right style="thin">
        <color indexed="8"/>
      </right>
      <top style="thin">
        <color indexed="18"/>
      </top>
      <bottom style="thin">
        <color indexed="18"/>
      </bottom>
      <diagonal/>
    </border>
    <border>
      <left style="thin">
        <color indexed="8"/>
      </left>
      <right style="thin">
        <color indexed="8"/>
      </right>
      <top style="thin">
        <color indexed="18"/>
      </top>
      <bottom style="thin">
        <color indexed="18"/>
      </bottom>
      <diagonal/>
    </border>
    <border>
      <left style="thin">
        <color indexed="8"/>
      </left>
      <right>
        <color indexed="8"/>
      </right>
      <top style="thin">
        <color indexed="8"/>
      </top>
      <bottom style="thin">
        <color indexed="18"/>
      </bottom>
      <diagonal/>
    </border>
    <border>
      <left>
        <color indexed="8"/>
      </left>
      <right style="thin">
        <color indexed="8"/>
      </right>
      <top style="thin">
        <color indexed="8"/>
      </top>
      <bottom style="thin">
        <color indexed="18"/>
      </bottom>
      <diagonal/>
    </border>
    <border>
      <left style="thin">
        <color indexed="8"/>
      </left>
      <right style="thin">
        <color indexed="18"/>
      </right>
      <top style="thin">
        <color indexed="18"/>
      </top>
      <bottom style="thin">
        <color indexed="18"/>
      </bottom>
      <diagonal/>
    </border>
    <border>
      <left style="thin">
        <color indexed="18"/>
      </left>
      <right style="thin">
        <color indexed="18"/>
      </right>
      <top style="thin">
        <color indexed="18"/>
      </top>
      <bottom style="thin">
        <color indexed="18"/>
      </bottom>
      <diagonal/>
    </border>
    <border>
      <left style="thin">
        <color indexed="18"/>
      </left>
      <right style="thin">
        <color indexed="8"/>
      </right>
      <top style="thin">
        <color indexed="18"/>
      </top>
      <bottom style="thin">
        <color indexed="18"/>
      </bottom>
      <diagonal/>
    </border>
    <border>
      <left style="thin">
        <color indexed="18"/>
      </left>
      <right style="medium">
        <color indexed="8"/>
      </right>
      <top style="thin">
        <color indexed="18"/>
      </top>
      <bottom style="thin">
        <color indexed="18"/>
      </bottom>
      <diagonal/>
    </border>
    <border>
      <left style="thin">
        <color indexed="8"/>
      </left>
      <right style="thin">
        <color indexed="40"/>
      </right>
      <top style="thin">
        <color indexed="18"/>
      </top>
      <bottom style="thin">
        <color indexed="18"/>
      </bottom>
      <diagonal/>
    </border>
    <border>
      <left style="thin">
        <color indexed="40"/>
      </left>
      <right style="thin">
        <color indexed="8"/>
      </right>
      <top style="thin">
        <color indexed="18"/>
      </top>
      <bottom style="thin">
        <color indexed="18"/>
      </bottom>
      <diagonal/>
    </border>
    <border>
      <left style="thin">
        <color indexed="8"/>
      </left>
      <right style="thin">
        <color indexed="8"/>
      </right>
      <top style="thin">
        <color indexed="8"/>
      </top>
      <bottom style="thin">
        <color indexed="18"/>
      </bottom>
      <diagonal/>
    </border>
    <border>
      <left style="thin">
        <color indexed="8"/>
      </left>
      <right style="medium">
        <color indexed="8"/>
      </right>
      <top style="thin">
        <color indexed="1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18"/>
      </left>
      <right style="thick">
        <color indexed="8"/>
      </right>
      <top style="thin">
        <color indexed="18"/>
      </top>
      <bottom style="thin">
        <color indexed="18"/>
      </bottom>
      <diagonal/>
    </border>
    <border>
      <left style="thick">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ck">
        <color indexed="8"/>
      </left>
      <right style="medium">
        <color indexed="8"/>
      </right>
      <top style="medium">
        <color indexed="8"/>
      </top>
      <bottom style="medium">
        <color indexed="8"/>
      </bottom>
      <diagonal/>
    </border>
    <border>
      <left style="medium">
        <color indexed="8"/>
      </left>
      <right style="medium">
        <color indexed="8"/>
      </right>
      <top style="thin">
        <color indexed="18"/>
      </top>
      <bottom style="thin">
        <color indexed="8"/>
      </bottom>
      <diagonal/>
    </border>
    <border>
      <left style="medium">
        <color indexed="8"/>
      </left>
      <right style="thin">
        <color indexed="8"/>
      </right>
      <top style="thin">
        <color indexed="18"/>
      </top>
      <bottom style="thin">
        <color indexed="8"/>
      </bottom>
      <diagonal/>
    </border>
    <border>
      <left style="thin">
        <color indexed="8"/>
      </left>
      <right style="thin">
        <color indexed="8"/>
      </right>
      <top style="thin">
        <color indexed="18"/>
      </top>
      <bottom style="thin">
        <color indexed="8"/>
      </bottom>
      <diagonal/>
    </border>
    <border>
      <left style="thin">
        <color indexed="8"/>
      </left>
      <right>
        <color indexed="8"/>
      </right>
      <top style="thin">
        <color indexed="18"/>
      </top>
      <bottom style="thin">
        <color indexed="8"/>
      </bottom>
      <diagonal/>
    </border>
    <border>
      <left>
        <color indexed="8"/>
      </left>
      <right style="thin">
        <color indexed="8"/>
      </right>
      <top style="thin">
        <color indexed="18"/>
      </top>
      <bottom style="thin">
        <color indexed="8"/>
      </bottom>
      <diagonal/>
    </border>
    <border>
      <left style="thin">
        <color indexed="8"/>
      </left>
      <right style="thin">
        <color indexed="18"/>
      </right>
      <top style="thin">
        <color indexed="18"/>
      </top>
      <bottom style="thin">
        <color indexed="8"/>
      </bottom>
      <diagonal/>
    </border>
    <border>
      <left style="thin">
        <color indexed="18"/>
      </left>
      <right style="thin">
        <color indexed="18"/>
      </right>
      <top style="thin">
        <color indexed="18"/>
      </top>
      <bottom style="thin">
        <color indexed="8"/>
      </bottom>
      <diagonal/>
    </border>
    <border>
      <left style="thin">
        <color indexed="18"/>
      </left>
      <right style="thin">
        <color indexed="8"/>
      </right>
      <top style="thin">
        <color indexed="18"/>
      </top>
      <bottom style="thin">
        <color indexed="8"/>
      </bottom>
      <diagonal/>
    </border>
    <border>
      <left style="thin">
        <color indexed="18"/>
      </left>
      <right style="medium">
        <color indexed="8"/>
      </right>
      <top style="thin">
        <color indexed="18"/>
      </top>
      <bottom style="thin">
        <color indexed="8"/>
      </bottom>
      <diagonal/>
    </border>
    <border>
      <left style="thin">
        <color indexed="8"/>
      </left>
      <right style="thin">
        <color indexed="40"/>
      </right>
      <top style="thin">
        <color indexed="18"/>
      </top>
      <bottom style="thin">
        <color indexed="8"/>
      </bottom>
      <diagonal/>
    </border>
    <border>
      <left style="thin">
        <color indexed="40"/>
      </left>
      <right style="thin">
        <color indexed="8"/>
      </right>
      <top style="thin">
        <color indexed="18"/>
      </top>
      <bottom style="thin">
        <color indexed="8"/>
      </bottom>
      <diagonal/>
    </border>
    <border>
      <left style="thin">
        <color indexed="8"/>
      </left>
      <right style="medium">
        <color indexed="8"/>
      </right>
      <top style="thin">
        <color indexed="8"/>
      </top>
      <bottom style="thin">
        <color indexed="8"/>
      </bottom>
      <diagonal/>
    </border>
    <border>
      <left style="thin">
        <color indexed="18"/>
      </left>
      <right style="thick">
        <color indexed="8"/>
      </right>
      <top style="thin">
        <color indexed="18"/>
      </top>
      <bottom style="thin">
        <color indexed="8"/>
      </bottom>
      <diagonal/>
    </border>
    <border>
      <left style="medium">
        <color indexed="8"/>
      </left>
      <right style="medium">
        <color indexed="8"/>
      </right>
      <top style="thin">
        <color indexed="8"/>
      </top>
      <bottom style="thin">
        <color indexed="18"/>
      </bottom>
      <diagonal/>
    </border>
    <border>
      <left style="medium">
        <color indexed="8"/>
      </left>
      <right style="thin">
        <color indexed="8"/>
      </right>
      <top style="thin">
        <color indexed="8"/>
      </top>
      <bottom style="thin">
        <color indexed="18"/>
      </bottom>
      <diagonal/>
    </border>
    <border>
      <left style="thin">
        <color indexed="8"/>
      </left>
      <right>
        <color indexed="8"/>
      </right>
      <top style="thin">
        <color indexed="8"/>
      </top>
      <bottom style="thin">
        <color indexed="8"/>
      </bottom>
      <diagonal/>
    </border>
    <border>
      <left>
        <color indexed="8"/>
      </left>
      <right style="thin">
        <color indexed="8"/>
      </right>
      <top style="thin">
        <color indexed="8"/>
      </top>
      <bottom style="thin">
        <color indexed="8"/>
      </bottom>
      <diagonal/>
    </border>
    <border>
      <left style="thin">
        <color indexed="8"/>
      </left>
      <right style="thin">
        <color indexed="18"/>
      </right>
      <top style="thin">
        <color indexed="8"/>
      </top>
      <bottom style="thin">
        <color indexed="18"/>
      </bottom>
      <diagonal/>
    </border>
    <border>
      <left style="thin">
        <color indexed="18"/>
      </left>
      <right style="thin">
        <color indexed="18"/>
      </right>
      <top style="thin">
        <color indexed="8"/>
      </top>
      <bottom style="thin">
        <color indexed="18"/>
      </bottom>
      <diagonal/>
    </border>
    <border>
      <left style="thin">
        <color indexed="18"/>
      </left>
      <right style="thin">
        <color indexed="8"/>
      </right>
      <top style="thin">
        <color indexed="8"/>
      </top>
      <bottom style="thin">
        <color indexed="18"/>
      </bottom>
      <diagonal/>
    </border>
    <border>
      <left style="thin">
        <color indexed="18"/>
      </left>
      <right style="medium">
        <color indexed="8"/>
      </right>
      <top style="thin">
        <color indexed="8"/>
      </top>
      <bottom style="thin">
        <color indexed="18"/>
      </bottom>
      <diagonal/>
    </border>
    <border>
      <left style="thin">
        <color indexed="8"/>
      </left>
      <right style="thin">
        <color indexed="53"/>
      </right>
      <top style="thin">
        <color indexed="8"/>
      </top>
      <bottom style="thin">
        <color indexed="18"/>
      </bottom>
      <diagonal/>
    </border>
    <border>
      <left style="thin">
        <color indexed="53"/>
      </left>
      <right style="thin">
        <color indexed="8"/>
      </right>
      <top style="thin">
        <color indexed="8"/>
      </top>
      <bottom style="thin">
        <color indexed="18"/>
      </bottom>
      <diagonal/>
    </border>
    <border>
      <left style="thin">
        <color indexed="8"/>
      </left>
      <right style="medium">
        <color indexed="8"/>
      </right>
      <top style="thin">
        <color indexed="8"/>
      </top>
      <bottom style="thin">
        <color indexed="18"/>
      </bottom>
      <diagonal/>
    </border>
    <border>
      <left style="thin">
        <color indexed="18"/>
      </left>
      <right style="thick">
        <color indexed="8"/>
      </right>
      <top style="thin">
        <color indexed="8"/>
      </top>
      <bottom style="thin">
        <color indexed="18"/>
      </bottom>
      <diagonal/>
    </border>
    <border>
      <left style="thin">
        <color indexed="8"/>
      </left>
      <right style="thin">
        <color indexed="8"/>
      </right>
      <top style="thin">
        <color indexed="8"/>
      </top>
      <bottom style="medium">
        <color indexed="8"/>
      </bottom>
      <diagonal/>
    </border>
    <border>
      <left style="thin">
        <color indexed="8"/>
      </left>
      <right style="thin">
        <color indexed="53"/>
      </right>
      <top style="thin">
        <color indexed="18"/>
      </top>
      <bottom style="thin">
        <color indexed="18"/>
      </bottom>
      <diagonal/>
    </border>
    <border>
      <left style="thin">
        <color indexed="53"/>
      </left>
      <right style="thin">
        <color indexed="8"/>
      </right>
      <top style="thin">
        <color indexed="18"/>
      </top>
      <bottom style="thin">
        <color indexed="18"/>
      </bottom>
      <diagonal/>
    </border>
    <border>
      <left style="thin">
        <color indexed="8"/>
      </left>
      <right style="thin">
        <color indexed="53"/>
      </right>
      <top style="thin">
        <color indexed="18"/>
      </top>
      <bottom style="thin">
        <color indexed="8"/>
      </bottom>
      <diagonal/>
    </border>
    <border>
      <left style="thin">
        <color indexed="53"/>
      </left>
      <right style="thin">
        <color indexed="8"/>
      </right>
      <top style="thin">
        <color indexed="18"/>
      </top>
      <bottom style="thin">
        <color indexed="8"/>
      </bottom>
      <diagonal/>
    </border>
    <border>
      <left style="thin">
        <color indexed="8"/>
      </left>
      <right style="thin">
        <color indexed="8"/>
      </right>
      <top style="thin">
        <color indexed="18"/>
      </top>
      <bottom style="medium">
        <color indexed="8"/>
      </bottom>
      <diagonal/>
    </border>
    <border>
      <left style="thin">
        <color indexed="8"/>
      </left>
      <right style="thin">
        <color indexed="8"/>
      </right>
      <top style="medium">
        <color indexed="8"/>
      </top>
      <bottom style="thin">
        <color indexed="18"/>
      </bottom>
      <diagonal/>
    </border>
    <border>
      <left style="thin">
        <color indexed="8"/>
      </left>
      <right style="thin">
        <color indexed="18"/>
      </right>
      <top style="thin">
        <color indexed="18"/>
      </top>
      <bottom style="medium">
        <color indexed="8"/>
      </bottom>
      <diagonal/>
    </border>
    <border>
      <left style="thin">
        <color indexed="8"/>
      </left>
      <right style="thin">
        <color indexed="18"/>
      </right>
      <top style="medium">
        <color indexed="8"/>
      </top>
      <bottom style="thin">
        <color indexed="18"/>
      </bottom>
      <diagonal/>
    </border>
    <border>
      <left style="thin">
        <color indexed="8"/>
      </left>
      <right style="thin">
        <color indexed="8"/>
      </right>
      <top style="medium">
        <color indexed="8"/>
      </top>
      <bottom style="thin">
        <color indexed="8"/>
      </bottom>
      <diagonal/>
    </border>
    <border>
      <left style="thin">
        <color indexed="8"/>
      </left>
      <right>
        <color indexed="8"/>
      </right>
      <top style="thin">
        <color indexed="18"/>
      </top>
      <bottom style="medium">
        <color indexed="8"/>
      </bottom>
      <diagonal/>
    </border>
    <border>
      <left>
        <color indexed="8"/>
      </left>
      <right style="thin">
        <color indexed="8"/>
      </right>
      <top style="thin">
        <color indexed="18"/>
      </top>
      <bottom style="medium">
        <color indexed="8"/>
      </bottom>
      <diagonal/>
    </border>
    <border>
      <left style="thin">
        <color indexed="18"/>
      </left>
      <right style="thin">
        <color indexed="18"/>
      </right>
      <top style="thin">
        <color indexed="18"/>
      </top>
      <bottom style="medium">
        <color indexed="8"/>
      </bottom>
      <diagonal/>
    </border>
    <border>
      <left style="thin">
        <color indexed="18"/>
      </left>
      <right style="thin">
        <color indexed="8"/>
      </right>
      <top style="thin">
        <color indexed="18"/>
      </top>
      <bottom style="medium">
        <color indexed="8"/>
      </bottom>
      <diagonal/>
    </border>
    <border>
      <left style="thin">
        <color indexed="18"/>
      </left>
      <right style="medium">
        <color indexed="8"/>
      </right>
      <top style="thin">
        <color indexed="18"/>
      </top>
      <bottom style="medium">
        <color indexed="8"/>
      </bottom>
      <diagonal/>
    </border>
    <border>
      <left style="thin">
        <color indexed="8"/>
      </left>
      <right>
        <color indexed="8"/>
      </right>
      <top style="medium">
        <color indexed="8"/>
      </top>
      <bottom style="thin">
        <color indexed="8"/>
      </bottom>
      <diagonal/>
    </border>
    <border>
      <left>
        <color indexed="8"/>
      </left>
      <right style="thin">
        <color indexed="8"/>
      </right>
      <top style="medium">
        <color indexed="8"/>
      </top>
      <bottom style="thin">
        <color indexed="8"/>
      </bottom>
      <diagonal/>
    </border>
    <border>
      <left style="thin">
        <color indexed="18"/>
      </left>
      <right style="thin">
        <color indexed="18"/>
      </right>
      <top style="medium">
        <color indexed="8"/>
      </top>
      <bottom style="thin">
        <color indexed="18"/>
      </bottom>
      <diagonal/>
    </border>
    <border>
      <left style="thin">
        <color indexed="18"/>
      </left>
      <right style="thin">
        <color indexed="8"/>
      </right>
      <top style="medium">
        <color indexed="8"/>
      </top>
      <bottom style="thin">
        <color indexed="18"/>
      </bottom>
      <diagonal/>
    </border>
    <border>
      <left style="thin">
        <color indexed="18"/>
      </left>
      <right style="medium">
        <color indexed="8"/>
      </right>
      <top style="medium">
        <color indexed="8"/>
      </top>
      <bottom style="thin">
        <color indexed="18"/>
      </bottom>
      <diagonal/>
    </border>
    <border>
      <left style="thin">
        <color indexed="18"/>
      </left>
      <right style="thin">
        <color indexed="18"/>
      </right>
      <top style="thin">
        <color indexed="18"/>
      </top>
      <bottom style="thin">
        <color indexed="53"/>
      </bottom>
      <diagonal/>
    </border>
    <border>
      <left style="thin">
        <color indexed="8"/>
      </left>
      <right style="thin">
        <color indexed="8"/>
      </right>
      <top style="thin">
        <color indexed="53"/>
      </top>
      <bottom style="thin">
        <color indexed="18"/>
      </bottom>
      <diagonal/>
    </border>
    <border>
      <left style="thin">
        <color indexed="8"/>
      </left>
      <right style="thin">
        <color indexed="18"/>
      </right>
      <top style="thin">
        <color indexed="53"/>
      </top>
      <bottom style="thin">
        <color indexed="18"/>
      </bottom>
      <diagonal/>
    </border>
    <border>
      <left style="thin">
        <color indexed="18"/>
      </left>
      <right style="thin">
        <color indexed="18"/>
      </right>
      <top style="thin">
        <color indexed="53"/>
      </top>
      <bottom style="thin">
        <color indexed="18"/>
      </bottom>
      <diagonal/>
    </border>
    <border>
      <left style="thin">
        <color indexed="8"/>
      </left>
      <right style="thin">
        <color indexed="8"/>
      </right>
      <top style="thin">
        <color indexed="18"/>
      </top>
      <bottom style="thin">
        <color indexed="53"/>
      </bottom>
      <diagonal/>
    </border>
    <border>
      <left style="thin">
        <color indexed="8"/>
      </left>
      <right style="thin">
        <color indexed="18"/>
      </right>
      <top style="thin">
        <color indexed="18"/>
      </top>
      <bottom style="thin">
        <color indexed="53"/>
      </bottom>
      <diagonal/>
    </border>
    <border>
      <left style="thin">
        <color indexed="8"/>
      </left>
      <right style="thin">
        <color indexed="8"/>
      </right>
      <top style="thin">
        <color indexed="53"/>
      </top>
      <bottom style="thin">
        <color indexed="53"/>
      </bottom>
      <diagonal/>
    </border>
    <border>
      <left style="thin">
        <color indexed="8"/>
      </left>
      <right style="thin">
        <color indexed="18"/>
      </right>
      <top style="thin">
        <color indexed="53"/>
      </top>
      <bottom style="thin">
        <color indexed="53"/>
      </bottom>
      <diagonal/>
    </border>
    <border>
      <left style="thin">
        <color indexed="18"/>
      </left>
      <right style="thin">
        <color indexed="18"/>
      </right>
      <top style="thin">
        <color indexed="53"/>
      </top>
      <bottom style="thin">
        <color indexed="53"/>
      </bottom>
      <diagonal/>
    </border>
    <border>
      <left style="thin">
        <color indexed="18"/>
      </left>
      <right style="thin">
        <color indexed="53"/>
      </right>
      <top style="thin">
        <color indexed="53"/>
      </top>
      <bottom style="thin">
        <color indexed="18"/>
      </bottom>
      <diagonal/>
    </border>
    <border>
      <left style="thin">
        <color indexed="53"/>
      </left>
      <right style="thin">
        <color indexed="18"/>
      </right>
      <top style="thin">
        <color indexed="53"/>
      </top>
      <bottom style="thin">
        <color indexed="18"/>
      </bottom>
      <diagonal/>
    </border>
    <border>
      <left style="thin">
        <color indexed="18"/>
      </left>
      <right style="thin">
        <color indexed="53"/>
      </right>
      <top style="thin">
        <color indexed="18"/>
      </top>
      <bottom style="thin">
        <color indexed="18"/>
      </bottom>
      <diagonal/>
    </border>
    <border>
      <left style="thin">
        <color indexed="53"/>
      </left>
      <right style="thin">
        <color indexed="18"/>
      </right>
      <top style="thin">
        <color indexed="18"/>
      </top>
      <bottom style="thin">
        <color indexed="18"/>
      </bottom>
      <diagonal/>
    </border>
    <border>
      <left style="thin">
        <color indexed="18"/>
      </left>
      <right style="thin">
        <color indexed="53"/>
      </right>
      <top style="thin">
        <color indexed="18"/>
      </top>
      <bottom style="thin">
        <color indexed="53"/>
      </bottom>
      <diagonal/>
    </border>
    <border>
      <left style="thin">
        <color indexed="53"/>
      </left>
      <right style="thin">
        <color indexed="18"/>
      </right>
      <top style="thin">
        <color indexed="18"/>
      </top>
      <bottom style="thin">
        <color indexed="53"/>
      </bottom>
      <diagonal/>
    </border>
  </borders>
  <cellStyleXfs count="1">
    <xf numFmtId="0" fontId="0" applyNumberFormat="0" applyFont="1" applyFill="0" applyBorder="0" applyAlignment="1" applyProtection="0">
      <alignment vertical="top" wrapText="1"/>
    </xf>
  </cellStyleXfs>
  <cellXfs count="441">
    <xf numFmtId="0" fontId="0" applyNumberFormat="0" applyFont="1" applyFill="0" applyBorder="0" applyAlignment="1" applyProtection="0">
      <alignment vertical="top" wrapText="1"/>
    </xf>
    <xf numFmtId="0" fontId="2" applyNumberFormat="1" applyFont="1" applyFill="0" applyBorder="0" applyAlignment="1" applyProtection="0">
      <alignment vertical="bottom"/>
    </xf>
    <xf numFmtId="0" fontId="3" applyNumberFormat="0" applyFont="1" applyFill="0" applyBorder="0" applyAlignment="1" applyProtection="0">
      <alignment horizontal="center" vertical="center"/>
    </xf>
    <xf numFmtId="0" fontId="2" fillId="2" borderId="1" applyNumberFormat="1" applyFont="1" applyFill="1" applyBorder="1" applyAlignment="1" applyProtection="0">
      <alignment horizontal="center" vertical="center" wrapText="1"/>
    </xf>
    <xf numFmtId="49" fontId="2" fillId="2" borderId="2" applyNumberFormat="1" applyFont="1" applyFill="1" applyBorder="1" applyAlignment="1" applyProtection="0">
      <alignment vertical="bottom" wrapText="1"/>
    </xf>
    <xf numFmtId="49" fontId="2" fillId="2" borderId="3" applyNumberFormat="1" applyFont="1" applyFill="1" applyBorder="1" applyAlignment="1" applyProtection="0">
      <alignment horizontal="center" vertical="center" wrapText="1"/>
    </xf>
    <xf numFmtId="49" fontId="4" fillId="2" borderId="4" applyNumberFormat="1" applyFont="1" applyFill="1" applyBorder="1" applyAlignment="1" applyProtection="0">
      <alignment horizontal="center" vertical="center" wrapText="1"/>
    </xf>
    <xf numFmtId="0" fontId="2" fillId="2" borderId="5" applyNumberFormat="0" applyFont="1" applyFill="1" applyBorder="1" applyAlignment="1" applyProtection="0">
      <alignment vertical="bottom"/>
    </xf>
    <xf numFmtId="49" fontId="5" fillId="2" borderId="6" applyNumberFormat="1" applyFont="1" applyFill="1" applyBorder="1" applyAlignment="1" applyProtection="0">
      <alignment horizontal="center" vertical="center" wrapText="1"/>
    </xf>
    <xf numFmtId="49" fontId="4" fillId="2" borderId="6" applyNumberFormat="1" applyFont="1" applyFill="1" applyBorder="1" applyAlignment="1" applyProtection="0">
      <alignment horizontal="center" vertical="center" wrapText="1"/>
    </xf>
    <xf numFmtId="49" fontId="2" fillId="2" borderId="6" applyNumberFormat="1" applyFont="1" applyFill="1" applyBorder="1" applyAlignment="1" applyProtection="0">
      <alignment horizontal="center" vertical="center" wrapText="1"/>
    </xf>
    <xf numFmtId="0" fontId="2" fillId="2" borderId="6" applyNumberFormat="0" applyFont="1" applyFill="1" applyBorder="1" applyAlignment="1" applyProtection="0">
      <alignment vertical="bottom"/>
    </xf>
    <xf numFmtId="49" fontId="2" fillId="2" borderId="7" applyNumberFormat="1" applyFont="1" applyFill="1" applyBorder="1" applyAlignment="1" applyProtection="0">
      <alignment horizontal="center" vertical="center" wrapText="1"/>
    </xf>
    <xf numFmtId="49" fontId="2" fillId="2" borderId="8" applyNumberFormat="1" applyFont="1" applyFill="1" applyBorder="1" applyAlignment="1" applyProtection="0">
      <alignment horizontal="center" vertical="center" wrapText="1"/>
    </xf>
    <xf numFmtId="49" fontId="2" fillId="2" borderId="9" applyNumberFormat="1" applyFont="1" applyFill="1" applyBorder="1" applyAlignment="1" applyProtection="0">
      <alignment horizontal="center" vertical="center" wrapText="1"/>
    </xf>
    <xf numFmtId="49" fontId="2" fillId="2" borderId="10" applyNumberFormat="1" applyFont="1" applyFill="1" applyBorder="1" applyAlignment="1" applyProtection="0">
      <alignment horizontal="center" vertical="center" wrapText="1"/>
    </xf>
    <xf numFmtId="49" fontId="2" fillId="2" borderId="11" applyNumberFormat="1" applyFont="1" applyFill="1" applyBorder="1" applyAlignment="1" applyProtection="0">
      <alignment horizontal="center" vertical="center" wrapText="1" readingOrder="2"/>
    </xf>
    <xf numFmtId="49" fontId="2" fillId="2" borderId="12" applyNumberFormat="1" applyFont="1" applyFill="1" applyBorder="1" applyAlignment="1" applyProtection="0">
      <alignment horizontal="center" vertical="center" wrapText="1"/>
    </xf>
    <xf numFmtId="49" fontId="2" fillId="2" borderId="13" applyNumberFormat="1" applyFont="1" applyFill="1" applyBorder="1" applyAlignment="1" applyProtection="0">
      <alignment horizontal="center" vertical="center" wrapText="1"/>
    </xf>
    <xf numFmtId="0" fontId="2" fillId="2" borderId="6" applyNumberFormat="0" applyFont="1" applyFill="1" applyBorder="1" applyAlignment="1" applyProtection="0">
      <alignment horizontal="center" vertical="center" wrapText="1"/>
    </xf>
    <xf numFmtId="49" fontId="2" fillId="2" borderId="14" applyNumberFormat="1" applyFont="1" applyFill="1" applyBorder="1" applyAlignment="1" applyProtection="0">
      <alignment horizontal="center" vertical="center" wrapText="1"/>
    </xf>
    <xf numFmtId="49" fontId="6" fillId="2" borderId="15" applyNumberFormat="1" applyFont="1" applyFill="1" applyBorder="1" applyAlignment="1" applyProtection="0">
      <alignment horizontal="center" vertical="center" wrapText="1"/>
    </xf>
    <xf numFmtId="0" fontId="2" fillId="2" borderId="16" applyNumberFormat="0" applyFont="1" applyFill="1" applyBorder="1" applyAlignment="1" applyProtection="0">
      <alignment vertical="bottom"/>
    </xf>
    <xf numFmtId="0" fontId="2" fillId="2" borderId="17" applyNumberFormat="0" applyFont="1" applyFill="1" applyBorder="1" applyAlignment="1" applyProtection="0">
      <alignment vertical="bottom"/>
    </xf>
    <xf numFmtId="0" fontId="2" fillId="2" borderId="18" applyNumberFormat="0" applyFont="1" applyFill="1" applyBorder="1" applyAlignment="1" applyProtection="0">
      <alignment vertical="bottom"/>
    </xf>
    <xf numFmtId="0" fontId="2" fillId="2" borderId="15" applyNumberFormat="0" applyFont="1" applyFill="1" applyBorder="1" applyAlignment="1" applyProtection="0">
      <alignment vertical="bottom"/>
    </xf>
    <xf numFmtId="49" fontId="2" fillId="2" borderId="19" applyNumberFormat="1" applyFont="1" applyFill="1" applyBorder="1" applyAlignment="1" applyProtection="0">
      <alignment horizontal="center" vertical="center" wrapText="1"/>
    </xf>
    <xf numFmtId="49" fontId="2" fillId="2" borderId="20" applyNumberFormat="1" applyFont="1" applyFill="1" applyBorder="1" applyAlignment="1" applyProtection="0">
      <alignment horizontal="center" vertical="center" wrapText="1"/>
    </xf>
    <xf numFmtId="49" fontId="2" fillId="2" borderId="21" applyNumberFormat="1" applyFont="1" applyFill="1" applyBorder="1" applyAlignment="1" applyProtection="0">
      <alignment horizontal="center" vertical="center" wrapText="1"/>
    </xf>
    <xf numFmtId="0" fontId="2" fillId="2" borderId="21" applyNumberFormat="0" applyFont="1" applyFill="1" applyBorder="1" applyAlignment="1" applyProtection="0">
      <alignment horizontal="center" vertical="center" wrapText="1"/>
    </xf>
    <xf numFmtId="0" fontId="2" fillId="2" borderId="14" applyNumberFormat="0" applyFont="1" applyFill="1" applyBorder="1" applyAlignment="1" applyProtection="0">
      <alignment horizontal="center" vertical="center" wrapText="1"/>
    </xf>
    <xf numFmtId="0" fontId="2" fillId="2" borderId="22" applyNumberFormat="0" applyFont="1" applyFill="1" applyBorder="1" applyAlignment="1" applyProtection="0">
      <alignment vertical="bottom"/>
    </xf>
    <xf numFmtId="0" fontId="2" fillId="2" borderId="23" applyNumberFormat="1" applyFont="1" applyFill="1" applyBorder="1" applyAlignment="1" applyProtection="0">
      <alignment horizontal="center" vertical="center" wrapText="1"/>
    </xf>
    <xf numFmtId="0" fontId="2" fillId="2" borderId="24" applyNumberFormat="0" applyFont="1" applyFill="1" applyBorder="1" applyAlignment="1" applyProtection="0">
      <alignment vertical="bottom"/>
    </xf>
    <xf numFmtId="0" fontId="2" fillId="2" borderId="25" applyNumberFormat="0" applyFont="1" applyFill="1" applyBorder="1" applyAlignment="1" applyProtection="0">
      <alignment vertical="bottom"/>
    </xf>
    <xf numFmtId="0" fontId="2" fillId="2" borderId="26" applyNumberFormat="0" applyFont="1" applyFill="1" applyBorder="1" applyAlignment="1" applyProtection="0">
      <alignment vertical="bottom"/>
    </xf>
    <xf numFmtId="49" fontId="4" fillId="2" borderId="27" applyNumberFormat="1" applyFont="1" applyFill="1" applyBorder="1" applyAlignment="1" applyProtection="0">
      <alignment horizontal="center" vertical="center" wrapText="1"/>
    </xf>
    <xf numFmtId="0" fontId="2" fillId="2" borderId="27" applyNumberFormat="0" applyFont="1" applyFill="1" applyBorder="1" applyAlignment="1" applyProtection="0">
      <alignment vertical="bottom"/>
    </xf>
    <xf numFmtId="0" fontId="2" fillId="2" borderId="28" applyNumberFormat="0" applyFont="1" applyFill="1" applyBorder="1" applyAlignment="1" applyProtection="0">
      <alignment vertical="bottom"/>
    </xf>
    <xf numFmtId="0" fontId="2" fillId="2" borderId="29" applyNumberFormat="0" applyFont="1" applyFill="1" applyBorder="1" applyAlignment="1" applyProtection="0">
      <alignment vertical="bottom"/>
    </xf>
    <xf numFmtId="0" fontId="2" fillId="2" borderId="30" applyNumberFormat="0" applyFont="1" applyFill="1" applyBorder="1" applyAlignment="1" applyProtection="0">
      <alignment vertical="bottom"/>
    </xf>
    <xf numFmtId="0" fontId="2" fillId="2" borderId="31" applyNumberFormat="0" applyFont="1" applyFill="1" applyBorder="1" applyAlignment="1" applyProtection="0">
      <alignment vertical="bottom"/>
    </xf>
    <xf numFmtId="0" fontId="2" fillId="2" borderId="32" applyNumberFormat="0" applyFont="1" applyFill="1" applyBorder="1" applyAlignment="1" applyProtection="0">
      <alignment vertical="bottom"/>
    </xf>
    <xf numFmtId="0" fontId="2" fillId="2" borderId="33" applyNumberFormat="0" applyFont="1" applyFill="1" applyBorder="1" applyAlignment="1" applyProtection="0">
      <alignment vertical="bottom"/>
    </xf>
    <xf numFmtId="0" fontId="2" fillId="2" borderId="34" applyNumberFormat="0" applyFont="1" applyFill="1" applyBorder="1" applyAlignment="1" applyProtection="0">
      <alignment vertical="bottom"/>
    </xf>
    <xf numFmtId="0" fontId="2" fillId="2" borderId="35" applyNumberFormat="0" applyFont="1" applyFill="1" applyBorder="1" applyAlignment="1" applyProtection="0">
      <alignment vertical="bottom"/>
    </xf>
    <xf numFmtId="49" fontId="2" fillId="2" borderId="15" applyNumberFormat="1" applyFont="1" applyFill="1" applyBorder="1" applyAlignment="1" applyProtection="0">
      <alignment horizontal="center" vertical="center" wrapText="1"/>
    </xf>
    <xf numFmtId="49" fontId="2" fillId="2" borderId="16" applyNumberFormat="1" applyFont="1" applyFill="1" applyBorder="1" applyAlignment="1" applyProtection="0">
      <alignment horizontal="center" vertical="center" wrapText="1"/>
    </xf>
    <xf numFmtId="49" fontId="2" fillId="2" borderId="17" applyNumberFormat="1" applyFont="1" applyFill="1" applyBorder="1" applyAlignment="1" applyProtection="0">
      <alignment horizontal="center" vertical="center" wrapText="1"/>
    </xf>
    <xf numFmtId="49" fontId="2" fillId="2" borderId="18" applyNumberFormat="1" applyFont="1" applyFill="1" applyBorder="1" applyAlignment="1" applyProtection="0">
      <alignment horizontal="center" vertical="center" wrapText="1"/>
    </xf>
    <xf numFmtId="49" fontId="2" fillId="2" borderId="36" applyNumberFormat="1" applyFont="1" applyFill="1" applyBorder="1" applyAlignment="1" applyProtection="0">
      <alignment horizontal="center" vertical="center" wrapText="1"/>
    </xf>
    <xf numFmtId="49" fontId="2" fillId="2" borderId="37" applyNumberFormat="1" applyFont="1" applyFill="1" applyBorder="1" applyAlignment="1" applyProtection="0">
      <alignment horizontal="center" vertical="center" wrapText="1"/>
    </xf>
    <xf numFmtId="49" fontId="2" fillId="2" borderId="38" applyNumberFormat="1" applyFont="1" applyFill="1" applyBorder="1" applyAlignment="1" applyProtection="0">
      <alignment horizontal="center" vertical="center" wrapText="1"/>
    </xf>
    <xf numFmtId="49" fontId="2" fillId="2" borderId="39" applyNumberFormat="1" applyFont="1" applyFill="1" applyBorder="1" applyAlignment="1" applyProtection="0">
      <alignment horizontal="center" vertical="center" wrapText="1"/>
    </xf>
    <xf numFmtId="49" fontId="2" fillId="2" borderId="40" applyNumberFormat="1" applyFont="1" applyFill="1" applyBorder="1" applyAlignment="1" applyProtection="0">
      <alignment horizontal="center" vertical="center" wrapText="1"/>
    </xf>
    <xf numFmtId="0" fontId="2" fillId="2" borderId="36" applyNumberFormat="0" applyFont="1" applyFill="1" applyBorder="1" applyAlignment="1" applyProtection="0">
      <alignment vertical="bottom"/>
    </xf>
    <xf numFmtId="49" fontId="2" fillId="2" borderId="41" applyNumberFormat="1" applyFont="1" applyFill="1" applyBorder="1" applyAlignment="1" applyProtection="0">
      <alignment horizontal="center" vertical="center" wrapText="1"/>
    </xf>
    <xf numFmtId="0" fontId="2" fillId="2" borderId="37" applyNumberFormat="0" applyFont="1" applyFill="1" applyBorder="1" applyAlignment="1" applyProtection="0">
      <alignment vertical="bottom"/>
    </xf>
    <xf numFmtId="0" fontId="2" fillId="2" borderId="41" applyNumberFormat="0" applyFont="1" applyFill="1" applyBorder="1" applyAlignment="1" applyProtection="0">
      <alignment vertical="bottom"/>
    </xf>
    <xf numFmtId="0" fontId="2" fillId="2" borderId="38" applyNumberFormat="0" applyFont="1" applyFill="1" applyBorder="1" applyAlignment="1" applyProtection="0">
      <alignment vertical="bottom"/>
    </xf>
    <xf numFmtId="2" fontId="2" fillId="2" borderId="19" applyNumberFormat="1" applyFont="1" applyFill="1" applyBorder="1" applyAlignment="1" applyProtection="0">
      <alignment horizontal="center" vertical="center" wrapText="1"/>
    </xf>
    <xf numFmtId="9" fontId="2" fillId="2" borderId="42" applyNumberFormat="1" applyFont="1" applyFill="1" applyBorder="1" applyAlignment="1" applyProtection="0">
      <alignment horizontal="center" vertical="center" wrapText="1"/>
    </xf>
    <xf numFmtId="0" fontId="2" fillId="2" borderId="34" applyNumberFormat="1" applyFont="1" applyFill="1" applyBorder="1" applyAlignment="1" applyProtection="0">
      <alignment horizontal="center" vertical="center" wrapText="1"/>
    </xf>
    <xf numFmtId="59" fontId="2" fillId="2" borderId="43" applyNumberFormat="1" applyFont="1" applyFill="1" applyBorder="1" applyAlignment="1" applyProtection="0">
      <alignment horizontal="center" vertical="center" wrapText="1"/>
    </xf>
    <xf numFmtId="0" fontId="2" fillId="2" borderId="43" applyNumberFormat="0" applyFont="1" applyFill="1" applyBorder="1" applyAlignment="1" applyProtection="0">
      <alignment horizontal="center" vertical="center" wrapText="1"/>
    </xf>
    <xf numFmtId="0" fontId="2" fillId="2" borderId="35" applyNumberFormat="0" applyFont="1" applyFill="1" applyBorder="1" applyAlignment="1" applyProtection="0">
      <alignment horizontal="center" vertical="center" wrapText="1"/>
    </xf>
    <xf numFmtId="0" fontId="2" fillId="3" borderId="44" applyNumberFormat="1" applyFont="1" applyFill="1" applyBorder="1" applyAlignment="1" applyProtection="0">
      <alignment horizontal="right" vertical="center"/>
    </xf>
    <xf numFmtId="49" fontId="7" fillId="3" borderId="45" applyNumberFormat="1" applyFont="1" applyFill="1" applyBorder="1" applyAlignment="1" applyProtection="0">
      <alignment horizontal="right" vertical="center"/>
    </xf>
    <xf numFmtId="49" fontId="2" fillId="3" borderId="46" applyNumberFormat="1" applyFont="1" applyFill="1" applyBorder="1" applyAlignment="1" applyProtection="0">
      <alignment horizontal="center" vertical="center"/>
    </xf>
    <xf numFmtId="0" fontId="2" fillId="3" borderId="47" applyNumberFormat="1" applyFont="1" applyFill="1" applyBorder="1" applyAlignment="1" applyProtection="0">
      <alignment horizontal="right" vertical="center"/>
    </xf>
    <xf numFmtId="49" fontId="2" fillId="3" borderId="48" applyNumberFormat="1" applyFont="1" applyFill="1" applyBorder="1" applyAlignment="1" applyProtection="0">
      <alignment horizontal="right" vertical="center"/>
    </xf>
    <xf numFmtId="49" fontId="8" fillId="3" borderId="46" applyNumberFormat="1" applyFont="1" applyFill="1" applyBorder="1" applyAlignment="1" applyProtection="0">
      <alignment horizontal="center" vertical="center" wrapText="1"/>
    </xf>
    <xf numFmtId="60" fontId="4" fillId="3" borderId="46" applyNumberFormat="1" applyFont="1" applyFill="1" applyBorder="1" applyAlignment="1" applyProtection="0">
      <alignment horizontal="center" vertical="center" wrapText="1"/>
    </xf>
    <xf numFmtId="49" fontId="4" fillId="3" borderId="49" applyNumberFormat="1" applyFont="1" applyFill="1" applyBorder="1" applyAlignment="1" applyProtection="0">
      <alignment horizontal="center" vertical="center" wrapText="1"/>
    </xf>
    <xf numFmtId="49" fontId="2" fillId="3" borderId="21" applyNumberFormat="1" applyFont="1" applyFill="1" applyBorder="1" applyAlignment="1" applyProtection="0">
      <alignment horizontal="right" vertical="bottom"/>
    </xf>
    <xf numFmtId="0" fontId="2" fillId="3" borderId="50" applyNumberFormat="1" applyFont="1" applyFill="1" applyBorder="1" applyAlignment="1" applyProtection="0">
      <alignment horizontal="left" vertical="bottom"/>
    </xf>
    <xf numFmtId="49" fontId="2" borderId="49" applyNumberFormat="1" applyFont="1" applyFill="0" applyBorder="1" applyAlignment="1" applyProtection="0">
      <alignment vertical="bottom"/>
    </xf>
    <xf numFmtId="0" fontId="2" fillId="3" borderId="21" applyNumberFormat="1" applyFont="1" applyFill="1" applyBorder="1" applyAlignment="1" applyProtection="0">
      <alignment vertical="bottom"/>
    </xf>
    <xf numFmtId="59" fontId="2" fillId="3" borderId="51" applyNumberFormat="1" applyFont="1" applyFill="1" applyBorder="1" applyAlignment="1" applyProtection="0">
      <alignment vertical="bottom"/>
    </xf>
    <xf numFmtId="2" fontId="2" fillId="3" borderId="44" applyNumberFormat="1" applyFont="1" applyFill="1" applyBorder="1" applyAlignment="1" applyProtection="0">
      <alignment vertical="center"/>
    </xf>
    <xf numFmtId="61" fontId="2" fillId="3" borderId="45" applyNumberFormat="1" applyFont="1" applyFill="1" applyBorder="1" applyAlignment="1" applyProtection="0">
      <alignment vertical="bottom"/>
    </xf>
    <xf numFmtId="61" fontId="2" fillId="3" borderId="46" applyNumberFormat="1" applyFont="1" applyFill="1" applyBorder="1" applyAlignment="1" applyProtection="0">
      <alignment vertical="bottom"/>
    </xf>
    <xf numFmtId="0" fontId="2" borderId="52" applyNumberFormat="0" applyFont="1" applyFill="0" applyBorder="1" applyAlignment="1" applyProtection="0">
      <alignment vertical="bottom"/>
    </xf>
    <xf numFmtId="0" fontId="2" fillId="3" borderId="53" applyNumberFormat="1" applyFont="1" applyFill="1" applyBorder="1" applyAlignment="1" applyProtection="0">
      <alignment vertical="bottom"/>
    </xf>
    <xf numFmtId="61" fontId="2" fillId="3" borderId="46" applyNumberFormat="1" applyFont="1" applyFill="1" applyBorder="1" applyAlignment="1" applyProtection="0">
      <alignment horizontal="center" vertical="center"/>
    </xf>
    <xf numFmtId="10" fontId="2" fillId="3" borderId="2" applyNumberFormat="1" applyFont="1" applyFill="1" applyBorder="1" applyAlignment="1" applyProtection="0">
      <alignment horizontal="center" vertical="center"/>
    </xf>
    <xf numFmtId="61" fontId="2" fillId="3" borderId="2" applyNumberFormat="1" applyFont="1" applyFill="1" applyBorder="1" applyAlignment="1" applyProtection="0">
      <alignment horizontal="center" vertical="center"/>
    </xf>
    <xf numFmtId="49" fontId="2" fillId="3" borderId="54" applyNumberFormat="1" applyFont="1" applyFill="1" applyBorder="1" applyAlignment="1" applyProtection="0">
      <alignment horizontal="center" vertical="center"/>
    </xf>
    <xf numFmtId="61" fontId="2" fillId="3" borderId="55" applyNumberFormat="1" applyFont="1" applyFill="1" applyBorder="1" applyAlignment="1" applyProtection="0">
      <alignment horizontal="center" vertical="center"/>
    </xf>
    <xf numFmtId="3" fontId="2" fillId="3" borderId="2" applyNumberFormat="1" applyFont="1" applyFill="1" applyBorder="1" applyAlignment="1" applyProtection="0">
      <alignment horizontal="center" vertical="center"/>
    </xf>
    <xf numFmtId="10" fontId="2" fillId="3" borderId="49" applyNumberFormat="1" applyFont="1" applyFill="1" applyBorder="1" applyAlignment="1" applyProtection="0">
      <alignment vertical="bottom"/>
    </xf>
    <xf numFmtId="10" fontId="2" fillId="3" borderId="56" applyNumberFormat="1" applyFont="1" applyFill="1" applyBorder="1" applyAlignment="1" applyProtection="0">
      <alignment vertical="bottom"/>
    </xf>
    <xf numFmtId="59" fontId="2" fillId="3" borderId="1" applyNumberFormat="1" applyFont="1" applyFill="1" applyBorder="1" applyAlignment="1" applyProtection="0">
      <alignment horizontal="center" vertical="center"/>
    </xf>
    <xf numFmtId="59" fontId="2" fillId="3" borderId="3" applyNumberFormat="1" applyFont="1" applyFill="1" applyBorder="1" applyAlignment="1" applyProtection="0">
      <alignment horizontal="center" vertical="center"/>
    </xf>
    <xf numFmtId="59" fontId="2" fillId="3" borderId="57" applyNumberFormat="1" applyFont="1" applyFill="1" applyBorder="1" applyAlignment="1" applyProtection="0">
      <alignment horizontal="center" vertical="center"/>
    </xf>
    <xf numFmtId="59" fontId="2" fillId="3" borderId="20" applyNumberFormat="1" applyFont="1" applyFill="1" applyBorder="1" applyAlignment="1" applyProtection="0">
      <alignment horizontal="center" vertical="center"/>
    </xf>
    <xf numFmtId="59" fontId="2" fillId="3" borderId="8" applyNumberFormat="1" applyFont="1" applyFill="1" applyBorder="1" applyAlignment="1" applyProtection="0">
      <alignment horizontal="center" vertical="center"/>
    </xf>
    <xf numFmtId="59" fontId="2" fillId="3" borderId="9" applyNumberFormat="1" applyFont="1" applyFill="1" applyBorder="1" applyAlignment="1" applyProtection="0">
      <alignment horizontal="center" vertical="center"/>
    </xf>
    <xf numFmtId="59" fontId="2" fillId="3" borderId="58" applyNumberFormat="1" applyFont="1" applyFill="1" applyBorder="1" applyAlignment="1" applyProtection="0">
      <alignment horizontal="center" vertical="center"/>
    </xf>
    <xf numFmtId="61" fontId="2" fillId="3" borderId="8" applyNumberFormat="1" applyFont="1" applyFill="1" applyBorder="1" applyAlignment="1" applyProtection="0">
      <alignment horizontal="center" vertical="center"/>
    </xf>
    <xf numFmtId="61" fontId="2" fillId="3" borderId="58" applyNumberFormat="1" applyFont="1" applyFill="1" applyBorder="1" applyAlignment="1" applyProtection="0">
      <alignment horizontal="center" vertical="center"/>
    </xf>
    <xf numFmtId="0" fontId="2" fillId="3" borderId="1" applyNumberFormat="1" applyFont="1" applyFill="1" applyBorder="1" applyAlignment="1" applyProtection="0">
      <alignment horizontal="center" vertical="center"/>
    </xf>
    <xf numFmtId="0" fontId="2" fillId="3" borderId="20" applyNumberFormat="1" applyFont="1" applyFill="1" applyBorder="1" applyAlignment="1" applyProtection="0">
      <alignment horizontal="center" vertical="center"/>
    </xf>
    <xf numFmtId="0" fontId="2" fillId="3" borderId="9" applyNumberFormat="1" applyFont="1" applyFill="1" applyBorder="1" applyAlignment="1" applyProtection="0">
      <alignment horizontal="center" vertical="center"/>
    </xf>
    <xf numFmtId="0" fontId="2" fillId="3" borderId="3" applyNumberFormat="1" applyFont="1" applyFill="1" applyBorder="1" applyAlignment="1" applyProtection="0">
      <alignment horizontal="center" vertical="center"/>
    </xf>
    <xf numFmtId="0" fontId="2" fillId="3" borderId="57" applyNumberFormat="1" applyFont="1" applyFill="1" applyBorder="1" applyAlignment="1" applyProtection="0">
      <alignment horizontal="center" vertical="center"/>
    </xf>
    <xf numFmtId="0" fontId="2" fillId="3" borderId="2" applyNumberFormat="1" applyFont="1" applyFill="1" applyBorder="1" applyAlignment="1" applyProtection="0">
      <alignment horizontal="center" vertical="center"/>
    </xf>
    <xf numFmtId="0" fontId="2" fillId="4" borderId="59" applyNumberFormat="0" applyFont="1" applyFill="1" applyBorder="1" applyAlignment="1" applyProtection="0">
      <alignment vertical="bottom"/>
    </xf>
    <xf numFmtId="49" fontId="2" fillId="4" borderId="60" applyNumberFormat="1" applyFont="1" applyFill="1" applyBorder="1" applyAlignment="1" applyProtection="0">
      <alignment vertical="bottom"/>
    </xf>
    <xf numFmtId="49" fontId="2" fillId="3" borderId="61" applyNumberFormat="1" applyFont="1" applyFill="1" applyBorder="1" applyAlignment="1" applyProtection="0">
      <alignment horizontal="center" vertical="center"/>
    </xf>
    <xf numFmtId="0" fontId="2" borderId="62" applyNumberFormat="0" applyFont="1" applyFill="0" applyBorder="1" applyAlignment="1" applyProtection="0">
      <alignment vertical="bottom"/>
    </xf>
    <xf numFmtId="0" fontId="2" borderId="63" applyNumberFormat="0" applyFont="1" applyFill="0" applyBorder="1" applyAlignment="1" applyProtection="0">
      <alignment vertical="bottom"/>
    </xf>
    <xf numFmtId="49" fontId="2" borderId="61" applyNumberFormat="1" applyFont="1" applyFill="0" applyBorder="1" applyAlignment="1" applyProtection="0">
      <alignment vertical="bottom"/>
    </xf>
    <xf numFmtId="0" fontId="2" borderId="61" applyNumberFormat="0" applyFont="1" applyFill="0" applyBorder="1" applyAlignment="1" applyProtection="0">
      <alignment vertical="bottom"/>
    </xf>
    <xf numFmtId="0" fontId="2" borderId="64" applyNumberFormat="0" applyFont="1" applyFill="0" applyBorder="1" applyAlignment="1" applyProtection="0">
      <alignment vertical="bottom"/>
    </xf>
    <xf numFmtId="49" fontId="2" fillId="3" borderId="65" applyNumberFormat="1" applyFont="1" applyFill="1" applyBorder="1" applyAlignment="1" applyProtection="0">
      <alignment horizontal="right" vertical="bottom"/>
    </xf>
    <xf numFmtId="0" fontId="2" fillId="3" borderId="66" applyNumberFormat="1" applyFont="1" applyFill="1" applyBorder="1" applyAlignment="1" applyProtection="0">
      <alignment horizontal="left" vertical="bottom"/>
    </xf>
    <xf numFmtId="49" fontId="2" borderId="64" applyNumberFormat="1" applyFont="1" applyFill="0" applyBorder="1" applyAlignment="1" applyProtection="0">
      <alignment vertical="bottom"/>
    </xf>
    <xf numFmtId="0" fontId="2" fillId="3" borderId="65" applyNumberFormat="1" applyFont="1" applyFill="1" applyBorder="1" applyAlignment="1" applyProtection="0">
      <alignment vertical="bottom"/>
    </xf>
    <xf numFmtId="59" fontId="2" fillId="3" borderId="67" applyNumberFormat="1" applyFont="1" applyFill="1" applyBorder="1" applyAlignment="1" applyProtection="0">
      <alignment vertical="bottom"/>
    </xf>
    <xf numFmtId="0" fontId="2" borderId="59" applyNumberFormat="0" applyFont="1" applyFill="0" applyBorder="1" applyAlignment="1" applyProtection="0">
      <alignment vertical="bottom"/>
    </xf>
    <xf numFmtId="61" fontId="2" fillId="3" borderId="60" applyNumberFormat="1" applyFont="1" applyFill="1" applyBorder="1" applyAlignment="1" applyProtection="0">
      <alignment vertical="bottom"/>
    </xf>
    <xf numFmtId="61" fontId="2" fillId="3" borderId="61" applyNumberFormat="1" applyFont="1" applyFill="1" applyBorder="1" applyAlignment="1" applyProtection="0">
      <alignment vertical="bottom"/>
    </xf>
    <xf numFmtId="0" fontId="2" borderId="68" applyNumberFormat="1" applyFont="1" applyFill="0" applyBorder="1" applyAlignment="1" applyProtection="0">
      <alignment vertical="bottom"/>
    </xf>
    <xf numFmtId="0" fontId="2" fillId="3" borderId="69" applyNumberFormat="1" applyFont="1" applyFill="1" applyBorder="1" applyAlignment="1" applyProtection="0">
      <alignment vertical="bottom"/>
    </xf>
    <xf numFmtId="61" fontId="2" borderId="61" applyNumberFormat="1" applyFont="1" applyFill="0" applyBorder="1" applyAlignment="1" applyProtection="0">
      <alignment vertical="bottom"/>
    </xf>
    <xf numFmtId="0" fontId="2" borderId="70" applyNumberFormat="0" applyFont="1" applyFill="0" applyBorder="1" applyAlignment="1" applyProtection="0">
      <alignment vertical="bottom"/>
    </xf>
    <xf numFmtId="10" fontId="2" borderId="71" applyNumberFormat="1" applyFont="1" applyFill="0" applyBorder="1" applyAlignment="1" applyProtection="0">
      <alignment vertical="bottom"/>
    </xf>
    <xf numFmtId="0" fontId="2" borderId="72" applyNumberFormat="0" applyFont="1" applyFill="0" applyBorder="1" applyAlignment="1" applyProtection="0">
      <alignment vertical="bottom"/>
    </xf>
    <xf numFmtId="0" fontId="2" borderId="73" applyNumberFormat="0" applyFont="1" applyFill="0" applyBorder="1" applyAlignment="1" applyProtection="0">
      <alignment vertical="bottom"/>
    </xf>
    <xf numFmtId="10" fontId="2" fillId="3" borderId="64" applyNumberFormat="1" applyFont="1" applyFill="1" applyBorder="1" applyAlignment="1" applyProtection="0">
      <alignment vertical="bottom"/>
    </xf>
    <xf numFmtId="10" fontId="2" fillId="3" borderId="74" applyNumberFormat="1" applyFont="1" applyFill="1" applyBorder="1" applyAlignment="1" applyProtection="0">
      <alignment vertical="bottom"/>
    </xf>
    <xf numFmtId="59" fontId="2" fillId="3" borderId="75" applyNumberFormat="1" applyFont="1" applyFill="1" applyBorder="1" applyAlignment="1" applyProtection="0">
      <alignment horizontal="center" vertical="center"/>
    </xf>
    <xf numFmtId="59" fontId="2" fillId="3" borderId="76" applyNumberFormat="1" applyFont="1" applyFill="1" applyBorder="1" applyAlignment="1" applyProtection="0">
      <alignment horizontal="center" vertical="center"/>
    </xf>
    <xf numFmtId="59" fontId="2" fillId="3" borderId="77" applyNumberFormat="1" applyFont="1" applyFill="1" applyBorder="1" applyAlignment="1" applyProtection="0">
      <alignment horizontal="center" vertical="center"/>
    </xf>
    <xf numFmtId="59" fontId="2" fillId="3" borderId="78" applyNumberFormat="1" applyFont="1" applyFill="1" applyBorder="1" applyAlignment="1" applyProtection="0">
      <alignment horizontal="center" vertical="center"/>
    </xf>
    <xf numFmtId="59" fontId="2" fillId="3" borderId="79" applyNumberFormat="1" applyFont="1" applyFill="1" applyBorder="1" applyAlignment="1" applyProtection="0">
      <alignment horizontal="center" vertical="center"/>
    </xf>
    <xf numFmtId="59" fontId="2" fillId="3" borderId="80" applyNumberFormat="1" applyFont="1" applyFill="1" applyBorder="1" applyAlignment="1" applyProtection="0">
      <alignment horizontal="center" vertical="center"/>
    </xf>
    <xf numFmtId="61" fontId="2" fillId="3" borderId="81" applyNumberFormat="1" applyFont="1" applyFill="1" applyBorder="1" applyAlignment="1" applyProtection="0">
      <alignment horizontal="center" vertical="center"/>
    </xf>
    <xf numFmtId="0" fontId="2" borderId="81" applyNumberFormat="0" applyFont="1" applyFill="0" applyBorder="1" applyAlignment="1" applyProtection="0">
      <alignment vertical="bottom"/>
    </xf>
    <xf numFmtId="0" fontId="2" borderId="79" applyNumberFormat="0" applyFont="1" applyFill="0" applyBorder="1" applyAlignment="1" applyProtection="0">
      <alignment vertical="bottom"/>
    </xf>
    <xf numFmtId="0" fontId="2" borderId="80" applyNumberFormat="0" applyFont="1" applyFill="0" applyBorder="1" applyAlignment="1" applyProtection="0">
      <alignment vertical="bottom"/>
    </xf>
    <xf numFmtId="0" fontId="2" borderId="77" applyNumberFormat="0" applyFont="1" applyFill="0" applyBorder="1" applyAlignment="1" applyProtection="0">
      <alignment vertical="bottom"/>
    </xf>
    <xf numFmtId="0" fontId="2" fillId="3" borderId="75" applyNumberFormat="1" applyFont="1" applyFill="1" applyBorder="1" applyAlignment="1" applyProtection="0">
      <alignment horizontal="center" vertical="center"/>
    </xf>
    <xf numFmtId="0" fontId="2" fillId="3" borderId="78" applyNumberFormat="1" applyFont="1" applyFill="1" applyBorder="1" applyAlignment="1" applyProtection="0">
      <alignment horizontal="center" vertical="center"/>
    </xf>
    <xf numFmtId="0" fontId="2" fillId="3" borderId="80" applyNumberFormat="1" applyFont="1" applyFill="1" applyBorder="1" applyAlignment="1" applyProtection="0">
      <alignment horizontal="center" vertical="center"/>
    </xf>
    <xf numFmtId="0" fontId="2" fillId="3" borderId="76" applyNumberFormat="1" applyFont="1" applyFill="1" applyBorder="1" applyAlignment="1" applyProtection="0">
      <alignment horizontal="center" vertical="center"/>
    </xf>
    <xf numFmtId="0" fontId="2" fillId="3" borderId="77" applyNumberFormat="1" applyFont="1" applyFill="1" applyBorder="1" applyAlignment="1" applyProtection="0">
      <alignment horizontal="center" vertical="center"/>
    </xf>
    <xf numFmtId="0" fontId="2" fillId="3" borderId="73" applyNumberFormat="1" applyFont="1" applyFill="1" applyBorder="1" applyAlignment="1" applyProtection="0">
      <alignment horizontal="center" vertical="center"/>
    </xf>
    <xf numFmtId="0" fontId="2" fillId="4" borderId="82" applyNumberFormat="0" applyFont="1" applyFill="1" applyBorder="1" applyAlignment="1" applyProtection="0">
      <alignment vertical="bottom"/>
    </xf>
    <xf numFmtId="49" fontId="2" fillId="4" borderId="83" applyNumberFormat="1" applyFont="1" applyFill="1" applyBorder="1" applyAlignment="1" applyProtection="0">
      <alignment vertical="bottom"/>
    </xf>
    <xf numFmtId="49" fontId="2" fillId="3" borderId="84" applyNumberFormat="1" applyFont="1" applyFill="1" applyBorder="1" applyAlignment="1" applyProtection="0">
      <alignment horizontal="center" vertical="bottom"/>
    </xf>
    <xf numFmtId="0" fontId="2" borderId="85" applyNumberFormat="0" applyFont="1" applyFill="0" applyBorder="1" applyAlignment="1" applyProtection="0">
      <alignment vertical="bottom"/>
    </xf>
    <xf numFmtId="0" fontId="2" borderId="86" applyNumberFormat="0" applyFont="1" applyFill="0" applyBorder="1" applyAlignment="1" applyProtection="0">
      <alignment vertical="bottom"/>
    </xf>
    <xf numFmtId="49" fontId="2" borderId="84" applyNumberFormat="1" applyFont="1" applyFill="0" applyBorder="1" applyAlignment="1" applyProtection="0">
      <alignment vertical="bottom"/>
    </xf>
    <xf numFmtId="0" fontId="2" borderId="84" applyNumberFormat="0" applyFont="1" applyFill="0" applyBorder="1" applyAlignment="1" applyProtection="0">
      <alignment vertical="bottom"/>
    </xf>
    <xf numFmtId="0" fontId="2" borderId="87" applyNumberFormat="0" applyFont="1" applyFill="0" applyBorder="1" applyAlignment="1" applyProtection="0">
      <alignment vertical="bottom"/>
    </xf>
    <xf numFmtId="0" fontId="2" fillId="3" borderId="88" applyNumberFormat="0" applyFont="1" applyFill="1" applyBorder="1" applyAlignment="1" applyProtection="0">
      <alignment horizontal="right" vertical="bottom"/>
    </xf>
    <xf numFmtId="0" fontId="2" fillId="3" borderId="89" applyNumberFormat="0" applyFont="1" applyFill="1" applyBorder="1" applyAlignment="1" applyProtection="0">
      <alignment horizontal="left" vertical="bottom"/>
    </xf>
    <xf numFmtId="0" fontId="2" fillId="3" borderId="88" applyNumberFormat="0" applyFont="1" applyFill="1" applyBorder="1" applyAlignment="1" applyProtection="0">
      <alignment vertical="bottom"/>
    </xf>
    <xf numFmtId="59" fontId="2" fillId="3" borderId="90" applyNumberFormat="1" applyFont="1" applyFill="1" applyBorder="1" applyAlignment="1" applyProtection="0">
      <alignment vertical="bottom"/>
    </xf>
    <xf numFmtId="0" fontId="2" borderId="82" applyNumberFormat="0" applyFont="1" applyFill="0" applyBorder="1" applyAlignment="1" applyProtection="0">
      <alignment vertical="bottom"/>
    </xf>
    <xf numFmtId="49" fontId="2" fillId="3" borderId="83" applyNumberFormat="1" applyFont="1" applyFill="1" applyBorder="1" applyAlignment="1" applyProtection="0">
      <alignment vertical="bottom"/>
    </xf>
    <xf numFmtId="49" fontId="2" fillId="3" borderId="84" applyNumberFormat="1" applyFont="1" applyFill="1" applyBorder="1" applyAlignment="1" applyProtection="0">
      <alignment vertical="bottom"/>
    </xf>
    <xf numFmtId="49" fontId="2" borderId="91" applyNumberFormat="1" applyFont="1" applyFill="0" applyBorder="1" applyAlignment="1" applyProtection="0">
      <alignment vertical="bottom"/>
    </xf>
    <xf numFmtId="49" fontId="2" fillId="3" borderId="92" applyNumberFormat="1" applyFont="1" applyFill="1" applyBorder="1" applyAlignment="1" applyProtection="0">
      <alignment vertical="bottom"/>
    </xf>
    <xf numFmtId="61" fontId="2" borderId="84" applyNumberFormat="1" applyFont="1" applyFill="0" applyBorder="1" applyAlignment="1" applyProtection="0">
      <alignment vertical="bottom"/>
    </xf>
    <xf numFmtId="10" fontId="2" borderId="93" applyNumberFormat="1" applyFont="1" applyFill="0" applyBorder="1" applyAlignment="1" applyProtection="0">
      <alignment horizontal="center" vertical="center"/>
    </xf>
    <xf numFmtId="0" fontId="2" fillId="3" borderId="87" applyNumberFormat="0" applyFont="1" applyFill="1" applyBorder="1" applyAlignment="1" applyProtection="0">
      <alignment vertical="bottom"/>
    </xf>
    <xf numFmtId="49" fontId="2" fillId="3" borderId="94" applyNumberFormat="1" applyFont="1" applyFill="1" applyBorder="1" applyAlignment="1" applyProtection="0">
      <alignment vertical="bottom"/>
    </xf>
    <xf numFmtId="59" fontId="2" fillId="3" borderId="81" applyNumberFormat="1" applyFont="1" applyFill="1" applyBorder="1" applyAlignment="1" applyProtection="0">
      <alignment horizontal="center" vertical="center"/>
    </xf>
    <xf numFmtId="0" fontId="2" fillId="5" borderId="95" applyNumberFormat="1" applyFont="1" applyFill="1" applyBorder="1" applyAlignment="1" applyProtection="0">
      <alignment horizontal="right" vertical="center"/>
    </xf>
    <xf numFmtId="49" fontId="7" fillId="5" borderId="96" applyNumberFormat="1" applyFont="1" applyFill="1" applyBorder="1" applyAlignment="1" applyProtection="0">
      <alignment horizontal="right" vertical="center"/>
    </xf>
    <xf numFmtId="49" fontId="2" fillId="5" borderId="70" applyNumberFormat="1" applyFont="1" applyFill="1" applyBorder="1" applyAlignment="1" applyProtection="0">
      <alignment horizontal="center" vertical="center"/>
    </xf>
    <xf numFmtId="0" fontId="2" fillId="5" borderId="97" applyNumberFormat="1" applyFont="1" applyFill="1" applyBorder="1" applyAlignment="1" applyProtection="0">
      <alignment horizontal="right" vertical="center"/>
    </xf>
    <xf numFmtId="49" fontId="2" fillId="5" borderId="98" applyNumberFormat="1" applyFont="1" applyFill="1" applyBorder="1" applyAlignment="1" applyProtection="0">
      <alignment horizontal="right" vertical="center"/>
    </xf>
    <xf numFmtId="49" fontId="8" fillId="5" borderId="70" applyNumberFormat="1" applyFont="1" applyFill="1" applyBorder="1" applyAlignment="1" applyProtection="0">
      <alignment horizontal="center" vertical="center" wrapText="1"/>
    </xf>
    <xf numFmtId="60" fontId="4" fillId="5" borderId="70" applyNumberFormat="1" applyFont="1" applyFill="1" applyBorder="1" applyAlignment="1" applyProtection="0">
      <alignment horizontal="center" vertical="center" wrapText="1"/>
    </xf>
    <xf numFmtId="49" fontId="4" fillId="5" borderId="99" applyNumberFormat="1" applyFont="1" applyFill="1" applyBorder="1" applyAlignment="1" applyProtection="0">
      <alignment horizontal="center" vertical="center" wrapText="1"/>
    </xf>
    <xf numFmtId="49" fontId="2" fillId="5" borderId="100" applyNumberFormat="1" applyFont="1" applyFill="1" applyBorder="1" applyAlignment="1" applyProtection="0">
      <alignment horizontal="right" vertical="bottom"/>
    </xf>
    <xf numFmtId="0" fontId="2" fillId="5" borderId="101" applyNumberFormat="0" applyFont="1" applyFill="1" applyBorder="1" applyAlignment="1" applyProtection="0">
      <alignment horizontal="left" vertical="bottom"/>
    </xf>
    <xf numFmtId="49" fontId="2" fillId="5" borderId="99" applyNumberFormat="1" applyFont="1" applyFill="1" applyBorder="1" applyAlignment="1" applyProtection="0">
      <alignment vertical="bottom"/>
    </xf>
    <xf numFmtId="0" fontId="2" fillId="5" borderId="100" applyNumberFormat="1" applyFont="1" applyFill="1" applyBorder="1" applyAlignment="1" applyProtection="0">
      <alignment vertical="bottom"/>
    </xf>
    <xf numFmtId="59" fontId="2" fillId="5" borderId="102" applyNumberFormat="1" applyFont="1" applyFill="1" applyBorder="1" applyAlignment="1" applyProtection="0">
      <alignment vertical="bottom"/>
    </xf>
    <xf numFmtId="2" fontId="2" fillId="5" borderId="95" applyNumberFormat="1" applyFont="1" applyFill="1" applyBorder="1" applyAlignment="1" applyProtection="0">
      <alignment vertical="center"/>
    </xf>
    <xf numFmtId="61" fontId="2" fillId="5" borderId="96" applyNumberFormat="1" applyFont="1" applyFill="1" applyBorder="1" applyAlignment="1" applyProtection="0">
      <alignment vertical="bottom"/>
    </xf>
    <xf numFmtId="61" fontId="2" fillId="5" borderId="70" applyNumberFormat="1" applyFont="1" applyFill="1" applyBorder="1" applyAlignment="1" applyProtection="0">
      <alignment vertical="bottom"/>
    </xf>
    <xf numFmtId="0" fontId="2" fillId="5" borderId="103" applyNumberFormat="1" applyFont="1" applyFill="1" applyBorder="1" applyAlignment="1" applyProtection="0">
      <alignment vertical="bottom"/>
    </xf>
    <xf numFmtId="0" fontId="2" fillId="5" borderId="104" applyNumberFormat="1" applyFont="1" applyFill="1" applyBorder="1" applyAlignment="1" applyProtection="0">
      <alignment vertical="bottom"/>
    </xf>
    <xf numFmtId="61" fontId="2" fillId="5" borderId="70" applyNumberFormat="1" applyFont="1" applyFill="1" applyBorder="1" applyAlignment="1" applyProtection="0">
      <alignment horizontal="center" vertical="center"/>
    </xf>
    <xf numFmtId="10" fontId="2" fillId="5" borderId="73" applyNumberFormat="1" applyFont="1" applyFill="1" applyBorder="1" applyAlignment="1" applyProtection="0">
      <alignment horizontal="center" vertical="center"/>
    </xf>
    <xf numFmtId="61" fontId="2" fillId="5" borderId="73" applyNumberFormat="1" applyFont="1" applyFill="1" applyBorder="1" applyAlignment="1" applyProtection="0">
      <alignment horizontal="center" vertical="center"/>
    </xf>
    <xf numFmtId="49" fontId="2" fillId="5" borderId="105" applyNumberFormat="1" applyFont="1" applyFill="1" applyBorder="1" applyAlignment="1" applyProtection="0">
      <alignment horizontal="center" vertical="center"/>
    </xf>
    <xf numFmtId="61" fontId="2" fillId="5" borderId="72" applyNumberFormat="1" applyFont="1" applyFill="1" applyBorder="1" applyAlignment="1" applyProtection="0">
      <alignment horizontal="center" vertical="center"/>
    </xf>
    <xf numFmtId="3" fontId="2" fillId="5" borderId="73" applyNumberFormat="1" applyFont="1" applyFill="1" applyBorder="1" applyAlignment="1" applyProtection="0">
      <alignment horizontal="center" vertical="center"/>
    </xf>
    <xf numFmtId="10" fontId="2" fillId="5" borderId="99" applyNumberFormat="1" applyFont="1" applyFill="1" applyBorder="1" applyAlignment="1" applyProtection="0">
      <alignment vertical="bottom"/>
    </xf>
    <xf numFmtId="10" fontId="2" fillId="5" borderId="106" applyNumberFormat="1" applyFont="1" applyFill="1" applyBorder="1" applyAlignment="1" applyProtection="0">
      <alignment vertical="bottom"/>
    </xf>
    <xf numFmtId="59" fontId="2" fillId="5" borderId="75" applyNumberFormat="1" applyFont="1" applyFill="1" applyBorder="1" applyAlignment="1" applyProtection="0">
      <alignment horizontal="center" vertical="center"/>
    </xf>
    <xf numFmtId="59" fontId="2" fillId="5" borderId="76" applyNumberFormat="1" applyFont="1" applyFill="1" applyBorder="1" applyAlignment="1" applyProtection="0">
      <alignment horizontal="center" vertical="center"/>
    </xf>
    <xf numFmtId="59" fontId="2" fillId="5" borderId="77" applyNumberFormat="1" applyFont="1" applyFill="1" applyBorder="1" applyAlignment="1" applyProtection="0">
      <alignment horizontal="center" vertical="center"/>
    </xf>
    <xf numFmtId="59" fontId="2" fillId="5" borderId="78" applyNumberFormat="1" applyFont="1" applyFill="1" applyBorder="1" applyAlignment="1" applyProtection="0">
      <alignment horizontal="center" vertical="center"/>
    </xf>
    <xf numFmtId="59" fontId="2" fillId="5" borderId="79" applyNumberFormat="1" applyFont="1" applyFill="1" applyBorder="1" applyAlignment="1" applyProtection="0">
      <alignment horizontal="center" vertical="center"/>
    </xf>
    <xf numFmtId="59" fontId="2" fillId="5" borderId="80" applyNumberFormat="1" applyFont="1" applyFill="1" applyBorder="1" applyAlignment="1" applyProtection="0">
      <alignment horizontal="center" vertical="center"/>
    </xf>
    <xf numFmtId="61" fontId="2" fillId="5" borderId="75" applyNumberFormat="1" applyFont="1" applyFill="1" applyBorder="1" applyAlignment="1" applyProtection="0">
      <alignment horizontal="center" vertical="center"/>
    </xf>
    <xf numFmtId="59" fontId="2" fillId="5" borderId="81" applyNumberFormat="1" applyFont="1" applyFill="1" applyBorder="1" applyAlignment="1" applyProtection="0">
      <alignment horizontal="center" vertical="center"/>
    </xf>
    <xf numFmtId="61" fontId="2" fillId="5" borderId="79" applyNumberFormat="1" applyFont="1" applyFill="1" applyBorder="1" applyAlignment="1" applyProtection="0">
      <alignment horizontal="center" vertical="center"/>
    </xf>
    <xf numFmtId="0" fontId="2" fillId="5" borderId="81" applyNumberFormat="1" applyFont="1" applyFill="1" applyBorder="1" applyAlignment="1" applyProtection="0">
      <alignment horizontal="center" vertical="center"/>
    </xf>
    <xf numFmtId="0" fontId="2" fillId="5" borderId="79" applyNumberFormat="1" applyFont="1" applyFill="1" applyBorder="1" applyAlignment="1" applyProtection="0">
      <alignment horizontal="center" vertical="center"/>
    </xf>
    <xf numFmtId="0" fontId="2" fillId="5" borderId="80" applyNumberFormat="1" applyFont="1" applyFill="1" applyBorder="1" applyAlignment="1" applyProtection="0">
      <alignment horizontal="center" vertical="center"/>
    </xf>
    <xf numFmtId="0" fontId="2" fillId="5" borderId="76" applyNumberFormat="1" applyFont="1" applyFill="1" applyBorder="1" applyAlignment="1" applyProtection="0">
      <alignment horizontal="center" vertical="center"/>
    </xf>
    <xf numFmtId="0" fontId="2" fillId="5" borderId="77" applyNumberFormat="1" applyFont="1" applyFill="1" applyBorder="1" applyAlignment="1" applyProtection="0">
      <alignment horizontal="center" vertical="center"/>
    </xf>
    <xf numFmtId="0" fontId="2" fillId="5" borderId="75" applyNumberFormat="1" applyFont="1" applyFill="1" applyBorder="1" applyAlignment="1" applyProtection="0">
      <alignment horizontal="center" vertical="center"/>
    </xf>
    <xf numFmtId="0" fontId="2" fillId="5" borderId="107" applyNumberFormat="1" applyFont="1" applyFill="1" applyBorder="1" applyAlignment="1" applyProtection="0">
      <alignment horizontal="center" vertical="center"/>
    </xf>
    <xf numFmtId="49" fontId="2" fillId="5" borderId="61" applyNumberFormat="1" applyFont="1" applyFill="1" applyBorder="1" applyAlignment="1" applyProtection="0">
      <alignment horizontal="center" vertical="center"/>
    </xf>
    <xf numFmtId="60" fontId="2" borderId="61" applyNumberFormat="1" applyFont="1" applyFill="0" applyBorder="1" applyAlignment="1" applyProtection="0">
      <alignment vertical="bottom"/>
    </xf>
    <xf numFmtId="49" fontId="2" fillId="5" borderId="65" applyNumberFormat="1" applyFont="1" applyFill="1" applyBorder="1" applyAlignment="1" applyProtection="0">
      <alignment horizontal="right" vertical="bottom"/>
    </xf>
    <xf numFmtId="49" fontId="2" fillId="5" borderId="66" applyNumberFormat="1" applyFont="1" applyFill="1" applyBorder="1" applyAlignment="1" applyProtection="0">
      <alignment horizontal="left" vertical="bottom"/>
    </xf>
    <xf numFmtId="49" fontId="2" fillId="5" borderId="64" applyNumberFormat="1" applyFont="1" applyFill="1" applyBorder="1" applyAlignment="1" applyProtection="0">
      <alignment vertical="bottom"/>
    </xf>
    <xf numFmtId="0" fontId="2" fillId="5" borderId="65" applyNumberFormat="1" applyFont="1" applyFill="1" applyBorder="1" applyAlignment="1" applyProtection="0">
      <alignment vertical="bottom"/>
    </xf>
    <xf numFmtId="59" fontId="2" fillId="5" borderId="67" applyNumberFormat="1" applyFont="1" applyFill="1" applyBorder="1" applyAlignment="1" applyProtection="0">
      <alignment vertical="bottom"/>
    </xf>
    <xf numFmtId="61" fontId="2" fillId="5" borderId="60" applyNumberFormat="1" applyFont="1" applyFill="1" applyBorder="1" applyAlignment="1" applyProtection="0">
      <alignment vertical="bottom"/>
    </xf>
    <xf numFmtId="61" fontId="2" fillId="5" borderId="61" applyNumberFormat="1" applyFont="1" applyFill="1" applyBorder="1" applyAlignment="1" applyProtection="0">
      <alignment vertical="bottom"/>
    </xf>
    <xf numFmtId="0" fontId="2" fillId="5" borderId="108" applyNumberFormat="1" applyFont="1" applyFill="1" applyBorder="1" applyAlignment="1" applyProtection="0">
      <alignment vertical="bottom"/>
    </xf>
    <xf numFmtId="0" fontId="2" fillId="5" borderId="109" applyNumberFormat="1" applyFont="1" applyFill="1" applyBorder="1" applyAlignment="1" applyProtection="0">
      <alignment vertical="bottom"/>
    </xf>
    <xf numFmtId="61" fontId="2" borderId="70" applyNumberFormat="1" applyFont="1" applyFill="0" applyBorder="1" applyAlignment="1" applyProtection="0">
      <alignment vertical="bottom"/>
    </xf>
    <xf numFmtId="10" fontId="2" fillId="5" borderId="64" applyNumberFormat="1" applyFont="1" applyFill="1" applyBorder="1" applyAlignment="1" applyProtection="0">
      <alignment vertical="bottom"/>
    </xf>
    <xf numFmtId="10" fontId="2" fillId="5" borderId="74" applyNumberFormat="1" applyFont="1" applyFill="1" applyBorder="1" applyAlignment="1" applyProtection="0">
      <alignment vertical="bottom"/>
    </xf>
    <xf numFmtId="61" fontId="2" fillId="5" borderId="78" applyNumberFormat="1" applyFont="1" applyFill="1" applyBorder="1" applyAlignment="1" applyProtection="0">
      <alignment horizontal="center" vertical="center"/>
    </xf>
    <xf numFmtId="0" fontId="2" fillId="5" borderId="81" applyNumberFormat="0" applyFont="1" applyFill="1" applyBorder="1" applyAlignment="1" applyProtection="0">
      <alignment horizontal="center" vertical="center"/>
    </xf>
    <xf numFmtId="0" fontId="2" fillId="5" borderId="79" applyNumberFormat="0" applyFont="1" applyFill="1" applyBorder="1" applyAlignment="1" applyProtection="0">
      <alignment horizontal="center" vertical="center"/>
    </xf>
    <xf numFmtId="0" fontId="2" fillId="5" borderId="81" applyNumberFormat="1" applyFont="1" applyFill="1" applyBorder="1" applyAlignment="1" applyProtection="0">
      <alignment vertical="bottom"/>
    </xf>
    <xf numFmtId="0" fontId="2" fillId="5" borderId="79" applyNumberFormat="1" applyFont="1" applyFill="1" applyBorder="1" applyAlignment="1" applyProtection="0">
      <alignment vertical="bottom"/>
    </xf>
    <xf numFmtId="0" fontId="2" fillId="5" borderId="76" applyNumberFormat="0" applyFont="1" applyFill="1" applyBorder="1" applyAlignment="1" applyProtection="0">
      <alignment horizontal="center" vertical="center"/>
    </xf>
    <xf numFmtId="49" fontId="2" fillId="5" borderId="84" applyNumberFormat="1" applyFont="1" applyFill="1" applyBorder="1" applyAlignment="1" applyProtection="0">
      <alignment horizontal="center" vertical="bottom"/>
    </xf>
    <xf numFmtId="60" fontId="2" borderId="84" applyNumberFormat="1" applyFont="1" applyFill="0" applyBorder="1" applyAlignment="1" applyProtection="0">
      <alignment vertical="bottom"/>
    </xf>
    <xf numFmtId="0" fontId="2" fillId="5" borderId="88" applyNumberFormat="0" applyFont="1" applyFill="1" applyBorder="1" applyAlignment="1" applyProtection="0">
      <alignment horizontal="right" vertical="bottom"/>
    </xf>
    <xf numFmtId="0" fontId="2" fillId="5" borderId="89" applyNumberFormat="0" applyFont="1" applyFill="1" applyBorder="1" applyAlignment="1" applyProtection="0">
      <alignment horizontal="left" vertical="bottom"/>
    </xf>
    <xf numFmtId="0" fontId="2" fillId="5" borderId="87" applyNumberFormat="0" applyFont="1" applyFill="1" applyBorder="1" applyAlignment="1" applyProtection="0">
      <alignment vertical="bottom"/>
    </xf>
    <xf numFmtId="0" fontId="2" fillId="5" borderId="88" applyNumberFormat="0" applyFont="1" applyFill="1" applyBorder="1" applyAlignment="1" applyProtection="0">
      <alignment vertical="bottom"/>
    </xf>
    <xf numFmtId="59" fontId="2" fillId="5" borderId="90" applyNumberFormat="1" applyFont="1" applyFill="1" applyBorder="1" applyAlignment="1" applyProtection="0">
      <alignment vertical="bottom"/>
    </xf>
    <xf numFmtId="49" fontId="2" fillId="5" borderId="83" applyNumberFormat="1" applyFont="1" applyFill="1" applyBorder="1" applyAlignment="1" applyProtection="0">
      <alignment vertical="bottom"/>
    </xf>
    <xf numFmtId="49" fontId="2" fillId="5" borderId="84" applyNumberFormat="1" applyFont="1" applyFill="1" applyBorder="1" applyAlignment="1" applyProtection="0">
      <alignment vertical="bottom"/>
    </xf>
    <xf numFmtId="49" fontId="2" fillId="5" borderId="110" applyNumberFormat="1" applyFont="1" applyFill="1" applyBorder="1" applyAlignment="1" applyProtection="0">
      <alignment vertical="bottom"/>
    </xf>
    <xf numFmtId="49" fontId="2" fillId="5" borderId="111" applyNumberFormat="1" applyFont="1" applyFill="1" applyBorder="1" applyAlignment="1" applyProtection="0">
      <alignment vertical="bottom"/>
    </xf>
    <xf numFmtId="62" fontId="2" fillId="5" borderId="87" applyNumberFormat="1" applyFont="1" applyFill="1" applyBorder="1" applyAlignment="1" applyProtection="0">
      <alignment vertical="bottom"/>
    </xf>
    <xf numFmtId="49" fontId="2" fillId="5" borderId="94" applyNumberFormat="1" applyFont="1" applyFill="1" applyBorder="1" applyAlignment="1" applyProtection="0">
      <alignment vertical="bottom"/>
    </xf>
    <xf numFmtId="0" fontId="2" fillId="3" borderId="95" applyNumberFormat="1" applyFont="1" applyFill="1" applyBorder="1" applyAlignment="1" applyProtection="0">
      <alignment horizontal="right" vertical="center"/>
    </xf>
    <xf numFmtId="49" fontId="7" fillId="3" borderId="96" applyNumberFormat="1" applyFont="1" applyFill="1" applyBorder="1" applyAlignment="1" applyProtection="0">
      <alignment horizontal="right" vertical="center"/>
    </xf>
    <xf numFmtId="49" fontId="2" fillId="3" borderId="70" applyNumberFormat="1" applyFont="1" applyFill="1" applyBorder="1" applyAlignment="1" applyProtection="0">
      <alignment horizontal="center" vertical="center"/>
    </xf>
    <xf numFmtId="0" fontId="2" fillId="3" borderId="97" applyNumberFormat="1" applyFont="1" applyFill="1" applyBorder="1" applyAlignment="1" applyProtection="0">
      <alignment horizontal="right" vertical="center"/>
    </xf>
    <xf numFmtId="49" fontId="2" fillId="3" borderId="98" applyNumberFormat="1" applyFont="1" applyFill="1" applyBorder="1" applyAlignment="1" applyProtection="0">
      <alignment horizontal="right" vertical="center"/>
    </xf>
    <xf numFmtId="49" fontId="8" fillId="3" borderId="70" applyNumberFormat="1" applyFont="1" applyFill="1" applyBorder="1" applyAlignment="1" applyProtection="0">
      <alignment horizontal="center" vertical="center" wrapText="1"/>
    </xf>
    <xf numFmtId="60" fontId="4" fillId="3" borderId="73" applyNumberFormat="1" applyFont="1" applyFill="1" applyBorder="1" applyAlignment="1" applyProtection="0">
      <alignment horizontal="center" vertical="center" wrapText="1"/>
    </xf>
    <xf numFmtId="49" fontId="4" borderId="99" applyNumberFormat="1" applyFont="1" applyFill="0" applyBorder="1" applyAlignment="1" applyProtection="0">
      <alignment horizontal="center" vertical="center" wrapText="1"/>
    </xf>
    <xf numFmtId="49" fontId="2" borderId="100" applyNumberFormat="1" applyFont="1" applyFill="0" applyBorder="1" applyAlignment="1" applyProtection="0">
      <alignment horizontal="right" vertical="bottom"/>
    </xf>
    <xf numFmtId="0" fontId="2" borderId="101" applyNumberFormat="1" applyFont="1" applyFill="0" applyBorder="1" applyAlignment="1" applyProtection="0">
      <alignment horizontal="left" vertical="bottom"/>
    </xf>
    <xf numFmtId="49" fontId="2" borderId="99" applyNumberFormat="1" applyFont="1" applyFill="0" applyBorder="1" applyAlignment="1" applyProtection="0">
      <alignment vertical="bottom"/>
    </xf>
    <xf numFmtId="0" fontId="2" borderId="100" applyNumberFormat="1" applyFont="1" applyFill="0" applyBorder="1" applyAlignment="1" applyProtection="0">
      <alignment vertical="bottom"/>
    </xf>
    <xf numFmtId="59" fontId="2" borderId="102" applyNumberFormat="1" applyFont="1" applyFill="0" applyBorder="1" applyAlignment="1" applyProtection="0">
      <alignment vertical="bottom"/>
    </xf>
    <xf numFmtId="2" fontId="2" fillId="3" borderId="95" applyNumberFormat="1" applyFont="1" applyFill="1" applyBorder="1" applyAlignment="1" applyProtection="0">
      <alignment vertical="center"/>
    </xf>
    <xf numFmtId="61" fontId="2" fillId="3" borderId="96" applyNumberFormat="1" applyFont="1" applyFill="1" applyBorder="1" applyAlignment="1" applyProtection="0">
      <alignment vertical="bottom"/>
    </xf>
    <xf numFmtId="61" fontId="2" fillId="3" borderId="70" applyNumberFormat="1" applyFont="1" applyFill="1" applyBorder="1" applyAlignment="1" applyProtection="0">
      <alignment vertical="bottom"/>
    </xf>
    <xf numFmtId="0" fontId="2" borderId="70" applyNumberFormat="1" applyFont="1" applyFill="0" applyBorder="1" applyAlignment="1" applyProtection="0">
      <alignment vertical="bottom"/>
    </xf>
    <xf numFmtId="0" fontId="2" fillId="3" borderId="70" applyNumberFormat="1" applyFont="1" applyFill="1" applyBorder="1" applyAlignment="1" applyProtection="0">
      <alignment vertical="bottom"/>
    </xf>
    <xf numFmtId="61" fontId="2" fillId="3" borderId="70" applyNumberFormat="1" applyFont="1" applyFill="1" applyBorder="1" applyAlignment="1" applyProtection="0">
      <alignment horizontal="center" vertical="center"/>
    </xf>
    <xf numFmtId="10" fontId="2" fillId="3" borderId="73" applyNumberFormat="1" applyFont="1" applyFill="1" applyBorder="1" applyAlignment="1" applyProtection="0">
      <alignment horizontal="center" vertical="center"/>
    </xf>
    <xf numFmtId="61" fontId="2" fillId="3" borderId="73" applyNumberFormat="1" applyFont="1" applyFill="1" applyBorder="1" applyAlignment="1" applyProtection="0">
      <alignment horizontal="center" vertical="center"/>
    </xf>
    <xf numFmtId="49" fontId="2" fillId="3" borderId="105" applyNumberFormat="1" applyFont="1" applyFill="1" applyBorder="1" applyAlignment="1" applyProtection="0">
      <alignment horizontal="center" vertical="center"/>
    </xf>
    <xf numFmtId="61" fontId="2" fillId="3" borderId="72" applyNumberFormat="1" applyFont="1" applyFill="1" applyBorder="1" applyAlignment="1" applyProtection="0">
      <alignment horizontal="center" vertical="center"/>
    </xf>
    <xf numFmtId="3" fontId="2" fillId="3" borderId="73" applyNumberFormat="1" applyFont="1" applyFill="1" applyBorder="1" applyAlignment="1" applyProtection="0">
      <alignment horizontal="center" vertical="center"/>
    </xf>
    <xf numFmtId="10" fontId="2" fillId="3" borderId="99" applyNumberFormat="1" applyFont="1" applyFill="1" applyBorder="1" applyAlignment="1" applyProtection="0">
      <alignment vertical="bottom"/>
    </xf>
    <xf numFmtId="10" fontId="2" fillId="3" borderId="106" applyNumberFormat="1" applyFont="1" applyFill="1" applyBorder="1" applyAlignment="1" applyProtection="0">
      <alignment vertical="bottom"/>
    </xf>
    <xf numFmtId="61" fontId="2" fillId="3" borderId="79" applyNumberFormat="1" applyFont="1" applyFill="1" applyBorder="1" applyAlignment="1" applyProtection="0">
      <alignment horizontal="center" vertical="center"/>
    </xf>
    <xf numFmtId="0" fontId="2" fillId="3" borderId="81" applyNumberFormat="1" applyFont="1" applyFill="1" applyBorder="1" applyAlignment="1" applyProtection="0">
      <alignment horizontal="center" vertical="center"/>
    </xf>
    <xf numFmtId="0" fontId="2" fillId="3" borderId="79" applyNumberFormat="1" applyFont="1" applyFill="1" applyBorder="1" applyAlignment="1" applyProtection="0">
      <alignment horizontal="center" vertical="center"/>
    </xf>
    <xf numFmtId="49" fontId="2" borderId="65" applyNumberFormat="1" applyFont="1" applyFill="0" applyBorder="1" applyAlignment="1" applyProtection="0">
      <alignment horizontal="right" vertical="bottom"/>
    </xf>
    <xf numFmtId="0" fontId="2" borderId="66" applyNumberFormat="1" applyFont="1" applyFill="0" applyBorder="1" applyAlignment="1" applyProtection="0">
      <alignment horizontal="left" vertical="bottom"/>
    </xf>
    <xf numFmtId="0" fontId="2" borderId="65" applyNumberFormat="1" applyFont="1" applyFill="0" applyBorder="1" applyAlignment="1" applyProtection="0">
      <alignment vertical="bottom"/>
    </xf>
    <xf numFmtId="59" fontId="2" borderId="67" applyNumberFormat="1" applyFont="1" applyFill="0" applyBorder="1" applyAlignment="1" applyProtection="0">
      <alignment vertical="bottom"/>
    </xf>
    <xf numFmtId="0" fontId="2" borderId="61" applyNumberFormat="1" applyFont="1" applyFill="0" applyBorder="1" applyAlignment="1" applyProtection="0">
      <alignment vertical="bottom"/>
    </xf>
    <xf numFmtId="0" fontId="2" fillId="3" borderId="61" applyNumberFormat="1" applyFont="1" applyFill="1" applyBorder="1" applyAlignment="1" applyProtection="0">
      <alignment vertical="bottom"/>
    </xf>
    <xf numFmtId="61" fontId="2" fillId="3" borderId="76" applyNumberFormat="1" applyFont="1" applyFill="1" applyBorder="1" applyAlignment="1" applyProtection="0">
      <alignment horizontal="center" vertical="center"/>
    </xf>
    <xf numFmtId="0" fontId="2" fillId="3" borderId="81" applyNumberFormat="0" applyFont="1" applyFill="1" applyBorder="1" applyAlignment="1" applyProtection="0">
      <alignment horizontal="center" vertical="center"/>
    </xf>
    <xf numFmtId="0" fontId="2" fillId="3" borderId="79" applyNumberFormat="0" applyFont="1" applyFill="1" applyBorder="1" applyAlignment="1" applyProtection="0">
      <alignment horizontal="center" vertical="center"/>
    </xf>
    <xf numFmtId="0" fontId="2" borderId="81" applyNumberFormat="1" applyFont="1" applyFill="0" applyBorder="1" applyAlignment="1" applyProtection="0">
      <alignment vertical="bottom"/>
    </xf>
    <xf numFmtId="0" fontId="2" borderId="79" applyNumberFormat="1" applyFont="1" applyFill="0" applyBorder="1" applyAlignment="1" applyProtection="0">
      <alignment vertical="bottom"/>
    </xf>
    <xf numFmtId="0" fontId="2" fillId="3" borderId="76" applyNumberFormat="0" applyFont="1" applyFill="1" applyBorder="1" applyAlignment="1" applyProtection="0">
      <alignment horizontal="center" vertical="center"/>
    </xf>
    <xf numFmtId="0" fontId="2" borderId="88" applyNumberFormat="0" applyFont="1" applyFill="0" applyBorder="1" applyAlignment="1" applyProtection="0">
      <alignment horizontal="right" vertical="bottom"/>
    </xf>
    <xf numFmtId="0" fontId="2" borderId="89" applyNumberFormat="0" applyFont="1" applyFill="0" applyBorder="1" applyAlignment="1" applyProtection="0">
      <alignment horizontal="left" vertical="bottom"/>
    </xf>
    <xf numFmtId="0" fontId="2" borderId="88" applyNumberFormat="0" applyFont="1" applyFill="0" applyBorder="1" applyAlignment="1" applyProtection="0">
      <alignment vertical="bottom"/>
    </xf>
    <xf numFmtId="59" fontId="2" borderId="90" applyNumberFormat="1" applyFont="1" applyFill="0" applyBorder="1" applyAlignment="1" applyProtection="0">
      <alignment vertical="bottom"/>
    </xf>
    <xf numFmtId="0" fontId="2" fillId="5" borderId="101" applyNumberFormat="1" applyFont="1" applyFill="1" applyBorder="1" applyAlignment="1" applyProtection="0">
      <alignment horizontal="left" vertical="bottom"/>
    </xf>
    <xf numFmtId="0" fontId="2" borderId="100" applyNumberFormat="1" applyFont="1" applyFill="0" applyBorder="1" applyAlignment="1" applyProtection="0">
      <alignment horizontal="right" vertical="bottom"/>
    </xf>
    <xf numFmtId="0" fontId="2" borderId="101" applyNumberFormat="0" applyFont="1" applyFill="0" applyBorder="1" applyAlignment="1" applyProtection="0">
      <alignment horizontal="left" vertical="bottom"/>
    </xf>
    <xf numFmtId="0" fontId="2" borderId="65" applyNumberFormat="1" applyFont="1" applyFill="0" applyBorder="1" applyAlignment="1" applyProtection="0">
      <alignment horizontal="right" vertical="bottom"/>
    </xf>
    <xf numFmtId="49" fontId="2" borderId="66" applyNumberFormat="1" applyFont="1" applyFill="0" applyBorder="1" applyAlignment="1" applyProtection="0">
      <alignment horizontal="left" vertical="bottom"/>
    </xf>
    <xf numFmtId="0" fontId="2" fillId="5" borderId="66" applyNumberFormat="1" applyFont="1" applyFill="1" applyBorder="1" applyAlignment="1" applyProtection="0">
      <alignment horizontal="left" vertical="bottom"/>
    </xf>
    <xf numFmtId="61" fontId="2" fillId="3" borderId="84" applyNumberFormat="1" applyFont="1" applyFill="1" applyBorder="1" applyAlignment="1" applyProtection="0">
      <alignment vertical="bottom"/>
    </xf>
    <xf numFmtId="0" fontId="2" fillId="5" borderId="100" applyNumberFormat="1" applyFont="1" applyFill="1" applyBorder="1" applyAlignment="1" applyProtection="0">
      <alignment horizontal="right" vertical="bottom"/>
    </xf>
    <xf numFmtId="0" fontId="2" fillId="5" borderId="65" applyNumberFormat="1" applyFont="1" applyFill="1" applyBorder="1" applyAlignment="1" applyProtection="0">
      <alignment horizontal="right" vertical="bottom"/>
    </xf>
    <xf numFmtId="49" fontId="2" borderId="112" applyNumberFormat="1" applyFont="1" applyFill="0" applyBorder="1" applyAlignment="1" applyProtection="0">
      <alignment vertical="bottom"/>
    </xf>
    <xf numFmtId="10" fontId="2" fillId="5" borderId="87" applyNumberFormat="1" applyFont="1" applyFill="1" applyBorder="1" applyAlignment="1" applyProtection="0">
      <alignment vertical="bottom"/>
    </xf>
    <xf numFmtId="49" fontId="8" fillId="3" borderId="113" applyNumberFormat="1" applyFont="1" applyFill="1" applyBorder="1" applyAlignment="1" applyProtection="0">
      <alignment horizontal="center" vertical="center" wrapText="1"/>
    </xf>
    <xf numFmtId="49" fontId="2" fillId="3" borderId="97" applyNumberFormat="1" applyFont="1" applyFill="1" applyBorder="1" applyAlignment="1" applyProtection="0">
      <alignment horizontal="right" vertical="center"/>
    </xf>
    <xf numFmtId="49" fontId="2" fillId="3" borderId="76" applyNumberFormat="1" applyFont="1" applyFill="1" applyBorder="1" applyAlignment="1" applyProtection="0">
      <alignment horizontal="center" vertical="center"/>
    </xf>
    <xf numFmtId="49" fontId="2" fillId="5" borderId="97" applyNumberFormat="1" applyFont="1" applyFill="1" applyBorder="1" applyAlignment="1" applyProtection="0">
      <alignment horizontal="right" vertical="center"/>
    </xf>
    <xf numFmtId="49" fontId="2" fillId="5" borderId="76" applyNumberFormat="1" applyFont="1" applyFill="1" applyBorder="1" applyAlignment="1" applyProtection="0">
      <alignment horizontal="center" vertical="center"/>
    </xf>
    <xf numFmtId="0" fontId="2" borderId="114" applyNumberFormat="0" applyFont="1" applyFill="0" applyBorder="1" applyAlignment="1" applyProtection="0">
      <alignment vertical="bottom"/>
    </xf>
    <xf numFmtId="49" fontId="4" borderId="115" applyNumberFormat="1" applyFont="1" applyFill="0" applyBorder="1" applyAlignment="1" applyProtection="0">
      <alignment horizontal="center" vertical="center" wrapText="1"/>
    </xf>
    <xf numFmtId="61" fontId="2" fillId="5" borderId="84" applyNumberFormat="1" applyFont="1" applyFill="1" applyBorder="1" applyAlignment="1" applyProtection="0">
      <alignment vertical="bottom"/>
    </xf>
    <xf numFmtId="0" fontId="2" borderId="112" applyNumberFormat="0" applyFont="1" applyFill="0" applyBorder="1" applyAlignment="1" applyProtection="0">
      <alignment vertical="bottom"/>
    </xf>
    <xf numFmtId="60" fontId="2" borderId="112" applyNumberFormat="1" applyFont="1" applyFill="0" applyBorder="1" applyAlignment="1" applyProtection="0">
      <alignment vertical="bottom"/>
    </xf>
    <xf numFmtId="60" fontId="4" fillId="3" borderId="116" applyNumberFormat="1" applyFont="1" applyFill="1" applyBorder="1" applyAlignment="1" applyProtection="0">
      <alignment horizontal="center" vertical="center" wrapText="1"/>
    </xf>
    <xf numFmtId="49" fontId="2" fillId="5" borderId="112" applyNumberFormat="1" applyFont="1" applyFill="1" applyBorder="1" applyAlignment="1" applyProtection="0">
      <alignment horizontal="center" vertical="bottom"/>
    </xf>
    <xf numFmtId="0" fontId="2" borderId="117" applyNumberFormat="0" applyFont="1" applyFill="0" applyBorder="1" applyAlignment="1" applyProtection="0">
      <alignment vertical="bottom"/>
    </xf>
    <xf numFmtId="0" fontId="2" borderId="118" applyNumberFormat="0" applyFont="1" applyFill="0" applyBorder="1" applyAlignment="1" applyProtection="0">
      <alignment vertical="bottom"/>
    </xf>
    <xf numFmtId="0" fontId="2" fillId="5" borderId="119" applyNumberFormat="0" applyFont="1" applyFill="1" applyBorder="1" applyAlignment="1" applyProtection="0">
      <alignment horizontal="right" vertical="bottom"/>
    </xf>
    <xf numFmtId="0" fontId="2" fillId="5" borderId="120" applyNumberFormat="0" applyFont="1" applyFill="1" applyBorder="1" applyAlignment="1" applyProtection="0">
      <alignment horizontal="left" vertical="bottom"/>
    </xf>
    <xf numFmtId="0" fontId="2" fillId="5" borderId="114" applyNumberFormat="0" applyFont="1" applyFill="1" applyBorder="1" applyAlignment="1" applyProtection="0">
      <alignment vertical="bottom"/>
    </xf>
    <xf numFmtId="0" fontId="2" fillId="5" borderId="119" applyNumberFormat="0" applyFont="1" applyFill="1" applyBorder="1" applyAlignment="1" applyProtection="0">
      <alignment vertical="bottom"/>
    </xf>
    <xf numFmtId="59" fontId="2" fillId="5" borderId="121" applyNumberFormat="1" applyFont="1" applyFill="1" applyBorder="1" applyAlignment="1" applyProtection="0">
      <alignment vertical="bottom"/>
    </xf>
    <xf numFmtId="49" fontId="2" fillId="3" borderId="113" applyNumberFormat="1" applyFont="1" applyFill="1" applyBorder="1" applyAlignment="1" applyProtection="0">
      <alignment horizontal="center" vertical="center"/>
    </xf>
    <xf numFmtId="49" fontId="2" fillId="3" borderId="122" applyNumberFormat="1" applyFont="1" applyFill="1" applyBorder="1" applyAlignment="1" applyProtection="0">
      <alignment horizontal="right" vertical="center"/>
    </xf>
    <xf numFmtId="49" fontId="2" fillId="3" borderId="123" applyNumberFormat="1" applyFont="1" applyFill="1" applyBorder="1" applyAlignment="1" applyProtection="0">
      <alignment horizontal="right" vertical="center"/>
    </xf>
    <xf numFmtId="0" fontId="2" borderId="124" applyNumberFormat="1" applyFont="1" applyFill="0" applyBorder="1" applyAlignment="1" applyProtection="0">
      <alignment horizontal="right" vertical="bottom"/>
    </xf>
    <xf numFmtId="0" fontId="2" borderId="125" applyNumberFormat="0" applyFont="1" applyFill="0" applyBorder="1" applyAlignment="1" applyProtection="0">
      <alignment horizontal="left" vertical="bottom"/>
    </xf>
    <xf numFmtId="49" fontId="2" borderId="115" applyNumberFormat="1" applyFont="1" applyFill="0" applyBorder="1" applyAlignment="1" applyProtection="0">
      <alignment vertical="bottom"/>
    </xf>
    <xf numFmtId="0" fontId="2" borderId="124" applyNumberFormat="1" applyFont="1" applyFill="0" applyBorder="1" applyAlignment="1" applyProtection="0">
      <alignment vertical="bottom"/>
    </xf>
    <xf numFmtId="59" fontId="2" borderId="126" applyNumberFormat="1" applyFont="1" applyFill="0" applyBorder="1" applyAlignment="1" applyProtection="0">
      <alignment vertical="bottom"/>
    </xf>
    <xf numFmtId="49" fontId="2" borderId="124" applyNumberFormat="1" applyFont="1" applyFill="0" applyBorder="1" applyAlignment="1" applyProtection="0">
      <alignment horizontal="right" vertical="bottom"/>
    </xf>
    <xf numFmtId="0" fontId="2" borderId="125" applyNumberFormat="1" applyFont="1" applyFill="0" applyBorder="1" applyAlignment="1" applyProtection="0">
      <alignment horizontal="left" vertical="bottom"/>
    </xf>
    <xf numFmtId="0" fontId="2" fillId="5" borderId="100" applyNumberFormat="0" applyFont="1" applyFill="1" applyBorder="1" applyAlignment="1" applyProtection="0">
      <alignment horizontal="right" vertical="bottom"/>
    </xf>
    <xf numFmtId="0" fontId="2" fillId="5" borderId="65" applyNumberFormat="0" applyFont="1" applyFill="1" applyBorder="1" applyAlignment="1" applyProtection="0">
      <alignment horizontal="right" vertical="bottom"/>
    </xf>
    <xf numFmtId="49" fontId="2" fillId="5" borderId="114" applyNumberFormat="1" applyFont="1" applyFill="1" applyBorder="1" applyAlignment="1" applyProtection="0">
      <alignment vertical="bottom"/>
    </xf>
    <xf numFmtId="0" fontId="2" fillId="5" borderId="119" applyNumberFormat="1" applyFont="1" applyFill="1" applyBorder="1" applyAlignment="1" applyProtection="0">
      <alignment vertical="bottom"/>
    </xf>
    <xf numFmtId="61" fontId="2" fillId="5" borderId="83" applyNumberFormat="1" applyFont="1" applyFill="1" applyBorder="1" applyAlignment="1" applyProtection="0">
      <alignment vertical="bottom"/>
    </xf>
    <xf numFmtId="0" fontId="2" fillId="5" borderId="110" applyNumberFormat="1" applyFont="1" applyFill="1" applyBorder="1" applyAlignment="1" applyProtection="0">
      <alignment vertical="bottom"/>
    </xf>
    <xf numFmtId="0" fontId="2" fillId="5" borderId="111" applyNumberFormat="1" applyFont="1" applyFill="1" applyBorder="1" applyAlignment="1" applyProtection="0">
      <alignment vertical="bottom"/>
    </xf>
    <xf numFmtId="10" fontId="2" fillId="5" borderId="94" applyNumberFormat="1" applyFont="1" applyFill="1" applyBorder="1" applyAlignment="1" applyProtection="0">
      <alignment vertical="bottom"/>
    </xf>
    <xf numFmtId="0" fontId="2" borderId="124" applyNumberFormat="0" applyFont="1" applyFill="0" applyBorder="1" applyAlignment="1" applyProtection="0">
      <alignment horizontal="right" vertical="bottom"/>
    </xf>
    <xf numFmtId="0" fontId="2" borderId="65" applyNumberFormat="0" applyFont="1" applyFill="0" applyBorder="1" applyAlignment="1" applyProtection="0">
      <alignment horizontal="right" vertical="bottom"/>
    </xf>
    <xf numFmtId="49" fontId="2" borderId="87" applyNumberFormat="1" applyFont="1" applyFill="0" applyBorder="1" applyAlignment="1" applyProtection="0">
      <alignment vertical="bottom"/>
    </xf>
    <xf numFmtId="0" fontId="2" borderId="88" applyNumberFormat="1" applyFont="1" applyFill="0" applyBorder="1" applyAlignment="1" applyProtection="0">
      <alignment vertical="bottom"/>
    </xf>
    <xf numFmtId="61" fontId="2" fillId="3" borderId="83" applyNumberFormat="1" applyFont="1" applyFill="1" applyBorder="1" applyAlignment="1" applyProtection="0">
      <alignment vertical="bottom"/>
    </xf>
    <xf numFmtId="0" fontId="2" borderId="84" applyNumberFormat="1" applyFont="1" applyFill="0" applyBorder="1" applyAlignment="1" applyProtection="0">
      <alignment vertical="bottom"/>
    </xf>
    <xf numFmtId="0" fontId="2" fillId="3" borderId="84" applyNumberFormat="1" applyFont="1" applyFill="1" applyBorder="1" applyAlignment="1" applyProtection="0">
      <alignment vertical="bottom"/>
    </xf>
    <xf numFmtId="10" fontId="2" fillId="3" borderId="94" applyNumberFormat="1" applyFont="1" applyFill="1" applyBorder="1" applyAlignment="1" applyProtection="0">
      <alignment vertical="bottom"/>
    </xf>
    <xf numFmtId="49" fontId="2" borderId="88" applyNumberFormat="1" applyFont="1" applyFill="0" applyBorder="1" applyAlignment="1" applyProtection="0">
      <alignment horizontal="right" vertical="bottom"/>
    </xf>
    <xf numFmtId="0" fontId="2" borderId="89" applyNumberFormat="1" applyFont="1" applyFill="0" applyBorder="1" applyAlignment="1" applyProtection="0">
      <alignment horizontal="left" vertical="bottom"/>
    </xf>
    <xf numFmtId="49" fontId="2" fillId="5" borderId="88" applyNumberFormat="1" applyFont="1" applyFill="1" applyBorder="1" applyAlignment="1" applyProtection="0">
      <alignment horizontal="right" vertical="bottom"/>
    </xf>
    <xf numFmtId="0" fontId="2" fillId="5" borderId="89" applyNumberFormat="1" applyFont="1" applyFill="1" applyBorder="1" applyAlignment="1" applyProtection="0">
      <alignment horizontal="left" vertical="bottom"/>
    </xf>
    <xf numFmtId="49" fontId="2" fillId="5" borderId="87" applyNumberFormat="1" applyFont="1" applyFill="1" applyBorder="1" applyAlignment="1" applyProtection="0">
      <alignment vertical="bottom"/>
    </xf>
    <xf numFmtId="0" fontId="2" fillId="5" borderId="88" applyNumberFormat="1" applyFont="1" applyFill="1" applyBorder="1" applyAlignment="1" applyProtection="0">
      <alignment vertical="bottom"/>
    </xf>
    <xf numFmtId="0" fontId="2" borderId="88" applyNumberFormat="1" applyFont="1" applyFill="0" applyBorder="1" applyAlignment="1" applyProtection="0">
      <alignment horizontal="right" vertical="bottom"/>
    </xf>
    <xf numFmtId="0" fontId="2" fillId="5" borderId="88" applyNumberFormat="1" applyFont="1" applyFill="1" applyBorder="1" applyAlignment="1" applyProtection="0">
      <alignment horizontal="right" vertical="bottom"/>
    </xf>
    <xf numFmtId="0" fontId="2" borderId="100" applyNumberFormat="0" applyFont="1" applyFill="0" applyBorder="1" applyAlignment="1" applyProtection="0">
      <alignment horizontal="right" vertical="bottom"/>
    </xf>
    <xf numFmtId="0" fontId="2" applyNumberFormat="1" applyFont="1" applyFill="0" applyBorder="0" applyAlignment="1" applyProtection="0">
      <alignment vertical="bottom"/>
    </xf>
    <xf numFmtId="0" fontId="2" fillId="2" borderId="127" applyNumberFormat="0" applyFont="1" applyFill="1" applyBorder="1" applyAlignment="1" applyProtection="0">
      <alignment vertical="bottom"/>
    </xf>
    <xf numFmtId="49" fontId="2" fillId="2" borderId="127" applyNumberFormat="1" applyFont="1" applyFill="1" applyBorder="1" applyAlignment="1" applyProtection="0">
      <alignment vertical="bottom"/>
    </xf>
    <xf numFmtId="49" fontId="9" fillId="2" borderId="127" applyNumberFormat="1" applyFont="1" applyFill="1" applyBorder="1" applyAlignment="1" applyProtection="0">
      <alignment vertical="bottom"/>
    </xf>
    <xf numFmtId="9" fontId="2" fillId="2" borderId="127" applyNumberFormat="1" applyFont="1" applyFill="1" applyBorder="1" applyAlignment="1" applyProtection="0">
      <alignment vertical="bottom"/>
    </xf>
    <xf numFmtId="49" fontId="2" fillId="4" borderId="128" applyNumberFormat="1" applyFont="1" applyFill="1" applyBorder="1" applyAlignment="1" applyProtection="0">
      <alignment vertical="bottom"/>
    </xf>
    <xf numFmtId="0" fontId="2" fillId="4" borderId="128" applyNumberFormat="1" applyFont="1" applyFill="1" applyBorder="1" applyAlignment="1" applyProtection="0">
      <alignment horizontal="center" vertical="bottom"/>
    </xf>
    <xf numFmtId="63" fontId="2" borderId="129" applyNumberFormat="1" applyFont="1" applyFill="0" applyBorder="1" applyAlignment="1" applyProtection="0">
      <alignment vertical="bottom"/>
    </xf>
    <xf numFmtId="61" fontId="2" borderId="130" applyNumberFormat="1" applyFont="1" applyFill="0" applyBorder="1" applyAlignment="1" applyProtection="0">
      <alignment vertical="bottom"/>
    </xf>
    <xf numFmtId="61" fontId="9" borderId="130" applyNumberFormat="1" applyFont="1" applyFill="0" applyBorder="1" applyAlignment="1" applyProtection="0">
      <alignment vertical="bottom"/>
    </xf>
    <xf numFmtId="64" fontId="2" borderId="130" applyNumberFormat="1" applyFont="1" applyFill="0" applyBorder="1" applyAlignment="1" applyProtection="0">
      <alignment vertical="bottom"/>
    </xf>
    <xf numFmtId="3" fontId="2" borderId="130" applyNumberFormat="1" applyFont="1" applyFill="0" applyBorder="1" applyAlignment="1" applyProtection="0">
      <alignment vertical="bottom"/>
    </xf>
    <xf numFmtId="49" fontId="2" fillId="4" borderId="61" applyNumberFormat="1" applyFont="1" applyFill="1" applyBorder="1" applyAlignment="1" applyProtection="0">
      <alignment vertical="bottom"/>
    </xf>
    <xf numFmtId="0" fontId="2" fillId="4" borderId="61" applyNumberFormat="1" applyFont="1" applyFill="1" applyBorder="1" applyAlignment="1" applyProtection="0">
      <alignment horizontal="center" vertical="bottom"/>
    </xf>
    <xf numFmtId="63" fontId="2" borderId="64" applyNumberFormat="1" applyFont="1" applyFill="0" applyBorder="1" applyAlignment="1" applyProtection="0">
      <alignment vertical="bottom"/>
    </xf>
    <xf numFmtId="61" fontId="2" borderId="65" applyNumberFormat="1" applyFont="1" applyFill="0" applyBorder="1" applyAlignment="1" applyProtection="0">
      <alignment vertical="bottom"/>
    </xf>
    <xf numFmtId="61" fontId="9" borderId="65" applyNumberFormat="1" applyFont="1" applyFill="0" applyBorder="1" applyAlignment="1" applyProtection="0">
      <alignment vertical="bottom"/>
    </xf>
    <xf numFmtId="64" fontId="2" borderId="65" applyNumberFormat="1" applyFont="1" applyFill="0" applyBorder="1" applyAlignment="1" applyProtection="0">
      <alignment vertical="bottom"/>
    </xf>
    <xf numFmtId="3" fontId="2" borderId="65" applyNumberFormat="1" applyFont="1" applyFill="0" applyBorder="1" applyAlignment="1" applyProtection="0">
      <alignment vertical="bottom"/>
    </xf>
    <xf numFmtId="65" fontId="2" borderId="64" applyNumberFormat="1" applyFont="1" applyFill="0" applyBorder="1" applyAlignment="1" applyProtection="0">
      <alignment vertical="bottom"/>
    </xf>
    <xf numFmtId="49" fontId="2" fillId="4" borderId="131" applyNumberFormat="1" applyFont="1" applyFill="1" applyBorder="1" applyAlignment="1" applyProtection="0">
      <alignment vertical="bottom"/>
    </xf>
    <xf numFmtId="0" fontId="2" fillId="4" borderId="131" applyNumberFormat="1" applyFont="1" applyFill="1" applyBorder="1" applyAlignment="1" applyProtection="0">
      <alignment horizontal="center" vertical="bottom"/>
    </xf>
    <xf numFmtId="63" fontId="2" borderId="132" applyNumberFormat="1" applyFont="1" applyFill="0" applyBorder="1" applyAlignment="1" applyProtection="0">
      <alignment vertical="bottom"/>
    </xf>
    <xf numFmtId="61" fontId="2" borderId="127" applyNumberFormat="1" applyFont="1" applyFill="0" applyBorder="1" applyAlignment="1" applyProtection="0">
      <alignment vertical="bottom"/>
    </xf>
    <xf numFmtId="61" fontId="9" borderId="127" applyNumberFormat="1" applyFont="1" applyFill="0" applyBorder="1" applyAlignment="1" applyProtection="0">
      <alignment vertical="bottom"/>
    </xf>
    <xf numFmtId="64" fontId="2" borderId="127" applyNumberFormat="1" applyFont="1" applyFill="0" applyBorder="1" applyAlignment="1" applyProtection="0">
      <alignment vertical="bottom"/>
    </xf>
    <xf numFmtId="3" fontId="2" borderId="127" applyNumberFormat="1" applyFont="1" applyFill="0" applyBorder="1" applyAlignment="1" applyProtection="0">
      <alignment vertical="bottom"/>
    </xf>
    <xf numFmtId="49" fontId="2" fillId="4" borderId="133" applyNumberFormat="1" applyFont="1" applyFill="1" applyBorder="1" applyAlignment="1" applyProtection="0">
      <alignment vertical="bottom"/>
    </xf>
    <xf numFmtId="0" fontId="2" fillId="4" borderId="133" applyNumberFormat="1" applyFont="1" applyFill="1" applyBorder="1" applyAlignment="1" applyProtection="0">
      <alignment horizontal="center" vertical="bottom"/>
    </xf>
    <xf numFmtId="63" fontId="2" borderId="134" applyNumberFormat="1" applyFont="1" applyFill="0" applyBorder="1" applyAlignment="1" applyProtection="0">
      <alignment vertical="bottom"/>
    </xf>
    <xf numFmtId="61" fontId="2" borderId="135" applyNumberFormat="1" applyFont="1" applyFill="0" applyBorder="1" applyAlignment="1" applyProtection="0">
      <alignment vertical="bottom"/>
    </xf>
    <xf numFmtId="61" fontId="9" borderId="135" applyNumberFormat="1" applyFont="1" applyFill="0" applyBorder="1" applyAlignment="1" applyProtection="0">
      <alignment vertical="bottom"/>
    </xf>
    <xf numFmtId="64" fontId="2" borderId="135" applyNumberFormat="1" applyFont="1" applyFill="0" applyBorder="1" applyAlignment="1" applyProtection="0">
      <alignment vertical="bottom"/>
    </xf>
    <xf numFmtId="3" fontId="2" borderId="135" applyNumberFormat="1" applyFont="1" applyFill="0" applyBorder="1" applyAlignment="1" applyProtection="0">
      <alignment vertical="bottom"/>
    </xf>
    <xf numFmtId="49" fontId="2" borderId="130" applyNumberFormat="1" applyFont="1" applyFill="0" applyBorder="1" applyAlignment="1" applyProtection="0">
      <alignment vertical="bottom"/>
    </xf>
    <xf numFmtId="0" fontId="2" borderId="130" applyNumberFormat="1" applyFont="1" applyFill="0" applyBorder="1" applyAlignment="1" applyProtection="0">
      <alignment horizontal="center" vertical="bottom"/>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0" fontId="10" fillId="2" borderId="127" applyNumberFormat="1" applyFont="1" applyFill="1" applyBorder="1" applyAlignment="1" applyProtection="0">
      <alignment vertical="top" wrapText="1"/>
    </xf>
    <xf numFmtId="49" fontId="10" fillId="2" borderId="127" applyNumberFormat="1" applyFont="1" applyFill="1" applyBorder="1" applyAlignment="1" applyProtection="0">
      <alignment vertical="top" wrapText="1"/>
    </xf>
    <xf numFmtId="49" fontId="10" fillId="4" borderId="136" applyNumberFormat="1" applyFont="1" applyFill="1" applyBorder="1" applyAlignment="1" applyProtection="0">
      <alignment vertical="top" wrapText="1"/>
    </xf>
    <xf numFmtId="61" fontId="0" borderId="137" applyNumberFormat="1" applyFont="1" applyFill="0" applyBorder="1" applyAlignment="1" applyProtection="0">
      <alignment vertical="top" wrapText="1"/>
    </xf>
    <xf numFmtId="61" fontId="0" borderId="130" applyNumberFormat="1" applyFont="1" applyFill="0" applyBorder="1" applyAlignment="1" applyProtection="0">
      <alignment vertical="top" wrapText="1"/>
    </xf>
    <xf numFmtId="0" fontId="0" borderId="130" applyNumberFormat="0" applyFont="1" applyFill="0" applyBorder="1" applyAlignment="1" applyProtection="0">
      <alignment vertical="top" wrapText="1"/>
    </xf>
    <xf numFmtId="66" fontId="10" fillId="4" borderId="138" applyNumberFormat="1" applyFont="1" applyFill="1" applyBorder="1" applyAlignment="1" applyProtection="0">
      <alignment vertical="top" wrapText="1"/>
    </xf>
    <xf numFmtId="59" fontId="0" borderId="139" applyNumberFormat="1" applyFont="1" applyFill="0" applyBorder="1" applyAlignment="1" applyProtection="0">
      <alignment vertical="top" wrapText="1"/>
    </xf>
    <xf numFmtId="59" fontId="0" borderId="65" applyNumberFormat="1" applyFont="1" applyFill="0" applyBorder="1" applyAlignment="1" applyProtection="0">
      <alignment vertical="top" wrapText="1"/>
    </xf>
    <xf numFmtId="61" fontId="0" borderId="65" applyNumberFormat="1" applyFont="1" applyFill="0" applyBorder="1" applyAlignment="1" applyProtection="0">
      <alignment vertical="top" wrapText="1"/>
    </xf>
    <xf numFmtId="67" fontId="0" borderId="65" applyNumberFormat="1" applyFont="1" applyFill="0" applyBorder="1" applyAlignment="1" applyProtection="0">
      <alignment vertical="top" wrapText="1"/>
    </xf>
    <xf numFmtId="49" fontId="0" borderId="139" applyNumberFormat="1" applyFont="1" applyFill="0" applyBorder="1" applyAlignment="1" applyProtection="0">
      <alignment vertical="top" wrapText="1"/>
    </xf>
    <xf numFmtId="49" fontId="0" borderId="65" applyNumberFormat="1" applyFont="1" applyFill="0" applyBorder="1" applyAlignment="1" applyProtection="0">
      <alignment vertical="top" wrapText="1"/>
    </xf>
    <xf numFmtId="0" fontId="0" borderId="65" applyNumberFormat="0" applyFont="1" applyFill="0" applyBorder="1" applyAlignment="1" applyProtection="0">
      <alignment vertical="top" wrapText="1"/>
    </xf>
    <xf numFmtId="0" fontId="0" borderId="65" applyNumberFormat="0" applyFont="1" applyFill="0" applyBorder="1" applyAlignment="1" applyProtection="0">
      <alignment horizontal="right" vertical="top" wrapText="1"/>
    </xf>
    <xf numFmtId="0" fontId="0" applyNumberFormat="1" applyFont="1" applyFill="0" applyBorder="0" applyAlignment="1" applyProtection="0">
      <alignment vertical="top" wrapText="1"/>
    </xf>
    <xf numFmtId="0" fontId="10" fillId="2" borderId="127" applyNumberFormat="0" applyFont="1" applyFill="1" applyBorder="1" applyAlignment="1" applyProtection="0">
      <alignment vertical="top" wrapText="1"/>
    </xf>
    <xf numFmtId="68" fontId="10" fillId="2" borderId="127" applyNumberFormat="1" applyFont="1" applyFill="1" applyBorder="1" applyAlignment="1" applyProtection="0">
      <alignment vertical="top" wrapText="1"/>
    </xf>
    <xf numFmtId="59" fontId="10" fillId="2" borderId="127" applyNumberFormat="1" applyFont="1" applyFill="1" applyBorder="1" applyAlignment="1" applyProtection="0">
      <alignment vertical="top" wrapText="1"/>
    </xf>
    <xf numFmtId="69" fontId="10" fillId="4" borderId="136" applyNumberFormat="1" applyFont="1" applyFill="1" applyBorder="1" applyAlignment="1" applyProtection="0">
      <alignment vertical="top" wrapText="1"/>
    </xf>
    <xf numFmtId="69" fontId="10" fillId="4" borderId="138" applyNumberFormat="1" applyFont="1" applyFill="1" applyBorder="1" applyAlignment="1" applyProtection="0">
      <alignment vertical="top" wrapText="1"/>
    </xf>
    <xf numFmtId="61" fontId="0" borderId="139" applyNumberFormat="1" applyFont="1" applyFill="0" applyBorder="1" applyAlignment="1" applyProtection="0">
      <alignment vertical="top" wrapText="1"/>
    </xf>
    <xf numFmtId="0" fontId="0" borderId="65" applyNumberFormat="1" applyFont="1" applyFill="0" applyBorder="1" applyAlignment="1" applyProtection="0">
      <alignment vertical="top" wrapText="1"/>
    </xf>
    <xf numFmtId="0" fontId="10" fillId="4" borderId="138" applyNumberFormat="0" applyFont="1" applyFill="1" applyBorder="1" applyAlignment="1" applyProtection="0">
      <alignment vertical="top" wrapText="1"/>
    </xf>
    <xf numFmtId="0" fontId="10" fillId="4" borderId="140" applyNumberFormat="0" applyFont="1" applyFill="1" applyBorder="1" applyAlignment="1" applyProtection="0">
      <alignment vertical="top" wrapText="1"/>
    </xf>
    <xf numFmtId="61" fontId="0" borderId="141" applyNumberFormat="1" applyFont="1" applyFill="0" applyBorder="1" applyAlignment="1" applyProtection="0">
      <alignment vertical="top" wrapText="1"/>
    </xf>
    <xf numFmtId="61" fontId="0" borderId="127" applyNumberFormat="1" applyFont="1" applyFill="0" applyBorder="1" applyAlignment="1" applyProtection="0">
      <alignment vertical="top" wrapText="1"/>
    </xf>
    <xf numFmtId="59" fontId="0" borderId="127" applyNumberFormat="1" applyFont="1" applyFill="0" applyBorder="1" applyAlignment="1" applyProtection="0">
      <alignment vertical="top" wrapText="1"/>
    </xf>
    <xf numFmtId="0" fontId="0" borderId="127" applyNumberFormat="0" applyFont="1" applyFill="0" applyBorder="1" applyAlignment="1" applyProtection="0">
      <alignment vertical="top" wrapText="1"/>
    </xf>
    <xf numFmtId="0" fontId="10" borderId="130" applyNumberFormat="0" applyFont="1" applyFill="0" applyBorder="1" applyAlignment="1" applyProtection="0">
      <alignment vertical="top" wrapText="1"/>
    </xf>
    <xf numFmtId="61" fontId="10" borderId="130" applyNumberFormat="1" applyFont="1" applyFill="0" applyBorder="1" applyAlignment="1" applyProtection="0">
      <alignment vertical="top" wrapText="1"/>
    </xf>
    <xf numFmtId="59" fontId="10" borderId="130" applyNumberFormat="1" applyFont="1" applyFill="0" applyBorder="1" applyAlignment="1" applyProtection="0">
      <alignment vertical="top" wrapText="1"/>
    </xf>
    <xf numFmtId="0" fontId="0" applyNumberFormat="1" applyFont="1" applyFill="0" applyBorder="0" applyAlignment="1" applyProtection="0">
      <alignment vertical="top" wrapText="1"/>
    </xf>
    <xf numFmtId="61" fontId="10" fillId="2" borderId="127" applyNumberFormat="1" applyFont="1" applyFill="1" applyBorder="1" applyAlignment="1" applyProtection="0">
      <alignment vertical="top" wrapText="1"/>
    </xf>
    <xf numFmtId="0" fontId="10" fillId="4" borderId="136" applyNumberFormat="0" applyFont="1" applyFill="1" applyBorder="1" applyAlignment="1" applyProtection="0">
      <alignment vertical="top" wrapText="1"/>
    </xf>
    <xf numFmtId="49" fontId="10" fillId="4" borderId="138" applyNumberFormat="1" applyFont="1" applyFill="1" applyBorder="1" applyAlignment="1" applyProtection="0">
      <alignment vertical="top" wrapText="1"/>
    </xf>
    <xf numFmtId="69" fontId="0" borderId="65" applyNumberFormat="1" applyFont="1" applyFill="0" applyBorder="1" applyAlignment="1" applyProtection="0">
      <alignment vertical="top" wrapText="1"/>
    </xf>
    <xf numFmtId="69" fontId="0" borderId="127" applyNumberFormat="1" applyFont="1" applyFill="0" applyBorder="1" applyAlignment="1" applyProtection="0">
      <alignment vertical="top" wrapText="1"/>
    </xf>
    <xf numFmtId="0" fontId="0" borderId="12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10" fillId="4" borderId="136" applyNumberFormat="1" applyFont="1" applyFill="1" applyBorder="1" applyAlignment="1" applyProtection="0">
      <alignment vertical="top" wrapText="1"/>
    </xf>
    <xf numFmtId="0" fontId="0" borderId="137" applyNumberFormat="0" applyFont="1" applyFill="0" applyBorder="1" applyAlignment="1" applyProtection="0">
      <alignment vertical="top" wrapText="1"/>
    </xf>
    <xf numFmtId="0" fontId="0" borderId="130" applyNumberFormat="1" applyFont="1" applyFill="0" applyBorder="1" applyAlignment="1" applyProtection="0">
      <alignment vertical="top" wrapText="1"/>
    </xf>
    <xf numFmtId="0" fontId="10" fillId="4" borderId="138" applyNumberFormat="1" applyFont="1" applyFill="1" applyBorder="1" applyAlignment="1" applyProtection="0">
      <alignment vertical="top" wrapText="1"/>
    </xf>
    <xf numFmtId="0" fontId="0" borderId="139" applyNumberFormat="1" applyFont="1" applyFill="0" applyBorder="1" applyAlignment="1" applyProtection="0">
      <alignment vertical="top" wrapText="1"/>
    </xf>
    <xf numFmtId="0" fontId="0" borderId="139" applyNumberFormat="0" applyFont="1" applyFill="0" applyBorder="1" applyAlignment="1" applyProtection="0">
      <alignment vertical="top" wrapText="1"/>
    </xf>
    <xf numFmtId="0" fontId="0" borderId="141" applyNumberFormat="0" applyFont="1" applyFill="0" applyBorder="1" applyAlignment="1" applyProtection="0">
      <alignment vertical="top" wrapText="1"/>
    </xf>
  </cellXfs>
  <cellStyles count="1">
    <cellStyle name="Normal" xfId="0" builtinId="0"/>
  </cellStyles>
  <dxfs count="172">
    <dxf>
      <font>
        <color rgb="ff88f94e"/>
      </font>
      <fill>
        <patternFill patternType="solid">
          <fgColor indexed="10"/>
          <bgColor indexed="11"/>
        </patternFill>
      </fill>
    </dxf>
    <dxf>
      <font>
        <color rgb="ffb6e694"/>
      </font>
      <fill>
        <patternFill patternType="solid">
          <fgColor indexed="10"/>
          <bgColor indexed="12"/>
        </patternFill>
      </fill>
    </dxf>
    <dxf>
      <font>
        <b val="1"/>
        <color rgb="ffed220b"/>
      </font>
      <fill>
        <patternFill patternType="solid">
          <fgColor indexed="10"/>
          <bgColor indexed="14"/>
        </patternFill>
      </fill>
    </dxf>
    <dxf>
      <font>
        <b val="1"/>
        <color rgb="ff72fce9"/>
      </font>
      <fill>
        <patternFill patternType="solid">
          <fgColor indexed="10"/>
          <bgColor indexed="15"/>
        </patternFill>
      </fill>
    </dxf>
    <dxf>
      <font>
        <b val="1"/>
        <color rgb="ffffd931"/>
      </font>
      <fill>
        <patternFill patternType="solid">
          <fgColor indexed="10"/>
          <bgColor indexed="16"/>
        </patternFill>
      </fill>
    </dxf>
    <dxf>
      <font>
        <b val="1"/>
        <color rgb="ff60d836"/>
      </font>
      <fill>
        <patternFill patternType="solid">
          <fgColor indexed="10"/>
          <bgColor indexed="8"/>
        </patternFill>
      </fill>
    </dxf>
    <dxf>
      <font>
        <b val="1"/>
        <color rgb="ffed220b"/>
      </font>
      <fill>
        <patternFill patternType="solid">
          <fgColor indexed="10"/>
          <bgColor indexed="8"/>
        </patternFill>
      </fill>
    </dxf>
    <dxf>
      <font>
        <color rgb="ff000000"/>
      </font>
      <fill>
        <patternFill patternType="solid">
          <fgColor indexed="10"/>
          <bgColor indexed="19"/>
        </patternFill>
      </fill>
    </dxf>
    <dxf>
      <font>
        <color rgb="e5929292"/>
      </font>
    </dxf>
    <dxf>
      <font>
        <color rgb="ff000000"/>
      </font>
      <fill>
        <patternFill patternType="solid">
          <fgColor indexed="10"/>
          <bgColor indexed="21"/>
        </patternFill>
      </fill>
    </dxf>
    <dxf>
      <font>
        <color rgb="ff000000"/>
      </font>
      <fill>
        <patternFill patternType="solid">
          <fgColor indexed="10"/>
          <bgColor indexed="22"/>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00000000"/>
      </font>
      <fill>
        <patternFill patternType="solid">
          <fgColor indexed="10"/>
          <bgColor indexed="23"/>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color rgb="ff3a88fe"/>
      </font>
    </dxf>
    <dxf>
      <font>
        <color rgb="ffe32400"/>
      </font>
    </dxf>
    <dxf>
      <font>
        <color rgb="ffe32400"/>
      </font>
    </dxf>
    <dxf>
      <font>
        <color rgb="ff3a88fe"/>
      </font>
    </dxf>
    <dxf>
      <font>
        <color rgb="ffe32400"/>
      </font>
    </dxf>
    <dxf>
      <font>
        <color rgb="ff000000"/>
      </font>
      <fill>
        <patternFill patternType="solid">
          <fgColor indexed="10"/>
          <bgColor indexed="41"/>
        </patternFill>
      </fill>
    </dxf>
    <dxf>
      <font>
        <color rgb="ffffd931"/>
      </font>
      <fill>
        <patternFill patternType="solid">
          <fgColor indexed="10"/>
          <bgColor indexed="14"/>
        </patternFill>
      </fill>
    </dxf>
    <dxf>
      <font>
        <color rgb="ff000000"/>
      </font>
      <fill>
        <patternFill patternType="solid">
          <fgColor indexed="10"/>
          <bgColor indexed="41"/>
        </patternFill>
      </fill>
    </dxf>
    <dxf>
      <font>
        <color rgb="ffe32400"/>
      </font>
    </dxf>
    <dxf>
      <font>
        <color rgb="ff3a88fe"/>
      </font>
    </dxf>
    <dxf>
      <font>
        <color rgb="ffe32400"/>
      </font>
    </dxf>
    <dxf>
      <font>
        <color rgb="ff3a88fe"/>
      </font>
    </dxf>
    <dxf>
      <font>
        <color rgb="ffe32400"/>
      </font>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00000000"/>
      </font>
      <fill>
        <patternFill patternType="solid">
          <fgColor indexed="10"/>
          <bgColor indexed="23"/>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b val="1"/>
        <color rgb="fffefffe"/>
      </font>
      <fill>
        <patternFill patternType="solid">
          <fgColor indexed="10"/>
          <bgColor indexed="42"/>
        </patternFill>
      </fill>
    </dxf>
    <dxf>
      <font>
        <b val="1"/>
        <color rgb="fffefffe"/>
      </font>
      <fill>
        <patternFill patternType="solid">
          <fgColor indexed="10"/>
          <bgColor indexed="43"/>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ff617c46"/>
      </font>
      <fill>
        <patternFill patternType="solid">
          <fgColor indexed="10"/>
          <bgColor indexed="44"/>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b val="1"/>
        <color rgb="fffefffe"/>
      </font>
      <fill>
        <patternFill patternType="solid">
          <fgColor indexed="10"/>
          <bgColor indexed="42"/>
        </patternFill>
      </fill>
    </dxf>
    <dxf>
      <font>
        <b val="1"/>
        <color rgb="fffefffe"/>
      </font>
      <fill>
        <patternFill patternType="solid">
          <fgColor indexed="10"/>
          <bgColor indexed="43"/>
        </patternFill>
      </fill>
    </dxf>
    <dxf>
      <font>
        <b val="1"/>
        <color rgb="ff00b073"/>
      </font>
      <fill>
        <patternFill patternType="solid">
          <fgColor indexed="10"/>
          <bgColor indexed="8"/>
        </patternFill>
      </fill>
    </dxf>
    <dxf>
      <font>
        <color rgb="ff88f94e"/>
      </font>
      <fill>
        <patternFill patternType="solid">
          <fgColor indexed="10"/>
          <bgColor indexed="11"/>
        </patternFill>
      </fill>
    </dxf>
    <dxf>
      <font>
        <b val="1"/>
        <color rgb="ffed220b"/>
      </font>
      <fill>
        <patternFill patternType="solid">
          <fgColor indexed="10"/>
          <bgColor indexed="14"/>
        </patternFill>
      </fill>
    </dxf>
    <dxf>
      <font>
        <b val="1"/>
        <color rgb="00000000"/>
      </font>
      <fill>
        <patternFill patternType="solid">
          <fgColor indexed="10"/>
          <bgColor indexed="8"/>
        </patternFill>
      </fill>
    </dxf>
    <dxf>
      <font>
        <color rgb="ff88f94e"/>
      </font>
      <fill>
        <patternFill patternType="solid">
          <fgColor indexed="10"/>
          <bgColor indexed="11"/>
        </patternFill>
      </fill>
    </dxf>
    <dxf>
      <font>
        <b val="1"/>
        <color rgb="ffed220b"/>
      </font>
      <fill>
        <patternFill patternType="solid">
          <fgColor indexed="10"/>
          <bgColor indexed="14"/>
        </patternFill>
      </fill>
    </dxf>
    <dxf>
      <font>
        <b val="1"/>
        <color rgb="00000000"/>
      </font>
      <fill>
        <patternFill patternType="solid">
          <fgColor indexed="10"/>
          <bgColor indexed="8"/>
        </patternFill>
      </fill>
    </dxf>
    <dxf>
      <font>
        <b val="1"/>
        <color rgb="ffe32400"/>
      </font>
      <fill>
        <patternFill patternType="solid">
          <fgColor indexed="10"/>
          <bgColor indexed="8"/>
        </patternFill>
      </fill>
    </dxf>
    <dxf>
      <font>
        <b val="1"/>
        <color rgb="ffed220b"/>
      </font>
      <fill>
        <patternFill patternType="solid">
          <fgColor indexed="10"/>
          <bgColor indexed="8"/>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ff80a85a"/>
      </font>
      <fill>
        <patternFill patternType="solid">
          <fgColor indexed="10"/>
          <bgColor indexed="44"/>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b val="1"/>
        <color rgb="fffefffe"/>
      </font>
      <fill>
        <patternFill patternType="solid">
          <fgColor indexed="10"/>
          <bgColor indexed="42"/>
        </patternFill>
      </fill>
    </dxf>
    <dxf>
      <font>
        <b val="1"/>
        <color rgb="fffefffe"/>
      </font>
      <fill>
        <patternFill patternType="solid">
          <fgColor indexed="10"/>
          <bgColor indexed="43"/>
        </patternFill>
      </fill>
    </dxf>
    <dxf>
      <font>
        <b val="1"/>
        <color rgb="ff00b073"/>
      </font>
      <fill>
        <patternFill patternType="solid">
          <fgColor indexed="10"/>
          <bgColor indexed="8"/>
        </patternFill>
      </fill>
    </dxf>
    <dxf>
      <font>
        <color rgb="ff000000"/>
      </font>
      <fill>
        <patternFill patternType="solid">
          <fgColor indexed="10"/>
          <bgColor indexed="12"/>
        </patternFill>
      </fill>
    </dxf>
    <dxf>
      <font>
        <color rgb="ff000000"/>
      </font>
      <fill>
        <patternFill patternType="solid">
          <fgColor indexed="10"/>
          <bgColor indexed="41"/>
        </patternFill>
      </fill>
    </dxf>
    <dxf>
      <font>
        <color rgb="ff000000"/>
      </font>
      <fill>
        <patternFill patternType="solid">
          <fgColor indexed="10"/>
          <bgColor indexed="41"/>
        </patternFill>
      </fill>
    </dxf>
    <dxf>
      <font>
        <color rgb="ffe32400"/>
      </font>
    </dxf>
    <dxf>
      <font>
        <color rgb="ff669c35"/>
      </font>
    </dxf>
    <dxf>
      <font>
        <color rgb="ff3a88fe"/>
      </font>
    </dxf>
    <dxf>
      <font>
        <color rgb="ff0432ff"/>
      </font>
      <fill>
        <patternFill patternType="solid">
          <fgColor indexed="10"/>
          <bgColor indexed="49"/>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00000000"/>
      </font>
      <fill>
        <patternFill patternType="solid">
          <fgColor indexed="10"/>
          <bgColor indexed="23"/>
        </patternFill>
      </fill>
    </dxf>
    <dxf>
      <font>
        <b val="1"/>
        <color rgb="fff52479"/>
      </font>
      <fill>
        <patternFill patternType="solid">
          <fgColor indexed="10"/>
          <bgColor indexed="33"/>
        </patternFill>
      </fill>
    </dxf>
    <dxf>
      <font>
        <b val="1"/>
        <color rgb="fffdffff"/>
      </font>
      <fill>
        <patternFill patternType="solid">
          <fgColor indexed="10"/>
          <bgColor indexed="35"/>
        </patternFill>
      </fill>
    </dxf>
    <dxf>
      <font>
        <b val="1"/>
        <color rgb="fffdffff"/>
      </font>
      <fill>
        <patternFill patternType="solid">
          <fgColor indexed="10"/>
          <bgColor indexed="35"/>
        </patternFill>
      </fill>
    </dxf>
    <dxf>
      <font>
        <b val="1"/>
        <color rgb="fffefffe"/>
      </font>
      <fill>
        <patternFill patternType="solid">
          <fgColor indexed="10"/>
          <bgColor indexed="37"/>
        </patternFill>
      </fill>
    </dxf>
    <dxf>
      <font>
        <b val="1"/>
        <color rgb="fffefffe"/>
      </font>
      <fill>
        <patternFill patternType="solid">
          <fgColor indexed="10"/>
          <bgColor indexed="56"/>
        </patternFill>
      </fill>
    </dxf>
    <dxf>
      <font>
        <b val="1"/>
        <color rgb="fffefffe"/>
      </font>
      <fill>
        <patternFill patternType="solid">
          <fgColor indexed="10"/>
          <bgColor indexed="57"/>
        </patternFill>
      </fill>
    </dxf>
    <dxf>
      <font>
        <color rgb="ff3a88fe"/>
      </font>
    </dxf>
    <dxf>
      <font>
        <color rgb="ffe32400"/>
      </font>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ff80a85a"/>
      </font>
      <fill>
        <patternFill patternType="solid">
          <fgColor indexed="10"/>
          <bgColor indexed="44"/>
        </patternFill>
      </fill>
    </dxf>
    <dxf>
      <font>
        <b val="1"/>
        <color rgb="fff52479"/>
      </font>
      <fill>
        <patternFill patternType="solid">
          <fgColor indexed="10"/>
          <bgColor indexed="33"/>
        </patternFill>
      </fill>
    </dxf>
    <dxf>
      <font>
        <b val="1"/>
        <color rgb="fffdffff"/>
      </font>
      <fill>
        <patternFill patternType="solid">
          <fgColor indexed="10"/>
          <bgColor indexed="35"/>
        </patternFill>
      </fill>
    </dxf>
    <dxf>
      <font>
        <b val="1"/>
        <color rgb="fffdffff"/>
      </font>
      <fill>
        <patternFill patternType="solid">
          <fgColor indexed="10"/>
          <bgColor indexed="35"/>
        </patternFill>
      </fill>
    </dxf>
    <dxf>
      <font>
        <b val="1"/>
        <color rgb="fffefffe"/>
      </font>
      <fill>
        <patternFill patternType="solid">
          <fgColor indexed="10"/>
          <bgColor indexed="37"/>
        </patternFill>
      </fill>
    </dxf>
    <dxf>
      <font>
        <b val="1"/>
        <color rgb="fffefffe"/>
      </font>
      <fill>
        <patternFill patternType="solid">
          <fgColor indexed="10"/>
          <bgColor indexed="56"/>
        </patternFill>
      </fill>
    </dxf>
    <dxf>
      <font>
        <b val="1"/>
        <color rgb="fffefffe"/>
      </font>
      <fill>
        <patternFill patternType="solid">
          <fgColor indexed="10"/>
          <bgColor indexed="57"/>
        </patternFill>
      </fill>
    </dxf>
    <dxf>
      <font>
        <b val="1"/>
        <color rgb="ff00b073"/>
      </font>
      <fill>
        <patternFill patternType="solid">
          <fgColor indexed="10"/>
          <bgColor indexed="8"/>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b val="1"/>
        <color rgb="fffefffe"/>
      </font>
      <fill>
        <patternFill patternType="solid">
          <fgColor indexed="10"/>
          <bgColor indexed="14"/>
        </patternFill>
      </fill>
    </dxf>
  </dxfs>
  <tableStyles count="0"/>
  <colors>
    <indexedColors>
      <rgbColor rgb="ff000000"/>
      <rgbColor rgb="ffffffff"/>
      <rgbColor rgb="ffff0000"/>
      <rgbColor rgb="ff00ff00"/>
      <rgbColor rgb="ff0000ff"/>
      <rgbColor rgb="ffffff00"/>
      <rgbColor rgb="ffff00ff"/>
      <rgbColor rgb="ff00ffff"/>
      <rgbColor rgb="ff000000"/>
      <rgbColor rgb="ffbdc0bf"/>
      <rgbColor rgb="00000000"/>
      <rgbColor rgb="ff88f94e"/>
      <rgbColor rgb="e5afe489"/>
      <rgbColor rgb="ffb6e694"/>
      <rgbColor rgb="ffed220b"/>
      <rgbColor rgb="ff72fce9"/>
      <rgbColor rgb="ffffd931"/>
      <rgbColor rgb="ff60d836"/>
      <rgbColor rgb="ffa5a5a5"/>
      <rgbColor rgb="e5ffd38a"/>
      <rgbColor rgb="e5929292"/>
      <rgbColor rgb="e598efea"/>
      <rgbColor rgb="e588ccff"/>
      <rgbColor rgb="ffffb80c"/>
      <rgbColor rgb="ff03294e"/>
      <rgbColor rgb="ffff5500"/>
      <rgbColor rgb="ff106c4f"/>
      <rgbColor rgb="fffefffe"/>
      <rgbColor rgb="ff29292b"/>
      <rgbColor rgb="ffaf0000"/>
      <rgbColor rgb="ff1f5684"/>
      <rgbColor rgb="ff160e20"/>
      <rgbColor rgb="ffd8218e"/>
      <rgbColor rgb="ff000055"/>
      <rgbColor rgb="fffa257c"/>
      <rgbColor rgb="ff20262b"/>
      <rgbColor rgb="fffdfdff"/>
      <rgbColor rgb="ff003d78"/>
      <rgbColor rgb="ff3a88fe"/>
      <rgbColor rgb="ffe32400"/>
      <rgbColor rgb="ffbfbfbf"/>
      <rgbColor rgb="e5ff9781"/>
      <rgbColor rgb="ff0a4b70"/>
      <rgbColor rgb="ff0567c9"/>
      <rgbColor rgb="ff1f1f1f"/>
      <rgbColor rgb="ff617c46"/>
      <rgbColor rgb="ff00b073"/>
      <rgbColor rgb="ff80a85a"/>
      <rgbColor rgb="ff669c35"/>
      <rgbColor rgb="ff56c1fe"/>
      <rgbColor rgb="ff0432ff"/>
      <rgbColor rgb="ffdbdbdb"/>
      <rgbColor rgb="ffd5d5d5"/>
      <rgbColor rgb="ff3f3f3f"/>
      <rgbColor rgb="fff52479"/>
      <rgbColor rgb="fffdffff"/>
      <rgbColor rgb="ff27587b"/>
      <rgbColor rgb="ff0965e9"/>
      <rgbColor rgb="ff00a1f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DK762"/>
  <sheetViews>
    <sheetView workbookViewId="0" showGridLines="0" defaultGridColor="1">
      <pane topLeftCell="D4" xSplit="3" ySplit="3" activePane="bottomRight" state="frozen"/>
    </sheetView>
  </sheetViews>
  <sheetFormatPr defaultColWidth="16.3333" defaultRowHeight="15.4" customHeight="1" outlineLevelRow="0" outlineLevelCol="0"/>
  <cols>
    <col min="1" max="2" width="4.35156" style="1" customWidth="1"/>
    <col min="3" max="3" width="4.30469" style="1" customWidth="1"/>
    <col min="4" max="4" width="3.10938" style="1" customWidth="1"/>
    <col min="5" max="5" width="3.35156" style="1" customWidth="1"/>
    <col min="6" max="6" width="7.35156" style="1" customWidth="1"/>
    <col min="7" max="8" width="13.5" style="1" customWidth="1"/>
    <col min="9" max="9" width="11.4141" style="1" customWidth="1"/>
    <col min="10" max="10" width="5" style="1" customWidth="1"/>
    <col min="11" max="11" width="8.29688" style="1" customWidth="1"/>
    <col min="12" max="12" width="5.85156" style="1" customWidth="1"/>
    <col min="13" max="13" width="8.85156" style="1" customWidth="1"/>
    <col min="14" max="14" width="4.28906" style="1" customWidth="1"/>
    <col min="15" max="15" width="8.35156" style="1" customWidth="1"/>
    <col min="16" max="16" width="9.67188" style="1" customWidth="1"/>
    <col min="17" max="17" width="2.53125" style="1" customWidth="1"/>
    <col min="18" max="18" width="2.82812" style="1" customWidth="1"/>
    <col min="19" max="19" width="8.35156" style="1" customWidth="1"/>
    <col min="20" max="20" width="6.67188" style="1" customWidth="1"/>
    <col min="21" max="21" width="9.85156" style="1" customWidth="1"/>
    <col min="22" max="23" width="10.5781" style="1" customWidth="1"/>
    <col min="24" max="24" width="14.3516" style="1" customWidth="1"/>
    <col min="25" max="28" width="9.85156" style="1" customWidth="1"/>
    <col min="29" max="29" width="7.17188" style="1" customWidth="1"/>
    <col min="30" max="31" width="9" style="1" customWidth="1"/>
    <col min="32" max="83" width="10.1719" style="1" customWidth="1"/>
    <col min="84" max="109" width="2.89062" style="1" customWidth="1"/>
    <col min="110" max="110" width="6.22656" style="1" customWidth="1"/>
    <col min="111" max="111" width="8.5" style="1" customWidth="1"/>
    <col min="112" max="112" width="5.42969" style="1" customWidth="1"/>
    <col min="113" max="113" width="8.35156" style="1" customWidth="1"/>
    <col min="114" max="114" width="5.17188" style="1" customWidth="1"/>
    <col min="115" max="115" width="2.89062" style="1" customWidth="1"/>
    <col min="116" max="16384" width="16.3516" style="1" customWidth="1"/>
  </cols>
  <sheetData>
    <row r="1" ht="14.8" customHeight="1">
      <c r="A1" t="s" s="2">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row>
    <row r="2" ht="20.3" customHeight="1">
      <c r="A2" s="3"/>
      <c r="B2" t="s" s="4">
        <v>1</v>
      </c>
      <c r="C2" t="s" s="5">
        <v>2</v>
      </c>
      <c r="D2" t="s" s="6">
        <v>3</v>
      </c>
      <c r="E2" s="7"/>
      <c r="F2" t="s" s="8">
        <v>4</v>
      </c>
      <c r="G2" t="s" s="9">
        <v>5</v>
      </c>
      <c r="H2" t="s" s="9">
        <v>6</v>
      </c>
      <c r="I2" t="s" s="10">
        <v>7</v>
      </c>
      <c r="J2" s="11"/>
      <c r="K2" t="s" s="10">
        <v>8</v>
      </c>
      <c r="L2" t="s" s="10">
        <v>9</v>
      </c>
      <c r="M2" t="s" s="12">
        <v>10</v>
      </c>
      <c r="N2" t="s" s="13">
        <v>11</v>
      </c>
      <c r="O2" t="s" s="14">
        <v>12</v>
      </c>
      <c r="P2" t="s" s="5">
        <v>13</v>
      </c>
      <c r="Q2" t="s" s="15">
        <v>14</v>
      </c>
      <c r="R2" t="s" s="16">
        <v>15</v>
      </c>
      <c r="S2" t="s" s="17">
        <v>16</v>
      </c>
      <c r="T2" t="s" s="10">
        <v>17</v>
      </c>
      <c r="U2" t="s" s="10">
        <v>18</v>
      </c>
      <c r="V2" t="s" s="10">
        <v>19</v>
      </c>
      <c r="W2" t="s" s="10">
        <v>20</v>
      </c>
      <c r="X2" t="s" s="12">
        <v>21</v>
      </c>
      <c r="Y2" t="s" s="18">
        <v>22</v>
      </c>
      <c r="Z2" t="s" s="10">
        <v>23</v>
      </c>
      <c r="AA2" t="s" s="10">
        <v>24</v>
      </c>
      <c r="AB2" t="s" s="10">
        <v>25</v>
      </c>
      <c r="AC2" t="s" s="10">
        <v>26</v>
      </c>
      <c r="AD2" s="19"/>
      <c r="AE2" t="s" s="20">
        <v>27</v>
      </c>
      <c r="AF2" t="s" s="21">
        <v>28</v>
      </c>
      <c r="AG2" s="22"/>
      <c r="AH2" s="22"/>
      <c r="AI2" s="22"/>
      <c r="AJ2" s="22"/>
      <c r="AK2" s="22"/>
      <c r="AL2" s="22"/>
      <c r="AM2" s="22"/>
      <c r="AN2" s="22"/>
      <c r="AO2" s="22"/>
      <c r="AP2" s="22"/>
      <c r="AQ2" s="23"/>
      <c r="AR2" s="24"/>
      <c r="AS2" t="s" s="21">
        <v>29</v>
      </c>
      <c r="AT2" s="22"/>
      <c r="AU2" s="22"/>
      <c r="AV2" s="22"/>
      <c r="AW2" s="22"/>
      <c r="AX2" s="22"/>
      <c r="AY2" s="22"/>
      <c r="AZ2" s="22"/>
      <c r="BA2" s="22"/>
      <c r="BB2" s="22"/>
      <c r="BC2" s="22"/>
      <c r="BD2" s="23"/>
      <c r="BE2" s="24"/>
      <c r="BF2" t="s" s="21">
        <v>30</v>
      </c>
      <c r="BG2" s="22"/>
      <c r="BH2" s="22"/>
      <c r="BI2" s="22"/>
      <c r="BJ2" s="22"/>
      <c r="BK2" s="22"/>
      <c r="BL2" s="22"/>
      <c r="BM2" s="22"/>
      <c r="BN2" s="22"/>
      <c r="BO2" s="22"/>
      <c r="BP2" s="22"/>
      <c r="BQ2" s="23"/>
      <c r="BR2" s="24"/>
      <c r="BS2" t="s" s="21">
        <v>31</v>
      </c>
      <c r="BT2" s="22"/>
      <c r="BU2" s="22"/>
      <c r="BV2" s="22"/>
      <c r="BW2" s="22"/>
      <c r="BX2" s="22"/>
      <c r="BY2" s="22"/>
      <c r="BZ2" s="22"/>
      <c r="CA2" s="22"/>
      <c r="CB2" s="22"/>
      <c r="CC2" s="22"/>
      <c r="CD2" s="23"/>
      <c r="CE2" s="24"/>
      <c r="CF2" t="s" s="21">
        <v>32</v>
      </c>
      <c r="CG2" s="22"/>
      <c r="CH2" s="22"/>
      <c r="CI2" s="22"/>
      <c r="CJ2" s="22"/>
      <c r="CK2" s="22"/>
      <c r="CL2" s="22"/>
      <c r="CM2" s="22"/>
      <c r="CN2" s="22"/>
      <c r="CO2" s="23"/>
      <c r="CP2" s="24"/>
      <c r="CQ2" s="25"/>
      <c r="CR2" s="22"/>
      <c r="CS2" s="22"/>
      <c r="CT2" s="22"/>
      <c r="CU2" s="22"/>
      <c r="CV2" s="22"/>
      <c r="CW2" s="22"/>
      <c r="CX2" s="22"/>
      <c r="CY2" s="22"/>
      <c r="CZ2" s="22"/>
      <c r="DA2" s="22"/>
      <c r="DB2" s="22"/>
      <c r="DC2" s="22"/>
      <c r="DD2" s="23"/>
      <c r="DE2" s="24"/>
      <c r="DF2" t="s" s="26">
        <v>33</v>
      </c>
      <c r="DG2" t="s" s="27">
        <v>16</v>
      </c>
      <c r="DH2" t="s" s="18">
        <v>34</v>
      </c>
      <c r="DI2" t="s" s="28">
        <v>35</v>
      </c>
      <c r="DJ2" s="29"/>
      <c r="DK2" s="30"/>
    </row>
    <row r="3" ht="16.5" customHeight="1">
      <c r="A3" s="31"/>
      <c r="B3" s="32">
        <f>COUNTIF(B4:B762," ")-COUNTIF(E4:E762," ")</f>
        <v>0</v>
      </c>
      <c r="C3" s="33"/>
      <c r="D3" s="34"/>
      <c r="E3" s="35"/>
      <c r="F3" t="s" s="36">
        <f>COUNTIF(F4:F762,"???")&amp;"/"&amp;LARGE(AC4:AC762,1)-COUNTIF(F4:F762,"???")&amp;"/"&amp;COUNTIF(B4:B762," ")-COUNTIF(E4:E762," ")-LARGE(AC4:AC762,1)</f>
        <v>36</v>
      </c>
      <c r="G3" s="37"/>
      <c r="H3" s="37"/>
      <c r="I3" s="37"/>
      <c r="J3" s="37"/>
      <c r="K3" s="37"/>
      <c r="L3" s="37"/>
      <c r="M3" s="38"/>
      <c r="N3" s="39"/>
      <c r="O3" s="40"/>
      <c r="P3" s="33"/>
      <c r="Q3" s="41"/>
      <c r="R3" s="42"/>
      <c r="S3" s="43"/>
      <c r="T3" s="37"/>
      <c r="U3" s="37"/>
      <c r="V3" s="37"/>
      <c r="W3" s="37"/>
      <c r="X3" s="38"/>
      <c r="Y3" s="44"/>
      <c r="Z3" s="37"/>
      <c r="AA3" s="37"/>
      <c r="AB3" s="37"/>
      <c r="AC3" s="37"/>
      <c r="AD3" s="37"/>
      <c r="AE3" s="45"/>
      <c r="AF3" t="s" s="46">
        <v>37</v>
      </c>
      <c r="AG3" t="s" s="47">
        <v>38</v>
      </c>
      <c r="AH3" t="s" s="47">
        <v>39</v>
      </c>
      <c r="AI3" t="s" s="47">
        <v>40</v>
      </c>
      <c r="AJ3" t="s" s="47">
        <v>41</v>
      </c>
      <c r="AK3" t="s" s="47">
        <v>42</v>
      </c>
      <c r="AL3" t="s" s="47">
        <v>43</v>
      </c>
      <c r="AM3" t="s" s="47">
        <v>44</v>
      </c>
      <c r="AN3" t="s" s="47">
        <v>45</v>
      </c>
      <c r="AO3" t="s" s="47">
        <v>46</v>
      </c>
      <c r="AP3" t="s" s="47">
        <v>47</v>
      </c>
      <c r="AQ3" t="s" s="48">
        <v>48</v>
      </c>
      <c r="AR3" t="s" s="49">
        <v>49</v>
      </c>
      <c r="AS3" t="s" s="46">
        <v>37</v>
      </c>
      <c r="AT3" t="s" s="47">
        <v>38</v>
      </c>
      <c r="AU3" t="s" s="47">
        <v>39</v>
      </c>
      <c r="AV3" t="s" s="47">
        <v>40</v>
      </c>
      <c r="AW3" t="s" s="47">
        <v>41</v>
      </c>
      <c r="AX3" t="s" s="47">
        <v>42</v>
      </c>
      <c r="AY3" t="s" s="47">
        <v>43</v>
      </c>
      <c r="AZ3" t="s" s="50">
        <v>44</v>
      </c>
      <c r="BA3" t="s" s="51">
        <v>45</v>
      </c>
      <c r="BB3" t="s" s="51">
        <v>46</v>
      </c>
      <c r="BC3" t="s" s="51">
        <v>47</v>
      </c>
      <c r="BD3" t="s" s="52">
        <v>48</v>
      </c>
      <c r="BE3" t="s" s="53">
        <v>49</v>
      </c>
      <c r="BF3" t="s" s="46">
        <v>37</v>
      </c>
      <c r="BG3" t="s" s="47">
        <v>38</v>
      </c>
      <c r="BH3" t="s" s="47">
        <v>39</v>
      </c>
      <c r="BI3" t="s" s="47">
        <v>40</v>
      </c>
      <c r="BJ3" t="s" s="47">
        <v>41</v>
      </c>
      <c r="BK3" t="s" s="47">
        <v>42</v>
      </c>
      <c r="BL3" t="s" s="47">
        <v>43</v>
      </c>
      <c r="BM3" t="s" s="50">
        <v>44</v>
      </c>
      <c r="BN3" t="s" s="51">
        <v>45</v>
      </c>
      <c r="BO3" t="s" s="51">
        <v>46</v>
      </c>
      <c r="BP3" t="s" s="51">
        <v>47</v>
      </c>
      <c r="BQ3" t="s" s="54">
        <v>48</v>
      </c>
      <c r="BR3" t="s" s="49">
        <v>49</v>
      </c>
      <c r="BS3" t="s" s="46">
        <v>37</v>
      </c>
      <c r="BT3" t="s" s="47">
        <v>38</v>
      </c>
      <c r="BU3" t="s" s="47">
        <v>39</v>
      </c>
      <c r="BV3" t="s" s="47">
        <v>40</v>
      </c>
      <c r="BW3" t="s" s="47">
        <v>41</v>
      </c>
      <c r="BX3" t="s" s="47">
        <v>42</v>
      </c>
      <c r="BY3" t="s" s="47">
        <v>43</v>
      </c>
      <c r="BZ3" t="s" s="50">
        <v>44</v>
      </c>
      <c r="CA3" t="s" s="51">
        <v>45</v>
      </c>
      <c r="CB3" t="s" s="51">
        <v>46</v>
      </c>
      <c r="CC3" t="s" s="51">
        <v>47</v>
      </c>
      <c r="CD3" t="s" s="54">
        <v>48</v>
      </c>
      <c r="CE3" t="s" s="49">
        <v>49</v>
      </c>
      <c r="CF3" t="s" s="46">
        <v>37</v>
      </c>
      <c r="CG3" s="55"/>
      <c r="CH3" t="s" s="56">
        <v>38</v>
      </c>
      <c r="CI3" s="55"/>
      <c r="CJ3" t="s" s="56">
        <v>39</v>
      </c>
      <c r="CK3" s="55"/>
      <c r="CL3" t="s" s="56">
        <v>40</v>
      </c>
      <c r="CM3" s="55"/>
      <c r="CN3" t="s" s="51">
        <v>41</v>
      </c>
      <c r="CO3" s="57"/>
      <c r="CP3" t="s" s="51">
        <v>42</v>
      </c>
      <c r="CQ3" s="57"/>
      <c r="CR3" t="s" s="51">
        <v>43</v>
      </c>
      <c r="CS3" s="57"/>
      <c r="CT3" t="s" s="56">
        <v>44</v>
      </c>
      <c r="CU3" s="55"/>
      <c r="CV3" t="s" s="51">
        <v>45</v>
      </c>
      <c r="CW3" s="58"/>
      <c r="CX3" t="s" s="50">
        <v>46</v>
      </c>
      <c r="CY3" s="57"/>
      <c r="CZ3" t="s" s="51">
        <v>47</v>
      </c>
      <c r="DA3" s="57"/>
      <c r="DB3" t="s" s="51">
        <v>48</v>
      </c>
      <c r="DC3" s="57"/>
      <c r="DD3" t="s" s="51">
        <v>49</v>
      </c>
      <c r="DE3" s="59"/>
      <c r="DF3" s="60">
        <v>1.5</v>
      </c>
      <c r="DG3" s="61">
        <v>0.05</v>
      </c>
      <c r="DH3" s="62">
        <f>DF$3/(DF$3*(DF$3/(DF$3*(1+DG$3)))-1)</f>
        <v>3.5</v>
      </c>
      <c r="DI3" s="63">
        <f>IF(LARGE(DI4:DI762,1)&gt;LARGE(DG4:DG762,1),LARGE(DI4:DI762,1)-LARGE(DG4:DG762,1))</f>
        <v>73.456</v>
      </c>
      <c r="DJ3" s="64"/>
      <c r="DK3" s="65"/>
    </row>
    <row r="4" ht="15.05" customHeight="1">
      <c r="A4" s="66">
        <v>1</v>
      </c>
      <c r="B4" t="s" s="67">
        <f>IF(AND(_xlfn.XLOOKUP(H4,H3:H$4,G3:G$4,0)=G4,_xlfn.XLOOKUP("TempoBet",K4:K6,L4:L6,0)&gt;0),"X",IF(OR(C4="W",C5="W",C6="W",C4="1/2W",C5="1/2W",C6="1/2W",C4="1/2L",C5="1/2L",C6="1/2L"),"OK",IF(OR(C4="L",C5="L",C6="L"),"LOSS",IF(OR(C4="X",C5="X",C6="X"),"Anulado"," "))))</f>
        <v>50</v>
      </c>
      <c r="C4" t="s" s="68">
        <v>51</v>
      </c>
      <c r="D4" s="69">
        <v>16</v>
      </c>
      <c r="E4" t="s" s="70">
        <f>IF(G4=""," ","– "&amp;COUNTIF(D$4:D6,$D4))</f>
        <v>52</v>
      </c>
      <c r="F4" t="s" s="71">
        <f>IF(G4="","",IF(OR(AND($C4&lt;&gt;" ",$C5=" "),AND($C5&lt;&gt;" ",$C4=" "),AND(L6&gt;0,OR(AND($C6&lt;&gt;" ",OR($C4=" ",$C5=" ")),AND($C6=" ",OR($C4&lt;&gt;" ",$C5&lt;&gt;" "))))),"???",IF(MONTH(G4)=MONTH(TODAY()),IF(AND(DAY(G4)&lt;DAY(TODAY()),$B4=" "),"???",IF($B4=" ",IF(AND(DAY(G4)=DAY(TODAY()),HOUR(G4)&lt;=HOUR(NOW())+1),IF(AND(HOUR(G4)+2&lt;=HOUR(NOW()),DAY(G4)&lt;=DAY(TODAY()),MINUTE(G4)&lt;=MINUTE(NOW())),"???",IF(OR(MINUTE(G4)&lt;=MINUTE(NOW()),HOUR(G4)&lt;=HOUR(NOW())),"!!!","")),""),"")),"")))</f>
      </c>
      <c r="G4" s="72">
        <v>44942.833333333336</v>
      </c>
      <c r="H4" t="s" s="73">
        <v>53</v>
      </c>
      <c r="I4" t="s" s="74">
        <v>54</v>
      </c>
      <c r="J4" s="75">
        <v>0</v>
      </c>
      <c r="K4" t="s" s="76">
        <v>41</v>
      </c>
      <c r="L4" s="77">
        <v>3.2</v>
      </c>
      <c r="M4" s="78">
        <v>5.11</v>
      </c>
      <c r="N4" s="79">
        <v>0</v>
      </c>
      <c r="O4" s="80">
        <f>IF(OR(AE4="",AE5=""),"",ROUND(IF(L6&gt;0,IF(M4&gt;0,M4,IF(M5&gt;0,ROUND((M5*AE4)/AE5,IF(N4=0,2,IF(N4=0.1,1,0))),ROUND((M6*AE4)/AE6,IF(N4=0,2,IF(N4=0.1,1,0))))),IF(M4&gt;0,M4,ROUND((M5*AE4)/AE5,IF(N4=0,2,IF(N4=0.1,1,0))))),2))</f>
        <v>5.11</v>
      </c>
      <c r="P4" s="81">
        <f>IF(OR(L4="",O4=""),"",IF($C4="1/2W",O4/2+O4/2*L4,IF($C4="1/2L",O4/2,IF(I4="Lay",(O4*(L4/(L4-1))-O4)*(1-_xlfn.XLOOKUP(K4,'Janeiro 2023 - Valor Real'!A3:A15,'Janeiro 2023 - Valor Real'!C3:C15,0))+O4,(O4*L4-O4)*(1-_xlfn.XLOOKUP(K4,'Janeiro 2023 - Valor Real'!A3:A15,'Janeiro 2023 - Valor Real'!C3:C15,0))+O4))))</f>
        <v>16.352</v>
      </c>
      <c r="Q4" s="82"/>
      <c r="R4" s="83">
        <f>IF(K4="","",IF($C4=" ",1,0))</f>
        <v>0</v>
      </c>
      <c r="S4" s="84">
        <f>IF($B4="Anulado",0,ROUND(IF(OR($B4="LOSS",$B4="OK"),IF(OR($C4="W",$C4="1/2W",$C4="1/2L"),P4-O4,IF($C4="L",-O4,0))+IF(OR($C5="W",$C5="1/2W",$C5="1/2L"),P5-O5,IF($C5="L",-O5,0))+IF(OR($C6="W",$C6="1/2W",$C6="1/2L"),P6-O6,IF($C6="L",-O6,0)),IF(AND(OR($C4="W",$C4="1/2W",$C4="1/2L"),C5="W"),P4+P5-SUM(O4:O6)+_xlfn.XLOOKUP("X",C4:C6,O4:O6,0),IF(AND(C4=TRUE,C6="W"),P4+P6-SUM(O4:O6),IF(AND(C5="W",C6="W"),P5+P6-SUM(O4:O6)+_xlfn.XLOOKUP("X",C4:C6,O4:O6,0),IF(L6&gt;0,IF(OR($C4="W",$C4="1/2W",$C4="1/2L"),P4-SUM(O4:O6)+_xlfn.XLOOKUP("X",C4:C6,O4:O6,0),IF(OR($C4="W",$C4="1/2W",$C4="1/2L"),P5-SUM(O4:O6)+_xlfn.XLOOKUP("X",C4:C6,O4:O6,0),IF(OR($C4="W",$C4="1/2W",$C4="1/2L"),P6-SUM(O4:O6)+_xlfn.XLOOKUP("X",C4:C6,O4:O6,0),IF(SUM(P4:P6)/3-SUM(O4:O6)+_xlfn.XLOOKUP("X",C4:C6,O4:O6,0)&gt;0,SUM(P4:P6)/3-SUM(O4:O6)+_xlfn.XLOOKUP("X",C4:C6,O4:O6,0),LARGE(P4:P6,1)-SUM(O4:O6))))),IF(OR($C4="W",$C4="1/2W",$C4="1/2L"),P4-SUM(O4:O5)+_xlfn.XLOOKUP("X",C4:C6,O4:O6,0),IF(OR($C4="W",$C4="1/2W",$C4="1/2L"),P5-SUM(O4:O5)+_xlfn.XLOOKUP("X",C4:C6,O4:O6,0),SUM(P4:P5)/2-SUM(O4:O5)+_xlfn.XLOOKUP("X",C4:C6,O4:O6,0)))))))),2))</f>
        <v>2.5</v>
      </c>
      <c r="T4" s="85">
        <f>IF(S4=0,0,S4/SUM(O4:O6))</f>
        <v>0.18037518037518</v>
      </c>
      <c r="U4" s="86">
        <f>IF(OR($B4="LOSS",$B4="OK",$B4="Anulada"),S4,0)</f>
        <v>2.5</v>
      </c>
      <c r="V4" s="86">
        <f>IF($D4="",0,IF($B4=" ",IF(I6="",IF(OR(AND(I4="DNB1",I5="DNB2"),AND(OR(I4="DNB1",I4="DNB2"),J5=0),AND(OR(I5="DNB1",I5="DNB2"),J4=0),AND(I4="DNB2",I5="DNB1"),AND(IF(J4=0,(J4+1)/ROUND(J4+1,0),J4/ROUND(J4,0))=1,IF(J5=0,(J5+1)/ROUND(IF(J5="",0,J5)+1,0),IF(J5="",0,J5)/ROUND(IF(J5="",1,J5),0))=1,OR(J4&lt;&gt;""),J5&lt;&gt;"")),0,IF(S4&lt;0,IF(I6="",SMALL(P4:P5,1)-SUM(O4:O5),0),SMALL(P4:P5,1)-SUM(O4:O5))),IF(S4&lt;0,IF(I6="",SMALL(P4:P6,1)-SUM(O4:O6),0),LARGE(P4:P6,1)-SUM(O4:O6))),S4))</f>
        <v>2.5</v>
      </c>
      <c r="W4" s="86">
        <f>IF(S4&lt;0,IF(I6="",S4,0),S4)</f>
        <v>2.5</v>
      </c>
      <c r="X4" t="s" s="87">
        <f>IF(OR(SUM(R4:R6)=0,V4=W4),ROUND(IF(W4=0,0,W4/Y4)*100,2)&amp;"%",ROUND(IF(V4=0,0,V4/Y4)*100,2)&amp;"% a "&amp;ROUND(IF(W4=0,0,W4/Y4)*100,2)&amp;"%")</f>
        <v>55</v>
      </c>
      <c r="Y4" s="88">
        <f>SUM(O4:O6)</f>
        <v>13.86</v>
      </c>
      <c r="Z4" s="86">
        <f>IF($B4=" ",SUM(O4:O6),0)</f>
        <v>0</v>
      </c>
      <c r="AA4" s="86">
        <f>IF($B4="Anulado",LARGE(P4:P6,1)-SUM(O4:O6),0)</f>
        <v>0</v>
      </c>
      <c r="AB4" s="86">
        <f>S4</f>
        <v>2.5</v>
      </c>
      <c r="AC4" s="89">
        <f>IF($D4="","",IF($B4=" ",IF(DAY(G4)=DAY(TODAY()),1,0),0))</f>
        <v>0</v>
      </c>
      <c r="AD4" s="90"/>
      <c r="AE4" s="91">
        <f>IF(L4="","",IF(L6&gt;0,(SUM(((L4-1)*(1-_xlfn.XLOOKUP(K4,'Janeiro 2023 - Valor Real'!A3:A15,'Janeiro 2023 - Valor Real'!C3:C15,0))+1),((L5-1)*(1-_xlfn.XLOOKUP(K5,'Janeiro 2023 - Valor Real'!A3:A15,'Janeiro 2023 - Valor Real'!C3:C15,0))+1),((L6-1)*(1-_xlfn.XLOOKUP(K6,'Janeiro 2023 - Valor Real'!A3:A15,'Janeiro 2023 - Valor Real'!C3:C15,0))+1))/((L4-1)*(1-_xlfn.XLOOKUP(K4,'Janeiro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Real'!C3:C15,0))+1))/((L4-1)*(1-_xlfn.XLOOKUP(K4,'Janeiro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Real'!C3:C15,0))+1))/((L5-1)*(1-_xlfn.XLOOKUP(K5,'Janeiro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Real'!C3:C15,0))+1))/((L6-1)*(1-_xlfn.XLOOKUP(K6,'Janeiro 2023 - Valor Real'!A3:A15,'Janeiro 2023 - Valor Real'!C3:C15,0))+1)),IF(I4="Lay",IF(I5="Lay",((L5/(L5-1)-1)*(1-_xlfn.XLOOKUP(K5,'Janeiro 2023 - Valor Real'!A3:A15,'Janeiro 2023 - Valor Real'!C3:C15,0))+1)/(((L5/(L5-1)-1)*(1-_xlfn.XLOOKUP(K5,'Janeiro 2023 - Valor Real'!A3:A15,'Janeiro 2023 - Valor Real'!C3:C15,0))+1)+((L4/(L4-1)-1)*(1-_xlfn.XLOOKUP(K4,'Janeiro 2023 - Valor Real'!A3:A15,'Janeiro 2023 - Valor Real'!C3:C15,0))+1)),((L5-1)*(1-_xlfn.XLOOKUP(K5,'Janeiro 2023 - Valor Real'!A3:A15,'Janeiro 2023 - Valor Real'!C3:C15,0))+1)/(((L5-1)*(1-_xlfn.XLOOKUP(K5,'Janeiro 2023 - Valor Real'!A3:A15,'Janeiro 2023 - Valor Real'!C3:C15,0))+1)+((L4/(L4-1)-1)*(1-_xlfn.XLOOKUP(K4,'Janeiro 2023 - Valor Real'!A3:A15,'Janeiro 2023 - Valor Real'!C3:C15,0))+1))),IF(I5="Lay",(((L5/(L5-1)-1)*(1-_xlfn.XLOOKUP(K5,'Janeiro 2023 - Valor Real'!A3:A15,'Janeiro 2023 - Valor Real'!C3:C15,0))+1))/(((L4-1)*(1-_xlfn.XLOOKUP(K4,'Janeiro 2023 - Valor Real'!A3:A15,'Janeiro 2023 - Valor Real'!C3:C15,0))+1)+((L5/(L5-1)-1)*(1-_xlfn.XLOOKUP(K5,'Janeiro 2023 - Valor Real'!A3:A15,'Janeiro 2023 - Valor Real'!C3:C15,0))+1)),((L5-1)*(1-_xlfn.XLOOKUP(K5,'Janeiro 2023 - Valor Real'!A3:A15,'Janeiro 2023 - Valor Real'!C3:C15,0))+1)/(((L5-1)*(1-_xlfn.XLOOKUP(K5,'Janeiro 2023 - Valor Real'!A3:A15,'Janeiro 2023 - Valor Real'!C3:C15,0))+1)+((L4-1)*(1-_xlfn.XLOOKUP(K4,'Janeiro 2023 - Valor Real'!A3:A15,'Janeiro 2023 - Valor Real'!C3:C15,0))+1))))))</f>
        <v>0.368836291913215</v>
      </c>
      <c r="AF4" s="92">
        <f>IF($K4=AF$3,ROUND(IF(OR($C4="W",$C4="1/2W",$C4="1/2L"),$P4-$O4,IF($C4="X",0,-$O4)),2),0)</f>
        <v>0</v>
      </c>
      <c r="AG4" s="93">
        <f>IF($K4=AG$3,ROUND(IF(OR($C4="W",$C4="1/2W",$C4="1/2L"),$P4-$O4,IF($C4="X",0,-$O4)),2),0)</f>
        <v>0</v>
      </c>
      <c r="AH4" s="93">
        <f>IF($K4=AH$3,ROUND(IF(OR($C4="W",$C4="1/2W",$C4="1/2L"),$P4-$O4,IF($C4="X",0,-$O4)),2),0)</f>
        <v>0</v>
      </c>
      <c r="AI4" s="93">
        <f>IF($K4=AI$3,ROUND(IF(OR($C4="W",$C4="1/2W",$C4="1/2L"),$P4-$O4,IF($C4="X",0,-$O4)),2),0)</f>
        <v>0</v>
      </c>
      <c r="AJ4" s="93">
        <f>IF($K4=AJ$3,ROUND(IF(OR($C4="W",$C4="1/2W",$C4="1/2L"),$P4-$O4,IF($C4="X",0,-$O4)),2),0)</f>
        <v>-5.11</v>
      </c>
      <c r="AK4" s="93">
        <f>IF($K4=AK$3,ROUND(IF(OR($C4="W",$C4="1/2W",$C4="1/2L"),$P4-$O4,IF($C4="X",0,-$O4)),2),0)</f>
        <v>0</v>
      </c>
      <c r="AL4" s="93">
        <f>IF($K4=AL$3,ROUND(IF(OR($C4="W",$C4="1/2W",$C4="1/2L"),$P4-$O4,IF($C4="X",0,-$O4)),2),0)</f>
        <v>0</v>
      </c>
      <c r="AM4" s="93">
        <f>IF($K4=AM$3,ROUND(IF(OR($C4="W",$C4="1/2W",$C4="1/2L"),$P4-$O4,IF($C4="X",0,-$O4)),2),0)</f>
        <v>0</v>
      </c>
      <c r="AN4" s="93">
        <f>IF($K4=AN$3,ROUND(IF(OR($C4="W",$C4="1/2W",$C4="1/2L"),$P4-$O4,IF($C4="X",0,-$O4)),2),0)</f>
        <v>0</v>
      </c>
      <c r="AO4" s="93">
        <f>IF($K4=AO$3,ROUND(IF(OR($C4="W",$C4="1/2W",$C4="1/2L"),$P4-$O4,IF($C4="X",0,-$O4)),2),0)</f>
        <v>0</v>
      </c>
      <c r="AP4" s="93">
        <f>IF($K4=AP$3,ROUND(IF(OR($C4="W",$C4="1/2W",$C4="1/2L"),$P4-$O4,IF($C4="X",0,-$O4)),2),0)</f>
        <v>0</v>
      </c>
      <c r="AQ4" s="93">
        <f>IF($K4=AQ$3,ROUND(IF(OR($C4="W",$C4="1/2W",$C4="1/2L"),$P4-$O4,IF($C4="X",0,-$O4)),2),0)</f>
        <v>0</v>
      </c>
      <c r="AR4" s="94">
        <f>IF($K4=AR$3,ROUND(IF(OR($C4="W",$C4="1/2W",$C4="1/2L"),$P4-$O4,IF($C4="X",0,-$O4)),2),0)</f>
        <v>0</v>
      </c>
      <c r="AS4" s="92">
        <f>IF(AND($B4=" ",$K4=AS$3),$O4,0)</f>
        <v>0</v>
      </c>
      <c r="AT4" s="93">
        <f>IF(AND($B4=" ",$K4=AT$3),$O4,0)</f>
        <v>0</v>
      </c>
      <c r="AU4" s="93">
        <f>IF(AND($B4=" ",$K4=AU$3),$O4,0)</f>
        <v>0</v>
      </c>
      <c r="AV4" s="93">
        <f>IF(AND($B4=" ",$K4=AV$3),$O4,0)</f>
        <v>0</v>
      </c>
      <c r="AW4" s="93">
        <f>IF(AND($B4=" ",$K4=AW$3),$O4,0)</f>
        <v>0</v>
      </c>
      <c r="AX4" s="93">
        <f>IF(AND($B4=" ",$K4=AX$3),$O4,0)</f>
        <v>0</v>
      </c>
      <c r="AY4" s="93">
        <f>IF(AND($B4=" ",$K4=AY$3),$O4,0)</f>
        <v>0</v>
      </c>
      <c r="AZ4" s="95">
        <f>IF(AND($B4=" ",$K4=AZ$3),$O4,0)</f>
        <v>0</v>
      </c>
      <c r="BA4" s="96">
        <f>IF(AND($B4=" ",$K4=BA$3),$O4,0)</f>
        <v>0</v>
      </c>
      <c r="BB4" s="96">
        <f>IF(AND($B4=" ",$K4=BB$3),$O4,0)</f>
        <v>0</v>
      </c>
      <c r="BC4" s="97">
        <f>IF(AND($B4=" ",$K4=BC$3),$O4,0)</f>
        <v>0</v>
      </c>
      <c r="BD4" s="93">
        <f>IF(AND($B4=" ",$K4=BD$3),$O4,0)</f>
        <v>0</v>
      </c>
      <c r="BE4" s="94">
        <f>IF(AND($B4=" ",$K4=BE$3),$O4,0)</f>
        <v>0</v>
      </c>
      <c r="BF4" s="98">
        <f>IF($K4=BF$3,IF($C4="X",0,$O4),0)</f>
        <v>0</v>
      </c>
      <c r="BG4" s="96">
        <f>IF($K4=BG$3,IF($C4="X",0,$O4),0)</f>
        <v>0</v>
      </c>
      <c r="BH4" s="96">
        <f>IF($K4=BH$3,IF($C4="X",0,$O4),0)</f>
        <v>0</v>
      </c>
      <c r="BI4" s="96">
        <f>IF($K4=BI$3,IF($C4="X",0,$O4),0)</f>
        <v>0</v>
      </c>
      <c r="BJ4" s="96">
        <f>IF($K4=BJ$3,IF($C4="X",0,$O4),0)</f>
        <v>5.11</v>
      </c>
      <c r="BK4" s="96">
        <f>IF($K4=BK$3,IF($C4="X",0,$O4),0)</f>
        <v>0</v>
      </c>
      <c r="BL4" s="96">
        <f>IF($K4=BL$3,IF($C4="X",0,$O4),0)</f>
        <v>0</v>
      </c>
      <c r="BM4" s="99">
        <f>IF($K4=BM$3,IF($C4="X",0,$O4),0)</f>
        <v>0</v>
      </c>
      <c r="BN4" s="99">
        <f>IF($K4=BN$3,IF($C4="X",0,$O4),0)</f>
        <v>0</v>
      </c>
      <c r="BO4" s="99">
        <f>IF($K4=BO$3,IF($C4="X",0,$O4),0)</f>
        <v>0</v>
      </c>
      <c r="BP4" s="99">
        <f>IF($K4=BP$3,IF($C4="X",0,$O4),0)</f>
        <v>0</v>
      </c>
      <c r="BQ4" s="97">
        <f>IF($K4=BQ$3,IF($C4="X",0,$O4),0)</f>
        <v>0</v>
      </c>
      <c r="BR4" s="94">
        <f>IF($K4=BR$3,IF($C4="X",0,$O4),0)</f>
        <v>0</v>
      </c>
      <c r="BS4" s="100">
        <f>IF($B4="LOSS",IF(AND($K4=BS$3,$C4="L"),-$O4,0)+IF(AND($K5=BS$3,$C5="L"),-$O5,0)+IF(AND($K6=BS$3,$C6="L"),-$O6,0),IF(OR(AND($K4=BS$3,OR($C4="W",$C4="1/2W")),AND($K5=BS$3,OR($C5="W",$C5="1/2W")),AND($K6=BS$3,OR($C6="W",$C6="1/2W"))),$S4,0))</f>
        <v>0</v>
      </c>
      <c r="BT4" s="96">
        <f>IF($B4="LOSS",IF(AND($K4=BT$3,$C4="L"),-$O4,0)+IF(AND($K5=BT$3,$C5="L"),-$O5,0)+IF(AND($K5=BT$3,$C6="L"),-$O6,0),IF(OR(AND($K5=BT$3,OR($C4="W",$C4="1/2W")),AND($K5=BT$3,OR($C5="W",$C5="1/2W")),AND($K5=BT$3,OR($C6="W",$C6="1/2W"))),$S4,0))</f>
        <v>0</v>
      </c>
      <c r="BU4" s="96">
        <f>IF($B4="LOSS",IF(AND($K4=BU$3,$C4="L"),-$O4,0)+IF(AND($K5=BU$3,$C5="L"),-$O5,0)+IF(AND($K5=BU$3,$C6="L"),-$O6,0),IF(OR(AND($K5=BU$3,OR($C4="W",$C4="1/2W")),AND($K5=BU$3,OR($C5="W",$C5="1/2W")),AND($K5=BU$3,OR($C6="W",$C6="1/2W"))),$S4,0))</f>
        <v>0</v>
      </c>
      <c r="BV4" s="96">
        <f>IF($B4="LOSS",IF(AND($K4=BV$3,$C4="L"),-$O4,0)+IF(AND($K5=BV$3,$C5="L"),-$O5,0)+IF(AND($K6=BV$3,$C6="L"),-$O6,0),IF(OR(AND($K4=BV$3,OR($C4="W",$C4="1/2W")),AND($K5=BV$3,OR($C5="W",$C5="1/2W")),AND($K6=BV$3,OR($C6="W",$C6="1/2W"))),$S4,0))</f>
        <v>0</v>
      </c>
      <c r="BW4" s="96">
        <f>IF($B4="LOSS",IF(AND($K4=BW$3,$C4="L"),-$O4,0)+IF(AND($K5=BW$3,$C5="L"),-$O5,0)+IF(AND($K6=BW$3,$C6="L"),-$O6,0),IF(OR(AND($K4=BW$3,OR($C4="W",$C4="1/2W")),AND($K5=BW$3,OR($C5="W",$C5="1/2W")),AND($K6=BW$3,OR($C6="W",$C6="1/2W"))),$S4,0))</f>
        <v>0</v>
      </c>
      <c r="BX4" s="96">
        <f>IF($B4="LOSS",IF(AND($K4=BX$3,$C4="L"),-$O4,0)+IF(AND($K5=BX$3,$C5="L"),-$O5,0)+IF(AND($K6=BX$3,$C6="L"),-$O6,0),IF(OR(AND($K4=BX$3,OR($C4="W",$C4="1/2W")),AND($K5=BX$3,OR($C5="W",$C5="1/2W")),AND($K6=BX$3,OR($C6="W",$C6="1/2W"))),$S4,0))</f>
        <v>0</v>
      </c>
      <c r="BY4" s="96">
        <f>IF($B4="LOSS",IF(AND($K4=BY$3,$C4="L"),-$O4,0)+IF(AND($K5=BY$3,$C5="L"),-$O5,0)+IF(AND($K6=BY$3,$C6="L"),-$O6,0),IF(OR(AND($K4=BY$3,OR($C4="W",$C4="1/2W")),AND($K5=BY$3,OR($C5="W",$C5="1/2W")),AND($K6=BY$3,OR($C6="W",$C6="1/2W"))),$S4,0))</f>
        <v>0</v>
      </c>
      <c r="BZ4" s="96">
        <f>IF($B4="LOSS",IF(AND($K4=BZ$3,$C4="L"),-$O4,0)+IF(AND($K5=BZ$3,$C5="L"),-$O5,0)+IF(AND($K6=BZ$3,$C6="L"),-$O6,0),IF(OR(AND($K4=BZ$3,OR($C4="W",$C4="1/2W")),AND($K5=BZ$3,OR($C5="W",$C5="1/2W")),AND($K6=BZ$3,OR($C6="W",$C6="1/2W"))),$S4,0))</f>
        <v>0</v>
      </c>
      <c r="CA4" s="96">
        <f>IF($B4="LOSS",IF(AND($K4=CA$3,$C4="L"),-$O4,0)+IF(AND($K5=CA$3,$C5="L"),-$O5,0)+IF(AND($K6=CA$3,$C6="L"),-$O6,0),IF(OR(AND($K4=CA$3,OR($C4="W",$C4="1/2W")),AND($K5=CA$3,OR($C5="W",$C5="1/2W")),AND($K6=CA$3,OR($C6="W",$C6="1/2W"))),$S4,0))</f>
        <v>0</v>
      </c>
      <c r="CB4" s="96">
        <f>IF($B4="LOSS",IF(AND($K4=CB$3,$C4="L"),-$O4,0)+IF(AND($K5=CB$3,$C5="L"),-$O5,0)+IF(AND($K6=CB$3,$C6="L"),-$O6,0),IF(OR(AND($K4=CB$3,OR($C4="W",$C4="1/2W")),AND($K5=CB$3,OR($C5="W",$C5="1/2W")),AND($K6=CB$3,OR($C6="W",$C6="1/2W"))),$S4,0))</f>
        <v>0</v>
      </c>
      <c r="CC4" s="96">
        <f>IF($B4="LOSS",IF(AND($K4=CC$3,$C4="L"),-$O4,0)+IF(AND($K5=CC$3,$C5="L"),-$O5,0)+IF(AND($K6=CC$3,$C6="L"),-$O6,0),IF(OR(AND($K4=CC$3,OR($C4="W",$C4="1/2W")),AND($K5=CC$3,OR($C5="W",$C5="1/2W")),AND($K6=CC$3,OR($C6="W",$C6="1/2W"))),$S4,0))</f>
        <v>0</v>
      </c>
      <c r="CD4" s="97">
        <f>IF($B4="LOSS",IF(AND($K4=CD$3,$C4="L"),-$O4,0)+IF(AND($K5=CD$3,$C5="L"),-$O5,0)+IF(AND($K6=CD$3,$C6="L"),-$O6,0),IF(OR(AND($K4=CD$3,OR($C4="W",$C4="1/2W")),AND($K5=CD$3,OR($C5="W",$C5="1/2W")),AND($K6=CD$3,OR($C6="W",$C6="1/2W"))),$S4,0))</f>
        <v>2.5</v>
      </c>
      <c r="CE4" s="94">
        <f>IF($B4="LOSS",IF(AND($K4=CE$3,$C4="L"),-$O4,0)+IF(AND($K5=CE$3,$C5="L"),-$O5,0)+IF(AND($K6=CE$3,$C6="L"),-$O6,0),IF(OR(AND($K4=CE$3,OR($C4="W",$C4="1/2W")),AND($K5=CE$3,OR($C5="W",$C5="1/2W")),AND($K6=CE$3,OR($C6="W",$C6="1/2W"))),$S4,0))</f>
        <v>0</v>
      </c>
      <c r="CF4" s="101">
        <f>IF(CF$3=$K4,IF($C4="W",1,IF($C4="1/2W",0.5,0)),0)</f>
        <v>0</v>
      </c>
      <c r="CG4" s="102">
        <f>IF(CF$3=$K4,IF($C4="L",1,IF($C4="1/2L",0.5,0)),0)</f>
        <v>0</v>
      </c>
      <c r="CH4" s="103">
        <f>IF(CH$3=$K4,IF($C4="W",1,IF($C4="1/2W",0.5,0)),0)</f>
        <v>0</v>
      </c>
      <c r="CI4" s="102">
        <f>IF(CH$3=$K4,IF($C4="L",1,IF($C4="1/2L",0.5,0)),0)</f>
        <v>0</v>
      </c>
      <c r="CJ4" s="103">
        <f>IF(CJ$3=$K4,IF($C4="W",1,IF($C4="1/2W",0.5,0)),0)</f>
        <v>0</v>
      </c>
      <c r="CK4" s="102">
        <f>IF(CJ$3=$K4,IF($C4="L",1,IF($C4="1/2L",0.5,0)),0)</f>
        <v>0</v>
      </c>
      <c r="CL4" s="103">
        <f>IF(CL$3=$K4,IF($C4="W",1,IF($C4="1/2W",0.5,0)),0)</f>
        <v>0</v>
      </c>
      <c r="CM4" s="104">
        <f>IF(CL$3=$K4,IF($C4="L",1,IF($C4="1/2L",0.5,0)),0)</f>
        <v>0</v>
      </c>
      <c r="CN4" s="104">
        <f>IF(CN$3=$K4,IF($C4="W",1,IF($C4="1/2W",0.5,0)),0)</f>
        <v>0</v>
      </c>
      <c r="CO4" s="104">
        <f>IF(CN$3=$K4,IF($C4="L",1,IF($C4="1/2L",0.5,0)),0)</f>
        <v>1</v>
      </c>
      <c r="CP4" s="104">
        <f>IF(CP$3=$K4,IF($C4="W",1,IF($C4="1/2W",0.5,0)),0)</f>
        <v>0</v>
      </c>
      <c r="CQ4" s="104">
        <f>IF(CP$3=$K4,IF($C4="L",1,IF($C4="1/2L",0.5,0)),0)</f>
        <v>0</v>
      </c>
      <c r="CR4" s="104">
        <f>IF(CR$3=$K4,IF($C4="W",1,IF($C4="1/2W",0.5,0)),0)</f>
        <v>0</v>
      </c>
      <c r="CS4" s="104">
        <f>IF(CR$3=$K4,IF($C4="L",1,IF($C4="1/2L",0.5,0)),0)</f>
        <v>0</v>
      </c>
      <c r="CT4" s="104">
        <f>IF(CT$3=$K4,IF($C4="W",1,IF($C4="1/2W",0.5,0)),0)</f>
        <v>0</v>
      </c>
      <c r="CU4" s="104">
        <f>IF(CT$3=$K4,IF($C4="L",1,IF($C4="1/2L",0.5,0)),0)</f>
        <v>0</v>
      </c>
      <c r="CV4" s="104">
        <f>IF(CV$3=$K4,IF($C4="W",1,IF($C4="1/2W",0.5,0)),0)</f>
        <v>0</v>
      </c>
      <c r="CW4" s="104">
        <f>IF(CV$3=$K4,IF($C4="L",1,IF($C4="1/2L",0.5,0)),0)</f>
        <v>0</v>
      </c>
      <c r="CX4" s="104">
        <f>IF(CX$3=$K4,IF($C4="W",1,IF($C4="1/2W",0.5,0)),0)</f>
        <v>0</v>
      </c>
      <c r="CY4" s="104">
        <f>IF(CX$3=$K4,IF($C4="L",1,IF($C4="1/2L",0.5,0)),0)</f>
        <v>0</v>
      </c>
      <c r="CZ4" s="104">
        <f>IF(CZ$3=$K4,IF($C4="W",1,IF($C4="1/2W",0.5,0)),0)</f>
        <v>0</v>
      </c>
      <c r="DA4" s="104">
        <f>IF(CZ$3=$K4,IF($C4="L",1,IF($C4="1/2L",0.5,0)),0)</f>
        <v>0</v>
      </c>
      <c r="DB4" s="104">
        <f>IF(DB$3=$K4,IF($C4="W",1,IF($C4="1/2W",0.5,0)),0)</f>
        <v>0</v>
      </c>
      <c r="DC4" s="104">
        <f>IF(DB$3=$K4,IF($C4="L",1,IF($C4="1/2L",0.5,0)),0)</f>
        <v>0</v>
      </c>
      <c r="DD4" s="104">
        <f>IF(DD$3=$K4,IF($C4="W",1,IF($C4="1/2W",0.5,0)),0)</f>
        <v>0</v>
      </c>
      <c r="DE4" s="105">
        <f>IF(DD$3=$K4,IF($C4="L",1,IF($C4="1/2L",0.5,0)),0)</f>
        <v>0</v>
      </c>
      <c r="DF4" s="101">
        <f>IF(AND(L4&lt;DF$3,$C4="W"),1,0)</f>
        <v>0</v>
      </c>
      <c r="DG4" s="93">
        <f>IF(DF4&gt;DF3,L4,0)</f>
        <v>0</v>
      </c>
      <c r="DH4" s="104">
        <f>IF(AND(L4&gt;DH$3,$C4="W"),1,0)</f>
        <v>0</v>
      </c>
      <c r="DI4" s="93">
        <f>IF(DH4&gt;DH3,L4,0)</f>
        <v>0</v>
      </c>
      <c r="DJ4" s="106">
        <f>IF($D4="","",$D4)</f>
        <v>16</v>
      </c>
      <c r="DK4" s="106">
        <f>IF(AND($B4=" ",$D4&lt;&gt;""),1,0)</f>
        <v>0</v>
      </c>
    </row>
    <row r="5" ht="14.55" customHeight="1">
      <c r="A5" s="107"/>
      <c r="B5" s="108"/>
      <c r="C5" t="s" s="109">
        <v>56</v>
      </c>
      <c r="D5" s="110"/>
      <c r="E5" s="111"/>
      <c r="F5" s="112"/>
      <c r="G5" s="113"/>
      <c r="H5" s="114"/>
      <c r="I5" t="s" s="115">
        <v>57</v>
      </c>
      <c r="J5" s="116">
        <v>0</v>
      </c>
      <c r="K5" t="s" s="117">
        <v>48</v>
      </c>
      <c r="L5" s="118">
        <v>1.87</v>
      </c>
      <c r="M5" s="119">
        <v>8.75</v>
      </c>
      <c r="N5" s="120"/>
      <c r="O5" s="121">
        <f>IF(OR(AE4="",AE5=""),"",ROUND(IF(L6&gt;0,IF(M5&gt;0,M5,IF(M4&gt;0,IF(N4=TRUE,ROUND((M4*AE5)/AE4,0),(M4*AE5)/AE4),IF(M5&gt;0,ROUND(M5,IF(N4=0,2,IF(N4=0.1,1,0))),IF(M6&gt;0,ROUND(O6*AE5/AE6,IF(N4=0,2,IF(N4=0.1,1,0))),0)))),IF(M5&gt;0,M5,ROUND((M4*AE5)/AE4,IF(N4=0,2,IF(N4=0.1,1,0))))),2))</f>
        <v>8.75</v>
      </c>
      <c r="P5" s="122">
        <f>IF(OR(L5="",O5=""),"",IF($C5="1/2W",O5/2+O5/2*L5,IF($C5="1/2L",O5/2,IF(I5="Lay",((O5*(L5/(L5-1)))-O5)*(1-_xlfn.XLOOKUP(K5,'Janeiro 2023 - Valor Real'!A3:A15,'Janeiro 2023 - Valor Real'!C3:C15,0))+O5,(O5*L5-O5)*(1-_xlfn.XLOOKUP(K5,'Janeiro 2023 - Valor Real'!A3:A15,'Janeiro 2023 - Valor Real'!C3:C15,0))+O5))))</f>
        <v>16.3625</v>
      </c>
      <c r="Q5" s="123">
        <f>IF(K5="","",IF(_xlfn.XLOOKUP(K5,K$4:K4,$DJ$4:DJ4,0,,-1)=DJ5,_xlfn.XLOOKUP(K5,K$4:K4,Q$4:Q4,1,,-1)+1,1))</f>
        <v>1</v>
      </c>
      <c r="R5" s="124">
        <f>IF(K5="","",_xlfn.XLOOKUP(K5,K$4:K4,R$4:R4,0,,-1)+IF($C5=" ",1,0))</f>
        <v>0</v>
      </c>
      <c r="S5" s="125"/>
      <c r="T5" s="126"/>
      <c r="U5" s="126"/>
      <c r="V5" s="126"/>
      <c r="W5" s="126"/>
      <c r="X5" s="127"/>
      <c r="Y5" s="128"/>
      <c r="Z5" s="129"/>
      <c r="AA5" s="129"/>
      <c r="AB5" s="129"/>
      <c r="AC5" s="129"/>
      <c r="AD5" s="130"/>
      <c r="AE5" s="131">
        <f>IF(L5="","",IF(L6&gt;0,(SUM(((L4-1)*(1-_xlfn.XLOOKUP(K4,'Janeiro 2023 - Valor Real'!A3:A15,'Janeiro 2023 - Valor Real'!C3:C15,0))+1),((L5-1)*(1-_xlfn.XLOOKUP(K5,'Janeiro 2023 - Valor Real'!A3:A15,'Janeiro 2023 - Valor Real'!C3:C15,0))+1),((L6-1)*(1-_xlfn.XLOOKUP(K6,'Janeiro 2023 - Valor Real'!A3:A15,'Janeiro 2023 - Valor Real'!C3:C15,0))+1))/((L5-1)*(1-_xlfn.XLOOKUP(K5,'Janeiro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Real'!C3:C15,0))+1))/((L4-1)*(1-_xlfn.XLOOKUP(K4,'Janeiro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Real'!C3:C15,0))+1))/((L5-1)*(1-_xlfn.XLOOKUP(K5,'Janeiro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Real'!C3:C15,0))+1))/((L6-1)*(1-_xlfn.XLOOKUP(K6,'Janeiro 2023 - Valor Real'!A3:A15,'Janeiro 2023 - Valor Real'!C3:C15,0))+1)),IF(I5="Lay",IF(I4="Lay",((L4/(L4-1)-1)*(1-_xlfn.XLOOKUP(K4,'Janeiro 2023 - Valor Real'!A3:A15,'Janeiro 2023 - Valor Real'!C3:C15,0))+1)/(((L4/(L4-1)-1)*(1-_xlfn.XLOOKUP(K4,'Janeiro 2023 - Valor Real'!A3:A15,'Janeiro 2023 - Valor Real'!C3:C15,0))+1)+((L5/(L5-1)-1)*(1-_xlfn.XLOOKUP(K5,'Janeiro 2023 - Valor Real'!A3:A15,'Janeiro 2023 - Valor Real'!C3:C15,0))+1)),((L4-1)*(1-_xlfn.XLOOKUP(K4,'Janeiro 2023 - Valor Real'!A3:A15,'Janeiro 2023 - Valor Real'!C3:C15,0))+1)/(((L4-1)*(1-_xlfn.XLOOKUP(K4,'Janeiro 2023 - Valor Real'!A3:A15,'Janeiro 2023 - Valor Real'!C3:C15,0))+1)+((L5/(L5-1)-1)*(1-_xlfn.XLOOKUP(K5,'Janeiro 2023 - Valor Real'!A3:A15,'Janeiro 2023 - Valor Real'!C3:C15,0))+1))),IF(I4="Lay",((L4/(L4-1)-1)*(1-_xlfn.XLOOKUP(K4,'Janeiro 2023 - Valor Real'!A3:A15,'Janeiro 2023 - Valor Real'!C3:C15,0))+1)/((((L4/(L4-1)-1)*(1-_xlfn.XLOOKUP(K4,'Janeiro 2023 - Valor Real'!A3:A15,'Janeiro 2023 - Valor Real'!C3:C15,0))+1))+((L5-1)*(1-_xlfn.XLOOKUP(K5,'Janeiro 2023 - Valor Real'!A3:A15,'Janeiro 2023 - Valor Real'!C3:C15,0))+1)),((L4-1)*(1-_xlfn.XLOOKUP(K4,'Janeiro 2023 - Valor Real'!A3:A15,'Janeiro 2023 - Valor Real'!C3:C15,0))+1)/(((L4-1)*(1-_xlfn.XLOOKUP(K4,'Janeiro 2023 - Valor Real'!A3:A15,'Janeiro 2023 - Valor Real'!C3:C15,0))+1)+((L5-1)*(1-_xlfn.XLOOKUP(K5,'Janeiro 2023 - Valor Real'!A3:A15,'Janeiro 2023 - Valor Real'!C3:C15,0))+1))))))</f>
        <v>0.631163708086785</v>
      </c>
      <c r="AF5" s="132">
        <f>IF($K5=AF$3,ROUND(IF(OR($C5="W",$C5="1/2W",$C5="1/2L"),$P5-$O5,IF($C5="X",0,-$O5)),2),0)</f>
        <v>0</v>
      </c>
      <c r="AG5" s="133">
        <f>IF($K5=AG$3,ROUND(IF(OR($C5="W",$C5="1/2W",$C5="1/2L"),$P5-$O5,IF($C5="X",0,-$O5)),2),0)</f>
        <v>0</v>
      </c>
      <c r="AH5" s="133">
        <f>IF($K5=AH$3,ROUND(IF(OR($C5="W",$C5="1/2W",$C5="1/2L"),$P5-$O5,IF($C5="X",0,-$O5)),2),0)</f>
        <v>0</v>
      </c>
      <c r="AI5" s="133">
        <f>IF($K5=AI$3,ROUND(IF(OR($C5="W",$C5="1/2W",$C5="1/2L"),$P5-$O5,IF($C5="X",0,-$O5)),2),0)</f>
        <v>0</v>
      </c>
      <c r="AJ5" s="133">
        <f>IF($K5=AJ$3,ROUND(IF(OR($C5="W",$C5="1/2W",$C5="1/2L"),$P5-$O5,IF($C5="X",0,-$O5)),2),0)</f>
        <v>0</v>
      </c>
      <c r="AK5" s="133">
        <f>IF($K5=AK$3,ROUND(IF(OR($C5="W",$C5="1/2W",$C5="1/2L"),$P5-$O5,IF($C5="X",0,-$O5)),2),0)</f>
        <v>0</v>
      </c>
      <c r="AL5" s="133">
        <f>IF($K5=AL$3,ROUND(IF(OR($C5="W",$C5="1/2W",$C5="1/2L"),$P5-$O5,IF($C5="X",0,-$O5)),2),0)</f>
        <v>0</v>
      </c>
      <c r="AM5" s="133">
        <f>IF($K5=AM$3,ROUND(IF(OR($C5="W",$C5="1/2W",$C5="1/2L"),$P5-$O5,IF($C5="X",0,-$O5)),2),0)</f>
        <v>0</v>
      </c>
      <c r="AN5" s="133">
        <f>IF($K5=AN$3,ROUND(IF(OR($C5="W",$C5="1/2W",$C5="1/2L"),$P5-$O5,IF($C5="X",0,-$O5)),2),0)</f>
        <v>0</v>
      </c>
      <c r="AO5" s="133">
        <f>IF($K5=AO$3,ROUND(IF(OR($C5="W",$C5="1/2W",$C5="1/2L"),$P5-$O5,IF($C5="X",0,-$O5)),2),0)</f>
        <v>0</v>
      </c>
      <c r="AP5" s="133">
        <f>IF($K5=AP$3,ROUND(IF(OR($C5="W",$C5="1/2W",$C5="1/2L"),$P5-$O5,IF($C5="X",0,-$O5)),2),0)</f>
        <v>0</v>
      </c>
      <c r="AQ5" s="133">
        <f>IF($K5=AQ$3,ROUND(IF(OR($C5="W",$C5="1/2W",$C5="1/2L"),$P5-$O5,IF($C5="X",0,-$O5)),2),0)</f>
        <v>7.61</v>
      </c>
      <c r="AR5" s="134">
        <f>IF($K5=AR$3,ROUND(IF(OR($C5="W",$C5="1/2W",$C5="1/2L"),$P5-$O5,IF($C5="X",0,-$O5)),2),0)</f>
        <v>0</v>
      </c>
      <c r="AS5" s="132">
        <f>IF(AND($B4=" ",$K5=AS$3),$O5,0)</f>
        <v>0</v>
      </c>
      <c r="AT5" s="133">
        <f>IF(AND($B4=" ",K5=AT$3),$O5,0)</f>
        <v>0</v>
      </c>
      <c r="AU5" s="133">
        <f>IF(AND($B4=" ",$K5=AU$3),$O5,0)</f>
        <v>0</v>
      </c>
      <c r="AV5" s="133">
        <f>IF(AND($B4=" ",$K5=AV$3),$O5,0)</f>
        <v>0</v>
      </c>
      <c r="AW5" s="133">
        <f>IF(AND($B4=" ",$K5=AW$3),$O5,0)</f>
        <v>0</v>
      </c>
      <c r="AX5" s="133">
        <f>IF(AND($B4=" ",$K5=AX$3),$O5,0)</f>
        <v>0</v>
      </c>
      <c r="AY5" s="133">
        <f>IF(AND($B4=" ",$K5=AY$3),$O5,0)</f>
        <v>0</v>
      </c>
      <c r="AZ5" s="135">
        <f>IF(AND($B4=" ",$K5=AZ$3),$O5,0)</f>
        <v>0</v>
      </c>
      <c r="BA5" s="136">
        <f>IF(AND($B4=" ",$K5=BA$3),$O5,0)</f>
        <v>0</v>
      </c>
      <c r="BB5" s="136">
        <f>IF(AND($B4=" ",$K5=BB$3),$O5,0)</f>
        <v>0</v>
      </c>
      <c r="BC5" s="137">
        <f>IF(AND($B4=" ",$K5=BC$3),$O5,0)</f>
        <v>0</v>
      </c>
      <c r="BD5" s="133">
        <f>IF(AND($B4=" ",$K5=BD$3),$O5,0)</f>
        <v>0</v>
      </c>
      <c r="BE5" s="134">
        <f>IF(AND($B4=" ",$K5=BE$3),$O5,0)</f>
        <v>0</v>
      </c>
      <c r="BF5" s="138">
        <f>IF($K5=BF$3,IF($C5="X",0,$O5),0)</f>
        <v>0</v>
      </c>
      <c r="BG5" s="136">
        <f>IF($K5=BG$3,IF($C5="X",0,$O5),0)</f>
        <v>0</v>
      </c>
      <c r="BH5" s="136">
        <f>IF($K5=BH$3,IF($C5="X",0,$O5),0)</f>
        <v>0</v>
      </c>
      <c r="BI5" s="136">
        <f>IF($K5=BI$3,IF($C5="X",0,$O5),0)</f>
        <v>0</v>
      </c>
      <c r="BJ5" s="136">
        <f>IF($K5=BJ$3,IF($C5="X",0,$O5),0)</f>
        <v>0</v>
      </c>
      <c r="BK5" s="136">
        <f>IF($K5=BK$3,IF($C5="X",0,$O5),0)</f>
        <v>0</v>
      </c>
      <c r="BL5" s="136">
        <f>IF($K5=BL$3,IF($C5="X",0,$O5),0)</f>
        <v>0</v>
      </c>
      <c r="BM5" s="136">
        <f>IF($K5=BM$3,IF($C5="X",0,$O5),0)</f>
        <v>0</v>
      </c>
      <c r="BN5" s="136">
        <f>IF($K5=BN$3,IF($C5="X",0,$O5),0)</f>
        <v>0</v>
      </c>
      <c r="BO5" s="136">
        <f>IF($K5=BO$3,IF($C5="X",0,$O5),0)</f>
        <v>0</v>
      </c>
      <c r="BP5" s="136">
        <f>IF($K5=BP$3,IF($C5="X",0,$O5),0)</f>
        <v>0</v>
      </c>
      <c r="BQ5" s="137">
        <f>IF($K5=BQ$3,IF($C5="X",0,$O5),0)</f>
        <v>8.75</v>
      </c>
      <c r="BR5" s="134">
        <f>IF($K5=BR$3,IF($C5="X",0,$O5),0)</f>
        <v>0</v>
      </c>
      <c r="BS5" s="139"/>
      <c r="BT5" s="140"/>
      <c r="BU5" s="140"/>
      <c r="BV5" s="140"/>
      <c r="BW5" s="140"/>
      <c r="BX5" s="140"/>
      <c r="BY5" s="140"/>
      <c r="BZ5" s="140"/>
      <c r="CA5" s="140"/>
      <c r="CB5" s="140"/>
      <c r="CC5" s="140"/>
      <c r="CD5" s="141"/>
      <c r="CE5" s="142"/>
      <c r="CF5" s="143">
        <f>IF(CF$3=$K5,IF($C5="W",1,IF($C5="1/2W",0.5,0)),0)</f>
        <v>0</v>
      </c>
      <c r="CG5" s="144">
        <f>IF(CF$3=$K5,IF($C5="L",1,IF($C5="1/2L",0.5,0)),0)</f>
        <v>0</v>
      </c>
      <c r="CH5" s="145">
        <f>IF(CH$3=$K5,IF($C5="W",1,IF($C5="1/2W",0.5,0)),0)</f>
        <v>0</v>
      </c>
      <c r="CI5" s="144">
        <f>IF(CH$3=$K5,IF($C5="L",1,IF($C5="1/2L",0.5,0)),0)</f>
        <v>0</v>
      </c>
      <c r="CJ5" s="145">
        <f>IF(CJ$3=$K5,IF($C5="W",1,IF($C5="1/2W",0.5,0)),0)</f>
        <v>0</v>
      </c>
      <c r="CK5" s="144">
        <f>IF(CJ$3=$K5,IF($C5="L",1,IF($C5="1/2L",0.5,0)),0)</f>
        <v>0</v>
      </c>
      <c r="CL5" s="145">
        <f>IF(CL$3=$K5,IF($C5="W",1,IF($C5="1/2W",0.5,0)),0)</f>
        <v>0</v>
      </c>
      <c r="CM5" s="146">
        <f>IF(CL$3=$K5,IF($C5="L",1,IF($C5="1/2L",0.5,0)),0)</f>
        <v>0</v>
      </c>
      <c r="CN5" s="146">
        <f>IF(CN$3=$K5,IF($C5="W",1,IF($C5="1/2W",0.5,0)),0)</f>
        <v>0</v>
      </c>
      <c r="CO5" s="146">
        <f>IF(CN$3=$K5,IF($C5="L",1,IF($C5="1/2L",0.5,0)),0)</f>
        <v>0</v>
      </c>
      <c r="CP5" s="146">
        <f>IF(CP$3=$K5,IF($C5="W",1,IF($C5="1/2W",0.5,0)),0)</f>
        <v>0</v>
      </c>
      <c r="CQ5" s="146">
        <f>IF(CP$3=$K5,IF($C5="L",1,IF($C5="1/2L",0.5,0)),0)</f>
        <v>0</v>
      </c>
      <c r="CR5" s="146">
        <f>IF(CR$3=$K5,IF($C5="W",1,IF($C5="1/2W",0.5,0)),0)</f>
        <v>0</v>
      </c>
      <c r="CS5" s="146">
        <f>IF(CR$3=$K5,IF($C5="L",1,IF($C5="1/2L",0.5,0)),0)</f>
        <v>0</v>
      </c>
      <c r="CT5" s="146">
        <f>IF(CT$3=$K5,IF($C5="W",1,IF($C5="1/2W",0.5,0)),0)</f>
        <v>0</v>
      </c>
      <c r="CU5" s="146">
        <f>IF(CT$3=$K5,IF($C5="L",1,IF($C5="1/2L",0.5,0)),0)</f>
        <v>0</v>
      </c>
      <c r="CV5" s="146">
        <f>IF(CV$3=$K5,IF($C5="W",1,IF($C5="1/2W",0.5,0)),0)</f>
        <v>0</v>
      </c>
      <c r="CW5" s="146">
        <f>IF(CV$3=$K5,IF($C5="L",1,IF($C5="1/2L",0.5,0)),0)</f>
        <v>0</v>
      </c>
      <c r="CX5" s="146">
        <f>IF(CX$3=$K5,IF($C5="W",1,IF($C5="1/2W",0.5,0)),0)</f>
        <v>0</v>
      </c>
      <c r="CY5" s="146">
        <f>IF(CX$3=$K5,IF($C5="L",1,IF($C5="1/2L",0.5,0)),0)</f>
        <v>0</v>
      </c>
      <c r="CZ5" s="146">
        <f>IF(CZ$3=$K5,IF($C5="W",1,IF($C5="1/2W",0.5,0)),0)</f>
        <v>0</v>
      </c>
      <c r="DA5" s="146">
        <f>IF(CZ$3=$K5,IF($C5="L",1,IF($C5="1/2L",0.5,0)),0)</f>
        <v>0</v>
      </c>
      <c r="DB5" s="146">
        <f>IF(DB$3=$K5,IF($C5="W",1,IF($C5="1/2W",0.5,0)),0)</f>
        <v>1</v>
      </c>
      <c r="DC5" s="146">
        <f>IF(DB$3=$K5,IF($C5="L",1,IF($C5="1/2L",0.5,0)),0)</f>
        <v>0</v>
      </c>
      <c r="DD5" s="146">
        <f>IF(DD$3=$K5,IF($C5="W",1,IF($C5="1/2W",0.5,0)),0)</f>
        <v>0</v>
      </c>
      <c r="DE5" s="147">
        <f>IF(DD$3=$K5,IF($C5="L",1,IF($C5="1/2L",0.5,0)),0)</f>
        <v>0</v>
      </c>
      <c r="DF5" s="143">
        <f>IF(AND(L5&lt;DF$3,$C5="W"),1+DF4,DF4)</f>
        <v>0</v>
      </c>
      <c r="DG5" s="133">
        <f>IF(DF5&gt;DF4,L5+DG4,DG4)</f>
        <v>0</v>
      </c>
      <c r="DH5" s="146">
        <f>IF(AND(L5&gt;DH$3,$C5="W"),1+DH4,0+DH4)</f>
        <v>0</v>
      </c>
      <c r="DI5" s="133">
        <f>IF(DH5&gt;DH4,L5+DI4,DI4)</f>
        <v>0</v>
      </c>
      <c r="DJ5" s="148">
        <f>IF($D4="","",$D4)</f>
        <v>16</v>
      </c>
      <c r="DK5" s="129"/>
    </row>
    <row r="6" ht="14.55" customHeight="1">
      <c r="A6" s="149"/>
      <c r="B6" s="150"/>
      <c r="C6" t="s" s="151">
        <v>58</v>
      </c>
      <c r="D6" s="152"/>
      <c r="E6" s="153"/>
      <c r="F6" s="154"/>
      <c r="G6" s="155"/>
      <c r="H6" s="156"/>
      <c r="I6" s="157"/>
      <c r="J6" s="158"/>
      <c r="K6" s="156"/>
      <c r="L6" s="159"/>
      <c r="M6" s="160"/>
      <c r="N6" s="161"/>
      <c r="O6" t="s" s="162">
        <f>IF(OR(AE4="",AE5=""),"",IF(L6&gt;0,ROUND(IF(M6&gt;0,M6,IF(M4&gt;0,ROUND((M4*AE6)/AE4,IF(N4=0,2,IF(N4=0.1,1,0))),IF(M5&gt;0,ROUND((M5*AE6)/AE5,IF(N4=0,2,IF(N4=0.1,1,0))),IF(M6&gt;0,M6,0)))),2),""))</f>
      </c>
      <c r="P6" t="s" s="163">
        <f>IF(I5="Lay",O5*(L5/(L5-1))-O5,IF(I4="Lay",O4*(L4/(L4-1))-O4,IF(OR(L6="",O6=""),"",IF($C6="1/2W",O6/2+O6/2*L6,IF($C6="1/2L",O6/2,(O6*L6-O6)*(1-_xlfn.XLOOKUP(K6,'Janeiro 2023 - Valor Real'!A3:A15,'Janeiro 2023 - Valor Real'!C3:C15,0))+O6)))))</f>
      </c>
      <c r="Q6" t="s" s="164">
        <f>IF(K6="","",IF(_xlfn.XLOOKUP(K6,K$4:K5,$DJ$4:DJ5,0,,-1)=DJ6,_xlfn.XLOOKUP(K6,K$4:K5,Q$4:Q5,1,,-1)+1,1))</f>
      </c>
      <c r="R6" t="s" s="165">
        <f>IF(K6="","",_xlfn.XLOOKUP(K6,K$4:K5,R$4:R5,0,,-1)+IF($C6=" ",1,0))</f>
      </c>
      <c r="S6" s="166"/>
      <c r="T6" s="155"/>
      <c r="U6" s="155"/>
      <c r="V6" s="155"/>
      <c r="W6" s="155"/>
      <c r="X6" s="167"/>
      <c r="Y6" s="128"/>
      <c r="Z6" s="129"/>
      <c r="AA6" s="129"/>
      <c r="AB6" s="129"/>
      <c r="AC6" s="129"/>
      <c r="AD6" s="168"/>
      <c r="AE6" t="s" s="169">
        <f>IF(L6="","",(SUM(((L4-1)*(1-_xlfn.XLOOKUP(K4,'Janeiro 2023 - Valor Real'!A3:A15,'Janeiro 2023 - Valor Real'!C3:C15,0))+1),((L5-1)*(1-_xlfn.XLOOKUP(K5,'Janeiro 2023 - Valor Real'!A3:A15,'Janeiro 2023 - Valor Real'!C3:C15,0))+1),((L6-1)*(1-_xlfn.XLOOKUP(K6,'Janeiro 2023 - Valor Real'!A3:A15,'Janeiro 2023 - Valor Real'!C3:C15,0))+1))/((L6-1)*(1-_xlfn.XLOOKUP(K6,'Janeiro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Real'!C3:C15,0))+1))/((L4-1)*(1-_xlfn.XLOOKUP(K4,'Janeiro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Real'!C3:C15,0))+1))/((L5-1)*(1-_xlfn.XLOOKUP(K5,'Janeiro 2023 - Valor Real'!A3:A15,'Janeiro 2023 - Valor Real'!C3:C15,0))+1)+SUM(((L4-1)*(1-_xlfn.XLOOKUP(K4,'Janeiro 2023 - Valor Real'!A3:A15,'Janeiro 2023 - Valor Real'!C3:C15,0))+1),((L5-1)*(1-_xlfn.XLOOKUP(K5,'Janeiro 2023 - Valor Real'!A3:A15,'Janeiro 2023 - Valor Real'!C3:C15,0))+1),((L6-1)*(1-_xlfn.XLOOKUP(K6,'Janeiro 2023 - Valor Real'!A3:A15,'Janeiro 2023 - Valor Real'!C3:C15,0))+1))/((L6-1)*(1-_xlfn.XLOOKUP(K6,'Janeiro 2023 - Valor Real'!A3:A15,'Janeiro 2023 - Valor Real'!C3:C15,0))+1)))</f>
      </c>
      <c r="AF6" s="132">
        <f>IF($K6=AF$3,ROUND(IF(OR($C6="W",$C6="1/2W",$C6="1/2L"),$P6-$O6,IF($C6="X",0,-$O6)),2),0)</f>
        <v>0</v>
      </c>
      <c r="AG6" s="133">
        <f>IF($K6=AG$3,ROUND(IF(OR($C6="W",$C6="1/2W",$C6="1/2L"),$P6-$O6,IF($C6="X",0,-$O6)),2),0)</f>
        <v>0</v>
      </c>
      <c r="AH6" s="133">
        <f>IF($K6=AH$3,ROUND(IF(OR($C6="W",$C6="1/2W",$C6="1/2L"),$P6-$O6,IF($C6="X",0,-$O6)),2),0)</f>
        <v>0</v>
      </c>
      <c r="AI6" s="133">
        <f>IF($K6=AI$3,ROUND(IF(OR($C6="W",$C6="1/2W",$C6="1/2L"),$P6-$O6,IF($C6="X",0,-$O6)),2),0)</f>
        <v>0</v>
      </c>
      <c r="AJ6" s="133">
        <f>IF($K6=AJ$3,ROUND(IF(OR($C6="W",$C6="1/2W",$C6="1/2L"),$P6-$O6,IF($C6="X",0,-$O6)),2),0)</f>
        <v>0</v>
      </c>
      <c r="AK6" s="133">
        <f>IF($K6=AK$3,ROUND(IF(OR($C6="W",$C6="1/2W",$C6="1/2L"),$P6-$O6,IF($C6="X",0,-$O6)),2),0)</f>
        <v>0</v>
      </c>
      <c r="AL6" s="133">
        <f>IF($K6=AL$3,ROUND(IF(OR($C6="W",$C6="1/2W",$C6="1/2L"),$P6-$O6,IF($C6="X",0,-$O6)),2),0)</f>
        <v>0</v>
      </c>
      <c r="AM6" s="133">
        <f>IF($K6=AM$3,ROUND(IF(OR($C6="W",$C6="1/2W",$C6="1/2L"),$P6-$O6,IF($C6="X",0,-$O6)),2),0)</f>
        <v>0</v>
      </c>
      <c r="AN6" s="133">
        <f>IF($K6=AN$3,ROUND(IF(OR($C6="W",$C6="1/2W",$C6="1/2L"),$P6-$O6,IF($C6="X",0,-$O6)),2),0)</f>
        <v>0</v>
      </c>
      <c r="AO6" s="133">
        <f>IF($K6=AO$3,ROUND(IF(OR($C6="W",$C6="1/2W",$C6="1/2L"),$P6-$O6,IF($C6="X",0,-$O6)),2),0)</f>
        <v>0</v>
      </c>
      <c r="AP6" s="133">
        <f>IF($K6=AP$3,ROUND(IF(OR($C6="W",$C6="1/2W",$C6="1/2L"),$P6-$O6,IF($C6="X",0,-$O6)),2),0)</f>
        <v>0</v>
      </c>
      <c r="AQ6" s="133">
        <f>IF($K6=AQ$3,ROUND(IF(OR($C6="W",$C6="1/2W",$C6="1/2L"),$P6-$O6,IF($C6="X",0,-$O6)),2),0)</f>
        <v>0</v>
      </c>
      <c r="AR6" s="134">
        <f>IF($K6=AR$3,ROUND(IF(OR($C6="W",$C6="1/2W",$C6="1/2L"),$P6-$O6,IF($C6="X",0,-$O6)),2),0)</f>
        <v>0</v>
      </c>
      <c r="AS6" s="132">
        <f>IF(AND($B4=" ",$K6=AS$3),$O6,0)</f>
        <v>0</v>
      </c>
      <c r="AT6" s="133">
        <f>IF(AND($B4=" ",K6=AT$3),$O6,0)</f>
        <v>0</v>
      </c>
      <c r="AU6" s="133">
        <f>IF(AND($B4=" ",$K6=AU$3),$O6,0)</f>
        <v>0</v>
      </c>
      <c r="AV6" s="133">
        <f>IF(AND($B4=" ",$K6=AV$3),$O6,0)</f>
        <v>0</v>
      </c>
      <c r="AW6" s="133">
        <f>IF(AND($B4=" ",$K6=AW$3),$O6,0)</f>
        <v>0</v>
      </c>
      <c r="AX6" s="133">
        <f>IF(AND($B4=" ",$K6=AX$3),$O6,0)</f>
        <v>0</v>
      </c>
      <c r="AY6" s="133">
        <f>IF(AND($B4=" ",$K6=AY$3),$O6,0)</f>
        <v>0</v>
      </c>
      <c r="AZ6" s="135">
        <f>IF(AND($B4=" ",$K6=AZ$3),$O6,0)</f>
        <v>0</v>
      </c>
      <c r="BA6" s="136">
        <f>IF(AND($B4=" ",$K6=BA$3),$O6,0)</f>
        <v>0</v>
      </c>
      <c r="BB6" s="136">
        <f>IF(AND($B4=" ",$K6=BB$3),$O6,0)</f>
        <v>0</v>
      </c>
      <c r="BC6" s="137">
        <f>IF(AND($B4=" ",$K6=BC$3),$O6,0)</f>
        <v>0</v>
      </c>
      <c r="BD6" s="133">
        <f>IF(AND($B4=" ",$K6=BD$3),$O6,0)</f>
        <v>0</v>
      </c>
      <c r="BE6" s="134">
        <f>IF(AND($B4=" ",$K6=BE$3),$O6,0)</f>
        <v>0</v>
      </c>
      <c r="BF6" s="170">
        <f>IF($K6=BF$3,IF($C6="X",0,$O6),0)</f>
        <v>0</v>
      </c>
      <c r="BG6" s="136">
        <f>IF($K6=BG$3,IF($C6="X",0,$O6),0)</f>
        <v>0</v>
      </c>
      <c r="BH6" s="136">
        <f>IF($K6=BH$3,IF($C6="X",0,$O6),0)</f>
        <v>0</v>
      </c>
      <c r="BI6" s="136">
        <f>IF($K6=BI$3,IF($C6="X",0,$O6),0)</f>
        <v>0</v>
      </c>
      <c r="BJ6" s="136">
        <f>IF($K6=BJ$3,IF($C6="X",0,$O6),0)</f>
        <v>0</v>
      </c>
      <c r="BK6" s="136">
        <f>IF($K6=BK$3,IF($C6="X",0,$O6),0)</f>
        <v>0</v>
      </c>
      <c r="BL6" s="136">
        <f>IF($K6=BL$3,IF($C6="X",0,$O6),0)</f>
        <v>0</v>
      </c>
      <c r="BM6" s="136">
        <f>IF($K6=BM$3,IF($C6="X",0,$O6),0)</f>
        <v>0</v>
      </c>
      <c r="BN6" s="136">
        <f>IF($K6=BN$3,IF($C6="X",0,$O6),0)</f>
        <v>0</v>
      </c>
      <c r="BO6" s="136">
        <f>IF($K6=BO$3,IF($C6="X",0,$O6),0)</f>
        <v>0</v>
      </c>
      <c r="BP6" s="136">
        <f>IF($K6=BP$3,IF($C6="X",0,$O6),0)</f>
        <v>0</v>
      </c>
      <c r="BQ6" s="137">
        <f>IF($K6=BQ$3,IF($C6="X",0,$O6),0)</f>
        <v>0</v>
      </c>
      <c r="BR6" s="134">
        <f>IF($K6=BR$3,IF($C6="X",0,$O6),0)</f>
        <v>0</v>
      </c>
      <c r="BS6" s="139"/>
      <c r="BT6" s="140"/>
      <c r="BU6" s="140"/>
      <c r="BV6" s="140"/>
      <c r="BW6" s="140"/>
      <c r="BX6" s="140"/>
      <c r="BY6" s="140"/>
      <c r="BZ6" s="140"/>
      <c r="CA6" s="140"/>
      <c r="CB6" s="140"/>
      <c r="CC6" s="140"/>
      <c r="CD6" s="141"/>
      <c r="CE6" s="142"/>
      <c r="CF6" s="143">
        <f>IF(CF$3=$K6,IF($C6="W",1,IF($C6="1/2W",0.5,0)),0)</f>
        <v>0</v>
      </c>
      <c r="CG6" s="144">
        <f>IF(CF$3=$K6,IF($C6="L",1,IF($C6="1/2L",0.5,0)),0)</f>
        <v>0</v>
      </c>
      <c r="CH6" s="145">
        <f>IF(CH$3=$K6,IF($C6="W",1,IF($C6="1/2W",0.5,0)),0)</f>
        <v>0</v>
      </c>
      <c r="CI6" s="144">
        <f>IF(CH$3=$K6,IF($C6="L",1,IF($C6="1/2L",0.5,0)),0)</f>
        <v>0</v>
      </c>
      <c r="CJ6" s="145">
        <f>IF(CJ$3=$K6,IF($C6="W",1,IF($C6="1/2W",0.5,0)),0)</f>
        <v>0</v>
      </c>
      <c r="CK6" s="144">
        <f>IF(CJ$3=$K6,IF($C6="L",1,IF($C6="1/2L",0.5,0)),0)</f>
        <v>0</v>
      </c>
      <c r="CL6" s="145">
        <f>IF(CL$3=$K6,IF($C6="W",1,IF($C6="1/2W",0.5,0)),0)</f>
        <v>0</v>
      </c>
      <c r="CM6" s="146">
        <f>IF(CL$3=$K6,IF($C6="L",1,IF($C6="1/2L",0.5,0)),0)</f>
        <v>0</v>
      </c>
      <c r="CN6" s="146">
        <f>IF(CN$3=$K6,IF($C6="W",1,IF($C6="1/2W",0.5,0)),0)</f>
        <v>0</v>
      </c>
      <c r="CO6" s="146">
        <f>IF(CN$3=$K6,IF($C6="L",1,IF($C6="1/2L",0.5,0)),0)</f>
        <v>0</v>
      </c>
      <c r="CP6" s="146">
        <f>IF(CP$3=$K6,IF($C6="W",1,IF($C6="1/2W",0.5,0)),0)</f>
        <v>0</v>
      </c>
      <c r="CQ6" s="146">
        <f>IF(CP$3=$K6,IF($C6="L",1,IF($C6="1/2L",0.5,0)),0)</f>
        <v>0</v>
      </c>
      <c r="CR6" s="146">
        <f>IF(CR$3=$K6,IF($C6="W",1,IF($C6="1/2W",0.5,0)),0)</f>
        <v>0</v>
      </c>
      <c r="CS6" s="146">
        <f>IF(CR$3=$K6,IF($C6="L",1,IF($C6="1/2L",0.5,0)),0)</f>
        <v>0</v>
      </c>
      <c r="CT6" s="146">
        <f>IF(CT$3=$K6,IF($C6="W",1,IF($C6="1/2W",0.5,0)),0)</f>
        <v>0</v>
      </c>
      <c r="CU6" s="146">
        <f>IF(CT$3=$K6,IF($C6="L",1,IF($C6="1/2L",0.5,0)),0)</f>
        <v>0</v>
      </c>
      <c r="CV6" s="146">
        <f>IF(CV$3=$K6,IF($C6="W",1,IF($C6="1/2W",0.5,0)),0)</f>
        <v>0</v>
      </c>
      <c r="CW6" s="146">
        <f>IF(CV$3=$K6,IF($C6="L",1,IF($C6="1/2L",0.5,0)),0)</f>
        <v>0</v>
      </c>
      <c r="CX6" s="146">
        <f>IF(CX$3=$K6,IF($C6="W",1,IF($C6="1/2W",0.5,0)),0)</f>
        <v>0</v>
      </c>
      <c r="CY6" s="146">
        <f>IF(CX$3=$K6,IF($C6="L",1,IF($C6="1/2L",0.5,0)),0)</f>
        <v>0</v>
      </c>
      <c r="CZ6" s="146">
        <f>IF(CZ$3=$K6,IF($C6="W",1,IF($C6="1/2W",0.5,0)),0)</f>
        <v>0</v>
      </c>
      <c r="DA6" s="146">
        <f>IF(CZ$3=$K6,IF($C6="L",1,IF($C6="1/2L",0.5,0)),0)</f>
        <v>0</v>
      </c>
      <c r="DB6" s="146">
        <f>IF(DB$3=$K6,IF($C6="W",1,IF($C6="1/2W",0.5,0)),0)</f>
        <v>0</v>
      </c>
      <c r="DC6" s="146">
        <f>IF(DB$3=$K6,IF($C6="L",1,IF($C6="1/2L",0.5,0)),0)</f>
        <v>0</v>
      </c>
      <c r="DD6" s="146">
        <f>IF(DD$3=$K6,IF($C6="W",1,IF($C6="1/2W",0.5,0)),0)</f>
        <v>0</v>
      </c>
      <c r="DE6" s="147">
        <f>IF(DD$3=$K6,IF($C6="L",1,IF($C6="1/2L",0.5,0)),0)</f>
        <v>0</v>
      </c>
      <c r="DF6" s="143">
        <f>IF(AND(L6&lt;DF$3,$C6="W"),1+DF5,DF5)</f>
        <v>0</v>
      </c>
      <c r="DG6" s="133">
        <f>IF(DF6&gt;DF5,L6+DG5,DG5)</f>
        <v>0</v>
      </c>
      <c r="DH6" s="146">
        <f>IF(AND(L6&gt;DH$3,$C6="W"),1+DH5,0+DH5)</f>
        <v>0</v>
      </c>
      <c r="DI6" s="133">
        <f>IF(DH6&gt;DH5,L6+DI5,DI5)</f>
        <v>0</v>
      </c>
      <c r="DJ6" s="148">
        <f>IF($D4="","",$D4)</f>
        <v>16</v>
      </c>
      <c r="DK6" s="129"/>
    </row>
    <row r="7" ht="14.55" customHeight="1">
      <c r="A7" s="171">
        <f>$A4+1</f>
        <v>2</v>
      </c>
      <c r="B7" t="s" s="172">
        <f>IF(AND(_xlfn.XLOOKUP(H7,H$4:H6,G$4:G6,0)=G7,_xlfn.XLOOKUP("TempoBet",K7:K9,L7:L9,0)&gt;0),"X",IF(OR(C7="W",C8="W",C9="W",C7="1/2W",C8="1/2W",C9="1/2W",C7="1/2L",C8="1/2L",C9="1/2L"),"OK",IF(OR(C7="L",C8="L",C9="L"),"LOSS",IF(OR(C7="X",C8="X",C9="X"),"Anulado"," "))))</f>
        <v>50</v>
      </c>
      <c r="C7" t="s" s="173">
        <v>56</v>
      </c>
      <c r="D7" s="174">
        <f>IF(G7="","",$D4)</f>
        <v>16</v>
      </c>
      <c r="E7" t="s" s="175">
        <f>IF(G7=""," ","– "&amp;COUNTIF(D$4:D9,$D7))</f>
        <v>59</v>
      </c>
      <c r="F7" t="s" s="176">
        <f>IF(G7="","",IF(OR(AND($C7&lt;&gt;" ",$C8=" "),AND($C8&lt;&gt;" ",$C7=" "),AND(L9&gt;0,OR(AND($C9&lt;&gt;" ",OR($C7=" ",$C8=" ")),AND($C9=" ",OR($C7&lt;&gt;" ",$C8&lt;&gt;" "))))),IF(SUM($F$4:$F6)=0,1,LARGE($F$4:$F6,1)+1),IF(MONTH(G7)=MONTH(TODAY()),IF(AND(DAY(G7)&lt;DAY(TODAY()),$B7=" "),IF(SUM($F$4:$F6)=0,1,LARGE($F$4:$F6,1)+1),IF($B7=" ",IF(AND(DAY(G7)=DAY(TODAY()),HOUR(G7)&lt;=HOUR(NOW())+1),IF(AND(HOUR(G7)+2&lt;=HOUR(NOW()),DAY(G7)&lt;=DAY(TODAY()),MINUTE(G7)&lt;=MINUTE(NOW())),IF(SUM($F$4:$F6)=0,1,LARGE($F$4:$F6,1)+1),IF(OR(MINUTE(G7)&lt;=MINUTE(NOW()),HOUR(G7)&lt;=HOUR(NOW())),"!!!","")),""),"")),"")))</f>
      </c>
      <c r="G7" s="177">
        <f>IF(H7="","",_xlfn.XLOOKUP(H7,H$4:H6,G$4:G6,""))</f>
        <v>44942.833333333336</v>
      </c>
      <c r="H7" t="s" s="178">
        <v>53</v>
      </c>
      <c r="I7" t="s" s="179">
        <v>60</v>
      </c>
      <c r="J7" s="180"/>
      <c r="K7" t="s" s="181">
        <v>37</v>
      </c>
      <c r="L7" s="182">
        <v>1.571</v>
      </c>
      <c r="M7" s="183">
        <v>25.8</v>
      </c>
      <c r="N7" s="184">
        <v>0</v>
      </c>
      <c r="O7" s="185">
        <f>IF(OR(AE7="",AE8=""),"",ROUND(IF(L9&gt;0,IF(M7&gt;0,M7,IF(M8&gt;0,ROUND((M8*AE7)/AE8,IF(N7=0,2,IF(N7=0.1,1,0))),ROUND((M9*AE7)/AE9,IF(N7=0,2,IF(N7=0.1,1,0))))),IF(M7&gt;0,M7,ROUND((M8*AE7)/AE8,IF(N7=0,2,IF(N7=0.1,1,0))))),2))</f>
        <v>25.8</v>
      </c>
      <c r="P7" s="186">
        <f>IF(OR(L7="",O7=""),"",IF($C7="1/2W",O7/2+O7/2*L7,IF($C7="1/2L",O7/2,IF(I7="Lay",(O7*(L7/(L7-1))-O7)*(1-_xlfn.XLOOKUP(K7,'Janeiro 2023 - Valor Real'!A3:A15,'Janeiro 2023 - Valor Real'!C3:C15,0))+O7,(O7*L7-O7)*(1-_xlfn.XLOOKUP(K7,'Janeiro 2023 - Valor Real'!A3:A15,'Janeiro 2023 - Valor Real'!C3:C15,0))+O7))))</f>
        <v>40.5318</v>
      </c>
      <c r="Q7" s="187">
        <f>IF(K7="","",IF(_xlfn.XLOOKUP(K7,K$4:K6,DJ$4:DJ6,0,,-1)=DJ7,_xlfn.XLOOKUP(K7,K$4:K6,Q$4:Q6,1,,-1)+1,1))</f>
        <v>1</v>
      </c>
      <c r="R7" s="188">
        <f>IF(K7="","",_xlfn.XLOOKUP(K7,K$4:K6,R$4:R6,0,,-1)+IF($C7=" ",1,0))</f>
        <v>0</v>
      </c>
      <c r="S7" s="189">
        <f>IF($B7="Anulado",0,ROUND(IF(OR($B7="LOSS",$B7="OK"),IF(OR($C7="W",$C7="1/2W",$C7="1/2L"),P7-O7,IF($C7="L",-O7,0))+IF(OR($C8="W",$C8="1/2W",$C8="1/2L"),P8-O8,IF($C8="L",-O8,0))+IF(OR($C9="W",$C9="1/2W",$C9="1/2L"),P9-O9,IF($C9="L",-O9,0)),IF(AND(OR($C7="W",$C7="1/2W",$C7="1/2L"),C8="W"),P7+P8-SUM(O7:O9)+_xlfn.XLOOKUP("X",C7:C9,O7:O9,0),IF(AND(C7=TRUE,C9="W"),P7+P9-SUM(O7:O9),IF(AND(C8="W",C9="W"),P8+P9-SUM(O7:O9)+_xlfn.XLOOKUP("X",C7:C9,O7:O9,0),IF(L9&gt;0,IF(OR($C7="W",$C7="1/2W",$C7="1/2L"),P7-SUM(O7:O9)+_xlfn.XLOOKUP("X",C7:C9,O7:O9,0),IF(OR($C7="W",$C7="1/2W",$C7="1/2L"),P8-SUM(O7:O9)+_xlfn.XLOOKUP("X",C7:C9,O7:O9,0),IF(OR($C7="W",$C7="1/2W",$C7="1/2L"),P9-SUM(O7:O9)+_xlfn.XLOOKUP("X",C7:C9,O7:O9,0),IF(SUM(P7:P9)/3-SUM(O7:O9)+_xlfn.XLOOKUP("X",C7:C9,O7:O9,0)&gt;0,SUM(P7:P9)/3-SUM(O7:O9)+_xlfn.XLOOKUP("X",C7:C9,O7:O9,0),LARGE(P7:P9,1)-SUM(O7:O9))))),IF(OR($C7="W",$C7="1/2W",$C7="1/2L"),P7-SUM(O7:O8)+_xlfn.XLOOKUP("X",C7:C9,O7:O9,0),IF(OR($C7="W",$C7="1/2W",$C7="1/2L"),P8-SUM(O7:O8)+_xlfn.XLOOKUP("X",C7:C9,O7:O9,0),SUM(P7:P8)/2-SUM(O7:O8)+_xlfn.XLOOKUP("X",C7:C9,O7:O9,0)))))))),2))</f>
        <v>3.15</v>
      </c>
      <c r="T7" s="190">
        <f>IF(S7=0,0,S7/SUM(O7:O9))</f>
        <v>0.0842696629213483</v>
      </c>
      <c r="U7" s="191">
        <f>IF($D7=$D4,IF(OR($B7="LOSS",$B7="OK",$B7="Anulada"),S7,0)+U4,IF(OR($B7="LOSS",$B7="OK",$B7="Anulada"),S7,0))</f>
        <v>5.65</v>
      </c>
      <c r="V7" s="191">
        <f>IF($D7="",0,IF($D7=$D4,IF($B7=" ",IF(I9="",IF(OR(AND(I7="DNB1",I8="DNB2"),AND(OR(I7="DNB1",I7="DNB2"),J8=0),AND(OR(I8="DNB1",I8="DNB2"),J7=0),AND(I7="DNB2",I8="DNB1"),AND(IF(J7=0,(J7+1)/ROUND(J7+1,0),J7/ROUND(J7,0))=1,IF(J8=0,(J8+1)/ROUND(IF(J8="",0,J8)+1,0),IF(J8="",0,J8)/ROUND(IF(J8="",1,J8),0))=1,OR(J7&lt;&gt;""),J8&lt;&gt;"")),0,IF(S7&lt;0,IF(I9="",SMALL(P7:P8,1)-SUM(O7:O8),0),SMALL(P7:P8,1)-SUM(O7:O8))),IF(S7&lt;0,IF(I9="",SMALL(P7:P9,1)-SUM(O7:O9),0),LARGE(P7:P9,1)-SUM(O7:O9))),S7)+V4,IF(I9="",IF(OR(AND(I7="DNB1",I8="DNB2"),AND(OR(I7="DNB1",I7="DNB2"),J8=0),AND(OR(I8="DNB1",I8="DNB2"),J7=0),AND(I7="DNB2",I8="DNB1"),AND(IF(J7=0,(J7+1)/ROUND(J7+1,0),J7/ROUND(J7,0))=1,IF(J8=0,(IF(J8="",0,J8)+1)/ROUND(IF(J8="",0,J8)+1,0),IF(J8="",0,J8)/ROUND(IF(J8="",0,J8)+1,0))=1,OR(J7&lt;&gt;""),J8&lt;&gt;"")),0,IF(S7&lt;0,IF(I9="",SMALL(P7:P8,1)-SUM(O7:O8),0),SMALL(P7:P9,1)-SUM(O7:O9))),IF(S7&lt;0,IF(I9="",SMALL(P7:P9,1)-SUM(O7:O9),0),LARGE(P7:P9,1)-SUM(O7:O9)))))</f>
        <v>5.65</v>
      </c>
      <c r="W7" s="191">
        <f>IF($D7=$D4,IF(S7&lt;0,IF(I9="",S7,0),S7)+W4,S7)</f>
        <v>5.65</v>
      </c>
      <c r="X7" t="s" s="192">
        <f>IF(OR(SUM(R7:R9)=0,V7=W7),ROUND(IF(W7=0,0,W7/Y7)*100,2)&amp;"%",ROUND(IF(V7=0,0,V7/Y7)*100,2)&amp;"% a "&amp;ROUND(IF(W7=0,0,W7/Y7)*100,2)&amp;"%")</f>
        <v>61</v>
      </c>
      <c r="Y7" s="193">
        <f>IF($D7=$D4,Y4+SUM(O7:O9),SUM(O7:O9))</f>
        <v>51.24</v>
      </c>
      <c r="Z7" s="191">
        <f>IF($B7=" ",SUM(O7:O9),0)+Z4</f>
        <v>0</v>
      </c>
      <c r="AA7" s="191">
        <f>IF(G7="","",IF($B7="Anulado",LARGE(P7:P9,1)-SUM(O7:O9)+AA4,AA4))</f>
        <v>0</v>
      </c>
      <c r="AB7" s="191">
        <f>IF($D7="","",AB4+S7)</f>
        <v>5.65</v>
      </c>
      <c r="AC7" s="194">
        <f>IF($D7="","",IF($B7=" ",IF(DAY(G7)=DAY(TODAY()),1+AC4,0+AC4),0+AC4))</f>
        <v>0</v>
      </c>
      <c r="AD7" s="195">
        <f>(((L8/(L8-1)-1)*(1-_xlfn.XLOOKUP(K8,'Janeiro 2023 - Valor Real'!A3:A15,'Janeiro 2023 - Valor Real'!C3:C15,0))+1))/(((L7-1)*(1-_xlfn.XLOOKUP(K7,'Janeiro 2023 - Valor Real'!A3:A15,'Janeiro 2023 - Valor Real'!C3:C15,0))+1)+((L8/(L8-1)-1)*(1-_xlfn.XLOOKUP(K8,'Janeiro 2023 - Valor Real'!A3:A15,'Janeiro 2023 - Valor Real'!C3:C15,0))+1))</f>
        <v>0.484443124814427</v>
      </c>
      <c r="AE7" s="196">
        <f>IF(L7="","",IF(L9&gt;0,(SUM(((L7-1)*(1-_xlfn.XLOOKUP(K7,'Janeiro 2023 - Valor Real'!A3:A15,'Janeiro 2023 - Valor Real'!C3:C15,0))+1),((L8-1)*(1-_xlfn.XLOOKUP(K8,'Janeiro 2023 - Valor Real'!A3:A15,'Janeiro 2023 - Valor Real'!C3:C15,0))+1),((L9-1)*(1-_xlfn.XLOOKUP(K9,'Janeiro 2023 - Valor Real'!A3:A15,'Janeiro 2023 - Valor Real'!C3:C15,0))+1))/((L7-1)*(1-_xlfn.XLOOKUP(K7,'Janeiro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Real'!C3:C15,0))+1))/((L7-1)*(1-_xlfn.XLOOKUP(K7,'Janeiro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Real'!C3:C15,0))+1))/((L8-1)*(1-_xlfn.XLOOKUP(K8,'Janeiro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Real'!C3:C15,0))+1))/((L9-1)*(1-_xlfn.XLOOKUP(K9,'Janeiro 2023 - Valor Real'!A3:A15,'Janeiro 2023 - Valor Real'!C3:C15,0))+1)),IF(I7="Lay",IF(I8="Lay",((L8/(L8-1)-1)*(1-_xlfn.XLOOKUP(K8,'Janeiro 2023 - Valor Real'!A3:A15,'Janeiro 2023 - Valor Real'!C3:C15,0))+1)/(((L8/(L8-1)-1)*(1-_xlfn.XLOOKUP(K8,'Janeiro 2023 - Valor Real'!A3:A15,'Janeiro 2023 - Valor Real'!C3:C15,0))+1)+((L7/(L7-1)-1)*(1-_xlfn.XLOOKUP(K7,'Janeiro 2023 - Valor Real'!A3:A15,'Janeiro 2023 - Valor Real'!C3:C15,0))+1)),((L8-1)*(1-_xlfn.XLOOKUP(K8,'Janeiro 2023 - Valor Real'!A3:A15,'Janeiro 2023 - Valor Real'!C3:C15,0))+1)/(((L8-1)*(1-_xlfn.XLOOKUP(K8,'Janeiro 2023 - Valor Real'!A3:A15,'Janeiro 2023 - Valor Real'!C3:C15,0))+1)+((L7/(L7-1)-1)*(1-_xlfn.XLOOKUP(K7,'Janeiro 2023 - Valor Real'!A3:A15,'Janeiro 2023 - Valor Real'!C3:C15,0))+1))),IF(I8="Lay",(((L8/(L8-1)-1)*(1-_xlfn.XLOOKUP(K8,'Janeiro 2023 - Valor Real'!A3:A15,'Janeiro 2023 - Valor Real'!C3:C15,0))+1))/(((L7-1)*(1-_xlfn.XLOOKUP(K7,'Janeiro 2023 - Valor Real'!A3:A15,'Janeiro 2023 - Valor Real'!C3:C15,0))+1)+((L8/(L8-1)-1)*(1-_xlfn.XLOOKUP(K8,'Janeiro 2023 - Valor Real'!A3:A15,'Janeiro 2023 - Valor Real'!C3:C15,0))+1)),((L8-1)*(1-_xlfn.XLOOKUP(K8,'Janeiro 2023 - Valor Real'!A3:A15,'Janeiro 2023 - Valor Real'!C3:C15,0))+1)/(((L8-1)*(1-_xlfn.XLOOKUP(K8,'Janeiro 2023 - Valor Real'!A3:A15,'Janeiro 2023 - Valor Real'!C3:C15,0))+1)+((L7-1)*(1-_xlfn.XLOOKUP(K7,'Janeiro 2023 - Valor Real'!A3:A15,'Janeiro 2023 - Valor Real'!C3:C15,0))+1))))))</f>
        <v>0.663669449796617</v>
      </c>
      <c r="AF7" s="197">
        <f>IF($K7=AF$3,ROUND(IF(OR($C7="W",$C7="1/2W",$C7="1/2L"),$P7-$O7,IF($C7="X",0,-$O7)),2),0)</f>
        <v>14.73</v>
      </c>
      <c r="AG7" s="198">
        <f>IF($K7=AG$3,ROUND(IF(OR($C7="W",$C7="1/2W",$C7="1/2L"),$P7-$O7,IF($C7="X",0,-$O7)),2),0)</f>
        <v>0</v>
      </c>
      <c r="AH7" s="198">
        <f>IF($K7=AH$3,ROUND(IF(OR($C7="W",$C7="1/2W",$C7="1/2L"),$P7-$O7,IF($C7="X",0,-$O7)),2),0)</f>
        <v>0</v>
      </c>
      <c r="AI7" s="198">
        <f>IF($K7=AI$3,ROUND(IF(OR($C7="W",$C7="1/2W",$C7="1/2L"),$P7-$O7,IF($C7="X",0,-$O7)),2),0)</f>
        <v>0</v>
      </c>
      <c r="AJ7" s="198">
        <f>IF($K7=AJ$3,ROUND(IF(OR($C7="W",$C7="1/2W",$C7="1/2L"),$P7-$O7,IF($C7="X",0,-$O7)),2),0)</f>
        <v>0</v>
      </c>
      <c r="AK7" s="198">
        <f>IF($K7=AK$3,ROUND(IF(OR($C7="W",$C7="1/2W",$C7="1/2L"),$P7-$O7,IF($C7="X",0,-$O7)),2),0)</f>
        <v>0</v>
      </c>
      <c r="AL7" s="198">
        <f>IF($K7=AL$3,ROUND(IF(OR($C7="W",$C7="1/2W",$C7="1/2L"),$P7-$O7,IF($C7="X",0,-$O7)),2),0)</f>
        <v>0</v>
      </c>
      <c r="AM7" s="198">
        <f>IF($K7=AM$3,ROUND(IF(OR($C7="W",$C7="1/2W",$C7="1/2L"),$P7-$O7,IF($C7="X",0,-$O7)),2),0)</f>
        <v>0</v>
      </c>
      <c r="AN7" s="198">
        <f>IF($K7=AN$3,ROUND(IF(OR($C7="W",$C7="1/2W",$C7="1/2L"),$P7-$O7,IF($C7="X",0,-$O7)),2),0)</f>
        <v>0</v>
      </c>
      <c r="AO7" s="198">
        <f>IF($K7=AO$3,ROUND(IF(OR($C7="W",$C7="1/2W",$C7="1/2L"),$P7-$O7,IF($C7="X",0,-$O7)),2),0)</f>
        <v>0</v>
      </c>
      <c r="AP7" s="198">
        <f>IF($K7=AP$3,ROUND(IF(OR($C7="W",$C7="1/2W",$C7="1/2L"),$P7-$O7,IF($C7="X",0,-$O7)),2),0)</f>
        <v>0</v>
      </c>
      <c r="AQ7" s="198">
        <f>IF($K7=AQ$3,ROUND(IF(OR($C7="W",$C7="1/2W",$C7="1/2L"),$P7-$O7,IF($C7="X",0,-$O7)),2),0)</f>
        <v>0</v>
      </c>
      <c r="AR7" s="199">
        <f>IF($K7=AR$3,ROUND(IF(OR($C7="W",$C7="1/2W",$C7="1/2L"),$P7-$O7,IF($C7="X",0,-$O7)),2),0)</f>
        <v>0</v>
      </c>
      <c r="AS7" s="197">
        <f>IF(AND($B7=" ",$K7=AS$3),$O7,0)</f>
        <v>0</v>
      </c>
      <c r="AT7" s="198">
        <f>IF(AND($B7=" ",$K7=AT$3),$O7,0)</f>
        <v>0</v>
      </c>
      <c r="AU7" s="198">
        <f>IF(AND($B7=" ",$K7=AU$3),$O7,0)</f>
        <v>0</v>
      </c>
      <c r="AV7" s="198">
        <f>IF(AND($B7=" ",$K7=AV$3),$O7,0)</f>
        <v>0</v>
      </c>
      <c r="AW7" s="198">
        <f>IF(AND($B7=" ",$K7=AW$3),$O7,0)</f>
        <v>0</v>
      </c>
      <c r="AX7" s="198">
        <f>IF(AND($B7=" ",$K7=AX$3),$O7,0)</f>
        <v>0</v>
      </c>
      <c r="AY7" s="200">
        <f>IF(AND($B7=" ",$K7=AY$3),$O7,0)</f>
        <v>0</v>
      </c>
      <c r="AZ7" s="201">
        <f>IF(AND($B7=" ",$K7=AZ$3),$O7,0)</f>
        <v>0</v>
      </c>
      <c r="BA7" s="201">
        <f>IF(AND($B7=" ",$K7=BA$3),$O7,0)</f>
        <v>0</v>
      </c>
      <c r="BB7" s="201">
        <f>IF(AND($B7=" ",$K7=BB$3),$O7,0)</f>
        <v>0</v>
      </c>
      <c r="BC7" s="202">
        <f>IF(AND($B7=" ",$K7=BC$3),$O7,0)</f>
        <v>0</v>
      </c>
      <c r="BD7" s="198">
        <f>IF(AND($B7=" ",$K7=BD$3),$O7,0)</f>
        <v>0</v>
      </c>
      <c r="BE7" s="199">
        <f>IF(AND($B7=" ",$K7=BE$3),$O7,0)</f>
        <v>0</v>
      </c>
      <c r="BF7" s="203">
        <f>IF($K7=BF$3,IF($C7="X",0,$O7),0)</f>
        <v>25.8</v>
      </c>
      <c r="BG7" s="198">
        <f>IF($K7=BG$3,IF($C7="X",0,$O7),0)</f>
        <v>0</v>
      </c>
      <c r="BH7" s="198">
        <f>IF($K7=BH$3,IF($C7="X",0,$O7),0)</f>
        <v>0</v>
      </c>
      <c r="BI7" s="198">
        <f>IF($K7=BI$3,IF($C7="X",0,$O7),0)</f>
        <v>0</v>
      </c>
      <c r="BJ7" s="198">
        <f>IF($K7=BJ$3,IF($C7="X",0,$O7),0)</f>
        <v>0</v>
      </c>
      <c r="BK7" s="198">
        <f>IF($K7=BK$3,IF($C7="X",0,$O7),0)</f>
        <v>0</v>
      </c>
      <c r="BL7" s="198">
        <f>IF($K7=BL$3,IF($C7="X",0,$O7),0)</f>
        <v>0</v>
      </c>
      <c r="BM7" s="200">
        <f>IF($K7=BM$3,IF($C7="X",0,$O7),0)</f>
        <v>0</v>
      </c>
      <c r="BN7" s="201">
        <f>IF($K7=BN$3,IF($C7="X",0,$O7),0)</f>
        <v>0</v>
      </c>
      <c r="BO7" s="201">
        <f>IF($K7=BO$3,IF($C7="X",0,$O7),0)</f>
        <v>0</v>
      </c>
      <c r="BP7" s="201">
        <f>IF($K7=BP$3,IF($C7="X",0,$O7),0)</f>
        <v>0</v>
      </c>
      <c r="BQ7" s="202">
        <f>IF($K7=BQ$3,IF($C7="X",0,$O7),0)</f>
        <v>0</v>
      </c>
      <c r="BR7" s="199">
        <f>IF($K7=BR$3,IF($C7="X",0,$O7),0)</f>
        <v>0</v>
      </c>
      <c r="BS7" s="204">
        <f>IF($B7="LOSS",IF(AND($K7=BS$3,$C7="L"),-$O7,0)+IF(AND($K8=BS$3,$C8="L"),-$O8,0)+IF(AND($K9=BS$3,$C9="L"),-$O9,0),IF(OR(AND($K7=BS$3,OR($C7="W",$C7="1/2W")),AND($K8=BS$3,OR($C8="W",$C8="1/2W")),AND($K9=BS$3,OR($C9="W",$C9="1/2W"))),$S7,0))</f>
        <v>3.15</v>
      </c>
      <c r="BT7" s="201">
        <f>IF($B7="LOSS",IF(AND($K7=BT$3,$C7="L"),-$O7,0)+IF(AND($K8=BT$3,$C8="L"),-$O8,0)+IF(AND($K8=BT$3,$C9="L"),-$O9,0),IF(OR(AND($K8=BT$3,OR($C7="W",$C7="1/2W")),AND($K8=BT$3,OR($C8="W",$C8="1/2W")),AND($K8=BT$3,OR($C9="W",$C9="1/2W"))),$S7,0))</f>
        <v>3.15</v>
      </c>
      <c r="BU7" s="201">
        <f>IF($B7="LOSS",IF(AND($K7=BU$3,$C7="L"),-$O7,0)+IF(AND($K8=BU$3,$C8="L"),-$O8,0)+IF(AND($K8=BU$3,$C9="L"),-$O9,0),IF(OR(AND($K8=BU$3,OR($C7="W",$C7="1/2W")),AND($K8=BU$3,OR($C8="W",$C8="1/2W")),AND($K8=BU$3,OR($C9="W",$C9="1/2W"))),$S7,0))</f>
        <v>0</v>
      </c>
      <c r="BV7" s="201">
        <f>IF($B7="LOSS",IF(AND($K7=BV$3,$C7="L"),-$O7,0)+IF(AND($K8=BV$3,$C8="L"),-$O8,0)+IF(AND($K9=BV$3,$C9="L"),-$O9,0),IF(OR(AND($K7=BV$3,OR($C7="W",$C7="1/2W")),AND($K8=BV$3,OR($C8="W",$C8="1/2W")),AND($K9=BV$3,OR($C9="W",$C9="1/2W"))),$S7,0))</f>
        <v>0</v>
      </c>
      <c r="BW7" s="201">
        <f>IF($B7="LOSS",IF(AND($K7=BW$3,$C7="L"),-$O7,0)+IF(AND($K8=BW$3,$C8="L"),-$O8,0)+IF(AND($K9=BW$3,$C9="L"),-$O9,0),IF(OR(AND($K7=BW$3,OR($C7="W",$C7="1/2W")),AND($K8=BW$3,OR($C8="W",$C8="1/2W")),AND($K9=BW$3,OR($C9="W",$C9="1/2W"))),$S7,0))</f>
        <v>0</v>
      </c>
      <c r="BX7" s="201">
        <f>IF($B7="LOSS",IF(AND($K7=BX$3,$C7="L"),-$O7,0)+IF(AND($K8=BX$3,$C8="L"),-$O8,0)+IF(AND($K9=BX$3,$C9="L"),-$O9,0),IF(OR(AND($K7=BX$3,OR($C7="W",$C7="1/2W")),AND($K8=BX$3,OR($C8="W",$C8="1/2W")),AND($K9=BX$3,OR($C9="W",$C9="1/2W"))),$S7,0))</f>
        <v>0</v>
      </c>
      <c r="BY7" s="201">
        <f>IF($B7="LOSS",IF(AND($K7=BY$3,$C7="L"),-$O7,0)+IF(AND($K8=BY$3,$C8="L"),-$O8,0)+IF(AND($K9=BY$3,$C9="L"),-$O9,0),IF(OR(AND($K7=BY$3,OR($C7="W",$C7="1/2W")),AND($K8=BY$3,OR($C8="W",$C8="1/2W")),AND($K9=BY$3,OR($C9="W",$C9="1/2W"))),$S7,0))</f>
        <v>0</v>
      </c>
      <c r="BZ7" s="205">
        <f>IF($B7="LOSS",IF(AND($K7=BZ$3,$C7="L"),-$O7,0)+IF(AND($K8=BZ$3,$C8="L"),-$O8,0)+IF(AND($K9=BZ$3,$C9="L"),-$O9,0),IF(OR(AND($K7=BZ$3,OR($C7="W",$C7="1/2W")),AND($K8=BZ$3,OR($C8="W",$C8="1/2W")),AND($K9=BZ$3,OR($C9="W",$C9="1/2W"))),$S7,0))</f>
        <v>0</v>
      </c>
      <c r="CA7" s="205">
        <f>IF($B7="LOSS",IF(AND($K7=CA$3,$C7="L"),-$O7,0)+IF(AND($K8=CA$3,$C8="L"),-$O8,0)+IF(AND($K9=CA$3,$C9="L"),-$O9,0),IF(OR(AND($K7=CA$3,OR($C7="W",$C7="1/2W")),AND($K8=CA$3,OR($C8="W",$C8="1/2W")),AND($K9=CA$3,OR($C9="W",$C9="1/2W"))),$S7,0))</f>
        <v>0</v>
      </c>
      <c r="CB7" s="205">
        <f>IF($B7="LOSS",IF(AND($K7=CB$3,$C7="L"),-$O7,0)+IF(AND($K8=CB$3,$C8="L"),-$O8,0)+IF(AND($K9=CB$3,$C9="L"),-$O9,0),IF(OR(AND($K7=CB$3,OR($C7="W",$C7="1/2W")),AND($K8=CB$3,OR($C8="W",$C8="1/2W")),AND($K9=CB$3,OR($C9="W",$C9="1/2W"))),$S7,0))</f>
        <v>0</v>
      </c>
      <c r="CC7" s="205">
        <f>IF($B7="LOSS",IF(AND($K7=CC$3,$C7="L"),-$O7,0)+IF(AND($K8=CC$3,$C8="L"),-$O8,0)+IF(AND($K9=CC$3,$C9="L"),-$O9,0),IF(OR(AND($K7=CC$3,OR($C7="W",$C7="1/2W")),AND($K8=CC$3,OR($C8="W",$C8="1/2W")),AND($K9=CC$3,OR($C9="W",$C9="1/2W"))),$S7,0))</f>
        <v>0</v>
      </c>
      <c r="CD7" s="202">
        <f>IF($B7="LOSS",IF(AND($K7=CD$3,$C7="L"),-$O7,0)+IF(AND($K8=CD$3,$C8="L"),-$O8,0)+IF(AND($K9=CD$3,$C9="L"),-$O9,0),IF(OR(AND($K7=CD$3,OR($C7="W",$C7="1/2W")),AND($K8=CD$3,OR($C8="W",$C8="1/2W")),AND($K9=CD$3,OR($C9="W",$C9="1/2W"))),$S7,0))</f>
        <v>0</v>
      </c>
      <c r="CE7" s="199">
        <f>IF($B7="LOSS",IF(AND($K7=CE$3,$C7="L"),-$O7,0)+IF(AND($K8=CE$3,$C8="L"),-$O8,0)+IF(AND($K9=CE$3,$C9="L"),-$O9,0),IF(OR(AND($K7=CE$3,OR($C7="W",$C7="1/2W")),AND($K8=CE$3,OR($C8="W",$C8="1/2W")),AND($K9=CE$3,OR($C9="W",$C9="1/2W"))),$S7,0))</f>
        <v>0</v>
      </c>
      <c r="CF7" s="206">
        <f>IF(CF$3=$K7,IF($C7="W",1,IF($C7="1/2W",0.5,0)),0)</f>
        <v>1</v>
      </c>
      <c r="CG7" s="207">
        <f>IF(CF$3=$K7,IF($C7="L",1,IF($C7="1/2L",0.5,0)),0)</f>
        <v>0</v>
      </c>
      <c r="CH7" s="207">
        <f>IF(CH$3=$K7,IF($C7="W",1,IF($C7="1/2W",0.5,0)),0)</f>
        <v>0</v>
      </c>
      <c r="CI7" s="207">
        <f>IF(CH$3=$K7,IF($C7="L",1,IF($C7="1/2L",0.5,0)),0)</f>
        <v>0</v>
      </c>
      <c r="CJ7" s="207">
        <f>IF(CJ$3=$K7,IF($C7="W",1,IF($C7="1/2W",0.5,0)),0)</f>
        <v>0</v>
      </c>
      <c r="CK7" s="207">
        <f>IF(CJ$3=$K7,IF($C7="L",1,IF($C7="1/2L",0.5,0)),0)</f>
        <v>0</v>
      </c>
      <c r="CL7" s="207">
        <f>IF(CL$3=$K7,IF($C7="W",1,IF($C7="1/2W",0.5,0)),0)</f>
        <v>0</v>
      </c>
      <c r="CM7" s="207">
        <f>IF(CL$3=$K7,IF($C7="L",1,IF($C7="1/2L",0.5,0)),0)</f>
        <v>0</v>
      </c>
      <c r="CN7" s="207">
        <f>IF(CN$3=$K7,IF($C7="W",1,IF($C7="1/2W",0.5,0)),0)</f>
        <v>0</v>
      </c>
      <c r="CO7" s="207">
        <f>IF(CN$3=$K7,IF($C7="L",1,IF($C7="1/2L",0.5,0)),0)</f>
        <v>0</v>
      </c>
      <c r="CP7" s="207">
        <f>IF(CP$3=$K7,IF($C7="W",1,IF($C7="1/2W",0.5,0)),0)</f>
        <v>0</v>
      </c>
      <c r="CQ7" s="207">
        <f>IF(CP$3=$K7,IF($C7="L",1,IF($C7="1/2L",0.5,0)),0)</f>
        <v>0</v>
      </c>
      <c r="CR7" s="207">
        <f>IF(CR$3=$K7,IF($C7="W",1,IF($C7="1/2W",0.5,0)),0)</f>
        <v>0</v>
      </c>
      <c r="CS7" s="207">
        <f>IF(CR$3=$K7,IF($C7="L",1,IF($C7="1/2L",0.5,0)),0)</f>
        <v>0</v>
      </c>
      <c r="CT7" s="208">
        <f>IF(CT$3=$K7,IF($C7="W",1,IF($C7="1/2W",0.5,0)),0)</f>
        <v>0</v>
      </c>
      <c r="CU7" s="209">
        <f>IF(CT$3=$K7,IF($C7="L",1,IF($C7="1/2L",0.5,0)),0)</f>
        <v>0</v>
      </c>
      <c r="CV7" s="209">
        <f>IF(CV$3=$K7,IF($C7="W",1,IF($C7="1/2W",0.5,0)),0)</f>
        <v>0</v>
      </c>
      <c r="CW7" s="209">
        <f>IF(CV$3=$K7,IF($C7="L",1,IF($C7="1/2L",0.5,0)),0)</f>
        <v>0</v>
      </c>
      <c r="CX7" s="209">
        <f>IF(CX$3=$K7,IF($C7="W",1,IF($C7="1/2W",0.5,0)),0)</f>
        <v>0</v>
      </c>
      <c r="CY7" s="209">
        <f>IF(CX$3=$K7,IF($C7="L",1,IF($C7="1/2L",0.5,0)),0)</f>
        <v>0</v>
      </c>
      <c r="CZ7" s="209">
        <f>IF(CZ$3=$K7,IF($C7="W",1,IF($C7="1/2W",0.5,0)),0)</f>
        <v>0</v>
      </c>
      <c r="DA7" s="209">
        <f>IF(CZ$3=$K7,IF($C7="L",1,IF($C7="1/2L",0.5,0)),0)</f>
        <v>0</v>
      </c>
      <c r="DB7" s="209">
        <f>IF(DB$3=$K7,IF($C7="W",1,IF($C7="1/2W",0.5,0)),0)</f>
        <v>0</v>
      </c>
      <c r="DC7" s="209">
        <f>IF(DB$3=$K7,IF($C7="L",1,IF($C7="1/2L",0.5,0)),0)</f>
        <v>0</v>
      </c>
      <c r="DD7" s="209">
        <f>IF(DD$3=$K7,IF($C7="W",1,IF($C7="1/2W",0.5,0)),0)</f>
        <v>0</v>
      </c>
      <c r="DE7" s="210">
        <f>IF(DD$3=$K7,IF($C7="L",1,IF($C7="1/2L",0.5,0)),0)</f>
        <v>0</v>
      </c>
      <c r="DF7" s="211">
        <f>IF(AND(L7&lt;DF$3,$C7="W"),1+DF6,DF6)</f>
        <v>0</v>
      </c>
      <c r="DG7" s="198">
        <f>IF(DF7&gt;DF6,L7+DG6,DG6)</f>
        <v>0</v>
      </c>
      <c r="DH7" s="209">
        <f>IF(AND(L7&gt;DH$3,$C7="W"),1+DH6,0+DH6)</f>
        <v>0</v>
      </c>
      <c r="DI7" s="198">
        <f>IF(DH7&gt;DH6,L7+DI6,DI6)</f>
        <v>0</v>
      </c>
      <c r="DJ7" s="212">
        <f>IF($D7="","",$D7)</f>
        <v>16</v>
      </c>
      <c r="DK7" s="212">
        <f>IF(AND($B7=" ",$D7&lt;&gt;""),1,0)</f>
        <v>0</v>
      </c>
    </row>
    <row r="8" ht="14.55" customHeight="1">
      <c r="A8" s="107"/>
      <c r="B8" s="108"/>
      <c r="C8" t="s" s="213">
        <v>51</v>
      </c>
      <c r="D8" s="110"/>
      <c r="E8" s="111"/>
      <c r="F8" s="112"/>
      <c r="G8" s="214"/>
      <c r="H8" s="114"/>
      <c r="I8" t="s" s="215">
        <v>62</v>
      </c>
      <c r="J8" t="s" s="216">
        <f>IF(OR(I7="TO",I7="TU",I7="TO1",I7="TU1",I7="TO2",I7="TU2"),J7,IF(OR(I7="AH1",I7="AH2"),IF(OR(I8="AH1",I8="AH2"),-J7,IF(OR(I8="EH1",I8="EH2"),-J7+0.5,"")),IF(OR(I7="EH1",I7="EH2"),IF(OR(I8="AH1",I8="AH2"),-J7+0.5,IF(OR(I8="EH1",I8="EH2"),-J7+1,"")),IF(AND(OR(I7="DNB1",I7="DNB2"),OR(I8="AH1",I8="AH2")),0,IF(AND(I7="Not ScoreBoth",OR(I8="TO1",I8="TO2")),0.5,"")))))</f>
      </c>
      <c r="K8" t="s" s="217">
        <v>38</v>
      </c>
      <c r="L8" s="218">
        <v>3.1</v>
      </c>
      <c r="M8" s="219">
        <v>11.58</v>
      </c>
      <c r="N8" s="120"/>
      <c r="O8" s="220">
        <f>IF(OR(AE7="",AE8=""),"",ROUND(IF(L9&gt;0,IF(M8&gt;0,M8,IF(M7&gt;0,IF(N7=TRUE,ROUND((M7*AE8)/AE7,0),(M7*AE8)/AE7),IF(M8&gt;0,ROUND(M8,IF(N7=0,2,IF(N7=0.1,1,0))),IF(M9&gt;0,ROUND(O9*AE8/AE9,IF(N7=0,2,IF(N7=0.1,1,0))),0)))),IF(M8&gt;0,M8,ROUND((M7*AE8)/AE7,IF(N7=0,2,IF(N7=0.1,1,0))))),2))</f>
        <v>11.58</v>
      </c>
      <c r="P8" s="221">
        <f>IF(OR(L8="",O8=""),"",IF($C8="1/2W",O8/2+O8/2*L8,IF($C8="1/2L",O8/2,IF(I8="Lay",((O8*(L8/(L8-1)))-O8)*(1-_xlfn.XLOOKUP(K8,'Janeiro 2023 - Valor Real'!A3:A15,'Janeiro 2023 - Valor Real'!C3:C15,0))+O8,(O8*L8-O8)*(1-_xlfn.XLOOKUP(K8,'Janeiro 2023 - Valor Real'!A3:A15,'Janeiro 2023 - Valor Real'!C3:C15,0))+O8))))</f>
        <v>35.898</v>
      </c>
      <c r="Q8" s="222">
        <f>IF(K8="","",IF(_xlfn.XLOOKUP(K8,K$4:K7,DJ$4:DJ7,0,,-1)=DJ8,_xlfn.XLOOKUP(K8,K$4:K7,Q$4:Q7,1,,-1)+1,1))</f>
        <v>1</v>
      </c>
      <c r="R8" s="223">
        <f>IF(K8="","",_xlfn.XLOOKUP(K8,K$4:K7,R$4:R7,0,,-1)+IF($C8=" ",1,0))</f>
        <v>0</v>
      </c>
      <c r="S8" s="125"/>
      <c r="T8" s="126"/>
      <c r="U8" s="126"/>
      <c r="V8" s="224"/>
      <c r="W8" s="126"/>
      <c r="X8" s="127"/>
      <c r="Y8" s="128"/>
      <c r="Z8" s="129"/>
      <c r="AA8" s="129"/>
      <c r="AB8" s="129"/>
      <c r="AC8" s="129"/>
      <c r="AD8" s="225">
        <f>(((L8/(L8-1)-1)*(1-_xlfn.XLOOKUP(K8,'Janeiro 2023 - Valor Real'!A3:A15,'Janeiro 2023 - Valor Real'!C3:C15,0))+1))</f>
        <v>1.47619047619048</v>
      </c>
      <c r="AE8" s="226">
        <f>IF(L8="","",IF(L9&gt;0,(SUM(((L7-1)*(1-_xlfn.XLOOKUP(K7,'Janeiro 2023 - Valor Real'!A3:A15,'Janeiro 2023 - Valor Real'!C3:C15,0))+1),((L8-1)*(1-_xlfn.XLOOKUP(K8,'Janeiro 2023 - Valor Real'!A3:A15,'Janeiro 2023 - Valor Real'!C3:C15,0))+1),((L9-1)*(1-_xlfn.XLOOKUP(K9,'Janeiro 2023 - Valor Real'!A3:A15,'Janeiro 2023 - Valor Real'!C3:C15,0))+1))/((L8-1)*(1-_xlfn.XLOOKUP(K8,'Janeiro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Real'!C3:C15,0))+1))/((L7-1)*(1-_xlfn.XLOOKUP(K7,'Janeiro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Real'!C3:C15,0))+1))/((L8-1)*(1-_xlfn.XLOOKUP(K8,'Janeiro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Real'!C3:C15,0))+1))/((L9-1)*(1-_xlfn.XLOOKUP(K9,'Janeiro 2023 - Valor Real'!A3:A15,'Janeiro 2023 - Valor Real'!C3:C15,0))+1)),IF(I8="Lay",IF(I7="Lay",((L7/(L7-1)-1)*(1-_xlfn.XLOOKUP(K7,'Janeiro 2023 - Valor Real'!A3:A15,'Janeiro 2023 - Valor Real'!C3:C15,0))+1)/(((L7/(L7-1)-1)*(1-_xlfn.XLOOKUP(K7,'Janeiro 2023 - Valor Real'!A3:A15,'Janeiro 2023 - Valor Real'!C3:C15,0))+1)+((L8/(L8-1)-1)*(1-_xlfn.XLOOKUP(K8,'Janeiro 2023 - Valor Real'!A3:A15,'Janeiro 2023 - Valor Real'!C3:C15,0))+1)),((L7-1)*(1-_xlfn.XLOOKUP(K7,'Janeiro 2023 - Valor Real'!A3:A15,'Janeiro 2023 - Valor Real'!C3:C15,0))+1)/(((L7-1)*(1-_xlfn.XLOOKUP(K7,'Janeiro 2023 - Valor Real'!A3:A15,'Janeiro 2023 - Valor Real'!C3:C15,0))+1)+((L8/(L8-1)-1)*(1-_xlfn.XLOOKUP(K8,'Janeiro 2023 - Valor Real'!A3:A15,'Janeiro 2023 - Valor Real'!C3:C15,0))+1))),IF(I7="Lay",((L7/(L7-1)-1)*(1-_xlfn.XLOOKUP(K7,'Janeiro 2023 - Valor Real'!A3:A15,'Janeiro 2023 - Valor Real'!C3:C15,0))+1)/((((L7/(L7-1)-1)*(1-_xlfn.XLOOKUP(K7,'Janeiro 2023 - Valor Real'!A3:A15,'Janeiro 2023 - Valor Real'!C3:C15,0))+1))+((L8-1)*(1-_xlfn.XLOOKUP(K8,'Janeiro 2023 - Valor Real'!A3:A15,'Janeiro 2023 - Valor Real'!C3:C15,0))+1)),((L7-1)*(1-_xlfn.XLOOKUP(K7,'Janeiro 2023 - Valor Real'!A3:A15,'Janeiro 2023 - Valor Real'!C3:C15,0))+1)/(((L7-1)*(1-_xlfn.XLOOKUP(K7,'Janeiro 2023 - Valor Real'!A3:A15,'Janeiro 2023 - Valor Real'!C3:C15,0))+1)+((L8-1)*(1-_xlfn.XLOOKUP(K8,'Janeiro 2023 - Valor Real'!A3:A15,'Janeiro 2023 - Valor Real'!C3:C15,0))+1))))))</f>
        <v>0.336330550203383</v>
      </c>
      <c r="AF8" s="197">
        <f>IF($K8=AF$3,ROUND(IF(OR($C8="W",$C8="1/2W",$C8="1/2L"),$P8-$O8,IF($C8="X",0,-$O8)),2),0)</f>
        <v>0</v>
      </c>
      <c r="AG8" s="198">
        <f>IF($K8=AG$3,ROUND(IF(OR($C8="W",$C8="1/2W",$C8="1/2L"),$P8-$O8,IF($C8="X",0,-$O8)),2),0)</f>
        <v>-11.58</v>
      </c>
      <c r="AH8" s="198">
        <f>IF($K8=AH$3,ROUND(IF(OR($C8="W",$C8="1/2W",$C8="1/2L"),$P8-$O8,IF($C8="X",0,-$O8)),2),0)</f>
        <v>0</v>
      </c>
      <c r="AI8" s="198">
        <f>IF($K8=AI$3,ROUND(IF(OR($C8="W",$C8="1/2W",$C8="1/2L"),$P8-$O8,IF($C8="X",0,-$O8)),2),0)</f>
        <v>0</v>
      </c>
      <c r="AJ8" s="198">
        <f>IF($K8=AJ$3,ROUND(IF(OR($C8="W",$C8="1/2W",$C8="1/2L"),$P8-$O8,IF($C8="X",0,-$O8)),2),0)</f>
        <v>0</v>
      </c>
      <c r="AK8" s="198">
        <f>IF($K8=AK$3,ROUND(IF(OR($C8="W",$C8="1/2W",$C8="1/2L"),$P8-$O8,IF($C8="X",0,-$O8)),2),0)</f>
        <v>0</v>
      </c>
      <c r="AL8" s="198">
        <f>IF($K8=AL$3,ROUND(IF(OR($C8="W",$C8="1/2W",$C8="1/2L"),$P8-$O8,IF($C8="X",0,-$O8)),2),0)</f>
        <v>0</v>
      </c>
      <c r="AM8" s="198">
        <f>IF($K8=AM$3,ROUND(IF(OR($C8="W",$C8="1/2W",$C8="1/2L"),$P8-$O8,IF($C8="X",0,-$O8)),2),0)</f>
        <v>0</v>
      </c>
      <c r="AN8" s="198">
        <f>IF($K8=AN$3,ROUND(IF(OR($C8="W",$C8="1/2W",$C8="1/2L"),$P8-$O8,IF($C8="X",0,-$O8)),2),0)</f>
        <v>0</v>
      </c>
      <c r="AO8" s="198">
        <f>IF($K8=AO$3,ROUND(IF(OR($C8="W",$C8="1/2W",$C8="1/2L"),$P8-$O8,IF($C8="X",0,-$O8)),2),0)</f>
        <v>0</v>
      </c>
      <c r="AP8" s="198">
        <f>IF($K8=AP$3,ROUND(IF(OR($C8="W",$C8="1/2W",$C8="1/2L"),$P8-$O8,IF($C8="X",0,-$O8)),2),0)</f>
        <v>0</v>
      </c>
      <c r="AQ8" s="198">
        <f>IF($K8=AQ$3,ROUND(IF(OR($C8="W",$C8="1/2W",$C8="1/2L"),$P8-$O8,IF($C8="X",0,-$O8)),2),0)</f>
        <v>0</v>
      </c>
      <c r="AR8" s="199">
        <f>IF($K8=AR$3,ROUND(IF(OR($C8="W",$C8="1/2W",$C8="1/2L"),$P8-$O8,IF($C8="X",0,-$O8)),2),0)</f>
        <v>0</v>
      </c>
      <c r="AS8" s="197">
        <f>IF(AND($B7=" ",$K8=AS$3),$O8,0)</f>
        <v>0</v>
      </c>
      <c r="AT8" s="198">
        <f>IF(AND($B7=" ",K8=AT$3),$O8,0)</f>
        <v>0</v>
      </c>
      <c r="AU8" s="198">
        <f>IF(AND($B7=" ",$K8=AU$3),$O8,0)</f>
        <v>0</v>
      </c>
      <c r="AV8" s="198">
        <f>IF(AND($B7=" ",$K8=AV$3),$O8,0)</f>
        <v>0</v>
      </c>
      <c r="AW8" s="198">
        <f>IF(AND($B7=" ",$K8=AW$3),$O8,0)</f>
        <v>0</v>
      </c>
      <c r="AX8" s="198">
        <f>IF(AND($B7=" ",$K8=AX$3),$O8,0)</f>
        <v>0</v>
      </c>
      <c r="AY8" s="200">
        <f>IF(AND($B7=" ",$K8=AY$3),$O8,0)</f>
        <v>0</v>
      </c>
      <c r="AZ8" s="201">
        <f>IF(AND($B7=" ",$K8=AZ$3),$O8,0)</f>
        <v>0</v>
      </c>
      <c r="BA8" s="201">
        <f>IF(AND($B7=" ",$K8=BA$3),$O8,0)</f>
        <v>0</v>
      </c>
      <c r="BB8" s="201">
        <f>IF(AND($B7=" ",$K8=BB$3),$O8,0)</f>
        <v>0</v>
      </c>
      <c r="BC8" s="202">
        <f>IF(AND($B7=" ",$K8=BC$3),$O8,0)</f>
        <v>0</v>
      </c>
      <c r="BD8" s="198">
        <f>IF(AND($B7=" ",$K8=BD$3),$O8,0)</f>
        <v>0</v>
      </c>
      <c r="BE8" s="199">
        <f>IF(AND($B7=" ",$K8=BE$3),$O8,0)</f>
        <v>0</v>
      </c>
      <c r="BF8" s="197">
        <f>IF($K8=BF$3,IF($C8="X",0,$O8),0)</f>
        <v>0</v>
      </c>
      <c r="BG8" s="198">
        <f>IF($K8=BG$3,IF($C8="X",0,$O8),0)</f>
        <v>11.58</v>
      </c>
      <c r="BH8" s="198">
        <f>IF($K8=BH$3,IF($C8="X",0,$O8),0)</f>
        <v>0</v>
      </c>
      <c r="BI8" s="198">
        <f>IF($K8=BI$3,IF($C8="X",0,$O8),0)</f>
        <v>0</v>
      </c>
      <c r="BJ8" s="198">
        <f>IF($K8=BJ$3,IF($C8="X",0,$O8),0)</f>
        <v>0</v>
      </c>
      <c r="BK8" s="198">
        <f>IF($K8=BK$3,IF($C8="X",0,$O8),0)</f>
        <v>0</v>
      </c>
      <c r="BL8" s="198">
        <f>IF($K8=BL$3,IF($C8="X",0,$O8),0)</f>
        <v>0</v>
      </c>
      <c r="BM8" s="227">
        <f>IF($K8=BM$3,IF($C8="X",0,$O8),0)</f>
        <v>0</v>
      </c>
      <c r="BN8" s="205">
        <f>IF($K8=BN$3,IF($C8="X",0,$O8),0)</f>
        <v>0</v>
      </c>
      <c r="BO8" s="205">
        <f>IF($K8=BO$3,IF($C8="X",0,$O8),0)</f>
        <v>0</v>
      </c>
      <c r="BP8" s="205">
        <f>IF($K8=BP$3,IF($C8="X",0,$O8),0)</f>
        <v>0</v>
      </c>
      <c r="BQ8" s="202">
        <f>IF($K8=BQ$3,IF($C8="X",0,$O8),0)</f>
        <v>0</v>
      </c>
      <c r="BR8" s="199">
        <f>IF($K8=BR$3,IF($C8="X",0,$O8),0)</f>
        <v>0</v>
      </c>
      <c r="BS8" s="228"/>
      <c r="BT8" s="229"/>
      <c r="BU8" s="140"/>
      <c r="BV8" s="229"/>
      <c r="BW8" s="140"/>
      <c r="BX8" s="140"/>
      <c r="BY8" s="140"/>
      <c r="BZ8" s="229"/>
      <c r="CA8" s="140"/>
      <c r="CB8" s="140"/>
      <c r="CC8" s="140"/>
      <c r="CD8" s="141"/>
      <c r="CE8" s="142"/>
      <c r="CF8" s="230">
        <f>IF(CF$3=$K8,IF($C8="W",1,IF($C8="1/2W",0.5,0)),0)</f>
        <v>0</v>
      </c>
      <c r="CG8" s="231">
        <f>IF(CF$3=$K8,IF($C8="L",1,IF($C8="1/2L",0.5,0)),0)</f>
        <v>0</v>
      </c>
      <c r="CH8" s="231">
        <f>IF(CH$3=$K8,IF($C8="W",1,IF($C8="1/2W",0.5,0)),0)</f>
        <v>0</v>
      </c>
      <c r="CI8" s="231">
        <f>IF(CH$3=$K8,IF($C8="L",1,IF($C8="1/2L",0.5,0)),0)</f>
        <v>1</v>
      </c>
      <c r="CJ8" s="231">
        <f>IF(CJ$3=$K8,IF($C8="W",1,IF($C8="1/2W",0.5,0)),0)</f>
        <v>0</v>
      </c>
      <c r="CK8" s="231">
        <f>IF(CJ$3=$K8,IF($C8="L",1,IF($C8="1/2L",0.5,0)),0)</f>
        <v>0</v>
      </c>
      <c r="CL8" s="231">
        <f>IF(CL$3=$K8,IF($C8="W",1,IF($C8="1/2W",0.5,0)),0)</f>
        <v>0</v>
      </c>
      <c r="CM8" s="231">
        <f>IF(CL$3=$K8,IF($C8="L",1,IF($C8="1/2L",0.5,0)),0)</f>
        <v>0</v>
      </c>
      <c r="CN8" s="231">
        <f>IF(CN$3=$K8,IF($C8="W",1,IF($C8="1/2W",0.5,0)),0)</f>
        <v>0</v>
      </c>
      <c r="CO8" s="231">
        <f>IF(CN$3=$K8,IF($C8="L",1,IF($C8="1/2L",0.5,0)),0)</f>
        <v>0</v>
      </c>
      <c r="CP8" s="231">
        <f>IF(CP$3=$K8,IF($C8="W",1,IF($C8="1/2W",0.5,0)),0)</f>
        <v>0</v>
      </c>
      <c r="CQ8" s="231">
        <f>IF(CP$3=$K8,IF($C8="L",1,IF($C8="1/2L",0.5,0)),0)</f>
        <v>0</v>
      </c>
      <c r="CR8" s="231">
        <f>IF(CR$3=$K8,IF($C8="W",1,IF($C8="1/2W",0.5,0)),0)</f>
        <v>0</v>
      </c>
      <c r="CS8" s="231">
        <f>IF(CR$3=$K8,IF($C8="L",1,IF($C8="1/2L",0.5,0)),0)</f>
        <v>0</v>
      </c>
      <c r="CT8" s="208">
        <f>IF(CT$3=$K8,IF($C8="W",1,IF($C8="1/2W",0.5,0)),0)</f>
        <v>0</v>
      </c>
      <c r="CU8" s="209">
        <f>IF(CT$3=$K8,IF($C8="L",1,IF($C8="1/2L",0.5,0)),0)</f>
        <v>0</v>
      </c>
      <c r="CV8" s="209">
        <f>IF(CV$3=$K8,IF($C8="W",1,IF($C8="1/2W",0.5,0)),0)</f>
        <v>0</v>
      </c>
      <c r="CW8" s="209">
        <f>IF(CV$3=$K8,IF($C8="L",1,IF($C8="1/2L",0.5,0)),0)</f>
        <v>0</v>
      </c>
      <c r="CX8" s="209">
        <f>IF(CX$3=$K8,IF($C8="W",1,IF($C8="1/2W",0.5,0)),0)</f>
        <v>0</v>
      </c>
      <c r="CY8" s="209">
        <f>IF(CX$3=$K8,IF($C8="L",1,IF($C8="1/2L",0.5,0)),0)</f>
        <v>0</v>
      </c>
      <c r="CZ8" s="209">
        <f>IF(CZ$3=$K8,IF($C8="W",1,IF($C8="1/2W",0.5,0)),0)</f>
        <v>0</v>
      </c>
      <c r="DA8" s="209">
        <f>IF(CZ$3=$K8,IF($C8="L",1,IF($C8="1/2L",0.5,0)),0)</f>
        <v>0</v>
      </c>
      <c r="DB8" s="209">
        <f>IF(DB$3=$K8,IF($C8="W",1,IF($C8="1/2W",0.5,0)),0)</f>
        <v>0</v>
      </c>
      <c r="DC8" s="209">
        <f>IF(DB$3=$K8,IF($C8="L",1,IF($C8="1/2L",0.5,0)),0)</f>
        <v>0</v>
      </c>
      <c r="DD8" s="209">
        <f>IF(DD$3=$K8,IF($C8="W",1,IF($C8="1/2W",0.5,0)),0)</f>
        <v>0</v>
      </c>
      <c r="DE8" s="210">
        <f>IF(DD$3=$K8,IF($C8="L",1,IF($C8="1/2L",0.5,0)),0)</f>
        <v>0</v>
      </c>
      <c r="DF8" s="211">
        <f>IF(AND(L8&lt;DF$3,$C8="W"),1+DF7,DF7)</f>
        <v>0</v>
      </c>
      <c r="DG8" s="198">
        <f>IF(DF8&gt;DF7,L8+DG7,DG7)</f>
        <v>0</v>
      </c>
      <c r="DH8" s="209">
        <f>IF(AND(L8&gt;DH$3,$C8="W"),1+DH7,0+DH7)</f>
        <v>0</v>
      </c>
      <c r="DI8" s="198">
        <f>IF(DH8&gt;DH7,L8+DI7,DI7)</f>
        <v>0</v>
      </c>
      <c r="DJ8" s="209">
        <f>IF($D7="","",$D7)</f>
        <v>16</v>
      </c>
      <c r="DK8" s="232"/>
    </row>
    <row r="9" ht="14.55" customHeight="1">
      <c r="A9" s="149"/>
      <c r="B9" s="150"/>
      <c r="C9" t="s" s="233">
        <v>58</v>
      </c>
      <c r="D9" s="152"/>
      <c r="E9" s="153"/>
      <c r="F9" s="154"/>
      <c r="G9" s="234"/>
      <c r="H9" s="156"/>
      <c r="I9" s="235"/>
      <c r="J9" s="236"/>
      <c r="K9" s="237"/>
      <c r="L9" s="238"/>
      <c r="M9" s="239"/>
      <c r="N9" s="161"/>
      <c r="O9" t="s" s="240">
        <f>IF(OR(AE7="",AE8=""),"",IF(L9&gt;0,ROUND(IF(M9&gt;0,M9,IF(M7&gt;0,ROUND((M7*AE9)/AE7,IF(N7=0,2,IF(N7=0.1,1,0))),IF(M8&gt;0,ROUND((M8*AE9)/AE8,IF(N7=0,2,IF(N7=0.1,1,0))),IF(M9&gt;0,M9,0)))),2),""))</f>
      </c>
      <c r="P9" t="s" s="241">
        <f>IF(I8="Lay",O8*(L8/(L8-1))-O8,IF(I7="Lay",O7*(L7/(L7-1))-O7,IF(OR(L9="",O9=""),"",IF($C9="1/2W",O9/2+O9/2*L9,IF($C9="1/2L",O9/2,(O9*L9-O9)*(1-_xlfn.XLOOKUP(K9,'Janeiro 2023 - Valor Real'!A3:A15,'Janeiro 2023 - Valor Real'!C3:C15,0))+O9)))))</f>
      </c>
      <c r="Q9" t="s" s="242">
        <f>IF(K9="","",IF(_xlfn.XLOOKUP(K9,K$4:K8,DJ$4:DJ8,0,,-1)=DJ9,_xlfn.XLOOKUP(K9,K$4:K8,Q$4:Q8,1,,-1)+1,1))</f>
      </c>
      <c r="R9" t="s" s="243">
        <f>IF(K9="","",_xlfn.XLOOKUP(K9,K$4:K8,R$4:R8,0,,-1)+IF($C9=" ",1,0))</f>
      </c>
      <c r="S9" s="166"/>
      <c r="T9" s="155"/>
      <c r="U9" s="155"/>
      <c r="V9" s="166"/>
      <c r="W9" s="155"/>
      <c r="X9" s="167"/>
      <c r="Y9" s="128"/>
      <c r="Z9" s="129"/>
      <c r="AA9" s="129"/>
      <c r="AB9" s="129"/>
      <c r="AC9" s="129"/>
      <c r="AD9" s="244">
        <f>((L8/(L8-1)-1))</f>
        <v>0.476190476190476</v>
      </c>
      <c r="AE9" t="s" s="245">
        <f>IF(L9="","",(SUM(((L7-1)*(1-_xlfn.XLOOKUP(K7,'Janeiro 2023 - Valor Real'!A3:A15,'Janeiro 2023 - Valor Real'!C3:C15,0))+1),((L8-1)*(1-_xlfn.XLOOKUP(K8,'Janeiro 2023 - Valor Real'!A3:A15,'Janeiro 2023 - Valor Real'!C3:C15,0))+1),((L9-1)*(1-_xlfn.XLOOKUP(K9,'Janeiro 2023 - Valor Real'!A3:A15,'Janeiro 2023 - Valor Real'!C3:C15,0))+1))/((L9-1)*(1-_xlfn.XLOOKUP(K9,'Janeiro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Real'!C3:C15,0))+1))/((L7-1)*(1-_xlfn.XLOOKUP(K7,'Janeiro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Real'!C3:C15,0))+1))/((L8-1)*(1-_xlfn.XLOOKUP(K8,'Janeiro 2023 - Valor Real'!A3:A15,'Janeiro 2023 - Valor Real'!C3:C15,0))+1)+SUM(((L7-1)*(1-_xlfn.XLOOKUP(K7,'Janeiro 2023 - Valor Real'!A3:A15,'Janeiro 2023 - Valor Real'!C3:C15,0))+1),((L8-1)*(1-_xlfn.XLOOKUP(K8,'Janeiro 2023 - Valor Real'!A3:A15,'Janeiro 2023 - Valor Real'!C3:C15,0))+1),((L9-1)*(1-_xlfn.XLOOKUP(K9,'Janeiro 2023 - Valor Real'!A3:A15,'Janeiro 2023 - Valor Real'!C3:C15,0))+1))/((L9-1)*(1-_xlfn.XLOOKUP(K9,'Janeiro 2023 - Valor Real'!A3:A15,'Janeiro 2023 - Valor Real'!C3:C15,0))+1)))</f>
      </c>
      <c r="AF9" s="197">
        <f>IF($K9=AF$3,ROUND(IF(OR($C9="W",$C9="1/2W",$C9="1/2L"),$P9-$O9,IF($C9="X",0,-$O9)),2),0)</f>
        <v>0</v>
      </c>
      <c r="AG9" s="198">
        <f>IF($K9=AG$3,ROUND(IF(OR($C9="W",$C9="1/2W",$C9="1/2L"),$P9-$O9,IF($C9="X",0,-$O9)),2),0)</f>
        <v>0</v>
      </c>
      <c r="AH9" s="198">
        <f>IF($K9=AH$3,ROUND(IF(OR($C9="W",$C9="1/2W",$C9="1/2L"),$P9-$O9,IF($C9="X",0,-$O9)),2),0)</f>
        <v>0</v>
      </c>
      <c r="AI9" s="198">
        <f>IF($K9=AI$3,ROUND(IF(OR($C9="W",$C9="1/2W",$C9="1/2L"),$P9-$O9,IF($C9="X",0,-$O9)),2),0)</f>
        <v>0</v>
      </c>
      <c r="AJ9" s="198">
        <f>IF($K9=AJ$3,ROUND(IF(OR($C9="W",$C9="1/2W",$C9="1/2L"),$P9-$O9,IF($C9="X",0,-$O9)),2),0)</f>
        <v>0</v>
      </c>
      <c r="AK9" s="198">
        <f>IF($K9=AK$3,ROUND(IF(OR($C9="W",$C9="1/2W",$C9="1/2L"),$P9-$O9,IF($C9="X",0,-$O9)),2),0)</f>
        <v>0</v>
      </c>
      <c r="AL9" s="198">
        <f>IF($K9=AL$3,ROUND(IF(OR($C9="W",$C9="1/2W",$C9="1/2L"),$P9-$O9,IF($C9="X",0,-$O9)),2),0)</f>
        <v>0</v>
      </c>
      <c r="AM9" s="198">
        <f>IF($K9=AM$3,ROUND(IF(OR($C9="W",$C9="1/2W",$C9="1/2L"),$P9-$O9,IF($C9="X",0,-$O9)),2),0)</f>
        <v>0</v>
      </c>
      <c r="AN9" s="198">
        <f>IF($K9=AN$3,ROUND(IF(OR($C9="W",$C9="1/2W",$C9="1/2L"),$P9-$O9,IF($C9="X",0,-$O9)),2),0)</f>
        <v>0</v>
      </c>
      <c r="AO9" s="198">
        <f>IF($K9=AO$3,ROUND(IF(OR($C9="W",$C9="1/2W",$C9="1/2L"),$P9-$O9,IF($C9="X",0,-$O9)),2),0)</f>
        <v>0</v>
      </c>
      <c r="AP9" s="198">
        <f>IF($K9=AP$3,ROUND(IF(OR($C9="W",$C9="1/2W",$C9="1/2L"),$P9-$O9,IF($C9="X",0,-$O9)),2),0)</f>
        <v>0</v>
      </c>
      <c r="AQ9" s="198">
        <f>IF($K9=AQ$3,ROUND(IF(OR($C9="W",$C9="1/2W",$C9="1/2L"),$P9-$O9,IF($C9="X",0,-$O9)),2),0)</f>
        <v>0</v>
      </c>
      <c r="AR9" s="199">
        <f>IF($K9=AR$3,ROUND(IF(OR($C9="W",$C9="1/2W",$C9="1/2L"),$P9-$O9,IF($C9="X",0,-$O9)),2),0)</f>
        <v>0</v>
      </c>
      <c r="AS9" s="197">
        <f>IF(AND($B7=" ",$K9=AS$3),$O9,0)</f>
        <v>0</v>
      </c>
      <c r="AT9" s="198">
        <f>IF(AND($B7=" ",K9=AT$3),$O9,0)</f>
        <v>0</v>
      </c>
      <c r="AU9" s="198">
        <f>IF(AND($B7=" ",$K9=AU$3),$O9,0)</f>
        <v>0</v>
      </c>
      <c r="AV9" s="198">
        <f>IF(AND($B7=" ",$K9=AV$3),$O9,0)</f>
        <v>0</v>
      </c>
      <c r="AW9" s="198">
        <f>IF(AND($B7=" ",$K9=AW$3),$O9,0)</f>
        <v>0</v>
      </c>
      <c r="AX9" s="198">
        <f>IF(AND($B7=" ",$K9=AX$3),$O9,0)</f>
        <v>0</v>
      </c>
      <c r="AY9" s="200">
        <f>IF(AND($B7=" ",$K9=AY$3),$O9,0)</f>
        <v>0</v>
      </c>
      <c r="AZ9" s="201">
        <f>IF(AND($B7=" ",$K9=AZ$3),$O9,0)</f>
        <v>0</v>
      </c>
      <c r="BA9" s="201">
        <f>IF(AND($B7=" ",$K9=BA$3),$O9,0)</f>
        <v>0</v>
      </c>
      <c r="BB9" s="201">
        <f>IF(AND($B7=" ",$K9=BB$3),$O9,0)</f>
        <v>0</v>
      </c>
      <c r="BC9" s="202">
        <f>IF(AND($B7=" ",$K9=BC$3),$O9,0)</f>
        <v>0</v>
      </c>
      <c r="BD9" s="198">
        <f>IF(AND($B7=" ",$K9=BD$3),$O9,0)</f>
        <v>0</v>
      </c>
      <c r="BE9" s="199">
        <f>IF(AND($B7=" ",$K9=BE$3),$O9,0)</f>
        <v>0</v>
      </c>
      <c r="BF9" s="197">
        <f>IF($K9=BF$3,IF($C9="X",0,$O9),0)</f>
        <v>0</v>
      </c>
      <c r="BG9" s="198">
        <f>IF($K9=BG$3,IF($C9="X",0,$O9),0)</f>
        <v>0</v>
      </c>
      <c r="BH9" s="198">
        <f>IF($K9=BH$3,IF($C9="X",0,$O9),0)</f>
        <v>0</v>
      </c>
      <c r="BI9" s="198">
        <f>IF($K9=BI$3,IF($C9="X",0,$O9),0)</f>
        <v>0</v>
      </c>
      <c r="BJ9" s="198">
        <f>IF($K9=BJ$3,IF($C9="X",0,$O9),0)</f>
        <v>0</v>
      </c>
      <c r="BK9" s="198">
        <f>IF($K9=BK$3,IF($C9="X",0,$O9),0)</f>
        <v>0</v>
      </c>
      <c r="BL9" s="198">
        <f>IF($K9=BL$3,IF($C9="X",0,$O9),0)</f>
        <v>0</v>
      </c>
      <c r="BM9" s="200">
        <f>IF($K9=BM$3,IF($C9="X",0,$O9),0)</f>
        <v>0</v>
      </c>
      <c r="BN9" s="201">
        <f>IF($K9=BN$3,IF($C9="X",0,$O9),0)</f>
        <v>0</v>
      </c>
      <c r="BO9" s="201">
        <f>IF($K9=BO$3,IF($C9="X",0,$O9),0)</f>
        <v>0</v>
      </c>
      <c r="BP9" s="201">
        <f>IF($K9=BP$3,IF($C9="X",0,$O9),0)</f>
        <v>0</v>
      </c>
      <c r="BQ9" s="202">
        <f>IF($K9=BQ$3,IF($C9="X",0,$O9),0)</f>
        <v>0</v>
      </c>
      <c r="BR9" s="199">
        <f>IF($K9=BR$3,IF($C9="X",0,$O9),0)</f>
        <v>0</v>
      </c>
      <c r="BS9" s="228"/>
      <c r="BT9" s="229"/>
      <c r="BU9" s="140"/>
      <c r="BV9" s="229"/>
      <c r="BW9" s="140"/>
      <c r="BX9" s="140"/>
      <c r="BY9" s="140"/>
      <c r="BZ9" s="229"/>
      <c r="CA9" s="140"/>
      <c r="CB9" s="140"/>
      <c r="CC9" s="140"/>
      <c r="CD9" s="141"/>
      <c r="CE9" s="142"/>
      <c r="CF9" s="230">
        <f>IF(CF$3=$K9,IF($C9="W",1,IF($C9="1/2W",0.5,0)),0)</f>
        <v>0</v>
      </c>
      <c r="CG9" s="231">
        <f>IF(CF$3=$K9,IF($C9="L",1,IF($C9="1/2L",0.5,0)),0)</f>
        <v>0</v>
      </c>
      <c r="CH9" s="231">
        <f>IF(CH$3=$K9,IF($C9="W",1,IF($C9="1/2W",0.5,0)),0)</f>
        <v>0</v>
      </c>
      <c r="CI9" s="231">
        <f>IF(CH$3=$K9,IF($C9="L",1,IF($C9="1/2L",0.5,0)),0)</f>
        <v>0</v>
      </c>
      <c r="CJ9" s="231">
        <f>IF(CJ$3=$K9,IF($C9="W",1,IF($C9="1/2W",0.5,0)),0)</f>
        <v>0</v>
      </c>
      <c r="CK9" s="231">
        <f>IF(CJ$3=$K9,IF($C9="L",1,IF($C9="1/2L",0.5,0)),0)</f>
        <v>0</v>
      </c>
      <c r="CL9" s="231">
        <f>IF(CL$3=$K9,IF($C9="W",1,IF($C9="1/2W",0.5,0)),0)</f>
        <v>0</v>
      </c>
      <c r="CM9" s="231">
        <f>IF(CL$3=$K9,IF($C9="L",1,IF($C9="1/2L",0.5,0)),0)</f>
        <v>0</v>
      </c>
      <c r="CN9" s="231">
        <f>IF(CN$3=$K9,IF($C9="W",1,IF($C9="1/2W",0.5,0)),0)</f>
        <v>0</v>
      </c>
      <c r="CO9" s="231">
        <f>IF(CN$3=$K9,IF($C9="L",1,IF($C9="1/2L",0.5,0)),0)</f>
        <v>0</v>
      </c>
      <c r="CP9" s="231">
        <f>IF(CP$3=$K9,IF($C9="W",1,IF($C9="1/2W",0.5,0)),0)</f>
        <v>0</v>
      </c>
      <c r="CQ9" s="231">
        <f>IF(CP$3=$K9,IF($C9="L",1,IF($C9="1/2L",0.5,0)),0)</f>
        <v>0</v>
      </c>
      <c r="CR9" s="231">
        <f>IF(CR$3=$K9,IF($C9="W",1,IF($C9="1/2W",0.5,0)),0)</f>
        <v>0</v>
      </c>
      <c r="CS9" s="231">
        <f>IF(CR$3=$K9,IF($C9="L",1,IF($C9="1/2L",0.5,0)),0)</f>
        <v>0</v>
      </c>
      <c r="CT9" s="208">
        <f>IF(CT$3=$K9,IF($C9="W",1,IF($C9="1/2W",0.5,0)),0)</f>
        <v>0</v>
      </c>
      <c r="CU9" s="209">
        <f>IF(CT$3=$K9,IF($C9="L",1,IF($C9="1/2L",0.5,0)),0)</f>
        <v>0</v>
      </c>
      <c r="CV9" s="209">
        <f>IF(CV$3=$K9,IF($C9="W",1,IF($C9="1/2W",0.5,0)),0)</f>
        <v>0</v>
      </c>
      <c r="CW9" s="209">
        <f>IF(CV$3=$K9,IF($C9="L",1,IF($C9="1/2L",0.5,0)),0)</f>
        <v>0</v>
      </c>
      <c r="CX9" s="209">
        <f>IF(CX$3=$K9,IF($C9="W",1,IF($C9="1/2W",0.5,0)),0)</f>
        <v>0</v>
      </c>
      <c r="CY9" s="209">
        <f>IF(CX$3=$K9,IF($C9="L",1,IF($C9="1/2L",0.5,0)),0)</f>
        <v>0</v>
      </c>
      <c r="CZ9" s="209">
        <f>IF(CZ$3=$K9,IF($C9="W",1,IF($C9="1/2W",0.5,0)),0)</f>
        <v>0</v>
      </c>
      <c r="DA9" s="209">
        <f>IF(CZ$3=$K9,IF($C9="L",1,IF($C9="1/2L",0.5,0)),0)</f>
        <v>0</v>
      </c>
      <c r="DB9" s="209">
        <f>IF(DB$3=$K9,IF($C9="W",1,IF($C9="1/2W",0.5,0)),0)</f>
        <v>0</v>
      </c>
      <c r="DC9" s="209">
        <f>IF(DB$3=$K9,IF($C9="L",1,IF($C9="1/2L",0.5,0)),0)</f>
        <v>0</v>
      </c>
      <c r="DD9" s="209">
        <f>IF(DD$3=$K9,IF($C9="W",1,IF($C9="1/2W",0.5,0)),0)</f>
        <v>0</v>
      </c>
      <c r="DE9" s="210">
        <f>IF(DD$3=$K9,IF($C9="L",1,IF($C9="1/2L",0.5,0)),0)</f>
        <v>0</v>
      </c>
      <c r="DF9" s="211">
        <f>IF(AND(L9&lt;DF$3,$C9="W"),1+DF8,DF8)</f>
        <v>0</v>
      </c>
      <c r="DG9" s="198">
        <f>IF(DF9&gt;DF8,L9+DG8,DG8)</f>
        <v>0</v>
      </c>
      <c r="DH9" s="209">
        <f>IF(AND(L9&gt;DH$3,$C9="W"),1+DH8,0+DH8)</f>
        <v>0</v>
      </c>
      <c r="DI9" s="198">
        <f>IF(DH9&gt;DH8,L9+DI8,DI8)</f>
        <v>0</v>
      </c>
      <c r="DJ9" s="209">
        <f>IF($D7="","",$D7)</f>
        <v>16</v>
      </c>
      <c r="DK9" s="232"/>
    </row>
    <row r="10" ht="14.55" customHeight="1">
      <c r="A10" s="246">
        <f>$A7+1</f>
        <v>3</v>
      </c>
      <c r="B10" t="s" s="247">
        <f>IF(AND(_xlfn.XLOOKUP(H10,H$4:H9,G$4:G9,0)=G10,_xlfn.XLOOKUP("TempoBet",K10:K12,L10:L12,0)&gt;0),"X",IF(OR(C10="W",C11="W",C12="W",C10="1/2W",C11="1/2W",C12="1/2W",C10="1/2L",C11="1/2L",C12="1/2L"),"OK",IF(OR(C10="L",C11="L",C12="L"),"LOSS",IF(OR(C10="X",C11="X",C12="X"),"Anulado"," "))))</f>
        <v>50</v>
      </c>
      <c r="C10" t="s" s="248">
        <v>51</v>
      </c>
      <c r="D10" s="249">
        <f>IF(G10="","",$D7)</f>
        <v>16</v>
      </c>
      <c r="E10" t="s" s="250">
        <f>IF(G10=""," ","– "&amp;COUNTIF(D$4:D12,$D10))</f>
        <v>63</v>
      </c>
      <c r="F10" t="s" s="251">
        <f>IF(G10="","",IF(OR(AND($C10&lt;&gt;" ",$C11=" "),AND($C11&lt;&gt;" ",$C10=" "),AND(L12&gt;0,OR(AND($C12&lt;&gt;" ",OR($C10=" ",$C11=" ")),AND($C12=" ",OR($C10&lt;&gt;" ",$C11&lt;&gt;" "))))),IF(SUM(F$4:F9)=0,1,LARGE(F$4:F9,1)+1),IF(MONTH(G10)=MONTH(TODAY()),IF(AND(DAY(G10)&lt;DAY(TODAY()),$B10=" "),IF(SUM(F$4:F9)=0,1,LARGE(F$4:F9,1)+1),IF($B10=" ",IF(AND(DAY(G10)=DAY(TODAY()),HOUR(G10)&lt;=HOUR(NOW())+1),IF(AND(HOUR(G10)+2&lt;=HOUR(NOW()),DAY(G10)&lt;=DAY(TODAY()),MINUTE(G10)&lt;=MINUTE(NOW())),IF(SUM(F$4:F9)=0,1,LARGE(F$4:F9,1)+1),IF(OR(MINUTE(G10)&lt;=MINUTE(NOW()),HOUR(G10)&lt;=HOUR(NOW())),"!!!","")),""),"")),"")))</f>
      </c>
      <c r="G10" s="252">
        <v>44944.791666666664</v>
      </c>
      <c r="H10" t="s" s="253">
        <v>64</v>
      </c>
      <c r="I10" t="s" s="254">
        <v>65</v>
      </c>
      <c r="J10" s="255">
        <v>0.5</v>
      </c>
      <c r="K10" t="s" s="256">
        <v>41</v>
      </c>
      <c r="L10" s="257">
        <v>3.8</v>
      </c>
      <c r="M10" s="258"/>
      <c r="N10" s="259">
        <v>0.1</v>
      </c>
      <c r="O10" s="260">
        <f>IF(OR(AE10="",AE11=""),"",ROUND(IF(L12&gt;0,IF(M10&gt;0,M10,IF(M11&gt;0,ROUND((M11*AE10)/AE11,IF(N10=0,2,IF(N10=0.1,1,0))),ROUND((M12*AE10)/AE12,IF(N10=0,2,IF(N10=0.1,1,0))))),IF(M10&gt;0,M10,ROUND((M11*AE10)/AE11,IF(N10=0,2,IF(N10=0.1,1,0))))),2))</f>
        <v>8.199999999999999</v>
      </c>
      <c r="P10" s="261">
        <f>IF(OR(L10="",O10=""),"",IF($C10="1/2W",O10/2+O10/2*L10,IF($C10="1/2L",O10/2,IF(I10="Lay",(O10*(L10/(L10-1))-O10)*(1-_xlfn.XLOOKUP(K10,'Janeiro 2023 - Valor Real'!A3:A15,'Janeiro 2023 - Valor Real'!C3:C15,0))+O10,(O10*L10-O10)*(1-_xlfn.XLOOKUP(K10,'Janeiro 2023 - Valor Real'!A3:A15,'Janeiro 2023 - Valor Real'!C3:C15,0))+O10))))</f>
        <v>31.16</v>
      </c>
      <c r="Q10" s="262">
        <f>IF(K10="","",IF(_xlfn.XLOOKUP(K10,K$4:K9,DJ$4:DJ9,0,,-1)=DJ10,_xlfn.XLOOKUP(K10,K$4:K9,Q$4:Q9,1,,-1)+1,1))</f>
        <v>1</v>
      </c>
      <c r="R10" s="263">
        <f>IF(K10="","",_xlfn.XLOOKUP(K10,K$4:K9,R$4:R9,0,,-1)+IF($C10=" ",1,0))</f>
        <v>0</v>
      </c>
      <c r="S10" s="264">
        <f>IF($B10="Anulado",0,ROUND(IF(OR($B10="LOSS",$B10="OK"),IF(OR($C10="W",$C10="1/2W",$C10="1/2L"),P10-O10,IF($C10="L",-O10,0))+IF(OR($C11="W",$C11="1/2W",$C11="1/2L"),P11-O11,IF($C11="L",-O11,0))+IF(OR($C12="W",$C12="1/2W",$C12="1/2L"),P12-O12,IF($C12="L",-O12,0)),IF(AND(OR($C10="W",$C10="1/2W",$C10="1/2L"),C11="W"),P10+P11-SUM(O10:O12)+_xlfn.XLOOKUP("X",C10:C12,O10:O12,0),IF(AND(C10=TRUE,C12="W"),P10+P12-SUM(O10:O12),IF(AND(C11="W",C12="W"),P11+P12-SUM(O10:O12)+_xlfn.XLOOKUP("X",C10:C12,O10:O12,0),IF(L12&gt;0,IF(OR($C10="W",$C10="1/2W",$C10="1/2L"),P10-SUM(O10:O12)+_xlfn.XLOOKUP("X",C10:C12,O10:O12,0),IF(OR($C10="W",$C10="1/2W",$C10="1/2L"),P11-SUM(O10:O12)+_xlfn.XLOOKUP("X",C10:C12,O10:O12,0),IF(OR($C10="W",$C10="1/2W",$C10="1/2L"),P12-SUM(O10:O12)+_xlfn.XLOOKUP("X",C10:C12,O10:O12,0),IF(SUM(P10:P12)/3-SUM(O10:O12)+_xlfn.XLOOKUP("X",C10:C12,O10:O12,0)&gt;0,SUM(P10:P12)/3-SUM(O10:O12)+_xlfn.XLOOKUP("X",C10:C12,O10:O12,0),LARGE(P10:P12,1)-SUM(O10:O12))))),IF(OR($C10="W",$C10="1/2W",$C10="1/2L"),P10-SUM(O10:O11)+_xlfn.XLOOKUP("X",C10:C12,O10:O12,0),IF(OR($C10="W",$C10="1/2W",$C10="1/2L"),P11-SUM(O10:O11)+_xlfn.XLOOKUP("X",C10:C12,O10:O12,0),SUM(P10:P11)/2-SUM(O10:O11)+_xlfn.XLOOKUP("X",C10:C12,O10:O12,0)))))))),2))</f>
        <v>1.28</v>
      </c>
      <c r="T10" s="265">
        <f>IF(S10=0,0,S10/SUM(O10:O12))</f>
        <v>0.043039677202421</v>
      </c>
      <c r="U10" s="266">
        <f>IF($D10=$D7,IF(OR($B10="LOSS",$B10="OK",$B10="Anulada"),S10,0)+U7,IF(OR($B10="LOSS",$B10="OK",$B10="Anulada"),S10,0))</f>
        <v>6.93</v>
      </c>
      <c r="V10" s="266">
        <f>IF($D10="",0,IF($D10=$D7,IF($B10=" ",IF(I12="",IF(OR(AND(I10="DNB1",I11="DNB2"),AND(OR(I10="DNB1",I10="DNB2"),J11=0),AND(OR(I11="DNB1",I11="DNB2"),J10=0),AND(I10="DNB2",I11="DNB1"),AND(IF(J10=0,(J10+1)/ROUND(J10+1,0),J10/ROUND(J10,0))=1,IF(J11=0,(J11+1)/ROUND(IF(J11="",0,J11)+1,0),IF(J11="",0,J11)/ROUND(IF(J11="",1,J11),0))=1,OR(J10&lt;&gt;""),J11&lt;&gt;"")),0,IF(S10&lt;0,IF(I12="",SMALL(P10:P11,1)-SUM(O10:O11),0),SMALL(P10:P11,1)-SUM(O10:O11))),IF(S10&lt;0,IF(I12="",SMALL(P10:P12,1)-SUM(O10:O12),0),LARGE(P10:P12,1)-SUM(O10:O12))),S10)+V7,IF(I12="",IF(OR(AND(I10="DNB1",I11="DNB2"),AND(OR(I10="DNB1",I10="DNB2"),J11=0),AND(OR(I11="DNB1",I11="DNB2"),J10=0),AND(I10="DNB2",I11="DNB1"),AND(IF(J10=0,(J10+1)/ROUND(J10+1,0),J10/ROUND(J10,0))=1,IF(J11=0,(IF(J11="",0,J11)+1)/ROUND(IF(J11="",0,J11)+1,0),IF(J11="",0,J11)/ROUND(IF(J11="",0,J11)+1,0))=1,OR(J10&lt;&gt;""),J11&lt;&gt;"")),0,IF(S10&lt;0,IF(I12="",SMALL(P10:P11,1)-SUM(O10:O11),0),SMALL(P10:P12,1)-SUM(O10:O12))),IF(S10&lt;0,IF(I12="",SMALL(P10:P12,1)-SUM(O10:O12),0),LARGE(P10:P12,1)-SUM(O10:O12)))))</f>
        <v>6.93</v>
      </c>
      <c r="W10" s="266">
        <f>IF($D10=$D7,IF(S10&lt;0,IF(I12="",S10,0),S10)+W7,S10)</f>
        <v>6.93</v>
      </c>
      <c r="X10" t="s" s="267">
        <f>IF(OR(SUM(R10:R12)=0,V10=W10),ROUND(IF(W10=0,0,W10/Y10)*100,2)&amp;"%",ROUND(IF(V10=0,0,V10/Y10)*100,2)&amp;"% a "&amp;ROUND(IF(W10=0,0,W10/Y10)*100,2)&amp;"%")</f>
        <v>66</v>
      </c>
      <c r="Y10" s="268">
        <f>IF($D10=$D7,Y7+SUM(O10:O12),SUM(O10:O12))</f>
        <v>80.98</v>
      </c>
      <c r="Z10" s="266">
        <f>IF($B10=" ",SUM(O10:O12),0)+Z7</f>
        <v>0</v>
      </c>
      <c r="AA10" s="266">
        <f>IF(G10="","",IF($B10="Anulado",LARGE(P10:P12,1)-SUM(O10:O12)+AA7,AA7))</f>
        <v>0</v>
      </c>
      <c r="AB10" s="266">
        <f>IF($D10="","",AB7+S10)</f>
        <v>6.93</v>
      </c>
      <c r="AC10" s="269">
        <f>IF($D10="","",IF($B10=" ",IF(DAY(G10)=DAY(TODAY()),1+AC7,0+AC7),0+AC7))</f>
        <v>0</v>
      </c>
      <c r="AD10" s="270">
        <f>(1-_xlfn.XLOOKUP(K8,'Janeiro 2023 - Valor Real'!A3:A15,'Janeiro 2023 - Valor Real'!C3:C15,0))+1</f>
        <v>2</v>
      </c>
      <c r="AE10" s="271">
        <f>IF(L10="","",IF(L12&gt;0,(SUM(((L10-1)*(1-_xlfn.XLOOKUP(K10,'Janeiro 2023 - Valor Real'!A3:A15,'Janeiro 2023 - Valor Real'!C3:C15,0))+1),((L11-1)*(1-_xlfn.XLOOKUP(K11,'Janeiro 2023 - Valor Real'!A3:A15,'Janeiro 2023 - Valor Real'!C3:C15,0))+1),((L12-1)*(1-_xlfn.XLOOKUP(K12,'Janeiro 2023 - Valor Real'!A3:A15,'Janeiro 2023 - Valor Real'!C3:C15,0))+1))/((L10-1)*(1-_xlfn.XLOOKUP(K10,'Janeiro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Real'!C3:C15,0))+1))/((L10-1)*(1-_xlfn.XLOOKUP(K10,'Janeiro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Real'!C3:C15,0))+1))/((L11-1)*(1-_xlfn.XLOOKUP(K11,'Janeiro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Real'!C3:C15,0))+1))/((L12-1)*(1-_xlfn.XLOOKUP(K12,'Janeiro 2023 - Valor Real'!A3:A15,'Janeiro 2023 - Valor Real'!C3:C15,0))+1)),IF(I10="Lay",IF(I11="Lay",((L11/(L11-1)-1)*(1-_xlfn.XLOOKUP(K11,'Janeiro 2023 - Valor Real'!A3:A15,'Janeiro 2023 - Valor Real'!C3:C15,0))+1)/(((L11/(L11-1)-1)*(1-_xlfn.XLOOKUP(K11,'Janeiro 2023 - Valor Real'!A3:A15,'Janeiro 2023 - Valor Real'!C3:C15,0))+1)+((L10/(L10-1)-1)*(1-_xlfn.XLOOKUP(K10,'Janeiro 2023 - Valor Real'!A3:A15,'Janeiro 2023 - Valor Real'!C3:C15,0))+1)),((L11-1)*(1-_xlfn.XLOOKUP(K11,'Janeiro 2023 - Valor Real'!A3:A15,'Janeiro 2023 - Valor Real'!C3:C15,0))+1)/(((L11-1)*(1-_xlfn.XLOOKUP(K11,'Janeiro 2023 - Valor Real'!A3:A15,'Janeiro 2023 - Valor Real'!C3:C15,0))+1)+((L10/(L10-1)-1)*(1-_xlfn.XLOOKUP(K10,'Janeiro 2023 - Valor Real'!A3:A15,'Janeiro 2023 - Valor Real'!C3:C15,0))+1))),IF(I11="Lay",(((L11/(L11-1)-1)*(1-_xlfn.XLOOKUP(K11,'Janeiro 2023 - Valor Real'!A3:A15,'Janeiro 2023 - Valor Real'!C3:C15,0))+1))/(((L10-1)*(1-_xlfn.XLOOKUP(K10,'Janeiro 2023 - Valor Real'!A3:A15,'Janeiro 2023 - Valor Real'!C3:C15,0))+1)+((L11/(L11-1)-1)*(1-_xlfn.XLOOKUP(K11,'Janeiro 2023 - Valor Real'!A3:A15,'Janeiro 2023 - Valor Real'!C3:C15,0))+1)),((L11-1)*(1-_xlfn.XLOOKUP(K11,'Janeiro 2023 - Valor Real'!A3:A15,'Janeiro 2023 - Valor Real'!C3:C15,0))+1)/(((L11-1)*(1-_xlfn.XLOOKUP(K11,'Janeiro 2023 - Valor Real'!A3:A15,'Janeiro 2023 - Valor Real'!C3:C15,0))+1)+((L10-1)*(1-_xlfn.XLOOKUP(K10,'Janeiro 2023 - Valor Real'!A3:A15,'Janeiro 2023 - Valor Real'!C3:C15,0))+1))))))</f>
        <v>0.274809160305344</v>
      </c>
      <c r="AF10" s="132">
        <f>IF($K10=AF$3,ROUND(IF(OR($C10="W",$C10="1/2W",$C10="1/2L"),$P10-$O10,IF($C10="X",0,-$O10)),2),0)</f>
        <v>0</v>
      </c>
      <c r="AG10" s="133">
        <f>IF($K10=AG$3,ROUND(IF(OR($C10="W",$C10="1/2W",$C10="1/2L"),$P10-$O10,IF($C10="X",0,-$O10)),2),0)</f>
        <v>0</v>
      </c>
      <c r="AH10" s="133">
        <f>IF($K10=AH$3,ROUND(IF(OR($C10="W",$C10="1/2W",$C10="1/2L"),$P10-$O10,IF($C10="X",0,-$O10)),2),0)</f>
        <v>0</v>
      </c>
      <c r="AI10" s="133">
        <f>IF($K10=AI$3,ROUND(IF(OR($C10="W",$C10="1/2W",$C10="1/2L"),$P10-$O10,IF($C10="X",0,-$O10)),2),0)</f>
        <v>0</v>
      </c>
      <c r="AJ10" s="133">
        <f>IF($K10=AJ$3,ROUND(IF(OR($C10="W",$C10="1/2W",$C10="1/2L"),$P10-$O10,IF($C10="X",0,-$O10)),2),0)</f>
        <v>-8.199999999999999</v>
      </c>
      <c r="AK10" s="133">
        <f>IF($K10=AK$3,ROUND(IF(OR($C10="W",$C10="1/2W",$C10="1/2L"),$P10-$O10,IF($C10="X",0,-$O10)),2),0)</f>
        <v>0</v>
      </c>
      <c r="AL10" s="133">
        <f>IF($K10=AL$3,ROUND(IF(OR($C10="W",$C10="1/2W",$C10="1/2L"),$P10-$O10,IF($C10="X",0,-$O10)),2),0)</f>
        <v>0</v>
      </c>
      <c r="AM10" s="133">
        <f>IF($K10=AM$3,ROUND(IF(OR($C10="W",$C10="1/2W",$C10="1/2L"),$P10-$O10,IF($C10="X",0,-$O10)),2),0)</f>
        <v>0</v>
      </c>
      <c r="AN10" s="133">
        <f>IF($K10=AN$3,ROUND(IF(OR($C10="W",$C10="1/2W",$C10="1/2L"),$P10-$O10,IF($C10="X",0,-$O10)),2),0)</f>
        <v>0</v>
      </c>
      <c r="AO10" s="133">
        <f>IF($K10=AO$3,ROUND(IF(OR($C10="W",$C10="1/2W",$C10="1/2L"),$P10-$O10,IF($C10="X",0,-$O10)),2),0)</f>
        <v>0</v>
      </c>
      <c r="AP10" s="133">
        <f>IF($K10=AP$3,ROUND(IF(OR($C10="W",$C10="1/2W",$C10="1/2L"),$P10-$O10,IF($C10="X",0,-$O10)),2),0)</f>
        <v>0</v>
      </c>
      <c r="AQ10" s="133">
        <f>IF($K10=AQ$3,ROUND(IF(OR($C10="W",$C10="1/2W",$C10="1/2L"),$P10-$O10,IF($C10="X",0,-$O10)),2),0)</f>
        <v>0</v>
      </c>
      <c r="AR10" s="134">
        <f>IF($K10=AR$3,ROUND(IF(OR($C10="W",$C10="1/2W",$C10="1/2L"),$P10-$O10,IF($C10="X",0,-$O10)),2),0)</f>
        <v>0</v>
      </c>
      <c r="AS10" s="132">
        <f>IF(AND($B10=" ",$K10=AS$3),$O10,0)</f>
        <v>0</v>
      </c>
      <c r="AT10" s="133">
        <f>IF(AND($B10=" ",$K10=AT$3),$O10,0)</f>
        <v>0</v>
      </c>
      <c r="AU10" s="133">
        <f>IF(AND($B10=" ",$K10=AU$3),$O10,0)</f>
        <v>0</v>
      </c>
      <c r="AV10" s="133">
        <f>IF(AND($B10=" ",$K10=AV$3),$O10,0)</f>
        <v>0</v>
      </c>
      <c r="AW10" s="133">
        <f>IF(AND($B10=" ",$K10=AW$3),$O10,0)</f>
        <v>0</v>
      </c>
      <c r="AX10" s="133">
        <f>IF(AND($B10=" ",$K10=AX$3),$O10,0)</f>
        <v>0</v>
      </c>
      <c r="AY10" s="135">
        <f>IF(AND($B10=" ",$K10=AY$3),$O10,0)</f>
        <v>0</v>
      </c>
      <c r="AZ10" s="136">
        <f>IF(AND($B10=" ",$K10=AZ$3),$O10,0)</f>
        <v>0</v>
      </c>
      <c r="BA10" s="136">
        <f>IF(AND($B10=" ",$K10=BA$3),$O10,0)</f>
        <v>0</v>
      </c>
      <c r="BB10" s="136">
        <f>IF(AND($B10=" ",$K10=BB$3),$O10,0)</f>
        <v>0</v>
      </c>
      <c r="BC10" s="137">
        <f>IF(AND($B10=" ",$K10=BC$3),$O10,0)</f>
        <v>0</v>
      </c>
      <c r="BD10" s="133">
        <f>IF(AND($B10=" ",$K10=BD$3),$O10,0)</f>
        <v>0</v>
      </c>
      <c r="BE10" s="134">
        <f>IF(AND($B10=" ",$K10=BE$3),$O10,0)</f>
        <v>0</v>
      </c>
      <c r="BF10" s="132">
        <f>IF($K10=BF$3,IF($C10="X",0,$O10),0)</f>
        <v>0</v>
      </c>
      <c r="BG10" s="133">
        <f>IF($K10=BG$3,IF($C10="X",0,$O10),0)</f>
        <v>0</v>
      </c>
      <c r="BH10" s="133">
        <f>IF($K10=BH$3,IF($C10="X",0,$O10),0)</f>
        <v>0</v>
      </c>
      <c r="BI10" s="133">
        <f>IF($K10=BI$3,IF($C10="X",0,$O10),0)</f>
        <v>0</v>
      </c>
      <c r="BJ10" s="133">
        <f>IF($K10=BJ$3,IF($C10="X",0,$O10),0)</f>
        <v>8.199999999999999</v>
      </c>
      <c r="BK10" s="133">
        <f>IF($K10=BK$3,IF($C10="X",0,$O10),0)</f>
        <v>0</v>
      </c>
      <c r="BL10" s="133">
        <f>IF($K10=BL$3,IF($C10="X",0,$O10),0)</f>
        <v>0</v>
      </c>
      <c r="BM10" s="135">
        <f>IF($K10=BM$3,IF($C10="X",0,$O10),0)</f>
        <v>0</v>
      </c>
      <c r="BN10" s="136">
        <f>IF($K10=BN$3,IF($C10="X",0,$O10),0)</f>
        <v>0</v>
      </c>
      <c r="BO10" s="136">
        <f>IF($K10=BO$3,IF($C10="X",0,$O10),0)</f>
        <v>0</v>
      </c>
      <c r="BP10" s="136">
        <f>IF($K10=BP$3,IF($C10="X",0,$O10),0)</f>
        <v>0</v>
      </c>
      <c r="BQ10" s="137">
        <f>IF($K10=BQ$3,IF($C10="X",0,$O10),0)</f>
        <v>0</v>
      </c>
      <c r="BR10" s="134">
        <f>IF($K10=BR$3,IF($C10="X",0,$O10),0)</f>
        <v>0</v>
      </c>
      <c r="BS10" s="170">
        <f>IF($B10="LOSS",IF(AND($K10=BS$3,$C10="L"),-$O10,0)+IF(AND($K11=BS$3,$C11="L"),-$O11,0)+IF(AND($K12=BS$3,$C12="L"),-$O12,0),IF(OR(AND($K10=BS$3,OR($C10="W",$C10="1/2W")),AND($K11=BS$3,OR($C11="W",$C11="1/2W")),AND($K12=BS$3,OR($C12="W",$C12="1/2W"))),$S10,0))</f>
        <v>0</v>
      </c>
      <c r="BT10" s="272">
        <f>IF($B10="LOSS",IF(AND($K10=BT$3,$C10="L"),-$O10,0)+IF(AND($K11=BT$3,$C11="L"),-$O11,0)+IF(AND($K11=BT$3,$C12="L"),-$O12,0),IF(OR(AND($K11=BT$3,OR($C10="W",$C10="1/2W")),AND($K11=BT$3,OR($C11="W",$C11="1/2W")),AND($K11=BT$3,OR($C12="W",$C12="1/2W"))),$S10,0))</f>
        <v>1.28</v>
      </c>
      <c r="BU10" s="136">
        <f>IF($B10="LOSS",IF(AND($K10=BU$3,$C10="L"),-$O10,0)+IF(AND($K11=BU$3,$C11="L"),-$O11,0)+IF(AND($K11=BU$3,$C12="L"),-$O12,0),IF(OR(AND($K11=BU$3,OR($C10="W",$C10="1/2W")),AND($K11=BU$3,OR($C11="W",$C11="1/2W")),AND($K11=BU$3,OR($C12="W",$C12="1/2W"))),$S10,0))</f>
        <v>0</v>
      </c>
      <c r="BV10" s="136">
        <f>IF($B10="LOSS",IF(AND($K10=BV$3,$C10="L"),-$O10,0)+IF(AND($K11=BV$3,$C11="L"),-$O11,0)+IF(AND($K12=BV$3,$C12="L"),-$O12,0),IF(OR(AND($K10=BV$3,OR($C10="W",$C10="1/2W")),AND($K11=BV$3,OR($C11="W",$C11="1/2W")),AND($K12=BV$3,OR($C12="W",$C12="1/2W"))),$S10,0))</f>
        <v>0</v>
      </c>
      <c r="BW10" s="136">
        <f>IF($B10="LOSS",IF(AND($K10=BW$3,$C10="L"),-$O10,0)+IF(AND($K11=BW$3,$C11="L"),-$O11,0)+IF(AND($K12=BW$3,$C12="L"),-$O12,0),IF(OR(AND($K10=BW$3,OR($C10="W",$C10="1/2W")),AND($K11=BW$3,OR($C11="W",$C11="1/2W")),AND($K12=BW$3,OR($C12="W",$C12="1/2W"))),$S10,0))</f>
        <v>0</v>
      </c>
      <c r="BX10" s="136">
        <f>IF($B10="LOSS",IF(AND($K10=BX$3,$C10="L"),-$O10,0)+IF(AND($K11=BX$3,$C11="L"),-$O11,0)+IF(AND($K12=BX$3,$C12="L"),-$O12,0),IF(OR(AND($K10=BX$3,OR($C10="W",$C10="1/2W")),AND($K11=BX$3,OR($C11="W",$C11="1/2W")),AND($K12=BX$3,OR($C12="W",$C12="1/2W"))),$S10,0))</f>
        <v>0</v>
      </c>
      <c r="BY10" s="136">
        <f>IF($B10="LOSS",IF(AND($K10=BY$3,$C10="L"),-$O10,0)+IF(AND($K11=BY$3,$C11="L"),-$O11,0)+IF(AND($K12=BY$3,$C12="L"),-$O12,0),IF(OR(AND($K10=BY$3,OR($C10="W",$C10="1/2W")),AND($K11=BY$3,OR($C11="W",$C11="1/2W")),AND($K12=BY$3,OR($C12="W",$C12="1/2W"))),$S10,0))</f>
        <v>0</v>
      </c>
      <c r="BZ10" s="136">
        <f>IF($B10="LOSS",IF(AND($K10=BZ$3,$C10="L"),-$O10,0)+IF(AND($K11=BZ$3,$C11="L"),-$O11,0)+IF(AND($K12=BZ$3,$C12="L"),-$O12,0),IF(OR(AND($K10=BZ$3,OR($C10="W",$C10="1/2W")),AND($K11=BZ$3,OR($C11="W",$C11="1/2W")),AND($K12=BZ$3,OR($C12="W",$C12="1/2W"))),$S10,0))</f>
        <v>0</v>
      </c>
      <c r="CA10" s="136">
        <f>IF($B10="LOSS",IF(AND($K10=CA$3,$C10="L"),-$O10,0)+IF(AND($K11=CA$3,$C11="L"),-$O11,0)+IF(AND($K12=CA$3,$C12="L"),-$O12,0),IF(OR(AND($K10=CA$3,OR($C10="W",$C10="1/2W")),AND($K11=CA$3,OR($C11="W",$C11="1/2W")),AND($K12=CA$3,OR($C12="W",$C12="1/2W"))),$S10,0))</f>
        <v>0</v>
      </c>
      <c r="CB10" s="136">
        <f>IF($B10="LOSS",IF(AND($K10=CB$3,$C10="L"),-$O10,0)+IF(AND($K11=CB$3,$C11="L"),-$O11,0)+IF(AND($K12=CB$3,$C12="L"),-$O12,0),IF(OR(AND($K10=CB$3,OR($C10="W",$C10="1/2W")),AND($K11=CB$3,OR($C11="W",$C11="1/2W")),AND($K12=CB$3,OR($C12="W",$C12="1/2W"))),$S10,0))</f>
        <v>0</v>
      </c>
      <c r="CC10" s="136">
        <f>IF($B10="LOSS",IF(AND($K10=CC$3,$C10="L"),-$O10,0)+IF(AND($K11=CC$3,$C11="L"),-$O11,0)+IF(AND($K12=CC$3,$C12="L"),-$O12,0),IF(OR(AND($K10=CC$3,OR($C10="W",$C10="1/2W")),AND($K11=CC$3,OR($C11="W",$C11="1/2W")),AND($K12=CC$3,OR($C12="W",$C12="1/2W"))),$S10,0))</f>
        <v>0</v>
      </c>
      <c r="CD10" s="137">
        <f>IF($B10="LOSS",IF(AND($K10=CD$3,$C10="L"),-$O10,0)+IF(AND($K11=CD$3,$C11="L"),-$O11,0)+IF(AND($K12=CD$3,$C12="L"),-$O12,0),IF(OR(AND($K10=CD$3,OR($C10="W",$C10="1/2W")),AND($K11=CD$3,OR($C11="W",$C11="1/2W")),AND($K12=CD$3,OR($C12="W",$C12="1/2W"))),$S10,0))</f>
        <v>0</v>
      </c>
      <c r="CE10" s="134">
        <f>IF($B10="LOSS",IF(AND($K10=CE$3,$C10="L"),-$O10,0)+IF(AND($K11=CE$3,$C11="L"),-$O11,0)+IF(AND($K12=CE$3,$C12="L"),-$O12,0),IF(OR(AND($K10=CE$3,OR($C10="W",$C10="1/2W")),AND($K11=CE$3,OR($C11="W",$C11="1/2W")),AND($K12=CE$3,OR($C12="W",$C12="1/2W"))),$S10,0))</f>
        <v>0</v>
      </c>
      <c r="CF10" s="273">
        <f>IF(CF$3=$K10,IF($C10="W",1,IF($C10="1/2W",0.5,0)),0)</f>
        <v>0</v>
      </c>
      <c r="CG10" s="274">
        <f>IF(CF$3=$K10,IF($C10="L",1,IF($C10="1/2L",0.5,0)),0)</f>
        <v>0</v>
      </c>
      <c r="CH10" s="274">
        <f>IF(CH$3=$K10,IF($C10="W",1,IF($C10="1/2W",0.5,0)),0)</f>
        <v>0</v>
      </c>
      <c r="CI10" s="274">
        <f>IF(CH$3=$K10,IF($C10="L",1,IF($C10="1/2L",0.5,0)),0)</f>
        <v>0</v>
      </c>
      <c r="CJ10" s="274">
        <f>IF(CJ$3=$K10,IF($C10="W",1,IF($C10="1/2W",0.5,0)),0)</f>
        <v>0</v>
      </c>
      <c r="CK10" s="274">
        <f>IF(CJ$3=$K10,IF($C10="L",1,IF($C10="1/2L",0.5,0)),0)</f>
        <v>0</v>
      </c>
      <c r="CL10" s="274">
        <f>IF(CL$3=$K10,IF($C10="W",1,IF($C10="1/2W",0.5,0)),0)</f>
        <v>0</v>
      </c>
      <c r="CM10" s="274">
        <f>IF(CL$3=$K10,IF($C10="L",1,IF($C10="1/2L",0.5,0)),0)</f>
        <v>0</v>
      </c>
      <c r="CN10" s="274">
        <f>IF(CN$3=$K10,IF($C10="W",1,IF($C10="1/2W",0.5,0)),0)</f>
        <v>0</v>
      </c>
      <c r="CO10" s="274">
        <f>IF(CN$3=$K10,IF($C10="L",1,IF($C10="1/2L",0.5,0)),0)</f>
        <v>1</v>
      </c>
      <c r="CP10" s="274">
        <f>IF(CP$3=$K10,IF($C10="W",1,IF($C10="1/2W",0.5,0)),0)</f>
        <v>0</v>
      </c>
      <c r="CQ10" s="274">
        <f>IF(CP$3=$K10,IF($C10="L",1,IF($C10="1/2L",0.5,0)),0)</f>
        <v>0</v>
      </c>
      <c r="CR10" s="274">
        <f>IF(CR$3=$K10,IF($C10="W",1,IF($C10="1/2W",0.5,0)),0)</f>
        <v>0</v>
      </c>
      <c r="CS10" s="274">
        <f>IF(CR$3=$K10,IF($C10="L",1,IF($C10="1/2L",0.5,0)),0)</f>
        <v>0</v>
      </c>
      <c r="CT10" s="145">
        <f>IF(CT$3=$K10,IF($C10="W",1,IF($C10="1/2W",0.5,0)),0)</f>
        <v>0</v>
      </c>
      <c r="CU10" s="146">
        <f>IF(CT$3=$K10,IF($C10="L",1,IF($C10="1/2L",0.5,0)),0)</f>
        <v>0</v>
      </c>
      <c r="CV10" s="146">
        <f>IF(CV$3=$K10,IF($C10="W",1,IF($C10="1/2W",0.5,0)),0)</f>
        <v>0</v>
      </c>
      <c r="CW10" s="146">
        <f>IF(CV$3=$K10,IF($C10="L",1,IF($C10="1/2L",0.5,0)),0)</f>
        <v>0</v>
      </c>
      <c r="CX10" s="146">
        <f>IF(CX$3=$K10,IF($C10="W",1,IF($C10="1/2W",0.5,0)),0)</f>
        <v>0</v>
      </c>
      <c r="CY10" s="146">
        <f>IF(CX$3=$K10,IF($C10="L",1,IF($C10="1/2L",0.5,0)),0)</f>
        <v>0</v>
      </c>
      <c r="CZ10" s="146">
        <f>IF(CZ$3=$K10,IF($C10="W",1,IF($C10="1/2W",0.5,0)),0)</f>
        <v>0</v>
      </c>
      <c r="DA10" s="146">
        <f>IF(CZ$3=$K10,IF($C10="L",1,IF($C10="1/2L",0.5,0)),0)</f>
        <v>0</v>
      </c>
      <c r="DB10" s="146">
        <f>IF(DB$3=$K10,IF($C10="W",1,IF($C10="1/2W",0.5,0)),0)</f>
        <v>0</v>
      </c>
      <c r="DC10" s="146">
        <f>IF(DB$3=$K10,IF($C10="L",1,IF($C10="1/2L",0.5,0)),0)</f>
        <v>0</v>
      </c>
      <c r="DD10" s="146">
        <f>IF(DD$3=$K10,IF($C10="W",1,IF($C10="1/2W",0.5,0)),0)</f>
        <v>0</v>
      </c>
      <c r="DE10" s="147">
        <f>IF(DD$3=$K10,IF($C10="L",1,IF($C10="1/2L",0.5,0)),0)</f>
        <v>0</v>
      </c>
      <c r="DF10" s="143">
        <f>IF(AND(L10&lt;DF$3,$C10="W"),1+DF9,DF9)</f>
        <v>0</v>
      </c>
      <c r="DG10" s="133">
        <f>IF(DF10&gt;DF9,L10+DG9,DG9)</f>
        <v>0</v>
      </c>
      <c r="DH10" s="146">
        <f>IF(AND(L10&gt;DH$3,$C10="W"),1+DH9,0+DH9)</f>
        <v>0</v>
      </c>
      <c r="DI10" s="133">
        <f>IF(DH10&gt;DH9,L10+DI9,DI9)</f>
        <v>0</v>
      </c>
      <c r="DJ10" s="146">
        <f>IF($D10="","",$D10)</f>
        <v>16</v>
      </c>
      <c r="DK10" s="146">
        <f>IF(AND($B10=" ",$D10&lt;&gt;""),1,0)</f>
        <v>0</v>
      </c>
    </row>
    <row r="11" ht="14.55" customHeight="1">
      <c r="A11" s="107"/>
      <c r="B11" s="108"/>
      <c r="C11" t="s" s="109">
        <v>56</v>
      </c>
      <c r="D11" s="110"/>
      <c r="E11" s="111"/>
      <c r="F11" s="113"/>
      <c r="G11" s="252"/>
      <c r="H11" s="114"/>
      <c r="I11" t="s" s="275">
        <v>67</v>
      </c>
      <c r="J11" s="276">
        <f>IF(OR(I10="TO",I10="TU",I10="TO1",I10="TU1",I10="TO2",I10="TU2"),J10,IF(OR(I10="AH1",I10="AH2"),IF(OR(I11="AH1",I11="AH2"),-J10,IF(OR(I11="EH1",I11="EH2"),-J10+0.5,"")),IF(OR(I10="EH1",I10="EH2"),IF(OR(I11="AH1",I11="AH2"),-J10+0.5,IF(OR(I11="EH1",I11="EH2"),-J10+1,"")),IF(AND(OR(I10="DNB1",I10="DNB2"),OR(I11="AH1",I11="AH2")),0,IF(AND(I10="Not ScoreBoth",OR(I11="TO1",I11="TO2")),0.5,"")))))</f>
        <v>0.5</v>
      </c>
      <c r="K11" t="s" s="117">
        <v>38</v>
      </c>
      <c r="L11" s="277">
        <v>1.44</v>
      </c>
      <c r="M11" s="278">
        <v>21.54</v>
      </c>
      <c r="N11" s="120"/>
      <c r="O11" s="121">
        <f>IF(OR(AE10="",AE11=""),"",ROUND(IF(L12&gt;0,IF(M11&gt;0,M11,IF(M10&gt;0,IF(N10=TRUE,ROUND((M10*AE11)/AE10,0),(M10*AE11)/AE10),IF(M11&gt;0,ROUND(M11,IF(N10=0,2,IF(N10=0.1,1,0))),IF(M12&gt;0,ROUND(O12*AE11/AE12,IF(N10=0,2,IF(N10=0.1,1,0))),0)))),IF(M11&gt;0,M11,ROUND((M10*AE11)/AE10,IF(N10=0,2,IF(N10=0.1,1,0))))),2))</f>
        <v>21.54</v>
      </c>
      <c r="P11" s="122">
        <f>IF(OR(L11="",O11=""),"",IF($C11="1/2W",O11/2+O11/2*L11,IF($C11="1/2L",O11/2,IF(I11="Lay",((O11*(L11/(L11-1)))-O11)*(1-_xlfn.XLOOKUP(K11,'Janeiro 2023 - Valor Real'!A3:A15,'Janeiro 2023 - Valor Real'!C3:C15,0))+O11,(O11*L11-O11)*(1-_xlfn.XLOOKUP(K11,'Janeiro 2023 - Valor Real'!A3:A15,'Janeiro 2023 - Valor Real'!C3:C15,0))+O11))))</f>
        <v>31.0176</v>
      </c>
      <c r="Q11" s="279">
        <f>IF(K11="","",IF(_xlfn.XLOOKUP(K11,K$4:K10,DJ$4:DJ10,0,,-1)=DJ11,_xlfn.XLOOKUP(K11,K$4:K10,Q$4:Q10,1,,-1)+1,1))</f>
        <v>2</v>
      </c>
      <c r="R11" s="280">
        <f>IF(K11="","",_xlfn.XLOOKUP(K11,K$4:K10,R$4:R10,0,,-1)+IF($C11=" ",1,0))</f>
        <v>0</v>
      </c>
      <c r="S11" s="125"/>
      <c r="T11" s="126"/>
      <c r="U11" s="126"/>
      <c r="V11" s="224"/>
      <c r="W11" s="126"/>
      <c r="X11" s="127"/>
      <c r="Y11" s="128"/>
      <c r="Z11" s="129"/>
      <c r="AA11" s="129"/>
      <c r="AB11" s="129"/>
      <c r="AC11" s="129"/>
      <c r="AD11" s="130"/>
      <c r="AE11" s="131">
        <f>IF(L11="","",IF(L12&gt;0,(SUM(((L10-1)*(1-_xlfn.XLOOKUP(K10,'Janeiro 2023 - Valor Real'!A3:A15,'Janeiro 2023 - Valor Real'!C3:C15,0))+1),((L11-1)*(1-_xlfn.XLOOKUP(K11,'Janeiro 2023 - Valor Real'!A3:A15,'Janeiro 2023 - Valor Real'!C3:C15,0))+1),((L12-1)*(1-_xlfn.XLOOKUP(K12,'Janeiro 2023 - Valor Real'!A3:A15,'Janeiro 2023 - Valor Real'!C3:C15,0))+1))/((L11-1)*(1-_xlfn.XLOOKUP(K11,'Janeiro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Real'!C3:C15,0))+1))/((L10-1)*(1-_xlfn.XLOOKUP(K10,'Janeiro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Real'!C3:C15,0))+1))/((L11-1)*(1-_xlfn.XLOOKUP(K11,'Janeiro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Real'!C3:C15,0))+1))/((L12-1)*(1-_xlfn.XLOOKUP(K12,'Janeiro 2023 - Valor Real'!A3:A15,'Janeiro 2023 - Valor Real'!C3:C15,0))+1)),IF(I11="Lay",IF(I10="Lay",((L10/(L10-1)-1)*(1-_xlfn.XLOOKUP(K10,'Janeiro 2023 - Valor Real'!A3:A15,'Janeiro 2023 - Valor Real'!C3:C15,0))+1)/(((L10/(L10-1)-1)*(1-_xlfn.XLOOKUP(K10,'Janeiro 2023 - Valor Real'!A3:A15,'Janeiro 2023 - Valor Real'!C3:C15,0))+1)+((L11/(L11-1)-1)*(1-_xlfn.XLOOKUP(K11,'Janeiro 2023 - Valor Real'!A3:A15,'Janeiro 2023 - Valor Real'!C3:C15,0))+1)),((L10-1)*(1-_xlfn.XLOOKUP(K10,'Janeiro 2023 - Valor Real'!A3:A15,'Janeiro 2023 - Valor Real'!C3:C15,0))+1)/(((L10-1)*(1-_xlfn.XLOOKUP(K10,'Janeiro 2023 - Valor Real'!A3:A15,'Janeiro 2023 - Valor Real'!C3:C15,0))+1)+((L11/(L11-1)-1)*(1-_xlfn.XLOOKUP(K11,'Janeiro 2023 - Valor Real'!A3:A15,'Janeiro 2023 - Valor Real'!C3:C15,0))+1))),IF(I10="Lay",((L10/(L10-1)-1)*(1-_xlfn.XLOOKUP(K10,'Janeiro 2023 - Valor Real'!A3:A15,'Janeiro 2023 - Valor Real'!C3:C15,0))+1)/((((L10/(L10-1)-1)*(1-_xlfn.XLOOKUP(K10,'Janeiro 2023 - Valor Real'!A3:A15,'Janeiro 2023 - Valor Real'!C3:C15,0))+1))+((L11-1)*(1-_xlfn.XLOOKUP(K11,'Janeiro 2023 - Valor Real'!A3:A15,'Janeiro 2023 - Valor Real'!C3:C15,0))+1)),((L10-1)*(1-_xlfn.XLOOKUP(K10,'Janeiro 2023 - Valor Real'!A3:A15,'Janeiro 2023 - Valor Real'!C3:C15,0))+1)/(((L10-1)*(1-_xlfn.XLOOKUP(K10,'Janeiro 2023 - Valor Real'!A3:A15,'Janeiro 2023 - Valor Real'!C3:C15,0))+1)+((L11-1)*(1-_xlfn.XLOOKUP(K11,'Janeiro 2023 - Valor Real'!A3:A15,'Janeiro 2023 - Valor Real'!C3:C15,0))+1))))))</f>
        <v>0.725190839694656</v>
      </c>
      <c r="AF11" s="132">
        <f>IF($K11=AF$3,ROUND(IF(OR($C11="W",$C11="1/2W",$C11="1/2L"),$P11-$O11,IF($C11="X",0,-$O11)),2),0)</f>
        <v>0</v>
      </c>
      <c r="AG11" s="133">
        <f>IF($K11=AG$3,ROUND(IF(OR($C11="W",$C11="1/2W",$C11="1/2L"),$P11-$O11,IF($C11="X",0,-$O11)),2),0)</f>
        <v>9.48</v>
      </c>
      <c r="AH11" s="133">
        <f>IF($K11=AH$3,ROUND(IF(OR($C11="W",$C11="1/2W",$C11="1/2L"),$P11-$O11,IF($C11="X",0,-$O11)),2),0)</f>
        <v>0</v>
      </c>
      <c r="AI11" s="133">
        <f>IF($K11=AI$3,ROUND(IF(OR($C11="W",$C11="1/2W",$C11="1/2L"),$P11-$O11,IF($C11="X",0,-$O11)),2),0)</f>
        <v>0</v>
      </c>
      <c r="AJ11" s="133">
        <f>IF($K11=AJ$3,ROUND(IF(OR($C11="W",$C11="1/2W",$C11="1/2L"),$P11-$O11,IF($C11="X",0,-$O11)),2),0)</f>
        <v>0</v>
      </c>
      <c r="AK11" s="133">
        <f>IF($K11=AK$3,ROUND(IF(OR($C11="W",$C11="1/2W",$C11="1/2L"),$P11-$O11,IF($C11="X",0,-$O11)),2),0)</f>
        <v>0</v>
      </c>
      <c r="AL11" s="133">
        <f>IF($K11=AL$3,ROUND(IF(OR($C11="W",$C11="1/2W",$C11="1/2L"),$P11-$O11,IF($C11="X",0,-$O11)),2),0)</f>
        <v>0</v>
      </c>
      <c r="AM11" s="133">
        <f>IF($K11=AM$3,ROUND(IF(OR($C11="W",$C11="1/2W",$C11="1/2L"),$P11-$O11,IF($C11="X",0,-$O11)),2),0)</f>
        <v>0</v>
      </c>
      <c r="AN11" s="133">
        <f>IF($K11=AN$3,ROUND(IF(OR($C11="W",$C11="1/2W",$C11="1/2L"),$P11-$O11,IF($C11="X",0,-$O11)),2),0)</f>
        <v>0</v>
      </c>
      <c r="AO11" s="133">
        <f>IF($K11=AO$3,ROUND(IF(OR($C11="W",$C11="1/2W",$C11="1/2L"),$P11-$O11,IF($C11="X",0,-$O11)),2),0)</f>
        <v>0</v>
      </c>
      <c r="AP11" s="133">
        <f>IF($K11=AP$3,ROUND(IF(OR($C11="W",$C11="1/2W",$C11="1/2L"),$P11-$O11,IF($C11="X",0,-$O11)),2),0)</f>
        <v>0</v>
      </c>
      <c r="AQ11" s="133">
        <f>IF($K11=AQ$3,ROUND(IF(OR($C11="W",$C11="1/2W",$C11="1/2L"),$P11-$O11,IF($C11="X",0,-$O11)),2),0)</f>
        <v>0</v>
      </c>
      <c r="AR11" s="134">
        <f>IF($K11=AR$3,ROUND(IF(OR($C11="W",$C11="1/2W",$C11="1/2L"),$P11-$O11,IF($C11="X",0,-$O11)),2),0)</f>
        <v>0</v>
      </c>
      <c r="AS11" s="132">
        <f>IF(AND($B10=" ",$K11=AS$3),$O11,0)</f>
        <v>0</v>
      </c>
      <c r="AT11" s="133">
        <f>IF(AND($B10=" ",K11=AT$3),$O11,0)</f>
        <v>0</v>
      </c>
      <c r="AU11" s="133">
        <f>IF(AND($B10=" ",$K11=AU$3),$O11,0)</f>
        <v>0</v>
      </c>
      <c r="AV11" s="133">
        <f>IF(AND($B10=" ",$K11=AV$3),$O11,0)</f>
        <v>0</v>
      </c>
      <c r="AW11" s="133">
        <f>IF(AND($B10=" ",$K11=AW$3),$O11,0)</f>
        <v>0</v>
      </c>
      <c r="AX11" s="133">
        <f>IF(AND($B10=" ",$K11=AX$3),$O11,0)</f>
        <v>0</v>
      </c>
      <c r="AY11" s="135">
        <f>IF(AND($B10=" ",$K11=AY$3),$O11,0)</f>
        <v>0</v>
      </c>
      <c r="AZ11" s="136">
        <f>IF(AND($B10=" ",$K11=AZ$3),$O11,0)</f>
        <v>0</v>
      </c>
      <c r="BA11" s="136">
        <f>IF(AND($B10=" ",$K11=BA$3),$O11,0)</f>
        <v>0</v>
      </c>
      <c r="BB11" s="136">
        <f>IF(AND($B10=" ",$K11=BB$3),$O11,0)</f>
        <v>0</v>
      </c>
      <c r="BC11" s="137">
        <f>IF(AND($B10=" ",$K11=BC$3),$O11,0)</f>
        <v>0</v>
      </c>
      <c r="BD11" s="133">
        <f>IF(AND($B10=" ",$K11=BD$3),$O11,0)</f>
        <v>0</v>
      </c>
      <c r="BE11" s="134">
        <f>IF(AND($B10=" ",$K11=BE$3),$O11,0)</f>
        <v>0</v>
      </c>
      <c r="BF11" s="132">
        <f>IF($K11=BF$3,IF($C11="X",0,$O11),0)</f>
        <v>0</v>
      </c>
      <c r="BG11" s="281">
        <f>IF($K11=BG$3,IF($C11="X",0,$O11),0)</f>
        <v>21.54</v>
      </c>
      <c r="BH11" s="133">
        <f>IF($K11=BH$3,IF($C11="X",0,$O11),0)</f>
        <v>0</v>
      </c>
      <c r="BI11" s="133">
        <f>IF($K11=BI$3,IF($C11="X",0,$O11),0)</f>
        <v>0</v>
      </c>
      <c r="BJ11" s="133">
        <f>IF($K11=BJ$3,IF($C11="X",0,$O11),0)</f>
        <v>0</v>
      </c>
      <c r="BK11" s="133">
        <f>IF($K11=BK$3,IF($C11="X",0,$O11),0)</f>
        <v>0</v>
      </c>
      <c r="BL11" s="133">
        <f>IF($K11=BL$3,IF($C11="X",0,$O11),0)</f>
        <v>0</v>
      </c>
      <c r="BM11" s="135">
        <f>IF($K11=BM$3,IF($C11="X",0,$O11),0)</f>
        <v>0</v>
      </c>
      <c r="BN11" s="136">
        <f>IF($K11=BN$3,IF($C11="X",0,$O11),0)</f>
        <v>0</v>
      </c>
      <c r="BO11" s="136">
        <f>IF($K11=BO$3,IF($C11="X",0,$O11),0)</f>
        <v>0</v>
      </c>
      <c r="BP11" s="136">
        <f>IF($K11=BP$3,IF($C11="X",0,$O11),0)</f>
        <v>0</v>
      </c>
      <c r="BQ11" s="137">
        <f>IF($K11=BQ$3,IF($C11="X",0,$O11),0)</f>
        <v>0</v>
      </c>
      <c r="BR11" s="134">
        <f>IF($K11=BR$3,IF($C11="X",0,$O11),0)</f>
        <v>0</v>
      </c>
      <c r="BS11" s="282"/>
      <c r="BT11" s="283"/>
      <c r="BU11" s="140"/>
      <c r="BV11" s="283"/>
      <c r="BW11" s="140"/>
      <c r="BX11" s="140"/>
      <c r="BY11" s="140"/>
      <c r="BZ11" s="283"/>
      <c r="CA11" s="140"/>
      <c r="CB11" s="140"/>
      <c r="CC11" s="140"/>
      <c r="CD11" s="141"/>
      <c r="CE11" s="142"/>
      <c r="CF11" s="284">
        <f>IF(CF$3=$K11,IF($C11="W",1,IF($C11="1/2W",0.5,0)),0)</f>
        <v>0</v>
      </c>
      <c r="CG11" s="285">
        <f>IF(CF$3=$K11,IF($C11="L",1,IF($C11="1/2L",0.5,0)),0)</f>
        <v>0</v>
      </c>
      <c r="CH11" s="285">
        <f>IF(CH$3=$K11,IF($C11="W",1,IF($C11="1/2W",0.5,0)),0)</f>
        <v>1</v>
      </c>
      <c r="CI11" s="285">
        <f>IF(CH$3=$K11,IF($C11="L",1,IF($C11="1/2L",0.5,0)),0)</f>
        <v>0</v>
      </c>
      <c r="CJ11" s="285">
        <f>IF(CJ$3=$K11,IF($C11="W",1,IF($C11="1/2W",0.5,0)),0)</f>
        <v>0</v>
      </c>
      <c r="CK11" s="285">
        <f>IF(CJ$3=$K11,IF($C11="L",1,IF($C11="1/2L",0.5,0)),0)</f>
        <v>0</v>
      </c>
      <c r="CL11" s="285">
        <f>IF(CL$3=$K11,IF($C11="W",1,IF($C11="1/2W",0.5,0)),0)</f>
        <v>0</v>
      </c>
      <c r="CM11" s="285">
        <f>IF(CL$3=$K11,IF($C11="L",1,IF($C11="1/2L",0.5,0)),0)</f>
        <v>0</v>
      </c>
      <c r="CN11" s="285">
        <f>IF(CN$3=$K11,IF($C11="W",1,IF($C11="1/2W",0.5,0)),0)</f>
        <v>0</v>
      </c>
      <c r="CO11" s="285">
        <f>IF(CN$3=$K11,IF($C11="L",1,IF($C11="1/2L",0.5,0)),0)</f>
        <v>0</v>
      </c>
      <c r="CP11" s="285">
        <f>IF(CP$3=$K11,IF($C11="W",1,IF($C11="1/2W",0.5,0)),0)</f>
        <v>0</v>
      </c>
      <c r="CQ11" s="285">
        <f>IF(CP$3=$K11,IF($C11="L",1,IF($C11="1/2L",0.5,0)),0)</f>
        <v>0</v>
      </c>
      <c r="CR11" s="285">
        <f>IF(CR$3=$K11,IF($C11="W",1,IF($C11="1/2W",0.5,0)),0)</f>
        <v>0</v>
      </c>
      <c r="CS11" s="285">
        <f>IF(CR$3=$K11,IF($C11="L",1,IF($C11="1/2L",0.5,0)),0)</f>
        <v>0</v>
      </c>
      <c r="CT11" s="145">
        <f>IF(CT$3=$K11,IF($C11="W",1,IF($C11="1/2W",0.5,0)),0)</f>
        <v>0</v>
      </c>
      <c r="CU11" s="146">
        <f>IF(CT$3=$K11,IF($C11="L",1,IF($C11="1/2L",0.5,0)),0)</f>
        <v>0</v>
      </c>
      <c r="CV11" s="146">
        <f>IF(CV$3=$K11,IF($C11="W",1,IF($C11="1/2W",0.5,0)),0)</f>
        <v>0</v>
      </c>
      <c r="CW11" s="146">
        <f>IF(CV$3=$K11,IF($C11="L",1,IF($C11="1/2L",0.5,0)),0)</f>
        <v>0</v>
      </c>
      <c r="CX11" s="146">
        <f>IF(CX$3=$K11,IF($C11="W",1,IF($C11="1/2W",0.5,0)),0)</f>
        <v>0</v>
      </c>
      <c r="CY11" s="146">
        <f>IF(CX$3=$K11,IF($C11="L",1,IF($C11="1/2L",0.5,0)),0)</f>
        <v>0</v>
      </c>
      <c r="CZ11" s="146">
        <f>IF(CZ$3=$K11,IF($C11="W",1,IF($C11="1/2W",0.5,0)),0)</f>
        <v>0</v>
      </c>
      <c r="DA11" s="146">
        <f>IF(CZ$3=$K11,IF($C11="L",1,IF($C11="1/2L",0.5,0)),0)</f>
        <v>0</v>
      </c>
      <c r="DB11" s="146">
        <f>IF(DB$3=$K11,IF($C11="W",1,IF($C11="1/2W",0.5,0)),0)</f>
        <v>0</v>
      </c>
      <c r="DC11" s="146">
        <f>IF(DB$3=$K11,IF($C11="L",1,IF($C11="1/2L",0.5,0)),0)</f>
        <v>0</v>
      </c>
      <c r="DD11" s="146">
        <f>IF(DD$3=$K11,IF($C11="W",1,IF($C11="1/2W",0.5,0)),0)</f>
        <v>0</v>
      </c>
      <c r="DE11" s="147">
        <f>IF(DD$3=$K11,IF($C11="L",1,IF($C11="1/2L",0.5,0)),0)</f>
        <v>0</v>
      </c>
      <c r="DF11" s="143">
        <f>IF(AND(L11&lt;DF$3,$C11="W"),1+DF10,DF10)</f>
        <v>1</v>
      </c>
      <c r="DG11" s="133">
        <f>IF(DF11&gt;DF10,L11+DG10,DG10)</f>
        <v>1.44</v>
      </c>
      <c r="DH11" s="146">
        <f>IF(AND(L11&gt;DH$3,$C11="W"),1+DH10,0+DH10)</f>
        <v>0</v>
      </c>
      <c r="DI11" s="133">
        <f>IF(DH11&gt;DH10,L11+DI10,DI10)</f>
        <v>0</v>
      </c>
      <c r="DJ11" s="146">
        <f>IF($D10="","",$D10)</f>
        <v>16</v>
      </c>
      <c r="DK11" s="286"/>
    </row>
    <row r="12" ht="14.55" customHeight="1">
      <c r="A12" s="149"/>
      <c r="B12" s="150"/>
      <c r="C12" t="s" s="151">
        <v>58</v>
      </c>
      <c r="D12" s="152"/>
      <c r="E12" s="153"/>
      <c r="F12" s="155"/>
      <c r="G12" s="252"/>
      <c r="H12" s="156"/>
      <c r="I12" s="287"/>
      <c r="J12" s="288"/>
      <c r="K12" s="156"/>
      <c r="L12" s="289"/>
      <c r="M12" s="290"/>
      <c r="N12" s="161"/>
      <c r="O12" t="s" s="162">
        <f>IF(OR(AE10="",AE11=""),"",IF(L12&gt;0,ROUND(IF(M12&gt;0,M12,IF(M10&gt;0,ROUND((M10*AE12)/AE10,IF(N10=0,2,IF(N10=0.1,1,0))),IF(M11&gt;0,ROUND((M11*AE12)/AE11,IF(N10=0,2,IF(N10=0.1,1,0))),IF(M12&gt;0,M12,0)))),2),""))</f>
      </c>
      <c r="P12" t="s" s="163">
        <f>IF(I11="Lay",O11*(L11/(L11-1))-O11,IF(I10="Lay",O10*(L10/(L10-1))-O10,IF(OR(L12="",O12=""),"",IF($C12="1/2W",O12/2+O12/2*L12,IF($C12="1/2L",O12/2,(O12*L12-O12)*(1-_xlfn.XLOOKUP(K12,'Janeiro 2023 - Valor Real'!A3:A15,'Janeiro 2023 - Valor Real'!C3:C15,0))+O12)))))</f>
      </c>
      <c r="Q12" t="s" s="154">
        <f>IF(K12="","",IF(_xlfn.XLOOKUP(K12,K$4:K11,DJ$4:DJ11,0,,-1)=DJ12,_xlfn.XLOOKUP(K12,K$4:K11,Q$4:Q11,1,,-1)+1,1))</f>
      </c>
      <c r="R12" t="s" s="163">
        <f>IF(K12="","",_xlfn.XLOOKUP(K12,K$4:K11,R$4:R11,0,,-1)+IF($C12=" ",1,0))</f>
      </c>
      <c r="S12" s="166"/>
      <c r="T12" s="155"/>
      <c r="U12" s="155"/>
      <c r="V12" s="166"/>
      <c r="W12" s="155"/>
      <c r="X12" s="167"/>
      <c r="Y12" s="128"/>
      <c r="Z12" s="129"/>
      <c r="AA12" s="129"/>
      <c r="AB12" s="129"/>
      <c r="AC12" s="129"/>
      <c r="AD12" s="168"/>
      <c r="AE12" t="s" s="169">
        <f>IF(L12="","",(SUM(((L10-1)*(1-_xlfn.XLOOKUP(K10,'Janeiro 2023 - Valor Real'!A3:A15,'Janeiro 2023 - Valor Real'!C3:C15,0))+1),((L11-1)*(1-_xlfn.XLOOKUP(K11,'Janeiro 2023 - Valor Real'!A3:A15,'Janeiro 2023 - Valor Real'!C3:C15,0))+1),((L12-1)*(1-_xlfn.XLOOKUP(K12,'Janeiro 2023 - Valor Real'!A3:A15,'Janeiro 2023 - Valor Real'!C3:C15,0))+1))/((L12-1)*(1-_xlfn.XLOOKUP(K12,'Janeiro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Real'!C3:C15,0))+1))/((L10-1)*(1-_xlfn.XLOOKUP(K10,'Janeiro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Real'!C3:C15,0))+1))/((L11-1)*(1-_xlfn.XLOOKUP(K11,'Janeiro 2023 - Valor Real'!A3:A15,'Janeiro 2023 - Valor Real'!C3:C15,0))+1)+SUM(((L10-1)*(1-_xlfn.XLOOKUP(K10,'Janeiro 2023 - Valor Real'!A3:A15,'Janeiro 2023 - Valor Real'!C3:C15,0))+1),((L11-1)*(1-_xlfn.XLOOKUP(K11,'Janeiro 2023 - Valor Real'!A3:A15,'Janeiro 2023 - Valor Real'!C3:C15,0))+1),((L12-1)*(1-_xlfn.XLOOKUP(K12,'Janeiro 2023 - Valor Real'!A3:A15,'Janeiro 2023 - Valor Real'!C3:C15,0))+1))/((L12-1)*(1-_xlfn.XLOOKUP(K12,'Janeiro 2023 - Valor Real'!A3:A15,'Janeiro 2023 - Valor Real'!C3:C15,0))+1)))</f>
      </c>
      <c r="AF12" s="132">
        <f>IF($K12=AF$3,ROUND(IF(OR($C12="W",$C12="1/2W",$C12="1/2L"),$P12-$O12,IF($C12="X",0,-$O12)),2),0)</f>
        <v>0</v>
      </c>
      <c r="AG12" s="133">
        <f>IF($K12=AG$3,ROUND(IF(OR($C12="W",$C12="1/2W",$C12="1/2L"),$P12-$O12,IF($C12="X",0,-$O12)),2),0)</f>
        <v>0</v>
      </c>
      <c r="AH12" s="133">
        <f>IF($K12=AH$3,ROUND(IF(OR($C12="W",$C12="1/2W",$C12="1/2L"),$P12-$O12,IF($C12="X",0,-$O12)),2),0)</f>
        <v>0</v>
      </c>
      <c r="AI12" s="133">
        <f>IF($K12=AI$3,ROUND(IF(OR($C12="W",$C12="1/2W",$C12="1/2L"),$P12-$O12,IF($C12="X",0,-$O12)),2),0)</f>
        <v>0</v>
      </c>
      <c r="AJ12" s="133">
        <f>IF($K12=AJ$3,ROUND(IF(OR($C12="W",$C12="1/2W",$C12="1/2L"),$P12-$O12,IF($C12="X",0,-$O12)),2),0)</f>
        <v>0</v>
      </c>
      <c r="AK12" s="133">
        <f>IF($K12=AK$3,ROUND(IF(OR($C12="W",$C12="1/2W",$C12="1/2L"),$P12-$O12,IF($C12="X",0,-$O12)),2),0)</f>
        <v>0</v>
      </c>
      <c r="AL12" s="133">
        <f>IF($K12=AL$3,ROUND(IF(OR($C12="W",$C12="1/2W",$C12="1/2L"),$P12-$O12,IF($C12="X",0,-$O12)),2),0)</f>
        <v>0</v>
      </c>
      <c r="AM12" s="133">
        <f>IF($K12=AM$3,ROUND(IF(OR($C12="W",$C12="1/2W",$C12="1/2L"),$P12-$O12,IF($C12="X",0,-$O12)),2),0)</f>
        <v>0</v>
      </c>
      <c r="AN12" s="133">
        <f>IF($K12=AN$3,ROUND(IF(OR($C12="W",$C12="1/2W",$C12="1/2L"),$P12-$O12,IF($C12="X",0,-$O12)),2),0)</f>
        <v>0</v>
      </c>
      <c r="AO12" s="133">
        <f>IF($K12=AO$3,ROUND(IF(OR($C12="W",$C12="1/2W",$C12="1/2L"),$P12-$O12,IF($C12="X",0,-$O12)),2),0)</f>
        <v>0</v>
      </c>
      <c r="AP12" s="133">
        <f>IF($K12=AP$3,ROUND(IF(OR($C12="W",$C12="1/2W",$C12="1/2L"),$P12-$O12,IF($C12="X",0,-$O12)),2),0)</f>
        <v>0</v>
      </c>
      <c r="AQ12" s="133">
        <f>IF($K12=AQ$3,ROUND(IF(OR($C12="W",$C12="1/2W",$C12="1/2L"),$P12-$O12,IF($C12="X",0,-$O12)),2),0)</f>
        <v>0</v>
      </c>
      <c r="AR12" s="134">
        <f>IF($K12=AR$3,ROUND(IF(OR($C12="W",$C12="1/2W",$C12="1/2L"),$P12-$O12,IF($C12="X",0,-$O12)),2),0)</f>
        <v>0</v>
      </c>
      <c r="AS12" s="132">
        <f>IF(AND($B10=" ",$K12=AS$3),$O12,0)</f>
        <v>0</v>
      </c>
      <c r="AT12" s="133">
        <f>IF(AND($B10=" ",K12=AT$3),$O12,0)</f>
        <v>0</v>
      </c>
      <c r="AU12" s="133">
        <f>IF(AND($B10=" ",$K12=AU$3),$O12,0)</f>
        <v>0</v>
      </c>
      <c r="AV12" s="133">
        <f>IF(AND($B10=" ",$K12=AV$3),$O12,0)</f>
        <v>0</v>
      </c>
      <c r="AW12" s="133">
        <f>IF(AND($B10=" ",$K12=AW$3),$O12,0)</f>
        <v>0</v>
      </c>
      <c r="AX12" s="133">
        <f>IF(AND($B10=" ",$K12=AX$3),$O12,0)</f>
        <v>0</v>
      </c>
      <c r="AY12" s="135">
        <f>IF(AND($B10=" ",$K12=AY$3),$O12,0)</f>
        <v>0</v>
      </c>
      <c r="AZ12" s="136">
        <f>IF(AND($B10=" ",$K12=AZ$3),$O12,0)</f>
        <v>0</v>
      </c>
      <c r="BA12" s="136">
        <f>IF(AND($B10=" ",$K12=BA$3),$O12,0)</f>
        <v>0</v>
      </c>
      <c r="BB12" s="136">
        <f>IF(AND($B10=" ",$K12=BB$3),$O12,0)</f>
        <v>0</v>
      </c>
      <c r="BC12" s="137">
        <f>IF(AND($B10=" ",$K12=BC$3),$O12,0)</f>
        <v>0</v>
      </c>
      <c r="BD12" s="133">
        <f>IF(AND($B10=" ",$K12=BD$3),$O12,0)</f>
        <v>0</v>
      </c>
      <c r="BE12" s="134">
        <f>IF(AND($B10=" ",$K12=BE$3),$O12,0)</f>
        <v>0</v>
      </c>
      <c r="BF12" s="132">
        <f>IF($K12=BF$3,IF($C12="X",0,$O12),0)</f>
        <v>0</v>
      </c>
      <c r="BG12" s="281">
        <f>IF($K12=BG$3,IF($C12="X",0,$O12),0)</f>
        <v>0</v>
      </c>
      <c r="BH12" s="133">
        <f>IF($K12=BH$3,IF($C12="X",0,$O12),0)</f>
        <v>0</v>
      </c>
      <c r="BI12" s="133">
        <f>IF($K12=BI$3,IF($C12="X",0,$O12),0)</f>
        <v>0</v>
      </c>
      <c r="BJ12" s="133">
        <f>IF($K12=BJ$3,IF($C12="X",0,$O12),0)</f>
        <v>0</v>
      </c>
      <c r="BK12" s="133">
        <f>IF($K12=BK$3,IF($C12="X",0,$O12),0)</f>
        <v>0</v>
      </c>
      <c r="BL12" s="133">
        <f>IF($K12=BL$3,IF($C12="X",0,$O12),0)</f>
        <v>0</v>
      </c>
      <c r="BM12" s="135">
        <f>IF($K12=BM$3,IF($C12="X",0,$O12),0)</f>
        <v>0</v>
      </c>
      <c r="BN12" s="136">
        <f>IF($K12=BN$3,IF($C12="X",0,$O12),0)</f>
        <v>0</v>
      </c>
      <c r="BO12" s="136">
        <f>IF($K12=BO$3,IF($C12="X",0,$O12),0)</f>
        <v>0</v>
      </c>
      <c r="BP12" s="136">
        <f>IF($K12=BP$3,IF($C12="X",0,$O12),0)</f>
        <v>0</v>
      </c>
      <c r="BQ12" s="137">
        <f>IF($K12=BQ$3,IF($C12="X",0,$O12),0)</f>
        <v>0</v>
      </c>
      <c r="BR12" s="134">
        <f>IF($K12=BR$3,IF($C12="X",0,$O12),0)</f>
        <v>0</v>
      </c>
      <c r="BS12" s="282"/>
      <c r="BT12" s="283"/>
      <c r="BU12" s="140"/>
      <c r="BV12" s="283"/>
      <c r="BW12" s="140"/>
      <c r="BX12" s="140"/>
      <c r="BY12" s="140"/>
      <c r="BZ12" s="283"/>
      <c r="CA12" s="140"/>
      <c r="CB12" s="140"/>
      <c r="CC12" s="140"/>
      <c r="CD12" s="141"/>
      <c r="CE12" s="142"/>
      <c r="CF12" s="284">
        <f>IF(CF$3=$K12,IF($C12="W",1,IF($C12="1/2W",0.5,0)),0)</f>
        <v>0</v>
      </c>
      <c r="CG12" s="285">
        <f>IF(CF$3=$K12,IF($C12="L",1,IF($C12="1/2L",0.5,0)),0)</f>
        <v>0</v>
      </c>
      <c r="CH12" s="285">
        <f>IF(CH$3=$K12,IF($C12="W",1,IF($C12="1/2W",0.5,0)),0)</f>
        <v>0</v>
      </c>
      <c r="CI12" s="285">
        <f>IF(CH$3=$K12,IF($C12="L",1,IF($C12="1/2L",0.5,0)),0)</f>
        <v>0</v>
      </c>
      <c r="CJ12" s="285">
        <f>IF(CJ$3=$K12,IF($C12="W",1,IF($C12="1/2W",0.5,0)),0)</f>
        <v>0</v>
      </c>
      <c r="CK12" s="285">
        <f>IF(CJ$3=$K12,IF($C12="L",1,IF($C12="1/2L",0.5,0)),0)</f>
        <v>0</v>
      </c>
      <c r="CL12" s="285">
        <f>IF(CL$3=$K12,IF($C12="W",1,IF($C12="1/2W",0.5,0)),0)</f>
        <v>0</v>
      </c>
      <c r="CM12" s="285">
        <f>IF(CL$3=$K12,IF($C12="L",1,IF($C12="1/2L",0.5,0)),0)</f>
        <v>0</v>
      </c>
      <c r="CN12" s="285">
        <f>IF(CN$3=$K12,IF($C12="W",1,IF($C12="1/2W",0.5,0)),0)</f>
        <v>0</v>
      </c>
      <c r="CO12" s="285">
        <f>IF(CN$3=$K12,IF($C12="L",1,IF($C12="1/2L",0.5,0)),0)</f>
        <v>0</v>
      </c>
      <c r="CP12" s="285">
        <f>IF(CP$3=$K12,IF($C12="W",1,IF($C12="1/2W",0.5,0)),0)</f>
        <v>0</v>
      </c>
      <c r="CQ12" s="285">
        <f>IF(CP$3=$K12,IF($C12="L",1,IF($C12="1/2L",0.5,0)),0)</f>
        <v>0</v>
      </c>
      <c r="CR12" s="285">
        <f>IF(CR$3=$K12,IF($C12="W",1,IF($C12="1/2W",0.5,0)),0)</f>
        <v>0</v>
      </c>
      <c r="CS12" s="285">
        <f>IF(CR$3=$K12,IF($C12="L",1,IF($C12="1/2L",0.5,0)),0)</f>
        <v>0</v>
      </c>
      <c r="CT12" s="145">
        <f>IF(CT$3=$K12,IF($C12="W",1,IF($C12="1/2W",0.5,0)),0)</f>
        <v>0</v>
      </c>
      <c r="CU12" s="146">
        <f>IF(CT$3=$K12,IF($C12="L",1,IF($C12="1/2L",0.5,0)),0)</f>
        <v>0</v>
      </c>
      <c r="CV12" s="146">
        <f>IF(CV$3=$K12,IF($C12="W",1,IF($C12="1/2W",0.5,0)),0)</f>
        <v>0</v>
      </c>
      <c r="CW12" s="146">
        <f>IF(CV$3=$K12,IF($C12="L",1,IF($C12="1/2L",0.5,0)),0)</f>
        <v>0</v>
      </c>
      <c r="CX12" s="146">
        <f>IF(CX$3=$K12,IF($C12="W",1,IF($C12="1/2W",0.5,0)),0)</f>
        <v>0</v>
      </c>
      <c r="CY12" s="146">
        <f>IF(CX$3=$K12,IF($C12="L",1,IF($C12="1/2L",0.5,0)),0)</f>
        <v>0</v>
      </c>
      <c r="CZ12" s="146">
        <f>IF(CZ$3=$K12,IF($C12="W",1,IF($C12="1/2W",0.5,0)),0)</f>
        <v>0</v>
      </c>
      <c r="DA12" s="146">
        <f>IF(CZ$3=$K12,IF($C12="L",1,IF($C12="1/2L",0.5,0)),0)</f>
        <v>0</v>
      </c>
      <c r="DB12" s="146">
        <f>IF(DB$3=$K12,IF($C12="W",1,IF($C12="1/2W",0.5,0)),0)</f>
        <v>0</v>
      </c>
      <c r="DC12" s="146">
        <f>IF(DB$3=$K12,IF($C12="L",1,IF($C12="1/2L",0.5,0)),0)</f>
        <v>0</v>
      </c>
      <c r="DD12" s="146">
        <f>IF(DD$3=$K12,IF($C12="W",1,IF($C12="1/2W",0.5,0)),0)</f>
        <v>0</v>
      </c>
      <c r="DE12" s="147">
        <f>IF(DD$3=$K12,IF($C12="L",1,IF($C12="1/2L",0.5,0)),0)</f>
        <v>0</v>
      </c>
      <c r="DF12" s="143">
        <f>IF(AND(L12&lt;DF$3,$C12="W"),1+DF11,DF11)</f>
        <v>1</v>
      </c>
      <c r="DG12" s="133">
        <f>IF(DF12&gt;DF11,L12+DG11,DG11)</f>
        <v>1.44</v>
      </c>
      <c r="DH12" s="146">
        <f>IF(AND(L12&gt;DH$3,$C12="W"),1+DH11,0+DH11)</f>
        <v>0</v>
      </c>
      <c r="DI12" s="133">
        <f>IF(DH12&gt;DH11,L12+DI11,DI11)</f>
        <v>0</v>
      </c>
      <c r="DJ12" s="146">
        <f>IF($D10="","",$D10)</f>
        <v>16</v>
      </c>
      <c r="DK12" s="286"/>
    </row>
    <row r="13" ht="14.55" customHeight="1">
      <c r="A13" s="171">
        <f>$A10+1</f>
        <v>4</v>
      </c>
      <c r="B13" t="s" s="172">
        <v>50</v>
      </c>
      <c r="C13" t="s" s="173">
        <v>51</v>
      </c>
      <c r="D13" s="174">
        <f>IF(G13="","",$D10)</f>
        <v>16</v>
      </c>
      <c r="E13" t="s" s="175">
        <v>59</v>
      </c>
      <c r="F13" t="s" s="176">
        <f>IF(G13="","",IF(OR(AND($C13&lt;&gt;" ",$C14=" "),AND($C14&lt;&gt;" ",$C13=" "),AND(L15&gt;0,OR(AND($C15&lt;&gt;" ",OR($C13=" ",$C14=" ")),AND($C15=" ",OR($C13&lt;&gt;" ",$C14&lt;&gt;" "))))),IF(SUM(F$4:F12)=0,1,LARGE(F$4:F12,1)+1),IF(MONTH(G13)=MONTH(TODAY()),IF(AND(DAY(G13)&lt;DAY(TODAY()),$B13=" "),IF(SUM(F$4:F12)=0,1,LARGE(F$4:F12,1)+1),IF($B13=" ",IF(AND(DAY(G13)=DAY(TODAY()),HOUR(G13)&lt;=HOUR(NOW())+1),IF(AND(HOUR(G13)+2&lt;=HOUR(NOW()),DAY(G13)&lt;=DAY(TODAY()),MINUTE(G13)&lt;=MINUTE(NOW())),IF(SUM(F$4:F12)=0,1,LARGE(F$4:F12,1)+1),IF(OR(MINUTE(G13)&lt;=MINUTE(NOW()),HOUR(G13)&lt;=HOUR(NOW())),"!!!","")),""),"")),"")))</f>
      </c>
      <c r="G13" s="177">
        <v>44942.833333333336</v>
      </c>
      <c r="H13" t="s" s="178">
        <v>68</v>
      </c>
      <c r="I13" t="s" s="179">
        <v>54</v>
      </c>
      <c r="J13" s="291">
        <v>0</v>
      </c>
      <c r="K13" t="s" s="181">
        <v>41</v>
      </c>
      <c r="L13" s="182">
        <v>3.1</v>
      </c>
      <c r="M13" s="183">
        <v>5.36</v>
      </c>
      <c r="N13" s="184">
        <v>0.1</v>
      </c>
      <c r="O13" s="185">
        <f>IF(OR(AE13="",AE14=""),"",ROUND(IF(L15&gt;0,IF(M13&gt;0,M13,IF(M14&gt;0,ROUND((M14*AE13)/AE14,IF(N13=0,2,IF(N13=0.1,1,0))),ROUND((M15*AE13)/AE15,IF(N13=0,2,IF(N13=0.1,1,0))))),IF(M13&gt;0,M13,ROUND((M14*AE13)/AE14,IF(N13=0,2,IF(N13=0.1,1,0))))),2))</f>
        <v>5.36</v>
      </c>
      <c r="P13" s="186">
        <f>IF(OR(L13="",O13=""),"",IF($C13="1/2W",O13/2+O13/2*L13,IF($C13="1/2L",O13/2,IF(I13="Lay",(O13*(L13/(L13-1))-O13)*(1-_xlfn.XLOOKUP(K13,'Janeiro 2023 - Valor Real'!A3:A15,'Janeiro 2023 - Valor Real'!C3:C15,0))+O13,(O13*L13-O13)*(1-_xlfn.XLOOKUP(K13,'Janeiro 2023 - Valor Real'!A3:A15,'Janeiro 2023 - Valor Real'!C3:C15,0))+O13))))</f>
        <v>16.616</v>
      </c>
      <c r="Q13" s="187">
        <v>1</v>
      </c>
      <c r="R13" s="188">
        <v>0</v>
      </c>
      <c r="S13" s="189">
        <f>IF($B13="Anulado",0,ROUND(IF(OR($B13="LOSS",$B13="OK"),IF(OR($C13="W",$C13="1/2W",$C13="1/2L"),P13-O13,IF($C13="L",-O13,0))+IF(OR($C14="W",$C14="1/2W",$C14="1/2L"),P14-O14,IF($C14="L",-O14,0))+IF(OR($C15="W",$C15="1/2W",$C15="1/2L"),P15-O15,IF($C15="L",-O15,0)),IF(AND(OR($C13="W",$C13="1/2W",$C13="1/2L"),C14="W"),P13+P14-SUM(O13:O15)+_xlfn.XLOOKUP("X",C13:C15,O13:O15,0),IF(AND(C13=TRUE,C15="W"),P13+P15-SUM(O13:O15),IF(AND(C14="W",C15="W"),P14+P15-SUM(O13:O15)+_xlfn.XLOOKUP("X",C13:C15,O13:O15,0),IF(L15&gt;0,IF(OR($C13="W",$C13="1/2W",$C13="1/2L"),P13-SUM(O13:O15)+_xlfn.XLOOKUP("X",C13:C15,O13:O15,0),IF(OR($C13="W",$C13="1/2W",$C13="1/2L"),P14-SUM(O13:O15)+_xlfn.XLOOKUP("X",C13:C15,O13:O15,0),IF(OR($C13="W",$C13="1/2W",$C13="1/2L"),P15-SUM(O13:O15)+_xlfn.XLOOKUP("X",C13:C15,O13:O15,0),IF(SUM(P13:P15)/3-SUM(O13:O15)+_xlfn.XLOOKUP("X",C13:C15,O13:O15,0)&gt;0,SUM(P13:P15)/3-SUM(O13:O15)+_xlfn.XLOOKUP("X",C13:C15,O13:O15,0),LARGE(P13:P15,1)-SUM(O13:O15))))),IF(OR($C13="W",$C13="1/2W",$C13="1/2L"),P13-SUM(O13:O14)+_xlfn.XLOOKUP("X",C13:C15,O13:O15,0),IF(OR($C13="W",$C13="1/2W",$C13="1/2L"),P14-SUM(O13:O14)+_xlfn.XLOOKUP("X",C13:C15,O13:O15,0),SUM(P13:P14)/2-SUM(O13:O14)+_xlfn.XLOOKUP("X",C13:C15,O13:O15,0)))))))),2))</f>
        <v>0.6899999999999999</v>
      </c>
      <c r="T13" s="190">
        <f>IF(S13=0,0,S13/SUM(O13:O15))</f>
        <v>0.0432330827067669</v>
      </c>
      <c r="U13" s="191">
        <f>IF($D13=$D10,IF(OR($B13="LOSS",$B13="OK",$B13="Anulada"),S13,0)+U10,IF(OR($B13="LOSS",$B13="OK",$B13="Anulada"),S13,0))</f>
        <v>7.62</v>
      </c>
      <c r="V13" s="191">
        <f>IF($D13="",0,IF($D13=$D10,IF($B13=" ",IF(I15="",IF(OR(AND(I13="DNB1",I14="DNB2"),AND(OR(I13="DNB1",I13="DNB2"),J14=0),AND(OR(I14="DNB1",I14="DNB2"),J13=0),AND(I13="DNB2",I14="DNB1"),AND(IF(J13=0,(J13+1)/ROUND(J13+1,0),J13/ROUND(J13,0))=1,IF(J14=0,(J14+1)/ROUND(IF(J14="",0,J14)+1,0),IF(J14="",0,J14)/ROUND(IF(J14="",1,J14),0))=1,OR(J13&lt;&gt;""),J14&lt;&gt;"")),0,IF(S13&lt;0,IF(I15="",SMALL(P13:P14,1)-SUM(O13:O14),0),SMALL(P13:P14,1)-SUM(O13:O14))),IF(S13&lt;0,IF(I15="",SMALL(P13:P15,1)-SUM(O13:O15),0),LARGE(P13:P15,1)-SUM(O13:O15))),S13)+V10,IF(I15="",IF(OR(AND(I13="DNB1",I14="DNB2"),AND(OR(I13="DNB1",I13="DNB2"),J14=0),AND(OR(I14="DNB1",I14="DNB2"),J13=0),AND(I13="DNB2",I14="DNB1"),AND(IF(J13=0,(J13+1)/ROUND(J13+1,0),J13/ROUND(J13,0))=1,IF(J14=0,(IF(J14="",0,J14)+1)/ROUND(IF(J14="",0,J14)+1,0),IF(J14="",0,J14)/ROUND(IF(J14="",0,J14)+1,0))=1,OR(J13&lt;&gt;""),J14&lt;&gt;"")),0,IF(S13&lt;0,IF(I15="",SMALL(P13:P14,1)-SUM(O13:O14),0),SMALL(P13:P15,1)-SUM(O13:O15))),IF(S13&lt;0,IF(I15="",SMALL(P13:P15,1)-SUM(O13:O15),0),LARGE(P13:P15,1)-SUM(O13:O15)))))</f>
        <v>7.62</v>
      </c>
      <c r="W13" s="191">
        <f>IF($D13=$D10,IF(S13&lt;0,IF(I15="",S13,0),S13)+W10,S13)</f>
        <v>7.62</v>
      </c>
      <c r="X13" t="s" s="192">
        <f>IF(OR(SUM(R13:R15)=0,V13=W13),ROUND(IF(W13=0,0,W13/Y13)*100,2)&amp;"%",ROUND(IF(V13=0,0,V13/Y13)*100,2)&amp;"% a "&amp;ROUND(IF(W13=0,0,W13/Y13)*100,2)&amp;"%")</f>
        <v>69</v>
      </c>
      <c r="Y13" s="193">
        <f>IF($D13=$D10,Y10+SUM(O13:O15),SUM(O13:O15))</f>
        <v>96.94</v>
      </c>
      <c r="Z13" s="191">
        <f>IF($B13=" ",SUM(O13:O15),0)+Z10</f>
        <v>0</v>
      </c>
      <c r="AA13" s="191">
        <f>IF(G13="","",IF($B13="Anulado",LARGE(P13:P15,1)-SUM(O13:O15)+AA10,AA10))</f>
        <v>0</v>
      </c>
      <c r="AB13" s="191">
        <f>IF($D13="","",AB10+S13)</f>
        <v>7.62</v>
      </c>
      <c r="AC13" s="194">
        <f>IF($D13="","",IF($B13=" ",IF(DAY(G13)=DAY(TODAY()),1+AC10,0+AC10),0+AC10))</f>
        <v>0</v>
      </c>
      <c r="AD13" s="195">
        <f>(((L14/(L14-1)-1)*(1-_xlfn.XLOOKUP(K14,'Janeiro 2023 - Valor Real'!A3:A15,'Janeiro 2023 - Valor Real'!C3:C15,0))+1))/(((L13-1)*(1-_xlfn.XLOOKUP(K13,'Janeiro 2023 - Valor Real'!A3:A15,'Janeiro 2023 - Valor Real'!C3:C15,0))+1)+((L14/(L14-1)-1)*(1-_xlfn.XLOOKUP(K14,'Janeiro 2023 - Valor Real'!A3:A15,'Janeiro 2023 - Valor Real'!C3:C15,0))+1))</f>
        <v>0.470204423692796</v>
      </c>
      <c r="AE13" s="196">
        <f>IF(L13="","",IF(L15&gt;0,(SUM(((L13-1)*(1-_xlfn.XLOOKUP(K13,'Janeiro 2023 - Valor Real'!A3:A15,'Janeiro 2023 - Valor Real'!C3:C15,0))+1),((L14-1)*(1-_xlfn.XLOOKUP(K14,'Janeiro 2023 - Valor Real'!A3:A15,'Janeiro 2023 - Valor Real'!C3:C15,0))+1),((L15-1)*(1-_xlfn.XLOOKUP(K15,'Janeiro 2023 - Valor Real'!A3:A15,'Janeiro 2023 - Valor Real'!C3:C15,0))+1))/((L13-1)*(1-_xlfn.XLOOKUP(K13,'Janeiro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Real'!C3:C15,0))+1))/((L13-1)*(1-_xlfn.XLOOKUP(K13,'Janeiro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Real'!C3:C15,0))+1))/((L14-1)*(1-_xlfn.XLOOKUP(K14,'Janeiro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Real'!C3:C15,0))+1))/((L15-1)*(1-_xlfn.XLOOKUP(K15,'Janeiro 2023 - Valor Real'!A3:A15,'Janeiro 2023 - Valor Real'!C3:C15,0))+1)),IF(I13="Lay",IF(I14="Lay",((L14/(L14-1)-1)*(1-_xlfn.XLOOKUP(K14,'Janeiro 2023 - Valor Real'!A3:A15,'Janeiro 2023 - Valor Real'!C3:C15,0))+1)/(((L14/(L14-1)-1)*(1-_xlfn.XLOOKUP(K14,'Janeiro 2023 - Valor Real'!A3:A15,'Janeiro 2023 - Valor Real'!C3:C15,0))+1)+((L13/(L13-1)-1)*(1-_xlfn.XLOOKUP(K13,'Janeiro 2023 - Valor Real'!A3:A15,'Janeiro 2023 - Valor Real'!C3:C15,0))+1)),((L14-1)*(1-_xlfn.XLOOKUP(K14,'Janeiro 2023 - Valor Real'!A3:A15,'Janeiro 2023 - Valor Real'!C3:C15,0))+1)/(((L14-1)*(1-_xlfn.XLOOKUP(K14,'Janeiro 2023 - Valor Real'!A3:A15,'Janeiro 2023 - Valor Real'!C3:C15,0))+1)+((L13/(L13-1)-1)*(1-_xlfn.XLOOKUP(K13,'Janeiro 2023 - Valor Real'!A3:A15,'Janeiro 2023 - Valor Real'!C3:C15,0))+1))),IF(I14="Lay",(((L14/(L14-1)-1)*(1-_xlfn.XLOOKUP(K14,'Janeiro 2023 - Valor Real'!A3:A15,'Janeiro 2023 - Valor Real'!C3:C15,0))+1))/(((L13-1)*(1-_xlfn.XLOOKUP(K13,'Janeiro 2023 - Valor Real'!A3:A15,'Janeiro 2023 - Valor Real'!C3:C15,0))+1)+((L14/(L14-1)-1)*(1-_xlfn.XLOOKUP(K14,'Janeiro 2023 - Valor Real'!A3:A15,'Janeiro 2023 - Valor Real'!C3:C15,0))+1)),((L14-1)*(1-_xlfn.XLOOKUP(K14,'Janeiro 2023 - Valor Real'!A3:A15,'Janeiro 2023 - Valor Real'!C3:C15,0))+1)/(((L14-1)*(1-_xlfn.XLOOKUP(K14,'Janeiro 2023 - Valor Real'!A3:A15,'Janeiro 2023 - Valor Real'!C3:C15,0))+1)+((L13-1)*(1-_xlfn.XLOOKUP(K13,'Janeiro 2023 - Valor Real'!A3:A15,'Janeiro 2023 - Valor Real'!C3:C15,0))+1))))))</f>
        <v>0.336330550203383</v>
      </c>
      <c r="AF13" s="197">
        <f>IF($K13=AF$3,ROUND(IF(OR($C13="W",$C13="1/2W",$C13="1/2L"),$P13-$O13,IF($C13="X",0,-$O13)),2),0)</f>
        <v>0</v>
      </c>
      <c r="AG13" s="198">
        <f>IF($K13=AG$3,ROUND(IF(OR($C13="W",$C13="1/2W",$C13="1/2L"),$P13-$O13,IF($C13="X",0,-$O13)),2),0)</f>
        <v>0</v>
      </c>
      <c r="AH13" s="198">
        <f>IF($K13=AH$3,ROUND(IF(OR($C13="W",$C13="1/2W",$C13="1/2L"),$P13-$O13,IF($C13="X",0,-$O13)),2),0)</f>
        <v>0</v>
      </c>
      <c r="AI13" s="198">
        <f>IF($K13=AI$3,ROUND(IF(OR($C13="W",$C13="1/2W",$C13="1/2L"),$P13-$O13,IF($C13="X",0,-$O13)),2),0)</f>
        <v>0</v>
      </c>
      <c r="AJ13" s="198">
        <f>IF($K13=AJ$3,ROUND(IF(OR($C13="W",$C13="1/2W",$C13="1/2L"),$P13-$O13,IF($C13="X",0,-$O13)),2),0)</f>
        <v>-5.36</v>
      </c>
      <c r="AK13" s="198">
        <f>IF($K13=AK$3,ROUND(IF(OR($C13="W",$C13="1/2W",$C13="1/2L"),$P13-$O13,IF($C13="X",0,-$O13)),2),0)</f>
        <v>0</v>
      </c>
      <c r="AL13" s="198">
        <f>IF($K13=AL$3,ROUND(IF(OR($C13="W",$C13="1/2W",$C13="1/2L"),$P13-$O13,IF($C13="X",0,-$O13)),2),0)</f>
        <v>0</v>
      </c>
      <c r="AM13" s="198">
        <f>IF($K13=AM$3,ROUND(IF(OR($C13="W",$C13="1/2W",$C13="1/2L"),$P13-$O13,IF($C13="X",0,-$O13)),2),0)</f>
        <v>0</v>
      </c>
      <c r="AN13" s="198">
        <f>IF($K13=AN$3,ROUND(IF(OR($C13="W",$C13="1/2W",$C13="1/2L"),$P13-$O13,IF($C13="X",0,-$O13)),2),0)</f>
        <v>0</v>
      </c>
      <c r="AO13" s="198">
        <f>IF($K13=AO$3,ROUND(IF(OR($C13="W",$C13="1/2W",$C13="1/2L"),$P13-$O13,IF($C13="X",0,-$O13)),2),0)</f>
        <v>0</v>
      </c>
      <c r="AP13" s="198">
        <f>IF($K13=AP$3,ROUND(IF(OR($C13="W",$C13="1/2W",$C13="1/2L"),$P13-$O13,IF($C13="X",0,-$O13)),2),0)</f>
        <v>0</v>
      </c>
      <c r="AQ13" s="198">
        <f>IF($K13=AQ$3,ROUND(IF(OR($C13="W",$C13="1/2W",$C13="1/2L"),$P13-$O13,IF($C13="X",0,-$O13)),2),0)</f>
        <v>0</v>
      </c>
      <c r="AR13" s="199">
        <f>IF($K13=AR$3,ROUND(IF(OR($C13="W",$C13="1/2W",$C13="1/2L"),$P13-$O13,IF($C13="X",0,-$O13)),2),0)</f>
        <v>0</v>
      </c>
      <c r="AS13" s="197">
        <f>IF(AND($B13=" ",$K13=AS$3),$O13,0)</f>
        <v>0</v>
      </c>
      <c r="AT13" s="198">
        <f>IF(AND($B13=" ",$K13=AT$3),$O13,0)</f>
        <v>0</v>
      </c>
      <c r="AU13" s="198">
        <f>IF(AND($B13=" ",$K13=AU$3),$O13,0)</f>
        <v>0</v>
      </c>
      <c r="AV13" s="198">
        <f>IF(AND($B13=" ",$K13=AV$3),$O13,0)</f>
        <v>0</v>
      </c>
      <c r="AW13" s="198">
        <f>IF(AND($B13=" ",$K13=AW$3),$O13,0)</f>
        <v>0</v>
      </c>
      <c r="AX13" s="198">
        <f>IF(AND($B13=" ",$K13=AX$3),$O13,0)</f>
        <v>0</v>
      </c>
      <c r="AY13" s="200">
        <f>IF(AND($B13=" ",$K13=AY$3),$O13,0)</f>
        <v>0</v>
      </c>
      <c r="AZ13" s="201">
        <f>IF(AND($B13=" ",$K13=AZ$3),$O13,0)</f>
        <v>0</v>
      </c>
      <c r="BA13" s="201">
        <f>IF(AND($B13=" ",$K13=BA$3),$O13,0)</f>
        <v>0</v>
      </c>
      <c r="BB13" s="201">
        <f>IF(AND($B13=" ",$K13=BB$3),$O13,0)</f>
        <v>0</v>
      </c>
      <c r="BC13" s="202">
        <f>IF(AND($B13=" ",$K13=BC$3),$O13,0)</f>
        <v>0</v>
      </c>
      <c r="BD13" s="198">
        <f>IF(AND($B13=" ",$K13=BD$3),$O13,0)</f>
        <v>0</v>
      </c>
      <c r="BE13" s="199">
        <f>IF(AND($B13=" ",$K13=BE$3),$O13,0)</f>
        <v>0</v>
      </c>
      <c r="BF13" s="203">
        <f>IF($K13=BF$3,IF($C13="X",0,$O13),0)</f>
        <v>0</v>
      </c>
      <c r="BG13" s="198">
        <f>IF($K13=BG$3,IF($C13="X",0,$O13),0)</f>
        <v>0</v>
      </c>
      <c r="BH13" s="198">
        <f>IF($K13=BH$3,IF($C13="X",0,$O13),0)</f>
        <v>0</v>
      </c>
      <c r="BI13" s="198">
        <f>IF($K13=BI$3,IF($C13="X",0,$O13),0)</f>
        <v>0</v>
      </c>
      <c r="BJ13" s="198">
        <f>IF($K13=BJ$3,IF($C13="X",0,$O13),0)</f>
        <v>5.36</v>
      </c>
      <c r="BK13" s="198">
        <f>IF($K13=BK$3,IF($C13="X",0,$O13),0)</f>
        <v>0</v>
      </c>
      <c r="BL13" s="198">
        <f>IF($K13=BL$3,IF($C13="X",0,$O13),0)</f>
        <v>0</v>
      </c>
      <c r="BM13" s="200">
        <f>IF($K13=BM$3,IF($C13="X",0,$O13),0)</f>
        <v>0</v>
      </c>
      <c r="BN13" s="201">
        <f>IF($K13=BN$3,IF($C13="X",0,$O13),0)</f>
        <v>0</v>
      </c>
      <c r="BO13" s="201">
        <f>IF($K13=BO$3,IF($C13="X",0,$O13),0)</f>
        <v>0</v>
      </c>
      <c r="BP13" s="201">
        <f>IF($K13=BP$3,IF($C13="X",0,$O13),0)</f>
        <v>0</v>
      </c>
      <c r="BQ13" s="202">
        <f>IF($K13=BQ$3,IF($C13="X",0,$O13),0)</f>
        <v>0</v>
      </c>
      <c r="BR13" s="199">
        <f>IF($K13=BR$3,IF($C13="X",0,$O13),0)</f>
        <v>0</v>
      </c>
      <c r="BS13" s="204">
        <f>IF($B13="LOSS",IF(AND($K13=BS$3,$C13="L"),-$O13,0)+IF(AND($K14=BS$3,$C14="L"),-$O14,0)+IF(AND($K15=BS$3,$C15="L"),-$O15,0),IF(OR(AND($K13=BS$3,OR($C13="W",$C13="1/2W")),AND($K14=BS$3,OR($C14="W",$C14="1/2W")),AND($K15=BS$3,OR($C15="W",$C15="1/2W"))),$S13,0))</f>
        <v>0.6899999999999999</v>
      </c>
      <c r="BT13" s="201">
        <f>IF($B13="LOSS",IF(AND($K13=BT$3,$C13="L"),-$O13,0)+IF(AND($K14=BT$3,$C14="L"),-$O14,0)+IF(AND($K14=BT$3,$C15="L"),-$O15,0),IF(OR(AND($K14=BT$3,OR($C13="W",$C13="1/2W")),AND($K14=BT$3,OR($C14="W",$C14="1/2W")),AND($K14=BT$3,OR($C15="W",$C15="1/2W"))),$S13,0))</f>
        <v>0</v>
      </c>
      <c r="BU13" s="201">
        <f>IF($B13="LOSS",IF(AND($K13=BU$3,$C13="L"),-$O13,0)+IF(AND($K14=BU$3,$C14="L"),-$O14,0)+IF(AND($K14=BU$3,$C15="L"),-$O15,0),IF(OR(AND($K14=BU$3,OR($C13="W",$C13="1/2W")),AND($K14=BU$3,OR($C14="W",$C14="1/2W")),AND($K14=BU$3,OR($C15="W",$C15="1/2W"))),$S13,0))</f>
        <v>0</v>
      </c>
      <c r="BV13" s="201">
        <f>IF($B13="LOSS",IF(AND($K13=BV$3,$C13="L"),-$O13,0)+IF(AND($K14=BV$3,$C14="L"),-$O14,0)+IF(AND($K15=BV$3,$C15="L"),-$O15,0),IF(OR(AND($K13=BV$3,OR($C13="W",$C13="1/2W")),AND($K14=BV$3,OR($C14="W",$C14="1/2W")),AND($K15=BV$3,OR($C15="W",$C15="1/2W"))),$S13,0))</f>
        <v>0</v>
      </c>
      <c r="BW13" s="201">
        <f>IF($B13="LOSS",IF(AND($K13=BW$3,$C13="L"),-$O13,0)+IF(AND($K14=BW$3,$C14="L"),-$O14,0)+IF(AND($K15=BW$3,$C15="L"),-$O15,0),IF(OR(AND($K13=BW$3,OR($C13="W",$C13="1/2W")),AND($K14=BW$3,OR($C14="W",$C14="1/2W")),AND($K15=BW$3,OR($C15="W",$C15="1/2W"))),$S13,0))</f>
        <v>0</v>
      </c>
      <c r="BX13" s="201">
        <f>IF($B13="LOSS",IF(AND($K13=BX$3,$C13="L"),-$O13,0)+IF(AND($K14=BX$3,$C14="L"),-$O14,0)+IF(AND($K15=BX$3,$C15="L"),-$O15,0),IF(OR(AND($K13=BX$3,OR($C13="W",$C13="1/2W")),AND($K14=BX$3,OR($C14="W",$C14="1/2W")),AND($K15=BX$3,OR($C15="W",$C15="1/2W"))),$S13,0))</f>
        <v>0</v>
      </c>
      <c r="BY13" s="201">
        <f>IF($B13="LOSS",IF(AND($K13=BY$3,$C13="L"),-$O13,0)+IF(AND($K14=BY$3,$C14="L"),-$O14,0)+IF(AND($K15=BY$3,$C15="L"),-$O15,0),IF(OR(AND($K13=BY$3,OR($C13="W",$C13="1/2W")),AND($K14=BY$3,OR($C14="W",$C14="1/2W")),AND($K15=BY$3,OR($C15="W",$C15="1/2W"))),$S13,0))</f>
        <v>0</v>
      </c>
      <c r="BZ13" s="205">
        <f>IF($B13="LOSS",IF(AND($K13=BZ$3,$C13="L"),-$O13,0)+IF(AND($K14=BZ$3,$C14="L"),-$O14,0)+IF(AND($K15=BZ$3,$C15="L"),-$O15,0),IF(OR(AND($K13=BZ$3,OR($C13="W",$C13="1/2W")),AND($K14=BZ$3,OR($C14="W",$C14="1/2W")),AND($K15=BZ$3,OR($C15="W",$C15="1/2W"))),$S13,0))</f>
        <v>0</v>
      </c>
      <c r="CA13" s="205">
        <f>IF($B13="LOSS",IF(AND($K13=CA$3,$C13="L"),-$O13,0)+IF(AND($K14=CA$3,$C14="L"),-$O14,0)+IF(AND($K15=CA$3,$C15="L"),-$O15,0),IF(OR(AND($K13=CA$3,OR($C13="W",$C13="1/2W")),AND($K14=CA$3,OR($C14="W",$C14="1/2W")),AND($K15=CA$3,OR($C15="W",$C15="1/2W"))),$S13,0))</f>
        <v>0</v>
      </c>
      <c r="CB13" s="205">
        <f>IF($B13="LOSS",IF(AND($K13=CB$3,$C13="L"),-$O13,0)+IF(AND($K14=CB$3,$C14="L"),-$O14,0)+IF(AND($K15=CB$3,$C15="L"),-$O15,0),IF(OR(AND($K13=CB$3,OR($C13="W",$C13="1/2W")),AND($K14=CB$3,OR($C14="W",$C14="1/2W")),AND($K15=CB$3,OR($C15="W",$C15="1/2W"))),$S13,0))</f>
        <v>0</v>
      </c>
      <c r="CC13" s="205">
        <f>IF($B13="LOSS",IF(AND($K13=CC$3,$C13="L"),-$O13,0)+IF(AND($K14=CC$3,$C14="L"),-$O14,0)+IF(AND($K15=CC$3,$C15="L"),-$O15,0),IF(OR(AND($K13=CC$3,OR($C13="W",$C13="1/2W")),AND($K14=CC$3,OR($C14="W",$C14="1/2W")),AND($K15=CC$3,OR($C15="W",$C15="1/2W"))),$S13,0))</f>
        <v>0</v>
      </c>
      <c r="CD13" s="202">
        <f>IF($B13="LOSS",IF(AND($K13=CD$3,$C13="L"),-$O13,0)+IF(AND($K14=CD$3,$C14="L"),-$O14,0)+IF(AND($K15=CD$3,$C15="L"),-$O15,0),IF(OR(AND($K13=CD$3,OR($C13="W",$C13="1/2W")),AND($K14=CD$3,OR($C14="W",$C14="1/2W")),AND($K15=CD$3,OR($C15="W",$C15="1/2W"))),$S13,0))</f>
        <v>0</v>
      </c>
      <c r="CE13" s="199">
        <f>IF($B13="LOSS",IF(AND($K13=CE$3,$C13="L"),-$O13,0)+IF(AND($K14=CE$3,$C14="L"),-$O14,0)+IF(AND($K15=CE$3,$C15="L"),-$O15,0),IF(OR(AND($K13=CE$3,OR($C13="W",$C13="1/2W")),AND($K14=CE$3,OR($C14="W",$C14="1/2W")),AND($K15=CE$3,OR($C15="W",$C15="1/2W"))),$S13,0))</f>
        <v>0</v>
      </c>
      <c r="CF13" s="206">
        <f>IF(CF$3=$K13,IF($C13="W",1,IF($C13="1/2W",0.5,0)),0)</f>
        <v>0</v>
      </c>
      <c r="CG13" s="207">
        <f>IF(CF$3=$K13,IF($C13="L",1,IF($C13="1/2L",0.5,0)),0)</f>
        <v>0</v>
      </c>
      <c r="CH13" s="207">
        <f>IF(CH$3=$K13,IF($C13="W",1,IF($C13="1/2W",0.5,0)),0)</f>
        <v>0</v>
      </c>
      <c r="CI13" s="207">
        <f>IF(CH$3=$K13,IF($C13="L",1,IF($C13="1/2L",0.5,0)),0)</f>
        <v>0</v>
      </c>
      <c r="CJ13" s="207">
        <f>IF(CJ$3=$K13,IF($C13="W",1,IF($C13="1/2W",0.5,0)),0)</f>
        <v>0</v>
      </c>
      <c r="CK13" s="207">
        <f>IF(CJ$3=$K13,IF($C13="L",1,IF($C13="1/2L",0.5,0)),0)</f>
        <v>0</v>
      </c>
      <c r="CL13" s="207">
        <f>IF(CL$3=$K13,IF($C13="W",1,IF($C13="1/2W",0.5,0)),0)</f>
        <v>0</v>
      </c>
      <c r="CM13" s="207">
        <f>IF(CL$3=$K13,IF($C13="L",1,IF($C13="1/2L",0.5,0)),0)</f>
        <v>0</v>
      </c>
      <c r="CN13" s="207">
        <f>IF(CN$3=$K13,IF($C13="W",1,IF($C13="1/2W",0.5,0)),0)</f>
        <v>0</v>
      </c>
      <c r="CO13" s="207">
        <f>IF(CN$3=$K13,IF($C13="L",1,IF($C13="1/2L",0.5,0)),0)</f>
        <v>1</v>
      </c>
      <c r="CP13" s="207">
        <f>IF(CP$3=$K13,IF($C13="W",1,IF($C13="1/2W",0.5,0)),0)</f>
        <v>0</v>
      </c>
      <c r="CQ13" s="207">
        <f>IF(CP$3=$K13,IF($C13="L",1,IF($C13="1/2L",0.5,0)),0)</f>
        <v>0</v>
      </c>
      <c r="CR13" s="207">
        <f>IF(CR$3=$K13,IF($C13="W",1,IF($C13="1/2W",0.5,0)),0)</f>
        <v>0</v>
      </c>
      <c r="CS13" s="207">
        <f>IF(CR$3=$K13,IF($C13="L",1,IF($C13="1/2L",0.5,0)),0)</f>
        <v>0</v>
      </c>
      <c r="CT13" s="208">
        <f>IF(CT$3=$K13,IF($C13="W",1,IF($C13="1/2W",0.5,0)),0)</f>
        <v>0</v>
      </c>
      <c r="CU13" s="209">
        <f>IF(CT$3=$K13,IF($C13="L",1,IF($C13="1/2L",0.5,0)),0)</f>
        <v>0</v>
      </c>
      <c r="CV13" s="209">
        <f>IF(CV$3=$K13,IF($C13="W",1,IF($C13="1/2W",0.5,0)),0)</f>
        <v>0</v>
      </c>
      <c r="CW13" s="209">
        <f>IF(CV$3=$K13,IF($C13="L",1,IF($C13="1/2L",0.5,0)),0)</f>
        <v>0</v>
      </c>
      <c r="CX13" s="209">
        <f>IF(CX$3=$K13,IF($C13="W",1,IF($C13="1/2W",0.5,0)),0)</f>
        <v>0</v>
      </c>
      <c r="CY13" s="209">
        <f>IF(CX$3=$K13,IF($C13="L",1,IF($C13="1/2L",0.5,0)),0)</f>
        <v>0</v>
      </c>
      <c r="CZ13" s="209">
        <f>IF(CZ$3=$K13,IF($C13="W",1,IF($C13="1/2W",0.5,0)),0)</f>
        <v>0</v>
      </c>
      <c r="DA13" s="209">
        <f>IF(CZ$3=$K13,IF($C13="L",1,IF($C13="1/2L",0.5,0)),0)</f>
        <v>0</v>
      </c>
      <c r="DB13" s="209">
        <f>IF(DB$3=$K13,IF($C13="W",1,IF($C13="1/2W",0.5,0)),0)</f>
        <v>0</v>
      </c>
      <c r="DC13" s="209">
        <f>IF(DB$3=$K13,IF($C13="L",1,IF($C13="1/2L",0.5,0)),0)</f>
        <v>0</v>
      </c>
      <c r="DD13" s="209">
        <f>IF(DD$3=$K13,IF($C13="W",1,IF($C13="1/2W",0.5,0)),0)</f>
        <v>0</v>
      </c>
      <c r="DE13" s="210">
        <f>IF(DD$3=$K13,IF($C13="L",1,IF($C13="1/2L",0.5,0)),0)</f>
        <v>0</v>
      </c>
      <c r="DF13" s="211">
        <f>IF(AND(L13&lt;DF$3,$C13="W"),1+DF12,DF12)</f>
        <v>1</v>
      </c>
      <c r="DG13" s="198">
        <f>IF(DF13&gt;DF12,L13+DG12,DG12)</f>
        <v>1.44</v>
      </c>
      <c r="DH13" s="209">
        <f>IF(AND(L13&gt;DH$3,$C13="W"),1+DH12,0+DH12)</f>
        <v>0</v>
      </c>
      <c r="DI13" s="198">
        <f>IF(DH13&gt;DH12,L13+DI12,DI12)</f>
        <v>0</v>
      </c>
      <c r="DJ13" s="209">
        <f>IF($D13="","",$D13)</f>
        <v>16</v>
      </c>
      <c r="DK13" s="209">
        <f>IF(AND($B13=" ",$D13&lt;&gt;""),1,0)</f>
        <v>0</v>
      </c>
    </row>
    <row r="14" ht="14.55" customHeight="1">
      <c r="A14" s="107"/>
      <c r="B14" s="108"/>
      <c r="C14" t="s" s="213">
        <v>56</v>
      </c>
      <c r="D14" s="110"/>
      <c r="E14" s="111"/>
      <c r="F14" s="113"/>
      <c r="G14" s="214"/>
      <c r="H14" s="114"/>
      <c r="I14" t="s" s="215">
        <v>62</v>
      </c>
      <c r="J14" t="s" s="216">
        <f>IF(OR(I13="TO",I13="TU",I13="TO1",I13="TU1",I13="TO2",I13="TU2"),J13,IF(OR(I13="AH1",I13="AH2"),IF(OR(I14="AH1",I14="AH2"),-J13,IF(OR(I14="EH1",I14="EH2"),-J13+0.5,"")),IF(OR(I13="EH1",I13="EH2"),IF(OR(I14="AH1",I14="AH2"),-J13+0.5,IF(OR(I14="EH1",I14="EH2"),-J13+1,"")),IF(AND(OR(I13="DNB1",I13="DNB2"),OR(I14="AH1",I14="AH2")),0,IF(AND(I13="Not ScoreBoth",OR(I14="TO1",I14="TO2")),0.5,"")))))</f>
      </c>
      <c r="K14" t="s" s="217">
        <v>37</v>
      </c>
      <c r="L14" s="218">
        <v>1.571</v>
      </c>
      <c r="M14" s="219"/>
      <c r="N14" s="120"/>
      <c r="O14" s="220">
        <f>IF(OR(AE13="",AE14=""),"",ROUND(IF(L15&gt;0,IF(M14&gt;0,M14,IF(M13&gt;0,IF(N13=TRUE,ROUND((M13*AE14)/AE13,0),(M13*AE14)/AE13),IF(M14&gt;0,ROUND(M14,IF(N13=0,2,IF(N13=0.1,1,0))),IF(M15&gt;0,ROUND(O15*AE14/AE15,IF(N13=0,2,IF(N13=0.1,1,0))),0)))),IF(M14&gt;0,M14,ROUND((M13*AE14)/AE13,IF(N13=0,2,IF(N13=0.1,1,0))))),2))</f>
        <v>10.6</v>
      </c>
      <c r="P14" s="221">
        <f>IF(OR(L14="",O14=""),"",IF($C14="1/2W",O14/2+O14/2*L14,IF($C14="1/2L",O14/2,IF(I14="Lay",((O14*(L14/(L14-1)))-O14)*(1-_xlfn.XLOOKUP(K14,'Janeiro 2023 - Valor Real'!A3:A15,'Janeiro 2023 - Valor Real'!C3:C15,0))+O14,(O14*L14-O14)*(1-_xlfn.XLOOKUP(K14,'Janeiro 2023 - Valor Real'!A3:A15,'Janeiro 2023 - Valor Real'!C3:C15,0))+O14))))</f>
        <v>16.6526</v>
      </c>
      <c r="Q14" s="222">
        <v>1</v>
      </c>
      <c r="R14" s="223">
        <v>0</v>
      </c>
      <c r="S14" s="125"/>
      <c r="T14" s="126"/>
      <c r="U14" s="126"/>
      <c r="V14" s="224"/>
      <c r="W14" s="126"/>
      <c r="X14" s="127"/>
      <c r="Y14" s="128"/>
      <c r="Z14" s="129"/>
      <c r="AA14" s="129"/>
      <c r="AB14" s="129"/>
      <c r="AC14" s="129"/>
      <c r="AD14" s="225">
        <f>(((L14/(L14-1)-1)*(1-_xlfn.XLOOKUP(K14,'Janeiro 2023 - Valor Real'!A3:A15,'Janeiro 2023 - Valor Real'!C3:C15,0))+1))</f>
        <v>2.75131348511384</v>
      </c>
      <c r="AE14" s="226">
        <f>IF(L14="","",IF(L15&gt;0,(SUM(((L13-1)*(1-_xlfn.XLOOKUP(K13,'Janeiro 2023 - Valor Real'!A3:A15,'Janeiro 2023 - Valor Real'!C3:C15,0))+1),((L14-1)*(1-_xlfn.XLOOKUP(K14,'Janeiro 2023 - Valor Real'!A3:A15,'Janeiro 2023 - Valor Real'!C3:C15,0))+1),((L15-1)*(1-_xlfn.XLOOKUP(K15,'Janeiro 2023 - Valor Real'!A3:A15,'Janeiro 2023 - Valor Real'!C3:C15,0))+1))/((L14-1)*(1-_xlfn.XLOOKUP(K14,'Janeiro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Real'!C3:C15,0))+1))/((L13-1)*(1-_xlfn.XLOOKUP(K13,'Janeiro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Real'!C3:C15,0))+1))/((L14-1)*(1-_xlfn.XLOOKUP(K14,'Janeiro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Real'!C3:C15,0))+1))/((L15-1)*(1-_xlfn.XLOOKUP(K15,'Janeiro 2023 - Valor Real'!A3:A15,'Janeiro 2023 - Valor Real'!C3:C15,0))+1)),IF(I14="Lay",IF(I13="Lay",((L13/(L13-1)-1)*(1-_xlfn.XLOOKUP(K13,'Janeiro 2023 - Valor Real'!A3:A15,'Janeiro 2023 - Valor Real'!C3:C15,0))+1)/(((L13/(L13-1)-1)*(1-_xlfn.XLOOKUP(K13,'Janeiro 2023 - Valor Real'!A3:A15,'Janeiro 2023 - Valor Real'!C3:C15,0))+1)+((L14/(L14-1)-1)*(1-_xlfn.XLOOKUP(K14,'Janeiro 2023 - Valor Real'!A3:A15,'Janeiro 2023 - Valor Real'!C3:C15,0))+1)),((L13-1)*(1-_xlfn.XLOOKUP(K13,'Janeiro 2023 - Valor Real'!A3:A15,'Janeiro 2023 - Valor Real'!C3:C15,0))+1)/(((L13-1)*(1-_xlfn.XLOOKUP(K13,'Janeiro 2023 - Valor Real'!A3:A15,'Janeiro 2023 - Valor Real'!C3:C15,0))+1)+((L14/(L14-1)-1)*(1-_xlfn.XLOOKUP(K14,'Janeiro 2023 - Valor Real'!A3:A15,'Janeiro 2023 - Valor Real'!C3:C15,0))+1))),IF(I13="Lay",((L13/(L13-1)-1)*(1-_xlfn.XLOOKUP(K13,'Janeiro 2023 - Valor Real'!A3:A15,'Janeiro 2023 - Valor Real'!C3:C15,0))+1)/((((L13/(L13-1)-1)*(1-_xlfn.XLOOKUP(K13,'Janeiro 2023 - Valor Real'!A3:A15,'Janeiro 2023 - Valor Real'!C3:C15,0))+1))+((L14-1)*(1-_xlfn.XLOOKUP(K14,'Janeiro 2023 - Valor Real'!A3:A15,'Janeiro 2023 - Valor Real'!C3:C15,0))+1)),((L13-1)*(1-_xlfn.XLOOKUP(K13,'Janeiro 2023 - Valor Real'!A3:A15,'Janeiro 2023 - Valor Real'!C3:C15,0))+1)/(((L13-1)*(1-_xlfn.XLOOKUP(K13,'Janeiro 2023 - Valor Real'!A3:A15,'Janeiro 2023 - Valor Real'!C3:C15,0))+1)+((L14-1)*(1-_xlfn.XLOOKUP(K14,'Janeiro 2023 - Valor Real'!A3:A15,'Janeiro 2023 - Valor Real'!C3:C15,0))+1))))))</f>
        <v>0.663669449796617</v>
      </c>
      <c r="AF14" s="197">
        <f>IF($K14=AF$3,ROUND(IF(OR($C14="W",$C14="1/2W",$C14="1/2L"),$P14-$O14,IF($C14="X",0,-$O14)),2),0)</f>
        <v>6.05</v>
      </c>
      <c r="AG14" s="198">
        <f>IF($K14=AG$3,ROUND(IF(OR($C14="W",$C14="1/2W",$C14="1/2L"),$P14-$O14,IF($C14="X",0,-$O14)),2),0)</f>
        <v>0</v>
      </c>
      <c r="AH14" s="198">
        <f>IF($K14=AH$3,ROUND(IF(OR($C14="W",$C14="1/2W",$C14="1/2L"),$P14-$O14,IF($C14="X",0,-$O14)),2),0)</f>
        <v>0</v>
      </c>
      <c r="AI14" s="198">
        <f>IF($K14=AI$3,ROUND(IF(OR($C14="W",$C14="1/2W",$C14="1/2L"),$P14-$O14,IF($C14="X",0,-$O14)),2),0)</f>
        <v>0</v>
      </c>
      <c r="AJ14" s="198">
        <f>IF($K14=AJ$3,ROUND(IF(OR($C14="W",$C14="1/2W",$C14="1/2L"),$P14-$O14,IF($C14="X",0,-$O14)),2),0)</f>
        <v>0</v>
      </c>
      <c r="AK14" s="198">
        <f>IF($K14=AK$3,ROUND(IF(OR($C14="W",$C14="1/2W",$C14="1/2L"),$P14-$O14,IF($C14="X",0,-$O14)),2),0)</f>
        <v>0</v>
      </c>
      <c r="AL14" s="198">
        <f>IF($K14=AL$3,ROUND(IF(OR($C14="W",$C14="1/2W",$C14="1/2L"),$P14-$O14,IF($C14="X",0,-$O14)),2),0)</f>
        <v>0</v>
      </c>
      <c r="AM14" s="198">
        <f>IF($K14=AM$3,ROUND(IF(OR($C14="W",$C14="1/2W",$C14="1/2L"),$P14-$O14,IF($C14="X",0,-$O14)),2),0)</f>
        <v>0</v>
      </c>
      <c r="AN14" s="198">
        <f>IF($K14=AN$3,ROUND(IF(OR($C14="W",$C14="1/2W",$C14="1/2L"),$P14-$O14,IF($C14="X",0,-$O14)),2),0)</f>
        <v>0</v>
      </c>
      <c r="AO14" s="198">
        <f>IF($K14=AO$3,ROUND(IF(OR($C14="W",$C14="1/2W",$C14="1/2L"),$P14-$O14,IF($C14="X",0,-$O14)),2),0)</f>
        <v>0</v>
      </c>
      <c r="AP14" s="198">
        <f>IF($K14=AP$3,ROUND(IF(OR($C14="W",$C14="1/2W",$C14="1/2L"),$P14-$O14,IF($C14="X",0,-$O14)),2),0)</f>
        <v>0</v>
      </c>
      <c r="AQ14" s="198">
        <f>IF($K14=AQ$3,ROUND(IF(OR($C14="W",$C14="1/2W",$C14="1/2L"),$P14-$O14,IF($C14="X",0,-$O14)),2),0)</f>
        <v>0</v>
      </c>
      <c r="AR14" s="199">
        <f>IF($K14=AR$3,ROUND(IF(OR($C14="W",$C14="1/2W",$C14="1/2L"),$P14-$O14,IF($C14="X",0,-$O14)),2),0)</f>
        <v>0</v>
      </c>
      <c r="AS14" s="197">
        <f>IF(AND($B13=" ",$K14=AS$3),$O14,0)</f>
        <v>0</v>
      </c>
      <c r="AT14" s="198">
        <f>IF(AND($B13=" ",K14=AT$3),$O14,0)</f>
        <v>0</v>
      </c>
      <c r="AU14" s="198">
        <f>IF(AND($B13=" ",$K14=AU$3),$O14,0)</f>
        <v>0</v>
      </c>
      <c r="AV14" s="198">
        <f>IF(AND($B13=" ",$K14=AV$3),$O14,0)</f>
        <v>0</v>
      </c>
      <c r="AW14" s="198">
        <f>IF(AND($B13=" ",$K14=AW$3),$O14,0)</f>
        <v>0</v>
      </c>
      <c r="AX14" s="198">
        <f>IF(AND($B13=" ",$K14=AX$3),$O14,0)</f>
        <v>0</v>
      </c>
      <c r="AY14" s="200">
        <f>IF(AND($B13=" ",$K14=AY$3),$O14,0)</f>
        <v>0</v>
      </c>
      <c r="AZ14" s="201">
        <f>IF(AND($B13=" ",$K14=AZ$3),$O14,0)</f>
        <v>0</v>
      </c>
      <c r="BA14" s="201">
        <f>IF(AND($B13=" ",$K14=BA$3),$O14,0)</f>
        <v>0</v>
      </c>
      <c r="BB14" s="201">
        <f>IF(AND($B13=" ",$K14=BB$3),$O14,0)</f>
        <v>0</v>
      </c>
      <c r="BC14" s="202">
        <f>IF(AND($B13=" ",$K14=BC$3),$O14,0)</f>
        <v>0</v>
      </c>
      <c r="BD14" s="198">
        <f>IF(AND($B13=" ",$K14=BD$3),$O14,0)</f>
        <v>0</v>
      </c>
      <c r="BE14" s="199">
        <f>IF(AND($B13=" ",$K14=BE$3),$O14,0)</f>
        <v>0</v>
      </c>
      <c r="BF14" s="197">
        <f>IF($K14=BF$3,IF($C14="X",0,$O14),0)</f>
        <v>10.6</v>
      </c>
      <c r="BG14" s="198">
        <f>IF($K14=BG$3,IF($C14="X",0,$O14),0)</f>
        <v>0</v>
      </c>
      <c r="BH14" s="198">
        <f>IF($K14=BH$3,IF($C14="X",0,$O14),0)</f>
        <v>0</v>
      </c>
      <c r="BI14" s="198">
        <f>IF($K14=BI$3,IF($C14="X",0,$O14),0)</f>
        <v>0</v>
      </c>
      <c r="BJ14" s="198">
        <f>IF($K14=BJ$3,IF($C14="X",0,$O14),0)</f>
        <v>0</v>
      </c>
      <c r="BK14" s="198">
        <f>IF($K14=BK$3,IF($C14="X",0,$O14),0)</f>
        <v>0</v>
      </c>
      <c r="BL14" s="198">
        <f>IF($K14=BL$3,IF($C14="X",0,$O14),0)</f>
        <v>0</v>
      </c>
      <c r="BM14" s="227">
        <f>IF($K14=BM$3,IF($C14="X",0,$O14),0)</f>
        <v>0</v>
      </c>
      <c r="BN14" s="205">
        <f>IF($K14=BN$3,IF($C14="X",0,$O14),0)</f>
        <v>0</v>
      </c>
      <c r="BO14" s="205">
        <f>IF($K14=BO$3,IF($C14="X",0,$O14),0)</f>
        <v>0</v>
      </c>
      <c r="BP14" s="205">
        <f>IF($K14=BP$3,IF($C14="X",0,$O14),0)</f>
        <v>0</v>
      </c>
      <c r="BQ14" s="202">
        <f>IF($K14=BQ$3,IF($C14="X",0,$O14),0)</f>
        <v>0</v>
      </c>
      <c r="BR14" s="199">
        <f>IF($K14=BR$3,IF($C14="X",0,$O14),0)</f>
        <v>0</v>
      </c>
      <c r="BS14" s="228"/>
      <c r="BT14" s="229"/>
      <c r="BU14" s="140"/>
      <c r="BV14" s="229"/>
      <c r="BW14" s="140"/>
      <c r="BX14" s="140"/>
      <c r="BY14" s="140"/>
      <c r="BZ14" s="229"/>
      <c r="CA14" s="140"/>
      <c r="CB14" s="140"/>
      <c r="CC14" s="140"/>
      <c r="CD14" s="141"/>
      <c r="CE14" s="142"/>
      <c r="CF14" s="230">
        <f>IF(CF$3=$K14,IF($C14="W",1,IF($C14="1/2W",0.5,0)),0)</f>
        <v>1</v>
      </c>
      <c r="CG14" s="231">
        <f>IF(CF$3=$K14,IF($C14="L",1,IF($C14="1/2L",0.5,0)),0)</f>
        <v>0</v>
      </c>
      <c r="CH14" s="231">
        <f>IF(CH$3=$K14,IF($C14="W",1,IF($C14="1/2W",0.5,0)),0)</f>
        <v>0</v>
      </c>
      <c r="CI14" s="231">
        <f>IF(CH$3=$K14,IF($C14="L",1,IF($C14="1/2L",0.5,0)),0)</f>
        <v>0</v>
      </c>
      <c r="CJ14" s="231">
        <f>IF(CJ$3=$K14,IF($C14="W",1,IF($C14="1/2W",0.5,0)),0)</f>
        <v>0</v>
      </c>
      <c r="CK14" s="231">
        <f>IF(CJ$3=$K14,IF($C14="L",1,IF($C14="1/2L",0.5,0)),0)</f>
        <v>0</v>
      </c>
      <c r="CL14" s="231">
        <f>IF(CL$3=$K14,IF($C14="W",1,IF($C14="1/2W",0.5,0)),0)</f>
        <v>0</v>
      </c>
      <c r="CM14" s="231">
        <f>IF(CL$3=$K14,IF($C14="L",1,IF($C14="1/2L",0.5,0)),0)</f>
        <v>0</v>
      </c>
      <c r="CN14" s="231">
        <f>IF(CN$3=$K14,IF($C14="W",1,IF($C14="1/2W",0.5,0)),0)</f>
        <v>0</v>
      </c>
      <c r="CO14" s="231">
        <f>IF(CN$3=$K14,IF($C14="L",1,IF($C14="1/2L",0.5,0)),0)</f>
        <v>0</v>
      </c>
      <c r="CP14" s="231">
        <f>IF(CP$3=$K14,IF($C14="W",1,IF($C14="1/2W",0.5,0)),0)</f>
        <v>0</v>
      </c>
      <c r="CQ14" s="231">
        <f>IF(CP$3=$K14,IF($C14="L",1,IF($C14="1/2L",0.5,0)),0)</f>
        <v>0</v>
      </c>
      <c r="CR14" s="231">
        <f>IF(CR$3=$K14,IF($C14="W",1,IF($C14="1/2W",0.5,0)),0)</f>
        <v>0</v>
      </c>
      <c r="CS14" s="231">
        <f>IF(CR$3=$K14,IF($C14="L",1,IF($C14="1/2L",0.5,0)),0)</f>
        <v>0</v>
      </c>
      <c r="CT14" s="208">
        <f>IF(CT$3=$K14,IF($C14="W",1,IF($C14="1/2W",0.5,0)),0)</f>
        <v>0</v>
      </c>
      <c r="CU14" s="209">
        <f>IF(CT$3=$K14,IF($C14="L",1,IF($C14="1/2L",0.5,0)),0)</f>
        <v>0</v>
      </c>
      <c r="CV14" s="209">
        <f>IF(CV$3=$K14,IF($C14="W",1,IF($C14="1/2W",0.5,0)),0)</f>
        <v>0</v>
      </c>
      <c r="CW14" s="209">
        <f>IF(CV$3=$K14,IF($C14="L",1,IF($C14="1/2L",0.5,0)),0)</f>
        <v>0</v>
      </c>
      <c r="CX14" s="209">
        <f>IF(CX$3=$K14,IF($C14="W",1,IF($C14="1/2W",0.5,0)),0)</f>
        <v>0</v>
      </c>
      <c r="CY14" s="209">
        <f>IF(CX$3=$K14,IF($C14="L",1,IF($C14="1/2L",0.5,0)),0)</f>
        <v>0</v>
      </c>
      <c r="CZ14" s="209">
        <f>IF(CZ$3=$K14,IF($C14="W",1,IF($C14="1/2W",0.5,0)),0)</f>
        <v>0</v>
      </c>
      <c r="DA14" s="209">
        <f>IF(CZ$3=$K14,IF($C14="L",1,IF($C14="1/2L",0.5,0)),0)</f>
        <v>0</v>
      </c>
      <c r="DB14" s="209">
        <f>IF(DB$3=$K14,IF($C14="W",1,IF($C14="1/2W",0.5,0)),0)</f>
        <v>0</v>
      </c>
      <c r="DC14" s="209">
        <f>IF(DB$3=$K14,IF($C14="L",1,IF($C14="1/2L",0.5,0)),0)</f>
        <v>0</v>
      </c>
      <c r="DD14" s="209">
        <f>IF(DD$3=$K14,IF($C14="W",1,IF($C14="1/2W",0.5,0)),0)</f>
        <v>0</v>
      </c>
      <c r="DE14" s="210">
        <f>IF(DD$3=$K14,IF($C14="L",1,IF($C14="1/2L",0.5,0)),0)</f>
        <v>0</v>
      </c>
      <c r="DF14" s="211">
        <f>IF(AND(L14&lt;DF$3,$C14="W"),1+DF13,DF13)</f>
        <v>1</v>
      </c>
      <c r="DG14" s="198">
        <f>IF(DF14&gt;DF13,L14+DG13,DG13)</f>
        <v>1.44</v>
      </c>
      <c r="DH14" s="209">
        <f>IF(AND(L14&gt;DH$3,$C14="W"),1+DH13,0+DH13)</f>
        <v>0</v>
      </c>
      <c r="DI14" s="198">
        <f>IF(DH14&gt;DH13,L14+DI13,DI13)</f>
        <v>0</v>
      </c>
      <c r="DJ14" s="209">
        <f>IF($D13="","",$D13)</f>
        <v>16</v>
      </c>
      <c r="DK14" s="232"/>
    </row>
    <row r="15" ht="14.55" customHeight="1">
      <c r="A15" s="149"/>
      <c r="B15" s="150"/>
      <c r="C15" t="s" s="233">
        <v>58</v>
      </c>
      <c r="D15" s="152"/>
      <c r="E15" s="153"/>
      <c r="F15" s="155"/>
      <c r="G15" s="234"/>
      <c r="H15" s="156"/>
      <c r="I15" s="235"/>
      <c r="J15" s="236"/>
      <c r="K15" s="237"/>
      <c r="L15" s="238"/>
      <c r="M15" s="239"/>
      <c r="N15" s="161"/>
      <c r="O15" t="s" s="240">
        <f>IF(OR(AE13="",AE14=""),"",IF(L15&gt;0,ROUND(IF(M15&gt;0,M15,IF(M13&gt;0,ROUND((M13*AE15)/AE13,IF(N13=0,2,IF(N13=0.1,1,0))),IF(M14&gt;0,ROUND((M14*AE15)/AE14,IF(N13=0,2,IF(N13=0.1,1,0))),IF(M15&gt;0,M15,0)))),2),""))</f>
      </c>
      <c r="P15" t="s" s="241">
        <f>IF(I14="Lay",O14*(L14/(L14-1))-O14,IF(I13="Lay",O13*(L13/(L13-1))-O13,IF(OR(L15="",O15=""),"",IF($C15="1/2W",O15/2+O15/2*L15,IF($C15="1/2L",O15/2,(O15*L15-O15)*(1-_xlfn.XLOOKUP(K15,'Janeiro 2023 - Valor Real'!A3:A15,'Janeiro 2023 - Valor Real'!C3:C15,0))+O15)))))</f>
      </c>
      <c r="Q15" t="s" s="242"/>
      <c r="R15" t="s" s="243"/>
      <c r="S15" s="166"/>
      <c r="T15" s="155"/>
      <c r="U15" s="155"/>
      <c r="V15" s="166"/>
      <c r="W15" s="155"/>
      <c r="X15" s="167"/>
      <c r="Y15" s="128"/>
      <c r="Z15" s="129"/>
      <c r="AA15" s="129"/>
      <c r="AB15" s="129"/>
      <c r="AC15" s="129"/>
      <c r="AD15" s="244">
        <f>((L14/(L14-1)-1))</f>
        <v>1.75131348511384</v>
      </c>
      <c r="AE15" t="s" s="245">
        <f>IF(L15="","",(SUM(((L13-1)*(1-_xlfn.XLOOKUP(K13,'Janeiro 2023 - Valor Real'!A3:A15,'Janeiro 2023 - Valor Real'!C3:C15,0))+1),((L14-1)*(1-_xlfn.XLOOKUP(K14,'Janeiro 2023 - Valor Real'!A3:A15,'Janeiro 2023 - Valor Real'!C3:C15,0))+1),((L15-1)*(1-_xlfn.XLOOKUP(K15,'Janeiro 2023 - Valor Real'!A3:A15,'Janeiro 2023 - Valor Real'!C3:C15,0))+1))/((L15-1)*(1-_xlfn.XLOOKUP(K15,'Janeiro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Real'!C3:C15,0))+1))/((L13-1)*(1-_xlfn.XLOOKUP(K13,'Janeiro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Real'!C3:C15,0))+1))/((L14-1)*(1-_xlfn.XLOOKUP(K14,'Janeiro 2023 - Valor Real'!A3:A15,'Janeiro 2023 - Valor Real'!C3:C15,0))+1)+SUM(((L13-1)*(1-_xlfn.XLOOKUP(K13,'Janeiro 2023 - Valor Real'!A3:A15,'Janeiro 2023 - Valor Real'!C3:C15,0))+1),((L14-1)*(1-_xlfn.XLOOKUP(K14,'Janeiro 2023 - Valor Real'!A3:A15,'Janeiro 2023 - Valor Real'!C3:C15,0))+1),((L15-1)*(1-_xlfn.XLOOKUP(K15,'Janeiro 2023 - Valor Real'!A3:A15,'Janeiro 2023 - Valor Real'!C3:C15,0))+1))/((L15-1)*(1-_xlfn.XLOOKUP(K15,'Janeiro 2023 - Valor Real'!A3:A15,'Janeiro 2023 - Valor Real'!C3:C15,0))+1)))</f>
      </c>
      <c r="AF15" s="197">
        <f>IF($K15=AF$3,ROUND(IF(OR($C15="W",$C15="1/2W",$C15="1/2L"),$P15-$O15,IF($C15="X",0,-$O15)),2),0)</f>
        <v>0</v>
      </c>
      <c r="AG15" s="198">
        <f>IF($K15=AG$3,ROUND(IF(OR($C15="W",$C15="1/2W",$C15="1/2L"),$P15-$O15,IF($C15="X",0,-$O15)),2),0)</f>
        <v>0</v>
      </c>
      <c r="AH15" s="198">
        <f>IF($K15=AH$3,ROUND(IF(OR($C15="W",$C15="1/2W",$C15="1/2L"),$P15-$O15,IF($C15="X",0,-$O15)),2),0)</f>
        <v>0</v>
      </c>
      <c r="AI15" s="198">
        <f>IF($K15=AI$3,ROUND(IF(OR($C15="W",$C15="1/2W",$C15="1/2L"),$P15-$O15,IF($C15="X",0,-$O15)),2),0)</f>
        <v>0</v>
      </c>
      <c r="AJ15" s="198">
        <f>IF($K15=AJ$3,ROUND(IF(OR($C15="W",$C15="1/2W",$C15="1/2L"),$P15-$O15,IF($C15="X",0,-$O15)),2),0)</f>
        <v>0</v>
      </c>
      <c r="AK15" s="198">
        <f>IF($K15=AK$3,ROUND(IF(OR($C15="W",$C15="1/2W",$C15="1/2L"),$P15-$O15,IF($C15="X",0,-$O15)),2),0)</f>
        <v>0</v>
      </c>
      <c r="AL15" s="198">
        <f>IF($K15=AL$3,ROUND(IF(OR($C15="W",$C15="1/2W",$C15="1/2L"),$P15-$O15,IF($C15="X",0,-$O15)),2),0)</f>
        <v>0</v>
      </c>
      <c r="AM15" s="198">
        <f>IF($K15=AM$3,ROUND(IF(OR($C15="W",$C15="1/2W",$C15="1/2L"),$P15-$O15,IF($C15="X",0,-$O15)),2),0)</f>
        <v>0</v>
      </c>
      <c r="AN15" s="198">
        <f>IF($K15=AN$3,ROUND(IF(OR($C15="W",$C15="1/2W",$C15="1/2L"),$P15-$O15,IF($C15="X",0,-$O15)),2),0)</f>
        <v>0</v>
      </c>
      <c r="AO15" s="198">
        <f>IF($K15=AO$3,ROUND(IF(OR($C15="W",$C15="1/2W",$C15="1/2L"),$P15-$O15,IF($C15="X",0,-$O15)),2),0)</f>
        <v>0</v>
      </c>
      <c r="AP15" s="198">
        <f>IF($K15=AP$3,ROUND(IF(OR($C15="W",$C15="1/2W",$C15="1/2L"),$P15-$O15,IF($C15="X",0,-$O15)),2),0)</f>
        <v>0</v>
      </c>
      <c r="AQ15" s="198">
        <f>IF($K15=AQ$3,ROUND(IF(OR($C15="W",$C15="1/2W",$C15="1/2L"),$P15-$O15,IF($C15="X",0,-$O15)),2),0)</f>
        <v>0</v>
      </c>
      <c r="AR15" s="199">
        <f>IF($K15=AR$3,ROUND(IF(OR($C15="W",$C15="1/2W",$C15="1/2L"),$P15-$O15,IF($C15="X",0,-$O15)),2),0)</f>
        <v>0</v>
      </c>
      <c r="AS15" s="197">
        <f>IF(AND($B13=" ",$K15=AS$3),$O15,0)</f>
        <v>0</v>
      </c>
      <c r="AT15" s="198">
        <f>IF(AND($B13=" ",K15=AT$3),$O15,0)</f>
        <v>0</v>
      </c>
      <c r="AU15" s="198">
        <f>IF(AND($B13=" ",$K15=AU$3),$O15,0)</f>
        <v>0</v>
      </c>
      <c r="AV15" s="198">
        <f>IF(AND($B13=" ",$K15=AV$3),$O15,0)</f>
        <v>0</v>
      </c>
      <c r="AW15" s="198">
        <f>IF(AND($B13=" ",$K15=AW$3),$O15,0)</f>
        <v>0</v>
      </c>
      <c r="AX15" s="198">
        <f>IF(AND($B13=" ",$K15=AX$3),$O15,0)</f>
        <v>0</v>
      </c>
      <c r="AY15" s="200">
        <f>IF(AND($B13=" ",$K15=AY$3),$O15,0)</f>
        <v>0</v>
      </c>
      <c r="AZ15" s="201">
        <f>IF(AND($B13=" ",$K15=AZ$3),$O15,0)</f>
        <v>0</v>
      </c>
      <c r="BA15" s="201">
        <f>IF(AND($B13=" ",$K15=BA$3),$O15,0)</f>
        <v>0</v>
      </c>
      <c r="BB15" s="201">
        <f>IF(AND($B13=" ",$K15=BB$3),$O15,0)</f>
        <v>0</v>
      </c>
      <c r="BC15" s="202">
        <f>IF(AND($B13=" ",$K15=BC$3),$O15,0)</f>
        <v>0</v>
      </c>
      <c r="BD15" s="198">
        <f>IF(AND($B13=" ",$K15=BD$3),$O15,0)</f>
        <v>0</v>
      </c>
      <c r="BE15" s="199">
        <f>IF(AND($B13=" ",$K15=BE$3),$O15,0)</f>
        <v>0</v>
      </c>
      <c r="BF15" s="197">
        <f>IF($K15=BF$3,IF($C15="X",0,$O15),0)</f>
        <v>0</v>
      </c>
      <c r="BG15" s="198">
        <f>IF($K15=BG$3,IF($C15="X",0,$O15),0)</f>
        <v>0</v>
      </c>
      <c r="BH15" s="198">
        <f>IF($K15=BH$3,IF($C15="X",0,$O15),0)</f>
        <v>0</v>
      </c>
      <c r="BI15" s="198">
        <f>IF($K15=BI$3,IF($C15="X",0,$O15),0)</f>
        <v>0</v>
      </c>
      <c r="BJ15" s="198">
        <f>IF($K15=BJ$3,IF($C15="X",0,$O15),0)</f>
        <v>0</v>
      </c>
      <c r="BK15" s="198">
        <f>IF($K15=BK$3,IF($C15="X",0,$O15),0)</f>
        <v>0</v>
      </c>
      <c r="BL15" s="198">
        <f>IF($K15=BL$3,IF($C15="X",0,$O15),0)</f>
        <v>0</v>
      </c>
      <c r="BM15" s="200">
        <f>IF($K15=BM$3,IF($C15="X",0,$O15),0)</f>
        <v>0</v>
      </c>
      <c r="BN15" s="201">
        <f>IF($K15=BN$3,IF($C15="X",0,$O15),0)</f>
        <v>0</v>
      </c>
      <c r="BO15" s="201">
        <f>IF($K15=BO$3,IF($C15="X",0,$O15),0)</f>
        <v>0</v>
      </c>
      <c r="BP15" s="201">
        <f>IF($K15=BP$3,IF($C15="X",0,$O15),0)</f>
        <v>0</v>
      </c>
      <c r="BQ15" s="202">
        <f>IF($K15=BQ$3,IF($C15="X",0,$O15),0)</f>
        <v>0</v>
      </c>
      <c r="BR15" s="199">
        <f>IF($K15=BR$3,IF($C15="X",0,$O15),0)</f>
        <v>0</v>
      </c>
      <c r="BS15" s="228"/>
      <c r="BT15" s="229"/>
      <c r="BU15" s="140"/>
      <c r="BV15" s="229"/>
      <c r="BW15" s="140"/>
      <c r="BX15" s="140"/>
      <c r="BY15" s="140"/>
      <c r="BZ15" s="229"/>
      <c r="CA15" s="140"/>
      <c r="CB15" s="140"/>
      <c r="CC15" s="140"/>
      <c r="CD15" s="141"/>
      <c r="CE15" s="142"/>
      <c r="CF15" s="230">
        <f>IF(CF$3=$K15,IF($C15="W",1,IF($C15="1/2W",0.5,0)),0)</f>
        <v>0</v>
      </c>
      <c r="CG15" s="231">
        <f>IF(CF$3=$K15,IF($C15="L",1,IF($C15="1/2L",0.5,0)),0)</f>
        <v>0</v>
      </c>
      <c r="CH15" s="231">
        <f>IF(CH$3=$K15,IF($C15="W",1,IF($C15="1/2W",0.5,0)),0)</f>
        <v>0</v>
      </c>
      <c r="CI15" s="231">
        <f>IF(CH$3=$K15,IF($C15="L",1,IF($C15="1/2L",0.5,0)),0)</f>
        <v>0</v>
      </c>
      <c r="CJ15" s="231">
        <f>IF(CJ$3=$K15,IF($C15="W",1,IF($C15="1/2W",0.5,0)),0)</f>
        <v>0</v>
      </c>
      <c r="CK15" s="231">
        <f>IF(CJ$3=$K15,IF($C15="L",1,IF($C15="1/2L",0.5,0)),0)</f>
        <v>0</v>
      </c>
      <c r="CL15" s="231">
        <f>IF(CL$3=$K15,IF($C15="W",1,IF($C15="1/2W",0.5,0)),0)</f>
        <v>0</v>
      </c>
      <c r="CM15" s="231">
        <f>IF(CL$3=$K15,IF($C15="L",1,IF($C15="1/2L",0.5,0)),0)</f>
        <v>0</v>
      </c>
      <c r="CN15" s="231">
        <f>IF(CN$3=$K15,IF($C15="W",1,IF($C15="1/2W",0.5,0)),0)</f>
        <v>0</v>
      </c>
      <c r="CO15" s="231">
        <f>IF(CN$3=$K15,IF($C15="L",1,IF($C15="1/2L",0.5,0)),0)</f>
        <v>0</v>
      </c>
      <c r="CP15" s="231">
        <f>IF(CP$3=$K15,IF($C15="W",1,IF($C15="1/2W",0.5,0)),0)</f>
        <v>0</v>
      </c>
      <c r="CQ15" s="231">
        <f>IF(CP$3=$K15,IF($C15="L",1,IF($C15="1/2L",0.5,0)),0)</f>
        <v>0</v>
      </c>
      <c r="CR15" s="231">
        <f>IF(CR$3=$K15,IF($C15="W",1,IF($C15="1/2W",0.5,0)),0)</f>
        <v>0</v>
      </c>
      <c r="CS15" s="231">
        <f>IF(CR$3=$K15,IF($C15="L",1,IF($C15="1/2L",0.5,0)),0)</f>
        <v>0</v>
      </c>
      <c r="CT15" s="208">
        <f>IF(CT$3=$K15,IF($C15="W",1,IF($C15="1/2W",0.5,0)),0)</f>
        <v>0</v>
      </c>
      <c r="CU15" s="209">
        <f>IF(CT$3=$K15,IF($C15="L",1,IF($C15="1/2L",0.5,0)),0)</f>
        <v>0</v>
      </c>
      <c r="CV15" s="209">
        <f>IF(CV$3=$K15,IF($C15="W",1,IF($C15="1/2W",0.5,0)),0)</f>
        <v>0</v>
      </c>
      <c r="CW15" s="209">
        <f>IF(CV$3=$K15,IF($C15="L",1,IF($C15="1/2L",0.5,0)),0)</f>
        <v>0</v>
      </c>
      <c r="CX15" s="209">
        <f>IF(CX$3=$K15,IF($C15="W",1,IF($C15="1/2W",0.5,0)),0)</f>
        <v>0</v>
      </c>
      <c r="CY15" s="209">
        <f>IF(CX$3=$K15,IF($C15="L",1,IF($C15="1/2L",0.5,0)),0)</f>
        <v>0</v>
      </c>
      <c r="CZ15" s="209">
        <f>IF(CZ$3=$K15,IF($C15="W",1,IF($C15="1/2W",0.5,0)),0)</f>
        <v>0</v>
      </c>
      <c r="DA15" s="209">
        <f>IF(CZ$3=$K15,IF($C15="L",1,IF($C15="1/2L",0.5,0)),0)</f>
        <v>0</v>
      </c>
      <c r="DB15" s="209">
        <f>IF(DB$3=$K15,IF($C15="W",1,IF($C15="1/2W",0.5,0)),0)</f>
        <v>0</v>
      </c>
      <c r="DC15" s="209">
        <f>IF(DB$3=$K15,IF($C15="L",1,IF($C15="1/2L",0.5,0)),0)</f>
        <v>0</v>
      </c>
      <c r="DD15" s="209">
        <f>IF(DD$3=$K15,IF($C15="W",1,IF($C15="1/2W",0.5,0)),0)</f>
        <v>0</v>
      </c>
      <c r="DE15" s="210">
        <f>IF(DD$3=$K15,IF($C15="L",1,IF($C15="1/2L",0.5,0)),0)</f>
        <v>0</v>
      </c>
      <c r="DF15" s="211">
        <f>IF(AND(L15&lt;DF$3,$C15="W"),1+DF14,DF14)</f>
        <v>1</v>
      </c>
      <c r="DG15" s="198">
        <f>IF(DF15&gt;DF14,L15+DG14,DG14)</f>
        <v>1.44</v>
      </c>
      <c r="DH15" s="209">
        <f>IF(AND(L15&gt;DH$3,$C15="W"),1+DH14,0+DH14)</f>
        <v>0</v>
      </c>
      <c r="DI15" s="198">
        <f>IF(DH15&gt;DH14,L15+DI14,DI14)</f>
        <v>0</v>
      </c>
      <c r="DJ15" s="209">
        <f>IF($D13="","",$D13)</f>
        <v>16</v>
      </c>
      <c r="DK15" s="232"/>
    </row>
    <row r="16" ht="14.55" customHeight="1">
      <c r="A16" s="246">
        <f>$A13+1</f>
        <v>5</v>
      </c>
      <c r="B16" t="s" s="247">
        <v>50</v>
      </c>
      <c r="C16" t="s" s="248">
        <v>51</v>
      </c>
      <c r="D16" s="249">
        <f>IF(G16="","",$D13)</f>
        <v>16</v>
      </c>
      <c r="E16" t="s" s="250">
        <v>63</v>
      </c>
      <c r="F16" t="s" s="251">
        <f>IF(G16="","",IF(OR(AND($C16&lt;&gt;" ",$C17=" "),AND($C17&lt;&gt;" ",$C16=" "),AND(L18&gt;0,OR(AND($C18&lt;&gt;" ",OR($C16=" ",$C17=" ")),AND($C18=" ",OR($C16&lt;&gt;" ",$C17&lt;&gt;" "))))),IF(SUM(F$4:F15)=0,1,LARGE(F$4:F15,1)+1),IF(MONTH(G16)=MONTH(TODAY()),IF(AND(DAY(G16)&lt;DAY(TODAY()),$B16=" "),IF(SUM(F$4:F15)=0,1,LARGE(F$4:F15,1)+1),IF($B16=" ",IF(AND(DAY(G16)=DAY(TODAY()),HOUR(G16)&lt;=HOUR(NOW())+1),IF(AND(HOUR(G16)+2&lt;=HOUR(NOW()),DAY(G16)&lt;=DAY(TODAY()),MINUTE(G16)&lt;=MINUTE(NOW())),IF(SUM(F$4:F15)=0,1,LARGE(F$4:F15,1)+1),IF(OR(MINUTE(G16)&lt;=MINUTE(NOW()),HOUR(G16)&lt;=HOUR(NOW())),"!!!","")),""),"")),"")))</f>
      </c>
      <c r="G16" s="252">
        <v>44942.625</v>
      </c>
      <c r="H16" t="s" s="253">
        <v>70</v>
      </c>
      <c r="I16" s="292">
        <v>1</v>
      </c>
      <c r="J16" s="293"/>
      <c r="K16" t="s" s="256">
        <v>41</v>
      </c>
      <c r="L16" s="257">
        <v>2.05</v>
      </c>
      <c r="M16" s="258">
        <v>10.71</v>
      </c>
      <c r="N16" s="259">
        <v>0</v>
      </c>
      <c r="O16" s="260">
        <f>IF(OR(AE16="",AE17=""),"",ROUND(IF(L18&gt;0,IF(M16&gt;0,M16,IF(M17&gt;0,ROUND((M17*AE16)/AE17,IF(N16=0,2,IF(N16=0.1,1,0))),ROUND((M18*AE16)/AE18,IF(N16=0,2,IF(N16=0.1,1,0))))),IF(M16&gt;0,M16,ROUND((M17*AE16)/AE17,IF(N16=0,2,IF(N16=0.1,1,0))))),2))</f>
        <v>10.71</v>
      </c>
      <c r="P16" s="261">
        <f>IF(OR(L16="",O16=""),"",IF($C16="1/2W",O16/2+O16/2*L16,IF($C16="1/2L",O16/2,IF(I16="Lay",(O16*(L16/(L16-1))-O16)*(1-_xlfn.XLOOKUP(K16,'Janeiro 2023 - Valor Real'!A3:A15,'Janeiro 2023 - Valor Real'!C3:C15,0))+O16,(O16*L16-O16)*(1-_xlfn.XLOOKUP(K16,'Janeiro 2023 - Valor Real'!A3:A15,'Janeiro 2023 - Valor Real'!C3:C15,0))+O16))))</f>
        <v>21.9555</v>
      </c>
      <c r="Q16" s="262">
        <v>2</v>
      </c>
      <c r="R16" s="263">
        <v>0</v>
      </c>
      <c r="S16" s="264">
        <f>IF($B16="Anulado",0,ROUND(IF(OR($B16="LOSS",$B16="OK"),IF(OR($C16="W",$C16="1/2W",$C16="1/2L"),P16-O16,IF($C16="L",-O16,0))+IF(OR($C17="W",$C17="1/2W",$C17="1/2L"),P17-O17,IF($C17="L",-O17,0))+IF(OR($C18="W",$C18="1/2W",$C18="1/2L"),P18-O18,IF($C18="L",-O18,0)),IF(AND(OR($C16="W",$C16="1/2W",$C16="1/2L"),C17="W"),P16+P17-SUM(O16:O18)+_xlfn.XLOOKUP("X",C16:C18,O16:O18,0),IF(AND(C16=TRUE,C18="W"),P16+P18-SUM(O16:O18),IF(AND(C17="W",C18="W"),P17+P18-SUM(O16:O18)+_xlfn.XLOOKUP("X",C16:C18,O16:O18,0),IF(L18&gt;0,IF(OR($C16="W",$C16="1/2W",$C16="1/2L"),P16-SUM(O16:O18)+_xlfn.XLOOKUP("X",C16:C18,O16:O18,0),IF(OR($C16="W",$C16="1/2W",$C16="1/2L"),P17-SUM(O16:O18)+_xlfn.XLOOKUP("X",C16:C18,O16:O18,0),IF(OR($C16="W",$C16="1/2W",$C16="1/2L"),P18-SUM(O16:O18)+_xlfn.XLOOKUP("X",C16:C18,O16:O18,0),IF(SUM(P16:P18)/3-SUM(O16:O18)+_xlfn.XLOOKUP("X",C16:C18,O16:O18,0)&gt;0,SUM(P16:P18)/3-SUM(O16:O18)+_xlfn.XLOOKUP("X",C16:C18,O16:O18,0),LARGE(P16:P18,1)-SUM(O16:O18))))),IF(OR($C16="W",$C16="1/2W",$C16="1/2L"),P16-SUM(O16:O17)+_xlfn.XLOOKUP("X",C16:C18,O16:O18,0),IF(OR($C16="W",$C16="1/2W",$C16="1/2L"),P17-SUM(O16:O17)+_xlfn.XLOOKUP("X",C16:C18,O16:O18,0),SUM(P16:P17)/2-SUM(O16:O17)+_xlfn.XLOOKUP("X",C16:C18,O16:O18,0)))))))),2))</f>
        <v>0.8</v>
      </c>
      <c r="T16" s="265">
        <f>IF(S16=0,0,S16/SUM(O16:O18))</f>
        <v>0.0377893245158243</v>
      </c>
      <c r="U16" s="266">
        <f>IF($D16=$D13,IF(OR($B16="LOSS",$B16="OK",$B16="Anulada"),S16,0)+U13,IF(OR($B16="LOSS",$B16="OK",$B16="Anulada"),S16,0))</f>
        <v>8.42</v>
      </c>
      <c r="V16" s="266">
        <f>IF($D16="",0,IF($D16=$D13,IF($B16=" ",IF(I18="",IF(OR(AND(I16="DNB1",I17="DNB2"),AND(OR(I16="DNB1",I16="DNB2"),J17=0),AND(OR(I17="DNB1",I17="DNB2"),J16=0),AND(I16="DNB2",I17="DNB1"),AND(IF(J16=0,(J16+1)/ROUND(J16+1,0),J16/ROUND(J16,0))=1,IF(J17=0,(J17+1)/ROUND(IF(J17="",0,J17)+1,0),IF(J17="",0,J17)/ROUND(IF(J17="",1,J17),0))=1,OR(J16&lt;&gt;""),J17&lt;&gt;"")),0,IF(S16&lt;0,IF(I18="",SMALL(P16:P17,1)-SUM(O16:O17),0),SMALL(P16:P17,1)-SUM(O16:O17))),IF(S16&lt;0,IF(I18="",SMALL(P16:P18,1)-SUM(O16:O18),0),LARGE(P16:P18,1)-SUM(O16:O18))),S16)+V13,IF(I18="",IF(OR(AND(I16="DNB1",I17="DNB2"),AND(OR(I16="DNB1",I16="DNB2"),J17=0),AND(OR(I17="DNB1",I17="DNB2"),J16=0),AND(I16="DNB2",I17="DNB1"),AND(IF(J16=0,(J16+1)/ROUND(J16+1,0),J16/ROUND(J16,0))=1,IF(J17=0,(IF(J17="",0,J17)+1)/ROUND(IF(J17="",0,J17)+1,0),IF(J17="",0,J17)/ROUND(IF(J17="",0,J17)+1,0))=1,OR(J16&lt;&gt;""),J17&lt;&gt;"")),0,IF(S16&lt;0,IF(I18="",SMALL(P16:P17,1)-SUM(O16:O17),0),SMALL(P16:P18,1)-SUM(O16:O18))),IF(S16&lt;0,IF(I18="",SMALL(P16:P18,1)-SUM(O16:O18),0),LARGE(P16:P18,1)-SUM(O16:O18)))))</f>
        <v>8.42</v>
      </c>
      <c r="W16" s="266">
        <f>IF($D16=$D13,IF(S16&lt;0,IF(I18="",S16,0),S16)+W13,S16)</f>
        <v>8.42</v>
      </c>
      <c r="X16" t="s" s="267">
        <f>IF(OR(SUM(R16:R18)=0,V16=W16),ROUND(IF(W16=0,0,W16/Y16)*100,2)&amp;"%",ROUND(IF(V16=0,0,V16/Y16)*100,2)&amp;"% a "&amp;ROUND(IF(W16=0,0,W16/Y16)*100,2)&amp;"%")</f>
        <v>71</v>
      </c>
      <c r="Y16" s="268">
        <f>IF($D16=$D13,Y13+SUM(O16:O18),SUM(O16:O18))</f>
        <v>118.11</v>
      </c>
      <c r="Z16" s="266">
        <f>IF($B16=" ",SUM(O16:O18),0)+Z13</f>
        <v>0</v>
      </c>
      <c r="AA16" s="266">
        <f>IF(G16="","",IF($B16="Anulado",LARGE(P16:P18,1)-SUM(O16:O18)+AA13,AA13))</f>
        <v>0</v>
      </c>
      <c r="AB16" s="266">
        <f>IF($D16="","",AB13+S16)</f>
        <v>8.42</v>
      </c>
      <c r="AC16" s="269">
        <f>IF($D16="","",IF($B16=" ",IF(DAY(G16)=DAY(TODAY()),1+AC13,0+AC13),0+AC13))</f>
        <v>0</v>
      </c>
      <c r="AD16" s="270">
        <f>(1-_xlfn.XLOOKUP(K14,'Janeiro 2023 - Valor Real'!A3:A15,'Janeiro 2023 - Valor Real'!C3:C15,0))+1</f>
        <v>2</v>
      </c>
      <c r="AE16" s="271">
        <f>IF(L16="","",IF(L18&gt;0,(SUM(((L16-1)*(1-_xlfn.XLOOKUP(K16,'Janeiro 2023 - Valor Real'!A3:A15,'Janeiro 2023 - Valor Real'!C3:C15,0))+1),((L17-1)*(1-_xlfn.XLOOKUP(K17,'Janeiro 2023 - Valor Real'!A3:A15,'Janeiro 2023 - Valor Real'!C3:C15,0))+1),((L18-1)*(1-_xlfn.XLOOKUP(K18,'Janeiro 2023 - Valor Real'!A3:A15,'Janeiro 2023 - Valor Real'!C3:C15,0))+1))/((L16-1)*(1-_xlfn.XLOOKUP(K16,'Janeiro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Real'!C3:C15,0))+1))/((L16-1)*(1-_xlfn.XLOOKUP(K16,'Janeiro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Real'!C3:C15,0))+1))/((L17-1)*(1-_xlfn.XLOOKUP(K17,'Janeiro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Real'!C3:C15,0))+1))/((L18-1)*(1-_xlfn.XLOOKUP(K18,'Janeiro 2023 - Valor Real'!A3:A15,'Janeiro 2023 - Valor Real'!C3:C15,0))+1)),IF(I16="Lay",IF(I17="Lay",((L17/(L17-1)-1)*(1-_xlfn.XLOOKUP(K17,'Janeiro 2023 - Valor Real'!A3:A15,'Janeiro 2023 - Valor Real'!C3:C15,0))+1)/(((L17/(L17-1)-1)*(1-_xlfn.XLOOKUP(K17,'Janeiro 2023 - Valor Real'!A3:A15,'Janeiro 2023 - Valor Real'!C3:C15,0))+1)+((L16/(L16-1)-1)*(1-_xlfn.XLOOKUP(K16,'Janeiro 2023 - Valor Real'!A3:A15,'Janeiro 2023 - Valor Real'!C3:C15,0))+1)),((L17-1)*(1-_xlfn.XLOOKUP(K17,'Janeiro 2023 - Valor Real'!A3:A15,'Janeiro 2023 - Valor Real'!C3:C15,0))+1)/(((L17-1)*(1-_xlfn.XLOOKUP(K17,'Janeiro 2023 - Valor Real'!A3:A15,'Janeiro 2023 - Valor Real'!C3:C15,0))+1)+((L16/(L16-1)-1)*(1-_xlfn.XLOOKUP(K16,'Janeiro 2023 - Valor Real'!A3:A15,'Janeiro 2023 - Valor Real'!C3:C15,0))+1))),IF(I17="Lay",(((L17/(L17-1)-1)*(1-_xlfn.XLOOKUP(K17,'Janeiro 2023 - Valor Real'!A3:A15,'Janeiro 2023 - Valor Real'!C3:C15,0))+1))/(((L16-1)*(1-_xlfn.XLOOKUP(K16,'Janeiro 2023 - Valor Real'!A3:A15,'Janeiro 2023 - Valor Real'!C3:C15,0))+1)+((L17/(L17-1)-1)*(1-_xlfn.XLOOKUP(K17,'Janeiro 2023 - Valor Real'!A3:A15,'Janeiro 2023 - Valor Real'!C3:C15,0))+1)),((L17-1)*(1-_xlfn.XLOOKUP(K17,'Janeiro 2023 - Valor Real'!A3:A15,'Janeiro 2023 - Valor Real'!C3:C15,0))+1)/(((L17-1)*(1-_xlfn.XLOOKUP(K17,'Janeiro 2023 - Valor Real'!A3:A15,'Janeiro 2023 - Valor Real'!C3:C15,0))+1)+((L16-1)*(1-_xlfn.XLOOKUP(K16,'Janeiro 2023 - Valor Real'!A3:A15,'Janeiro 2023 - Valor Real'!C3:C15,0))+1))))))</f>
        <v>0.506024096385542</v>
      </c>
      <c r="AF16" s="132">
        <f>IF($K16=AF$3,ROUND(IF(OR($C16="W",$C16="1/2W",$C16="1/2L"),$P16-$O16,IF($C16="X",0,-$O16)),2),0)</f>
        <v>0</v>
      </c>
      <c r="AG16" s="133">
        <f>IF($K16=AG$3,ROUND(IF(OR($C16="W",$C16="1/2W",$C16="1/2L"),$P16-$O16,IF($C16="X",0,-$O16)),2),0)</f>
        <v>0</v>
      </c>
      <c r="AH16" s="133">
        <f>IF($K16=AH$3,ROUND(IF(OR($C16="W",$C16="1/2W",$C16="1/2L"),$P16-$O16,IF($C16="X",0,-$O16)),2),0)</f>
        <v>0</v>
      </c>
      <c r="AI16" s="133">
        <f>IF($K16=AI$3,ROUND(IF(OR($C16="W",$C16="1/2W",$C16="1/2L"),$P16-$O16,IF($C16="X",0,-$O16)),2),0)</f>
        <v>0</v>
      </c>
      <c r="AJ16" s="133">
        <f>IF($K16=AJ$3,ROUND(IF(OR($C16="W",$C16="1/2W",$C16="1/2L"),$P16-$O16,IF($C16="X",0,-$O16)),2),0)</f>
        <v>-10.71</v>
      </c>
      <c r="AK16" s="133">
        <f>IF($K16=AK$3,ROUND(IF(OR($C16="W",$C16="1/2W",$C16="1/2L"),$P16-$O16,IF($C16="X",0,-$O16)),2),0)</f>
        <v>0</v>
      </c>
      <c r="AL16" s="133">
        <f>IF($K16=AL$3,ROUND(IF(OR($C16="W",$C16="1/2W",$C16="1/2L"),$P16-$O16,IF($C16="X",0,-$O16)),2),0)</f>
        <v>0</v>
      </c>
      <c r="AM16" s="133">
        <f>IF($K16=AM$3,ROUND(IF(OR($C16="W",$C16="1/2W",$C16="1/2L"),$P16-$O16,IF($C16="X",0,-$O16)),2),0)</f>
        <v>0</v>
      </c>
      <c r="AN16" s="133">
        <f>IF($K16=AN$3,ROUND(IF(OR($C16="W",$C16="1/2W",$C16="1/2L"),$P16-$O16,IF($C16="X",0,-$O16)),2),0)</f>
        <v>0</v>
      </c>
      <c r="AO16" s="133">
        <f>IF($K16=AO$3,ROUND(IF(OR($C16="W",$C16="1/2W",$C16="1/2L"),$P16-$O16,IF($C16="X",0,-$O16)),2),0)</f>
        <v>0</v>
      </c>
      <c r="AP16" s="133">
        <f>IF($K16=AP$3,ROUND(IF(OR($C16="W",$C16="1/2W",$C16="1/2L"),$P16-$O16,IF($C16="X",0,-$O16)),2),0)</f>
        <v>0</v>
      </c>
      <c r="AQ16" s="133">
        <f>IF($K16=AQ$3,ROUND(IF(OR($C16="W",$C16="1/2W",$C16="1/2L"),$P16-$O16,IF($C16="X",0,-$O16)),2),0)</f>
        <v>0</v>
      </c>
      <c r="AR16" s="134">
        <f>IF($K16=AR$3,ROUND(IF(OR($C16="W",$C16="1/2W",$C16="1/2L"),$P16-$O16,IF($C16="X",0,-$O16)),2),0)</f>
        <v>0</v>
      </c>
      <c r="AS16" s="132">
        <f>IF(AND($B16=" ",$K16=AS$3),$O16,0)</f>
        <v>0</v>
      </c>
      <c r="AT16" s="133">
        <f>IF(AND($B16=" ",$K16=AT$3),$O16,0)</f>
        <v>0</v>
      </c>
      <c r="AU16" s="133">
        <f>IF(AND($B16=" ",$K16=AU$3),$O16,0)</f>
        <v>0</v>
      </c>
      <c r="AV16" s="133">
        <f>IF(AND($B16=" ",$K16=AV$3),$O16,0)</f>
        <v>0</v>
      </c>
      <c r="AW16" s="133">
        <f>IF(AND($B16=" ",$K16=AW$3),$O16,0)</f>
        <v>0</v>
      </c>
      <c r="AX16" s="133">
        <f>IF(AND($B16=" ",$K16=AX$3),$O16,0)</f>
        <v>0</v>
      </c>
      <c r="AY16" s="135">
        <f>IF(AND($B16=" ",$K16=AY$3),$O16,0)</f>
        <v>0</v>
      </c>
      <c r="AZ16" s="136">
        <f>IF(AND($B16=" ",$K16=AZ$3),$O16,0)</f>
        <v>0</v>
      </c>
      <c r="BA16" s="136">
        <f>IF(AND($B16=" ",$K16=BA$3),$O16,0)</f>
        <v>0</v>
      </c>
      <c r="BB16" s="136">
        <f>IF(AND($B16=" ",$K16=BB$3),$O16,0)</f>
        <v>0</v>
      </c>
      <c r="BC16" s="137">
        <f>IF(AND($B16=" ",$K16=BC$3),$O16,0)</f>
        <v>0</v>
      </c>
      <c r="BD16" s="133">
        <f>IF(AND($B16=" ",$K16=BD$3),$O16,0)</f>
        <v>0</v>
      </c>
      <c r="BE16" s="134">
        <f>IF(AND($B16=" ",$K16=BE$3),$O16,0)</f>
        <v>0</v>
      </c>
      <c r="BF16" s="132">
        <f>IF($K16=BF$3,IF($C16="X",0,$O16),0)</f>
        <v>0</v>
      </c>
      <c r="BG16" s="133">
        <f>IF($K16=BG$3,IF($C16="X",0,$O16),0)</f>
        <v>0</v>
      </c>
      <c r="BH16" s="133">
        <f>IF($K16=BH$3,IF($C16="X",0,$O16),0)</f>
        <v>0</v>
      </c>
      <c r="BI16" s="133">
        <f>IF($K16=BI$3,IF($C16="X",0,$O16),0)</f>
        <v>0</v>
      </c>
      <c r="BJ16" s="133">
        <f>IF($K16=BJ$3,IF($C16="X",0,$O16),0)</f>
        <v>10.71</v>
      </c>
      <c r="BK16" s="133">
        <f>IF($K16=BK$3,IF($C16="X",0,$O16),0)</f>
        <v>0</v>
      </c>
      <c r="BL16" s="133">
        <f>IF($K16=BL$3,IF($C16="X",0,$O16),0)</f>
        <v>0</v>
      </c>
      <c r="BM16" s="135">
        <f>IF($K16=BM$3,IF($C16="X",0,$O16),0)</f>
        <v>0</v>
      </c>
      <c r="BN16" s="136">
        <f>IF($K16=BN$3,IF($C16="X",0,$O16),0)</f>
        <v>0</v>
      </c>
      <c r="BO16" s="136">
        <f>IF($K16=BO$3,IF($C16="X",0,$O16),0)</f>
        <v>0</v>
      </c>
      <c r="BP16" s="136">
        <f>IF($K16=BP$3,IF($C16="X",0,$O16),0)</f>
        <v>0</v>
      </c>
      <c r="BQ16" s="137">
        <f>IF($K16=BQ$3,IF($C16="X",0,$O16),0)</f>
        <v>0</v>
      </c>
      <c r="BR16" s="134">
        <f>IF($K16=BR$3,IF($C16="X",0,$O16),0)</f>
        <v>0</v>
      </c>
      <c r="BS16" s="170">
        <f>IF($B16="LOSS",IF(AND($K16=BS$3,$C16="L"),-$O16,0)+IF(AND($K17=BS$3,$C17="L"),-$O17,0)+IF(AND($K18=BS$3,$C18="L"),-$O18,0),IF(OR(AND($K16=BS$3,OR($C16="W",$C16="1/2W")),AND($K17=BS$3,OR($C17="W",$C17="1/2W")),AND($K18=BS$3,OR($C18="W",$C18="1/2W"))),$S16,0))</f>
        <v>0</v>
      </c>
      <c r="BT16" s="272">
        <f>IF($B16="LOSS",IF(AND($K16=BT$3,$C16="L"),-$O16,0)+IF(AND($K17=BT$3,$C17="L"),-$O17,0)+IF(AND($K17=BT$3,$C18="L"),-$O18,0),IF(OR(AND($K17=BT$3,OR($C16="W",$C16="1/2W")),AND($K17=BT$3,OR($C17="W",$C17="1/2W")),AND($K17=BT$3,OR($C18="W",$C18="1/2W"))),$S16,0))</f>
        <v>0.8</v>
      </c>
      <c r="BU16" s="136">
        <f>IF($B16="LOSS",IF(AND($K16=BU$3,$C16="L"),-$O16,0)+IF(AND($K17=BU$3,$C17="L"),-$O17,0)+IF(AND($K17=BU$3,$C18="L"),-$O18,0),IF(OR(AND($K17=BU$3,OR($C16="W",$C16="1/2W")),AND($K17=BU$3,OR($C17="W",$C17="1/2W")),AND($K17=BU$3,OR($C18="W",$C18="1/2W"))),$S16,0))</f>
        <v>0</v>
      </c>
      <c r="BV16" s="136">
        <f>IF($B16="LOSS",IF(AND($K16=BV$3,$C16="L"),-$O16,0)+IF(AND($K17=BV$3,$C17="L"),-$O17,0)+IF(AND($K18=BV$3,$C18="L"),-$O18,0),IF(OR(AND($K16=BV$3,OR($C16="W",$C16="1/2W")),AND($K17=BV$3,OR($C17="W",$C17="1/2W")),AND($K18=BV$3,OR($C18="W",$C18="1/2W"))),$S16,0))</f>
        <v>0</v>
      </c>
      <c r="BW16" s="136">
        <f>IF($B16="LOSS",IF(AND($K16=BW$3,$C16="L"),-$O16,0)+IF(AND($K17=BW$3,$C17="L"),-$O17,0)+IF(AND($K18=BW$3,$C18="L"),-$O18,0),IF(OR(AND($K16=BW$3,OR($C16="W",$C16="1/2W")),AND($K17=BW$3,OR($C17="W",$C17="1/2W")),AND($K18=BW$3,OR($C18="W",$C18="1/2W"))),$S16,0))</f>
        <v>0</v>
      </c>
      <c r="BX16" s="136">
        <f>IF($B16="LOSS",IF(AND($K16=BX$3,$C16="L"),-$O16,0)+IF(AND($K17=BX$3,$C17="L"),-$O17,0)+IF(AND($K18=BX$3,$C18="L"),-$O18,0),IF(OR(AND($K16=BX$3,OR($C16="W",$C16="1/2W")),AND($K17=BX$3,OR($C17="W",$C17="1/2W")),AND($K18=BX$3,OR($C18="W",$C18="1/2W"))),$S16,0))</f>
        <v>0</v>
      </c>
      <c r="BY16" s="136">
        <f>IF($B16="LOSS",IF(AND($K16=BY$3,$C16="L"),-$O16,0)+IF(AND($K17=BY$3,$C17="L"),-$O17,0)+IF(AND($K18=BY$3,$C18="L"),-$O18,0),IF(OR(AND($K16=BY$3,OR($C16="W",$C16="1/2W")),AND($K17=BY$3,OR($C17="W",$C17="1/2W")),AND($K18=BY$3,OR($C18="W",$C18="1/2W"))),$S16,0))</f>
        <v>0</v>
      </c>
      <c r="BZ16" s="136">
        <f>IF($B16="LOSS",IF(AND($K16=BZ$3,$C16="L"),-$O16,0)+IF(AND($K17=BZ$3,$C17="L"),-$O17,0)+IF(AND($K18=BZ$3,$C18="L"),-$O18,0),IF(OR(AND($K16=BZ$3,OR($C16="W",$C16="1/2W")),AND($K17=BZ$3,OR($C17="W",$C17="1/2W")),AND($K18=BZ$3,OR($C18="W",$C18="1/2W"))),$S16,0))</f>
        <v>0</v>
      </c>
      <c r="CA16" s="136">
        <f>IF($B16="LOSS",IF(AND($K16=CA$3,$C16="L"),-$O16,0)+IF(AND($K17=CA$3,$C17="L"),-$O17,0)+IF(AND($K18=CA$3,$C18="L"),-$O18,0),IF(OR(AND($K16=CA$3,OR($C16="W",$C16="1/2W")),AND($K17=CA$3,OR($C17="W",$C17="1/2W")),AND($K18=CA$3,OR($C18="W",$C18="1/2W"))),$S16,0))</f>
        <v>0</v>
      </c>
      <c r="CB16" s="136">
        <f>IF($B16="LOSS",IF(AND($K16=CB$3,$C16="L"),-$O16,0)+IF(AND($K17=CB$3,$C17="L"),-$O17,0)+IF(AND($K18=CB$3,$C18="L"),-$O18,0),IF(OR(AND($K16=CB$3,OR($C16="W",$C16="1/2W")),AND($K17=CB$3,OR($C17="W",$C17="1/2W")),AND($K18=CB$3,OR($C18="W",$C18="1/2W"))),$S16,0))</f>
        <v>0</v>
      </c>
      <c r="CC16" s="136">
        <f>IF($B16="LOSS",IF(AND($K16=CC$3,$C16="L"),-$O16,0)+IF(AND($K17=CC$3,$C17="L"),-$O17,0)+IF(AND($K18=CC$3,$C18="L"),-$O18,0),IF(OR(AND($K16=CC$3,OR($C16="W",$C16="1/2W")),AND($K17=CC$3,OR($C17="W",$C17="1/2W")),AND($K18=CC$3,OR($C18="W",$C18="1/2W"))),$S16,0))</f>
        <v>0</v>
      </c>
      <c r="CD16" s="137">
        <f>IF($B16="LOSS",IF(AND($K16=CD$3,$C16="L"),-$O16,0)+IF(AND($K17=CD$3,$C17="L"),-$O17,0)+IF(AND($K18=CD$3,$C18="L"),-$O18,0),IF(OR(AND($K16=CD$3,OR($C16="W",$C16="1/2W")),AND($K17=CD$3,OR($C17="W",$C17="1/2W")),AND($K18=CD$3,OR($C18="W",$C18="1/2W"))),$S16,0))</f>
        <v>0</v>
      </c>
      <c r="CE16" s="134">
        <f>IF($B16="LOSS",IF(AND($K16=CE$3,$C16="L"),-$O16,0)+IF(AND($K17=CE$3,$C17="L"),-$O17,0)+IF(AND($K18=CE$3,$C18="L"),-$O18,0),IF(OR(AND($K16=CE$3,OR($C16="W",$C16="1/2W")),AND($K17=CE$3,OR($C17="W",$C17="1/2W")),AND($K18=CE$3,OR($C18="W",$C18="1/2W"))),$S16,0))</f>
        <v>0</v>
      </c>
      <c r="CF16" s="273">
        <f>IF(CF$3=$K16,IF($C16="W",1,IF($C16="1/2W",0.5,0)),0)</f>
        <v>0</v>
      </c>
      <c r="CG16" s="274">
        <f>IF(CF$3=$K16,IF($C16="L",1,IF($C16="1/2L",0.5,0)),0)</f>
        <v>0</v>
      </c>
      <c r="CH16" s="274">
        <f>IF(CH$3=$K16,IF($C16="W",1,IF($C16="1/2W",0.5,0)),0)</f>
        <v>0</v>
      </c>
      <c r="CI16" s="274">
        <f>IF(CH$3=$K16,IF($C16="L",1,IF($C16="1/2L",0.5,0)),0)</f>
        <v>0</v>
      </c>
      <c r="CJ16" s="274">
        <f>IF(CJ$3=$K16,IF($C16="W",1,IF($C16="1/2W",0.5,0)),0)</f>
        <v>0</v>
      </c>
      <c r="CK16" s="274">
        <f>IF(CJ$3=$K16,IF($C16="L",1,IF($C16="1/2L",0.5,0)),0)</f>
        <v>0</v>
      </c>
      <c r="CL16" s="274">
        <f>IF(CL$3=$K16,IF($C16="W",1,IF($C16="1/2W",0.5,0)),0)</f>
        <v>0</v>
      </c>
      <c r="CM16" s="274">
        <f>IF(CL$3=$K16,IF($C16="L",1,IF($C16="1/2L",0.5,0)),0)</f>
        <v>0</v>
      </c>
      <c r="CN16" s="274">
        <f>IF(CN$3=$K16,IF($C16="W",1,IF($C16="1/2W",0.5,0)),0)</f>
        <v>0</v>
      </c>
      <c r="CO16" s="274">
        <f>IF(CN$3=$K16,IF($C16="L",1,IF($C16="1/2L",0.5,0)),0)</f>
        <v>1</v>
      </c>
      <c r="CP16" s="274">
        <f>IF(CP$3=$K16,IF($C16="W",1,IF($C16="1/2W",0.5,0)),0)</f>
        <v>0</v>
      </c>
      <c r="CQ16" s="274">
        <f>IF(CP$3=$K16,IF($C16="L",1,IF($C16="1/2L",0.5,0)),0)</f>
        <v>0</v>
      </c>
      <c r="CR16" s="274">
        <f>IF(CR$3=$K16,IF($C16="W",1,IF($C16="1/2W",0.5,0)),0)</f>
        <v>0</v>
      </c>
      <c r="CS16" s="274">
        <f>IF(CR$3=$K16,IF($C16="L",1,IF($C16="1/2L",0.5,0)),0)</f>
        <v>0</v>
      </c>
      <c r="CT16" s="145">
        <f>IF(CT$3=$K16,IF($C16="W",1,IF($C16="1/2W",0.5,0)),0)</f>
        <v>0</v>
      </c>
      <c r="CU16" s="146">
        <f>IF(CT$3=$K16,IF($C16="L",1,IF($C16="1/2L",0.5,0)),0)</f>
        <v>0</v>
      </c>
      <c r="CV16" s="146">
        <f>IF(CV$3=$K16,IF($C16="W",1,IF($C16="1/2W",0.5,0)),0)</f>
        <v>0</v>
      </c>
      <c r="CW16" s="146">
        <f>IF(CV$3=$K16,IF($C16="L",1,IF($C16="1/2L",0.5,0)),0)</f>
        <v>0</v>
      </c>
      <c r="CX16" s="146">
        <f>IF(CX$3=$K16,IF($C16="W",1,IF($C16="1/2W",0.5,0)),0)</f>
        <v>0</v>
      </c>
      <c r="CY16" s="146">
        <f>IF(CX$3=$K16,IF($C16="L",1,IF($C16="1/2L",0.5,0)),0)</f>
        <v>0</v>
      </c>
      <c r="CZ16" s="146">
        <f>IF(CZ$3=$K16,IF($C16="W",1,IF($C16="1/2W",0.5,0)),0)</f>
        <v>0</v>
      </c>
      <c r="DA16" s="146">
        <f>IF(CZ$3=$K16,IF($C16="L",1,IF($C16="1/2L",0.5,0)),0)</f>
        <v>0</v>
      </c>
      <c r="DB16" s="146">
        <f>IF(DB$3=$K16,IF($C16="W",1,IF($C16="1/2W",0.5,0)),0)</f>
        <v>0</v>
      </c>
      <c r="DC16" s="146">
        <f>IF(DB$3=$K16,IF($C16="L",1,IF($C16="1/2L",0.5,0)),0)</f>
        <v>0</v>
      </c>
      <c r="DD16" s="146">
        <f>IF(DD$3=$K16,IF($C16="W",1,IF($C16="1/2W",0.5,0)),0)</f>
        <v>0</v>
      </c>
      <c r="DE16" s="147">
        <f>IF(DD$3=$K16,IF($C16="L",1,IF($C16="1/2L",0.5,0)),0)</f>
        <v>0</v>
      </c>
      <c r="DF16" s="143">
        <f>IF(AND(L16&lt;DF$3,$C16="W"),1+DF15,DF15)</f>
        <v>1</v>
      </c>
      <c r="DG16" s="133">
        <f>IF(DF16&gt;DF15,L16+DG15,DG15)</f>
        <v>1.44</v>
      </c>
      <c r="DH16" s="146">
        <f>IF(AND(L16&gt;DH$3,$C16="W"),1+DH15,0+DH15)</f>
        <v>0</v>
      </c>
      <c r="DI16" s="133">
        <f>IF(DH16&gt;DH15,L16+DI15,DI15)</f>
        <v>0</v>
      </c>
      <c r="DJ16" s="146">
        <f>IF($D16="","",$D16)</f>
        <v>16</v>
      </c>
      <c r="DK16" s="146">
        <f>IF(AND($B16=" ",$D16&lt;&gt;""),1,0)</f>
        <v>0</v>
      </c>
    </row>
    <row r="17" ht="14.55" customHeight="1">
      <c r="A17" s="107"/>
      <c r="B17" s="108"/>
      <c r="C17" t="s" s="109">
        <v>56</v>
      </c>
      <c r="D17" s="110"/>
      <c r="E17" s="111"/>
      <c r="F17" s="113"/>
      <c r="G17" s="252"/>
      <c r="H17" s="114"/>
      <c r="I17" s="294">
        <v>2</v>
      </c>
      <c r="J17" t="s" s="295">
        <f>IF(OR(I16="TO",I16="TU",I16="TO1",I16="TU1",I16="TO2",I16="TU2"),J16,IF(OR(I16="AH1",I16="AH2"),IF(OR(I17="AH1",I17="AH2"),-J16,IF(OR(I17="EH1",I17="EH2"),-J16+0.5,"")),IF(OR(I16="EH1",I16="EH2"),IF(OR(I17="AH1",I17="AH2"),-J16+0.5,IF(OR(I17="EH1",I17="EH2"),-J16+1,"")),IF(AND(OR(I16="DNB1",I16="DNB2"),OR(I17="AH1",I17="AH2")),0,IF(AND(I16="Not ScoreBoth",OR(I17="TO1",I17="TO2")),0.5,"")))))</f>
      </c>
      <c r="K17" t="s" s="117">
        <v>38</v>
      </c>
      <c r="L17" s="277">
        <v>2.1</v>
      </c>
      <c r="M17" s="278"/>
      <c r="N17" s="120"/>
      <c r="O17" s="121">
        <f>IF(OR(AE16="",AE17=""),"",ROUND(IF(L18&gt;0,IF(M17&gt;0,M17,IF(M16&gt;0,IF(N16=TRUE,ROUND((M16*AE17)/AE16,0),(M16*AE17)/AE16),IF(M17&gt;0,ROUND(M17,IF(N16=0,2,IF(N16=0.1,1,0))),IF(M18&gt;0,ROUND(O18*AE17/AE18,IF(N16=0,2,IF(N16=0.1,1,0))),0)))),IF(M17&gt;0,M17,ROUND((M16*AE17)/AE16,IF(N16=0,2,IF(N16=0.1,1,0))))),2))</f>
        <v>10.46</v>
      </c>
      <c r="P17" s="122">
        <f>IF(OR(L17="",O17=""),"",IF($C17="1/2W",O17/2+O17/2*L17,IF($C17="1/2L",O17/2,IF(I17="Lay",((O17*(L17/(L17-1)))-O17)*(1-_xlfn.XLOOKUP(K17,'Janeiro 2023 - Valor Real'!A3:A15,'Janeiro 2023 - Valor Real'!C3:C15,0))+O17,(O17*L17-O17)*(1-_xlfn.XLOOKUP(K17,'Janeiro 2023 - Valor Real'!A3:A15,'Janeiro 2023 - Valor Real'!C3:C15,0))+O17))))</f>
        <v>21.966</v>
      </c>
      <c r="Q17" s="279">
        <v>3</v>
      </c>
      <c r="R17" s="280">
        <v>0</v>
      </c>
      <c r="S17" s="125"/>
      <c r="T17" s="126"/>
      <c r="U17" s="126"/>
      <c r="V17" s="224"/>
      <c r="W17" s="126"/>
      <c r="X17" s="127"/>
      <c r="Y17" s="128"/>
      <c r="Z17" s="129"/>
      <c r="AA17" s="129"/>
      <c r="AB17" s="129"/>
      <c r="AC17" s="129"/>
      <c r="AD17" s="130"/>
      <c r="AE17" s="131">
        <f>IF(L17="","",IF(L18&gt;0,(SUM(((L16-1)*(1-_xlfn.XLOOKUP(K16,'Janeiro 2023 - Valor Real'!A3:A15,'Janeiro 2023 - Valor Real'!C3:C15,0))+1),((L17-1)*(1-_xlfn.XLOOKUP(K17,'Janeiro 2023 - Valor Real'!A3:A15,'Janeiro 2023 - Valor Real'!C3:C15,0))+1),((L18-1)*(1-_xlfn.XLOOKUP(K18,'Janeiro 2023 - Valor Real'!A3:A15,'Janeiro 2023 - Valor Real'!C3:C15,0))+1))/((L17-1)*(1-_xlfn.XLOOKUP(K17,'Janeiro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Real'!C3:C15,0))+1))/((L16-1)*(1-_xlfn.XLOOKUP(K16,'Janeiro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Real'!C3:C15,0))+1))/((L17-1)*(1-_xlfn.XLOOKUP(K17,'Janeiro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Real'!C3:C15,0))+1))/((L18-1)*(1-_xlfn.XLOOKUP(K18,'Janeiro 2023 - Valor Real'!A3:A15,'Janeiro 2023 - Valor Real'!C3:C15,0))+1)),IF(I17="Lay",IF(I16="Lay",((L16/(L16-1)-1)*(1-_xlfn.XLOOKUP(K16,'Janeiro 2023 - Valor Real'!A3:A15,'Janeiro 2023 - Valor Real'!C3:C15,0))+1)/(((L16/(L16-1)-1)*(1-_xlfn.XLOOKUP(K16,'Janeiro 2023 - Valor Real'!A3:A15,'Janeiro 2023 - Valor Real'!C3:C15,0))+1)+((L17/(L17-1)-1)*(1-_xlfn.XLOOKUP(K17,'Janeiro 2023 - Valor Real'!A3:A15,'Janeiro 2023 - Valor Real'!C3:C15,0))+1)),((L16-1)*(1-_xlfn.XLOOKUP(K16,'Janeiro 2023 - Valor Real'!A3:A15,'Janeiro 2023 - Valor Real'!C3:C15,0))+1)/(((L16-1)*(1-_xlfn.XLOOKUP(K16,'Janeiro 2023 - Valor Real'!A3:A15,'Janeiro 2023 - Valor Real'!C3:C15,0))+1)+((L17/(L17-1)-1)*(1-_xlfn.XLOOKUP(K17,'Janeiro 2023 - Valor Real'!A3:A15,'Janeiro 2023 - Valor Real'!C3:C15,0))+1))),IF(I16="Lay",((L16/(L16-1)-1)*(1-_xlfn.XLOOKUP(K16,'Janeiro 2023 - Valor Real'!A3:A15,'Janeiro 2023 - Valor Real'!C3:C15,0))+1)/((((L16/(L16-1)-1)*(1-_xlfn.XLOOKUP(K16,'Janeiro 2023 - Valor Real'!A3:A15,'Janeiro 2023 - Valor Real'!C3:C15,0))+1))+((L17-1)*(1-_xlfn.XLOOKUP(K17,'Janeiro 2023 - Valor Real'!A3:A15,'Janeiro 2023 - Valor Real'!C3:C15,0))+1)),((L16-1)*(1-_xlfn.XLOOKUP(K16,'Janeiro 2023 - Valor Real'!A3:A15,'Janeiro 2023 - Valor Real'!C3:C15,0))+1)/(((L16-1)*(1-_xlfn.XLOOKUP(K16,'Janeiro 2023 - Valor Real'!A3:A15,'Janeiro 2023 - Valor Real'!C3:C15,0))+1)+((L17-1)*(1-_xlfn.XLOOKUP(K17,'Janeiro 2023 - Valor Real'!A3:A15,'Janeiro 2023 - Valor Real'!C3:C15,0))+1))))))</f>
        <v>0.493975903614458</v>
      </c>
      <c r="AF17" s="132">
        <f>IF($K17=AF$3,ROUND(IF(OR($C17="W",$C17="1/2W",$C17="1/2L"),$P17-$O17,IF($C17="X",0,-$O17)),2),0)</f>
        <v>0</v>
      </c>
      <c r="AG17" s="133">
        <f>IF($K17=AG$3,ROUND(IF(OR($C17="W",$C17="1/2W",$C17="1/2L"),$P17-$O17,IF($C17="X",0,-$O17)),2),0)</f>
        <v>11.51</v>
      </c>
      <c r="AH17" s="133">
        <f>IF($K17=AH$3,ROUND(IF(OR($C17="W",$C17="1/2W",$C17="1/2L"),$P17-$O17,IF($C17="X",0,-$O17)),2),0)</f>
        <v>0</v>
      </c>
      <c r="AI17" s="133">
        <f>IF($K17=AI$3,ROUND(IF(OR($C17="W",$C17="1/2W",$C17="1/2L"),$P17-$O17,IF($C17="X",0,-$O17)),2),0)</f>
        <v>0</v>
      </c>
      <c r="AJ17" s="133">
        <f>IF($K17=AJ$3,ROUND(IF(OR($C17="W",$C17="1/2W",$C17="1/2L"),$P17-$O17,IF($C17="X",0,-$O17)),2),0)</f>
        <v>0</v>
      </c>
      <c r="AK17" s="133">
        <f>IF($K17=AK$3,ROUND(IF(OR($C17="W",$C17="1/2W",$C17="1/2L"),$P17-$O17,IF($C17="X",0,-$O17)),2),0)</f>
        <v>0</v>
      </c>
      <c r="AL17" s="133">
        <f>IF($K17=AL$3,ROUND(IF(OR($C17="W",$C17="1/2W",$C17="1/2L"),$P17-$O17,IF($C17="X",0,-$O17)),2),0)</f>
        <v>0</v>
      </c>
      <c r="AM17" s="133">
        <f>IF($K17=AM$3,ROUND(IF(OR($C17="W",$C17="1/2W",$C17="1/2L"),$P17-$O17,IF($C17="X",0,-$O17)),2),0)</f>
        <v>0</v>
      </c>
      <c r="AN17" s="133">
        <f>IF($K17=AN$3,ROUND(IF(OR($C17="W",$C17="1/2W",$C17="1/2L"),$P17-$O17,IF($C17="X",0,-$O17)),2),0)</f>
        <v>0</v>
      </c>
      <c r="AO17" s="133">
        <f>IF($K17=AO$3,ROUND(IF(OR($C17="W",$C17="1/2W",$C17="1/2L"),$P17-$O17,IF($C17="X",0,-$O17)),2),0)</f>
        <v>0</v>
      </c>
      <c r="AP17" s="133">
        <f>IF($K17=AP$3,ROUND(IF(OR($C17="W",$C17="1/2W",$C17="1/2L"),$P17-$O17,IF($C17="X",0,-$O17)),2),0)</f>
        <v>0</v>
      </c>
      <c r="AQ17" s="133">
        <f>IF($K17=AQ$3,ROUND(IF(OR($C17="W",$C17="1/2W",$C17="1/2L"),$P17-$O17,IF($C17="X",0,-$O17)),2),0)</f>
        <v>0</v>
      </c>
      <c r="AR17" s="134">
        <f>IF($K17=AR$3,ROUND(IF(OR($C17="W",$C17="1/2W",$C17="1/2L"),$P17-$O17,IF($C17="X",0,-$O17)),2),0)</f>
        <v>0</v>
      </c>
      <c r="AS17" s="132">
        <f>IF(AND($B16=" ",$K17=AS$3),$O17,0)</f>
        <v>0</v>
      </c>
      <c r="AT17" s="133">
        <f>IF(AND($B16=" ",K17=AT$3),$O17,0)</f>
        <v>0</v>
      </c>
      <c r="AU17" s="133">
        <f>IF(AND($B16=" ",$K17=AU$3),$O17,0)</f>
        <v>0</v>
      </c>
      <c r="AV17" s="133">
        <f>IF(AND($B16=" ",$K17=AV$3),$O17,0)</f>
        <v>0</v>
      </c>
      <c r="AW17" s="133">
        <f>IF(AND($B16=" ",$K17=AW$3),$O17,0)</f>
        <v>0</v>
      </c>
      <c r="AX17" s="133">
        <f>IF(AND($B16=" ",$K17=AX$3),$O17,0)</f>
        <v>0</v>
      </c>
      <c r="AY17" s="135">
        <f>IF(AND($B16=" ",$K17=AY$3),$O17,0)</f>
        <v>0</v>
      </c>
      <c r="AZ17" s="136">
        <f>IF(AND($B16=" ",$K17=AZ$3),$O17,0)</f>
        <v>0</v>
      </c>
      <c r="BA17" s="136">
        <f>IF(AND($B16=" ",$K17=BA$3),$O17,0)</f>
        <v>0</v>
      </c>
      <c r="BB17" s="136">
        <f>IF(AND($B16=" ",$K17=BB$3),$O17,0)</f>
        <v>0</v>
      </c>
      <c r="BC17" s="137">
        <f>IF(AND($B16=" ",$K17=BC$3),$O17,0)</f>
        <v>0</v>
      </c>
      <c r="BD17" s="133">
        <f>IF(AND($B16=" ",$K17=BD$3),$O17,0)</f>
        <v>0</v>
      </c>
      <c r="BE17" s="134">
        <f>IF(AND($B16=" ",$K17=BE$3),$O17,0)</f>
        <v>0</v>
      </c>
      <c r="BF17" s="132">
        <f>IF($K17=BF$3,IF($C17="X",0,$O17),0)</f>
        <v>0</v>
      </c>
      <c r="BG17" s="281">
        <f>IF($K17=BG$3,IF($C17="X",0,$O17),0)</f>
        <v>10.46</v>
      </c>
      <c r="BH17" s="133">
        <f>IF($K17=BH$3,IF($C17="X",0,$O17),0)</f>
        <v>0</v>
      </c>
      <c r="BI17" s="133">
        <f>IF($K17=BI$3,IF($C17="X",0,$O17),0)</f>
        <v>0</v>
      </c>
      <c r="BJ17" s="133">
        <f>IF($K17=BJ$3,IF($C17="X",0,$O17),0)</f>
        <v>0</v>
      </c>
      <c r="BK17" s="133">
        <f>IF($K17=BK$3,IF($C17="X",0,$O17),0)</f>
        <v>0</v>
      </c>
      <c r="BL17" s="133">
        <f>IF($K17=BL$3,IF($C17="X",0,$O17),0)</f>
        <v>0</v>
      </c>
      <c r="BM17" s="135">
        <f>IF($K17=BM$3,IF($C17="X",0,$O17),0)</f>
        <v>0</v>
      </c>
      <c r="BN17" s="136">
        <f>IF($K17=BN$3,IF($C17="X",0,$O17),0)</f>
        <v>0</v>
      </c>
      <c r="BO17" s="136">
        <f>IF($K17=BO$3,IF($C17="X",0,$O17),0)</f>
        <v>0</v>
      </c>
      <c r="BP17" s="136">
        <f>IF($K17=BP$3,IF($C17="X",0,$O17),0)</f>
        <v>0</v>
      </c>
      <c r="BQ17" s="137">
        <f>IF($K17=BQ$3,IF($C17="X",0,$O17),0)</f>
        <v>0</v>
      </c>
      <c r="BR17" s="134">
        <f>IF($K17=BR$3,IF($C17="X",0,$O17),0)</f>
        <v>0</v>
      </c>
      <c r="BS17" s="282"/>
      <c r="BT17" s="283"/>
      <c r="BU17" s="140"/>
      <c r="BV17" s="283"/>
      <c r="BW17" s="140"/>
      <c r="BX17" s="140"/>
      <c r="BY17" s="140"/>
      <c r="BZ17" s="283"/>
      <c r="CA17" s="140"/>
      <c r="CB17" s="140"/>
      <c r="CC17" s="140"/>
      <c r="CD17" s="141"/>
      <c r="CE17" s="142"/>
      <c r="CF17" s="284">
        <f>IF(CF$3=$K17,IF($C17="W",1,IF($C17="1/2W",0.5,0)),0)</f>
        <v>0</v>
      </c>
      <c r="CG17" s="285">
        <f>IF(CF$3=$K17,IF($C17="L",1,IF($C17="1/2L",0.5,0)),0)</f>
        <v>0</v>
      </c>
      <c r="CH17" s="285">
        <f>IF(CH$3=$K17,IF($C17="W",1,IF($C17="1/2W",0.5,0)),0)</f>
        <v>1</v>
      </c>
      <c r="CI17" s="285">
        <f>IF(CH$3=$K17,IF($C17="L",1,IF($C17="1/2L",0.5,0)),0)</f>
        <v>0</v>
      </c>
      <c r="CJ17" s="285">
        <f>IF(CJ$3=$K17,IF($C17="W",1,IF($C17="1/2W",0.5,0)),0)</f>
        <v>0</v>
      </c>
      <c r="CK17" s="285">
        <f>IF(CJ$3=$K17,IF($C17="L",1,IF($C17="1/2L",0.5,0)),0)</f>
        <v>0</v>
      </c>
      <c r="CL17" s="285">
        <f>IF(CL$3=$K17,IF($C17="W",1,IF($C17="1/2W",0.5,0)),0)</f>
        <v>0</v>
      </c>
      <c r="CM17" s="285">
        <f>IF(CL$3=$K17,IF($C17="L",1,IF($C17="1/2L",0.5,0)),0)</f>
        <v>0</v>
      </c>
      <c r="CN17" s="285">
        <f>IF(CN$3=$K17,IF($C17="W",1,IF($C17="1/2W",0.5,0)),0)</f>
        <v>0</v>
      </c>
      <c r="CO17" s="285">
        <f>IF(CN$3=$K17,IF($C17="L",1,IF($C17="1/2L",0.5,0)),0)</f>
        <v>0</v>
      </c>
      <c r="CP17" s="285">
        <f>IF(CP$3=$K17,IF($C17="W",1,IF($C17="1/2W",0.5,0)),0)</f>
        <v>0</v>
      </c>
      <c r="CQ17" s="285">
        <f>IF(CP$3=$K17,IF($C17="L",1,IF($C17="1/2L",0.5,0)),0)</f>
        <v>0</v>
      </c>
      <c r="CR17" s="285">
        <f>IF(CR$3=$K17,IF($C17="W",1,IF($C17="1/2W",0.5,0)),0)</f>
        <v>0</v>
      </c>
      <c r="CS17" s="285">
        <f>IF(CR$3=$K17,IF($C17="L",1,IF($C17="1/2L",0.5,0)),0)</f>
        <v>0</v>
      </c>
      <c r="CT17" s="145">
        <f>IF(CT$3=$K17,IF($C17="W",1,IF($C17="1/2W",0.5,0)),0)</f>
        <v>0</v>
      </c>
      <c r="CU17" s="146">
        <f>IF(CT$3=$K17,IF($C17="L",1,IF($C17="1/2L",0.5,0)),0)</f>
        <v>0</v>
      </c>
      <c r="CV17" s="146">
        <f>IF(CV$3=$K17,IF($C17="W",1,IF($C17="1/2W",0.5,0)),0)</f>
        <v>0</v>
      </c>
      <c r="CW17" s="146">
        <f>IF(CV$3=$K17,IF($C17="L",1,IF($C17="1/2L",0.5,0)),0)</f>
        <v>0</v>
      </c>
      <c r="CX17" s="146">
        <f>IF(CX$3=$K17,IF($C17="W",1,IF($C17="1/2W",0.5,0)),0)</f>
        <v>0</v>
      </c>
      <c r="CY17" s="146">
        <f>IF(CX$3=$K17,IF($C17="L",1,IF($C17="1/2L",0.5,0)),0)</f>
        <v>0</v>
      </c>
      <c r="CZ17" s="146">
        <f>IF(CZ$3=$K17,IF($C17="W",1,IF($C17="1/2W",0.5,0)),0)</f>
        <v>0</v>
      </c>
      <c r="DA17" s="146">
        <f>IF(CZ$3=$K17,IF($C17="L",1,IF($C17="1/2L",0.5,0)),0)</f>
        <v>0</v>
      </c>
      <c r="DB17" s="146">
        <f>IF(DB$3=$K17,IF($C17="W",1,IF($C17="1/2W",0.5,0)),0)</f>
        <v>0</v>
      </c>
      <c r="DC17" s="146">
        <f>IF(DB$3=$K17,IF($C17="L",1,IF($C17="1/2L",0.5,0)),0)</f>
        <v>0</v>
      </c>
      <c r="DD17" s="146">
        <f>IF(DD$3=$K17,IF($C17="W",1,IF($C17="1/2W",0.5,0)),0)</f>
        <v>0</v>
      </c>
      <c r="DE17" s="147">
        <f>IF(DD$3=$K17,IF($C17="L",1,IF($C17="1/2L",0.5,0)),0)</f>
        <v>0</v>
      </c>
      <c r="DF17" s="143">
        <f>IF(AND(L17&lt;DF$3,$C17="W"),1+DF16,DF16)</f>
        <v>1</v>
      </c>
      <c r="DG17" s="133">
        <f>IF(DF17&gt;DF16,L17+DG16,DG16)</f>
        <v>1.44</v>
      </c>
      <c r="DH17" s="146">
        <f>IF(AND(L17&gt;DH$3,$C17="W"),1+DH16,0+DH16)</f>
        <v>0</v>
      </c>
      <c r="DI17" s="133">
        <f>IF(DH17&gt;DH16,L17+DI16,DI16)</f>
        <v>0</v>
      </c>
      <c r="DJ17" s="146">
        <f>IF($D16="","",$D16)</f>
        <v>16</v>
      </c>
      <c r="DK17" s="286"/>
    </row>
    <row r="18" ht="14.55" customHeight="1">
      <c r="A18" s="149"/>
      <c r="B18" s="150"/>
      <c r="C18" t="s" s="151">
        <v>58</v>
      </c>
      <c r="D18" s="152"/>
      <c r="E18" s="153"/>
      <c r="F18" s="155"/>
      <c r="G18" s="252"/>
      <c r="H18" s="156"/>
      <c r="I18" s="287"/>
      <c r="J18" s="288"/>
      <c r="K18" s="156"/>
      <c r="L18" s="289"/>
      <c r="M18" s="290"/>
      <c r="N18" s="161"/>
      <c r="O18" t="s" s="162">
        <f>IF(OR(AE16="",AE17=""),"",IF(L18&gt;0,ROUND(IF(M18&gt;0,M18,IF(M16&gt;0,ROUND((M16*AE18)/AE16,IF(N16=0,2,IF(N16=0.1,1,0))),IF(M17&gt;0,ROUND((M17*AE18)/AE17,IF(N16=0,2,IF(N16=0.1,1,0))),IF(M18&gt;0,M18,0)))),2),""))</f>
      </c>
      <c r="P18" t="s" s="163">
        <f>IF(I17="Lay",O17*(L17/(L17-1))-O17,IF(I16="Lay",O16*(L16/(L16-1))-O16,IF(OR(L18="",O18=""),"",IF($C18="1/2W",O18/2+O18/2*L18,IF($C18="1/2L",O18/2,(O18*L18-O18)*(1-_xlfn.XLOOKUP(K18,'Janeiro 2023 - Valor Real'!A3:A15,'Janeiro 2023 - Valor Real'!C3:C15,0))+O18)))))</f>
      </c>
      <c r="Q18" t="s" s="154"/>
      <c r="R18" t="s" s="163"/>
      <c r="S18" s="166"/>
      <c r="T18" s="155"/>
      <c r="U18" s="155"/>
      <c r="V18" s="166"/>
      <c r="W18" s="155"/>
      <c r="X18" s="167"/>
      <c r="Y18" s="128"/>
      <c r="Z18" s="129"/>
      <c r="AA18" s="129"/>
      <c r="AB18" s="129"/>
      <c r="AC18" s="129"/>
      <c r="AD18" s="168"/>
      <c r="AE18" t="s" s="169">
        <f>IF(L18="","",(SUM(((L16-1)*(1-_xlfn.XLOOKUP(K16,'Janeiro 2023 - Valor Real'!A3:A15,'Janeiro 2023 - Valor Real'!C3:C15,0))+1),((L17-1)*(1-_xlfn.XLOOKUP(K17,'Janeiro 2023 - Valor Real'!A3:A15,'Janeiro 2023 - Valor Real'!C3:C15,0))+1),((L18-1)*(1-_xlfn.XLOOKUP(K18,'Janeiro 2023 - Valor Real'!A3:A15,'Janeiro 2023 - Valor Real'!C3:C15,0))+1))/((L18-1)*(1-_xlfn.XLOOKUP(K18,'Janeiro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Real'!C3:C15,0))+1))/((L16-1)*(1-_xlfn.XLOOKUP(K16,'Janeiro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Real'!C3:C15,0))+1))/((L17-1)*(1-_xlfn.XLOOKUP(K17,'Janeiro 2023 - Valor Real'!A3:A15,'Janeiro 2023 - Valor Real'!C3:C15,0))+1)+SUM(((L16-1)*(1-_xlfn.XLOOKUP(K16,'Janeiro 2023 - Valor Real'!A3:A15,'Janeiro 2023 - Valor Real'!C3:C15,0))+1),((L17-1)*(1-_xlfn.XLOOKUP(K17,'Janeiro 2023 - Valor Real'!A3:A15,'Janeiro 2023 - Valor Real'!C3:C15,0))+1),((L18-1)*(1-_xlfn.XLOOKUP(K18,'Janeiro 2023 - Valor Real'!A3:A15,'Janeiro 2023 - Valor Real'!C3:C15,0))+1))/((L18-1)*(1-_xlfn.XLOOKUP(K18,'Janeiro 2023 - Valor Real'!A3:A15,'Janeiro 2023 - Valor Real'!C3:C15,0))+1)))</f>
      </c>
      <c r="AF18" s="132">
        <f>IF($K18=AF$3,ROUND(IF(OR($C18="W",$C18="1/2W",$C18="1/2L"),$P18-$O18,IF($C18="X",0,-$O18)),2),0)</f>
        <v>0</v>
      </c>
      <c r="AG18" s="133">
        <f>IF($K18=AG$3,ROUND(IF(OR($C18="W",$C18="1/2W",$C18="1/2L"),$P18-$O18,IF($C18="X",0,-$O18)),2),0)</f>
        <v>0</v>
      </c>
      <c r="AH18" s="133">
        <f>IF($K18=AH$3,ROUND(IF(OR($C18="W",$C18="1/2W",$C18="1/2L"),$P18-$O18,IF($C18="X",0,-$O18)),2),0)</f>
        <v>0</v>
      </c>
      <c r="AI18" s="133">
        <f>IF($K18=AI$3,ROUND(IF(OR($C18="W",$C18="1/2W",$C18="1/2L"),$P18-$O18,IF($C18="X",0,-$O18)),2),0)</f>
        <v>0</v>
      </c>
      <c r="AJ18" s="133">
        <f>IF($K18=AJ$3,ROUND(IF(OR($C18="W",$C18="1/2W",$C18="1/2L"),$P18-$O18,IF($C18="X",0,-$O18)),2),0)</f>
        <v>0</v>
      </c>
      <c r="AK18" s="133">
        <f>IF($K18=AK$3,ROUND(IF(OR($C18="W",$C18="1/2W",$C18="1/2L"),$P18-$O18,IF($C18="X",0,-$O18)),2),0)</f>
        <v>0</v>
      </c>
      <c r="AL18" s="133">
        <f>IF($K18=AL$3,ROUND(IF(OR($C18="W",$C18="1/2W",$C18="1/2L"),$P18-$O18,IF($C18="X",0,-$O18)),2),0)</f>
        <v>0</v>
      </c>
      <c r="AM18" s="133">
        <f>IF($K18=AM$3,ROUND(IF(OR($C18="W",$C18="1/2W",$C18="1/2L"),$P18-$O18,IF($C18="X",0,-$O18)),2),0)</f>
        <v>0</v>
      </c>
      <c r="AN18" s="133">
        <f>IF($K18=AN$3,ROUND(IF(OR($C18="W",$C18="1/2W",$C18="1/2L"),$P18-$O18,IF($C18="X",0,-$O18)),2),0)</f>
        <v>0</v>
      </c>
      <c r="AO18" s="133">
        <f>IF($K18=AO$3,ROUND(IF(OR($C18="W",$C18="1/2W",$C18="1/2L"),$P18-$O18,IF($C18="X",0,-$O18)),2),0)</f>
        <v>0</v>
      </c>
      <c r="AP18" s="133">
        <f>IF($K18=AP$3,ROUND(IF(OR($C18="W",$C18="1/2W",$C18="1/2L"),$P18-$O18,IF($C18="X",0,-$O18)),2),0)</f>
        <v>0</v>
      </c>
      <c r="AQ18" s="133">
        <f>IF($K18=AQ$3,ROUND(IF(OR($C18="W",$C18="1/2W",$C18="1/2L"),$P18-$O18,IF($C18="X",0,-$O18)),2),0)</f>
        <v>0</v>
      </c>
      <c r="AR18" s="134">
        <f>IF($K18=AR$3,ROUND(IF(OR($C18="W",$C18="1/2W",$C18="1/2L"),$P18-$O18,IF($C18="X",0,-$O18)),2),0)</f>
        <v>0</v>
      </c>
      <c r="AS18" s="132">
        <f>IF(AND($B16=" ",$K18=AS$3),$O18,0)</f>
        <v>0</v>
      </c>
      <c r="AT18" s="133">
        <f>IF(AND($B16=" ",K18=AT$3),$O18,0)</f>
        <v>0</v>
      </c>
      <c r="AU18" s="133">
        <f>IF(AND($B16=" ",$K18=AU$3),$O18,0)</f>
        <v>0</v>
      </c>
      <c r="AV18" s="133">
        <f>IF(AND($B16=" ",$K18=AV$3),$O18,0)</f>
        <v>0</v>
      </c>
      <c r="AW18" s="133">
        <f>IF(AND($B16=" ",$K18=AW$3),$O18,0)</f>
        <v>0</v>
      </c>
      <c r="AX18" s="133">
        <f>IF(AND($B16=" ",$K18=AX$3),$O18,0)</f>
        <v>0</v>
      </c>
      <c r="AY18" s="135">
        <f>IF(AND($B16=" ",$K18=AY$3),$O18,0)</f>
        <v>0</v>
      </c>
      <c r="AZ18" s="136">
        <f>IF(AND($B16=" ",$K18=AZ$3),$O18,0)</f>
        <v>0</v>
      </c>
      <c r="BA18" s="136">
        <f>IF(AND($B16=" ",$K18=BA$3),$O18,0)</f>
        <v>0</v>
      </c>
      <c r="BB18" s="136">
        <f>IF(AND($B16=" ",$K18=BB$3),$O18,0)</f>
        <v>0</v>
      </c>
      <c r="BC18" s="137">
        <f>IF(AND($B16=" ",$K18=BC$3),$O18,0)</f>
        <v>0</v>
      </c>
      <c r="BD18" s="133">
        <f>IF(AND($B16=" ",$K18=BD$3),$O18,0)</f>
        <v>0</v>
      </c>
      <c r="BE18" s="134">
        <f>IF(AND($B16=" ",$K18=BE$3),$O18,0)</f>
        <v>0</v>
      </c>
      <c r="BF18" s="132">
        <f>IF($K18=BF$3,IF($C18="X",0,$O18),0)</f>
        <v>0</v>
      </c>
      <c r="BG18" s="281">
        <f>IF($K18=BG$3,IF($C18="X",0,$O18),0)</f>
        <v>0</v>
      </c>
      <c r="BH18" s="133">
        <f>IF($K18=BH$3,IF($C18="X",0,$O18),0)</f>
        <v>0</v>
      </c>
      <c r="BI18" s="133">
        <f>IF($K18=BI$3,IF($C18="X",0,$O18),0)</f>
        <v>0</v>
      </c>
      <c r="BJ18" s="133">
        <f>IF($K18=BJ$3,IF($C18="X",0,$O18),0)</f>
        <v>0</v>
      </c>
      <c r="BK18" s="133">
        <f>IF($K18=BK$3,IF($C18="X",0,$O18),0)</f>
        <v>0</v>
      </c>
      <c r="BL18" s="133">
        <f>IF($K18=BL$3,IF($C18="X",0,$O18),0)</f>
        <v>0</v>
      </c>
      <c r="BM18" s="135">
        <f>IF($K18=BM$3,IF($C18="X",0,$O18),0)</f>
        <v>0</v>
      </c>
      <c r="BN18" s="136">
        <f>IF($K18=BN$3,IF($C18="X",0,$O18),0)</f>
        <v>0</v>
      </c>
      <c r="BO18" s="136">
        <f>IF($K18=BO$3,IF($C18="X",0,$O18),0)</f>
        <v>0</v>
      </c>
      <c r="BP18" s="136">
        <f>IF($K18=BP$3,IF($C18="X",0,$O18),0)</f>
        <v>0</v>
      </c>
      <c r="BQ18" s="137">
        <f>IF($K18=BQ$3,IF($C18="X",0,$O18),0)</f>
        <v>0</v>
      </c>
      <c r="BR18" s="134">
        <f>IF($K18=BR$3,IF($C18="X",0,$O18),0)</f>
        <v>0</v>
      </c>
      <c r="BS18" s="282"/>
      <c r="BT18" s="283"/>
      <c r="BU18" s="140"/>
      <c r="BV18" s="283"/>
      <c r="BW18" s="140"/>
      <c r="BX18" s="140"/>
      <c r="BY18" s="140"/>
      <c r="BZ18" s="283"/>
      <c r="CA18" s="140"/>
      <c r="CB18" s="140"/>
      <c r="CC18" s="140"/>
      <c r="CD18" s="141"/>
      <c r="CE18" s="142"/>
      <c r="CF18" s="284">
        <f>IF(CF$3=$K18,IF($C18="W",1,IF($C18="1/2W",0.5,0)),0)</f>
        <v>0</v>
      </c>
      <c r="CG18" s="285">
        <f>IF(CF$3=$K18,IF($C18="L",1,IF($C18="1/2L",0.5,0)),0)</f>
        <v>0</v>
      </c>
      <c r="CH18" s="285">
        <f>IF(CH$3=$K18,IF($C18="W",1,IF($C18="1/2W",0.5,0)),0)</f>
        <v>0</v>
      </c>
      <c r="CI18" s="285">
        <f>IF(CH$3=$K18,IF($C18="L",1,IF($C18="1/2L",0.5,0)),0)</f>
        <v>0</v>
      </c>
      <c r="CJ18" s="285">
        <f>IF(CJ$3=$K18,IF($C18="W",1,IF($C18="1/2W",0.5,0)),0)</f>
        <v>0</v>
      </c>
      <c r="CK18" s="285">
        <f>IF(CJ$3=$K18,IF($C18="L",1,IF($C18="1/2L",0.5,0)),0)</f>
        <v>0</v>
      </c>
      <c r="CL18" s="285">
        <f>IF(CL$3=$K18,IF($C18="W",1,IF($C18="1/2W",0.5,0)),0)</f>
        <v>0</v>
      </c>
      <c r="CM18" s="285">
        <f>IF(CL$3=$K18,IF($C18="L",1,IF($C18="1/2L",0.5,0)),0)</f>
        <v>0</v>
      </c>
      <c r="CN18" s="285">
        <f>IF(CN$3=$K18,IF($C18="W",1,IF($C18="1/2W",0.5,0)),0)</f>
        <v>0</v>
      </c>
      <c r="CO18" s="285">
        <f>IF(CN$3=$K18,IF($C18="L",1,IF($C18="1/2L",0.5,0)),0)</f>
        <v>0</v>
      </c>
      <c r="CP18" s="285">
        <f>IF(CP$3=$K18,IF($C18="W",1,IF($C18="1/2W",0.5,0)),0)</f>
        <v>0</v>
      </c>
      <c r="CQ18" s="285">
        <f>IF(CP$3=$K18,IF($C18="L",1,IF($C18="1/2L",0.5,0)),0)</f>
        <v>0</v>
      </c>
      <c r="CR18" s="285">
        <f>IF(CR$3=$K18,IF($C18="W",1,IF($C18="1/2W",0.5,0)),0)</f>
        <v>0</v>
      </c>
      <c r="CS18" s="285">
        <f>IF(CR$3=$K18,IF($C18="L",1,IF($C18="1/2L",0.5,0)),0)</f>
        <v>0</v>
      </c>
      <c r="CT18" s="145">
        <f>IF(CT$3=$K18,IF($C18="W",1,IF($C18="1/2W",0.5,0)),0)</f>
        <v>0</v>
      </c>
      <c r="CU18" s="146">
        <f>IF(CT$3=$K18,IF($C18="L",1,IF($C18="1/2L",0.5,0)),0)</f>
        <v>0</v>
      </c>
      <c r="CV18" s="146">
        <f>IF(CV$3=$K18,IF($C18="W",1,IF($C18="1/2W",0.5,0)),0)</f>
        <v>0</v>
      </c>
      <c r="CW18" s="146">
        <f>IF(CV$3=$K18,IF($C18="L",1,IF($C18="1/2L",0.5,0)),0)</f>
        <v>0</v>
      </c>
      <c r="CX18" s="146">
        <f>IF(CX$3=$K18,IF($C18="W",1,IF($C18="1/2W",0.5,0)),0)</f>
        <v>0</v>
      </c>
      <c r="CY18" s="146">
        <f>IF(CX$3=$K18,IF($C18="L",1,IF($C18="1/2L",0.5,0)),0)</f>
        <v>0</v>
      </c>
      <c r="CZ18" s="146">
        <f>IF(CZ$3=$K18,IF($C18="W",1,IF($C18="1/2W",0.5,0)),0)</f>
        <v>0</v>
      </c>
      <c r="DA18" s="146">
        <f>IF(CZ$3=$K18,IF($C18="L",1,IF($C18="1/2L",0.5,0)),0)</f>
        <v>0</v>
      </c>
      <c r="DB18" s="146">
        <f>IF(DB$3=$K18,IF($C18="W",1,IF($C18="1/2W",0.5,0)),0)</f>
        <v>0</v>
      </c>
      <c r="DC18" s="146">
        <f>IF(DB$3=$K18,IF($C18="L",1,IF($C18="1/2L",0.5,0)),0)</f>
        <v>0</v>
      </c>
      <c r="DD18" s="146">
        <f>IF(DD$3=$K18,IF($C18="W",1,IF($C18="1/2W",0.5,0)),0)</f>
        <v>0</v>
      </c>
      <c r="DE18" s="147">
        <f>IF(DD$3=$K18,IF($C18="L",1,IF($C18="1/2L",0.5,0)),0)</f>
        <v>0</v>
      </c>
      <c r="DF18" s="143">
        <f>IF(AND(L18&lt;DF$3,$C18="W"),1+DF17,DF17)</f>
        <v>1</v>
      </c>
      <c r="DG18" s="133">
        <f>IF(DF18&gt;DF17,L18+DG17,DG17)</f>
        <v>1.44</v>
      </c>
      <c r="DH18" s="146">
        <f>IF(AND(L18&gt;DH$3,$C18="W"),1+DH17,0+DH17)</f>
        <v>0</v>
      </c>
      <c r="DI18" s="133">
        <f>IF(DH18&gt;DH17,L18+DI17,DI17)</f>
        <v>0</v>
      </c>
      <c r="DJ18" s="146">
        <f>IF($D16="","",$D16)</f>
        <v>16</v>
      </c>
      <c r="DK18" s="286"/>
    </row>
    <row r="19" ht="14.55" customHeight="1">
      <c r="A19" s="171">
        <f>$A16+1</f>
        <v>6</v>
      </c>
      <c r="B19" t="s" s="172">
        <v>50</v>
      </c>
      <c r="C19" t="s" s="173">
        <v>51</v>
      </c>
      <c r="D19" s="174">
        <f>IF(G19="","",$D16)</f>
        <v>16</v>
      </c>
      <c r="E19" t="s" s="175">
        <v>59</v>
      </c>
      <c r="F19" t="s" s="176">
        <f>IF(G19="","",IF(OR(AND($C19&lt;&gt;" ",$C20=" "),AND($C20&lt;&gt;" ",$C19=" "),AND(L21&gt;0,OR(AND($C21&lt;&gt;" ",OR($C19=" ",$C20=" ")),AND($C21=" ",OR($C19&lt;&gt;" ",$C20&lt;&gt;" "))))),IF(SUM(F$4:F18)=0,1,LARGE(F$4:F18,1)+1),IF(MONTH(G19)=MONTH(TODAY()),IF(AND(DAY(G19)&lt;DAY(TODAY()),$B19=" "),IF(SUM(F$4:F18)=0,1,LARGE(F$4:F18,1)+1),IF($B19=" ",IF(AND(DAY(G19)=DAY(TODAY()),HOUR(G19)&lt;=HOUR(NOW())+1),IF(AND(HOUR(G19)+2&lt;=HOUR(NOW()),DAY(G19)&lt;=DAY(TODAY()),MINUTE(G19)&lt;=MINUTE(NOW())),IF(SUM(F$4:F18)=0,1,LARGE(F$4:F18,1)+1),IF(OR(MINUTE(G19)&lt;=MINUTE(NOW()),HOUR(G19)&lt;=HOUR(NOW())),"!!!","")),""),"")),"")))</f>
      </c>
      <c r="G19" s="177">
        <f>IF(H19="","",_xlfn.XLOOKUP(H19,H$4:H18,G$4:G18,""))</f>
        <v>44942.833333333336</v>
      </c>
      <c r="H19" t="s" s="178">
        <v>53</v>
      </c>
      <c r="I19" t="s" s="179">
        <v>54</v>
      </c>
      <c r="J19" s="291">
        <v>0</v>
      </c>
      <c r="K19" t="s" s="181">
        <v>44</v>
      </c>
      <c r="L19" s="182">
        <v>2.82</v>
      </c>
      <c r="M19" s="183"/>
      <c r="N19" s="184">
        <v>0</v>
      </c>
      <c r="O19" s="185">
        <f>IF(OR(AE19="",AE20=""),"",ROUND(IF(L21&gt;0,IF(M19&gt;0,M19,IF(M20&gt;0,ROUND((M20*AE19)/AE20,IF(N19=0,2,IF(N19=0.1,1,0))),ROUND((M21*AE19)/AE21,IF(N19=0,2,IF(N19=0.1,1,0))))),IF(M19&gt;0,M19,ROUND((M20*AE19)/AE20,IF(N19=0,2,IF(N19=0.1,1,0))))),2))</f>
        <v>15.07</v>
      </c>
      <c r="P19" s="186">
        <f>IF(OR(L19="",O19=""),"",IF($C19="1/2W",O19/2+O19/2*L19,IF($C19="1/2L",O19/2,IF(I19="Lay",(O19*(L19/(L19-1))-O19)*(1-_xlfn.XLOOKUP(K19,'Janeiro 2023 - Valor Real'!A3:A15,'Janeiro 2023 - Valor Real'!C3:C15,0))+O19,(O19*L19-O19)*(1-_xlfn.XLOOKUP(K19,'Janeiro 2023 - Valor Real'!A3:A15,'Janeiro 2023 - Valor Real'!C3:C15,0))+O19))))</f>
        <v>42.4974</v>
      </c>
      <c r="Q19" s="187">
        <v>1</v>
      </c>
      <c r="R19" s="188">
        <v>0</v>
      </c>
      <c r="S19" s="189">
        <f>IF($B19="Anulado",0,ROUND(IF(OR($B19="LOSS",$B19="OK"),IF(OR($C19="W",$C19="1/2W",$C19="1/2L"),P19-O19,IF($C19="L",-O19,0))+IF(OR($C20="W",$C20="1/2W",$C20="1/2L"),P20-O20,IF($C20="L",-O20,0))+IF(OR($C21="W",$C21="1/2W",$C21="1/2L"),P21-O21,IF($C21="L",-O21,0)),IF(AND(OR($C19="W",$C19="1/2W",$C19="1/2L"),C20="W"),P19+P20-SUM(O19:O21)+_xlfn.XLOOKUP("X",C19:C21,O19:O21,0),IF(AND(C19=TRUE,C21="W"),P19+P21-SUM(O19:O21),IF(AND(C20="W",C21="W"),P20+P21-SUM(O19:O21)+_xlfn.XLOOKUP("X",C19:C21,O19:O21,0),IF(L21&gt;0,IF(OR($C19="W",$C19="1/2W",$C19="1/2L"),P19-SUM(O19:O21)+_xlfn.XLOOKUP("X",C19:C21,O19:O21,0),IF(OR($C19="W",$C19="1/2W",$C19="1/2L"),P20-SUM(O19:O21)+_xlfn.XLOOKUP("X",C19:C21,O19:O21,0),IF(OR($C19="W",$C19="1/2W",$C19="1/2L"),P21-SUM(O19:O21)+_xlfn.XLOOKUP("X",C19:C21,O19:O21,0),IF(SUM(P19:P21)/3-SUM(O19:O21)+_xlfn.XLOOKUP("X",C19:C21,O19:O21,0)&gt;0,SUM(P19:P21)/3-SUM(O19:O21)+_xlfn.XLOOKUP("X",C19:C21,O19:O21,0),LARGE(P19:P21,1)-SUM(O19:O21))))),IF(OR($C19="W",$C19="1/2W",$C19="1/2L"),P19-SUM(O19:O20)+_xlfn.XLOOKUP("X",C19:C21,O19:O21,0),IF(OR($C19="W",$C19="1/2W",$C19="1/2L"),P20-SUM(O19:O20)+_xlfn.XLOOKUP("X",C19:C21,O19:O21,0),SUM(P19:P20)/2-SUM(O19:O20)+_xlfn.XLOOKUP("X",C19:C21,O19:O21,0)))))))),2))</f>
        <v>2.43</v>
      </c>
      <c r="T19" s="190">
        <f>IF(S19=0,0,S19/SUM(O19:O21))</f>
        <v>0.0606438732218617</v>
      </c>
      <c r="U19" s="191">
        <f>IF($D19=$D16,IF(OR($B19="LOSS",$B19="OK",$B19="Anulada"),S19,0)+U16,IF(OR($B19="LOSS",$B19="OK",$B19="Anulada"),S19,0))</f>
        <v>10.85</v>
      </c>
      <c r="V19" s="191">
        <f>IF($D19="",0,IF($D19=$D16,IF($B19=" ",IF(I21="",IF(OR(AND(I19="DNB1",I20="DNB2"),AND(OR(I19="DNB1",I19="DNB2"),J20=0),AND(OR(I20="DNB1",I20="DNB2"),J19=0),AND(I19="DNB2",I20="DNB1"),AND(IF(J19=0,(J19+1)/ROUND(J19+1,0),J19/ROUND(J19,0))=1,IF(J20=0,(J20+1)/ROUND(IF(J20="",0,J20)+1,0),IF(J20="",0,J20)/ROUND(IF(J20="",1,J20),0))=1,OR(J19&lt;&gt;""),J20&lt;&gt;"")),0,IF(S19&lt;0,IF(I21="",SMALL(P19:P20,1)-SUM(O19:O20),0),SMALL(P19:P20,1)-SUM(O19:O20))),IF(S19&lt;0,IF(I21="",SMALL(P19:P21,1)-SUM(O19:O21),0),LARGE(P19:P21,1)-SUM(O19:O21))),S19)+V16,IF(I21="",IF(OR(AND(I19="DNB1",I20="DNB2"),AND(OR(I19="DNB1",I19="DNB2"),J20=0),AND(OR(I20="DNB1",I20="DNB2"),J19=0),AND(I19="DNB2",I20="DNB1"),AND(IF(J19=0,(J19+1)/ROUND(J19+1,0),J19/ROUND(J19,0))=1,IF(J20=0,(IF(J20="",0,J20)+1)/ROUND(IF(J20="",0,J20)+1,0),IF(J20="",0,J20)/ROUND(IF(J20="",0,J20)+1,0))=1,OR(J19&lt;&gt;""),J20&lt;&gt;"")),0,IF(S19&lt;0,IF(I21="",SMALL(P19:P20,1)-SUM(O19:O20),0),SMALL(P19:P21,1)-SUM(O19:O21))),IF(S19&lt;0,IF(I21="",SMALL(P19:P21,1)-SUM(O19:O21),0),LARGE(P19:P21,1)-SUM(O19:O21)))))</f>
        <v>10.85</v>
      </c>
      <c r="W19" s="191">
        <f>IF($D19=$D16,IF(S19&lt;0,IF(I21="",S19,0),S19)+W16,S19)</f>
        <v>10.85</v>
      </c>
      <c r="X19" t="s" s="192">
        <f>IF(OR(SUM(R19:R21)=0,V19=W19),ROUND(IF(W19=0,0,W19/Y19)*100,2)&amp;"%",ROUND(IF(V19=0,0,V19/Y19)*100,2)&amp;"% a "&amp;ROUND(IF(W19=0,0,W19/Y19)*100,2)&amp;"%")</f>
        <v>72</v>
      </c>
      <c r="Y19" s="193">
        <f>IF($D19=$D16,Y16+SUM(O19:O21),SUM(O19:O21))</f>
        <v>158.18</v>
      </c>
      <c r="Z19" s="191">
        <f>IF($B19=" ",SUM(O19:O21),0)+Z16</f>
        <v>0</v>
      </c>
      <c r="AA19" s="191">
        <f>IF(G19="","",IF($B19="Anulado",LARGE(P19:P21,1)-SUM(O19:O21)+AA16,AA16))</f>
        <v>0</v>
      </c>
      <c r="AB19" s="191">
        <f>IF($D19="","",AB16+S19)</f>
        <v>10.85</v>
      </c>
      <c r="AC19" s="194">
        <f>IF($D19="","",IF($B19=" ",IF(DAY(G19)=DAY(TODAY()),1+AC16,0+AC16),0+AC16))</f>
        <v>0</v>
      </c>
      <c r="AD19" s="195">
        <f>(((L20/(L20-1)-1)*(1-_xlfn.XLOOKUP(K20,'Janeiro 2023 - Valor Real'!A3:A15,'Janeiro 2023 - Valor Real'!C3:C15,0))+1))/(((L19-1)*(1-_xlfn.XLOOKUP(K19,'Janeiro 2023 - Valor Real'!A3:A15,'Janeiro 2023 - Valor Real'!C3:C15,0))+1)+((L20/(L20-1)-1)*(1-_xlfn.XLOOKUP(K20,'Janeiro 2023 - Valor Real'!A3:A15,'Janeiro 2023 - Valor Real'!C3:C15,0))+1))</f>
        <v>0.462710941752858</v>
      </c>
      <c r="AE19" s="196">
        <f>IF(L19="","",IF(L21&gt;0,(SUM(((L19-1)*(1-_xlfn.XLOOKUP(K19,'Janeiro 2023 - Valor Real'!A3:A15,'Janeiro 2023 - Valor Real'!C3:C15,0))+1),((L20-1)*(1-_xlfn.XLOOKUP(K20,'Janeiro 2023 - Valor Real'!A3:A15,'Janeiro 2023 - Valor Real'!C3:C15,0))+1),((L21-1)*(1-_xlfn.XLOOKUP(K21,'Janeiro 2023 - Valor Real'!A3:A15,'Janeiro 2023 - Valor Real'!C3:C15,0))+1))/((L19-1)*(1-_xlfn.XLOOKUP(K19,'Janeiro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Real'!C3:C15,0))+1))/((L19-1)*(1-_xlfn.XLOOKUP(K19,'Janeiro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Real'!C3:C15,0))+1))/((L20-1)*(1-_xlfn.XLOOKUP(K20,'Janeiro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Real'!C3:C15,0))+1))/((L21-1)*(1-_xlfn.XLOOKUP(K21,'Janeiro 2023 - Valor Real'!A3:A15,'Janeiro 2023 - Valor Real'!C3:C15,0))+1)),IF(I19="Lay",IF(I20="Lay",((L20/(L20-1)-1)*(1-_xlfn.XLOOKUP(K20,'Janeiro 2023 - Valor Real'!A3:A15,'Janeiro 2023 - Valor Real'!C3:C15,0))+1)/(((L20/(L20-1)-1)*(1-_xlfn.XLOOKUP(K20,'Janeiro 2023 - Valor Real'!A3:A15,'Janeiro 2023 - Valor Real'!C3:C15,0))+1)+((L19/(L19-1)-1)*(1-_xlfn.XLOOKUP(K19,'Janeiro 2023 - Valor Real'!A3:A15,'Janeiro 2023 - Valor Real'!C3:C15,0))+1)),((L20-1)*(1-_xlfn.XLOOKUP(K20,'Janeiro 2023 - Valor Real'!A3:A15,'Janeiro 2023 - Valor Real'!C3:C15,0))+1)/(((L20-1)*(1-_xlfn.XLOOKUP(K20,'Janeiro 2023 - Valor Real'!A3:A15,'Janeiro 2023 - Valor Real'!C3:C15,0))+1)+((L19/(L19-1)-1)*(1-_xlfn.XLOOKUP(K19,'Janeiro 2023 - Valor Real'!A3:A15,'Janeiro 2023 - Valor Real'!C3:C15,0))+1))),IF(I20="Lay",(((L20/(L20-1)-1)*(1-_xlfn.XLOOKUP(K20,'Janeiro 2023 - Valor Real'!A3:A15,'Janeiro 2023 - Valor Real'!C3:C15,0))+1))/(((L19-1)*(1-_xlfn.XLOOKUP(K19,'Janeiro 2023 - Valor Real'!A3:A15,'Janeiro 2023 - Valor Real'!C3:C15,0))+1)+((L20/(L20-1)-1)*(1-_xlfn.XLOOKUP(K20,'Janeiro 2023 - Valor Real'!A3:A15,'Janeiro 2023 - Valor Real'!C3:C15,0))+1)),((L20-1)*(1-_xlfn.XLOOKUP(K20,'Janeiro 2023 - Valor Real'!A3:A15,'Janeiro 2023 - Valor Real'!C3:C15,0))+1)/(((L20-1)*(1-_xlfn.XLOOKUP(K20,'Janeiro 2023 - Valor Real'!A3:A15,'Janeiro 2023 - Valor Real'!C3:C15,0))+1)+((L19-1)*(1-_xlfn.XLOOKUP(K19,'Janeiro 2023 - Valor Real'!A3:A15,'Janeiro 2023 - Valor Real'!C3:C15,0))+1))))))</f>
        <v>0.376106194690265</v>
      </c>
      <c r="AF19" s="197">
        <f>IF($K19=AF$3,ROUND(IF(OR($C19="W",$C19="1/2W",$C19="1/2L"),$P19-$O19,IF($C19="X",0,-$O19)),2),0)</f>
        <v>0</v>
      </c>
      <c r="AG19" s="198">
        <f>IF($K19=AG$3,ROUND(IF(OR($C19="W",$C19="1/2W",$C19="1/2L"),$P19-$O19,IF($C19="X",0,-$O19)),2),0)</f>
        <v>0</v>
      </c>
      <c r="AH19" s="198">
        <f>IF($K19=AH$3,ROUND(IF(OR($C19="W",$C19="1/2W",$C19="1/2L"),$P19-$O19,IF($C19="X",0,-$O19)),2),0)</f>
        <v>0</v>
      </c>
      <c r="AI19" s="198">
        <f>IF($K19=AI$3,ROUND(IF(OR($C19="W",$C19="1/2W",$C19="1/2L"),$P19-$O19,IF($C19="X",0,-$O19)),2),0)</f>
        <v>0</v>
      </c>
      <c r="AJ19" s="198">
        <f>IF($K19=AJ$3,ROUND(IF(OR($C19="W",$C19="1/2W",$C19="1/2L"),$P19-$O19,IF($C19="X",0,-$O19)),2),0)</f>
        <v>0</v>
      </c>
      <c r="AK19" s="198">
        <f>IF($K19=AK$3,ROUND(IF(OR($C19="W",$C19="1/2W",$C19="1/2L"),$P19-$O19,IF($C19="X",0,-$O19)),2),0)</f>
        <v>0</v>
      </c>
      <c r="AL19" s="198">
        <f>IF($K19=AL$3,ROUND(IF(OR($C19="W",$C19="1/2W",$C19="1/2L"),$P19-$O19,IF($C19="X",0,-$O19)),2),0)</f>
        <v>0</v>
      </c>
      <c r="AM19" s="198">
        <f>IF($K19=AM$3,ROUND(IF(OR($C19="W",$C19="1/2W",$C19="1/2L"),$P19-$O19,IF($C19="X",0,-$O19)),2),0)</f>
        <v>-15.07</v>
      </c>
      <c r="AN19" s="198">
        <f>IF($K19=AN$3,ROUND(IF(OR($C19="W",$C19="1/2W",$C19="1/2L"),$P19-$O19,IF($C19="X",0,-$O19)),2),0)</f>
        <v>0</v>
      </c>
      <c r="AO19" s="198">
        <f>IF($K19=AO$3,ROUND(IF(OR($C19="W",$C19="1/2W",$C19="1/2L"),$P19-$O19,IF($C19="X",0,-$O19)),2),0)</f>
        <v>0</v>
      </c>
      <c r="AP19" s="198">
        <f>IF($K19=AP$3,ROUND(IF(OR($C19="W",$C19="1/2W",$C19="1/2L"),$P19-$O19,IF($C19="X",0,-$O19)),2),0)</f>
        <v>0</v>
      </c>
      <c r="AQ19" s="198">
        <f>IF($K19=AQ$3,ROUND(IF(OR($C19="W",$C19="1/2W",$C19="1/2L"),$P19-$O19,IF($C19="X",0,-$O19)),2),0)</f>
        <v>0</v>
      </c>
      <c r="AR19" s="199">
        <f>IF($K19=AR$3,ROUND(IF(OR($C19="W",$C19="1/2W",$C19="1/2L"),$P19-$O19,IF($C19="X",0,-$O19)),2),0)</f>
        <v>0</v>
      </c>
      <c r="AS19" s="197">
        <f>IF(AND($B19=" ",$K19=AS$3),$O19,0)</f>
        <v>0</v>
      </c>
      <c r="AT19" s="198">
        <f>IF(AND($B19=" ",$K19=AT$3),$O19,0)</f>
        <v>0</v>
      </c>
      <c r="AU19" s="198">
        <f>IF(AND($B19=" ",$K19=AU$3),$O19,0)</f>
        <v>0</v>
      </c>
      <c r="AV19" s="198">
        <f>IF(AND($B19=" ",$K19=AV$3),$O19,0)</f>
        <v>0</v>
      </c>
      <c r="AW19" s="198">
        <f>IF(AND($B19=" ",$K19=AW$3),$O19,0)</f>
        <v>0</v>
      </c>
      <c r="AX19" s="198">
        <f>IF(AND($B19=" ",$K19=AX$3),$O19,0)</f>
        <v>0</v>
      </c>
      <c r="AY19" s="200">
        <f>IF(AND($B19=" ",$K19=AY$3),$O19,0)</f>
        <v>0</v>
      </c>
      <c r="AZ19" s="201">
        <f>IF(AND($B19=" ",$K19=AZ$3),$O19,0)</f>
        <v>0</v>
      </c>
      <c r="BA19" s="201">
        <f>IF(AND($B19=" ",$K19=BA$3),$O19,0)</f>
        <v>0</v>
      </c>
      <c r="BB19" s="201">
        <f>IF(AND($B19=" ",$K19=BB$3),$O19,0)</f>
        <v>0</v>
      </c>
      <c r="BC19" s="202">
        <f>IF(AND($B19=" ",$K19=BC$3),$O19,0)</f>
        <v>0</v>
      </c>
      <c r="BD19" s="198">
        <f>IF(AND($B19=" ",$K19=BD$3),$O19,0)</f>
        <v>0</v>
      </c>
      <c r="BE19" s="199">
        <f>IF(AND($B19=" ",$K19=BE$3),$O19,0)</f>
        <v>0</v>
      </c>
      <c r="BF19" s="203">
        <f>IF($K19=BF$3,IF($C19="X",0,$O19),0)</f>
        <v>0</v>
      </c>
      <c r="BG19" s="198">
        <f>IF($K19=BG$3,IF($C19="X",0,$O19),0)</f>
        <v>0</v>
      </c>
      <c r="BH19" s="198">
        <f>IF($K19=BH$3,IF($C19="X",0,$O19),0)</f>
        <v>0</v>
      </c>
      <c r="BI19" s="198">
        <f>IF($K19=BI$3,IF($C19="X",0,$O19),0)</f>
        <v>0</v>
      </c>
      <c r="BJ19" s="198">
        <f>IF($K19=BJ$3,IF($C19="X",0,$O19),0)</f>
        <v>0</v>
      </c>
      <c r="BK19" s="198">
        <f>IF($K19=BK$3,IF($C19="X",0,$O19),0)</f>
        <v>0</v>
      </c>
      <c r="BL19" s="198">
        <f>IF($K19=BL$3,IF($C19="X",0,$O19),0)</f>
        <v>0</v>
      </c>
      <c r="BM19" s="200">
        <f>IF($K19=BM$3,IF($C19="X",0,$O19),0)</f>
        <v>15.07</v>
      </c>
      <c r="BN19" s="201">
        <f>IF($K19=BN$3,IF($C19="X",0,$O19),0)</f>
        <v>0</v>
      </c>
      <c r="BO19" s="201">
        <f>IF($K19=BO$3,IF($C19="X",0,$O19),0)</f>
        <v>0</v>
      </c>
      <c r="BP19" s="201">
        <f>IF($K19=BP$3,IF($C19="X",0,$O19),0)</f>
        <v>0</v>
      </c>
      <c r="BQ19" s="202">
        <f>IF($K19=BQ$3,IF($C19="X",0,$O19),0)</f>
        <v>0</v>
      </c>
      <c r="BR19" s="199">
        <f>IF($K19=BR$3,IF($C19="X",0,$O19),0)</f>
        <v>0</v>
      </c>
      <c r="BS19" s="204">
        <f>IF($B19="LOSS",IF(AND($K19=BS$3,$C19="L"),-$O19,0)+IF(AND($K20=BS$3,$C20="L"),-$O20,0)+IF(AND($K21=BS$3,$C21="L"),-$O21,0),IF(OR(AND($K19=BS$3,OR($C19="W",$C19="1/2W")),AND($K20=BS$3,OR($C20="W",$C20="1/2W")),AND($K21=BS$3,OR($C21="W",$C21="1/2W"))),$S19,0))</f>
        <v>2.43</v>
      </c>
      <c r="BT19" s="201">
        <f>IF($B19="LOSS",IF(AND($K19=BT$3,$C19="L"),-$O19,0)+IF(AND($K20=BT$3,$C20="L"),-$O20,0)+IF(AND($K20=BT$3,$C21="L"),-$O21,0),IF(OR(AND($K20=BT$3,OR($C19="W",$C19="1/2W")),AND($K20=BT$3,OR($C20="W",$C20="1/2W")),AND($K20=BT$3,OR($C21="W",$C21="1/2W"))),$S19,0))</f>
        <v>0</v>
      </c>
      <c r="BU19" s="201">
        <f>IF($B19="LOSS",IF(AND($K19=BU$3,$C19="L"),-$O19,0)+IF(AND($K20=BU$3,$C20="L"),-$O20,0)+IF(AND($K20=BU$3,$C21="L"),-$O21,0),IF(OR(AND($K20=BU$3,OR($C19="W",$C19="1/2W")),AND($K20=BU$3,OR($C20="W",$C20="1/2W")),AND($K20=BU$3,OR($C21="W",$C21="1/2W"))),$S19,0))</f>
        <v>0</v>
      </c>
      <c r="BV19" s="201">
        <f>IF($B19="LOSS",IF(AND($K19=BV$3,$C19="L"),-$O19,0)+IF(AND($K20=BV$3,$C20="L"),-$O20,0)+IF(AND($K21=BV$3,$C21="L"),-$O21,0),IF(OR(AND($K19=BV$3,OR($C19="W",$C19="1/2W")),AND($K20=BV$3,OR($C20="W",$C20="1/2W")),AND($K21=BV$3,OR($C21="W",$C21="1/2W"))),$S19,0))</f>
        <v>0</v>
      </c>
      <c r="BW19" s="201">
        <f>IF($B19="LOSS",IF(AND($K19=BW$3,$C19="L"),-$O19,0)+IF(AND($K20=BW$3,$C20="L"),-$O20,0)+IF(AND($K21=BW$3,$C21="L"),-$O21,0),IF(OR(AND($K19=BW$3,OR($C19="W",$C19="1/2W")),AND($K20=BW$3,OR($C20="W",$C20="1/2W")),AND($K21=BW$3,OR($C21="W",$C21="1/2W"))),$S19,0))</f>
        <v>0</v>
      </c>
      <c r="BX19" s="201">
        <f>IF($B19="LOSS",IF(AND($K19=BX$3,$C19="L"),-$O19,0)+IF(AND($K20=BX$3,$C20="L"),-$O20,0)+IF(AND($K21=BX$3,$C21="L"),-$O21,0),IF(OR(AND($K19=BX$3,OR($C19="W",$C19="1/2W")),AND($K20=BX$3,OR($C20="W",$C20="1/2W")),AND($K21=BX$3,OR($C21="W",$C21="1/2W"))),$S19,0))</f>
        <v>0</v>
      </c>
      <c r="BY19" s="201">
        <f>IF($B19="LOSS",IF(AND($K19=BY$3,$C19="L"),-$O19,0)+IF(AND($K20=BY$3,$C20="L"),-$O20,0)+IF(AND($K21=BY$3,$C21="L"),-$O21,0),IF(OR(AND($K19=BY$3,OR($C19="W",$C19="1/2W")),AND($K20=BY$3,OR($C20="W",$C20="1/2W")),AND($K21=BY$3,OR($C21="W",$C21="1/2W"))),$S19,0))</f>
        <v>0</v>
      </c>
      <c r="BZ19" s="205">
        <f>IF($B19="LOSS",IF(AND($K19=BZ$3,$C19="L"),-$O19,0)+IF(AND($K20=BZ$3,$C20="L"),-$O20,0)+IF(AND($K21=BZ$3,$C21="L"),-$O21,0),IF(OR(AND($K19=BZ$3,OR($C19="W",$C19="1/2W")),AND($K20=BZ$3,OR($C20="W",$C20="1/2W")),AND($K21=BZ$3,OR($C21="W",$C21="1/2W"))),$S19,0))</f>
        <v>0</v>
      </c>
      <c r="CA19" s="205">
        <f>IF($B19="LOSS",IF(AND($K19=CA$3,$C19="L"),-$O19,0)+IF(AND($K20=CA$3,$C20="L"),-$O20,0)+IF(AND($K21=CA$3,$C21="L"),-$O21,0),IF(OR(AND($K19=CA$3,OR($C19="W",$C19="1/2W")),AND($K20=CA$3,OR($C20="W",$C20="1/2W")),AND($K21=CA$3,OR($C21="W",$C21="1/2W"))),$S19,0))</f>
        <v>0</v>
      </c>
      <c r="CB19" s="205">
        <f>IF($B19="LOSS",IF(AND($K19=CB$3,$C19="L"),-$O19,0)+IF(AND($K20=CB$3,$C20="L"),-$O20,0)+IF(AND($K21=CB$3,$C21="L"),-$O21,0),IF(OR(AND($K19=CB$3,OR($C19="W",$C19="1/2W")),AND($K20=CB$3,OR($C20="W",$C20="1/2W")),AND($K21=CB$3,OR($C21="W",$C21="1/2W"))),$S19,0))</f>
        <v>0</v>
      </c>
      <c r="CC19" s="205">
        <f>IF($B19="LOSS",IF(AND($K19=CC$3,$C19="L"),-$O19,0)+IF(AND($K20=CC$3,$C20="L"),-$O20,0)+IF(AND($K21=CC$3,$C21="L"),-$O21,0),IF(OR(AND($K19=CC$3,OR($C19="W",$C19="1/2W")),AND($K20=CC$3,OR($C20="W",$C20="1/2W")),AND($K21=CC$3,OR($C21="W",$C21="1/2W"))),$S19,0))</f>
        <v>0</v>
      </c>
      <c r="CD19" s="202">
        <f>IF($B19="LOSS",IF(AND($K19=CD$3,$C19="L"),-$O19,0)+IF(AND($K20=CD$3,$C20="L"),-$O20,0)+IF(AND($K21=CD$3,$C21="L"),-$O21,0),IF(OR(AND($K19=CD$3,OR($C19="W",$C19="1/2W")),AND($K20=CD$3,OR($C20="W",$C20="1/2W")),AND($K21=CD$3,OR($C21="W",$C21="1/2W"))),$S19,0))</f>
        <v>0</v>
      </c>
      <c r="CE19" s="199">
        <f>IF($B19="LOSS",IF(AND($K19=CE$3,$C19="L"),-$O19,0)+IF(AND($K20=CE$3,$C20="L"),-$O20,0)+IF(AND($K21=CE$3,$C21="L"),-$O21,0),IF(OR(AND($K19=CE$3,OR($C19="W",$C19="1/2W")),AND($K20=CE$3,OR($C20="W",$C20="1/2W")),AND($K21=CE$3,OR($C21="W",$C21="1/2W"))),$S19,0))</f>
        <v>0</v>
      </c>
      <c r="CF19" s="206">
        <f>IF(CF$3=$K19,IF($C19="W",1,IF($C19="1/2W",0.5,0)),0)</f>
        <v>0</v>
      </c>
      <c r="CG19" s="207">
        <f>IF(CF$3=$K19,IF($C19="L",1,IF($C19="1/2L",0.5,0)),0)</f>
        <v>0</v>
      </c>
      <c r="CH19" s="207">
        <f>IF(CH$3=$K19,IF($C19="W",1,IF($C19="1/2W",0.5,0)),0)</f>
        <v>0</v>
      </c>
      <c r="CI19" s="207">
        <f>IF(CH$3=$K19,IF($C19="L",1,IF($C19="1/2L",0.5,0)),0)</f>
        <v>0</v>
      </c>
      <c r="CJ19" s="207">
        <f>IF(CJ$3=$K19,IF($C19="W",1,IF($C19="1/2W",0.5,0)),0)</f>
        <v>0</v>
      </c>
      <c r="CK19" s="207">
        <f>IF(CJ$3=$K19,IF($C19="L",1,IF($C19="1/2L",0.5,0)),0)</f>
        <v>0</v>
      </c>
      <c r="CL19" s="207">
        <f>IF(CL$3=$K19,IF($C19="W",1,IF($C19="1/2W",0.5,0)),0)</f>
        <v>0</v>
      </c>
      <c r="CM19" s="207">
        <f>IF(CL$3=$K19,IF($C19="L",1,IF($C19="1/2L",0.5,0)),0)</f>
        <v>0</v>
      </c>
      <c r="CN19" s="207">
        <f>IF(CN$3=$K19,IF($C19="W",1,IF($C19="1/2W",0.5,0)),0)</f>
        <v>0</v>
      </c>
      <c r="CO19" s="207">
        <f>IF(CN$3=$K19,IF($C19="L",1,IF($C19="1/2L",0.5,0)),0)</f>
        <v>0</v>
      </c>
      <c r="CP19" s="207">
        <f>IF(CP$3=$K19,IF($C19="W",1,IF($C19="1/2W",0.5,0)),0)</f>
        <v>0</v>
      </c>
      <c r="CQ19" s="207">
        <f>IF(CP$3=$K19,IF($C19="L",1,IF($C19="1/2L",0.5,0)),0)</f>
        <v>0</v>
      </c>
      <c r="CR19" s="207">
        <f>IF(CR$3=$K19,IF($C19="W",1,IF($C19="1/2W",0.5,0)),0)</f>
        <v>0</v>
      </c>
      <c r="CS19" s="207">
        <f>IF(CR$3=$K19,IF($C19="L",1,IF($C19="1/2L",0.5,0)),0)</f>
        <v>0</v>
      </c>
      <c r="CT19" s="208">
        <f>IF(CT$3=$K19,IF($C19="W",1,IF($C19="1/2W",0.5,0)),0)</f>
        <v>0</v>
      </c>
      <c r="CU19" s="209">
        <f>IF(CT$3=$K19,IF($C19="L",1,IF($C19="1/2L",0.5,0)),0)</f>
        <v>1</v>
      </c>
      <c r="CV19" s="209">
        <f>IF(CV$3=$K19,IF($C19="W",1,IF($C19="1/2W",0.5,0)),0)</f>
        <v>0</v>
      </c>
      <c r="CW19" s="209">
        <f>IF(CV$3=$K19,IF($C19="L",1,IF($C19="1/2L",0.5,0)),0)</f>
        <v>0</v>
      </c>
      <c r="CX19" s="209">
        <f>IF(CX$3=$K19,IF($C19="W",1,IF($C19="1/2W",0.5,0)),0)</f>
        <v>0</v>
      </c>
      <c r="CY19" s="209">
        <f>IF(CX$3=$K19,IF($C19="L",1,IF($C19="1/2L",0.5,0)),0)</f>
        <v>0</v>
      </c>
      <c r="CZ19" s="209">
        <f>IF(CZ$3=$K19,IF($C19="W",1,IF($C19="1/2W",0.5,0)),0)</f>
        <v>0</v>
      </c>
      <c r="DA19" s="209">
        <f>IF(CZ$3=$K19,IF($C19="L",1,IF($C19="1/2L",0.5,0)),0)</f>
        <v>0</v>
      </c>
      <c r="DB19" s="209">
        <f>IF(DB$3=$K19,IF($C19="W",1,IF($C19="1/2W",0.5,0)),0)</f>
        <v>0</v>
      </c>
      <c r="DC19" s="209">
        <f>IF(DB$3=$K19,IF($C19="L",1,IF($C19="1/2L",0.5,0)),0)</f>
        <v>0</v>
      </c>
      <c r="DD19" s="209">
        <f>IF(DD$3=$K19,IF($C19="W",1,IF($C19="1/2W",0.5,0)),0)</f>
        <v>0</v>
      </c>
      <c r="DE19" s="210">
        <f>IF(DD$3=$K19,IF($C19="L",1,IF($C19="1/2L",0.5,0)),0)</f>
        <v>0</v>
      </c>
      <c r="DF19" s="211">
        <f>IF(AND(L19&lt;DF$3,$C19="W"),1+DF18,DF18)</f>
        <v>1</v>
      </c>
      <c r="DG19" s="198">
        <f>IF(DF19&gt;DF18,L19+DG18,DG18)</f>
        <v>1.44</v>
      </c>
      <c r="DH19" s="209">
        <f>IF(AND(L19&gt;DH$3,$C19="W"),1+DH18,0+DH18)</f>
        <v>0</v>
      </c>
      <c r="DI19" s="198">
        <f>IF(DH19&gt;DH18,L19+DI18,DI18)</f>
        <v>0</v>
      </c>
      <c r="DJ19" s="209">
        <f>IF($D19="","",$D19)</f>
        <v>16</v>
      </c>
      <c r="DK19" s="209">
        <f>IF(AND($B19=" ",$D19&lt;&gt;""),1,0)</f>
        <v>0</v>
      </c>
    </row>
    <row r="20" ht="14.55" customHeight="1">
      <c r="A20" s="107"/>
      <c r="B20" s="108"/>
      <c r="C20" t="s" s="213">
        <v>56</v>
      </c>
      <c r="D20" s="110"/>
      <c r="E20" s="111"/>
      <c r="F20" s="113"/>
      <c r="G20" s="214"/>
      <c r="H20" s="114"/>
      <c r="I20" t="s" s="215">
        <v>57</v>
      </c>
      <c r="J20" s="296">
        <f>IF(OR(I19="TO",I19="TU",I19="TO1",I19="TU1",I19="TO2",I19="TU2"),J19,IF(OR(I19="AH1",I19="AH2"),IF(OR(I20="AH1",I20="AH2"),-J19,IF(OR(I20="EH1",I20="EH2"),-J19+0.5,"")),IF(OR(I19="EH1",I19="EH2"),IF(OR(I20="AH1",I20="AH2"),-J19+0.5,IF(OR(I20="EH1",I20="EH2"),-J19+1,"")),IF(AND(OR(I19="DNB1",I19="DNB2"),OR(I20="AH1",I20="AH2")),0,IF(AND(I19="Not ScoreBoth",OR(I20="TO1",I20="TO2")),0.5,"")))))</f>
        <v>0</v>
      </c>
      <c r="K20" t="s" s="217">
        <v>37</v>
      </c>
      <c r="L20" s="218">
        <v>1.7</v>
      </c>
      <c r="M20" s="219">
        <v>25</v>
      </c>
      <c r="N20" s="120"/>
      <c r="O20" s="220">
        <f>IF(OR(AE19="",AE20=""),"",ROUND(IF(L21&gt;0,IF(M20&gt;0,M20,IF(M19&gt;0,IF(N19=TRUE,ROUND((M19*AE20)/AE19,0),(M19*AE20)/AE19),IF(M20&gt;0,ROUND(M20,IF(N19=0,2,IF(N19=0.1,1,0))),IF(M21&gt;0,ROUND(O21*AE20/AE21,IF(N19=0,2,IF(N19=0.1,1,0))),0)))),IF(M20&gt;0,M20,ROUND((M19*AE20)/AE19,IF(N19=0,2,IF(N19=0.1,1,0))))),2))</f>
        <v>25</v>
      </c>
      <c r="P20" s="221">
        <f>IF(OR(L20="",O20=""),"",IF($C20="1/2W",O20/2+O20/2*L20,IF($C20="1/2L",O20/2,IF(I20="Lay",((O20*(L20/(L20-1)))-O20)*(1-_xlfn.XLOOKUP(K20,'Janeiro 2023 - Valor Real'!A3:A15,'Janeiro 2023 - Valor Real'!C3:C15,0))+O20,(O20*L20-O20)*(1-_xlfn.XLOOKUP(K20,'Janeiro 2023 - Valor Real'!A3:A15,'Janeiro 2023 - Valor Real'!C3:C15,0))+O20))))</f>
        <v>42.5</v>
      </c>
      <c r="Q20" s="222">
        <v>1</v>
      </c>
      <c r="R20" s="223">
        <v>0</v>
      </c>
      <c r="S20" s="125"/>
      <c r="T20" s="126"/>
      <c r="U20" s="126"/>
      <c r="V20" s="224"/>
      <c r="W20" s="126"/>
      <c r="X20" s="127"/>
      <c r="Y20" s="128"/>
      <c r="Z20" s="129"/>
      <c r="AA20" s="129"/>
      <c r="AB20" s="129"/>
      <c r="AC20" s="129"/>
      <c r="AD20" s="225">
        <f>(((L20/(L20-1)-1)*(1-_xlfn.XLOOKUP(K20,'Janeiro 2023 - Valor Real'!A3:A15,'Janeiro 2023 - Valor Real'!C3:C15,0))+1))</f>
        <v>2.42857142857143</v>
      </c>
      <c r="AE20" s="226">
        <f>IF(L20="","",IF(L21&gt;0,(SUM(((L19-1)*(1-_xlfn.XLOOKUP(K19,'Janeiro 2023 - Valor Real'!A3:A15,'Janeiro 2023 - Valor Real'!C3:C15,0))+1),((L20-1)*(1-_xlfn.XLOOKUP(K20,'Janeiro 2023 - Valor Real'!A3:A15,'Janeiro 2023 - Valor Real'!C3:C15,0))+1),((L21-1)*(1-_xlfn.XLOOKUP(K21,'Janeiro 2023 - Valor Real'!A3:A15,'Janeiro 2023 - Valor Real'!C3:C15,0))+1))/((L20-1)*(1-_xlfn.XLOOKUP(K20,'Janeiro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Real'!C3:C15,0))+1))/((L19-1)*(1-_xlfn.XLOOKUP(K19,'Janeiro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Real'!C3:C15,0))+1))/((L20-1)*(1-_xlfn.XLOOKUP(K20,'Janeiro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Real'!C3:C15,0))+1))/((L21-1)*(1-_xlfn.XLOOKUP(K21,'Janeiro 2023 - Valor Real'!A3:A15,'Janeiro 2023 - Valor Real'!C3:C15,0))+1)),IF(I20="Lay",IF(I19="Lay",((L19/(L19-1)-1)*(1-_xlfn.XLOOKUP(K19,'Janeiro 2023 - Valor Real'!A3:A15,'Janeiro 2023 - Valor Real'!C3:C15,0))+1)/(((L19/(L19-1)-1)*(1-_xlfn.XLOOKUP(K19,'Janeiro 2023 - Valor Real'!A3:A15,'Janeiro 2023 - Valor Real'!C3:C15,0))+1)+((L20/(L20-1)-1)*(1-_xlfn.XLOOKUP(K20,'Janeiro 2023 - Valor Real'!A3:A15,'Janeiro 2023 - Valor Real'!C3:C15,0))+1)),((L19-1)*(1-_xlfn.XLOOKUP(K19,'Janeiro 2023 - Valor Real'!A3:A15,'Janeiro 2023 - Valor Real'!C3:C15,0))+1)/(((L19-1)*(1-_xlfn.XLOOKUP(K19,'Janeiro 2023 - Valor Real'!A3:A15,'Janeiro 2023 - Valor Real'!C3:C15,0))+1)+((L20/(L20-1)-1)*(1-_xlfn.XLOOKUP(K20,'Janeiro 2023 - Valor Real'!A3:A15,'Janeiro 2023 - Valor Real'!C3:C15,0))+1))),IF(I19="Lay",((L19/(L19-1)-1)*(1-_xlfn.XLOOKUP(K19,'Janeiro 2023 - Valor Real'!A3:A15,'Janeiro 2023 - Valor Real'!C3:C15,0))+1)/((((L19/(L19-1)-1)*(1-_xlfn.XLOOKUP(K19,'Janeiro 2023 - Valor Real'!A3:A15,'Janeiro 2023 - Valor Real'!C3:C15,0))+1))+((L20-1)*(1-_xlfn.XLOOKUP(K20,'Janeiro 2023 - Valor Real'!A3:A15,'Janeiro 2023 - Valor Real'!C3:C15,0))+1)),((L19-1)*(1-_xlfn.XLOOKUP(K19,'Janeiro 2023 - Valor Real'!A3:A15,'Janeiro 2023 - Valor Real'!C3:C15,0))+1)/(((L19-1)*(1-_xlfn.XLOOKUP(K19,'Janeiro 2023 - Valor Real'!A3:A15,'Janeiro 2023 - Valor Real'!C3:C15,0))+1)+((L20-1)*(1-_xlfn.XLOOKUP(K20,'Janeiro 2023 - Valor Real'!A3:A15,'Janeiro 2023 - Valor Real'!C3:C15,0))+1))))))</f>
        <v>0.623893805309735</v>
      </c>
      <c r="AF20" s="197">
        <f>IF($K20=AF$3,ROUND(IF(OR($C20="W",$C20="1/2W",$C20="1/2L"),$P20-$O20,IF($C20="X",0,-$O20)),2),0)</f>
        <v>17.5</v>
      </c>
      <c r="AG20" s="198">
        <f>IF($K20=AG$3,ROUND(IF(OR($C20="W",$C20="1/2W",$C20="1/2L"),$P20-$O20,IF($C20="X",0,-$O20)),2),0)</f>
        <v>0</v>
      </c>
      <c r="AH20" s="198">
        <f>IF($K20=AH$3,ROUND(IF(OR($C20="W",$C20="1/2W",$C20="1/2L"),$P20-$O20,IF($C20="X",0,-$O20)),2),0)</f>
        <v>0</v>
      </c>
      <c r="AI20" s="198">
        <f>IF($K20=AI$3,ROUND(IF(OR($C20="W",$C20="1/2W",$C20="1/2L"),$P20-$O20,IF($C20="X",0,-$O20)),2),0)</f>
        <v>0</v>
      </c>
      <c r="AJ20" s="198">
        <f>IF($K20=AJ$3,ROUND(IF(OR($C20="W",$C20="1/2W",$C20="1/2L"),$P20-$O20,IF($C20="X",0,-$O20)),2),0)</f>
        <v>0</v>
      </c>
      <c r="AK20" s="198">
        <f>IF($K20=AK$3,ROUND(IF(OR($C20="W",$C20="1/2W",$C20="1/2L"),$P20-$O20,IF($C20="X",0,-$O20)),2),0)</f>
        <v>0</v>
      </c>
      <c r="AL20" s="198">
        <f>IF($K20=AL$3,ROUND(IF(OR($C20="W",$C20="1/2W",$C20="1/2L"),$P20-$O20,IF($C20="X",0,-$O20)),2),0)</f>
        <v>0</v>
      </c>
      <c r="AM20" s="198">
        <f>IF($K20=AM$3,ROUND(IF(OR($C20="W",$C20="1/2W",$C20="1/2L"),$P20-$O20,IF($C20="X",0,-$O20)),2),0)</f>
        <v>0</v>
      </c>
      <c r="AN20" s="198">
        <f>IF($K20=AN$3,ROUND(IF(OR($C20="W",$C20="1/2W",$C20="1/2L"),$P20-$O20,IF($C20="X",0,-$O20)),2),0)</f>
        <v>0</v>
      </c>
      <c r="AO20" s="198">
        <f>IF($K20=AO$3,ROUND(IF(OR($C20="W",$C20="1/2W",$C20="1/2L"),$P20-$O20,IF($C20="X",0,-$O20)),2),0)</f>
        <v>0</v>
      </c>
      <c r="AP20" s="198">
        <f>IF($K20=AP$3,ROUND(IF(OR($C20="W",$C20="1/2W",$C20="1/2L"),$P20-$O20,IF($C20="X",0,-$O20)),2),0)</f>
        <v>0</v>
      </c>
      <c r="AQ20" s="198">
        <f>IF($K20=AQ$3,ROUND(IF(OR($C20="W",$C20="1/2W",$C20="1/2L"),$P20-$O20,IF($C20="X",0,-$O20)),2),0)</f>
        <v>0</v>
      </c>
      <c r="AR20" s="199">
        <f>IF($K20=AR$3,ROUND(IF(OR($C20="W",$C20="1/2W",$C20="1/2L"),$P20-$O20,IF($C20="X",0,-$O20)),2),0)</f>
        <v>0</v>
      </c>
      <c r="AS20" s="197">
        <f>IF(AND($B19=" ",$K20=AS$3),$O20,0)</f>
        <v>0</v>
      </c>
      <c r="AT20" s="198">
        <f>IF(AND($B19=" ",K20=AT$3),$O20,0)</f>
        <v>0</v>
      </c>
      <c r="AU20" s="198">
        <f>IF(AND($B19=" ",$K20=AU$3),$O20,0)</f>
        <v>0</v>
      </c>
      <c r="AV20" s="198">
        <f>IF(AND($B19=" ",$K20=AV$3),$O20,0)</f>
        <v>0</v>
      </c>
      <c r="AW20" s="198">
        <f>IF(AND($B19=" ",$K20=AW$3),$O20,0)</f>
        <v>0</v>
      </c>
      <c r="AX20" s="198">
        <f>IF(AND($B19=" ",$K20=AX$3),$O20,0)</f>
        <v>0</v>
      </c>
      <c r="AY20" s="200">
        <f>IF(AND($B19=" ",$K20=AY$3),$O20,0)</f>
        <v>0</v>
      </c>
      <c r="AZ20" s="201">
        <f>IF(AND($B19=" ",$K20=AZ$3),$O20,0)</f>
        <v>0</v>
      </c>
      <c r="BA20" s="201">
        <f>IF(AND($B19=" ",$K20=BA$3),$O20,0)</f>
        <v>0</v>
      </c>
      <c r="BB20" s="201">
        <f>IF(AND($B19=" ",$K20=BB$3),$O20,0)</f>
        <v>0</v>
      </c>
      <c r="BC20" s="202">
        <f>IF(AND($B19=" ",$K20=BC$3),$O20,0)</f>
        <v>0</v>
      </c>
      <c r="BD20" s="198">
        <f>IF(AND($B19=" ",$K20=BD$3),$O20,0)</f>
        <v>0</v>
      </c>
      <c r="BE20" s="199">
        <f>IF(AND($B19=" ",$K20=BE$3),$O20,0)</f>
        <v>0</v>
      </c>
      <c r="BF20" s="197">
        <f>IF($K20=BF$3,IF($C20="X",0,$O20),0)</f>
        <v>25</v>
      </c>
      <c r="BG20" s="198">
        <f>IF($K20=BG$3,IF($C20="X",0,$O20),0)</f>
        <v>0</v>
      </c>
      <c r="BH20" s="198">
        <f>IF($K20=BH$3,IF($C20="X",0,$O20),0)</f>
        <v>0</v>
      </c>
      <c r="BI20" s="198">
        <f>IF($K20=BI$3,IF($C20="X",0,$O20),0)</f>
        <v>0</v>
      </c>
      <c r="BJ20" s="198">
        <f>IF($K20=BJ$3,IF($C20="X",0,$O20),0)</f>
        <v>0</v>
      </c>
      <c r="BK20" s="198">
        <f>IF($K20=BK$3,IF($C20="X",0,$O20),0)</f>
        <v>0</v>
      </c>
      <c r="BL20" s="198">
        <f>IF($K20=BL$3,IF($C20="X",0,$O20),0)</f>
        <v>0</v>
      </c>
      <c r="BM20" s="227">
        <f>IF($K20=BM$3,IF($C20="X",0,$O20),0)</f>
        <v>0</v>
      </c>
      <c r="BN20" s="205">
        <f>IF($K20=BN$3,IF($C20="X",0,$O20),0)</f>
        <v>0</v>
      </c>
      <c r="BO20" s="205">
        <f>IF($K20=BO$3,IF($C20="X",0,$O20),0)</f>
        <v>0</v>
      </c>
      <c r="BP20" s="205">
        <f>IF($K20=BP$3,IF($C20="X",0,$O20),0)</f>
        <v>0</v>
      </c>
      <c r="BQ20" s="202">
        <f>IF($K20=BQ$3,IF($C20="X",0,$O20),0)</f>
        <v>0</v>
      </c>
      <c r="BR20" s="199">
        <f>IF($K20=BR$3,IF($C20="X",0,$O20),0)</f>
        <v>0</v>
      </c>
      <c r="BS20" s="228"/>
      <c r="BT20" s="229"/>
      <c r="BU20" s="140"/>
      <c r="BV20" s="229"/>
      <c r="BW20" s="140"/>
      <c r="BX20" s="140"/>
      <c r="BY20" s="140"/>
      <c r="BZ20" s="229"/>
      <c r="CA20" s="140"/>
      <c r="CB20" s="140"/>
      <c r="CC20" s="140"/>
      <c r="CD20" s="141"/>
      <c r="CE20" s="142"/>
      <c r="CF20" s="230">
        <f>IF(CF$3=$K20,IF($C20="W",1,IF($C20="1/2W",0.5,0)),0)</f>
        <v>1</v>
      </c>
      <c r="CG20" s="231">
        <f>IF(CF$3=$K20,IF($C20="L",1,IF($C20="1/2L",0.5,0)),0)</f>
        <v>0</v>
      </c>
      <c r="CH20" s="231">
        <f>IF(CH$3=$K20,IF($C20="W",1,IF($C20="1/2W",0.5,0)),0)</f>
        <v>0</v>
      </c>
      <c r="CI20" s="231">
        <f>IF(CH$3=$K20,IF($C20="L",1,IF($C20="1/2L",0.5,0)),0)</f>
        <v>0</v>
      </c>
      <c r="CJ20" s="231">
        <f>IF(CJ$3=$K20,IF($C20="W",1,IF($C20="1/2W",0.5,0)),0)</f>
        <v>0</v>
      </c>
      <c r="CK20" s="231">
        <f>IF(CJ$3=$K20,IF($C20="L",1,IF($C20="1/2L",0.5,0)),0)</f>
        <v>0</v>
      </c>
      <c r="CL20" s="231">
        <f>IF(CL$3=$K20,IF($C20="W",1,IF($C20="1/2W",0.5,0)),0)</f>
        <v>0</v>
      </c>
      <c r="CM20" s="231">
        <f>IF(CL$3=$K20,IF($C20="L",1,IF($C20="1/2L",0.5,0)),0)</f>
        <v>0</v>
      </c>
      <c r="CN20" s="231">
        <f>IF(CN$3=$K20,IF($C20="W",1,IF($C20="1/2W",0.5,0)),0)</f>
        <v>0</v>
      </c>
      <c r="CO20" s="231">
        <f>IF(CN$3=$K20,IF($C20="L",1,IF($C20="1/2L",0.5,0)),0)</f>
        <v>0</v>
      </c>
      <c r="CP20" s="231">
        <f>IF(CP$3=$K20,IF($C20="W",1,IF($C20="1/2W",0.5,0)),0)</f>
        <v>0</v>
      </c>
      <c r="CQ20" s="231">
        <f>IF(CP$3=$K20,IF($C20="L",1,IF($C20="1/2L",0.5,0)),0)</f>
        <v>0</v>
      </c>
      <c r="CR20" s="231">
        <f>IF(CR$3=$K20,IF($C20="W",1,IF($C20="1/2W",0.5,0)),0)</f>
        <v>0</v>
      </c>
      <c r="CS20" s="231">
        <f>IF(CR$3=$K20,IF($C20="L",1,IF($C20="1/2L",0.5,0)),0)</f>
        <v>0</v>
      </c>
      <c r="CT20" s="208">
        <f>IF(CT$3=$K20,IF($C20="W",1,IF($C20="1/2W",0.5,0)),0)</f>
        <v>0</v>
      </c>
      <c r="CU20" s="209">
        <f>IF(CT$3=$K20,IF($C20="L",1,IF($C20="1/2L",0.5,0)),0)</f>
        <v>0</v>
      </c>
      <c r="CV20" s="209">
        <f>IF(CV$3=$K20,IF($C20="W",1,IF($C20="1/2W",0.5,0)),0)</f>
        <v>0</v>
      </c>
      <c r="CW20" s="209">
        <f>IF(CV$3=$K20,IF($C20="L",1,IF($C20="1/2L",0.5,0)),0)</f>
        <v>0</v>
      </c>
      <c r="CX20" s="209">
        <f>IF(CX$3=$K20,IF($C20="W",1,IF($C20="1/2W",0.5,0)),0)</f>
        <v>0</v>
      </c>
      <c r="CY20" s="209">
        <f>IF(CX$3=$K20,IF($C20="L",1,IF($C20="1/2L",0.5,0)),0)</f>
        <v>0</v>
      </c>
      <c r="CZ20" s="209">
        <f>IF(CZ$3=$K20,IF($C20="W",1,IF($C20="1/2W",0.5,0)),0)</f>
        <v>0</v>
      </c>
      <c r="DA20" s="209">
        <f>IF(CZ$3=$K20,IF($C20="L",1,IF($C20="1/2L",0.5,0)),0)</f>
        <v>0</v>
      </c>
      <c r="DB20" s="209">
        <f>IF(DB$3=$K20,IF($C20="W",1,IF($C20="1/2W",0.5,0)),0)</f>
        <v>0</v>
      </c>
      <c r="DC20" s="209">
        <f>IF(DB$3=$K20,IF($C20="L",1,IF($C20="1/2L",0.5,0)),0)</f>
        <v>0</v>
      </c>
      <c r="DD20" s="209">
        <f>IF(DD$3=$K20,IF($C20="W",1,IF($C20="1/2W",0.5,0)),0)</f>
        <v>0</v>
      </c>
      <c r="DE20" s="210">
        <f>IF(DD$3=$K20,IF($C20="L",1,IF($C20="1/2L",0.5,0)),0)</f>
        <v>0</v>
      </c>
      <c r="DF20" s="211">
        <f>IF(AND(L20&lt;DF$3,$C20="W"),1+DF19,DF19)</f>
        <v>1</v>
      </c>
      <c r="DG20" s="198">
        <f>IF(DF20&gt;DF19,L20+DG19,DG19)</f>
        <v>1.44</v>
      </c>
      <c r="DH20" s="209">
        <f>IF(AND(L20&gt;DH$3,$C20="W"),1+DH19,0+DH19)</f>
        <v>0</v>
      </c>
      <c r="DI20" s="198">
        <f>IF(DH20&gt;DH19,L20+DI19,DI19)</f>
        <v>0</v>
      </c>
      <c r="DJ20" s="209">
        <f>IF($D19="","",$D19)</f>
        <v>16</v>
      </c>
      <c r="DK20" s="232"/>
    </row>
    <row r="21" ht="14.55" customHeight="1">
      <c r="A21" s="149"/>
      <c r="B21" s="150"/>
      <c r="C21" t="s" s="233">
        <v>58</v>
      </c>
      <c r="D21" s="152"/>
      <c r="E21" s="153"/>
      <c r="F21" s="155"/>
      <c r="G21" s="234"/>
      <c r="H21" s="156"/>
      <c r="I21" s="235"/>
      <c r="J21" s="236"/>
      <c r="K21" s="237"/>
      <c r="L21" s="238"/>
      <c r="M21" s="239"/>
      <c r="N21" s="161"/>
      <c r="O21" t="s" s="240">
        <f>IF(OR(AE19="",AE20=""),"",IF(L21&gt;0,ROUND(IF(M21&gt;0,M21,IF(M19&gt;0,ROUND((M19*AE21)/AE19,IF(N19=0,2,IF(N19=0.1,1,0))),IF(M20&gt;0,ROUND((M20*AE21)/AE20,IF(N19=0,2,IF(N19=0.1,1,0))),IF(M21&gt;0,M21,0)))),2),""))</f>
      </c>
      <c r="P21" t="s" s="241">
        <f>IF(I20="Lay",O20*(L20/(L20-1))-O20,IF(I19="Lay",O19*(L19/(L19-1))-O19,IF(OR(L21="",O21=""),"",IF($C21="1/2W",O21/2+O21/2*L21,IF($C21="1/2L",O21/2,(O21*L21-O21)*(1-_xlfn.XLOOKUP(K21,'Janeiro 2023 - Valor Real'!A3:A15,'Janeiro 2023 - Valor Real'!C3:C15,0))+O21)))))</f>
      </c>
      <c r="Q21" t="s" s="242"/>
      <c r="R21" t="s" s="243"/>
      <c r="S21" s="166"/>
      <c r="T21" s="155"/>
      <c r="U21" s="155"/>
      <c r="V21" s="166"/>
      <c r="W21" s="155"/>
      <c r="X21" s="167"/>
      <c r="Y21" s="128"/>
      <c r="Z21" s="129"/>
      <c r="AA21" s="129"/>
      <c r="AB21" s="129"/>
      <c r="AC21" s="129"/>
      <c r="AD21" s="244">
        <f>((L20/(L20-1)-1))</f>
        <v>1.42857142857143</v>
      </c>
      <c r="AE21" t="s" s="245">
        <f>IF(L21="","",(SUM(((L19-1)*(1-_xlfn.XLOOKUP(K19,'Janeiro 2023 - Valor Real'!A3:A15,'Janeiro 2023 - Valor Real'!C3:C15,0))+1),((L20-1)*(1-_xlfn.XLOOKUP(K20,'Janeiro 2023 - Valor Real'!A3:A15,'Janeiro 2023 - Valor Real'!C3:C15,0))+1),((L21-1)*(1-_xlfn.XLOOKUP(K21,'Janeiro 2023 - Valor Real'!A3:A15,'Janeiro 2023 - Valor Real'!C3:C15,0))+1))/((L21-1)*(1-_xlfn.XLOOKUP(K21,'Janeiro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Real'!C3:C15,0))+1))/((L19-1)*(1-_xlfn.XLOOKUP(K19,'Janeiro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Real'!C3:C15,0))+1))/((L20-1)*(1-_xlfn.XLOOKUP(K20,'Janeiro 2023 - Valor Real'!A3:A15,'Janeiro 2023 - Valor Real'!C3:C15,0))+1)+SUM(((L19-1)*(1-_xlfn.XLOOKUP(K19,'Janeiro 2023 - Valor Real'!A3:A15,'Janeiro 2023 - Valor Real'!C3:C15,0))+1),((L20-1)*(1-_xlfn.XLOOKUP(K20,'Janeiro 2023 - Valor Real'!A3:A15,'Janeiro 2023 - Valor Real'!C3:C15,0))+1),((L21-1)*(1-_xlfn.XLOOKUP(K21,'Janeiro 2023 - Valor Real'!A3:A15,'Janeiro 2023 - Valor Real'!C3:C15,0))+1))/((L21-1)*(1-_xlfn.XLOOKUP(K21,'Janeiro 2023 - Valor Real'!A3:A15,'Janeiro 2023 - Valor Real'!C3:C15,0))+1)))</f>
      </c>
      <c r="AF21" s="197">
        <f>IF($K21=AF$3,ROUND(IF(OR($C21="W",$C21="1/2W",$C21="1/2L"),$P21-$O21,IF($C21="X",0,-$O21)),2),0)</f>
        <v>0</v>
      </c>
      <c r="AG21" s="198">
        <f>IF($K21=AG$3,ROUND(IF(OR($C21="W",$C21="1/2W",$C21="1/2L"),$P21-$O21,IF($C21="X",0,-$O21)),2),0)</f>
        <v>0</v>
      </c>
      <c r="AH21" s="198">
        <f>IF($K21=AH$3,ROUND(IF(OR($C21="W",$C21="1/2W",$C21="1/2L"),$P21-$O21,IF($C21="X",0,-$O21)),2),0)</f>
        <v>0</v>
      </c>
      <c r="AI21" s="198">
        <f>IF($K21=AI$3,ROUND(IF(OR($C21="W",$C21="1/2W",$C21="1/2L"),$P21-$O21,IF($C21="X",0,-$O21)),2),0)</f>
        <v>0</v>
      </c>
      <c r="AJ21" s="198">
        <f>IF($K21=AJ$3,ROUND(IF(OR($C21="W",$C21="1/2W",$C21="1/2L"),$P21-$O21,IF($C21="X",0,-$O21)),2),0)</f>
        <v>0</v>
      </c>
      <c r="AK21" s="198">
        <f>IF($K21=AK$3,ROUND(IF(OR($C21="W",$C21="1/2W",$C21="1/2L"),$P21-$O21,IF($C21="X",0,-$O21)),2),0)</f>
        <v>0</v>
      </c>
      <c r="AL21" s="198">
        <f>IF($K21=AL$3,ROUND(IF(OR($C21="W",$C21="1/2W",$C21="1/2L"),$P21-$O21,IF($C21="X",0,-$O21)),2),0)</f>
        <v>0</v>
      </c>
      <c r="AM21" s="198">
        <f>IF($K21=AM$3,ROUND(IF(OR($C21="W",$C21="1/2W",$C21="1/2L"),$P21-$O21,IF($C21="X",0,-$O21)),2),0)</f>
        <v>0</v>
      </c>
      <c r="AN21" s="198">
        <f>IF($K21=AN$3,ROUND(IF(OR($C21="W",$C21="1/2W",$C21="1/2L"),$P21-$O21,IF($C21="X",0,-$O21)),2),0)</f>
        <v>0</v>
      </c>
      <c r="AO21" s="198">
        <f>IF($K21=AO$3,ROUND(IF(OR($C21="W",$C21="1/2W",$C21="1/2L"),$P21-$O21,IF($C21="X",0,-$O21)),2),0)</f>
        <v>0</v>
      </c>
      <c r="AP21" s="198">
        <f>IF($K21=AP$3,ROUND(IF(OR($C21="W",$C21="1/2W",$C21="1/2L"),$P21-$O21,IF($C21="X",0,-$O21)),2),0)</f>
        <v>0</v>
      </c>
      <c r="AQ21" s="198">
        <f>IF($K21=AQ$3,ROUND(IF(OR($C21="W",$C21="1/2W",$C21="1/2L"),$P21-$O21,IF($C21="X",0,-$O21)),2),0)</f>
        <v>0</v>
      </c>
      <c r="AR21" s="199">
        <f>IF($K21=AR$3,ROUND(IF(OR($C21="W",$C21="1/2W",$C21="1/2L"),$P21-$O21,IF($C21="X",0,-$O21)),2),0)</f>
        <v>0</v>
      </c>
      <c r="AS21" s="197">
        <f>IF(AND($B19=" ",$K21=AS$3),$O21,0)</f>
        <v>0</v>
      </c>
      <c r="AT21" s="198">
        <f>IF(AND($B19=" ",K21=AT$3),$O21,0)</f>
        <v>0</v>
      </c>
      <c r="AU21" s="198">
        <f>IF(AND($B19=" ",$K21=AU$3),$O21,0)</f>
        <v>0</v>
      </c>
      <c r="AV21" s="198">
        <f>IF(AND($B19=" ",$K21=AV$3),$O21,0)</f>
        <v>0</v>
      </c>
      <c r="AW21" s="198">
        <f>IF(AND($B19=" ",$K21=AW$3),$O21,0)</f>
        <v>0</v>
      </c>
      <c r="AX21" s="198">
        <f>IF(AND($B19=" ",$K21=AX$3),$O21,0)</f>
        <v>0</v>
      </c>
      <c r="AY21" s="200">
        <f>IF(AND($B19=" ",$K21=AY$3),$O21,0)</f>
        <v>0</v>
      </c>
      <c r="AZ21" s="201">
        <f>IF(AND($B19=" ",$K21=AZ$3),$O21,0)</f>
        <v>0</v>
      </c>
      <c r="BA21" s="201">
        <f>IF(AND($B19=" ",$K21=BA$3),$O21,0)</f>
        <v>0</v>
      </c>
      <c r="BB21" s="201">
        <f>IF(AND($B19=" ",$K21=BB$3),$O21,0)</f>
        <v>0</v>
      </c>
      <c r="BC21" s="202">
        <f>IF(AND($B19=" ",$K21=BC$3),$O21,0)</f>
        <v>0</v>
      </c>
      <c r="BD21" s="198">
        <f>IF(AND($B19=" ",$K21=BD$3),$O21,0)</f>
        <v>0</v>
      </c>
      <c r="BE21" s="199">
        <f>IF(AND($B19=" ",$K21=BE$3),$O21,0)</f>
        <v>0</v>
      </c>
      <c r="BF21" s="197">
        <f>IF($K21=BF$3,IF($C21="X",0,$O21),0)</f>
        <v>0</v>
      </c>
      <c r="BG21" s="198">
        <f>IF($K21=BG$3,IF($C21="X",0,$O21),0)</f>
        <v>0</v>
      </c>
      <c r="BH21" s="198">
        <f>IF($K21=BH$3,IF($C21="X",0,$O21),0)</f>
        <v>0</v>
      </c>
      <c r="BI21" s="198">
        <f>IF($K21=BI$3,IF($C21="X",0,$O21),0)</f>
        <v>0</v>
      </c>
      <c r="BJ21" s="198">
        <f>IF($K21=BJ$3,IF($C21="X",0,$O21),0)</f>
        <v>0</v>
      </c>
      <c r="BK21" s="198">
        <f>IF($K21=BK$3,IF($C21="X",0,$O21),0)</f>
        <v>0</v>
      </c>
      <c r="BL21" s="198">
        <f>IF($K21=BL$3,IF($C21="X",0,$O21),0)</f>
        <v>0</v>
      </c>
      <c r="BM21" s="200">
        <f>IF($K21=BM$3,IF($C21="X",0,$O21),0)</f>
        <v>0</v>
      </c>
      <c r="BN21" s="201">
        <f>IF($K21=BN$3,IF($C21="X",0,$O21),0)</f>
        <v>0</v>
      </c>
      <c r="BO21" s="201">
        <f>IF($K21=BO$3,IF($C21="X",0,$O21),0)</f>
        <v>0</v>
      </c>
      <c r="BP21" s="201">
        <f>IF($K21=BP$3,IF($C21="X",0,$O21),0)</f>
        <v>0</v>
      </c>
      <c r="BQ21" s="202">
        <f>IF($K21=BQ$3,IF($C21="X",0,$O21),0)</f>
        <v>0</v>
      </c>
      <c r="BR21" s="199">
        <f>IF($K21=BR$3,IF($C21="X",0,$O21),0)</f>
        <v>0</v>
      </c>
      <c r="BS21" s="228"/>
      <c r="BT21" s="229"/>
      <c r="BU21" s="140"/>
      <c r="BV21" s="229"/>
      <c r="BW21" s="140"/>
      <c r="BX21" s="140"/>
      <c r="BY21" s="140"/>
      <c r="BZ21" s="229"/>
      <c r="CA21" s="140"/>
      <c r="CB21" s="140"/>
      <c r="CC21" s="140"/>
      <c r="CD21" s="141"/>
      <c r="CE21" s="142"/>
      <c r="CF21" s="230">
        <f>IF(CF$3=$K21,IF($C21="W",1,IF($C21="1/2W",0.5,0)),0)</f>
        <v>0</v>
      </c>
      <c r="CG21" s="231">
        <f>IF(CF$3=$K21,IF($C21="L",1,IF($C21="1/2L",0.5,0)),0)</f>
        <v>0</v>
      </c>
      <c r="CH21" s="231">
        <f>IF(CH$3=$K21,IF($C21="W",1,IF($C21="1/2W",0.5,0)),0)</f>
        <v>0</v>
      </c>
      <c r="CI21" s="231">
        <f>IF(CH$3=$K21,IF($C21="L",1,IF($C21="1/2L",0.5,0)),0)</f>
        <v>0</v>
      </c>
      <c r="CJ21" s="231">
        <f>IF(CJ$3=$K21,IF($C21="W",1,IF($C21="1/2W",0.5,0)),0)</f>
        <v>0</v>
      </c>
      <c r="CK21" s="231">
        <f>IF(CJ$3=$K21,IF($C21="L",1,IF($C21="1/2L",0.5,0)),0)</f>
        <v>0</v>
      </c>
      <c r="CL21" s="231">
        <f>IF(CL$3=$K21,IF($C21="W",1,IF($C21="1/2W",0.5,0)),0)</f>
        <v>0</v>
      </c>
      <c r="CM21" s="231">
        <f>IF(CL$3=$K21,IF($C21="L",1,IF($C21="1/2L",0.5,0)),0)</f>
        <v>0</v>
      </c>
      <c r="CN21" s="231">
        <f>IF(CN$3=$K21,IF($C21="W",1,IF($C21="1/2W",0.5,0)),0)</f>
        <v>0</v>
      </c>
      <c r="CO21" s="231">
        <f>IF(CN$3=$K21,IF($C21="L",1,IF($C21="1/2L",0.5,0)),0)</f>
        <v>0</v>
      </c>
      <c r="CP21" s="231">
        <f>IF(CP$3=$K21,IF($C21="W",1,IF($C21="1/2W",0.5,0)),0)</f>
        <v>0</v>
      </c>
      <c r="CQ21" s="231">
        <f>IF(CP$3=$K21,IF($C21="L",1,IF($C21="1/2L",0.5,0)),0)</f>
        <v>0</v>
      </c>
      <c r="CR21" s="231">
        <f>IF(CR$3=$K21,IF($C21="W",1,IF($C21="1/2W",0.5,0)),0)</f>
        <v>0</v>
      </c>
      <c r="CS21" s="231">
        <f>IF(CR$3=$K21,IF($C21="L",1,IF($C21="1/2L",0.5,0)),0)</f>
        <v>0</v>
      </c>
      <c r="CT21" s="208">
        <f>IF(CT$3=$K21,IF($C21="W",1,IF($C21="1/2W",0.5,0)),0)</f>
        <v>0</v>
      </c>
      <c r="CU21" s="209">
        <f>IF(CT$3=$K21,IF($C21="L",1,IF($C21="1/2L",0.5,0)),0)</f>
        <v>0</v>
      </c>
      <c r="CV21" s="209">
        <f>IF(CV$3=$K21,IF($C21="W",1,IF($C21="1/2W",0.5,0)),0)</f>
        <v>0</v>
      </c>
      <c r="CW21" s="209">
        <f>IF(CV$3=$K21,IF($C21="L",1,IF($C21="1/2L",0.5,0)),0)</f>
        <v>0</v>
      </c>
      <c r="CX21" s="209">
        <f>IF(CX$3=$K21,IF($C21="W",1,IF($C21="1/2W",0.5,0)),0)</f>
        <v>0</v>
      </c>
      <c r="CY21" s="209">
        <f>IF(CX$3=$K21,IF($C21="L",1,IF($C21="1/2L",0.5,0)),0)</f>
        <v>0</v>
      </c>
      <c r="CZ21" s="209">
        <f>IF(CZ$3=$K21,IF($C21="W",1,IF($C21="1/2W",0.5,0)),0)</f>
        <v>0</v>
      </c>
      <c r="DA21" s="209">
        <f>IF(CZ$3=$K21,IF($C21="L",1,IF($C21="1/2L",0.5,0)),0)</f>
        <v>0</v>
      </c>
      <c r="DB21" s="209">
        <f>IF(DB$3=$K21,IF($C21="W",1,IF($C21="1/2W",0.5,0)),0)</f>
        <v>0</v>
      </c>
      <c r="DC21" s="209">
        <f>IF(DB$3=$K21,IF($C21="L",1,IF($C21="1/2L",0.5,0)),0)</f>
        <v>0</v>
      </c>
      <c r="DD21" s="209">
        <f>IF(DD$3=$K21,IF($C21="W",1,IF($C21="1/2W",0.5,0)),0)</f>
        <v>0</v>
      </c>
      <c r="DE21" s="210">
        <f>IF(DD$3=$K21,IF($C21="L",1,IF($C21="1/2L",0.5,0)),0)</f>
        <v>0</v>
      </c>
      <c r="DF21" s="211">
        <f>IF(AND(L21&lt;DF$3,$C21="W"),1+DF20,DF20)</f>
        <v>1</v>
      </c>
      <c r="DG21" s="198">
        <f>IF(DF21&gt;DF20,L21+DG20,DG20)</f>
        <v>1.44</v>
      </c>
      <c r="DH21" s="209">
        <f>IF(AND(L21&gt;DH$3,$C21="W"),1+DH20,0+DH20)</f>
        <v>0</v>
      </c>
      <c r="DI21" s="198">
        <f>IF(DH21&gt;DH20,L21+DI20,DI20)</f>
        <v>0</v>
      </c>
      <c r="DJ21" s="209">
        <f>IF($D19="","",$D19)</f>
        <v>16</v>
      </c>
      <c r="DK21" s="232"/>
    </row>
    <row r="22" ht="14.55" customHeight="1">
      <c r="A22" s="246">
        <f>$A19+1</f>
        <v>7</v>
      </c>
      <c r="B22" t="s" s="247">
        <v>50</v>
      </c>
      <c r="C22" t="s" s="248">
        <v>51</v>
      </c>
      <c r="D22" s="249">
        <f>IF(G22="","",$D19)</f>
        <v>16</v>
      </c>
      <c r="E22" t="s" s="250">
        <v>63</v>
      </c>
      <c r="F22" t="s" s="251">
        <f>IF(G22="","",IF(OR(AND($C22&lt;&gt;" ",$C23=" "),AND($C23&lt;&gt;" ",$C22=" "),AND(L24&gt;0,OR(AND($C24&lt;&gt;" ",OR($C22=" ",$C23=" ")),AND($C24=" ",OR($C22&lt;&gt;" ",$C23&lt;&gt;" "))))),IF(SUM(F$4:F21)=0,1,LARGE(F$4:F21,1)+1),IF(MONTH(G22)=MONTH(TODAY()),IF(AND(DAY(G22)&lt;DAY(TODAY()),$B22=" "),IF(SUM(F$4:F21)=0,1,LARGE(F$4:F21,1)+1),IF($B22=" ",IF(AND(DAY(G22)=DAY(TODAY()),HOUR(G22)&lt;=HOUR(NOW())+1),IF(AND(HOUR(G22)+2&lt;=HOUR(NOW()),DAY(G22)&lt;=DAY(TODAY()),MINUTE(G22)&lt;=MINUTE(NOW())),IF(SUM(F$4:F21)=0,1,LARGE(F$4:F21,1)+1),IF(OR(MINUTE(G22)&lt;=MINUTE(NOW()),HOUR(G22)&lt;=HOUR(NOW())),"!!!","")),""),"")),"")))</f>
      </c>
      <c r="G22" s="252">
        <v>44942.25</v>
      </c>
      <c r="H22" t="s" s="253">
        <v>73</v>
      </c>
      <c r="I22" t="s" s="254">
        <v>54</v>
      </c>
      <c r="J22" s="293"/>
      <c r="K22" t="s" s="256">
        <v>40</v>
      </c>
      <c r="L22" s="257">
        <v>2.3</v>
      </c>
      <c r="M22" s="258">
        <v>5.52</v>
      </c>
      <c r="N22" s="259">
        <v>0</v>
      </c>
      <c r="O22" s="260">
        <f>IF(OR(AE22="",AE23=""),"",ROUND(IF(L24&gt;0,IF(M22&gt;0,M22,IF(M23&gt;0,ROUND((M23*AE22)/AE23,IF(N22=0,2,IF(N22=0.1,1,0))),ROUND((M24*AE22)/AE24,IF(N22=0,2,IF(N22=0.1,1,0))))),IF(M22&gt;0,M22,ROUND((M23*AE22)/AE23,IF(N22=0,2,IF(N22=0.1,1,0))))),2))</f>
        <v>5.52</v>
      </c>
      <c r="P22" s="261">
        <f>IF(OR(L22="",O22=""),"",IF($C22="1/2W",O22/2+O22/2*L22,IF($C22="1/2L",O22/2,IF(I22="Lay",(O22*(L22/(L22-1))-O22)*(1-_xlfn.XLOOKUP(K22,'Janeiro 2023 - Valor Real'!A3:A15,'Janeiro 2023 - Valor Real'!C3:C15,0))+O22,(O22*L22-O22)*(1-_xlfn.XLOOKUP(K22,'Janeiro 2023 - Valor Real'!A3:A15,'Janeiro 2023 - Valor Real'!C3:C15,0))+O22))))</f>
        <v>12.696</v>
      </c>
      <c r="Q22" s="262">
        <v>1</v>
      </c>
      <c r="R22" s="263">
        <v>0</v>
      </c>
      <c r="S22" s="264">
        <f>IF($B22="Anulado",0,ROUND(IF(OR($B22="LOSS",$B22="OK"),IF(OR($C22="W",$C22="1/2W",$C22="1/2L"),P22-O22,IF($C22="L",-O22,0))+IF(OR($C23="W",$C23="1/2W",$C23="1/2L"),P23-O23,IF($C23="L",-O23,0))+IF(OR($C24="W",$C24="1/2W",$C24="1/2L"),P24-O24,IF($C24="L",-O24,0)),IF(AND(OR($C22="W",$C22="1/2W",$C22="1/2L"),C23="W"),P22+P23-SUM(O22:O24)+_xlfn.XLOOKUP("X",C22:C24,O22:O24,0),IF(AND(C22=TRUE,C24="W"),P22+P24-SUM(O22:O24),IF(AND(C23="W",C24="W"),P23+P24-SUM(O22:O24)+_xlfn.XLOOKUP("X",C22:C24,O22:O24,0),IF(L24&gt;0,IF(OR($C22="W",$C22="1/2W",$C22="1/2L"),P22-SUM(O22:O24)+_xlfn.XLOOKUP("X",C22:C24,O22:O24,0),IF(OR($C22="W",$C22="1/2W",$C22="1/2L"),P23-SUM(O22:O24)+_xlfn.XLOOKUP("X",C22:C24,O22:O24,0),IF(OR($C22="W",$C22="1/2W",$C22="1/2L"),P24-SUM(O22:O24)+_xlfn.XLOOKUP("X",C22:C24,O22:O24,0),IF(SUM(P22:P24)/3-SUM(O22:O24)+_xlfn.XLOOKUP("X",C22:C24,O22:O24,0)&gt;0,SUM(P22:P24)/3-SUM(O22:O24)+_xlfn.XLOOKUP("X",C22:C24,O22:O24,0),LARGE(P22:P24,1)-SUM(O22:O24))))),IF(OR($C22="W",$C22="1/2W",$C22="1/2L"),P22-SUM(O22:O23)+_xlfn.XLOOKUP("X",C22:C24,O22:O24,0),IF(OR($C22="W",$C22="1/2W",$C22="1/2L"),P23-SUM(O22:O23)+_xlfn.XLOOKUP("X",C22:C24,O22:O24,0),SUM(P22:P23)/2-SUM(O22:O23)+_xlfn.XLOOKUP("X",C22:C24,O22:O24,0)))))))),2))</f>
        <v>0.58</v>
      </c>
      <c r="T22" s="265">
        <f>IF(S22=0,0,S22/SUM(O22:O24))</f>
        <v>0.047658175842235</v>
      </c>
      <c r="U22" s="266">
        <f>IF($D22=$D19,IF(OR($B22="LOSS",$B22="OK",$B22="Anulada"),S22,0)+U19,IF(OR($B22="LOSS",$B22="OK",$B22="Anulada"),S22,0))</f>
        <v>11.43</v>
      </c>
      <c r="V22" s="266">
        <f>IF($D22="",0,IF($D22=$D19,IF($B22=" ",IF(I24="",IF(OR(AND(I22="DNB1",I23="DNB2"),AND(OR(I22="DNB1",I22="DNB2"),J23=0),AND(OR(I23="DNB1",I23="DNB2"),J22=0),AND(I22="DNB2",I23="DNB1"),AND(IF(J22=0,(J22+1)/ROUND(J22+1,0),J22/ROUND(J22,0))=1,IF(J23=0,(J23+1)/ROUND(IF(J23="",0,J23)+1,0),IF(J23="",0,J23)/ROUND(IF(J23="",1,J23),0))=1,OR(J22&lt;&gt;""),J23&lt;&gt;"")),0,IF(S22&lt;0,IF(I24="",SMALL(P22:P23,1)-SUM(O22:O23),0),SMALL(P22:P23,1)-SUM(O22:O23))),IF(S22&lt;0,IF(I24="",SMALL(P22:P24,1)-SUM(O22:O24),0),LARGE(P22:P24,1)-SUM(O22:O24))),S22)+V19,IF(I24="",IF(OR(AND(I22="DNB1",I23="DNB2"),AND(OR(I22="DNB1",I22="DNB2"),J23=0),AND(OR(I23="DNB1",I23="DNB2"),J22=0),AND(I22="DNB2",I23="DNB1"),AND(IF(J22=0,(J22+1)/ROUND(J22+1,0),J22/ROUND(J22,0))=1,IF(J23=0,(IF(J23="",0,J23)+1)/ROUND(IF(J23="",0,J23)+1,0),IF(J23="",0,J23)/ROUND(IF(J23="",0,J23)+1,0))=1,OR(J22&lt;&gt;""),J23&lt;&gt;"")),0,IF(S22&lt;0,IF(I24="",SMALL(P22:P23,1)-SUM(O22:O23),0),SMALL(P22:P24,1)-SUM(O22:O24))),IF(S22&lt;0,IF(I24="",SMALL(P22:P24,1)-SUM(O22:O24),0),LARGE(P22:P24,1)-SUM(O22:O24)))))</f>
        <v>11.43</v>
      </c>
      <c r="W22" s="266">
        <f>IF($D22=$D19,IF(S22&lt;0,IF(I24="",S22,0),S22)+W19,S22)</f>
        <v>11.43</v>
      </c>
      <c r="X22" t="s" s="267">
        <f>IF(OR(SUM(R22:R24)=0,V22=W22),ROUND(IF(W22=0,0,W22/Y22)*100,2)&amp;"%",ROUND(IF(V22=0,0,V22/Y22)*100,2)&amp;"% a "&amp;ROUND(IF(W22=0,0,W22/Y22)*100,2)&amp;"%")</f>
        <v>74</v>
      </c>
      <c r="Y22" s="268">
        <f>IF($D22=$D19,Y19+SUM(O22:O24),SUM(O22:O24))</f>
        <v>170.35</v>
      </c>
      <c r="Z22" s="266">
        <f>IF($B22=" ",SUM(O22:O24),0)+Z19</f>
        <v>0</v>
      </c>
      <c r="AA22" s="266">
        <f>IF(G22="","",IF($B22="Anulado",LARGE(P22:P24,1)-SUM(O22:O24)+AA19,AA19))</f>
        <v>0</v>
      </c>
      <c r="AB22" s="266">
        <f>IF($D22="","",AB19+S22)</f>
        <v>11.43</v>
      </c>
      <c r="AC22" s="269">
        <f>IF($D22="","",IF($B22=" ",IF(DAY(G22)=DAY(TODAY()),1+AC19,0+AC19),0+AC19))</f>
        <v>0</v>
      </c>
      <c r="AD22" s="270">
        <f>(1-_xlfn.XLOOKUP(K20,'Janeiro 2023 - Valor Real'!A3:A15,'Janeiro 2023 - Valor Real'!C3:C15,0))+1</f>
        <v>2</v>
      </c>
      <c r="AE22" s="271">
        <f>IF(L22="","",IF(L24&gt;0,(SUM(((L22-1)*(1-_xlfn.XLOOKUP(K22,'Janeiro 2023 - Valor Real'!A3:A15,'Janeiro 2023 - Valor Real'!C3:C15,0))+1),((L23-1)*(1-_xlfn.XLOOKUP(K23,'Janeiro 2023 - Valor Real'!A3:A15,'Janeiro 2023 - Valor Real'!C3:C15,0))+1),((L24-1)*(1-_xlfn.XLOOKUP(K24,'Janeiro 2023 - Valor Real'!A3:A15,'Janeiro 2023 - Valor Real'!C3:C15,0))+1))/((L22-1)*(1-_xlfn.XLOOKUP(K22,'Janeiro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Real'!C3:C15,0))+1))/((L22-1)*(1-_xlfn.XLOOKUP(K22,'Janeiro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Real'!C3:C15,0))+1))/((L23-1)*(1-_xlfn.XLOOKUP(K23,'Janeiro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Real'!C3:C15,0))+1))/((L24-1)*(1-_xlfn.XLOOKUP(K24,'Janeiro 2023 - Valor Real'!A3:A15,'Janeiro 2023 - Valor Real'!C3:C15,0))+1)),IF(I22="Lay",IF(I23="Lay",((L23/(L23-1)-1)*(1-_xlfn.XLOOKUP(K23,'Janeiro 2023 - Valor Real'!A3:A15,'Janeiro 2023 - Valor Real'!C3:C15,0))+1)/(((L23/(L23-1)-1)*(1-_xlfn.XLOOKUP(K23,'Janeiro 2023 - Valor Real'!A3:A15,'Janeiro 2023 - Valor Real'!C3:C15,0))+1)+((L22/(L22-1)-1)*(1-_xlfn.XLOOKUP(K22,'Janeiro 2023 - Valor Real'!A3:A15,'Janeiro 2023 - Valor Real'!C3:C15,0))+1)),((L23-1)*(1-_xlfn.XLOOKUP(K23,'Janeiro 2023 - Valor Real'!A3:A15,'Janeiro 2023 - Valor Real'!C3:C15,0))+1)/(((L23-1)*(1-_xlfn.XLOOKUP(K23,'Janeiro 2023 - Valor Real'!A3:A15,'Janeiro 2023 - Valor Real'!C3:C15,0))+1)+((L22/(L22-1)-1)*(1-_xlfn.XLOOKUP(K22,'Janeiro 2023 - Valor Real'!A3:A15,'Janeiro 2023 - Valor Real'!C3:C15,0))+1))),IF(I23="Lay",(((L23/(L23-1)-1)*(1-_xlfn.XLOOKUP(K23,'Janeiro 2023 - Valor Real'!A3:A15,'Janeiro 2023 - Valor Real'!C3:C15,0))+1))/(((L22-1)*(1-_xlfn.XLOOKUP(K22,'Janeiro 2023 - Valor Real'!A3:A15,'Janeiro 2023 - Valor Real'!C3:C15,0))+1)+((L23/(L23-1)-1)*(1-_xlfn.XLOOKUP(K23,'Janeiro 2023 - Valor Real'!A3:A15,'Janeiro 2023 - Valor Real'!C3:C15,0))+1)),((L23-1)*(1-_xlfn.XLOOKUP(K23,'Janeiro 2023 - Valor Real'!A3:A15,'Janeiro 2023 - Valor Real'!C3:C15,0))+1)/(((L23-1)*(1-_xlfn.XLOOKUP(K23,'Janeiro 2023 - Valor Real'!A3:A15,'Janeiro 2023 - Valor Real'!C3:C15,0))+1)+((L22-1)*(1-_xlfn.XLOOKUP(K22,'Janeiro 2023 - Valor Real'!A3:A15,'Janeiro 2023 - Valor Real'!C3:C15,0))+1))))))</f>
        <v>0.454545454545455</v>
      </c>
      <c r="AF22" s="132">
        <f>IF($K22=AF$3,ROUND(IF(OR($C22="W",$C22="1/2W",$C22="1/2L"),$P22-$O22,IF($C22="X",0,-$O22)),2),0)</f>
        <v>0</v>
      </c>
      <c r="AG22" s="133">
        <f>IF($K22=AG$3,ROUND(IF(OR($C22="W",$C22="1/2W",$C22="1/2L"),$P22-$O22,IF($C22="X",0,-$O22)),2),0)</f>
        <v>0</v>
      </c>
      <c r="AH22" s="133">
        <f>IF($K22=AH$3,ROUND(IF(OR($C22="W",$C22="1/2W",$C22="1/2L"),$P22-$O22,IF($C22="X",0,-$O22)),2),0)</f>
        <v>0</v>
      </c>
      <c r="AI22" s="133">
        <f>IF($K22=AI$3,ROUND(IF(OR($C22="W",$C22="1/2W",$C22="1/2L"),$P22-$O22,IF($C22="X",0,-$O22)),2),0)</f>
        <v>-5.52</v>
      </c>
      <c r="AJ22" s="133">
        <f>IF($K22=AJ$3,ROUND(IF(OR($C22="W",$C22="1/2W",$C22="1/2L"),$P22-$O22,IF($C22="X",0,-$O22)),2),0)</f>
        <v>0</v>
      </c>
      <c r="AK22" s="133">
        <f>IF($K22=AK$3,ROUND(IF(OR($C22="W",$C22="1/2W",$C22="1/2L"),$P22-$O22,IF($C22="X",0,-$O22)),2),0)</f>
        <v>0</v>
      </c>
      <c r="AL22" s="133">
        <f>IF($K22=AL$3,ROUND(IF(OR($C22="W",$C22="1/2W",$C22="1/2L"),$P22-$O22,IF($C22="X",0,-$O22)),2),0)</f>
        <v>0</v>
      </c>
      <c r="AM22" s="133">
        <f>IF($K22=AM$3,ROUND(IF(OR($C22="W",$C22="1/2W",$C22="1/2L"),$P22-$O22,IF($C22="X",0,-$O22)),2),0)</f>
        <v>0</v>
      </c>
      <c r="AN22" s="133">
        <f>IF($K22=AN$3,ROUND(IF(OR($C22="W",$C22="1/2W",$C22="1/2L"),$P22-$O22,IF($C22="X",0,-$O22)),2),0)</f>
        <v>0</v>
      </c>
      <c r="AO22" s="133">
        <f>IF($K22=AO$3,ROUND(IF(OR($C22="W",$C22="1/2W",$C22="1/2L"),$P22-$O22,IF($C22="X",0,-$O22)),2),0)</f>
        <v>0</v>
      </c>
      <c r="AP22" s="133">
        <f>IF($K22=AP$3,ROUND(IF(OR($C22="W",$C22="1/2W",$C22="1/2L"),$P22-$O22,IF($C22="X",0,-$O22)),2),0)</f>
        <v>0</v>
      </c>
      <c r="AQ22" s="133">
        <f>IF($K22=AQ$3,ROUND(IF(OR($C22="W",$C22="1/2W",$C22="1/2L"),$P22-$O22,IF($C22="X",0,-$O22)),2),0)</f>
        <v>0</v>
      </c>
      <c r="AR22" s="134">
        <f>IF($K22=AR$3,ROUND(IF(OR($C22="W",$C22="1/2W",$C22="1/2L"),$P22-$O22,IF($C22="X",0,-$O22)),2),0)</f>
        <v>0</v>
      </c>
      <c r="AS22" s="132">
        <f>IF(AND($B22=" ",$K22=AS$3),$O22,0)</f>
        <v>0</v>
      </c>
      <c r="AT22" s="133">
        <f>IF(AND($B22=" ",$K22=AT$3),$O22,0)</f>
        <v>0</v>
      </c>
      <c r="AU22" s="133">
        <f>IF(AND($B22=" ",$K22=AU$3),$O22,0)</f>
        <v>0</v>
      </c>
      <c r="AV22" s="133">
        <f>IF(AND($B22=" ",$K22=AV$3),$O22,0)</f>
        <v>0</v>
      </c>
      <c r="AW22" s="133">
        <f>IF(AND($B22=" ",$K22=AW$3),$O22,0)</f>
        <v>0</v>
      </c>
      <c r="AX22" s="133">
        <f>IF(AND($B22=" ",$K22=AX$3),$O22,0)</f>
        <v>0</v>
      </c>
      <c r="AY22" s="135">
        <f>IF(AND($B22=" ",$K22=AY$3),$O22,0)</f>
        <v>0</v>
      </c>
      <c r="AZ22" s="136">
        <f>IF(AND($B22=" ",$K22=AZ$3),$O22,0)</f>
        <v>0</v>
      </c>
      <c r="BA22" s="136">
        <f>IF(AND($B22=" ",$K22=BA$3),$O22,0)</f>
        <v>0</v>
      </c>
      <c r="BB22" s="136">
        <f>IF(AND($B22=" ",$K22=BB$3),$O22,0)</f>
        <v>0</v>
      </c>
      <c r="BC22" s="137">
        <f>IF(AND($B22=" ",$K22=BC$3),$O22,0)</f>
        <v>0</v>
      </c>
      <c r="BD22" s="133">
        <f>IF(AND($B22=" ",$K22=BD$3),$O22,0)</f>
        <v>0</v>
      </c>
      <c r="BE22" s="134">
        <f>IF(AND($B22=" ",$K22=BE$3),$O22,0)</f>
        <v>0</v>
      </c>
      <c r="BF22" s="132">
        <f>IF($K22=BF$3,IF($C22="X",0,$O22),0)</f>
        <v>0</v>
      </c>
      <c r="BG22" s="133">
        <f>IF($K22=BG$3,IF($C22="X",0,$O22),0)</f>
        <v>0</v>
      </c>
      <c r="BH22" s="133">
        <f>IF($K22=BH$3,IF($C22="X",0,$O22),0)</f>
        <v>0</v>
      </c>
      <c r="BI22" s="133">
        <f>IF($K22=BI$3,IF($C22="X",0,$O22),0)</f>
        <v>5.52</v>
      </c>
      <c r="BJ22" s="133">
        <f>IF($K22=BJ$3,IF($C22="X",0,$O22),0)</f>
        <v>0</v>
      </c>
      <c r="BK22" s="133">
        <f>IF($K22=BK$3,IF($C22="X",0,$O22),0)</f>
        <v>0</v>
      </c>
      <c r="BL22" s="133">
        <f>IF($K22=BL$3,IF($C22="X",0,$O22),0)</f>
        <v>0</v>
      </c>
      <c r="BM22" s="135">
        <f>IF($K22=BM$3,IF($C22="X",0,$O22),0)</f>
        <v>0</v>
      </c>
      <c r="BN22" s="136">
        <f>IF($K22=BN$3,IF($C22="X",0,$O22),0)</f>
        <v>0</v>
      </c>
      <c r="BO22" s="136">
        <f>IF($K22=BO$3,IF($C22="X",0,$O22),0)</f>
        <v>0</v>
      </c>
      <c r="BP22" s="136">
        <f>IF($K22=BP$3,IF($C22="X",0,$O22),0)</f>
        <v>0</v>
      </c>
      <c r="BQ22" s="137">
        <f>IF($K22=BQ$3,IF($C22="X",0,$O22),0)</f>
        <v>0</v>
      </c>
      <c r="BR22" s="134">
        <f>IF($K22=BR$3,IF($C22="X",0,$O22),0)</f>
        <v>0</v>
      </c>
      <c r="BS22" s="170">
        <f>IF($B22="LOSS",IF(AND($K22=BS$3,$C22="L"),-$O22,0)+IF(AND($K23=BS$3,$C23="L"),-$O23,0)+IF(AND($K24=BS$3,$C24="L"),-$O24,0),IF(OR(AND($K22=BS$3,OR($C22="W",$C22="1/2W")),AND($K23=BS$3,OR($C23="W",$C23="1/2W")),AND($K24=BS$3,OR($C24="W",$C24="1/2W"))),$S22,0))</f>
        <v>0</v>
      </c>
      <c r="BT22" s="272">
        <f>IF($B22="LOSS",IF(AND($K22=BT$3,$C22="L"),-$O22,0)+IF(AND($K23=BT$3,$C23="L"),-$O23,0)+IF(AND($K23=BT$3,$C24="L"),-$O24,0),IF(OR(AND($K23=BT$3,OR($C22="W",$C22="1/2W")),AND($K23=BT$3,OR($C23="W",$C23="1/2W")),AND($K23=BT$3,OR($C24="W",$C24="1/2W"))),$S22,0))</f>
        <v>0</v>
      </c>
      <c r="BU22" s="136">
        <f>IF($B22="LOSS",IF(AND($K22=BU$3,$C22="L"),-$O22,0)+IF(AND($K23=BU$3,$C23="L"),-$O23,0)+IF(AND($K23=BU$3,$C24="L"),-$O24,0),IF(OR(AND($K23=BU$3,OR($C22="W",$C22="1/2W")),AND($K23=BU$3,OR($C23="W",$C23="1/2W")),AND($K23=BU$3,OR($C24="W",$C24="1/2W"))),$S22,0))</f>
        <v>0.58</v>
      </c>
      <c r="BV22" s="136">
        <f>IF($B22="LOSS",IF(AND($K22=BV$3,$C22="L"),-$O22,0)+IF(AND($K23=BV$3,$C23="L"),-$O23,0)+IF(AND($K24=BV$3,$C24="L"),-$O24,0),IF(OR(AND($K22=BV$3,OR($C22="W",$C22="1/2W")),AND($K23=BV$3,OR($C23="W",$C23="1/2W")),AND($K24=BV$3,OR($C24="W",$C24="1/2W"))),$S22,0))</f>
        <v>0</v>
      </c>
      <c r="BW22" s="136">
        <f>IF($B22="LOSS",IF(AND($K22=BW$3,$C22="L"),-$O22,0)+IF(AND($K23=BW$3,$C23="L"),-$O23,0)+IF(AND($K24=BW$3,$C24="L"),-$O24,0),IF(OR(AND($K22=BW$3,OR($C22="W",$C22="1/2W")),AND($K23=BW$3,OR($C23="W",$C23="1/2W")),AND($K24=BW$3,OR($C24="W",$C24="1/2W"))),$S22,0))</f>
        <v>0</v>
      </c>
      <c r="BX22" s="136">
        <f>IF($B22="LOSS",IF(AND($K22=BX$3,$C22="L"),-$O22,0)+IF(AND($K23=BX$3,$C23="L"),-$O23,0)+IF(AND($K24=BX$3,$C24="L"),-$O24,0),IF(OR(AND($K22=BX$3,OR($C22="W",$C22="1/2W")),AND($K23=BX$3,OR($C23="W",$C23="1/2W")),AND($K24=BX$3,OR($C24="W",$C24="1/2W"))),$S22,0))</f>
        <v>0</v>
      </c>
      <c r="BY22" s="136">
        <f>IF($B22="LOSS",IF(AND($K22=BY$3,$C22="L"),-$O22,0)+IF(AND($K23=BY$3,$C23="L"),-$O23,0)+IF(AND($K24=BY$3,$C24="L"),-$O24,0),IF(OR(AND($K22=BY$3,OR($C22="W",$C22="1/2W")),AND($K23=BY$3,OR($C23="W",$C23="1/2W")),AND($K24=BY$3,OR($C24="W",$C24="1/2W"))),$S22,0))</f>
        <v>0</v>
      </c>
      <c r="BZ22" s="136">
        <f>IF($B22="LOSS",IF(AND($K22=BZ$3,$C22="L"),-$O22,0)+IF(AND($K23=BZ$3,$C23="L"),-$O23,0)+IF(AND($K24=BZ$3,$C24="L"),-$O24,0),IF(OR(AND($K22=BZ$3,OR($C22="W",$C22="1/2W")),AND($K23=BZ$3,OR($C23="W",$C23="1/2W")),AND($K24=BZ$3,OR($C24="W",$C24="1/2W"))),$S22,0))</f>
        <v>0</v>
      </c>
      <c r="CA22" s="136">
        <f>IF($B22="LOSS",IF(AND($K22=CA$3,$C22="L"),-$O22,0)+IF(AND($K23=CA$3,$C23="L"),-$O23,0)+IF(AND($K24=CA$3,$C24="L"),-$O24,0),IF(OR(AND($K22=CA$3,OR($C22="W",$C22="1/2W")),AND($K23=CA$3,OR($C23="W",$C23="1/2W")),AND($K24=CA$3,OR($C24="W",$C24="1/2W"))),$S22,0))</f>
        <v>0</v>
      </c>
      <c r="CB22" s="136">
        <f>IF($B22="LOSS",IF(AND($K22=CB$3,$C22="L"),-$O22,0)+IF(AND($K23=CB$3,$C23="L"),-$O23,0)+IF(AND($K24=CB$3,$C24="L"),-$O24,0),IF(OR(AND($K22=CB$3,OR($C22="W",$C22="1/2W")),AND($K23=CB$3,OR($C23="W",$C23="1/2W")),AND($K24=CB$3,OR($C24="W",$C24="1/2W"))),$S22,0))</f>
        <v>0</v>
      </c>
      <c r="CC22" s="136">
        <f>IF($B22="LOSS",IF(AND($K22=CC$3,$C22="L"),-$O22,0)+IF(AND($K23=CC$3,$C23="L"),-$O23,0)+IF(AND($K24=CC$3,$C24="L"),-$O24,0),IF(OR(AND($K22=CC$3,OR($C22="W",$C22="1/2W")),AND($K23=CC$3,OR($C23="W",$C23="1/2W")),AND($K24=CC$3,OR($C24="W",$C24="1/2W"))),$S22,0))</f>
        <v>0</v>
      </c>
      <c r="CD22" s="137">
        <f>IF($B22="LOSS",IF(AND($K22=CD$3,$C22="L"),-$O22,0)+IF(AND($K23=CD$3,$C23="L"),-$O23,0)+IF(AND($K24=CD$3,$C24="L"),-$O24,0),IF(OR(AND($K22=CD$3,OR($C22="W",$C22="1/2W")),AND($K23=CD$3,OR($C23="W",$C23="1/2W")),AND($K24=CD$3,OR($C24="W",$C24="1/2W"))),$S22,0))</f>
        <v>0</v>
      </c>
      <c r="CE22" s="134">
        <f>IF($B22="LOSS",IF(AND($K22=CE$3,$C22="L"),-$O22,0)+IF(AND($K23=CE$3,$C23="L"),-$O23,0)+IF(AND($K24=CE$3,$C24="L"),-$O24,0),IF(OR(AND($K22=CE$3,OR($C22="W",$C22="1/2W")),AND($K23=CE$3,OR($C23="W",$C23="1/2W")),AND($K24=CE$3,OR($C24="W",$C24="1/2W"))),$S22,0))</f>
        <v>0</v>
      </c>
      <c r="CF22" s="273">
        <f>IF(CF$3=$K22,IF($C22="W",1,IF($C22="1/2W",0.5,0)),0)</f>
        <v>0</v>
      </c>
      <c r="CG22" s="274">
        <f>IF(CF$3=$K22,IF($C22="L",1,IF($C22="1/2L",0.5,0)),0)</f>
        <v>0</v>
      </c>
      <c r="CH22" s="274">
        <f>IF(CH$3=$K22,IF($C22="W",1,IF($C22="1/2W",0.5,0)),0)</f>
        <v>0</v>
      </c>
      <c r="CI22" s="274">
        <f>IF(CH$3=$K22,IF($C22="L",1,IF($C22="1/2L",0.5,0)),0)</f>
        <v>0</v>
      </c>
      <c r="CJ22" s="274">
        <f>IF(CJ$3=$K22,IF($C22="W",1,IF($C22="1/2W",0.5,0)),0)</f>
        <v>0</v>
      </c>
      <c r="CK22" s="274">
        <f>IF(CJ$3=$K22,IF($C22="L",1,IF($C22="1/2L",0.5,0)),0)</f>
        <v>0</v>
      </c>
      <c r="CL22" s="274">
        <f>IF(CL$3=$K22,IF($C22="W",1,IF($C22="1/2W",0.5,0)),0)</f>
        <v>0</v>
      </c>
      <c r="CM22" s="274">
        <f>IF(CL$3=$K22,IF($C22="L",1,IF($C22="1/2L",0.5,0)),0)</f>
        <v>1</v>
      </c>
      <c r="CN22" s="274">
        <f>IF(CN$3=$K22,IF($C22="W",1,IF($C22="1/2W",0.5,0)),0)</f>
        <v>0</v>
      </c>
      <c r="CO22" s="274">
        <f>IF(CN$3=$K22,IF($C22="L",1,IF($C22="1/2L",0.5,0)),0)</f>
        <v>0</v>
      </c>
      <c r="CP22" s="274">
        <f>IF(CP$3=$K22,IF($C22="W",1,IF($C22="1/2W",0.5,0)),0)</f>
        <v>0</v>
      </c>
      <c r="CQ22" s="274">
        <f>IF(CP$3=$K22,IF($C22="L",1,IF($C22="1/2L",0.5,0)),0)</f>
        <v>0</v>
      </c>
      <c r="CR22" s="274">
        <f>IF(CR$3=$K22,IF($C22="W",1,IF($C22="1/2W",0.5,0)),0)</f>
        <v>0</v>
      </c>
      <c r="CS22" s="274">
        <f>IF(CR$3=$K22,IF($C22="L",1,IF($C22="1/2L",0.5,0)),0)</f>
        <v>0</v>
      </c>
      <c r="CT22" s="145">
        <f>IF(CT$3=$K22,IF($C22="W",1,IF($C22="1/2W",0.5,0)),0)</f>
        <v>0</v>
      </c>
      <c r="CU22" s="146">
        <f>IF(CT$3=$K22,IF($C22="L",1,IF($C22="1/2L",0.5,0)),0)</f>
        <v>0</v>
      </c>
      <c r="CV22" s="146">
        <f>IF(CV$3=$K22,IF($C22="W",1,IF($C22="1/2W",0.5,0)),0)</f>
        <v>0</v>
      </c>
      <c r="CW22" s="146">
        <f>IF(CV$3=$K22,IF($C22="L",1,IF($C22="1/2L",0.5,0)),0)</f>
        <v>0</v>
      </c>
      <c r="CX22" s="146">
        <f>IF(CX$3=$K22,IF($C22="W",1,IF($C22="1/2W",0.5,0)),0)</f>
        <v>0</v>
      </c>
      <c r="CY22" s="146">
        <f>IF(CX$3=$K22,IF($C22="L",1,IF($C22="1/2L",0.5,0)),0)</f>
        <v>0</v>
      </c>
      <c r="CZ22" s="146">
        <f>IF(CZ$3=$K22,IF($C22="W",1,IF($C22="1/2W",0.5,0)),0)</f>
        <v>0</v>
      </c>
      <c r="DA22" s="146">
        <f>IF(CZ$3=$K22,IF($C22="L",1,IF($C22="1/2L",0.5,0)),0)</f>
        <v>0</v>
      </c>
      <c r="DB22" s="146">
        <f>IF(DB$3=$K22,IF($C22="W",1,IF($C22="1/2W",0.5,0)),0)</f>
        <v>0</v>
      </c>
      <c r="DC22" s="146">
        <f>IF(DB$3=$K22,IF($C22="L",1,IF($C22="1/2L",0.5,0)),0)</f>
        <v>0</v>
      </c>
      <c r="DD22" s="146">
        <f>IF(DD$3=$K22,IF($C22="W",1,IF($C22="1/2W",0.5,0)),0)</f>
        <v>0</v>
      </c>
      <c r="DE22" s="147">
        <f>IF(DD$3=$K22,IF($C22="L",1,IF($C22="1/2L",0.5,0)),0)</f>
        <v>0</v>
      </c>
      <c r="DF22" s="143">
        <f>IF(AND(L22&lt;DF$3,$C22="W"),1+DF21,DF21)</f>
        <v>1</v>
      </c>
      <c r="DG22" s="133">
        <f>IF(DF22&gt;DF21,L22+DG21,DG21)</f>
        <v>1.44</v>
      </c>
      <c r="DH22" s="146">
        <f>IF(AND(L22&gt;DH$3,$C22="W"),1+DH21,0+DH21)</f>
        <v>0</v>
      </c>
      <c r="DI22" s="133">
        <f>IF(DH22&gt;DH21,L22+DI21,DI21)</f>
        <v>0</v>
      </c>
      <c r="DJ22" s="146">
        <f>IF($D22="","",$D22)</f>
        <v>16</v>
      </c>
      <c r="DK22" s="146">
        <f>IF(AND($B22=" ",$D22&lt;&gt;""),1,0)</f>
        <v>0</v>
      </c>
    </row>
    <row r="23" ht="14.55" customHeight="1">
      <c r="A23" s="107"/>
      <c r="B23" s="108"/>
      <c r="C23" t="s" s="109">
        <v>56</v>
      </c>
      <c r="D23" s="110"/>
      <c r="E23" s="111"/>
      <c r="F23" s="113"/>
      <c r="G23" s="252"/>
      <c r="H23" s="114"/>
      <c r="I23" t="s" s="275">
        <v>75</v>
      </c>
      <c r="J23" t="s" s="295">
        <f>IF(OR(I22="TO",I22="TU",I22="TO1",I22="TU1",I22="TO2",I22="TU2"),J22,IF(OR(I22="AH1",I22="AH2"),IF(OR(I23="AH1",I23="AH2"),-J22,IF(OR(I23="EH1",I23="EH2"),-J22+0.5,"")),IF(OR(I22="EH1",I22="EH2"),IF(OR(I23="AH1",I23="AH2"),-J22+0.5,IF(OR(I23="EH1",I23="EH2"),-J22+1,"")),IF(AND(OR(I22="DNB1",I22="DNB2"),OR(I23="AH1",I23="AH2")),0,IF(AND(I22="Not ScoreBoth",OR(I23="TO1",I23="TO2")),0.5,"")))))</f>
      </c>
      <c r="K23" t="s" s="117">
        <v>39</v>
      </c>
      <c r="L23" s="277">
        <v>2.02</v>
      </c>
      <c r="M23" s="278">
        <v>6.65</v>
      </c>
      <c r="N23" s="120"/>
      <c r="O23" s="121">
        <f>IF(OR(AE22="",AE23=""),"",ROUND(IF(L24&gt;0,IF(M23&gt;0,M23,IF(M22&gt;0,IF(N22=TRUE,ROUND((M22*AE23)/AE22,0),(M22*AE23)/AE22),IF(M23&gt;0,ROUND(M23,IF(N22=0,2,IF(N22=0.1,1,0))),IF(M24&gt;0,ROUND(O24*AE23/AE24,IF(N22=0,2,IF(N22=0.1,1,0))),0)))),IF(M23&gt;0,M23,ROUND((M22*AE23)/AE22,IF(N22=0,2,IF(N22=0.1,1,0))))),2))</f>
        <v>6.65</v>
      </c>
      <c r="P23" s="122">
        <f>IF(OR(L23="",O23=""),"",IF($C23="1/2W",O23/2+O23/2*L23,IF($C23="1/2L",O23/2,IF(I23="Lay",((O23*(L23/(L23-1)))-O23)*(1-_xlfn.XLOOKUP(K23,'Janeiro 2023 - Valor Real'!A3:A15,'Janeiro 2023 - Valor Real'!C3:C15,0))+O23,(O23*L23-O23)*(1-_xlfn.XLOOKUP(K23,'Janeiro 2023 - Valor Real'!A3:A15,'Janeiro 2023 - Valor Real'!C3:C15,0))+O23))))</f>
        <v>12.7458333333333</v>
      </c>
      <c r="Q23" s="279">
        <v>1</v>
      </c>
      <c r="R23" s="280">
        <v>0</v>
      </c>
      <c r="S23" s="125"/>
      <c r="T23" s="126"/>
      <c r="U23" s="126"/>
      <c r="V23" s="224"/>
      <c r="W23" s="126"/>
      <c r="X23" s="127"/>
      <c r="Y23" s="128"/>
      <c r="Z23" s="129"/>
      <c r="AA23" s="129"/>
      <c r="AB23" s="129"/>
      <c r="AC23" s="129"/>
      <c r="AD23" s="130"/>
      <c r="AE23" s="131">
        <f>IF(L23="","",IF(L24&gt;0,(SUM(((L22-1)*(1-_xlfn.XLOOKUP(K22,'Janeiro 2023 - Valor Real'!A3:A15,'Janeiro 2023 - Valor Real'!C3:C15,0))+1),((L23-1)*(1-_xlfn.XLOOKUP(K23,'Janeiro 2023 - Valor Real'!A3:A15,'Janeiro 2023 - Valor Real'!C3:C15,0))+1),((L24-1)*(1-_xlfn.XLOOKUP(K24,'Janeiro 2023 - Valor Real'!A3:A15,'Janeiro 2023 - Valor Real'!C3:C15,0))+1))/((L23-1)*(1-_xlfn.XLOOKUP(K23,'Janeiro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Real'!C3:C15,0))+1))/((L22-1)*(1-_xlfn.XLOOKUP(K22,'Janeiro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Real'!C3:C15,0))+1))/((L23-1)*(1-_xlfn.XLOOKUP(K23,'Janeiro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Real'!C3:C15,0))+1))/((L24-1)*(1-_xlfn.XLOOKUP(K24,'Janeiro 2023 - Valor Real'!A3:A15,'Janeiro 2023 - Valor Real'!C3:C15,0))+1)),IF(I23="Lay",IF(I22="Lay",((L22/(L22-1)-1)*(1-_xlfn.XLOOKUP(K22,'Janeiro 2023 - Valor Real'!A3:A15,'Janeiro 2023 - Valor Real'!C3:C15,0))+1)/(((L22/(L22-1)-1)*(1-_xlfn.XLOOKUP(K22,'Janeiro 2023 - Valor Real'!A3:A15,'Janeiro 2023 - Valor Real'!C3:C15,0))+1)+((L23/(L23-1)-1)*(1-_xlfn.XLOOKUP(K23,'Janeiro 2023 - Valor Real'!A3:A15,'Janeiro 2023 - Valor Real'!C3:C15,0))+1)),((L22-1)*(1-_xlfn.XLOOKUP(K22,'Janeiro 2023 - Valor Real'!A3:A15,'Janeiro 2023 - Valor Real'!C3:C15,0))+1)/(((L22-1)*(1-_xlfn.XLOOKUP(K22,'Janeiro 2023 - Valor Real'!A3:A15,'Janeiro 2023 - Valor Real'!C3:C15,0))+1)+((L23/(L23-1)-1)*(1-_xlfn.XLOOKUP(K23,'Janeiro 2023 - Valor Real'!A3:A15,'Janeiro 2023 - Valor Real'!C3:C15,0))+1))),IF(I22="Lay",((L22/(L22-1)-1)*(1-_xlfn.XLOOKUP(K22,'Janeiro 2023 - Valor Real'!A3:A15,'Janeiro 2023 - Valor Real'!C3:C15,0))+1)/((((L22/(L22-1)-1)*(1-_xlfn.XLOOKUP(K22,'Janeiro 2023 - Valor Real'!A3:A15,'Janeiro 2023 - Valor Real'!C3:C15,0))+1))+((L23-1)*(1-_xlfn.XLOOKUP(K23,'Janeiro 2023 - Valor Real'!A3:A15,'Janeiro 2023 - Valor Real'!C3:C15,0))+1)),((L22-1)*(1-_xlfn.XLOOKUP(K22,'Janeiro 2023 - Valor Real'!A3:A15,'Janeiro 2023 - Valor Real'!C3:C15,0))+1)/(((L22-1)*(1-_xlfn.XLOOKUP(K22,'Janeiro 2023 - Valor Real'!A3:A15,'Janeiro 2023 - Valor Real'!C3:C15,0))+1)+((L23-1)*(1-_xlfn.XLOOKUP(K23,'Janeiro 2023 - Valor Real'!A3:A15,'Janeiro 2023 - Valor Real'!C3:C15,0))+1))))))</f>
        <v>0.545454545454545</v>
      </c>
      <c r="AF23" s="132">
        <f>IF($K23=AF$3,ROUND(IF(OR($C23="W",$C23="1/2W",$C23="1/2L"),$P23-$O23,IF($C23="X",0,-$O23)),2),0)</f>
        <v>0</v>
      </c>
      <c r="AG23" s="133">
        <f>IF($K23=AG$3,ROUND(IF(OR($C23="W",$C23="1/2W",$C23="1/2L"),$P23-$O23,IF($C23="X",0,-$O23)),2),0)</f>
        <v>0</v>
      </c>
      <c r="AH23" s="133">
        <f>IF($K23=AH$3,ROUND(IF(OR($C23="W",$C23="1/2W",$C23="1/2L"),$P23-$O23,IF($C23="X",0,-$O23)),2),0)</f>
        <v>6.1</v>
      </c>
      <c r="AI23" s="133">
        <f>IF($K23=AI$3,ROUND(IF(OR($C23="W",$C23="1/2W",$C23="1/2L"),$P23-$O23,IF($C23="X",0,-$O23)),2),0)</f>
        <v>0</v>
      </c>
      <c r="AJ23" s="133">
        <f>IF($K23=AJ$3,ROUND(IF(OR($C23="W",$C23="1/2W",$C23="1/2L"),$P23-$O23,IF($C23="X",0,-$O23)),2),0)</f>
        <v>0</v>
      </c>
      <c r="AK23" s="133">
        <f>IF($K23=AK$3,ROUND(IF(OR($C23="W",$C23="1/2W",$C23="1/2L"),$P23-$O23,IF($C23="X",0,-$O23)),2),0)</f>
        <v>0</v>
      </c>
      <c r="AL23" s="133">
        <f>IF($K23=AL$3,ROUND(IF(OR($C23="W",$C23="1/2W",$C23="1/2L"),$P23-$O23,IF($C23="X",0,-$O23)),2),0)</f>
        <v>0</v>
      </c>
      <c r="AM23" s="133">
        <f>IF($K23=AM$3,ROUND(IF(OR($C23="W",$C23="1/2W",$C23="1/2L"),$P23-$O23,IF($C23="X",0,-$O23)),2),0)</f>
        <v>0</v>
      </c>
      <c r="AN23" s="133">
        <f>IF($K23=AN$3,ROUND(IF(OR($C23="W",$C23="1/2W",$C23="1/2L"),$P23-$O23,IF($C23="X",0,-$O23)),2),0)</f>
        <v>0</v>
      </c>
      <c r="AO23" s="133">
        <f>IF($K23=AO$3,ROUND(IF(OR($C23="W",$C23="1/2W",$C23="1/2L"),$P23-$O23,IF($C23="X",0,-$O23)),2),0)</f>
        <v>0</v>
      </c>
      <c r="AP23" s="133">
        <f>IF($K23=AP$3,ROUND(IF(OR($C23="W",$C23="1/2W",$C23="1/2L"),$P23-$O23,IF($C23="X",0,-$O23)),2),0)</f>
        <v>0</v>
      </c>
      <c r="AQ23" s="133">
        <f>IF($K23=AQ$3,ROUND(IF(OR($C23="W",$C23="1/2W",$C23="1/2L"),$P23-$O23,IF($C23="X",0,-$O23)),2),0)</f>
        <v>0</v>
      </c>
      <c r="AR23" s="134">
        <f>IF($K23=AR$3,ROUND(IF(OR($C23="W",$C23="1/2W",$C23="1/2L"),$P23-$O23,IF($C23="X",0,-$O23)),2),0)</f>
        <v>0</v>
      </c>
      <c r="AS23" s="132">
        <f>IF(AND($B22=" ",$K23=AS$3),$O23,0)</f>
        <v>0</v>
      </c>
      <c r="AT23" s="133">
        <f>IF(AND($B22=" ",K23=AT$3),$O23,0)</f>
        <v>0</v>
      </c>
      <c r="AU23" s="133">
        <f>IF(AND($B22=" ",$K23=AU$3),$O23,0)</f>
        <v>0</v>
      </c>
      <c r="AV23" s="133">
        <f>IF(AND($B22=" ",$K23=AV$3),$O23,0)</f>
        <v>0</v>
      </c>
      <c r="AW23" s="133">
        <f>IF(AND($B22=" ",$K23=AW$3),$O23,0)</f>
        <v>0</v>
      </c>
      <c r="AX23" s="133">
        <f>IF(AND($B22=" ",$K23=AX$3),$O23,0)</f>
        <v>0</v>
      </c>
      <c r="AY23" s="135">
        <f>IF(AND($B22=" ",$K23=AY$3),$O23,0)</f>
        <v>0</v>
      </c>
      <c r="AZ23" s="136">
        <f>IF(AND($B22=" ",$K23=AZ$3),$O23,0)</f>
        <v>0</v>
      </c>
      <c r="BA23" s="136">
        <f>IF(AND($B22=" ",$K23=BA$3),$O23,0)</f>
        <v>0</v>
      </c>
      <c r="BB23" s="136">
        <f>IF(AND($B22=" ",$K23=BB$3),$O23,0)</f>
        <v>0</v>
      </c>
      <c r="BC23" s="137">
        <f>IF(AND($B22=" ",$K23=BC$3),$O23,0)</f>
        <v>0</v>
      </c>
      <c r="BD23" s="133">
        <f>IF(AND($B22=" ",$K23=BD$3),$O23,0)</f>
        <v>0</v>
      </c>
      <c r="BE23" s="134">
        <f>IF(AND($B22=" ",$K23=BE$3),$O23,0)</f>
        <v>0</v>
      </c>
      <c r="BF23" s="132">
        <f>IF($K23=BF$3,IF($C23="X",0,$O23),0)</f>
        <v>0</v>
      </c>
      <c r="BG23" s="281">
        <f>IF($K23=BG$3,IF($C23="X",0,$O23),0)</f>
        <v>0</v>
      </c>
      <c r="BH23" s="133">
        <f>IF($K23=BH$3,IF($C23="X",0,$O23),0)</f>
        <v>6.65</v>
      </c>
      <c r="BI23" s="133">
        <f>IF($K23=BI$3,IF($C23="X",0,$O23),0)</f>
        <v>0</v>
      </c>
      <c r="BJ23" s="133">
        <f>IF($K23=BJ$3,IF($C23="X",0,$O23),0)</f>
        <v>0</v>
      </c>
      <c r="BK23" s="133">
        <f>IF($K23=BK$3,IF($C23="X",0,$O23),0)</f>
        <v>0</v>
      </c>
      <c r="BL23" s="133">
        <f>IF($K23=BL$3,IF($C23="X",0,$O23),0)</f>
        <v>0</v>
      </c>
      <c r="BM23" s="135">
        <f>IF($K23=BM$3,IF($C23="X",0,$O23),0)</f>
        <v>0</v>
      </c>
      <c r="BN23" s="136">
        <f>IF($K23=BN$3,IF($C23="X",0,$O23),0)</f>
        <v>0</v>
      </c>
      <c r="BO23" s="136">
        <f>IF($K23=BO$3,IF($C23="X",0,$O23),0)</f>
        <v>0</v>
      </c>
      <c r="BP23" s="136">
        <f>IF($K23=BP$3,IF($C23="X",0,$O23),0)</f>
        <v>0</v>
      </c>
      <c r="BQ23" s="137">
        <f>IF($K23=BQ$3,IF($C23="X",0,$O23),0)</f>
        <v>0</v>
      </c>
      <c r="BR23" s="134">
        <f>IF($K23=BR$3,IF($C23="X",0,$O23),0)</f>
        <v>0</v>
      </c>
      <c r="BS23" s="282"/>
      <c r="BT23" s="283"/>
      <c r="BU23" s="140"/>
      <c r="BV23" s="283"/>
      <c r="BW23" s="140"/>
      <c r="BX23" s="140"/>
      <c r="BY23" s="140"/>
      <c r="BZ23" s="283"/>
      <c r="CA23" s="140"/>
      <c r="CB23" s="140"/>
      <c r="CC23" s="140"/>
      <c r="CD23" s="141"/>
      <c r="CE23" s="142"/>
      <c r="CF23" s="284">
        <f>IF(CF$3=$K23,IF($C23="W",1,IF($C23="1/2W",0.5,0)),0)</f>
        <v>0</v>
      </c>
      <c r="CG23" s="285">
        <f>IF(CF$3=$K23,IF($C23="L",1,IF($C23="1/2L",0.5,0)),0)</f>
        <v>0</v>
      </c>
      <c r="CH23" s="285">
        <f>IF(CH$3=$K23,IF($C23="W",1,IF($C23="1/2W",0.5,0)),0)</f>
        <v>0</v>
      </c>
      <c r="CI23" s="285">
        <f>IF(CH$3=$K23,IF($C23="L",1,IF($C23="1/2L",0.5,0)),0)</f>
        <v>0</v>
      </c>
      <c r="CJ23" s="285">
        <f>IF(CJ$3=$K23,IF($C23="W",1,IF($C23="1/2W",0.5,0)),0)</f>
        <v>1</v>
      </c>
      <c r="CK23" s="285">
        <f>IF(CJ$3=$K23,IF($C23="L",1,IF($C23="1/2L",0.5,0)),0)</f>
        <v>0</v>
      </c>
      <c r="CL23" s="285">
        <f>IF(CL$3=$K23,IF($C23="W",1,IF($C23="1/2W",0.5,0)),0)</f>
        <v>0</v>
      </c>
      <c r="CM23" s="285">
        <f>IF(CL$3=$K23,IF($C23="L",1,IF($C23="1/2L",0.5,0)),0)</f>
        <v>0</v>
      </c>
      <c r="CN23" s="285">
        <f>IF(CN$3=$K23,IF($C23="W",1,IF($C23="1/2W",0.5,0)),0)</f>
        <v>0</v>
      </c>
      <c r="CO23" s="285">
        <f>IF(CN$3=$K23,IF($C23="L",1,IF($C23="1/2L",0.5,0)),0)</f>
        <v>0</v>
      </c>
      <c r="CP23" s="285">
        <f>IF(CP$3=$K23,IF($C23="W",1,IF($C23="1/2W",0.5,0)),0)</f>
        <v>0</v>
      </c>
      <c r="CQ23" s="285">
        <f>IF(CP$3=$K23,IF($C23="L",1,IF($C23="1/2L",0.5,0)),0)</f>
        <v>0</v>
      </c>
      <c r="CR23" s="285">
        <f>IF(CR$3=$K23,IF($C23="W",1,IF($C23="1/2W",0.5,0)),0)</f>
        <v>0</v>
      </c>
      <c r="CS23" s="285">
        <f>IF(CR$3=$K23,IF($C23="L",1,IF($C23="1/2L",0.5,0)),0)</f>
        <v>0</v>
      </c>
      <c r="CT23" s="145">
        <f>IF(CT$3=$K23,IF($C23="W",1,IF($C23="1/2W",0.5,0)),0)</f>
        <v>0</v>
      </c>
      <c r="CU23" s="146">
        <f>IF(CT$3=$K23,IF($C23="L",1,IF($C23="1/2L",0.5,0)),0)</f>
        <v>0</v>
      </c>
      <c r="CV23" s="146">
        <f>IF(CV$3=$K23,IF($C23="W",1,IF($C23="1/2W",0.5,0)),0)</f>
        <v>0</v>
      </c>
      <c r="CW23" s="146">
        <f>IF(CV$3=$K23,IF($C23="L",1,IF($C23="1/2L",0.5,0)),0)</f>
        <v>0</v>
      </c>
      <c r="CX23" s="146">
        <f>IF(CX$3=$K23,IF($C23="W",1,IF($C23="1/2W",0.5,0)),0)</f>
        <v>0</v>
      </c>
      <c r="CY23" s="146">
        <f>IF(CX$3=$K23,IF($C23="L",1,IF($C23="1/2L",0.5,0)),0)</f>
        <v>0</v>
      </c>
      <c r="CZ23" s="146">
        <f>IF(CZ$3=$K23,IF($C23="W",1,IF($C23="1/2W",0.5,0)),0)</f>
        <v>0</v>
      </c>
      <c r="DA23" s="146">
        <f>IF(CZ$3=$K23,IF($C23="L",1,IF($C23="1/2L",0.5,0)),0)</f>
        <v>0</v>
      </c>
      <c r="DB23" s="146">
        <f>IF(DB$3=$K23,IF($C23="W",1,IF($C23="1/2W",0.5,0)),0)</f>
        <v>0</v>
      </c>
      <c r="DC23" s="146">
        <f>IF(DB$3=$K23,IF($C23="L",1,IF($C23="1/2L",0.5,0)),0)</f>
        <v>0</v>
      </c>
      <c r="DD23" s="146">
        <f>IF(DD$3=$K23,IF($C23="W",1,IF($C23="1/2W",0.5,0)),0)</f>
        <v>0</v>
      </c>
      <c r="DE23" s="147">
        <f>IF(DD$3=$K23,IF($C23="L",1,IF($C23="1/2L",0.5,0)),0)</f>
        <v>0</v>
      </c>
      <c r="DF23" s="143">
        <f>IF(AND(L23&lt;DF$3,$C23="W"),1+DF22,DF22)</f>
        <v>1</v>
      </c>
      <c r="DG23" s="133">
        <f>IF(DF23&gt;DF22,L23+DG22,DG22)</f>
        <v>1.44</v>
      </c>
      <c r="DH23" s="146">
        <f>IF(AND(L23&gt;DH$3,$C23="W"),1+DH22,0+DH22)</f>
        <v>0</v>
      </c>
      <c r="DI23" s="133">
        <f>IF(DH23&gt;DH22,L23+DI22,DI22)</f>
        <v>0</v>
      </c>
      <c r="DJ23" s="146">
        <f>IF($D22="","",$D22)</f>
        <v>16</v>
      </c>
      <c r="DK23" s="286"/>
    </row>
    <row r="24" ht="14.55" customHeight="1">
      <c r="A24" s="149"/>
      <c r="B24" s="150"/>
      <c r="C24" t="s" s="151">
        <v>58</v>
      </c>
      <c r="D24" s="152"/>
      <c r="E24" s="153"/>
      <c r="F24" s="155"/>
      <c r="G24" s="252"/>
      <c r="H24" s="156"/>
      <c r="I24" s="287"/>
      <c r="J24" s="288"/>
      <c r="K24" s="156"/>
      <c r="L24" s="289"/>
      <c r="M24" s="290"/>
      <c r="N24" s="161"/>
      <c r="O24" t="s" s="162">
        <f>IF(OR(AE22="",AE23=""),"",IF(L24&gt;0,ROUND(IF(M24&gt;0,M24,IF(M22&gt;0,ROUND((M22*AE24)/AE22,IF(N22=0,2,IF(N22=0.1,1,0))),IF(M23&gt;0,ROUND((M23*AE24)/AE23,IF(N22=0,2,IF(N22=0.1,1,0))),IF(M24&gt;0,M24,0)))),2),""))</f>
      </c>
      <c r="P24" s="297">
        <f>IF(I23="Lay",O23*(L23/(L23-1))-O23,IF(I22="Lay",O22*(L22/(L22-1))-O22,IF(OR(L24="",O24=""),"",IF($C24="1/2W",O24/2+O24/2*L24,IF($C24="1/2L",O24/2,(O24*L24-O24)*(1-_xlfn.XLOOKUP(K24,'Janeiro 2023 - Valor Real'!A3:A15,'Janeiro 2023 - Valor Real'!C3:C15,0))+O24)))))</f>
        <v>6.51960784313725</v>
      </c>
      <c r="Q24" t="s" s="154"/>
      <c r="R24" t="s" s="163"/>
      <c r="S24" s="166"/>
      <c r="T24" s="155"/>
      <c r="U24" s="155"/>
      <c r="V24" s="166"/>
      <c r="W24" s="155"/>
      <c r="X24" s="167"/>
      <c r="Y24" s="128"/>
      <c r="Z24" s="129"/>
      <c r="AA24" s="129"/>
      <c r="AB24" s="129"/>
      <c r="AC24" s="129"/>
      <c r="AD24" s="168"/>
      <c r="AE24" t="s" s="169">
        <f>IF(L24="","",(SUM(((L22-1)*(1-_xlfn.XLOOKUP(K22,'Janeiro 2023 - Valor Real'!A3:A15,'Janeiro 2023 - Valor Real'!C3:C15,0))+1),((L23-1)*(1-_xlfn.XLOOKUP(K23,'Janeiro 2023 - Valor Real'!A3:A15,'Janeiro 2023 - Valor Real'!C3:C15,0))+1),((L24-1)*(1-_xlfn.XLOOKUP(K24,'Janeiro 2023 - Valor Real'!A3:A15,'Janeiro 2023 - Valor Real'!C3:C15,0))+1))/((L24-1)*(1-_xlfn.XLOOKUP(K24,'Janeiro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Real'!C3:C15,0))+1))/((L22-1)*(1-_xlfn.XLOOKUP(K22,'Janeiro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Real'!C3:C15,0))+1))/((L23-1)*(1-_xlfn.XLOOKUP(K23,'Janeiro 2023 - Valor Real'!A3:A15,'Janeiro 2023 - Valor Real'!C3:C15,0))+1)+SUM(((L22-1)*(1-_xlfn.XLOOKUP(K22,'Janeiro 2023 - Valor Real'!A3:A15,'Janeiro 2023 - Valor Real'!C3:C15,0))+1),((L23-1)*(1-_xlfn.XLOOKUP(K23,'Janeiro 2023 - Valor Real'!A3:A15,'Janeiro 2023 - Valor Real'!C3:C15,0))+1),((L24-1)*(1-_xlfn.XLOOKUP(K24,'Janeiro 2023 - Valor Real'!A3:A15,'Janeiro 2023 - Valor Real'!C3:C15,0))+1))/((L24-1)*(1-_xlfn.XLOOKUP(K24,'Janeiro 2023 - Valor Real'!A3:A15,'Janeiro 2023 - Valor Real'!C3:C15,0))+1)))</f>
      </c>
      <c r="AF24" s="132">
        <f>IF($K24=AF$3,ROUND(IF(OR($C24="W",$C24="1/2W",$C24="1/2L"),$P24-$O24,IF($C24="X",0,-$O24)),2),0)</f>
        <v>0</v>
      </c>
      <c r="AG24" s="133">
        <f>IF($K24=AG$3,ROUND(IF(OR($C24="W",$C24="1/2W",$C24="1/2L"),$P24-$O24,IF($C24="X",0,-$O24)),2),0)</f>
        <v>0</v>
      </c>
      <c r="AH24" s="133">
        <f>IF($K24=AH$3,ROUND(IF(OR($C24="W",$C24="1/2W",$C24="1/2L"),$P24-$O24,IF($C24="X",0,-$O24)),2),0)</f>
        <v>0</v>
      </c>
      <c r="AI24" s="133">
        <f>IF($K24=AI$3,ROUND(IF(OR($C24="W",$C24="1/2W",$C24="1/2L"),$P24-$O24,IF($C24="X",0,-$O24)),2),0)</f>
        <v>0</v>
      </c>
      <c r="AJ24" s="133">
        <f>IF($K24=AJ$3,ROUND(IF(OR($C24="W",$C24="1/2W",$C24="1/2L"),$P24-$O24,IF($C24="X",0,-$O24)),2),0)</f>
        <v>0</v>
      </c>
      <c r="AK24" s="133">
        <f>IF($K24=AK$3,ROUND(IF(OR($C24="W",$C24="1/2W",$C24="1/2L"),$P24-$O24,IF($C24="X",0,-$O24)),2),0)</f>
        <v>0</v>
      </c>
      <c r="AL24" s="133">
        <f>IF($K24=AL$3,ROUND(IF(OR($C24="W",$C24="1/2W",$C24="1/2L"),$P24-$O24,IF($C24="X",0,-$O24)),2),0)</f>
        <v>0</v>
      </c>
      <c r="AM24" s="133">
        <f>IF($K24=AM$3,ROUND(IF(OR($C24="W",$C24="1/2W",$C24="1/2L"),$P24-$O24,IF($C24="X",0,-$O24)),2),0)</f>
        <v>0</v>
      </c>
      <c r="AN24" s="133">
        <f>IF($K24=AN$3,ROUND(IF(OR($C24="W",$C24="1/2W",$C24="1/2L"),$P24-$O24,IF($C24="X",0,-$O24)),2),0)</f>
        <v>0</v>
      </c>
      <c r="AO24" s="133">
        <f>IF($K24=AO$3,ROUND(IF(OR($C24="W",$C24="1/2W",$C24="1/2L"),$P24-$O24,IF($C24="X",0,-$O24)),2),0)</f>
        <v>0</v>
      </c>
      <c r="AP24" s="133">
        <f>IF($K24=AP$3,ROUND(IF(OR($C24="W",$C24="1/2W",$C24="1/2L"),$P24-$O24,IF($C24="X",0,-$O24)),2),0)</f>
        <v>0</v>
      </c>
      <c r="AQ24" s="133">
        <f>IF($K24=AQ$3,ROUND(IF(OR($C24="W",$C24="1/2W",$C24="1/2L"),$P24-$O24,IF($C24="X",0,-$O24)),2),0)</f>
        <v>0</v>
      </c>
      <c r="AR24" s="134">
        <f>IF($K24=AR$3,ROUND(IF(OR($C24="W",$C24="1/2W",$C24="1/2L"),$P24-$O24,IF($C24="X",0,-$O24)),2),0)</f>
        <v>0</v>
      </c>
      <c r="AS24" s="132">
        <f>IF(AND($B22=" ",$K24=AS$3),$O24,0)</f>
        <v>0</v>
      </c>
      <c r="AT24" s="133">
        <f>IF(AND($B22=" ",K24=AT$3),$O24,0)</f>
        <v>0</v>
      </c>
      <c r="AU24" s="133">
        <f>IF(AND($B22=" ",$K24=AU$3),$O24,0)</f>
        <v>0</v>
      </c>
      <c r="AV24" s="133">
        <f>IF(AND($B22=" ",$K24=AV$3),$O24,0)</f>
        <v>0</v>
      </c>
      <c r="AW24" s="133">
        <f>IF(AND($B22=" ",$K24=AW$3),$O24,0)</f>
        <v>0</v>
      </c>
      <c r="AX24" s="133">
        <f>IF(AND($B22=" ",$K24=AX$3),$O24,0)</f>
        <v>0</v>
      </c>
      <c r="AY24" s="135">
        <f>IF(AND($B22=" ",$K24=AY$3),$O24,0)</f>
        <v>0</v>
      </c>
      <c r="AZ24" s="136">
        <f>IF(AND($B22=" ",$K24=AZ$3),$O24,0)</f>
        <v>0</v>
      </c>
      <c r="BA24" s="136">
        <f>IF(AND($B22=" ",$K24=BA$3),$O24,0)</f>
        <v>0</v>
      </c>
      <c r="BB24" s="136">
        <f>IF(AND($B22=" ",$K24=BB$3),$O24,0)</f>
        <v>0</v>
      </c>
      <c r="BC24" s="137">
        <f>IF(AND($B22=" ",$K24=BC$3),$O24,0)</f>
        <v>0</v>
      </c>
      <c r="BD24" s="133">
        <f>IF(AND($B22=" ",$K24=BD$3),$O24,0)</f>
        <v>0</v>
      </c>
      <c r="BE24" s="134">
        <f>IF(AND($B22=" ",$K24=BE$3),$O24,0)</f>
        <v>0</v>
      </c>
      <c r="BF24" s="132">
        <f>IF($K24=BF$3,IF($C24="X",0,$O24),0)</f>
        <v>0</v>
      </c>
      <c r="BG24" s="281">
        <f>IF($K24=BG$3,IF($C24="X",0,$O24),0)</f>
        <v>0</v>
      </c>
      <c r="BH24" s="133">
        <f>IF($K24=BH$3,IF($C24="X",0,$O24),0)</f>
        <v>0</v>
      </c>
      <c r="BI24" s="133">
        <f>IF($K24=BI$3,IF($C24="X",0,$O24),0)</f>
        <v>0</v>
      </c>
      <c r="BJ24" s="133">
        <f>IF($K24=BJ$3,IF($C24="X",0,$O24),0)</f>
        <v>0</v>
      </c>
      <c r="BK24" s="133">
        <f>IF($K24=BK$3,IF($C24="X",0,$O24),0)</f>
        <v>0</v>
      </c>
      <c r="BL24" s="133">
        <f>IF($K24=BL$3,IF($C24="X",0,$O24),0)</f>
        <v>0</v>
      </c>
      <c r="BM24" s="135">
        <f>IF($K24=BM$3,IF($C24="X",0,$O24),0)</f>
        <v>0</v>
      </c>
      <c r="BN24" s="136">
        <f>IF($K24=BN$3,IF($C24="X",0,$O24),0)</f>
        <v>0</v>
      </c>
      <c r="BO24" s="136">
        <f>IF($K24=BO$3,IF($C24="X",0,$O24),0)</f>
        <v>0</v>
      </c>
      <c r="BP24" s="136">
        <f>IF($K24=BP$3,IF($C24="X",0,$O24),0)</f>
        <v>0</v>
      </c>
      <c r="BQ24" s="137">
        <f>IF($K24=BQ$3,IF($C24="X",0,$O24),0)</f>
        <v>0</v>
      </c>
      <c r="BR24" s="134">
        <f>IF($K24=BR$3,IF($C24="X",0,$O24),0)</f>
        <v>0</v>
      </c>
      <c r="BS24" s="282"/>
      <c r="BT24" s="283"/>
      <c r="BU24" s="140"/>
      <c r="BV24" s="283"/>
      <c r="BW24" s="140"/>
      <c r="BX24" s="140"/>
      <c r="BY24" s="140"/>
      <c r="BZ24" s="283"/>
      <c r="CA24" s="140"/>
      <c r="CB24" s="140"/>
      <c r="CC24" s="140"/>
      <c r="CD24" s="141"/>
      <c r="CE24" s="142"/>
      <c r="CF24" s="284">
        <f>IF(CF$3=$K24,IF($C24="W",1,IF($C24="1/2W",0.5,0)),0)</f>
        <v>0</v>
      </c>
      <c r="CG24" s="285">
        <f>IF(CF$3=$K24,IF($C24="L",1,IF($C24="1/2L",0.5,0)),0)</f>
        <v>0</v>
      </c>
      <c r="CH24" s="285">
        <f>IF(CH$3=$K24,IF($C24="W",1,IF($C24="1/2W",0.5,0)),0)</f>
        <v>0</v>
      </c>
      <c r="CI24" s="285">
        <f>IF(CH$3=$K24,IF($C24="L",1,IF($C24="1/2L",0.5,0)),0)</f>
        <v>0</v>
      </c>
      <c r="CJ24" s="285">
        <f>IF(CJ$3=$K24,IF($C24="W",1,IF($C24="1/2W",0.5,0)),0)</f>
        <v>0</v>
      </c>
      <c r="CK24" s="285">
        <f>IF(CJ$3=$K24,IF($C24="L",1,IF($C24="1/2L",0.5,0)),0)</f>
        <v>0</v>
      </c>
      <c r="CL24" s="285">
        <f>IF(CL$3=$K24,IF($C24="W",1,IF($C24="1/2W",0.5,0)),0)</f>
        <v>0</v>
      </c>
      <c r="CM24" s="285">
        <f>IF(CL$3=$K24,IF($C24="L",1,IF($C24="1/2L",0.5,0)),0)</f>
        <v>0</v>
      </c>
      <c r="CN24" s="285">
        <f>IF(CN$3=$K24,IF($C24="W",1,IF($C24="1/2W",0.5,0)),0)</f>
        <v>0</v>
      </c>
      <c r="CO24" s="285">
        <f>IF(CN$3=$K24,IF($C24="L",1,IF($C24="1/2L",0.5,0)),0)</f>
        <v>0</v>
      </c>
      <c r="CP24" s="285">
        <f>IF(CP$3=$K24,IF($C24="W",1,IF($C24="1/2W",0.5,0)),0)</f>
        <v>0</v>
      </c>
      <c r="CQ24" s="285">
        <f>IF(CP$3=$K24,IF($C24="L",1,IF($C24="1/2L",0.5,0)),0)</f>
        <v>0</v>
      </c>
      <c r="CR24" s="285">
        <f>IF(CR$3=$K24,IF($C24="W",1,IF($C24="1/2W",0.5,0)),0)</f>
        <v>0</v>
      </c>
      <c r="CS24" s="285">
        <f>IF(CR$3=$K24,IF($C24="L",1,IF($C24="1/2L",0.5,0)),0)</f>
        <v>0</v>
      </c>
      <c r="CT24" s="145">
        <f>IF(CT$3=$K24,IF($C24="W",1,IF($C24="1/2W",0.5,0)),0)</f>
        <v>0</v>
      </c>
      <c r="CU24" s="146">
        <f>IF(CT$3=$K24,IF($C24="L",1,IF($C24="1/2L",0.5,0)),0)</f>
        <v>0</v>
      </c>
      <c r="CV24" s="146">
        <f>IF(CV$3=$K24,IF($C24="W",1,IF($C24="1/2W",0.5,0)),0)</f>
        <v>0</v>
      </c>
      <c r="CW24" s="146">
        <f>IF(CV$3=$K24,IF($C24="L",1,IF($C24="1/2L",0.5,0)),0)</f>
        <v>0</v>
      </c>
      <c r="CX24" s="146">
        <f>IF(CX$3=$K24,IF($C24="W",1,IF($C24="1/2W",0.5,0)),0)</f>
        <v>0</v>
      </c>
      <c r="CY24" s="146">
        <f>IF(CX$3=$K24,IF($C24="L",1,IF($C24="1/2L",0.5,0)),0)</f>
        <v>0</v>
      </c>
      <c r="CZ24" s="146">
        <f>IF(CZ$3=$K24,IF($C24="W",1,IF($C24="1/2W",0.5,0)),0)</f>
        <v>0</v>
      </c>
      <c r="DA24" s="146">
        <f>IF(CZ$3=$K24,IF($C24="L",1,IF($C24="1/2L",0.5,0)),0)</f>
        <v>0</v>
      </c>
      <c r="DB24" s="146">
        <f>IF(DB$3=$K24,IF($C24="W",1,IF($C24="1/2W",0.5,0)),0)</f>
        <v>0</v>
      </c>
      <c r="DC24" s="146">
        <f>IF(DB$3=$K24,IF($C24="L",1,IF($C24="1/2L",0.5,0)),0)</f>
        <v>0</v>
      </c>
      <c r="DD24" s="146">
        <f>IF(DD$3=$K24,IF($C24="W",1,IF($C24="1/2W",0.5,0)),0)</f>
        <v>0</v>
      </c>
      <c r="DE24" s="147">
        <f>IF(DD$3=$K24,IF($C24="L",1,IF($C24="1/2L",0.5,0)),0)</f>
        <v>0</v>
      </c>
      <c r="DF24" s="143">
        <f>IF(AND(L24&lt;DF$3,$C24="W"),1+DF23,DF23)</f>
        <v>1</v>
      </c>
      <c r="DG24" s="133">
        <f>IF(DF24&gt;DF23,L24+DG23,DG23)</f>
        <v>1.44</v>
      </c>
      <c r="DH24" s="146">
        <f>IF(AND(L24&gt;DH$3,$C24="W"),1+DH23,0+DH23)</f>
        <v>0</v>
      </c>
      <c r="DI24" s="133">
        <f>IF(DH24&gt;DH23,L24+DI23,DI23)</f>
        <v>0</v>
      </c>
      <c r="DJ24" s="146">
        <f>IF($D22="","",$D22)</f>
        <v>16</v>
      </c>
      <c r="DK24" s="286"/>
    </row>
    <row r="25" ht="14.55" customHeight="1">
      <c r="A25" s="171">
        <f>$A22+1</f>
        <v>8</v>
      </c>
      <c r="B25" t="s" s="172">
        <v>50</v>
      </c>
      <c r="C25" t="s" s="173">
        <v>51</v>
      </c>
      <c r="D25" s="174">
        <f>IF(G25="","",$D22)</f>
        <v>16</v>
      </c>
      <c r="E25" t="s" s="175">
        <v>59</v>
      </c>
      <c r="F25" t="s" s="176">
        <f>IF(G25="","",IF(OR(AND($C25&lt;&gt;" ",$C26=" "),AND($C26&lt;&gt;" ",$C25=" "),AND(L27&gt;0,OR(AND($C27&lt;&gt;" ",OR($C25=" ",$C26=" ")),AND($C27=" ",OR($C25&lt;&gt;" ",$C26&lt;&gt;" "))))),IF(SUM(F$4:F24)=0,1,LARGE(F$4:F24,1)+1),IF(MONTH(G25)=MONTH(TODAY()),IF(AND(DAY(G25)&lt;DAY(TODAY()),$B25=" "),IF(SUM(F$4:F24)=0,1,LARGE(F$4:F24,1)+1),IF($B25=" ",IF(AND(DAY(G25)=DAY(TODAY()),HOUR(G25)&lt;=HOUR(NOW())+1),IF(AND(HOUR(G25)+2&lt;=HOUR(NOW()),DAY(G25)&lt;=DAY(TODAY()),MINUTE(G25)&lt;=MINUTE(NOW())),IF(SUM(F$4:F24)=0,1,LARGE(F$4:F24,1)+1),IF(OR(MINUTE(G25)&lt;=MINUTE(NOW()),HOUR(G25)&lt;=HOUR(NOW())),"!!!","")),""),"")),"")))</f>
      </c>
      <c r="G25" s="177">
        <v>44944.833333333336</v>
      </c>
      <c r="H25" t="s" s="178">
        <v>76</v>
      </c>
      <c r="I25" s="298">
        <v>1</v>
      </c>
      <c r="J25" s="180"/>
      <c r="K25" t="s" s="181">
        <v>37</v>
      </c>
      <c r="L25" s="182">
        <v>3</v>
      </c>
      <c r="M25" s="183">
        <v>7</v>
      </c>
      <c r="N25" s="184">
        <v>0</v>
      </c>
      <c r="O25" s="185">
        <f>IF(OR(AE25="",AE26=""),"",ROUND(IF(L27&gt;0,IF(M25&gt;0,M25,IF(M26&gt;0,ROUND((M26*AE25)/AE26,IF(N25=0,2,IF(N25=0.1,1,0))),ROUND((M27*AE25)/AE27,IF(N25=0,2,IF(N25=0.1,1,0))))),IF(M25&gt;0,M25,ROUND((M26*AE25)/AE26,IF(N25=0,2,IF(N25=0.1,1,0))))),2))</f>
        <v>7</v>
      </c>
      <c r="P25" s="186">
        <f>IF(OR(L25="",O25=""),"",IF($C25="1/2W",O25/2+O25/2*L25,IF($C25="1/2L",O25/2,IF(I25="Lay",(O25*(L25/(L25-1))-O25)*(1-_xlfn.XLOOKUP(K25,'Janeiro 2023 - Valor Real'!A3:A15,'Janeiro 2023 - Valor Real'!C3:C15,0))+O25,(O25*L25-O25)*(1-_xlfn.XLOOKUP(K25,'Janeiro 2023 - Valor Real'!A3:A15,'Janeiro 2023 - Valor Real'!C3:C15,0))+O25))))</f>
        <v>21</v>
      </c>
      <c r="Q25" s="187">
        <v>1</v>
      </c>
      <c r="R25" s="188">
        <v>0</v>
      </c>
      <c r="S25" s="189">
        <f>IF($B25="Anulado",0,ROUND(IF(OR($B25="LOSS",$B25="OK"),IF(OR($C25="W",$C25="1/2W",$C25="1/2L"),P25-O25,IF($C25="L",-O25,0))+IF(OR($C26="W",$C26="1/2W",$C26="1/2L"),P26-O26,IF($C26="L",-O26,0))+IF(OR($C27="W",$C27="1/2W",$C27="1/2L"),P27-O27,IF($C27="L",-O27,0)),IF(AND(OR($C25="W",$C25="1/2W",$C25="1/2L"),C26="W"),P25+P26-SUM(O25:O27)+_xlfn.XLOOKUP("X",C25:C27,O25:O27,0),IF(AND(C25=TRUE,C27="W"),P25+P27-SUM(O25:O27),IF(AND(C26="W",C27="W"),P26+P27-SUM(O25:O27)+_xlfn.XLOOKUP("X",C25:C27,O25:O27,0),IF(L27&gt;0,IF(OR($C25="W",$C25="1/2W",$C25="1/2L"),P25-SUM(O25:O27)+_xlfn.XLOOKUP("X",C25:C27,O25:O27,0),IF(OR($C25="W",$C25="1/2W",$C25="1/2L"),P26-SUM(O25:O27)+_xlfn.XLOOKUP("X",C25:C27,O25:O27,0),IF(OR($C25="W",$C25="1/2W",$C25="1/2L"),P27-SUM(O25:O27)+_xlfn.XLOOKUP("X",C25:C27,O25:O27,0),IF(SUM(P25:P27)/3-SUM(O25:O27)+_xlfn.XLOOKUP("X",C25:C27,O25:O27,0)&gt;0,SUM(P25:P27)/3-SUM(O25:O27)+_xlfn.XLOOKUP("X",C25:C27,O25:O27,0),LARGE(P25:P27,1)-SUM(O25:O27))))),IF(OR($C25="W",$C25="1/2W",$C25="1/2L"),P25-SUM(O25:O26)+_xlfn.XLOOKUP("X",C25:C27,O25:O27,0),IF(OR($C25="W",$C25="1/2W",$C25="1/2L"),P26-SUM(O25:O26)+_xlfn.XLOOKUP("X",C25:C27,O25:O27,0),SUM(P25:P26)/2-SUM(O25:O26)+_xlfn.XLOOKUP("X",C25:C27,O25:O27,0)))))))),2))</f>
        <v>0.74</v>
      </c>
      <c r="T25" s="190">
        <f>IF(S25=0,0,S25/SUM(O25:O27))</f>
        <v>0.0365251727541955</v>
      </c>
      <c r="U25" s="191">
        <f>IF($D25=$D22,IF(OR($B25="LOSS",$B25="OK",$B25="Anulada"),S25,0)+U22,IF(OR($B25="LOSS",$B25="OK",$B25="Anulada"),S25,0))</f>
        <v>12.17</v>
      </c>
      <c r="V25" s="191">
        <f>IF($D25="",0,IF($D25=$D22,IF($B25=" ",IF(I27="",IF(OR(AND(I25="DNB1",I26="DNB2"),AND(OR(I25="DNB1",I25="DNB2"),J26=0),AND(OR(I26="DNB1",I26="DNB2"),J25=0),AND(I25="DNB2",I26="DNB1"),AND(IF(J25=0,(J25+1)/ROUND(J25+1,0),J25/ROUND(J25,0))=1,IF(J26=0,(J26+1)/ROUND(IF(J26="",0,J26)+1,0),IF(J26="",0,J26)/ROUND(IF(J26="",1,J26),0))=1,OR(J25&lt;&gt;""),J26&lt;&gt;"")),0,IF(S25&lt;0,IF(I27="",SMALL(P25:P26,1)-SUM(O25:O26),0),SMALL(P25:P26,1)-SUM(O25:O26))),IF(S25&lt;0,IF(I27="",SMALL(P25:P27,1)-SUM(O25:O27),0),LARGE(P25:P27,1)-SUM(O25:O27))),S25)+V22,IF(I27="",IF(OR(AND(I25="DNB1",I26="DNB2"),AND(OR(I25="DNB1",I25="DNB2"),J26=0),AND(OR(I26="DNB1",I26="DNB2"),J25=0),AND(I25="DNB2",I26="DNB1"),AND(IF(J25=0,(J25+1)/ROUND(J25+1,0),J25/ROUND(J25,0))=1,IF(J26=0,(IF(J26="",0,J26)+1)/ROUND(IF(J26="",0,J26)+1,0),IF(J26="",0,J26)/ROUND(IF(J26="",0,J26)+1,0))=1,OR(J25&lt;&gt;""),J26&lt;&gt;"")),0,IF(S25&lt;0,IF(I27="",SMALL(P25:P26,1)-SUM(O25:O26),0),SMALL(P25:P27,1)-SUM(O25:O27))),IF(S25&lt;0,IF(I27="",SMALL(P25:P27,1)-SUM(O25:O27),0),LARGE(P25:P27,1)-SUM(O25:O27)))))</f>
        <v>12.17</v>
      </c>
      <c r="W25" s="191">
        <f>IF($D25=$D22,IF(S25&lt;0,IF(I27="",S25,0),S25)+W22,S25)</f>
        <v>12.17</v>
      </c>
      <c r="X25" t="s" s="192">
        <f>IF(OR(SUM(R25:R27)=0,V25=W25),ROUND(IF(W25=0,0,W25/Y25)*100,2)&amp;"%",ROUND(IF(V25=0,0,V25/Y25)*100,2)&amp;"% a "&amp;ROUND(IF(W25=0,0,W25/Y25)*100,2)&amp;"%")</f>
        <v>77</v>
      </c>
      <c r="Y25" s="193">
        <f>IF($D25=$D22,Y22+SUM(O25:O27),SUM(O25:O27))</f>
        <v>190.61</v>
      </c>
      <c r="Z25" s="191">
        <f>IF($B25=" ",SUM(O25:O27),0)+Z22</f>
        <v>0</v>
      </c>
      <c r="AA25" s="191">
        <f>IF(G25="","",IF($B25="Anulado",LARGE(P25:P27,1)-SUM(O25:O27)+AA22,AA22))</f>
        <v>0</v>
      </c>
      <c r="AB25" s="191">
        <f>IF($D25="","",AB22+S25)</f>
        <v>12.17</v>
      </c>
      <c r="AC25" s="194">
        <f>IF($D25="","",IF($B25=" ",IF(DAY(G25)=DAY(TODAY()),1+AC22,0+AC22),0+AC22))</f>
        <v>0</v>
      </c>
      <c r="AD25" s="195">
        <f>(((L26/(L26-1)-1)*(1-_xlfn.XLOOKUP(K26,'Janeiro 2023 - Valor Real'!A3:A15,'Janeiro 2023 - Valor Real'!C3:C15,0))+1))/(((L25-1)*(1-_xlfn.XLOOKUP(K25,'Janeiro 2023 - Valor Real'!A3:A15,'Janeiro 2023 - Valor Real'!C3:C15,0))+1)+((L26/(L26-1)-1)*(1-_xlfn.XLOOKUP(K26,'Janeiro 2023 - Valor Real'!A3:A15,'Janeiro 2023 - Valor Real'!C3:C15,0))+1))</f>
        <v>0.474820143884892</v>
      </c>
      <c r="AE25" s="196">
        <f>IF(L25="","",IF(L27&gt;0,(SUM(((L25-1)*(1-_xlfn.XLOOKUP(K25,'Janeiro 2023 - Valor Real'!A3:A15,'Janeiro 2023 - Valor Real'!C3:C15,0))+1),((L26-1)*(1-_xlfn.XLOOKUP(K26,'Janeiro 2023 - Valor Real'!A3:A15,'Janeiro 2023 - Valor Real'!C3:C15,0))+1),((L27-1)*(1-_xlfn.XLOOKUP(K27,'Janeiro 2023 - Valor Real'!A3:A15,'Janeiro 2023 - Valor Real'!C3:C15,0))+1))/((L25-1)*(1-_xlfn.XLOOKUP(K25,'Janeiro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Real'!C3:C15,0))+1))/((L25-1)*(1-_xlfn.XLOOKUP(K25,'Janeiro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Real'!C3:C15,0))+1))/((L26-1)*(1-_xlfn.XLOOKUP(K26,'Janeiro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Real'!C3:C15,0))+1))/((L27-1)*(1-_xlfn.XLOOKUP(K27,'Janeiro 2023 - Valor Real'!A3:A15,'Janeiro 2023 - Valor Real'!C3:C15,0))+1)),IF(I25="Lay",IF(I26="Lay",((L26/(L26-1)-1)*(1-_xlfn.XLOOKUP(K26,'Janeiro 2023 - Valor Real'!A3:A15,'Janeiro 2023 - Valor Real'!C3:C15,0))+1)/(((L26/(L26-1)-1)*(1-_xlfn.XLOOKUP(K26,'Janeiro 2023 - Valor Real'!A3:A15,'Janeiro 2023 - Valor Real'!C3:C15,0))+1)+((L25/(L25-1)-1)*(1-_xlfn.XLOOKUP(K25,'Janeiro 2023 - Valor Real'!A3:A15,'Janeiro 2023 - Valor Real'!C3:C15,0))+1)),((L26-1)*(1-_xlfn.XLOOKUP(K26,'Janeiro 2023 - Valor Real'!A3:A15,'Janeiro 2023 - Valor Real'!C3:C15,0))+1)/(((L26-1)*(1-_xlfn.XLOOKUP(K26,'Janeiro 2023 - Valor Real'!A3:A15,'Janeiro 2023 - Valor Real'!C3:C15,0))+1)+((L25/(L25-1)-1)*(1-_xlfn.XLOOKUP(K25,'Janeiro 2023 - Valor Real'!A3:A15,'Janeiro 2023 - Valor Real'!C3:C15,0))+1))),IF(I26="Lay",(((L26/(L26-1)-1)*(1-_xlfn.XLOOKUP(K26,'Janeiro 2023 - Valor Real'!A3:A15,'Janeiro 2023 - Valor Real'!C3:C15,0))+1))/(((L25-1)*(1-_xlfn.XLOOKUP(K25,'Janeiro 2023 - Valor Real'!A3:A15,'Janeiro 2023 - Valor Real'!C3:C15,0))+1)+((L26/(L26-1)-1)*(1-_xlfn.XLOOKUP(K26,'Janeiro 2023 - Valor Real'!A3:A15,'Janeiro 2023 - Valor Real'!C3:C15,0))+1)),((L26-1)*(1-_xlfn.XLOOKUP(K26,'Janeiro 2023 - Valor Real'!A3:A15,'Janeiro 2023 - Valor Real'!C3:C15,0))+1)/(((L26-1)*(1-_xlfn.XLOOKUP(K26,'Janeiro 2023 - Valor Real'!A3:A15,'Janeiro 2023 - Valor Real'!C3:C15,0))+1)+((L25-1)*(1-_xlfn.XLOOKUP(K25,'Janeiro 2023 - Valor Real'!A3:A15,'Janeiro 2023 - Valor Real'!C3:C15,0))+1))))))</f>
        <v>0.345549738219895</v>
      </c>
      <c r="AF25" s="197">
        <f>IF($K25=AF$3,ROUND(IF(OR($C25="W",$C25="1/2W",$C25="1/2L"),$P25-$O25,IF($C25="X",0,-$O25)),2),0)</f>
        <v>-7</v>
      </c>
      <c r="AG25" s="198">
        <f>IF($K25=AG$3,ROUND(IF(OR($C25="W",$C25="1/2W",$C25="1/2L"),$P25-$O25,IF($C25="X",0,-$O25)),2),0)</f>
        <v>0</v>
      </c>
      <c r="AH25" s="198">
        <f>IF($K25=AH$3,ROUND(IF(OR($C25="W",$C25="1/2W",$C25="1/2L"),$P25-$O25,IF($C25="X",0,-$O25)),2),0)</f>
        <v>0</v>
      </c>
      <c r="AI25" s="198">
        <f>IF($K25=AI$3,ROUND(IF(OR($C25="W",$C25="1/2W",$C25="1/2L"),$P25-$O25,IF($C25="X",0,-$O25)),2),0)</f>
        <v>0</v>
      </c>
      <c r="AJ25" s="198">
        <f>IF($K25=AJ$3,ROUND(IF(OR($C25="W",$C25="1/2W",$C25="1/2L"),$P25-$O25,IF($C25="X",0,-$O25)),2),0)</f>
        <v>0</v>
      </c>
      <c r="AK25" s="198">
        <f>IF($K25=AK$3,ROUND(IF(OR($C25="W",$C25="1/2W",$C25="1/2L"),$P25-$O25,IF($C25="X",0,-$O25)),2),0)</f>
        <v>0</v>
      </c>
      <c r="AL25" s="198">
        <f>IF($K25=AL$3,ROUND(IF(OR($C25="W",$C25="1/2W",$C25="1/2L"),$P25-$O25,IF($C25="X",0,-$O25)),2),0)</f>
        <v>0</v>
      </c>
      <c r="AM25" s="198">
        <f>IF($K25=AM$3,ROUND(IF(OR($C25="W",$C25="1/2W",$C25="1/2L"),$P25-$O25,IF($C25="X",0,-$O25)),2),0)</f>
        <v>0</v>
      </c>
      <c r="AN25" s="198">
        <f>IF($K25=AN$3,ROUND(IF(OR($C25="W",$C25="1/2W",$C25="1/2L"),$P25-$O25,IF($C25="X",0,-$O25)),2),0)</f>
        <v>0</v>
      </c>
      <c r="AO25" s="198">
        <f>IF($K25=AO$3,ROUND(IF(OR($C25="W",$C25="1/2W",$C25="1/2L"),$P25-$O25,IF($C25="X",0,-$O25)),2),0)</f>
        <v>0</v>
      </c>
      <c r="AP25" s="198">
        <f>IF($K25=AP$3,ROUND(IF(OR($C25="W",$C25="1/2W",$C25="1/2L"),$P25-$O25,IF($C25="X",0,-$O25)),2),0)</f>
        <v>0</v>
      </c>
      <c r="AQ25" s="198">
        <f>IF($K25=AQ$3,ROUND(IF(OR($C25="W",$C25="1/2W",$C25="1/2L"),$P25-$O25,IF($C25="X",0,-$O25)),2),0)</f>
        <v>0</v>
      </c>
      <c r="AR25" s="199">
        <f>IF($K25=AR$3,ROUND(IF(OR($C25="W",$C25="1/2W",$C25="1/2L"),$P25-$O25,IF($C25="X",0,-$O25)),2),0)</f>
        <v>0</v>
      </c>
      <c r="AS25" s="197">
        <f>IF(AND($B25=" ",$K25=AS$3),$O25,0)</f>
        <v>0</v>
      </c>
      <c r="AT25" s="198">
        <f>IF(AND($B25=" ",$K25=AT$3),$O25,0)</f>
        <v>0</v>
      </c>
      <c r="AU25" s="198">
        <f>IF(AND($B25=" ",$K25=AU$3),$O25,0)</f>
        <v>0</v>
      </c>
      <c r="AV25" s="198">
        <f>IF(AND($B25=" ",$K25=AV$3),$O25,0)</f>
        <v>0</v>
      </c>
      <c r="AW25" s="198">
        <f>IF(AND($B25=" ",$K25=AW$3),$O25,0)</f>
        <v>0</v>
      </c>
      <c r="AX25" s="198">
        <f>IF(AND($B25=" ",$K25=AX$3),$O25,0)</f>
        <v>0</v>
      </c>
      <c r="AY25" s="200">
        <f>IF(AND($B25=" ",$K25=AY$3),$O25,0)</f>
        <v>0</v>
      </c>
      <c r="AZ25" s="201">
        <f>IF(AND($B25=" ",$K25=AZ$3),$O25,0)</f>
        <v>0</v>
      </c>
      <c r="BA25" s="201">
        <f>IF(AND($B25=" ",$K25=BA$3),$O25,0)</f>
        <v>0</v>
      </c>
      <c r="BB25" s="201">
        <f>IF(AND($B25=" ",$K25=BB$3),$O25,0)</f>
        <v>0</v>
      </c>
      <c r="BC25" s="202">
        <f>IF(AND($B25=" ",$K25=BC$3),$O25,0)</f>
        <v>0</v>
      </c>
      <c r="BD25" s="198">
        <f>IF(AND($B25=" ",$K25=BD$3),$O25,0)</f>
        <v>0</v>
      </c>
      <c r="BE25" s="199">
        <f>IF(AND($B25=" ",$K25=BE$3),$O25,0)</f>
        <v>0</v>
      </c>
      <c r="BF25" s="203">
        <f>IF($K25=BF$3,IF($C25="X",0,$O25),0)</f>
        <v>7</v>
      </c>
      <c r="BG25" s="198">
        <f>IF($K25=BG$3,IF($C25="X",0,$O25),0)</f>
        <v>0</v>
      </c>
      <c r="BH25" s="198">
        <f>IF($K25=BH$3,IF($C25="X",0,$O25),0)</f>
        <v>0</v>
      </c>
      <c r="BI25" s="198">
        <f>IF($K25=BI$3,IF($C25="X",0,$O25),0)</f>
        <v>0</v>
      </c>
      <c r="BJ25" s="198">
        <f>IF($K25=BJ$3,IF($C25="X",0,$O25),0)</f>
        <v>0</v>
      </c>
      <c r="BK25" s="198">
        <f>IF($K25=BK$3,IF($C25="X",0,$O25),0)</f>
        <v>0</v>
      </c>
      <c r="BL25" s="198">
        <f>IF($K25=BL$3,IF($C25="X",0,$O25),0)</f>
        <v>0</v>
      </c>
      <c r="BM25" s="200">
        <f>IF($K25=BM$3,IF($C25="X",0,$O25),0)</f>
        <v>0</v>
      </c>
      <c r="BN25" s="201">
        <f>IF($K25=BN$3,IF($C25="X",0,$O25),0)</f>
        <v>0</v>
      </c>
      <c r="BO25" s="201">
        <f>IF($K25=BO$3,IF($C25="X",0,$O25),0)</f>
        <v>0</v>
      </c>
      <c r="BP25" s="201">
        <f>IF($K25=BP$3,IF($C25="X",0,$O25),0)</f>
        <v>0</v>
      </c>
      <c r="BQ25" s="202">
        <f>IF($K25=BQ$3,IF($C25="X",0,$O25),0)</f>
        <v>0</v>
      </c>
      <c r="BR25" s="199">
        <f>IF($K25=BR$3,IF($C25="X",0,$O25),0)</f>
        <v>0</v>
      </c>
      <c r="BS25" s="204">
        <f>IF($B25="LOSS",IF(AND($K25=BS$3,$C25="L"),-$O25,0)+IF(AND($K26=BS$3,$C26="L"),-$O26,0)+IF(AND($K27=BS$3,$C27="L"),-$O27,0),IF(OR(AND($K25=BS$3,OR($C25="W",$C25="1/2W")),AND($K26=BS$3,OR($C26="W",$C26="1/2W")),AND($K27=BS$3,OR($C27="W",$C27="1/2W"))),$S25,0))</f>
        <v>0</v>
      </c>
      <c r="BT25" s="201">
        <f>IF($B25="LOSS",IF(AND($K25=BT$3,$C25="L"),-$O25,0)+IF(AND($K26=BT$3,$C26="L"),-$O26,0)+IF(AND($K26=BT$3,$C27="L"),-$O27,0),IF(OR(AND($K26=BT$3,OR($C25="W",$C25="1/2W")),AND($K26=BT$3,OR($C26="W",$C26="1/2W")),AND($K26=BT$3,OR($C27="W",$C27="1/2W"))),$S25,0))</f>
        <v>0</v>
      </c>
      <c r="BU25" s="201">
        <f>IF($B25="LOSS",IF(AND($K25=BU$3,$C25="L"),-$O25,0)+IF(AND($K26=BU$3,$C26="L"),-$O26,0)+IF(AND($K26=BU$3,$C27="L"),-$O27,0),IF(OR(AND($K26=BU$3,OR($C25="W",$C25="1/2W")),AND($K26=BU$3,OR($C26="W",$C26="1/2W")),AND($K26=BU$3,OR($C27="W",$C27="1/2W"))),$S25,0))</f>
        <v>0</v>
      </c>
      <c r="BV25" s="201">
        <f>IF($B25="LOSS",IF(AND($K25=BV$3,$C25="L"),-$O25,0)+IF(AND($K26=BV$3,$C26="L"),-$O26,0)+IF(AND($K27=BV$3,$C27="L"),-$O27,0),IF(OR(AND($K25=BV$3,OR($C25="W",$C25="1/2W")),AND($K26=BV$3,OR($C26="W",$C26="1/2W")),AND($K27=BV$3,OR($C27="W",$C27="1/2W"))),$S25,0))</f>
        <v>0</v>
      </c>
      <c r="BW25" s="201">
        <f>IF($B25="LOSS",IF(AND($K25=BW$3,$C25="L"),-$O25,0)+IF(AND($K26=BW$3,$C26="L"),-$O26,0)+IF(AND($K27=BW$3,$C27="L"),-$O27,0),IF(OR(AND($K25=BW$3,OR($C25="W",$C25="1/2W")),AND($K26=BW$3,OR($C26="W",$C26="1/2W")),AND($K27=BW$3,OR($C27="W",$C27="1/2W"))),$S25,0))</f>
        <v>0</v>
      </c>
      <c r="BX25" s="201">
        <f>IF($B25="LOSS",IF(AND($K25=BX$3,$C25="L"),-$O25,0)+IF(AND($K26=BX$3,$C26="L"),-$O26,0)+IF(AND($K27=BX$3,$C27="L"),-$O27,0),IF(OR(AND($K25=BX$3,OR($C25="W",$C25="1/2W")),AND($K26=BX$3,OR($C26="W",$C26="1/2W")),AND($K27=BX$3,OR($C27="W",$C27="1/2W"))),$S25,0))</f>
        <v>0</v>
      </c>
      <c r="BY25" s="201">
        <f>IF($B25="LOSS",IF(AND($K25=BY$3,$C25="L"),-$O25,0)+IF(AND($K26=BY$3,$C26="L"),-$O26,0)+IF(AND($K27=BY$3,$C27="L"),-$O27,0),IF(OR(AND($K25=BY$3,OR($C25="W",$C25="1/2W")),AND($K26=BY$3,OR($C26="W",$C26="1/2W")),AND($K27=BY$3,OR($C27="W",$C27="1/2W"))),$S25,0))</f>
        <v>0</v>
      </c>
      <c r="BZ25" s="205">
        <f>IF($B25="LOSS",IF(AND($K25=BZ$3,$C25="L"),-$O25,0)+IF(AND($K26=BZ$3,$C26="L"),-$O26,0)+IF(AND($K27=BZ$3,$C27="L"),-$O27,0),IF(OR(AND($K25=BZ$3,OR($C25="W",$C25="1/2W")),AND($K26=BZ$3,OR($C26="W",$C26="1/2W")),AND($K27=BZ$3,OR($C27="W",$C27="1/2W"))),$S25,0))</f>
        <v>0.74</v>
      </c>
      <c r="CA25" s="205">
        <f>IF($B25="LOSS",IF(AND($K25=CA$3,$C25="L"),-$O25,0)+IF(AND($K26=CA$3,$C26="L"),-$O26,0)+IF(AND($K27=CA$3,$C27="L"),-$O27,0),IF(OR(AND($K25=CA$3,OR($C25="W",$C25="1/2W")),AND($K26=CA$3,OR($C26="W",$C26="1/2W")),AND($K27=CA$3,OR($C27="W",$C27="1/2W"))),$S25,0))</f>
        <v>0</v>
      </c>
      <c r="CB25" s="205">
        <f>IF($B25="LOSS",IF(AND($K25=CB$3,$C25="L"),-$O25,0)+IF(AND($K26=CB$3,$C26="L"),-$O26,0)+IF(AND($K27=CB$3,$C27="L"),-$O27,0),IF(OR(AND($K25=CB$3,OR($C25="W",$C25="1/2W")),AND($K26=CB$3,OR($C26="W",$C26="1/2W")),AND($K27=CB$3,OR($C27="W",$C27="1/2W"))),$S25,0))</f>
        <v>0</v>
      </c>
      <c r="CC25" s="205">
        <f>IF($B25="LOSS",IF(AND($K25=CC$3,$C25="L"),-$O25,0)+IF(AND($K26=CC$3,$C26="L"),-$O26,0)+IF(AND($K27=CC$3,$C27="L"),-$O27,0),IF(OR(AND($K25=CC$3,OR($C25="W",$C25="1/2W")),AND($K26=CC$3,OR($C26="W",$C26="1/2W")),AND($K27=CC$3,OR($C27="W",$C27="1/2W"))),$S25,0))</f>
        <v>0</v>
      </c>
      <c r="CD25" s="202">
        <f>IF($B25="LOSS",IF(AND($K25=CD$3,$C25="L"),-$O25,0)+IF(AND($K26=CD$3,$C26="L"),-$O26,0)+IF(AND($K27=CD$3,$C27="L"),-$O27,0),IF(OR(AND($K25=CD$3,OR($C25="W",$C25="1/2W")),AND($K26=CD$3,OR($C26="W",$C26="1/2W")),AND($K27=CD$3,OR($C27="W",$C27="1/2W"))),$S25,0))</f>
        <v>0</v>
      </c>
      <c r="CE25" s="199">
        <f>IF($B25="LOSS",IF(AND($K25=CE$3,$C25="L"),-$O25,0)+IF(AND($K26=CE$3,$C26="L"),-$O26,0)+IF(AND($K27=CE$3,$C27="L"),-$O27,0),IF(OR(AND($K25=CE$3,OR($C25="W",$C25="1/2W")),AND($K26=CE$3,OR($C26="W",$C26="1/2W")),AND($K27=CE$3,OR($C27="W",$C27="1/2W"))),$S25,0))</f>
        <v>0</v>
      </c>
      <c r="CF25" s="206">
        <f>IF(CF$3=$K25,IF($C25="W",1,IF($C25="1/2W",0.5,0)),0)</f>
        <v>0</v>
      </c>
      <c r="CG25" s="207">
        <f>IF(CF$3=$K25,IF($C25="L",1,IF($C25="1/2L",0.5,0)),0)</f>
        <v>1</v>
      </c>
      <c r="CH25" s="207">
        <f>IF(CH$3=$K25,IF($C25="W",1,IF($C25="1/2W",0.5,0)),0)</f>
        <v>0</v>
      </c>
      <c r="CI25" s="207">
        <f>IF(CH$3=$K25,IF($C25="L",1,IF($C25="1/2L",0.5,0)),0)</f>
        <v>0</v>
      </c>
      <c r="CJ25" s="207">
        <f>IF(CJ$3=$K25,IF($C25="W",1,IF($C25="1/2W",0.5,0)),0)</f>
        <v>0</v>
      </c>
      <c r="CK25" s="207">
        <f>IF(CJ$3=$K25,IF($C25="L",1,IF($C25="1/2L",0.5,0)),0)</f>
        <v>0</v>
      </c>
      <c r="CL25" s="207">
        <f>IF(CL$3=$K25,IF($C25="W",1,IF($C25="1/2W",0.5,0)),0)</f>
        <v>0</v>
      </c>
      <c r="CM25" s="207">
        <f>IF(CL$3=$K25,IF($C25="L",1,IF($C25="1/2L",0.5,0)),0)</f>
        <v>0</v>
      </c>
      <c r="CN25" s="207">
        <f>IF(CN$3=$K25,IF($C25="W",1,IF($C25="1/2W",0.5,0)),0)</f>
        <v>0</v>
      </c>
      <c r="CO25" s="207">
        <f>IF(CN$3=$K25,IF($C25="L",1,IF($C25="1/2L",0.5,0)),0)</f>
        <v>0</v>
      </c>
      <c r="CP25" s="207">
        <f>IF(CP$3=$K25,IF($C25="W",1,IF($C25="1/2W",0.5,0)),0)</f>
        <v>0</v>
      </c>
      <c r="CQ25" s="207">
        <f>IF(CP$3=$K25,IF($C25="L",1,IF($C25="1/2L",0.5,0)),0)</f>
        <v>0</v>
      </c>
      <c r="CR25" s="207">
        <f>IF(CR$3=$K25,IF($C25="W",1,IF($C25="1/2W",0.5,0)),0)</f>
        <v>0</v>
      </c>
      <c r="CS25" s="207">
        <f>IF(CR$3=$K25,IF($C25="L",1,IF($C25="1/2L",0.5,0)),0)</f>
        <v>0</v>
      </c>
      <c r="CT25" s="208">
        <f>IF(CT$3=$K25,IF($C25="W",1,IF($C25="1/2W",0.5,0)),0)</f>
        <v>0</v>
      </c>
      <c r="CU25" s="209">
        <f>IF(CT$3=$K25,IF($C25="L",1,IF($C25="1/2L",0.5,0)),0)</f>
        <v>0</v>
      </c>
      <c r="CV25" s="209">
        <f>IF(CV$3=$K25,IF($C25="W",1,IF($C25="1/2W",0.5,0)),0)</f>
        <v>0</v>
      </c>
      <c r="CW25" s="209">
        <f>IF(CV$3=$K25,IF($C25="L",1,IF($C25="1/2L",0.5,0)),0)</f>
        <v>0</v>
      </c>
      <c r="CX25" s="209">
        <f>IF(CX$3=$K25,IF($C25="W",1,IF($C25="1/2W",0.5,0)),0)</f>
        <v>0</v>
      </c>
      <c r="CY25" s="209">
        <f>IF(CX$3=$K25,IF($C25="L",1,IF($C25="1/2L",0.5,0)),0)</f>
        <v>0</v>
      </c>
      <c r="CZ25" s="209">
        <f>IF(CZ$3=$K25,IF($C25="W",1,IF($C25="1/2W",0.5,0)),0)</f>
        <v>0</v>
      </c>
      <c r="DA25" s="209">
        <f>IF(CZ$3=$K25,IF($C25="L",1,IF($C25="1/2L",0.5,0)),0)</f>
        <v>0</v>
      </c>
      <c r="DB25" s="209">
        <f>IF(DB$3=$K25,IF($C25="W",1,IF($C25="1/2W",0.5,0)),0)</f>
        <v>0</v>
      </c>
      <c r="DC25" s="209">
        <f>IF(DB$3=$K25,IF($C25="L",1,IF($C25="1/2L",0.5,0)),0)</f>
        <v>0</v>
      </c>
      <c r="DD25" s="209">
        <f>IF(DD$3=$K25,IF($C25="W",1,IF($C25="1/2W",0.5,0)),0)</f>
        <v>0</v>
      </c>
      <c r="DE25" s="210">
        <f>IF(DD$3=$K25,IF($C25="L",1,IF($C25="1/2L",0.5,0)),0)</f>
        <v>0</v>
      </c>
      <c r="DF25" s="211">
        <f>IF(AND(L25&lt;DF$3,$C25="W"),1+DF24,DF24)</f>
        <v>1</v>
      </c>
      <c r="DG25" s="198">
        <f>IF(DF25&gt;DF24,L25+DG24,DG24)</f>
        <v>1.44</v>
      </c>
      <c r="DH25" s="209">
        <f>IF(AND(L25&gt;DH$3,$C25="W"),1+DH24,0+DH24)</f>
        <v>0</v>
      </c>
      <c r="DI25" s="198">
        <f>IF(DH25&gt;DH24,L25+DI24,DI24)</f>
        <v>0</v>
      </c>
      <c r="DJ25" s="209">
        <f>IF($D25="","",$D25)</f>
        <v>16</v>
      </c>
      <c r="DK25" s="209">
        <f>IF(AND($B25=" ",$D25&lt;&gt;""),1,0)</f>
        <v>0</v>
      </c>
    </row>
    <row r="26" ht="14.55" customHeight="1">
      <c r="A26" s="107"/>
      <c r="B26" s="108"/>
      <c r="C26" t="s" s="213">
        <v>56</v>
      </c>
      <c r="D26" s="110"/>
      <c r="E26" s="111"/>
      <c r="F26" s="112"/>
      <c r="G26" s="214"/>
      <c r="H26" s="114"/>
      <c r="I26" s="299">
        <v>2</v>
      </c>
      <c r="J26" t="s" s="216">
        <f>IF(OR(I25="TO",I25="TU",I25="TO1",I25="TU1",I25="TO2",I25="TU2"),J25,IF(OR(I25="AH1",I25="AH2"),IF(OR(I26="AH1",I26="AH2"),-J25,IF(OR(I26="EH1",I26="EH2"),-J25+0.5,"")),IF(OR(I25="EH1",I25="EH2"),IF(OR(I26="AH1",I26="AH2"),-J25+0.5,IF(OR(I26="EH1",I26="EH2"),-J25+1,"")),IF(AND(OR(I25="DNB1",I25="DNB2"),OR(I26="AH1",I26="AH2")),0,IF(AND(I25="Not ScoreBoth",OR(I26="TO1",I26="TO2")),0.5,"")))))</f>
      </c>
      <c r="K26" t="s" s="217">
        <v>44</v>
      </c>
      <c r="L26" s="218">
        <v>1.584</v>
      </c>
      <c r="M26" s="219"/>
      <c r="N26" s="120"/>
      <c r="O26" s="220">
        <f>IF(OR(AE25="",AE26=""),"",ROUND(IF(L27&gt;0,IF(M26&gt;0,M26,IF(M25&gt;0,IF(N25=TRUE,ROUND((M25*AE26)/AE25,0),(M25*AE26)/AE25),IF(M26&gt;0,ROUND(M26,IF(N25=0,2,IF(N25=0.1,1,0))),IF(M27&gt;0,ROUND(O27*AE26/AE27,IF(N25=0,2,IF(N25=0.1,1,0))),0)))),IF(M26&gt;0,M26,ROUND((M25*AE26)/AE25,IF(N25=0,2,IF(N25=0.1,1,0))))),2))</f>
        <v>13.26</v>
      </c>
      <c r="P26" s="221">
        <f>IF(OR(L26="",O26=""),"",IF($C26="1/2W",O26/2+O26/2*L26,IF($C26="1/2L",O26/2,IF(I26="Lay",((O26*(L26/(L26-1)))-O26)*(1-_xlfn.XLOOKUP(K26,'Janeiro 2023 - Valor Real'!A3:A15,'Janeiro 2023 - Valor Real'!C3:C15,0))+O26,(O26*L26-O26)*(1-_xlfn.XLOOKUP(K26,'Janeiro 2023 - Valor Real'!A3:A15,'Janeiro 2023 - Valor Real'!C3:C15,0))+O26))))</f>
        <v>21.00384</v>
      </c>
      <c r="Q26" s="222">
        <v>1</v>
      </c>
      <c r="R26" s="223">
        <v>0</v>
      </c>
      <c r="S26" s="125"/>
      <c r="T26" s="126"/>
      <c r="U26" s="126"/>
      <c r="V26" s="224"/>
      <c r="W26" s="126"/>
      <c r="X26" s="127"/>
      <c r="Y26" s="128"/>
      <c r="Z26" s="129"/>
      <c r="AA26" s="129"/>
      <c r="AB26" s="129"/>
      <c r="AC26" s="129"/>
      <c r="AD26" s="225">
        <f>(((L26/(L26-1)-1)*(1-_xlfn.XLOOKUP(K26,'Janeiro 2023 - Valor Real'!A3:A15,'Janeiro 2023 - Valor Real'!C3:C15,0))+1))</f>
        <v>2.71232876712329</v>
      </c>
      <c r="AE26" s="226">
        <f>IF(L26="","",IF(L27&gt;0,(SUM(((L25-1)*(1-_xlfn.XLOOKUP(K25,'Janeiro 2023 - Valor Real'!A3:A15,'Janeiro 2023 - Valor Real'!C3:C15,0))+1),((L26-1)*(1-_xlfn.XLOOKUP(K26,'Janeiro 2023 - Valor Real'!A3:A15,'Janeiro 2023 - Valor Real'!C3:C15,0))+1),((L27-1)*(1-_xlfn.XLOOKUP(K27,'Janeiro 2023 - Valor Real'!A3:A15,'Janeiro 2023 - Valor Real'!C3:C15,0))+1))/((L26-1)*(1-_xlfn.XLOOKUP(K26,'Janeiro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Real'!C3:C15,0))+1))/((L25-1)*(1-_xlfn.XLOOKUP(K25,'Janeiro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Real'!C3:C15,0))+1))/((L26-1)*(1-_xlfn.XLOOKUP(K26,'Janeiro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Real'!C3:C15,0))+1))/((L27-1)*(1-_xlfn.XLOOKUP(K27,'Janeiro 2023 - Valor Real'!A3:A15,'Janeiro 2023 - Valor Real'!C3:C15,0))+1)),IF(I26="Lay",IF(I25="Lay",((L25/(L25-1)-1)*(1-_xlfn.XLOOKUP(K25,'Janeiro 2023 - Valor Real'!A3:A15,'Janeiro 2023 - Valor Real'!C3:C15,0))+1)/(((L25/(L25-1)-1)*(1-_xlfn.XLOOKUP(K25,'Janeiro 2023 - Valor Real'!A3:A15,'Janeiro 2023 - Valor Real'!C3:C15,0))+1)+((L26/(L26-1)-1)*(1-_xlfn.XLOOKUP(K26,'Janeiro 2023 - Valor Real'!A3:A15,'Janeiro 2023 - Valor Real'!C3:C15,0))+1)),((L25-1)*(1-_xlfn.XLOOKUP(K25,'Janeiro 2023 - Valor Real'!A3:A15,'Janeiro 2023 - Valor Real'!C3:C15,0))+1)/(((L25-1)*(1-_xlfn.XLOOKUP(K25,'Janeiro 2023 - Valor Real'!A3:A15,'Janeiro 2023 - Valor Real'!C3:C15,0))+1)+((L26/(L26-1)-1)*(1-_xlfn.XLOOKUP(K26,'Janeiro 2023 - Valor Real'!A3:A15,'Janeiro 2023 - Valor Real'!C3:C15,0))+1))),IF(I25="Lay",((L25/(L25-1)-1)*(1-_xlfn.XLOOKUP(K25,'Janeiro 2023 - Valor Real'!A3:A15,'Janeiro 2023 - Valor Real'!C3:C15,0))+1)/((((L25/(L25-1)-1)*(1-_xlfn.XLOOKUP(K25,'Janeiro 2023 - Valor Real'!A3:A15,'Janeiro 2023 - Valor Real'!C3:C15,0))+1))+((L26-1)*(1-_xlfn.XLOOKUP(K26,'Janeiro 2023 - Valor Real'!A3:A15,'Janeiro 2023 - Valor Real'!C3:C15,0))+1)),((L25-1)*(1-_xlfn.XLOOKUP(K25,'Janeiro 2023 - Valor Real'!A3:A15,'Janeiro 2023 - Valor Real'!C3:C15,0))+1)/(((L25-1)*(1-_xlfn.XLOOKUP(K25,'Janeiro 2023 - Valor Real'!A3:A15,'Janeiro 2023 - Valor Real'!C3:C15,0))+1)+((L26-1)*(1-_xlfn.XLOOKUP(K26,'Janeiro 2023 - Valor Real'!A3:A15,'Janeiro 2023 - Valor Real'!C3:C15,0))+1))))))</f>
        <v>0.654450261780105</v>
      </c>
      <c r="AF26" s="197">
        <f>IF($K26=AF$3,ROUND(IF(OR($C26="W",$C26="1/2W",$C26="1/2L"),$P26-$O26,IF($C26="X",0,-$O26)),2),0)</f>
        <v>0</v>
      </c>
      <c r="AG26" s="198">
        <f>IF($K26=AG$3,ROUND(IF(OR($C26="W",$C26="1/2W",$C26="1/2L"),$P26-$O26,IF($C26="X",0,-$O26)),2),0)</f>
        <v>0</v>
      </c>
      <c r="AH26" s="198">
        <f>IF($K26=AH$3,ROUND(IF(OR($C26="W",$C26="1/2W",$C26="1/2L"),$P26-$O26,IF($C26="X",0,-$O26)),2),0)</f>
        <v>0</v>
      </c>
      <c r="AI26" s="198">
        <f>IF($K26=AI$3,ROUND(IF(OR($C26="W",$C26="1/2W",$C26="1/2L"),$P26-$O26,IF($C26="X",0,-$O26)),2),0)</f>
        <v>0</v>
      </c>
      <c r="AJ26" s="198">
        <f>IF($K26=AJ$3,ROUND(IF(OR($C26="W",$C26="1/2W",$C26="1/2L"),$P26-$O26,IF($C26="X",0,-$O26)),2),0)</f>
        <v>0</v>
      </c>
      <c r="AK26" s="198">
        <f>IF($K26=AK$3,ROUND(IF(OR($C26="W",$C26="1/2W",$C26="1/2L"),$P26-$O26,IF($C26="X",0,-$O26)),2),0)</f>
        <v>0</v>
      </c>
      <c r="AL26" s="198">
        <f>IF($K26=AL$3,ROUND(IF(OR($C26="W",$C26="1/2W",$C26="1/2L"),$P26-$O26,IF($C26="X",0,-$O26)),2),0)</f>
        <v>0</v>
      </c>
      <c r="AM26" s="198">
        <f>IF($K26=AM$3,ROUND(IF(OR($C26="W",$C26="1/2W",$C26="1/2L"),$P26-$O26,IF($C26="X",0,-$O26)),2),0)</f>
        <v>7.74</v>
      </c>
      <c r="AN26" s="198">
        <f>IF($K26=AN$3,ROUND(IF(OR($C26="W",$C26="1/2W",$C26="1/2L"),$P26-$O26,IF($C26="X",0,-$O26)),2),0)</f>
        <v>0</v>
      </c>
      <c r="AO26" s="198">
        <f>IF($K26=AO$3,ROUND(IF(OR($C26="W",$C26="1/2W",$C26="1/2L"),$P26-$O26,IF($C26="X",0,-$O26)),2),0)</f>
        <v>0</v>
      </c>
      <c r="AP26" s="198">
        <f>IF($K26=AP$3,ROUND(IF(OR($C26="W",$C26="1/2W",$C26="1/2L"),$P26-$O26,IF($C26="X",0,-$O26)),2),0)</f>
        <v>0</v>
      </c>
      <c r="AQ26" s="198">
        <f>IF($K26=AQ$3,ROUND(IF(OR($C26="W",$C26="1/2W",$C26="1/2L"),$P26-$O26,IF($C26="X",0,-$O26)),2),0)</f>
        <v>0</v>
      </c>
      <c r="AR26" s="199">
        <f>IF($K26=AR$3,ROUND(IF(OR($C26="W",$C26="1/2W",$C26="1/2L"),$P26-$O26,IF($C26="X",0,-$O26)),2),0)</f>
        <v>0</v>
      </c>
      <c r="AS26" s="197">
        <f>IF(AND($B25=" ",$K26=AS$3),$O26,0)</f>
        <v>0</v>
      </c>
      <c r="AT26" s="198">
        <f>IF(AND($B25=" ",K26=AT$3),$O26,0)</f>
        <v>0</v>
      </c>
      <c r="AU26" s="198">
        <f>IF(AND($B25=" ",$K26=AU$3),$O26,0)</f>
        <v>0</v>
      </c>
      <c r="AV26" s="198">
        <f>IF(AND($B25=" ",$K26=AV$3),$O26,0)</f>
        <v>0</v>
      </c>
      <c r="AW26" s="198">
        <f>IF(AND($B25=" ",$K26=AW$3),$O26,0)</f>
        <v>0</v>
      </c>
      <c r="AX26" s="198">
        <f>IF(AND($B25=" ",$K26=AX$3),$O26,0)</f>
        <v>0</v>
      </c>
      <c r="AY26" s="200">
        <f>IF(AND($B25=" ",$K26=AY$3),$O26,0)</f>
        <v>0</v>
      </c>
      <c r="AZ26" s="201">
        <f>IF(AND($B25=" ",$K26=AZ$3),$O26,0)</f>
        <v>0</v>
      </c>
      <c r="BA26" s="201">
        <f>IF(AND($B25=" ",$K26=BA$3),$O26,0)</f>
        <v>0</v>
      </c>
      <c r="BB26" s="201">
        <f>IF(AND($B25=" ",$K26=BB$3),$O26,0)</f>
        <v>0</v>
      </c>
      <c r="BC26" s="202">
        <f>IF(AND($B25=" ",$K26=BC$3),$O26,0)</f>
        <v>0</v>
      </c>
      <c r="BD26" s="198">
        <f>IF(AND($B25=" ",$K26=BD$3),$O26,0)</f>
        <v>0</v>
      </c>
      <c r="BE26" s="199">
        <f>IF(AND($B25=" ",$K26=BE$3),$O26,0)</f>
        <v>0</v>
      </c>
      <c r="BF26" s="197">
        <f>IF($K26=BF$3,IF($C26="X",0,$O26),0)</f>
        <v>0</v>
      </c>
      <c r="BG26" s="198">
        <f>IF($K26=BG$3,IF($C26="X",0,$O26),0)</f>
        <v>0</v>
      </c>
      <c r="BH26" s="198">
        <f>IF($K26=BH$3,IF($C26="X",0,$O26),0)</f>
        <v>0</v>
      </c>
      <c r="BI26" s="198">
        <f>IF($K26=BI$3,IF($C26="X",0,$O26),0)</f>
        <v>0</v>
      </c>
      <c r="BJ26" s="198">
        <f>IF($K26=BJ$3,IF($C26="X",0,$O26),0)</f>
        <v>0</v>
      </c>
      <c r="BK26" s="198">
        <f>IF($K26=BK$3,IF($C26="X",0,$O26),0)</f>
        <v>0</v>
      </c>
      <c r="BL26" s="198">
        <f>IF($K26=BL$3,IF($C26="X",0,$O26),0)</f>
        <v>0</v>
      </c>
      <c r="BM26" s="227">
        <f>IF($K26=BM$3,IF($C26="X",0,$O26),0)</f>
        <v>13.26</v>
      </c>
      <c r="BN26" s="205">
        <f>IF($K26=BN$3,IF($C26="X",0,$O26),0)</f>
        <v>0</v>
      </c>
      <c r="BO26" s="205">
        <f>IF($K26=BO$3,IF($C26="X",0,$O26),0)</f>
        <v>0</v>
      </c>
      <c r="BP26" s="205">
        <f>IF($K26=BP$3,IF($C26="X",0,$O26),0)</f>
        <v>0</v>
      </c>
      <c r="BQ26" s="202">
        <f>IF($K26=BQ$3,IF($C26="X",0,$O26),0)</f>
        <v>0</v>
      </c>
      <c r="BR26" s="199">
        <f>IF($K26=BR$3,IF($C26="X",0,$O26),0)</f>
        <v>0</v>
      </c>
      <c r="BS26" s="228"/>
      <c r="BT26" s="229"/>
      <c r="BU26" s="140"/>
      <c r="BV26" s="229"/>
      <c r="BW26" s="140"/>
      <c r="BX26" s="140"/>
      <c r="BY26" s="140"/>
      <c r="BZ26" s="229"/>
      <c r="CA26" s="140"/>
      <c r="CB26" s="140"/>
      <c r="CC26" s="140"/>
      <c r="CD26" s="141"/>
      <c r="CE26" s="142"/>
      <c r="CF26" s="230">
        <f>IF(CF$3=$K26,IF($C26="W",1,IF($C26="1/2W",0.5,0)),0)</f>
        <v>0</v>
      </c>
      <c r="CG26" s="231">
        <f>IF(CF$3=$K26,IF($C26="L",1,IF($C26="1/2L",0.5,0)),0)</f>
        <v>0</v>
      </c>
      <c r="CH26" s="231">
        <f>IF(CH$3=$K26,IF($C26="W",1,IF($C26="1/2W",0.5,0)),0)</f>
        <v>0</v>
      </c>
      <c r="CI26" s="231">
        <f>IF(CH$3=$K26,IF($C26="L",1,IF($C26="1/2L",0.5,0)),0)</f>
        <v>0</v>
      </c>
      <c r="CJ26" s="231">
        <f>IF(CJ$3=$K26,IF($C26="W",1,IF($C26="1/2W",0.5,0)),0)</f>
        <v>0</v>
      </c>
      <c r="CK26" s="231">
        <f>IF(CJ$3=$K26,IF($C26="L",1,IF($C26="1/2L",0.5,0)),0)</f>
        <v>0</v>
      </c>
      <c r="CL26" s="231">
        <f>IF(CL$3=$K26,IF($C26="W",1,IF($C26="1/2W",0.5,0)),0)</f>
        <v>0</v>
      </c>
      <c r="CM26" s="231">
        <f>IF(CL$3=$K26,IF($C26="L",1,IF($C26="1/2L",0.5,0)),0)</f>
        <v>0</v>
      </c>
      <c r="CN26" s="231">
        <f>IF(CN$3=$K26,IF($C26="W",1,IF($C26="1/2W",0.5,0)),0)</f>
        <v>0</v>
      </c>
      <c r="CO26" s="231">
        <f>IF(CN$3=$K26,IF($C26="L",1,IF($C26="1/2L",0.5,0)),0)</f>
        <v>0</v>
      </c>
      <c r="CP26" s="231">
        <f>IF(CP$3=$K26,IF($C26="W",1,IF($C26="1/2W",0.5,0)),0)</f>
        <v>0</v>
      </c>
      <c r="CQ26" s="231">
        <f>IF(CP$3=$K26,IF($C26="L",1,IF($C26="1/2L",0.5,0)),0)</f>
        <v>0</v>
      </c>
      <c r="CR26" s="231">
        <f>IF(CR$3=$K26,IF($C26="W",1,IF($C26="1/2W",0.5,0)),0)</f>
        <v>0</v>
      </c>
      <c r="CS26" s="231">
        <f>IF(CR$3=$K26,IF($C26="L",1,IF($C26="1/2L",0.5,0)),0)</f>
        <v>0</v>
      </c>
      <c r="CT26" s="208">
        <f>IF(CT$3=$K26,IF($C26="W",1,IF($C26="1/2W",0.5,0)),0)</f>
        <v>1</v>
      </c>
      <c r="CU26" s="209">
        <f>IF(CT$3=$K26,IF($C26="L",1,IF($C26="1/2L",0.5,0)),0)</f>
        <v>0</v>
      </c>
      <c r="CV26" s="209">
        <f>IF(CV$3=$K26,IF($C26="W",1,IF($C26="1/2W",0.5,0)),0)</f>
        <v>0</v>
      </c>
      <c r="CW26" s="209">
        <f>IF(CV$3=$K26,IF($C26="L",1,IF($C26="1/2L",0.5,0)),0)</f>
        <v>0</v>
      </c>
      <c r="CX26" s="209">
        <f>IF(CX$3=$K26,IF($C26="W",1,IF($C26="1/2W",0.5,0)),0)</f>
        <v>0</v>
      </c>
      <c r="CY26" s="209">
        <f>IF(CX$3=$K26,IF($C26="L",1,IF($C26="1/2L",0.5,0)),0)</f>
        <v>0</v>
      </c>
      <c r="CZ26" s="209">
        <f>IF(CZ$3=$K26,IF($C26="W",1,IF($C26="1/2W",0.5,0)),0)</f>
        <v>0</v>
      </c>
      <c r="DA26" s="209">
        <f>IF(CZ$3=$K26,IF($C26="L",1,IF($C26="1/2L",0.5,0)),0)</f>
        <v>0</v>
      </c>
      <c r="DB26" s="209">
        <f>IF(DB$3=$K26,IF($C26="W",1,IF($C26="1/2W",0.5,0)),0)</f>
        <v>0</v>
      </c>
      <c r="DC26" s="209">
        <f>IF(DB$3=$K26,IF($C26="L",1,IF($C26="1/2L",0.5,0)),0)</f>
        <v>0</v>
      </c>
      <c r="DD26" s="209">
        <f>IF(DD$3=$K26,IF($C26="W",1,IF($C26="1/2W",0.5,0)),0)</f>
        <v>0</v>
      </c>
      <c r="DE26" s="210">
        <f>IF(DD$3=$K26,IF($C26="L",1,IF($C26="1/2L",0.5,0)),0)</f>
        <v>0</v>
      </c>
      <c r="DF26" s="211">
        <f>IF(AND(L26&lt;DF$3,$C26="W"),1+DF25,DF25)</f>
        <v>1</v>
      </c>
      <c r="DG26" s="198">
        <f>IF(DF26&gt;DF25,L26+DG25,DG25)</f>
        <v>1.44</v>
      </c>
      <c r="DH26" s="209">
        <f>IF(AND(L26&gt;DH$3,$C26="W"),1+DH25,0+DH25)</f>
        <v>0</v>
      </c>
      <c r="DI26" s="198">
        <f>IF(DH26&gt;DH25,L26+DI25,DI25)</f>
        <v>0</v>
      </c>
      <c r="DJ26" s="209">
        <f>IF($D25="","",$D25)</f>
        <v>16</v>
      </c>
      <c r="DK26" s="232"/>
    </row>
    <row r="27" ht="14.55" customHeight="1">
      <c r="A27" s="149"/>
      <c r="B27" s="150"/>
      <c r="C27" t="s" s="233">
        <v>58</v>
      </c>
      <c r="D27" s="152"/>
      <c r="E27" s="153"/>
      <c r="F27" s="300"/>
      <c r="G27" s="234"/>
      <c r="H27" s="156"/>
      <c r="I27" s="235"/>
      <c r="J27" s="236"/>
      <c r="K27" s="237"/>
      <c r="L27" s="238"/>
      <c r="M27" s="239"/>
      <c r="N27" s="161"/>
      <c r="O27" t="s" s="240">
        <f>IF(OR(AE25="",AE26=""),"",IF(L27&gt;0,ROUND(IF(M27&gt;0,M27,IF(M25&gt;0,ROUND((M25*AE27)/AE25,IF(N25=0,2,IF(N25=0.1,1,0))),IF(M26&gt;0,ROUND((M26*AE27)/AE26,IF(N25=0,2,IF(N25=0.1,1,0))),IF(M27&gt;0,M27,0)))),2),""))</f>
      </c>
      <c r="P27" t="s" s="241">
        <f>IF(I26="Lay",O26*(L26/(L26-1))-O26,IF(I25="Lay",O25*(L25/(L25-1))-O25,IF(OR(L27="",O27=""),"",IF($C27="1/2W",O27/2+O27/2*L27,IF($C27="1/2L",O27/2,(O27*L27-O27)*(1-_xlfn.XLOOKUP(K27,'Janeiro 2023 - Valor Real'!A3:A15,'Janeiro 2023 - Valor Real'!C3:C15,0))+O27)))))</f>
      </c>
      <c r="Q27" t="s" s="242"/>
      <c r="R27" t="s" s="243"/>
      <c r="S27" s="166"/>
      <c r="T27" s="155"/>
      <c r="U27" s="155"/>
      <c r="V27" s="166"/>
      <c r="W27" s="155"/>
      <c r="X27" s="167"/>
      <c r="Y27" s="128"/>
      <c r="Z27" s="129"/>
      <c r="AA27" s="129"/>
      <c r="AB27" s="129"/>
      <c r="AC27" s="129"/>
      <c r="AD27" s="301">
        <f>((L26/(L26-1)-1))</f>
        <v>1.71232876712329</v>
      </c>
      <c r="AE27" t="s" s="245">
        <f>IF(L27="","",(SUM(((L25-1)*(1-_xlfn.XLOOKUP(K25,'Janeiro 2023 - Valor Real'!A3:A15,'Janeiro 2023 - Valor Real'!C3:C15,0))+1),((L26-1)*(1-_xlfn.XLOOKUP(K26,'Janeiro 2023 - Valor Real'!A3:A15,'Janeiro 2023 - Valor Real'!C3:C15,0))+1),((L27-1)*(1-_xlfn.XLOOKUP(K27,'Janeiro 2023 - Valor Real'!A3:A15,'Janeiro 2023 - Valor Real'!C3:C15,0))+1))/((L27-1)*(1-_xlfn.XLOOKUP(K27,'Janeiro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Real'!C3:C15,0))+1))/((L25-1)*(1-_xlfn.XLOOKUP(K25,'Janeiro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Real'!C3:C15,0))+1))/((L26-1)*(1-_xlfn.XLOOKUP(K26,'Janeiro 2023 - Valor Real'!A3:A15,'Janeiro 2023 - Valor Real'!C3:C15,0))+1)+SUM(((L25-1)*(1-_xlfn.XLOOKUP(K25,'Janeiro 2023 - Valor Real'!A3:A15,'Janeiro 2023 - Valor Real'!C3:C15,0))+1),((L26-1)*(1-_xlfn.XLOOKUP(K26,'Janeiro 2023 - Valor Real'!A3:A15,'Janeiro 2023 - Valor Real'!C3:C15,0))+1),((L27-1)*(1-_xlfn.XLOOKUP(K27,'Janeiro 2023 - Valor Real'!A3:A15,'Janeiro 2023 - Valor Real'!C3:C15,0))+1))/((L27-1)*(1-_xlfn.XLOOKUP(K27,'Janeiro 2023 - Valor Real'!A3:A15,'Janeiro 2023 - Valor Real'!C3:C15,0))+1)))</f>
      </c>
      <c r="AF27" s="197">
        <f>IF($K27=AF$3,ROUND(IF(OR($C27="W",$C27="1/2W",$C27="1/2L"),$P27-$O27,IF($C27="X",0,-$O27)),2),0)</f>
        <v>0</v>
      </c>
      <c r="AG27" s="198">
        <f>IF($K27=AG$3,ROUND(IF(OR($C27="W",$C27="1/2W",$C27="1/2L"),$P27-$O27,IF($C27="X",0,-$O27)),2),0)</f>
        <v>0</v>
      </c>
      <c r="AH27" s="198">
        <f>IF($K27=AH$3,ROUND(IF(OR($C27="W",$C27="1/2W",$C27="1/2L"),$P27-$O27,IF($C27="X",0,-$O27)),2),0)</f>
        <v>0</v>
      </c>
      <c r="AI27" s="198">
        <f>IF($K27=AI$3,ROUND(IF(OR($C27="W",$C27="1/2W",$C27="1/2L"),$P27-$O27,IF($C27="X",0,-$O27)),2),0)</f>
        <v>0</v>
      </c>
      <c r="AJ27" s="198">
        <f>IF($K27=AJ$3,ROUND(IF(OR($C27="W",$C27="1/2W",$C27="1/2L"),$P27-$O27,IF($C27="X",0,-$O27)),2),0)</f>
        <v>0</v>
      </c>
      <c r="AK27" s="198">
        <f>IF($K27=AK$3,ROUND(IF(OR($C27="W",$C27="1/2W",$C27="1/2L"),$P27-$O27,IF($C27="X",0,-$O27)),2),0)</f>
        <v>0</v>
      </c>
      <c r="AL27" s="198">
        <f>IF($K27=AL$3,ROUND(IF(OR($C27="W",$C27="1/2W",$C27="1/2L"),$P27-$O27,IF($C27="X",0,-$O27)),2),0)</f>
        <v>0</v>
      </c>
      <c r="AM27" s="198">
        <f>IF($K27=AM$3,ROUND(IF(OR($C27="W",$C27="1/2W",$C27="1/2L"),$P27-$O27,IF($C27="X",0,-$O27)),2),0)</f>
        <v>0</v>
      </c>
      <c r="AN27" s="198">
        <f>IF($K27=AN$3,ROUND(IF(OR($C27="W",$C27="1/2W",$C27="1/2L"),$P27-$O27,IF($C27="X",0,-$O27)),2),0)</f>
        <v>0</v>
      </c>
      <c r="AO27" s="198">
        <f>IF($K27=AO$3,ROUND(IF(OR($C27="W",$C27="1/2W",$C27="1/2L"),$P27-$O27,IF($C27="X",0,-$O27)),2),0)</f>
        <v>0</v>
      </c>
      <c r="AP27" s="198">
        <f>IF($K27=AP$3,ROUND(IF(OR($C27="W",$C27="1/2W",$C27="1/2L"),$P27-$O27,IF($C27="X",0,-$O27)),2),0)</f>
        <v>0</v>
      </c>
      <c r="AQ27" s="198">
        <f>IF($K27=AQ$3,ROUND(IF(OR($C27="W",$C27="1/2W",$C27="1/2L"),$P27-$O27,IF($C27="X",0,-$O27)),2),0)</f>
        <v>0</v>
      </c>
      <c r="AR27" s="199">
        <f>IF($K27=AR$3,ROUND(IF(OR($C27="W",$C27="1/2W",$C27="1/2L"),$P27-$O27,IF($C27="X",0,-$O27)),2),0)</f>
        <v>0</v>
      </c>
      <c r="AS27" s="197">
        <f>IF(AND($B25=" ",$K27=AS$3),$O27,0)</f>
        <v>0</v>
      </c>
      <c r="AT27" s="198">
        <f>IF(AND($B25=" ",K27=AT$3),$O27,0)</f>
        <v>0</v>
      </c>
      <c r="AU27" s="198">
        <f>IF(AND($B25=" ",$K27=AU$3),$O27,0)</f>
        <v>0</v>
      </c>
      <c r="AV27" s="198">
        <f>IF(AND($B25=" ",$K27=AV$3),$O27,0)</f>
        <v>0</v>
      </c>
      <c r="AW27" s="198">
        <f>IF(AND($B25=" ",$K27=AW$3),$O27,0)</f>
        <v>0</v>
      </c>
      <c r="AX27" s="198">
        <f>IF(AND($B25=" ",$K27=AX$3),$O27,0)</f>
        <v>0</v>
      </c>
      <c r="AY27" s="200">
        <f>IF(AND($B25=" ",$K27=AY$3),$O27,0)</f>
        <v>0</v>
      </c>
      <c r="AZ27" s="201">
        <f>IF(AND($B25=" ",$K27=AZ$3),$O27,0)</f>
        <v>0</v>
      </c>
      <c r="BA27" s="201">
        <f>IF(AND($B25=" ",$K27=BA$3),$O27,0)</f>
        <v>0</v>
      </c>
      <c r="BB27" s="201">
        <f>IF(AND($B25=" ",$K27=BB$3),$O27,0)</f>
        <v>0</v>
      </c>
      <c r="BC27" s="202">
        <f>IF(AND($B25=" ",$K27=BC$3),$O27,0)</f>
        <v>0</v>
      </c>
      <c r="BD27" s="198">
        <f>IF(AND($B25=" ",$K27=BD$3),$O27,0)</f>
        <v>0</v>
      </c>
      <c r="BE27" s="199">
        <f>IF(AND($B25=" ",$K27=BE$3),$O27,0)</f>
        <v>0</v>
      </c>
      <c r="BF27" s="197">
        <f>IF($K27=BF$3,IF($C27="X",0,$O27),0)</f>
        <v>0</v>
      </c>
      <c r="BG27" s="198">
        <f>IF($K27=BG$3,IF($C27="X",0,$O27),0)</f>
        <v>0</v>
      </c>
      <c r="BH27" s="198">
        <f>IF($K27=BH$3,IF($C27="X",0,$O27),0)</f>
        <v>0</v>
      </c>
      <c r="BI27" s="198">
        <f>IF($K27=BI$3,IF($C27="X",0,$O27),0)</f>
        <v>0</v>
      </c>
      <c r="BJ27" s="198">
        <f>IF($K27=BJ$3,IF($C27="X",0,$O27),0)</f>
        <v>0</v>
      </c>
      <c r="BK27" s="198">
        <f>IF($K27=BK$3,IF($C27="X",0,$O27),0)</f>
        <v>0</v>
      </c>
      <c r="BL27" s="198">
        <f>IF($K27=BL$3,IF($C27="X",0,$O27),0)</f>
        <v>0</v>
      </c>
      <c r="BM27" s="200">
        <f>IF($K27=BM$3,IF($C27="X",0,$O27),0)</f>
        <v>0</v>
      </c>
      <c r="BN27" s="201">
        <f>IF($K27=BN$3,IF($C27="X",0,$O27),0)</f>
        <v>0</v>
      </c>
      <c r="BO27" s="201">
        <f>IF($K27=BO$3,IF($C27="X",0,$O27),0)</f>
        <v>0</v>
      </c>
      <c r="BP27" s="201">
        <f>IF($K27=BP$3,IF($C27="X",0,$O27),0)</f>
        <v>0</v>
      </c>
      <c r="BQ27" s="202">
        <f>IF($K27=BQ$3,IF($C27="X",0,$O27),0)</f>
        <v>0</v>
      </c>
      <c r="BR27" s="199">
        <f>IF($K27=BR$3,IF($C27="X",0,$O27),0)</f>
        <v>0</v>
      </c>
      <c r="BS27" s="228"/>
      <c r="BT27" s="229"/>
      <c r="BU27" s="140"/>
      <c r="BV27" s="229"/>
      <c r="BW27" s="140"/>
      <c r="BX27" s="140"/>
      <c r="BY27" s="140"/>
      <c r="BZ27" s="229"/>
      <c r="CA27" s="140"/>
      <c r="CB27" s="140"/>
      <c r="CC27" s="140"/>
      <c r="CD27" s="141"/>
      <c r="CE27" s="142"/>
      <c r="CF27" s="230">
        <f>IF(CF$3=$K27,IF($C27="W",1,IF($C27="1/2W",0.5,0)),0)</f>
        <v>0</v>
      </c>
      <c r="CG27" s="231">
        <f>IF(CF$3=$K27,IF($C27="L",1,IF($C27="1/2L",0.5,0)),0)</f>
        <v>0</v>
      </c>
      <c r="CH27" s="231">
        <f>IF(CH$3=$K27,IF($C27="W",1,IF($C27="1/2W",0.5,0)),0)</f>
        <v>0</v>
      </c>
      <c r="CI27" s="231">
        <f>IF(CH$3=$K27,IF($C27="L",1,IF($C27="1/2L",0.5,0)),0)</f>
        <v>0</v>
      </c>
      <c r="CJ27" s="231">
        <f>IF(CJ$3=$K27,IF($C27="W",1,IF($C27="1/2W",0.5,0)),0)</f>
        <v>0</v>
      </c>
      <c r="CK27" s="231">
        <f>IF(CJ$3=$K27,IF($C27="L",1,IF($C27="1/2L",0.5,0)),0)</f>
        <v>0</v>
      </c>
      <c r="CL27" s="231">
        <f>IF(CL$3=$K27,IF($C27="W",1,IF($C27="1/2W",0.5,0)),0)</f>
        <v>0</v>
      </c>
      <c r="CM27" s="231">
        <f>IF(CL$3=$K27,IF($C27="L",1,IF($C27="1/2L",0.5,0)),0)</f>
        <v>0</v>
      </c>
      <c r="CN27" s="231">
        <f>IF(CN$3=$K27,IF($C27="W",1,IF($C27="1/2W",0.5,0)),0)</f>
        <v>0</v>
      </c>
      <c r="CO27" s="231">
        <f>IF(CN$3=$K27,IF($C27="L",1,IF($C27="1/2L",0.5,0)),0)</f>
        <v>0</v>
      </c>
      <c r="CP27" s="231">
        <f>IF(CP$3=$K27,IF($C27="W",1,IF($C27="1/2W",0.5,0)),0)</f>
        <v>0</v>
      </c>
      <c r="CQ27" s="231">
        <f>IF(CP$3=$K27,IF($C27="L",1,IF($C27="1/2L",0.5,0)),0)</f>
        <v>0</v>
      </c>
      <c r="CR27" s="231">
        <f>IF(CR$3=$K27,IF($C27="W",1,IF($C27="1/2W",0.5,0)),0)</f>
        <v>0</v>
      </c>
      <c r="CS27" s="231">
        <f>IF(CR$3=$K27,IF($C27="L",1,IF($C27="1/2L",0.5,0)),0)</f>
        <v>0</v>
      </c>
      <c r="CT27" s="208">
        <f>IF(CT$3=$K27,IF($C27="W",1,IF($C27="1/2W",0.5,0)),0)</f>
        <v>0</v>
      </c>
      <c r="CU27" s="209">
        <f>IF(CT$3=$K27,IF($C27="L",1,IF($C27="1/2L",0.5,0)),0)</f>
        <v>0</v>
      </c>
      <c r="CV27" s="209">
        <f>IF(CV$3=$K27,IF($C27="W",1,IF($C27="1/2W",0.5,0)),0)</f>
        <v>0</v>
      </c>
      <c r="CW27" s="209">
        <f>IF(CV$3=$K27,IF($C27="L",1,IF($C27="1/2L",0.5,0)),0)</f>
        <v>0</v>
      </c>
      <c r="CX27" s="209">
        <f>IF(CX$3=$K27,IF($C27="W",1,IF($C27="1/2W",0.5,0)),0)</f>
        <v>0</v>
      </c>
      <c r="CY27" s="209">
        <f>IF(CX$3=$K27,IF($C27="L",1,IF($C27="1/2L",0.5,0)),0)</f>
        <v>0</v>
      </c>
      <c r="CZ27" s="209">
        <f>IF(CZ$3=$K27,IF($C27="W",1,IF($C27="1/2W",0.5,0)),0)</f>
        <v>0</v>
      </c>
      <c r="DA27" s="209">
        <f>IF(CZ$3=$K27,IF($C27="L",1,IF($C27="1/2L",0.5,0)),0)</f>
        <v>0</v>
      </c>
      <c r="DB27" s="209">
        <f>IF(DB$3=$K27,IF($C27="W",1,IF($C27="1/2W",0.5,0)),0)</f>
        <v>0</v>
      </c>
      <c r="DC27" s="209">
        <f>IF(DB$3=$K27,IF($C27="L",1,IF($C27="1/2L",0.5,0)),0)</f>
        <v>0</v>
      </c>
      <c r="DD27" s="209">
        <f>IF(DD$3=$K27,IF($C27="W",1,IF($C27="1/2W",0.5,0)),0)</f>
        <v>0</v>
      </c>
      <c r="DE27" s="210">
        <f>IF(DD$3=$K27,IF($C27="L",1,IF($C27="1/2L",0.5,0)),0)</f>
        <v>0</v>
      </c>
      <c r="DF27" s="211">
        <f>IF(AND(L27&lt;DF$3,$C27="W"),1+DF26,DF26)</f>
        <v>1</v>
      </c>
      <c r="DG27" s="198">
        <f>IF(DF27&gt;DF26,L27+DG26,DG26)</f>
        <v>1.44</v>
      </c>
      <c r="DH27" s="209">
        <f>IF(AND(L27&gt;DH$3,$C27="W"),1+DH26,0+DH26)</f>
        <v>0</v>
      </c>
      <c r="DI27" s="198">
        <f>IF(DH27&gt;DH26,L27+DI26,DI26)</f>
        <v>0</v>
      </c>
      <c r="DJ27" s="209">
        <f>IF($D25="","",$D25)</f>
        <v>16</v>
      </c>
      <c r="DK27" s="232"/>
    </row>
    <row r="28" ht="14.55" customHeight="1">
      <c r="A28" s="246">
        <f>$A25+1</f>
        <v>9</v>
      </c>
      <c r="B28" t="s" s="247">
        <v>50</v>
      </c>
      <c r="C28" t="s" s="248">
        <v>51</v>
      </c>
      <c r="D28" s="249">
        <f>IF(G28="","",$D25)</f>
        <v>16</v>
      </c>
      <c r="E28" t="s" s="250">
        <v>63</v>
      </c>
      <c r="F28" t="s" s="302">
        <f>IF(G28="","",IF(OR(AND($C28&lt;&gt;" ",$C29=" "),AND($C29&lt;&gt;" ",$C28=" "),AND(L30&gt;0,OR(AND($C30&lt;&gt;" ",OR($C28=" ",$C29=" ")),AND($C30=" ",OR($C28&lt;&gt;" ",$C29&lt;&gt;" "))))),IF(SUM(F$4:F27)=0,1,LARGE(F$4:F27,1)+1),IF(MONTH(G28)=MONTH(TODAY()),IF(AND(DAY(G28)&lt;DAY(TODAY()),$B28=" "),IF(SUM(F$4:F27)=0,1,LARGE(F$4:F27,1)+1),IF($B28=" ",IF(AND(DAY(G28)=DAY(TODAY()),HOUR(G28)&lt;=HOUR(NOW())+1),IF(AND(HOUR(G28)+2&lt;=HOUR(NOW()),DAY(G28)&lt;=DAY(TODAY()),MINUTE(G28)&lt;=MINUTE(NOW())),IF(SUM(F$4:F27)=0,1,LARGE(F$4:F27,1)+1),IF(OR(MINUTE(G28)&lt;=MINUTE(NOW()),HOUR(G28)&lt;=HOUR(NOW())),"!!!","")),""),"")),"")))</f>
      </c>
      <c r="G28" s="252">
        <v>44947.5</v>
      </c>
      <c r="H28" t="s" s="253">
        <v>78</v>
      </c>
      <c r="I28" t="s" s="254">
        <v>79</v>
      </c>
      <c r="J28" s="293"/>
      <c r="K28" t="s" s="256">
        <v>41</v>
      </c>
      <c r="L28" s="257">
        <v>3</v>
      </c>
      <c r="M28" s="258">
        <v>9.66</v>
      </c>
      <c r="N28" s="259">
        <v>0</v>
      </c>
      <c r="O28" s="260">
        <f>IF(OR(AE28="",AE29=""),"",ROUND(IF(L30&gt;0,IF(M28&gt;0,M28,IF(M29&gt;0,ROUND((M29*AE28)/AE29,IF(N28=0,2,IF(N28=0.1,1,0))),ROUND((M30*AE28)/AE30,IF(N28=0,2,IF(N28=0.1,1,0))))),IF(M28&gt;0,M28,ROUND((M29*AE28)/AE29,IF(N28=0,2,IF(N28=0.1,1,0))))),2))</f>
        <v>9.66</v>
      </c>
      <c r="P28" s="261">
        <f>IF(OR(L28="",O28=""),"",IF($C28="1/2W",O28/2+O28/2*L28,IF($C28="1/2L",O28/2,IF(I28="Lay",(O28*(L28/(L28-1))-O28)*(1-_xlfn.XLOOKUP(K28,'Janeiro 2023 - Valor Real'!A3:A15,'Janeiro 2023 - Valor Real'!C3:C15,0))+O28,(O28*L28-O28)*(1-_xlfn.XLOOKUP(K28,'Janeiro 2023 - Valor Real'!A3:A15,'Janeiro 2023 - Valor Real'!C3:C15,0))+O28))))</f>
        <v>28.98</v>
      </c>
      <c r="Q28" s="262">
        <v>1</v>
      </c>
      <c r="R28" s="263">
        <v>0</v>
      </c>
      <c r="S28" s="264">
        <f>IF($B28="Anulado",0,ROUND(IF(OR($B28="LOSS",$B28="OK"),IF(OR($C28="W",$C28="1/2W",$C28="1/2L"),P28-O28,IF($C28="L",-O28,0))+IF(OR($C29="W",$C29="1/2W",$C29="1/2L"),P29-O29,IF($C29="L",-O29,0))+IF(OR($C30="W",$C30="1/2W",$C30="1/2L"),P30-O30,IF($C30="L",-O30,0)),IF(AND(OR($C28="W",$C28="1/2W",$C28="1/2L"),C29="W"),P28+P29-SUM(O28:O30)+_xlfn.XLOOKUP("X",C28:C30,O28:O30,0),IF(AND(C28=TRUE,C30="W"),P28+P30-SUM(O28:O30),IF(AND(C29="W",C30="W"),P29+P30-SUM(O28:O30)+_xlfn.XLOOKUP("X",C28:C30,O28:O30,0),IF(L30&gt;0,IF(OR($C28="W",$C28="1/2W",$C28="1/2L"),P28-SUM(O28:O30)+_xlfn.XLOOKUP("X",C28:C30,O28:O30,0),IF(OR($C28="W",$C28="1/2W",$C28="1/2L"),P29-SUM(O28:O30)+_xlfn.XLOOKUP("X",C28:C30,O28:O30,0),IF(OR($C28="W",$C28="1/2W",$C28="1/2L"),P30-SUM(O28:O30)+_xlfn.XLOOKUP("X",C28:C30,O28:O30,0),IF(SUM(P28:P30)/3-SUM(O28:O30)+_xlfn.XLOOKUP("X",C28:C30,O28:O30,0)&gt;0,SUM(P28:P30)/3-SUM(O28:O30)+_xlfn.XLOOKUP("X",C28:C30,O28:O30,0),LARGE(P28:P30,1)-SUM(O28:O30))))),IF(OR($C28="W",$C28="1/2W",$C28="1/2L"),P28-SUM(O28:O29)+_xlfn.XLOOKUP("X",C28:C30,O28:O30,0),IF(OR($C28="W",$C28="1/2W",$C28="1/2L"),P29-SUM(O28:O29)+_xlfn.XLOOKUP("X",C28:C30,O28:O30,0),SUM(P28:P29)/2-SUM(O28:O29)+_xlfn.XLOOKUP("X",C28:C30,O28:O30,0)))))))),2))</f>
        <v>1.21</v>
      </c>
      <c r="T28" s="265">
        <f>IF(S28=0,0,S28/SUM(O28:O30))</f>
        <v>0.0435565154787617</v>
      </c>
      <c r="U28" s="266">
        <f>IF($D28=$D25,IF(OR($B28="LOSS",$B28="OK",$B28="Anulada"),S28,0)+U25,IF(OR($B28="LOSS",$B28="OK",$B28="Anulada"),S28,0))</f>
        <v>13.38</v>
      </c>
      <c r="V28" s="266">
        <f>IF($D28="",0,IF($D28=$D25,IF($B28=" ",IF(I30="",IF(OR(AND(I28="DNB1",I29="DNB2"),AND(OR(I28="DNB1",I28="DNB2"),J29=0),AND(OR(I29="DNB1",I29="DNB2"),J28=0),AND(I28="DNB2",I29="DNB1"),AND(IF(J28=0,(J28+1)/ROUND(J28+1,0),J28/ROUND(J28,0))=1,IF(J29=0,(J29+1)/ROUND(IF(J29="",0,J29)+1,0),IF(J29="",0,J29)/ROUND(IF(J29="",1,J29),0))=1,OR(J28&lt;&gt;""),J29&lt;&gt;"")),0,IF(S28&lt;0,IF(I30="",SMALL(P28:P29,1)-SUM(O28:O29),0),SMALL(P28:P29,1)-SUM(O28:O29))),IF(S28&lt;0,IF(I30="",SMALL(P28:P30,1)-SUM(O28:O30),0),LARGE(P28:P30,1)-SUM(O28:O30))),S28)+V25,IF(I30="",IF(OR(AND(I28="DNB1",I29="DNB2"),AND(OR(I28="DNB1",I28="DNB2"),J29=0),AND(OR(I29="DNB1",I29="DNB2"),J28=0),AND(I28="DNB2",I29="DNB1"),AND(IF(J28=0,(J28+1)/ROUND(J28+1,0),J28/ROUND(J28,0))=1,IF(J29=0,(IF(J29="",0,J29)+1)/ROUND(IF(J29="",0,J29)+1,0),IF(J29="",0,J29)/ROUND(IF(J29="",0,J29)+1,0))=1,OR(J28&lt;&gt;""),J29&lt;&gt;"")),0,IF(S28&lt;0,IF(I30="",SMALL(P28:P29,1)-SUM(O28:O29),0),SMALL(P28:P30,1)-SUM(O28:O30))),IF(S28&lt;0,IF(I30="",SMALL(P28:P30,1)-SUM(O28:O30),0),LARGE(P28:P30,1)-SUM(O28:O30)))))</f>
        <v>13.38</v>
      </c>
      <c r="W28" s="266">
        <f>IF($D28=$D25,IF(S28&lt;0,IF(I30="",S28,0),S28)+W25,S28)</f>
        <v>13.38</v>
      </c>
      <c r="X28" t="s" s="267">
        <f>IF(OR(SUM(R28:R30)=0,V28=W28),ROUND(IF(W28=0,0,W28/Y28)*100,2)&amp;"%",ROUND(IF(V28=0,0,V28/Y28)*100,2)&amp;"% a "&amp;ROUND(IF(W28=0,0,W28/Y28)*100,2)&amp;"%")</f>
        <v>80</v>
      </c>
      <c r="Y28" s="268">
        <f>IF($D28=$D25,Y25+SUM(O28:O30),SUM(O28:O30))</f>
        <v>218.39</v>
      </c>
      <c r="Z28" s="266">
        <f>IF($B28=" ",SUM(O28:O30),0)+Z25</f>
        <v>0</v>
      </c>
      <c r="AA28" s="266">
        <f>IF(G28="","",IF($B28="Anulado",LARGE(P28:P30,1)-SUM(O28:O30)+AA25,AA25))</f>
        <v>0</v>
      </c>
      <c r="AB28" s="266">
        <f>IF($D28="","",AB25+S28)</f>
        <v>13.38</v>
      </c>
      <c r="AC28" s="269">
        <f>IF($D28="","",IF($B28=" ",IF(DAY(G28)=DAY(TODAY()),1+AC25,0+AC25),0+AC25))</f>
        <v>0</v>
      </c>
      <c r="AD28" s="270">
        <f>(1-_xlfn.XLOOKUP(K26,'Janeiro 2023 - Valor Real'!A3:A15,'Janeiro 2023 - Valor Real'!C3:C15,0))+1</f>
        <v>2</v>
      </c>
      <c r="AE28" s="271">
        <f>IF(L28="","",IF(L30&gt;0,(SUM(((L28-1)*(1-_xlfn.XLOOKUP(K28,'Janeiro 2023 - Valor Real'!A3:A15,'Janeiro 2023 - Valor Real'!C3:C15,0))+1),((L29-1)*(1-_xlfn.XLOOKUP(K29,'Janeiro 2023 - Valor Real'!A3:A15,'Janeiro 2023 - Valor Real'!C3:C15,0))+1),((L30-1)*(1-_xlfn.XLOOKUP(K30,'Janeiro 2023 - Valor Real'!A3:A15,'Janeiro 2023 - Valor Real'!C3:C15,0))+1))/((L28-1)*(1-_xlfn.XLOOKUP(K28,'Janeiro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Real'!C3:C15,0))+1))/((L28-1)*(1-_xlfn.XLOOKUP(K28,'Janeiro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Real'!C3:C15,0))+1))/((L29-1)*(1-_xlfn.XLOOKUP(K29,'Janeiro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Real'!C3:C15,0))+1))/((L30-1)*(1-_xlfn.XLOOKUP(K30,'Janeiro 2023 - Valor Real'!A3:A15,'Janeiro 2023 - Valor Real'!C3:C15,0))+1)),IF(I28="Lay",IF(I29="Lay",((L29/(L29-1)-1)*(1-_xlfn.XLOOKUP(K29,'Janeiro 2023 - Valor Real'!A3:A15,'Janeiro 2023 - Valor Real'!C3:C15,0))+1)/(((L29/(L29-1)-1)*(1-_xlfn.XLOOKUP(K29,'Janeiro 2023 - Valor Real'!A3:A15,'Janeiro 2023 - Valor Real'!C3:C15,0))+1)+((L28/(L28-1)-1)*(1-_xlfn.XLOOKUP(K28,'Janeiro 2023 - Valor Real'!A3:A15,'Janeiro 2023 - Valor Real'!C3:C15,0))+1)),((L29-1)*(1-_xlfn.XLOOKUP(K29,'Janeiro 2023 - Valor Real'!A3:A15,'Janeiro 2023 - Valor Real'!C3:C15,0))+1)/(((L29-1)*(1-_xlfn.XLOOKUP(K29,'Janeiro 2023 - Valor Real'!A3:A15,'Janeiro 2023 - Valor Real'!C3:C15,0))+1)+((L28/(L28-1)-1)*(1-_xlfn.XLOOKUP(K28,'Janeiro 2023 - Valor Real'!A3:A15,'Janeiro 2023 - Valor Real'!C3:C15,0))+1))),IF(I29="Lay",(((L29/(L29-1)-1)*(1-_xlfn.XLOOKUP(K29,'Janeiro 2023 - Valor Real'!A3:A15,'Janeiro 2023 - Valor Real'!C3:C15,0))+1))/(((L28-1)*(1-_xlfn.XLOOKUP(K28,'Janeiro 2023 - Valor Real'!A3:A15,'Janeiro 2023 - Valor Real'!C3:C15,0))+1)+((L29/(L29-1)-1)*(1-_xlfn.XLOOKUP(K29,'Janeiro 2023 - Valor Real'!A3:A15,'Janeiro 2023 - Valor Real'!C3:C15,0))+1)),((L29-1)*(1-_xlfn.XLOOKUP(K29,'Janeiro 2023 - Valor Real'!A3:A15,'Janeiro 2023 - Valor Real'!C3:C15,0))+1)/(((L29-1)*(1-_xlfn.XLOOKUP(K29,'Janeiro 2023 - Valor Real'!A3:A15,'Janeiro 2023 - Valor Real'!C3:C15,0))+1)+((L28-1)*(1-_xlfn.XLOOKUP(K28,'Janeiro 2023 - Valor Real'!A3:A15,'Janeiro 2023 - Valor Real'!C3:C15,0))+1))))))</f>
        <v>0.347826086956522</v>
      </c>
      <c r="AF28" s="132">
        <f>IF($K28=AF$3,ROUND(IF(OR($C28="W",$C28="1/2W",$C28="1/2L"),$P28-$O28,IF($C28="X",0,-$O28)),2),0)</f>
        <v>0</v>
      </c>
      <c r="AG28" s="133">
        <f>IF($K28=AG$3,ROUND(IF(OR($C28="W",$C28="1/2W",$C28="1/2L"),$P28-$O28,IF($C28="X",0,-$O28)),2),0)</f>
        <v>0</v>
      </c>
      <c r="AH28" s="133">
        <f>IF($K28=AH$3,ROUND(IF(OR($C28="W",$C28="1/2W",$C28="1/2L"),$P28-$O28,IF($C28="X",0,-$O28)),2),0)</f>
        <v>0</v>
      </c>
      <c r="AI28" s="133">
        <f>IF($K28=AI$3,ROUND(IF(OR($C28="W",$C28="1/2W",$C28="1/2L"),$P28-$O28,IF($C28="X",0,-$O28)),2),0)</f>
        <v>0</v>
      </c>
      <c r="AJ28" s="133">
        <f>IF($K28=AJ$3,ROUND(IF(OR($C28="W",$C28="1/2W",$C28="1/2L"),$P28-$O28,IF($C28="X",0,-$O28)),2),0)</f>
        <v>-9.66</v>
      </c>
      <c r="AK28" s="133">
        <f>IF($K28=AK$3,ROUND(IF(OR($C28="W",$C28="1/2W",$C28="1/2L"),$P28-$O28,IF($C28="X",0,-$O28)),2),0)</f>
        <v>0</v>
      </c>
      <c r="AL28" s="133">
        <f>IF($K28=AL$3,ROUND(IF(OR($C28="W",$C28="1/2W",$C28="1/2L"),$P28-$O28,IF($C28="X",0,-$O28)),2),0)</f>
        <v>0</v>
      </c>
      <c r="AM28" s="133">
        <f>IF($K28=AM$3,ROUND(IF(OR($C28="W",$C28="1/2W",$C28="1/2L"),$P28-$O28,IF($C28="X",0,-$O28)),2),0)</f>
        <v>0</v>
      </c>
      <c r="AN28" s="133">
        <f>IF($K28=AN$3,ROUND(IF(OR($C28="W",$C28="1/2W",$C28="1/2L"),$P28-$O28,IF($C28="X",0,-$O28)),2),0)</f>
        <v>0</v>
      </c>
      <c r="AO28" s="133">
        <f>IF($K28=AO$3,ROUND(IF(OR($C28="W",$C28="1/2W",$C28="1/2L"),$P28-$O28,IF($C28="X",0,-$O28)),2),0)</f>
        <v>0</v>
      </c>
      <c r="AP28" s="133">
        <f>IF($K28=AP$3,ROUND(IF(OR($C28="W",$C28="1/2W",$C28="1/2L"),$P28-$O28,IF($C28="X",0,-$O28)),2),0)</f>
        <v>0</v>
      </c>
      <c r="AQ28" s="133">
        <f>IF($K28=AQ$3,ROUND(IF(OR($C28="W",$C28="1/2W",$C28="1/2L"),$P28-$O28,IF($C28="X",0,-$O28)),2),0)</f>
        <v>0</v>
      </c>
      <c r="AR28" s="134">
        <f>IF($K28=AR$3,ROUND(IF(OR($C28="W",$C28="1/2W",$C28="1/2L"),$P28-$O28,IF($C28="X",0,-$O28)),2),0)</f>
        <v>0</v>
      </c>
      <c r="AS28" s="132">
        <f>IF(AND($B28=" ",$K28=AS$3),$O28,0)</f>
        <v>0</v>
      </c>
      <c r="AT28" s="133">
        <f>IF(AND($B28=" ",$K28=AT$3),$O28,0)</f>
        <v>0</v>
      </c>
      <c r="AU28" s="133">
        <f>IF(AND($B28=" ",$K28=AU$3),$O28,0)</f>
        <v>0</v>
      </c>
      <c r="AV28" s="133">
        <f>IF(AND($B28=" ",$K28=AV$3),$O28,0)</f>
        <v>0</v>
      </c>
      <c r="AW28" s="133">
        <f>IF(AND($B28=" ",$K28=AW$3),$O28,0)</f>
        <v>0</v>
      </c>
      <c r="AX28" s="133">
        <f>IF(AND($B28=" ",$K28=AX$3),$O28,0)</f>
        <v>0</v>
      </c>
      <c r="AY28" s="135">
        <f>IF(AND($B28=" ",$K28=AY$3),$O28,0)</f>
        <v>0</v>
      </c>
      <c r="AZ28" s="136">
        <f>IF(AND($B28=" ",$K28=AZ$3),$O28,0)</f>
        <v>0</v>
      </c>
      <c r="BA28" s="136">
        <f>IF(AND($B28=" ",$K28=BA$3),$O28,0)</f>
        <v>0</v>
      </c>
      <c r="BB28" s="136">
        <f>IF(AND($B28=" ",$K28=BB$3),$O28,0)</f>
        <v>0</v>
      </c>
      <c r="BC28" s="137">
        <f>IF(AND($B28=" ",$K28=BC$3),$O28,0)</f>
        <v>0</v>
      </c>
      <c r="BD28" s="133">
        <f>IF(AND($B28=" ",$K28=BD$3),$O28,0)</f>
        <v>0</v>
      </c>
      <c r="BE28" s="134">
        <f>IF(AND($B28=" ",$K28=BE$3),$O28,0)</f>
        <v>0</v>
      </c>
      <c r="BF28" s="132">
        <f>IF($K28=BF$3,IF($C28="X",0,$O28),0)</f>
        <v>0</v>
      </c>
      <c r="BG28" s="133">
        <f>IF($K28=BG$3,IF($C28="X",0,$O28),0)</f>
        <v>0</v>
      </c>
      <c r="BH28" s="133">
        <f>IF($K28=BH$3,IF($C28="X",0,$O28),0)</f>
        <v>0</v>
      </c>
      <c r="BI28" s="133">
        <f>IF($K28=BI$3,IF($C28="X",0,$O28),0)</f>
        <v>0</v>
      </c>
      <c r="BJ28" s="133">
        <f>IF($K28=BJ$3,IF($C28="X",0,$O28),0)</f>
        <v>9.66</v>
      </c>
      <c r="BK28" s="133">
        <f>IF($K28=BK$3,IF($C28="X",0,$O28),0)</f>
        <v>0</v>
      </c>
      <c r="BL28" s="133">
        <f>IF($K28=BL$3,IF($C28="X",0,$O28),0)</f>
        <v>0</v>
      </c>
      <c r="BM28" s="135">
        <f>IF($K28=BM$3,IF($C28="X",0,$O28),0)</f>
        <v>0</v>
      </c>
      <c r="BN28" s="136">
        <f>IF($K28=BN$3,IF($C28="X",0,$O28),0)</f>
        <v>0</v>
      </c>
      <c r="BO28" s="136">
        <f>IF($K28=BO$3,IF($C28="X",0,$O28),0)</f>
        <v>0</v>
      </c>
      <c r="BP28" s="136">
        <f>IF($K28=BP$3,IF($C28="X",0,$O28),0)</f>
        <v>0</v>
      </c>
      <c r="BQ28" s="137">
        <f>IF($K28=BQ$3,IF($C28="X",0,$O28),0)</f>
        <v>0</v>
      </c>
      <c r="BR28" s="134">
        <f>IF($K28=BR$3,IF($C28="X",0,$O28),0)</f>
        <v>0</v>
      </c>
      <c r="BS28" s="170">
        <f>IF($B28="LOSS",IF(AND($K28=BS$3,$C28="L"),-$O28,0)+IF(AND($K29=BS$3,$C29="L"),-$O29,0)+IF(AND($K30=BS$3,$C30="L"),-$O30,0),IF(OR(AND($K28=BS$3,OR($C28="W",$C28="1/2W")),AND($K29=BS$3,OR($C29="W",$C29="1/2W")),AND($K30=BS$3,OR($C30="W",$C30="1/2W"))),$S28,0))</f>
        <v>0</v>
      </c>
      <c r="BT28" s="272">
        <f>IF($B28="LOSS",IF(AND($K28=BT$3,$C28="L"),-$O28,0)+IF(AND($K29=BT$3,$C29="L"),-$O29,0)+IF(AND($K29=BT$3,$C30="L"),-$O30,0),IF(OR(AND($K29=BT$3,OR($C28="W",$C28="1/2W")),AND($K29=BT$3,OR($C29="W",$C29="1/2W")),AND($K29=BT$3,OR($C30="W",$C30="1/2W"))),$S28,0))</f>
        <v>1.21</v>
      </c>
      <c r="BU28" s="136">
        <f>IF($B28="LOSS",IF(AND($K28=BU$3,$C28="L"),-$O28,0)+IF(AND($K29=BU$3,$C29="L"),-$O29,0)+IF(AND($K29=BU$3,$C30="L"),-$O30,0),IF(OR(AND($K29=BU$3,OR($C28="W",$C28="1/2W")),AND($K29=BU$3,OR($C29="W",$C29="1/2W")),AND($K29=BU$3,OR($C30="W",$C30="1/2W"))),$S28,0))</f>
        <v>0</v>
      </c>
      <c r="BV28" s="136">
        <f>IF($B28="LOSS",IF(AND($K28=BV$3,$C28="L"),-$O28,0)+IF(AND($K29=BV$3,$C29="L"),-$O29,0)+IF(AND($K30=BV$3,$C30="L"),-$O30,0),IF(OR(AND($K28=BV$3,OR($C28="W",$C28="1/2W")),AND($K29=BV$3,OR($C29="W",$C29="1/2W")),AND($K30=BV$3,OR($C30="W",$C30="1/2W"))),$S28,0))</f>
        <v>0</v>
      </c>
      <c r="BW28" s="136">
        <f>IF($B28="LOSS",IF(AND($K28=BW$3,$C28="L"),-$O28,0)+IF(AND($K29=BW$3,$C29="L"),-$O29,0)+IF(AND($K30=BW$3,$C30="L"),-$O30,0),IF(OR(AND($K28=BW$3,OR($C28="W",$C28="1/2W")),AND($K29=BW$3,OR($C29="W",$C29="1/2W")),AND($K30=BW$3,OR($C30="W",$C30="1/2W"))),$S28,0))</f>
        <v>0</v>
      </c>
      <c r="BX28" s="136">
        <f>IF($B28="LOSS",IF(AND($K28=BX$3,$C28="L"),-$O28,0)+IF(AND($K29=BX$3,$C29="L"),-$O29,0)+IF(AND($K30=BX$3,$C30="L"),-$O30,0),IF(OR(AND($K28=BX$3,OR($C28="W",$C28="1/2W")),AND($K29=BX$3,OR($C29="W",$C29="1/2W")),AND($K30=BX$3,OR($C30="W",$C30="1/2W"))),$S28,0))</f>
        <v>0</v>
      </c>
      <c r="BY28" s="136">
        <f>IF($B28="LOSS",IF(AND($K28=BY$3,$C28="L"),-$O28,0)+IF(AND($K29=BY$3,$C29="L"),-$O29,0)+IF(AND($K30=BY$3,$C30="L"),-$O30,0),IF(OR(AND($K28=BY$3,OR($C28="W",$C28="1/2W")),AND($K29=BY$3,OR($C29="W",$C29="1/2W")),AND($K30=BY$3,OR($C30="W",$C30="1/2W"))),$S28,0))</f>
        <v>0</v>
      </c>
      <c r="BZ28" s="136">
        <f>IF($B28="LOSS",IF(AND($K28=BZ$3,$C28="L"),-$O28,0)+IF(AND($K29=BZ$3,$C29="L"),-$O29,0)+IF(AND($K30=BZ$3,$C30="L"),-$O30,0),IF(OR(AND($K28=BZ$3,OR($C28="W",$C28="1/2W")),AND($K29=BZ$3,OR($C29="W",$C29="1/2W")),AND($K30=BZ$3,OR($C30="W",$C30="1/2W"))),$S28,0))</f>
        <v>0</v>
      </c>
      <c r="CA28" s="136">
        <f>IF($B28="LOSS",IF(AND($K28=CA$3,$C28="L"),-$O28,0)+IF(AND($K29=CA$3,$C29="L"),-$O29,0)+IF(AND($K30=CA$3,$C30="L"),-$O30,0),IF(OR(AND($K28=CA$3,OR($C28="W",$C28="1/2W")),AND($K29=CA$3,OR($C29="W",$C29="1/2W")),AND($K30=CA$3,OR($C30="W",$C30="1/2W"))),$S28,0))</f>
        <v>0</v>
      </c>
      <c r="CB28" s="136">
        <f>IF($B28="LOSS",IF(AND($K28=CB$3,$C28="L"),-$O28,0)+IF(AND($K29=CB$3,$C29="L"),-$O29,0)+IF(AND($K30=CB$3,$C30="L"),-$O30,0),IF(OR(AND($K28=CB$3,OR($C28="W",$C28="1/2W")),AND($K29=CB$3,OR($C29="W",$C29="1/2W")),AND($K30=CB$3,OR($C30="W",$C30="1/2W"))),$S28,0))</f>
        <v>0</v>
      </c>
      <c r="CC28" s="136">
        <f>IF($B28="LOSS",IF(AND($K28=CC$3,$C28="L"),-$O28,0)+IF(AND($K29=CC$3,$C29="L"),-$O29,0)+IF(AND($K30=CC$3,$C30="L"),-$O30,0),IF(OR(AND($K28=CC$3,OR($C28="W",$C28="1/2W")),AND($K29=CC$3,OR($C29="W",$C29="1/2W")),AND($K30=CC$3,OR($C30="W",$C30="1/2W"))),$S28,0))</f>
        <v>0</v>
      </c>
      <c r="CD28" s="137">
        <f>IF($B28="LOSS",IF(AND($K28=CD$3,$C28="L"),-$O28,0)+IF(AND($K29=CD$3,$C29="L"),-$O29,0)+IF(AND($K30=CD$3,$C30="L"),-$O30,0),IF(OR(AND($K28=CD$3,OR($C28="W",$C28="1/2W")),AND($K29=CD$3,OR($C29="W",$C29="1/2W")),AND($K30=CD$3,OR($C30="W",$C30="1/2W"))),$S28,0))</f>
        <v>0</v>
      </c>
      <c r="CE28" s="134">
        <f>IF($B28="LOSS",IF(AND($K28=CE$3,$C28="L"),-$O28,0)+IF(AND($K29=CE$3,$C29="L"),-$O29,0)+IF(AND($K30=CE$3,$C30="L"),-$O30,0),IF(OR(AND($K28=CE$3,OR($C28="W",$C28="1/2W")),AND($K29=CE$3,OR($C29="W",$C29="1/2W")),AND($K30=CE$3,OR($C30="W",$C30="1/2W"))),$S28,0))</f>
        <v>0</v>
      </c>
      <c r="CF28" s="273">
        <f>IF(CF$3=$K28,IF($C28="W",1,IF($C28="1/2W",0.5,0)),0)</f>
        <v>0</v>
      </c>
      <c r="CG28" s="274">
        <f>IF(CF$3=$K28,IF($C28="L",1,IF($C28="1/2L",0.5,0)),0)</f>
        <v>0</v>
      </c>
      <c r="CH28" s="274">
        <f>IF(CH$3=$K28,IF($C28="W",1,IF($C28="1/2W",0.5,0)),0)</f>
        <v>0</v>
      </c>
      <c r="CI28" s="274">
        <f>IF(CH$3=$K28,IF($C28="L",1,IF($C28="1/2L",0.5,0)),0)</f>
        <v>0</v>
      </c>
      <c r="CJ28" s="274">
        <f>IF(CJ$3=$K28,IF($C28="W",1,IF($C28="1/2W",0.5,0)),0)</f>
        <v>0</v>
      </c>
      <c r="CK28" s="274">
        <f>IF(CJ$3=$K28,IF($C28="L",1,IF($C28="1/2L",0.5,0)),0)</f>
        <v>0</v>
      </c>
      <c r="CL28" s="274">
        <f>IF(CL$3=$K28,IF($C28="W",1,IF($C28="1/2W",0.5,0)),0)</f>
        <v>0</v>
      </c>
      <c r="CM28" s="274">
        <f>IF(CL$3=$K28,IF($C28="L",1,IF($C28="1/2L",0.5,0)),0)</f>
        <v>0</v>
      </c>
      <c r="CN28" s="274">
        <f>IF(CN$3=$K28,IF($C28="W",1,IF($C28="1/2W",0.5,0)),0)</f>
        <v>0</v>
      </c>
      <c r="CO28" s="274">
        <f>IF(CN$3=$K28,IF($C28="L",1,IF($C28="1/2L",0.5,0)),0)</f>
        <v>1</v>
      </c>
      <c r="CP28" s="274">
        <f>IF(CP$3=$K28,IF($C28="W",1,IF($C28="1/2W",0.5,0)),0)</f>
        <v>0</v>
      </c>
      <c r="CQ28" s="274">
        <f>IF(CP$3=$K28,IF($C28="L",1,IF($C28="1/2L",0.5,0)),0)</f>
        <v>0</v>
      </c>
      <c r="CR28" s="274">
        <f>IF(CR$3=$K28,IF($C28="W",1,IF($C28="1/2W",0.5,0)),0)</f>
        <v>0</v>
      </c>
      <c r="CS28" s="274">
        <f>IF(CR$3=$K28,IF($C28="L",1,IF($C28="1/2L",0.5,0)),0)</f>
        <v>0</v>
      </c>
      <c r="CT28" s="145">
        <f>IF(CT$3=$K28,IF($C28="W",1,IF($C28="1/2W",0.5,0)),0)</f>
        <v>0</v>
      </c>
      <c r="CU28" s="146">
        <f>IF(CT$3=$K28,IF($C28="L",1,IF($C28="1/2L",0.5,0)),0)</f>
        <v>0</v>
      </c>
      <c r="CV28" s="146">
        <f>IF(CV$3=$K28,IF($C28="W",1,IF($C28="1/2W",0.5,0)),0)</f>
        <v>0</v>
      </c>
      <c r="CW28" s="146">
        <f>IF(CV$3=$K28,IF($C28="L",1,IF($C28="1/2L",0.5,0)),0)</f>
        <v>0</v>
      </c>
      <c r="CX28" s="146">
        <f>IF(CX$3=$K28,IF($C28="W",1,IF($C28="1/2W",0.5,0)),0)</f>
        <v>0</v>
      </c>
      <c r="CY28" s="146">
        <f>IF(CX$3=$K28,IF($C28="L",1,IF($C28="1/2L",0.5,0)),0)</f>
        <v>0</v>
      </c>
      <c r="CZ28" s="146">
        <f>IF(CZ$3=$K28,IF($C28="W",1,IF($C28="1/2W",0.5,0)),0)</f>
        <v>0</v>
      </c>
      <c r="DA28" s="146">
        <f>IF(CZ$3=$K28,IF($C28="L",1,IF($C28="1/2L",0.5,0)),0)</f>
        <v>0</v>
      </c>
      <c r="DB28" s="146">
        <f>IF(DB$3=$K28,IF($C28="W",1,IF($C28="1/2W",0.5,0)),0)</f>
        <v>0</v>
      </c>
      <c r="DC28" s="146">
        <f>IF(DB$3=$K28,IF($C28="L",1,IF($C28="1/2L",0.5,0)),0)</f>
        <v>0</v>
      </c>
      <c r="DD28" s="146">
        <f>IF(DD$3=$K28,IF($C28="W",1,IF($C28="1/2W",0.5,0)),0)</f>
        <v>0</v>
      </c>
      <c r="DE28" s="147">
        <f>IF(DD$3=$K28,IF($C28="L",1,IF($C28="1/2L",0.5,0)),0)</f>
        <v>0</v>
      </c>
      <c r="DF28" s="143">
        <f>IF(AND(L28&lt;DF$3,$C28="W"),1+DF27,DF27)</f>
        <v>1</v>
      </c>
      <c r="DG28" s="133">
        <f>IF(DF28&gt;DF27,L28+DG27,DG27)</f>
        <v>1.44</v>
      </c>
      <c r="DH28" s="146">
        <f>IF(AND(L28&gt;DH$3,$C28="W"),1+DH27,0+DH27)</f>
        <v>0</v>
      </c>
      <c r="DI28" s="133">
        <f>IF(DH28&gt;DH27,L28+DI27,DI27)</f>
        <v>0</v>
      </c>
      <c r="DJ28" s="146">
        <f>IF($D28="","",$D28)</f>
        <v>16</v>
      </c>
      <c r="DK28" s="146">
        <f>IF(AND($B28=" ",$D28&lt;&gt;""),1,0)</f>
        <v>0</v>
      </c>
    </row>
    <row r="29" ht="14.55" customHeight="1">
      <c r="A29" s="107"/>
      <c r="B29" s="108"/>
      <c r="C29" t="s" s="109">
        <v>56</v>
      </c>
      <c r="D29" s="110"/>
      <c r="E29" s="111"/>
      <c r="F29" s="113"/>
      <c r="G29" s="252"/>
      <c r="H29" s="114"/>
      <c r="I29" t="s" s="275">
        <v>81</v>
      </c>
      <c r="J29" t="s" s="295">
        <f>IF(OR(I28="TO",I28="TU",I28="TO1",I28="TU1",I28="TO2",I28="TU2"),J28,IF(OR(I28="AH1",I28="AH2"),IF(OR(I29="AH1",I29="AH2"),-J28,IF(OR(I29="EH1",I29="EH2"),-J28+0.5,"")),IF(OR(I28="EH1",I28="EH2"),IF(OR(I29="AH1",I29="AH2"),-J28+0.5,IF(OR(I29="EH1",I29="EH2"),-J28+1,"")),IF(AND(OR(I28="DNB1",I28="DNB2"),OR(I29="AH1",I29="AH2")),0,IF(AND(I28="Not ScoreBoth",OR(I29="TO1",I29="TO2")),0.5,"")))))</f>
      </c>
      <c r="K29" t="s" s="117">
        <v>38</v>
      </c>
      <c r="L29" s="277">
        <v>1.6</v>
      </c>
      <c r="M29" s="278">
        <v>18.12</v>
      </c>
      <c r="N29" s="120"/>
      <c r="O29" s="121">
        <f>IF(OR(AE28="",AE29=""),"",ROUND(IF(L30&gt;0,IF(M29&gt;0,M29,IF(M28&gt;0,IF(N28=TRUE,ROUND((M28*AE29)/AE28,0),(M28*AE29)/AE28),IF(M29&gt;0,ROUND(M29,IF(N28=0,2,IF(N28=0.1,1,0))),IF(M30&gt;0,ROUND(O30*AE29/AE30,IF(N28=0,2,IF(N28=0.1,1,0))),0)))),IF(M29&gt;0,M29,ROUND((M28*AE29)/AE28,IF(N28=0,2,IF(N28=0.1,1,0))))),2))</f>
        <v>18.12</v>
      </c>
      <c r="P29" s="122">
        <f>IF(OR(L29="",O29=""),"",IF($C29="1/2W",O29/2+O29/2*L29,IF($C29="1/2L",O29/2,IF(I29="Lay",((O29*(L29/(L29-1)))-O29)*(1-_xlfn.XLOOKUP(K29,'Janeiro 2023 - Valor Real'!A3:A15,'Janeiro 2023 - Valor Real'!C3:C15,0))+O29,(O29*L29-O29)*(1-_xlfn.XLOOKUP(K29,'Janeiro 2023 - Valor Real'!A3:A15,'Janeiro 2023 - Valor Real'!C3:C15,0))+O29))))</f>
        <v>28.992</v>
      </c>
      <c r="Q29" s="279">
        <v>1</v>
      </c>
      <c r="R29" s="280">
        <v>0</v>
      </c>
      <c r="S29" s="125"/>
      <c r="T29" s="126"/>
      <c r="U29" s="126"/>
      <c r="V29" s="224"/>
      <c r="W29" s="126"/>
      <c r="X29" s="127"/>
      <c r="Y29" s="128"/>
      <c r="Z29" s="129"/>
      <c r="AA29" s="129"/>
      <c r="AB29" s="129"/>
      <c r="AC29" s="129"/>
      <c r="AD29" s="130"/>
      <c r="AE29" s="131">
        <f>IF(L29="","",IF(L30&gt;0,(SUM(((L28-1)*(1-_xlfn.XLOOKUP(K28,'Janeiro 2023 - Valor Real'!A3:A15,'Janeiro 2023 - Valor Real'!C3:C15,0))+1),((L29-1)*(1-_xlfn.XLOOKUP(K29,'Janeiro 2023 - Valor Real'!A3:A15,'Janeiro 2023 - Valor Real'!C3:C15,0))+1),((L30-1)*(1-_xlfn.XLOOKUP(K30,'Janeiro 2023 - Valor Real'!A3:A15,'Janeiro 2023 - Valor Real'!C3:C15,0))+1))/((L29-1)*(1-_xlfn.XLOOKUP(K29,'Janeiro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Real'!C3:C15,0))+1))/((L28-1)*(1-_xlfn.XLOOKUP(K28,'Janeiro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Real'!C3:C15,0))+1))/((L29-1)*(1-_xlfn.XLOOKUP(K29,'Janeiro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Real'!C3:C15,0))+1))/((L30-1)*(1-_xlfn.XLOOKUP(K30,'Janeiro 2023 - Valor Real'!A3:A15,'Janeiro 2023 - Valor Real'!C3:C15,0))+1)),IF(I29="Lay",IF(I28="Lay",((L28/(L28-1)-1)*(1-_xlfn.XLOOKUP(K28,'Janeiro 2023 - Valor Real'!A3:A15,'Janeiro 2023 - Valor Real'!C3:C15,0))+1)/(((L28/(L28-1)-1)*(1-_xlfn.XLOOKUP(K28,'Janeiro 2023 - Valor Real'!A3:A15,'Janeiro 2023 - Valor Real'!C3:C15,0))+1)+((L29/(L29-1)-1)*(1-_xlfn.XLOOKUP(K29,'Janeiro 2023 - Valor Real'!A3:A15,'Janeiro 2023 - Valor Real'!C3:C15,0))+1)),((L28-1)*(1-_xlfn.XLOOKUP(K28,'Janeiro 2023 - Valor Real'!A3:A15,'Janeiro 2023 - Valor Real'!C3:C15,0))+1)/(((L28-1)*(1-_xlfn.XLOOKUP(K28,'Janeiro 2023 - Valor Real'!A3:A15,'Janeiro 2023 - Valor Real'!C3:C15,0))+1)+((L29/(L29-1)-1)*(1-_xlfn.XLOOKUP(K29,'Janeiro 2023 - Valor Real'!A3:A15,'Janeiro 2023 - Valor Real'!C3:C15,0))+1))),IF(I28="Lay",((L28/(L28-1)-1)*(1-_xlfn.XLOOKUP(K28,'Janeiro 2023 - Valor Real'!A3:A15,'Janeiro 2023 - Valor Real'!C3:C15,0))+1)/((((L28/(L28-1)-1)*(1-_xlfn.XLOOKUP(K28,'Janeiro 2023 - Valor Real'!A3:A15,'Janeiro 2023 - Valor Real'!C3:C15,0))+1))+((L29-1)*(1-_xlfn.XLOOKUP(K29,'Janeiro 2023 - Valor Real'!A3:A15,'Janeiro 2023 - Valor Real'!C3:C15,0))+1)),((L28-1)*(1-_xlfn.XLOOKUP(K28,'Janeiro 2023 - Valor Real'!A3:A15,'Janeiro 2023 - Valor Real'!C3:C15,0))+1)/(((L28-1)*(1-_xlfn.XLOOKUP(K28,'Janeiro 2023 - Valor Real'!A3:A15,'Janeiro 2023 - Valor Real'!C3:C15,0))+1)+((L29-1)*(1-_xlfn.XLOOKUP(K29,'Janeiro 2023 - Valor Real'!A3:A15,'Janeiro 2023 - Valor Real'!C3:C15,0))+1))))))</f>
        <v>0.652173913043478</v>
      </c>
      <c r="AF29" s="132">
        <f>IF($K29=AF$3,ROUND(IF(OR($C29="W",$C29="1/2W",$C29="1/2L"),$P29-$O29,IF($C29="X",0,-$O29)),2),0)</f>
        <v>0</v>
      </c>
      <c r="AG29" s="133">
        <f>IF($K29=AG$3,ROUND(IF(OR($C29="W",$C29="1/2W",$C29="1/2L"),$P29-$O29,IF($C29="X",0,-$O29)),2),0)</f>
        <v>10.87</v>
      </c>
      <c r="AH29" s="133">
        <f>IF($K29=AH$3,ROUND(IF(OR($C29="W",$C29="1/2W",$C29="1/2L"),$P29-$O29,IF($C29="X",0,-$O29)),2),0)</f>
        <v>0</v>
      </c>
      <c r="AI29" s="133">
        <f>IF($K29=AI$3,ROUND(IF(OR($C29="W",$C29="1/2W",$C29="1/2L"),$P29-$O29,IF($C29="X",0,-$O29)),2),0)</f>
        <v>0</v>
      </c>
      <c r="AJ29" s="133">
        <f>IF($K29=AJ$3,ROUND(IF(OR($C29="W",$C29="1/2W",$C29="1/2L"),$P29-$O29,IF($C29="X",0,-$O29)),2),0)</f>
        <v>0</v>
      </c>
      <c r="AK29" s="133">
        <f>IF($K29=AK$3,ROUND(IF(OR($C29="W",$C29="1/2W",$C29="1/2L"),$P29-$O29,IF($C29="X",0,-$O29)),2),0)</f>
        <v>0</v>
      </c>
      <c r="AL29" s="133">
        <f>IF($K29=AL$3,ROUND(IF(OR($C29="W",$C29="1/2W",$C29="1/2L"),$P29-$O29,IF($C29="X",0,-$O29)),2),0)</f>
        <v>0</v>
      </c>
      <c r="AM29" s="133">
        <f>IF($K29=AM$3,ROUND(IF(OR($C29="W",$C29="1/2W",$C29="1/2L"),$P29-$O29,IF($C29="X",0,-$O29)),2),0)</f>
        <v>0</v>
      </c>
      <c r="AN29" s="133">
        <f>IF($K29=AN$3,ROUND(IF(OR($C29="W",$C29="1/2W",$C29="1/2L"),$P29-$O29,IF($C29="X",0,-$O29)),2),0)</f>
        <v>0</v>
      </c>
      <c r="AO29" s="133">
        <f>IF($K29=AO$3,ROUND(IF(OR($C29="W",$C29="1/2W",$C29="1/2L"),$P29-$O29,IF($C29="X",0,-$O29)),2),0)</f>
        <v>0</v>
      </c>
      <c r="AP29" s="133">
        <f>IF($K29=AP$3,ROUND(IF(OR($C29="W",$C29="1/2W",$C29="1/2L"),$P29-$O29,IF($C29="X",0,-$O29)),2),0)</f>
        <v>0</v>
      </c>
      <c r="AQ29" s="133">
        <f>IF($K29=AQ$3,ROUND(IF(OR($C29="W",$C29="1/2W",$C29="1/2L"),$P29-$O29,IF($C29="X",0,-$O29)),2),0)</f>
        <v>0</v>
      </c>
      <c r="AR29" s="134">
        <f>IF($K29=AR$3,ROUND(IF(OR($C29="W",$C29="1/2W",$C29="1/2L"),$P29-$O29,IF($C29="X",0,-$O29)),2),0)</f>
        <v>0</v>
      </c>
      <c r="AS29" s="132">
        <f>IF(AND($B28=" ",$K29=AS$3),$O29,0)</f>
        <v>0</v>
      </c>
      <c r="AT29" s="133">
        <f>IF(AND($B28=" ",K29=AT$3),$O29,0)</f>
        <v>0</v>
      </c>
      <c r="AU29" s="133">
        <f>IF(AND($B28=" ",$K29=AU$3),$O29,0)</f>
        <v>0</v>
      </c>
      <c r="AV29" s="133">
        <f>IF(AND($B28=" ",$K29=AV$3),$O29,0)</f>
        <v>0</v>
      </c>
      <c r="AW29" s="133">
        <f>IF(AND($B28=" ",$K29=AW$3),$O29,0)</f>
        <v>0</v>
      </c>
      <c r="AX29" s="133">
        <f>IF(AND($B28=" ",$K29=AX$3),$O29,0)</f>
        <v>0</v>
      </c>
      <c r="AY29" s="135">
        <f>IF(AND($B28=" ",$K29=AY$3),$O29,0)</f>
        <v>0</v>
      </c>
      <c r="AZ29" s="136">
        <f>IF(AND($B28=" ",$K29=AZ$3),$O29,0)</f>
        <v>0</v>
      </c>
      <c r="BA29" s="136">
        <f>IF(AND($B28=" ",$K29=BA$3),$O29,0)</f>
        <v>0</v>
      </c>
      <c r="BB29" s="136">
        <f>IF(AND($B28=" ",$K29=BB$3),$O29,0)</f>
        <v>0</v>
      </c>
      <c r="BC29" s="137">
        <f>IF(AND($B28=" ",$K29=BC$3),$O29,0)</f>
        <v>0</v>
      </c>
      <c r="BD29" s="133">
        <f>IF(AND($B28=" ",$K29=BD$3),$O29,0)</f>
        <v>0</v>
      </c>
      <c r="BE29" s="134">
        <f>IF(AND($B28=" ",$K29=BE$3),$O29,0)</f>
        <v>0</v>
      </c>
      <c r="BF29" s="132">
        <f>IF($K29=BF$3,IF($C29="X",0,$O29),0)</f>
        <v>0</v>
      </c>
      <c r="BG29" s="281">
        <f>IF($K29=BG$3,IF($C29="X",0,$O29),0)</f>
        <v>18.12</v>
      </c>
      <c r="BH29" s="133">
        <f>IF($K29=BH$3,IF($C29="X",0,$O29),0)</f>
        <v>0</v>
      </c>
      <c r="BI29" s="133">
        <f>IF($K29=BI$3,IF($C29="X",0,$O29),0)</f>
        <v>0</v>
      </c>
      <c r="BJ29" s="133">
        <f>IF($K29=BJ$3,IF($C29="X",0,$O29),0)</f>
        <v>0</v>
      </c>
      <c r="BK29" s="133">
        <f>IF($K29=BK$3,IF($C29="X",0,$O29),0)</f>
        <v>0</v>
      </c>
      <c r="BL29" s="133">
        <f>IF($K29=BL$3,IF($C29="X",0,$O29),0)</f>
        <v>0</v>
      </c>
      <c r="BM29" s="135">
        <f>IF($K29=BM$3,IF($C29="X",0,$O29),0)</f>
        <v>0</v>
      </c>
      <c r="BN29" s="136">
        <f>IF($K29=BN$3,IF($C29="X",0,$O29),0)</f>
        <v>0</v>
      </c>
      <c r="BO29" s="136">
        <f>IF($K29=BO$3,IF($C29="X",0,$O29),0)</f>
        <v>0</v>
      </c>
      <c r="BP29" s="136">
        <f>IF($K29=BP$3,IF($C29="X",0,$O29),0)</f>
        <v>0</v>
      </c>
      <c r="BQ29" s="137">
        <f>IF($K29=BQ$3,IF($C29="X",0,$O29),0)</f>
        <v>0</v>
      </c>
      <c r="BR29" s="134">
        <f>IF($K29=BR$3,IF($C29="X",0,$O29),0)</f>
        <v>0</v>
      </c>
      <c r="BS29" s="282"/>
      <c r="BT29" s="283"/>
      <c r="BU29" s="140"/>
      <c r="BV29" s="283"/>
      <c r="BW29" s="140"/>
      <c r="BX29" s="140"/>
      <c r="BY29" s="140"/>
      <c r="BZ29" s="283"/>
      <c r="CA29" s="140"/>
      <c r="CB29" s="140"/>
      <c r="CC29" s="140"/>
      <c r="CD29" s="141"/>
      <c r="CE29" s="142"/>
      <c r="CF29" s="284">
        <f>IF(CF$3=$K29,IF($C29="W",1,IF($C29="1/2W",0.5,0)),0)</f>
        <v>0</v>
      </c>
      <c r="CG29" s="285">
        <f>IF(CF$3=$K29,IF($C29="L",1,IF($C29="1/2L",0.5,0)),0)</f>
        <v>0</v>
      </c>
      <c r="CH29" s="285">
        <f>IF(CH$3=$K29,IF($C29="W",1,IF($C29="1/2W",0.5,0)),0)</f>
        <v>1</v>
      </c>
      <c r="CI29" s="285">
        <f>IF(CH$3=$K29,IF($C29="L",1,IF($C29="1/2L",0.5,0)),0)</f>
        <v>0</v>
      </c>
      <c r="CJ29" s="285">
        <f>IF(CJ$3=$K29,IF($C29="W",1,IF($C29="1/2W",0.5,0)),0)</f>
        <v>0</v>
      </c>
      <c r="CK29" s="285">
        <f>IF(CJ$3=$K29,IF($C29="L",1,IF($C29="1/2L",0.5,0)),0)</f>
        <v>0</v>
      </c>
      <c r="CL29" s="285">
        <f>IF(CL$3=$K29,IF($C29="W",1,IF($C29="1/2W",0.5,0)),0)</f>
        <v>0</v>
      </c>
      <c r="CM29" s="285">
        <f>IF(CL$3=$K29,IF($C29="L",1,IF($C29="1/2L",0.5,0)),0)</f>
        <v>0</v>
      </c>
      <c r="CN29" s="285">
        <f>IF(CN$3=$K29,IF($C29="W",1,IF($C29="1/2W",0.5,0)),0)</f>
        <v>0</v>
      </c>
      <c r="CO29" s="285">
        <f>IF(CN$3=$K29,IF($C29="L",1,IF($C29="1/2L",0.5,0)),0)</f>
        <v>0</v>
      </c>
      <c r="CP29" s="285">
        <f>IF(CP$3=$K29,IF($C29="W",1,IF($C29="1/2W",0.5,0)),0)</f>
        <v>0</v>
      </c>
      <c r="CQ29" s="285">
        <f>IF(CP$3=$K29,IF($C29="L",1,IF($C29="1/2L",0.5,0)),0)</f>
        <v>0</v>
      </c>
      <c r="CR29" s="285">
        <f>IF(CR$3=$K29,IF($C29="W",1,IF($C29="1/2W",0.5,0)),0)</f>
        <v>0</v>
      </c>
      <c r="CS29" s="285">
        <f>IF(CR$3=$K29,IF($C29="L",1,IF($C29="1/2L",0.5,0)),0)</f>
        <v>0</v>
      </c>
      <c r="CT29" s="145">
        <f>IF(CT$3=$K29,IF($C29="W",1,IF($C29="1/2W",0.5,0)),0)</f>
        <v>0</v>
      </c>
      <c r="CU29" s="146">
        <f>IF(CT$3=$K29,IF($C29="L",1,IF($C29="1/2L",0.5,0)),0)</f>
        <v>0</v>
      </c>
      <c r="CV29" s="146">
        <f>IF(CV$3=$K29,IF($C29="W",1,IF($C29="1/2W",0.5,0)),0)</f>
        <v>0</v>
      </c>
      <c r="CW29" s="146">
        <f>IF(CV$3=$K29,IF($C29="L",1,IF($C29="1/2L",0.5,0)),0)</f>
        <v>0</v>
      </c>
      <c r="CX29" s="146">
        <f>IF(CX$3=$K29,IF($C29="W",1,IF($C29="1/2W",0.5,0)),0)</f>
        <v>0</v>
      </c>
      <c r="CY29" s="146">
        <f>IF(CX$3=$K29,IF($C29="L",1,IF($C29="1/2L",0.5,0)),0)</f>
        <v>0</v>
      </c>
      <c r="CZ29" s="146">
        <f>IF(CZ$3=$K29,IF($C29="W",1,IF($C29="1/2W",0.5,0)),0)</f>
        <v>0</v>
      </c>
      <c r="DA29" s="146">
        <f>IF(CZ$3=$K29,IF($C29="L",1,IF($C29="1/2L",0.5,0)),0)</f>
        <v>0</v>
      </c>
      <c r="DB29" s="146">
        <f>IF(DB$3=$K29,IF($C29="W",1,IF($C29="1/2W",0.5,0)),0)</f>
        <v>0</v>
      </c>
      <c r="DC29" s="146">
        <f>IF(DB$3=$K29,IF($C29="L",1,IF($C29="1/2L",0.5,0)),0)</f>
        <v>0</v>
      </c>
      <c r="DD29" s="146">
        <f>IF(DD$3=$K29,IF($C29="W",1,IF($C29="1/2W",0.5,0)),0)</f>
        <v>0</v>
      </c>
      <c r="DE29" s="147">
        <f>IF(DD$3=$K29,IF($C29="L",1,IF($C29="1/2L",0.5,0)),0)</f>
        <v>0</v>
      </c>
      <c r="DF29" s="143">
        <f>IF(AND(L29&lt;DF$3,$C29="W"),1+DF28,DF28)</f>
        <v>1</v>
      </c>
      <c r="DG29" s="133">
        <f>IF(DF29&gt;DF28,L29+DG28,DG28)</f>
        <v>1.44</v>
      </c>
      <c r="DH29" s="146">
        <f>IF(AND(L29&gt;DH$3,$C29="W"),1+DH28,0+DH28)</f>
        <v>0</v>
      </c>
      <c r="DI29" s="133">
        <f>IF(DH29&gt;DH28,L29+DI28,DI28)</f>
        <v>0</v>
      </c>
      <c r="DJ29" s="146">
        <f>IF($D28="","",$D28)</f>
        <v>16</v>
      </c>
      <c r="DK29" s="286"/>
    </row>
    <row r="30" ht="14.55" customHeight="1">
      <c r="A30" s="149"/>
      <c r="B30" s="150"/>
      <c r="C30" t="s" s="151">
        <v>58</v>
      </c>
      <c r="D30" s="152"/>
      <c r="E30" s="153"/>
      <c r="F30" s="155"/>
      <c r="G30" s="252"/>
      <c r="H30" s="156"/>
      <c r="I30" s="287"/>
      <c r="J30" s="288"/>
      <c r="K30" s="156"/>
      <c r="L30" s="289"/>
      <c r="M30" s="290"/>
      <c r="N30" s="161"/>
      <c r="O30" t="s" s="162">
        <f>IF(OR(AE28="",AE29=""),"",IF(L30&gt;0,ROUND(IF(M30&gt;0,M30,IF(M28&gt;0,ROUND((M28*AE30)/AE28,IF(N28=0,2,IF(N28=0.1,1,0))),IF(M29&gt;0,ROUND((M29*AE30)/AE29,IF(N28=0,2,IF(N28=0.1,1,0))),IF(M30&gt;0,M30,0)))),2),""))</f>
      </c>
      <c r="P30" t="s" s="163">
        <f>IF(I29="Lay",O29*(L29/(L29-1))-O29,IF(I28="Lay",O28*(L28/(L28-1))-O28,IF(OR(L30="",O30=""),"",IF($C30="1/2W",O30/2+O30/2*L30,IF($C30="1/2L",O30/2,(O30*L30-O30)*(1-_xlfn.XLOOKUP(K30,'Janeiro 2023 - Valor Real'!A3:A15,'Janeiro 2023 - Valor Real'!C3:C15,0))+O30)))))</f>
      </c>
      <c r="Q30" t="s" s="154"/>
      <c r="R30" t="s" s="163"/>
      <c r="S30" s="166"/>
      <c r="T30" s="155"/>
      <c r="U30" s="155"/>
      <c r="V30" s="166"/>
      <c r="W30" s="155"/>
      <c r="X30" s="167"/>
      <c r="Y30" s="128"/>
      <c r="Z30" s="129"/>
      <c r="AA30" s="129"/>
      <c r="AB30" s="129"/>
      <c r="AC30" s="129"/>
      <c r="AD30" s="168"/>
      <c r="AE30" t="s" s="169">
        <f>IF(L30="","",(SUM(((L28-1)*(1-_xlfn.XLOOKUP(K28,'Janeiro 2023 - Valor Real'!A3:A15,'Janeiro 2023 - Valor Real'!C3:C15,0))+1),((L29-1)*(1-_xlfn.XLOOKUP(K29,'Janeiro 2023 - Valor Real'!A3:A15,'Janeiro 2023 - Valor Real'!C3:C15,0))+1),((L30-1)*(1-_xlfn.XLOOKUP(K30,'Janeiro 2023 - Valor Real'!A3:A15,'Janeiro 2023 - Valor Real'!C3:C15,0))+1))/((L30-1)*(1-_xlfn.XLOOKUP(K30,'Janeiro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Real'!C3:C15,0))+1))/((L28-1)*(1-_xlfn.XLOOKUP(K28,'Janeiro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Real'!C3:C15,0))+1))/((L29-1)*(1-_xlfn.XLOOKUP(K29,'Janeiro 2023 - Valor Real'!A3:A15,'Janeiro 2023 - Valor Real'!C3:C15,0))+1)+SUM(((L28-1)*(1-_xlfn.XLOOKUP(K28,'Janeiro 2023 - Valor Real'!A3:A15,'Janeiro 2023 - Valor Real'!C3:C15,0))+1),((L29-1)*(1-_xlfn.XLOOKUP(K29,'Janeiro 2023 - Valor Real'!A3:A15,'Janeiro 2023 - Valor Real'!C3:C15,0))+1),((L30-1)*(1-_xlfn.XLOOKUP(K30,'Janeiro 2023 - Valor Real'!A3:A15,'Janeiro 2023 - Valor Real'!C3:C15,0))+1))/((L30-1)*(1-_xlfn.XLOOKUP(K30,'Janeiro 2023 - Valor Real'!A3:A15,'Janeiro 2023 - Valor Real'!C3:C15,0))+1)))</f>
      </c>
      <c r="AF30" s="132">
        <f>IF($K30=AF$3,ROUND(IF(OR($C30="W",$C30="1/2W",$C30="1/2L"),$P30-$O30,IF($C30="X",0,-$O30)),2),0)</f>
        <v>0</v>
      </c>
      <c r="AG30" s="133">
        <f>IF($K30=AG$3,ROUND(IF(OR($C30="W",$C30="1/2W",$C30="1/2L"),$P30-$O30,IF($C30="X",0,-$O30)),2),0)</f>
        <v>0</v>
      </c>
      <c r="AH30" s="133">
        <f>IF($K30=AH$3,ROUND(IF(OR($C30="W",$C30="1/2W",$C30="1/2L"),$P30-$O30,IF($C30="X",0,-$O30)),2),0)</f>
        <v>0</v>
      </c>
      <c r="AI30" s="133">
        <f>IF($K30=AI$3,ROUND(IF(OR($C30="W",$C30="1/2W",$C30="1/2L"),$P30-$O30,IF($C30="X",0,-$O30)),2),0)</f>
        <v>0</v>
      </c>
      <c r="AJ30" s="133">
        <f>IF($K30=AJ$3,ROUND(IF(OR($C30="W",$C30="1/2W",$C30="1/2L"),$P30-$O30,IF($C30="X",0,-$O30)),2),0)</f>
        <v>0</v>
      </c>
      <c r="AK30" s="133">
        <f>IF($K30=AK$3,ROUND(IF(OR($C30="W",$C30="1/2W",$C30="1/2L"),$P30-$O30,IF($C30="X",0,-$O30)),2),0)</f>
        <v>0</v>
      </c>
      <c r="AL30" s="133">
        <f>IF($K30=AL$3,ROUND(IF(OR($C30="W",$C30="1/2W",$C30="1/2L"),$P30-$O30,IF($C30="X",0,-$O30)),2),0)</f>
        <v>0</v>
      </c>
      <c r="AM30" s="133">
        <f>IF($K30=AM$3,ROUND(IF(OR($C30="W",$C30="1/2W",$C30="1/2L"),$P30-$O30,IF($C30="X",0,-$O30)),2),0)</f>
        <v>0</v>
      </c>
      <c r="AN30" s="133">
        <f>IF($K30=AN$3,ROUND(IF(OR($C30="W",$C30="1/2W",$C30="1/2L"),$P30-$O30,IF($C30="X",0,-$O30)),2),0)</f>
        <v>0</v>
      </c>
      <c r="AO30" s="133">
        <f>IF($K30=AO$3,ROUND(IF(OR($C30="W",$C30="1/2W",$C30="1/2L"),$P30-$O30,IF($C30="X",0,-$O30)),2),0)</f>
        <v>0</v>
      </c>
      <c r="AP30" s="133">
        <f>IF($K30=AP$3,ROUND(IF(OR($C30="W",$C30="1/2W",$C30="1/2L"),$P30-$O30,IF($C30="X",0,-$O30)),2),0)</f>
        <v>0</v>
      </c>
      <c r="AQ30" s="133">
        <f>IF($K30=AQ$3,ROUND(IF(OR($C30="W",$C30="1/2W",$C30="1/2L"),$P30-$O30,IF($C30="X",0,-$O30)),2),0)</f>
        <v>0</v>
      </c>
      <c r="AR30" s="134">
        <f>IF($K30=AR$3,ROUND(IF(OR($C30="W",$C30="1/2W",$C30="1/2L"),$P30-$O30,IF($C30="X",0,-$O30)),2),0)</f>
        <v>0</v>
      </c>
      <c r="AS30" s="132">
        <f>IF(AND($B28=" ",$K30=AS$3),$O30,0)</f>
        <v>0</v>
      </c>
      <c r="AT30" s="133">
        <f>IF(AND($B28=" ",K30=AT$3),$O30,0)</f>
        <v>0</v>
      </c>
      <c r="AU30" s="133">
        <f>IF(AND($B28=" ",$K30=AU$3),$O30,0)</f>
        <v>0</v>
      </c>
      <c r="AV30" s="133">
        <f>IF(AND($B28=" ",$K30=AV$3),$O30,0)</f>
        <v>0</v>
      </c>
      <c r="AW30" s="133">
        <f>IF(AND($B28=" ",$K30=AW$3),$O30,0)</f>
        <v>0</v>
      </c>
      <c r="AX30" s="133">
        <f>IF(AND($B28=" ",$K30=AX$3),$O30,0)</f>
        <v>0</v>
      </c>
      <c r="AY30" s="135">
        <f>IF(AND($B28=" ",$K30=AY$3),$O30,0)</f>
        <v>0</v>
      </c>
      <c r="AZ30" s="136">
        <f>IF(AND($B28=" ",$K30=AZ$3),$O30,0)</f>
        <v>0</v>
      </c>
      <c r="BA30" s="136">
        <f>IF(AND($B28=" ",$K30=BA$3),$O30,0)</f>
        <v>0</v>
      </c>
      <c r="BB30" s="136">
        <f>IF(AND($B28=" ",$K30=BB$3),$O30,0)</f>
        <v>0</v>
      </c>
      <c r="BC30" s="137">
        <f>IF(AND($B28=" ",$K30=BC$3),$O30,0)</f>
        <v>0</v>
      </c>
      <c r="BD30" s="133">
        <f>IF(AND($B28=" ",$K30=BD$3),$O30,0)</f>
        <v>0</v>
      </c>
      <c r="BE30" s="134">
        <f>IF(AND($B28=" ",$K30=BE$3),$O30,0)</f>
        <v>0</v>
      </c>
      <c r="BF30" s="132">
        <f>IF($K30=BF$3,IF($C30="X",0,$O30),0)</f>
        <v>0</v>
      </c>
      <c r="BG30" s="281">
        <f>IF($K30=BG$3,IF($C30="X",0,$O30),0)</f>
        <v>0</v>
      </c>
      <c r="BH30" s="133">
        <f>IF($K30=BH$3,IF($C30="X",0,$O30),0)</f>
        <v>0</v>
      </c>
      <c r="BI30" s="133">
        <f>IF($K30=BI$3,IF($C30="X",0,$O30),0)</f>
        <v>0</v>
      </c>
      <c r="BJ30" s="133">
        <f>IF($K30=BJ$3,IF($C30="X",0,$O30),0)</f>
        <v>0</v>
      </c>
      <c r="BK30" s="133">
        <f>IF($K30=BK$3,IF($C30="X",0,$O30),0)</f>
        <v>0</v>
      </c>
      <c r="BL30" s="133">
        <f>IF($K30=BL$3,IF($C30="X",0,$O30),0)</f>
        <v>0</v>
      </c>
      <c r="BM30" s="135">
        <f>IF($K30=BM$3,IF($C30="X",0,$O30),0)</f>
        <v>0</v>
      </c>
      <c r="BN30" s="136">
        <f>IF($K30=BN$3,IF($C30="X",0,$O30),0)</f>
        <v>0</v>
      </c>
      <c r="BO30" s="136">
        <f>IF($K30=BO$3,IF($C30="X",0,$O30),0)</f>
        <v>0</v>
      </c>
      <c r="BP30" s="136">
        <f>IF($K30=BP$3,IF($C30="X",0,$O30),0)</f>
        <v>0</v>
      </c>
      <c r="BQ30" s="137">
        <f>IF($K30=BQ$3,IF($C30="X",0,$O30),0)</f>
        <v>0</v>
      </c>
      <c r="BR30" s="134">
        <f>IF($K30=BR$3,IF($C30="X",0,$O30),0)</f>
        <v>0</v>
      </c>
      <c r="BS30" s="282"/>
      <c r="BT30" s="283"/>
      <c r="BU30" s="140"/>
      <c r="BV30" s="283"/>
      <c r="BW30" s="140"/>
      <c r="BX30" s="140"/>
      <c r="BY30" s="140"/>
      <c r="BZ30" s="283"/>
      <c r="CA30" s="140"/>
      <c r="CB30" s="140"/>
      <c r="CC30" s="140"/>
      <c r="CD30" s="141"/>
      <c r="CE30" s="142"/>
      <c r="CF30" s="284">
        <f>IF(CF$3=$K30,IF($C30="W",1,IF($C30="1/2W",0.5,0)),0)</f>
        <v>0</v>
      </c>
      <c r="CG30" s="285">
        <f>IF(CF$3=$K30,IF($C30="L",1,IF($C30="1/2L",0.5,0)),0)</f>
        <v>0</v>
      </c>
      <c r="CH30" s="285">
        <f>IF(CH$3=$K30,IF($C30="W",1,IF($C30="1/2W",0.5,0)),0)</f>
        <v>0</v>
      </c>
      <c r="CI30" s="285">
        <f>IF(CH$3=$K30,IF($C30="L",1,IF($C30="1/2L",0.5,0)),0)</f>
        <v>0</v>
      </c>
      <c r="CJ30" s="285">
        <f>IF(CJ$3=$K30,IF($C30="W",1,IF($C30="1/2W",0.5,0)),0)</f>
        <v>0</v>
      </c>
      <c r="CK30" s="285">
        <f>IF(CJ$3=$K30,IF($C30="L",1,IF($C30="1/2L",0.5,0)),0)</f>
        <v>0</v>
      </c>
      <c r="CL30" s="285">
        <f>IF(CL$3=$K30,IF($C30="W",1,IF($C30="1/2W",0.5,0)),0)</f>
        <v>0</v>
      </c>
      <c r="CM30" s="285">
        <f>IF(CL$3=$K30,IF($C30="L",1,IF($C30="1/2L",0.5,0)),0)</f>
        <v>0</v>
      </c>
      <c r="CN30" s="285">
        <f>IF(CN$3=$K30,IF($C30="W",1,IF($C30="1/2W",0.5,0)),0)</f>
        <v>0</v>
      </c>
      <c r="CO30" s="285">
        <f>IF(CN$3=$K30,IF($C30="L",1,IF($C30="1/2L",0.5,0)),0)</f>
        <v>0</v>
      </c>
      <c r="CP30" s="285">
        <f>IF(CP$3=$K30,IF($C30="W",1,IF($C30="1/2W",0.5,0)),0)</f>
        <v>0</v>
      </c>
      <c r="CQ30" s="285">
        <f>IF(CP$3=$K30,IF($C30="L",1,IF($C30="1/2L",0.5,0)),0)</f>
        <v>0</v>
      </c>
      <c r="CR30" s="285">
        <f>IF(CR$3=$K30,IF($C30="W",1,IF($C30="1/2W",0.5,0)),0)</f>
        <v>0</v>
      </c>
      <c r="CS30" s="285">
        <f>IF(CR$3=$K30,IF($C30="L",1,IF($C30="1/2L",0.5,0)),0)</f>
        <v>0</v>
      </c>
      <c r="CT30" s="145">
        <f>IF(CT$3=$K30,IF($C30="W",1,IF($C30="1/2W",0.5,0)),0)</f>
        <v>0</v>
      </c>
      <c r="CU30" s="146">
        <f>IF(CT$3=$K30,IF($C30="L",1,IF($C30="1/2L",0.5,0)),0)</f>
        <v>0</v>
      </c>
      <c r="CV30" s="146">
        <f>IF(CV$3=$K30,IF($C30="W",1,IF($C30="1/2W",0.5,0)),0)</f>
        <v>0</v>
      </c>
      <c r="CW30" s="146">
        <f>IF(CV$3=$K30,IF($C30="L",1,IF($C30="1/2L",0.5,0)),0)</f>
        <v>0</v>
      </c>
      <c r="CX30" s="146">
        <f>IF(CX$3=$K30,IF($C30="W",1,IF($C30="1/2W",0.5,0)),0)</f>
        <v>0</v>
      </c>
      <c r="CY30" s="146">
        <f>IF(CX$3=$K30,IF($C30="L",1,IF($C30="1/2L",0.5,0)),0)</f>
        <v>0</v>
      </c>
      <c r="CZ30" s="146">
        <f>IF(CZ$3=$K30,IF($C30="W",1,IF($C30="1/2W",0.5,0)),0)</f>
        <v>0</v>
      </c>
      <c r="DA30" s="146">
        <f>IF(CZ$3=$K30,IF($C30="L",1,IF($C30="1/2L",0.5,0)),0)</f>
        <v>0</v>
      </c>
      <c r="DB30" s="146">
        <f>IF(DB$3=$K30,IF($C30="W",1,IF($C30="1/2W",0.5,0)),0)</f>
        <v>0</v>
      </c>
      <c r="DC30" s="146">
        <f>IF(DB$3=$K30,IF($C30="L",1,IF($C30="1/2L",0.5,0)),0)</f>
        <v>0</v>
      </c>
      <c r="DD30" s="146">
        <f>IF(DD$3=$K30,IF($C30="W",1,IF($C30="1/2W",0.5,0)),0)</f>
        <v>0</v>
      </c>
      <c r="DE30" s="147">
        <f>IF(DD$3=$K30,IF($C30="L",1,IF($C30="1/2L",0.5,0)),0)</f>
        <v>0</v>
      </c>
      <c r="DF30" s="143">
        <f>IF(AND(L30&lt;DF$3,$C30="W"),1+DF29,DF29)</f>
        <v>1</v>
      </c>
      <c r="DG30" s="133">
        <f>IF(DF30&gt;DF29,L30+DG29,DG29)</f>
        <v>1.44</v>
      </c>
      <c r="DH30" s="146">
        <f>IF(AND(L30&gt;DH$3,$C30="W"),1+DH29,0+DH29)</f>
        <v>0</v>
      </c>
      <c r="DI30" s="133">
        <f>IF(DH30&gt;DH29,L30+DI29,DI29)</f>
        <v>0</v>
      </c>
      <c r="DJ30" s="146">
        <f>IF($D28="","",$D28)</f>
        <v>16</v>
      </c>
      <c r="DK30" s="286"/>
    </row>
    <row r="31" ht="14.55" customHeight="1">
      <c r="A31" s="171">
        <f>$A28+1</f>
        <v>10</v>
      </c>
      <c r="B31" t="s" s="172">
        <v>50</v>
      </c>
      <c r="C31" t="s" s="173">
        <v>51</v>
      </c>
      <c r="D31" s="174">
        <f>IF(G31="","",$D28)</f>
        <v>16</v>
      </c>
      <c r="E31" t="s" s="175">
        <v>59</v>
      </c>
      <c r="F31" t="s" s="176">
        <f>IF(G31="","",IF(OR(AND($C31&lt;&gt;" ",$C32=" "),AND($C32&lt;&gt;" ",$C31=" "),AND(L33&gt;0,OR(AND($C33&lt;&gt;" ",OR($C31=" ",$C32=" ")),AND($C33=" ",OR($C31&lt;&gt;" ",$C32&lt;&gt;" "))))),IF(SUM(F$4:F30)=0,1,LARGE(F$4:F30,1)+1),IF(MONTH(G31)=MONTH(TODAY()),IF(AND(DAY(G31)&lt;DAY(TODAY()),$B31=" "),IF(SUM(F$4:F30)=0,1,LARGE(F$4:F30,1)+1),IF($B31=" ",IF(AND(DAY(G31)=DAY(TODAY()),HOUR(G31)&lt;=HOUR(NOW())+1),IF(AND(HOUR(G31)+2&lt;=HOUR(NOW()),DAY(G31)&lt;=DAY(TODAY()),MINUTE(G31)&lt;=MINUTE(NOW())),IF(SUM(F$4:F30)=0,1,LARGE(F$4:F30,1)+1),IF(OR(MINUTE(G31)&lt;=MINUTE(NOW()),HOUR(G31)&lt;=HOUR(NOW())),"!!!","")),""),"")),"")))</f>
      </c>
      <c r="G31" s="177">
        <v>44944.375</v>
      </c>
      <c r="H31" t="s" s="178">
        <v>82</v>
      </c>
      <c r="I31" s="298">
        <v>1</v>
      </c>
      <c r="J31" s="180"/>
      <c r="K31" t="s" s="181">
        <v>37</v>
      </c>
      <c r="L31" s="182">
        <v>21</v>
      </c>
      <c r="M31" s="183">
        <v>1.75</v>
      </c>
      <c r="N31" s="184">
        <v>0</v>
      </c>
      <c r="O31" s="185">
        <f>IF(OR(AE31="",AE32=""),"",ROUND(IF(L33&gt;0,IF(M31&gt;0,M31,IF(M32&gt;0,ROUND((M32*AE31)/AE32,IF(N31=0,2,IF(N31=0.1,1,0))),ROUND((M33*AE31)/AE33,IF(N31=0,2,IF(N31=0.1,1,0))))),IF(M31&gt;0,M31,ROUND((M32*AE31)/AE32,IF(N31=0,2,IF(N31=0.1,1,0))))),2))</f>
        <v>1.75</v>
      </c>
      <c r="P31" s="186">
        <f>IF(OR(L31="",O31=""),"",IF($C31="1/2W",O31/2+O31/2*L31,IF($C31="1/2L",O31/2,IF(I31="Lay",(O31*(L31/(L31-1))-O31)*(1-_xlfn.XLOOKUP(K31,'Janeiro 2023 - Valor Real'!A3:A15,'Janeiro 2023 - Valor Real'!C3:C15,0))+O31,(O31*L31-O31)*(1-_xlfn.XLOOKUP(K31,'Janeiro 2023 - Valor Real'!A3:A15,'Janeiro 2023 - Valor Real'!C3:C15,0))+O31))))</f>
        <v>36.75</v>
      </c>
      <c r="Q31" s="187">
        <v>1</v>
      </c>
      <c r="R31" s="188">
        <v>0</v>
      </c>
      <c r="S31" s="189">
        <f>IF($B31="Anulado",0,ROUND(IF(OR($B31="LOSS",$B31="OK"),IF(OR($C31="W",$C31="1/2W",$C31="1/2L"),P31-O31,IF($C31="L",-O31,0))+IF(OR($C32="W",$C32="1/2W",$C32="1/2L"),P32-O32,IF($C32="L",-O32,0))+IF(OR($C33="W",$C33="1/2W",$C33="1/2L"),P33-O33,IF($C33="L",-O33,0)),IF(AND(OR($C31="W",$C31="1/2W",$C31="1/2L"),C32="W"),P31+P32-SUM(O31:O33)+_xlfn.XLOOKUP("X",C31:C33,O31:O33,0),IF(AND(C31=TRUE,C33="W"),P31+P33-SUM(O31:O33),IF(AND(C32="W",C33="W"),P32+P33-SUM(O31:O33)+_xlfn.XLOOKUP("X",C31:C33,O31:O33,0),IF(L33&gt;0,IF(OR($C31="W",$C31="1/2W",$C31="1/2L"),P31-SUM(O31:O33)+_xlfn.XLOOKUP("X",C31:C33,O31:O33,0),IF(OR($C31="W",$C31="1/2W",$C31="1/2L"),P32-SUM(O31:O33)+_xlfn.XLOOKUP("X",C31:C33,O31:O33,0),IF(OR($C31="W",$C31="1/2W",$C31="1/2L"),P33-SUM(O31:O33)+_xlfn.XLOOKUP("X",C31:C33,O31:O33,0),IF(SUM(P31:P33)/3-SUM(O31:O33)+_xlfn.XLOOKUP("X",C31:C33,O31:O33,0)&gt;0,SUM(P31:P33)/3-SUM(O31:O33)+_xlfn.XLOOKUP("X",C31:C33,O31:O33,0),LARGE(P31:P33,1)-SUM(O31:O33))))),IF(OR($C31="W",$C31="1/2W",$C31="1/2L"),P31-SUM(O31:O32)+_xlfn.XLOOKUP("X",C31:C33,O31:O33,0),IF(OR($C31="W",$C31="1/2W",$C31="1/2L"),P32-SUM(O31:O32)+_xlfn.XLOOKUP("X",C31:C33,O31:O33,0),SUM(P31:P32)/2-SUM(O31:O32)+_xlfn.XLOOKUP("X",C31:C33,O31:O33,0)))))))),2))</f>
        <v>1.99</v>
      </c>
      <c r="T31" s="190">
        <f>IF(S31=0,0,S31/SUM(O31:O33))</f>
        <v>0.0556643356643357</v>
      </c>
      <c r="U31" s="191">
        <f>IF($D31=$D28,IF(OR($B31="LOSS",$B31="OK",$B31="Anulada"),S31,0)+U28,IF(OR($B31="LOSS",$B31="OK",$B31="Anulada"),S31,0))</f>
        <v>15.37</v>
      </c>
      <c r="V31" s="191">
        <f>IF($D31="",0,IF($D31=$D28,IF($B31=" ",IF(I33="",IF(OR(AND(I31="DNB1",I32="DNB2"),AND(OR(I31="DNB1",I31="DNB2"),J32=0),AND(OR(I32="DNB1",I32="DNB2"),J31=0),AND(I31="DNB2",I32="DNB1"),AND(IF(J31=0,(J31+1)/ROUND(J31+1,0),J31/ROUND(J31,0))=1,IF(J32=0,(J32+1)/ROUND(IF(J32="",0,J32)+1,0),IF(J32="",0,J32)/ROUND(IF(J32="",1,J32),0))=1,OR(J31&lt;&gt;""),J32&lt;&gt;"")),0,IF(S31&lt;0,IF(I33="",SMALL(P31:P32,1)-SUM(O31:O32),0),SMALL(P31:P32,1)-SUM(O31:O32))),IF(S31&lt;0,IF(I33="",SMALL(P31:P33,1)-SUM(O31:O33),0),LARGE(P31:P33,1)-SUM(O31:O33))),S31)+V28,IF(I33="",IF(OR(AND(I31="DNB1",I32="DNB2"),AND(OR(I31="DNB1",I31="DNB2"),J32=0),AND(OR(I32="DNB1",I32="DNB2"),J31=0),AND(I31="DNB2",I32="DNB1"),AND(IF(J31=0,(J31+1)/ROUND(J31+1,0),J31/ROUND(J31,0))=1,IF(J32=0,(IF(J32="",0,J32)+1)/ROUND(IF(J32="",0,J32)+1,0),IF(J32="",0,J32)/ROUND(IF(J32="",0,J32)+1,0))=1,OR(J31&lt;&gt;""),J32&lt;&gt;"")),0,IF(S31&lt;0,IF(I33="",SMALL(P31:P32,1)-SUM(O31:O32),0),SMALL(P31:P33,1)-SUM(O31:O33))),IF(S31&lt;0,IF(I33="",SMALL(P31:P33,1)-SUM(O31:O33),0),LARGE(P31:P33,1)-SUM(O31:O33)))))</f>
        <v>15.37</v>
      </c>
      <c r="W31" s="191">
        <f>IF($D31=$D28,IF(S31&lt;0,IF(I33="",S31,0),S31)+W28,S31)</f>
        <v>15.37</v>
      </c>
      <c r="X31" t="s" s="192">
        <f>IF(OR(SUM(R31:R33)=0,V31=W31),ROUND(IF(W31=0,0,W31/Y31)*100,2)&amp;"%",ROUND(IF(V31=0,0,V31/Y31)*100,2)&amp;"% a "&amp;ROUND(IF(W31=0,0,W31/Y31)*100,2)&amp;"%")</f>
        <v>83</v>
      </c>
      <c r="Y31" s="193">
        <f>IF($D31=$D28,Y28+SUM(O31:O33),SUM(O31:O33))</f>
        <v>254.14</v>
      </c>
      <c r="Z31" s="191">
        <f>IF($B31=" ",SUM(O31:O33),0)+Z28</f>
        <v>0</v>
      </c>
      <c r="AA31" s="191">
        <f>IF(G31="","",IF($B31="Anulado",LARGE(P31:P33,1)-SUM(O31:O33)+AA28,AA28))</f>
        <v>0</v>
      </c>
      <c r="AB31" s="191">
        <f>IF($D31="","",AB28+S31)</f>
        <v>15.37</v>
      </c>
      <c r="AC31" s="194">
        <f>IF($D31="","",IF($B31=" ",IF(DAY(G31)=DAY(TODAY()),1+AC28,0+AC28),0+AC28))</f>
        <v>0</v>
      </c>
      <c r="AD31" s="195">
        <f>(((L32/(L32-1)-1)*(1-_xlfn.XLOOKUP(K32,'Janeiro 2023 - Valor Real'!A3:A15,'Janeiro 2023 - Valor Real'!C3:C15,0))+1))/(((L31-1)*(1-_xlfn.XLOOKUP(K31,'Janeiro 2023 - Valor Real'!A3:A15,'Janeiro 2023 - Valor Real'!C3:C15,0))+1)+((L32/(L32-1)-1)*(1-_xlfn.XLOOKUP(K32,'Janeiro 2023 - Valor Real'!A3:A15,'Janeiro 2023 - Valor Real'!C3:C15,0))+1))</f>
        <v>0.324561403508772</v>
      </c>
      <c r="AE31" s="196">
        <f>IF(L31="","",IF(L33&gt;0,(SUM(((L31-1)*(1-_xlfn.XLOOKUP(K31,'Janeiro 2023 - Valor Real'!A3:A15,'Janeiro 2023 - Valor Real'!C3:C15,0))+1),((L32-1)*(1-_xlfn.XLOOKUP(K32,'Janeiro 2023 - Valor Real'!A3:A15,'Janeiro 2023 - Valor Real'!C3:C15,0))+1),((L33-1)*(1-_xlfn.XLOOKUP(K33,'Janeiro 2023 - Valor Real'!A3:A15,'Janeiro 2023 - Valor Real'!C3:C15,0))+1))/((L31-1)*(1-_xlfn.XLOOKUP(K31,'Janeiro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Real'!C3:C15,0))+1))/((L31-1)*(1-_xlfn.XLOOKUP(K31,'Janeiro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Real'!C3:C15,0))+1))/((L32-1)*(1-_xlfn.XLOOKUP(K32,'Janeiro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Real'!C3:C15,0))+1))/((L33-1)*(1-_xlfn.XLOOKUP(K33,'Janeiro 2023 - Valor Real'!A3:A15,'Janeiro 2023 - Valor Real'!C3:C15,0))+1)),IF(I31="Lay",IF(I32="Lay",((L32/(L32-1)-1)*(1-_xlfn.XLOOKUP(K32,'Janeiro 2023 - Valor Real'!A3:A15,'Janeiro 2023 - Valor Real'!C3:C15,0))+1)/(((L32/(L32-1)-1)*(1-_xlfn.XLOOKUP(K32,'Janeiro 2023 - Valor Real'!A3:A15,'Janeiro 2023 - Valor Real'!C3:C15,0))+1)+((L31/(L31-1)-1)*(1-_xlfn.XLOOKUP(K31,'Janeiro 2023 - Valor Real'!A3:A15,'Janeiro 2023 - Valor Real'!C3:C15,0))+1)),((L32-1)*(1-_xlfn.XLOOKUP(K32,'Janeiro 2023 - Valor Real'!A3:A15,'Janeiro 2023 - Valor Real'!C3:C15,0))+1)/(((L32-1)*(1-_xlfn.XLOOKUP(K32,'Janeiro 2023 - Valor Real'!A3:A15,'Janeiro 2023 - Valor Real'!C3:C15,0))+1)+((L31/(L31-1)-1)*(1-_xlfn.XLOOKUP(K31,'Janeiro 2023 - Valor Real'!A3:A15,'Janeiro 2023 - Valor Real'!C3:C15,0))+1))),IF(I32="Lay",(((L32/(L32-1)-1)*(1-_xlfn.XLOOKUP(K32,'Janeiro 2023 - Valor Real'!A3:A15,'Janeiro 2023 - Valor Real'!C3:C15,0))+1))/(((L31-1)*(1-_xlfn.XLOOKUP(K31,'Janeiro 2023 - Valor Real'!A3:A15,'Janeiro 2023 - Valor Real'!C3:C15,0))+1)+((L32/(L32-1)-1)*(1-_xlfn.XLOOKUP(K32,'Janeiro 2023 - Valor Real'!A3:A15,'Janeiro 2023 - Valor Real'!C3:C15,0))+1)),((L32-1)*(1-_xlfn.XLOOKUP(K32,'Janeiro 2023 - Valor Real'!A3:A15,'Janeiro 2023 - Valor Real'!C3:C15,0))+1)/(((L32-1)*(1-_xlfn.XLOOKUP(K32,'Janeiro 2023 - Valor Real'!A3:A15,'Janeiro 2023 - Valor Real'!C3:C15,0))+1)+((L31-1)*(1-_xlfn.XLOOKUP(K31,'Janeiro 2023 - Valor Real'!A3:A15,'Janeiro 2023 - Valor Real'!C3:C15,0))+1))))))</f>
        <v>0.0502035278154681</v>
      </c>
      <c r="AF31" s="197">
        <f>IF($K31=AF$3,ROUND(IF(OR($C31="W",$C31="1/2W",$C31="1/2L"),$P31-$O31,IF($C31="X",0,-$O31)),2),0)</f>
        <v>-1.75</v>
      </c>
      <c r="AG31" s="198">
        <f>IF($K31=AG$3,ROUND(IF(OR($C31="W",$C31="1/2W",$C31="1/2L"),$P31-$O31,IF($C31="X",0,-$O31)),2),0)</f>
        <v>0</v>
      </c>
      <c r="AH31" s="198">
        <f>IF($K31=AH$3,ROUND(IF(OR($C31="W",$C31="1/2W",$C31="1/2L"),$P31-$O31,IF($C31="X",0,-$O31)),2),0)</f>
        <v>0</v>
      </c>
      <c r="AI31" s="198">
        <f>IF($K31=AI$3,ROUND(IF(OR($C31="W",$C31="1/2W",$C31="1/2L"),$P31-$O31,IF($C31="X",0,-$O31)),2),0)</f>
        <v>0</v>
      </c>
      <c r="AJ31" s="198">
        <f>IF($K31=AJ$3,ROUND(IF(OR($C31="W",$C31="1/2W",$C31="1/2L"),$P31-$O31,IF($C31="X",0,-$O31)),2),0)</f>
        <v>0</v>
      </c>
      <c r="AK31" s="198">
        <f>IF($K31=AK$3,ROUND(IF(OR($C31="W",$C31="1/2W",$C31="1/2L"),$P31-$O31,IF($C31="X",0,-$O31)),2),0)</f>
        <v>0</v>
      </c>
      <c r="AL31" s="198">
        <f>IF($K31=AL$3,ROUND(IF(OR($C31="W",$C31="1/2W",$C31="1/2L"),$P31-$O31,IF($C31="X",0,-$O31)),2),0)</f>
        <v>0</v>
      </c>
      <c r="AM31" s="198">
        <f>IF($K31=AM$3,ROUND(IF(OR($C31="W",$C31="1/2W",$C31="1/2L"),$P31-$O31,IF($C31="X",0,-$O31)),2),0)</f>
        <v>0</v>
      </c>
      <c r="AN31" s="198">
        <f>IF($K31=AN$3,ROUND(IF(OR($C31="W",$C31="1/2W",$C31="1/2L"),$P31-$O31,IF($C31="X",0,-$O31)),2),0)</f>
        <v>0</v>
      </c>
      <c r="AO31" s="198">
        <f>IF($K31=AO$3,ROUND(IF(OR($C31="W",$C31="1/2W",$C31="1/2L"),$P31-$O31,IF($C31="X",0,-$O31)),2),0)</f>
        <v>0</v>
      </c>
      <c r="AP31" s="198">
        <f>IF($K31=AP$3,ROUND(IF(OR($C31="W",$C31="1/2W",$C31="1/2L"),$P31-$O31,IF($C31="X",0,-$O31)),2),0)</f>
        <v>0</v>
      </c>
      <c r="AQ31" s="198">
        <f>IF($K31=AQ$3,ROUND(IF(OR($C31="W",$C31="1/2W",$C31="1/2L"),$P31-$O31,IF($C31="X",0,-$O31)),2),0)</f>
        <v>0</v>
      </c>
      <c r="AR31" s="199">
        <f>IF($K31=AR$3,ROUND(IF(OR($C31="W",$C31="1/2W",$C31="1/2L"),$P31-$O31,IF($C31="X",0,-$O31)),2),0)</f>
        <v>0</v>
      </c>
      <c r="AS31" s="197">
        <f>IF(AND($B31=" ",$K31=AS$3),$O31,0)</f>
        <v>0</v>
      </c>
      <c r="AT31" s="198">
        <f>IF(AND($B31=" ",$K31=AT$3),$O31,0)</f>
        <v>0</v>
      </c>
      <c r="AU31" s="198">
        <f>IF(AND($B31=" ",$K31=AU$3),$O31,0)</f>
        <v>0</v>
      </c>
      <c r="AV31" s="198">
        <f>IF(AND($B31=" ",$K31=AV$3),$O31,0)</f>
        <v>0</v>
      </c>
      <c r="AW31" s="198">
        <f>IF(AND($B31=" ",$K31=AW$3),$O31,0)</f>
        <v>0</v>
      </c>
      <c r="AX31" s="198">
        <f>IF(AND($B31=" ",$K31=AX$3),$O31,0)</f>
        <v>0</v>
      </c>
      <c r="AY31" s="200">
        <f>IF(AND($B31=" ",$K31=AY$3),$O31,0)</f>
        <v>0</v>
      </c>
      <c r="AZ31" s="201">
        <f>IF(AND($B31=" ",$K31=AZ$3),$O31,0)</f>
        <v>0</v>
      </c>
      <c r="BA31" s="201">
        <f>IF(AND($B31=" ",$K31=BA$3),$O31,0)</f>
        <v>0</v>
      </c>
      <c r="BB31" s="201">
        <f>IF(AND($B31=" ",$K31=BB$3),$O31,0)</f>
        <v>0</v>
      </c>
      <c r="BC31" s="202">
        <f>IF(AND($B31=" ",$K31=BC$3),$O31,0)</f>
        <v>0</v>
      </c>
      <c r="BD31" s="198">
        <f>IF(AND($B31=" ",$K31=BD$3),$O31,0)</f>
        <v>0</v>
      </c>
      <c r="BE31" s="199">
        <f>IF(AND($B31=" ",$K31=BE$3),$O31,0)</f>
        <v>0</v>
      </c>
      <c r="BF31" s="203">
        <f>IF($K31=BF$3,IF($C31="X",0,$O31),0)</f>
        <v>1.75</v>
      </c>
      <c r="BG31" s="198">
        <f>IF($K31=BG$3,IF($C31="X",0,$O31),0)</f>
        <v>0</v>
      </c>
      <c r="BH31" s="198">
        <f>IF($K31=BH$3,IF($C31="X",0,$O31),0)</f>
        <v>0</v>
      </c>
      <c r="BI31" s="198">
        <f>IF($K31=BI$3,IF($C31="X",0,$O31),0)</f>
        <v>0</v>
      </c>
      <c r="BJ31" s="198">
        <f>IF($K31=BJ$3,IF($C31="X",0,$O31),0)</f>
        <v>0</v>
      </c>
      <c r="BK31" s="198">
        <f>IF($K31=BK$3,IF($C31="X",0,$O31),0)</f>
        <v>0</v>
      </c>
      <c r="BL31" s="198">
        <f>IF($K31=BL$3,IF($C31="X",0,$O31),0)</f>
        <v>0</v>
      </c>
      <c r="BM31" s="200">
        <f>IF($K31=BM$3,IF($C31="X",0,$O31),0)</f>
        <v>0</v>
      </c>
      <c r="BN31" s="201">
        <f>IF($K31=BN$3,IF($C31="X",0,$O31),0)</f>
        <v>0</v>
      </c>
      <c r="BO31" s="201">
        <f>IF($K31=BO$3,IF($C31="X",0,$O31),0)</f>
        <v>0</v>
      </c>
      <c r="BP31" s="201">
        <f>IF($K31=BP$3,IF($C31="X",0,$O31),0)</f>
        <v>0</v>
      </c>
      <c r="BQ31" s="202">
        <f>IF($K31=BQ$3,IF($C31="X",0,$O31),0)</f>
        <v>0</v>
      </c>
      <c r="BR31" s="199">
        <f>IF($K31=BR$3,IF($C31="X",0,$O31),0)</f>
        <v>0</v>
      </c>
      <c r="BS31" s="204">
        <f>IF($B31="LOSS",IF(AND($K31=BS$3,$C31="L"),-$O31,0)+IF(AND($K32=BS$3,$C32="L"),-$O32,0)+IF(AND($K33=BS$3,$C33="L"),-$O33,0),IF(OR(AND($K31=BS$3,OR($C31="W",$C31="1/2W")),AND($K32=BS$3,OR($C32="W",$C32="1/2W")),AND($K33=BS$3,OR($C33="W",$C33="1/2W"))),$S31,0))</f>
        <v>0</v>
      </c>
      <c r="BT31" s="201">
        <f>IF($B31="LOSS",IF(AND($K31=BT$3,$C31="L"),-$O31,0)+IF(AND($K32=BT$3,$C32="L"),-$O32,0)+IF(AND($K32=BT$3,$C33="L"),-$O33,0),IF(OR(AND($K32=BT$3,OR($C31="W",$C31="1/2W")),AND($K32=BT$3,OR($C32="W",$C32="1/2W")),AND($K32=BT$3,OR($C33="W",$C33="1/2W"))),$S31,0))</f>
        <v>0</v>
      </c>
      <c r="BU31" s="201">
        <f>IF($B31="LOSS",IF(AND($K31=BU$3,$C31="L"),-$O31,0)+IF(AND($K32=BU$3,$C32="L"),-$O32,0)+IF(AND($K32=BU$3,$C33="L"),-$O33,0),IF(OR(AND($K32=BU$3,OR($C31="W",$C31="1/2W")),AND($K32=BU$3,OR($C32="W",$C32="1/2W")),AND($K32=BU$3,OR($C33="W",$C33="1/2W"))),$S31,0))</f>
        <v>0</v>
      </c>
      <c r="BV31" s="201">
        <f>IF($B31="LOSS",IF(AND($K31=BV$3,$C31="L"),-$O31,0)+IF(AND($K32=BV$3,$C32="L"),-$O32,0)+IF(AND($K33=BV$3,$C33="L"),-$O33,0),IF(OR(AND($K31=BV$3,OR($C31="W",$C31="1/2W")),AND($K32=BV$3,OR($C32="W",$C32="1/2W")),AND($K33=BV$3,OR($C33="W",$C33="1/2W"))),$S31,0))</f>
        <v>0</v>
      </c>
      <c r="BW31" s="201">
        <f>IF($B31="LOSS",IF(AND($K31=BW$3,$C31="L"),-$O31,0)+IF(AND($K32=BW$3,$C32="L"),-$O32,0)+IF(AND($K33=BW$3,$C33="L"),-$O33,0),IF(OR(AND($K31=BW$3,OR($C31="W",$C31="1/2W")),AND($K32=BW$3,OR($C32="W",$C32="1/2W")),AND($K33=BW$3,OR($C33="W",$C33="1/2W"))),$S31,0))</f>
        <v>1.99</v>
      </c>
      <c r="BX31" s="201">
        <f>IF($B31="LOSS",IF(AND($K31=BX$3,$C31="L"),-$O31,0)+IF(AND($K32=BX$3,$C32="L"),-$O32,0)+IF(AND($K33=BX$3,$C33="L"),-$O33,0),IF(OR(AND($K31=BX$3,OR($C31="W",$C31="1/2W")),AND($K32=BX$3,OR($C32="W",$C32="1/2W")),AND($K33=BX$3,OR($C33="W",$C33="1/2W"))),$S31,0))</f>
        <v>0</v>
      </c>
      <c r="BY31" s="201">
        <f>IF($B31="LOSS",IF(AND($K31=BY$3,$C31="L"),-$O31,0)+IF(AND($K32=BY$3,$C32="L"),-$O32,0)+IF(AND($K33=BY$3,$C33="L"),-$O33,0),IF(OR(AND($K31=BY$3,OR($C31="W",$C31="1/2W")),AND($K32=BY$3,OR($C32="W",$C32="1/2W")),AND($K33=BY$3,OR($C33="W",$C33="1/2W"))),$S31,0))</f>
        <v>0</v>
      </c>
      <c r="BZ31" s="205">
        <f>IF($B31="LOSS",IF(AND($K31=BZ$3,$C31="L"),-$O31,0)+IF(AND($K32=BZ$3,$C32="L"),-$O32,0)+IF(AND($K33=BZ$3,$C33="L"),-$O33,0),IF(OR(AND($K31=BZ$3,OR($C31="W",$C31="1/2W")),AND($K32=BZ$3,OR($C32="W",$C32="1/2W")),AND($K33=BZ$3,OR($C33="W",$C33="1/2W"))),$S31,0))</f>
        <v>0</v>
      </c>
      <c r="CA31" s="205">
        <f>IF($B31="LOSS",IF(AND($K31=CA$3,$C31="L"),-$O31,0)+IF(AND($K32=CA$3,$C32="L"),-$O32,0)+IF(AND($K33=CA$3,$C33="L"),-$O33,0),IF(OR(AND($K31=CA$3,OR($C31="W",$C31="1/2W")),AND($K32=CA$3,OR($C32="W",$C32="1/2W")),AND($K33=CA$3,OR($C33="W",$C33="1/2W"))),$S31,0))</f>
        <v>0</v>
      </c>
      <c r="CB31" s="205">
        <f>IF($B31="LOSS",IF(AND($K31=CB$3,$C31="L"),-$O31,0)+IF(AND($K32=CB$3,$C32="L"),-$O32,0)+IF(AND($K33=CB$3,$C33="L"),-$O33,0),IF(OR(AND($K31=CB$3,OR($C31="W",$C31="1/2W")),AND($K32=CB$3,OR($C32="W",$C32="1/2W")),AND($K33=CB$3,OR($C33="W",$C33="1/2W"))),$S31,0))</f>
        <v>0</v>
      </c>
      <c r="CC31" s="205">
        <f>IF($B31="LOSS",IF(AND($K31=CC$3,$C31="L"),-$O31,0)+IF(AND($K32=CC$3,$C32="L"),-$O32,0)+IF(AND($K33=CC$3,$C33="L"),-$O33,0),IF(OR(AND($K31=CC$3,OR($C31="W",$C31="1/2W")),AND($K32=CC$3,OR($C32="W",$C32="1/2W")),AND($K33=CC$3,OR($C33="W",$C33="1/2W"))),$S31,0))</f>
        <v>0</v>
      </c>
      <c r="CD31" s="202">
        <f>IF($B31="LOSS",IF(AND($K31=CD$3,$C31="L"),-$O31,0)+IF(AND($K32=CD$3,$C32="L"),-$O32,0)+IF(AND($K33=CD$3,$C33="L"),-$O33,0),IF(OR(AND($K31=CD$3,OR($C31="W",$C31="1/2W")),AND($K32=CD$3,OR($C32="W",$C32="1/2W")),AND($K33=CD$3,OR($C33="W",$C33="1/2W"))),$S31,0))</f>
        <v>0</v>
      </c>
      <c r="CE31" s="199">
        <f>IF($B31="LOSS",IF(AND($K31=CE$3,$C31="L"),-$O31,0)+IF(AND($K32=CE$3,$C32="L"),-$O32,0)+IF(AND($K33=CE$3,$C33="L"),-$O33,0),IF(OR(AND($K31=CE$3,OR($C31="W",$C31="1/2W")),AND($K32=CE$3,OR($C32="W",$C32="1/2W")),AND($K33=CE$3,OR($C33="W",$C33="1/2W"))),$S31,0))</f>
        <v>0</v>
      </c>
      <c r="CF31" s="206">
        <f>IF(CF$3=$K31,IF($C31="W",1,IF($C31="1/2W",0.5,0)),0)</f>
        <v>0</v>
      </c>
      <c r="CG31" s="207">
        <f>IF(CF$3=$K31,IF($C31="L",1,IF($C31="1/2L",0.5,0)),0)</f>
        <v>1</v>
      </c>
      <c r="CH31" s="207">
        <f>IF(CH$3=$K31,IF($C31="W",1,IF($C31="1/2W",0.5,0)),0)</f>
        <v>0</v>
      </c>
      <c r="CI31" s="207">
        <f>IF(CH$3=$K31,IF($C31="L",1,IF($C31="1/2L",0.5,0)),0)</f>
        <v>0</v>
      </c>
      <c r="CJ31" s="207">
        <f>IF(CJ$3=$K31,IF($C31="W",1,IF($C31="1/2W",0.5,0)),0)</f>
        <v>0</v>
      </c>
      <c r="CK31" s="207">
        <f>IF(CJ$3=$K31,IF($C31="L",1,IF($C31="1/2L",0.5,0)),0)</f>
        <v>0</v>
      </c>
      <c r="CL31" s="207">
        <f>IF(CL$3=$K31,IF($C31="W",1,IF($C31="1/2W",0.5,0)),0)</f>
        <v>0</v>
      </c>
      <c r="CM31" s="207">
        <f>IF(CL$3=$K31,IF($C31="L",1,IF($C31="1/2L",0.5,0)),0)</f>
        <v>0</v>
      </c>
      <c r="CN31" s="207">
        <f>IF(CN$3=$K31,IF($C31="W",1,IF($C31="1/2W",0.5,0)),0)</f>
        <v>0</v>
      </c>
      <c r="CO31" s="207">
        <f>IF(CN$3=$K31,IF($C31="L",1,IF($C31="1/2L",0.5,0)),0)</f>
        <v>0</v>
      </c>
      <c r="CP31" s="207">
        <f>IF(CP$3=$K31,IF($C31="W",1,IF($C31="1/2W",0.5,0)),0)</f>
        <v>0</v>
      </c>
      <c r="CQ31" s="207">
        <f>IF(CP$3=$K31,IF($C31="L",1,IF($C31="1/2L",0.5,0)),0)</f>
        <v>0</v>
      </c>
      <c r="CR31" s="207">
        <f>IF(CR$3=$K31,IF($C31="W",1,IF($C31="1/2W",0.5,0)),0)</f>
        <v>0</v>
      </c>
      <c r="CS31" s="207">
        <f>IF(CR$3=$K31,IF($C31="L",1,IF($C31="1/2L",0.5,0)),0)</f>
        <v>0</v>
      </c>
      <c r="CT31" s="208">
        <f>IF(CT$3=$K31,IF($C31="W",1,IF($C31="1/2W",0.5,0)),0)</f>
        <v>0</v>
      </c>
      <c r="CU31" s="209">
        <f>IF(CT$3=$K31,IF($C31="L",1,IF($C31="1/2L",0.5,0)),0)</f>
        <v>0</v>
      </c>
      <c r="CV31" s="209">
        <f>IF(CV$3=$K31,IF($C31="W",1,IF($C31="1/2W",0.5,0)),0)</f>
        <v>0</v>
      </c>
      <c r="CW31" s="209">
        <f>IF(CV$3=$K31,IF($C31="L",1,IF($C31="1/2L",0.5,0)),0)</f>
        <v>0</v>
      </c>
      <c r="CX31" s="209">
        <f>IF(CX$3=$K31,IF($C31="W",1,IF($C31="1/2W",0.5,0)),0)</f>
        <v>0</v>
      </c>
      <c r="CY31" s="209">
        <f>IF(CX$3=$K31,IF($C31="L",1,IF($C31="1/2L",0.5,0)),0)</f>
        <v>0</v>
      </c>
      <c r="CZ31" s="209">
        <f>IF(CZ$3=$K31,IF($C31="W",1,IF($C31="1/2W",0.5,0)),0)</f>
        <v>0</v>
      </c>
      <c r="DA31" s="209">
        <f>IF(CZ$3=$K31,IF($C31="L",1,IF($C31="1/2L",0.5,0)),0)</f>
        <v>0</v>
      </c>
      <c r="DB31" s="209">
        <f>IF(DB$3=$K31,IF($C31="W",1,IF($C31="1/2W",0.5,0)),0)</f>
        <v>0</v>
      </c>
      <c r="DC31" s="209">
        <f>IF(DB$3=$K31,IF($C31="L",1,IF($C31="1/2L",0.5,0)),0)</f>
        <v>0</v>
      </c>
      <c r="DD31" s="209">
        <f>IF(DD$3=$K31,IF($C31="W",1,IF($C31="1/2W",0.5,0)),0)</f>
        <v>0</v>
      </c>
      <c r="DE31" s="210">
        <f>IF(DD$3=$K31,IF($C31="L",1,IF($C31="1/2L",0.5,0)),0)</f>
        <v>0</v>
      </c>
      <c r="DF31" s="211">
        <f>IF(AND(L31&lt;DF$3,$C31="W"),1+DF30,DF30)</f>
        <v>1</v>
      </c>
      <c r="DG31" s="198">
        <f>IF(DF31&gt;DF30,L31+DG30,DG30)</f>
        <v>1.44</v>
      </c>
      <c r="DH31" s="209">
        <f>IF(AND(L31&gt;DH$3,$C31="W"),1+DH30,0+DH30)</f>
        <v>0</v>
      </c>
      <c r="DI31" s="198">
        <f>IF(DH31&gt;DH30,L31+DI30,DI30)</f>
        <v>0</v>
      </c>
      <c r="DJ31" s="209">
        <f>IF($D31="","",$D31)</f>
        <v>16</v>
      </c>
      <c r="DK31" s="209">
        <f>IF(AND($B31=" ",$D31&lt;&gt;""),1,0)</f>
        <v>0</v>
      </c>
    </row>
    <row r="32" ht="14.55" customHeight="1">
      <c r="A32" s="107"/>
      <c r="B32" s="108"/>
      <c r="C32" t="s" s="213">
        <v>56</v>
      </c>
      <c r="D32" s="110"/>
      <c r="E32" s="111"/>
      <c r="F32" s="113"/>
      <c r="G32" s="214"/>
      <c r="H32" s="114"/>
      <c r="I32" s="299">
        <v>2</v>
      </c>
      <c r="J32" t="s" s="216">
        <f>IF(OR(I31="TO",I31="TU",I31="TO1",I31="TU1",I31="TO2",I31="TU2"),J31,IF(OR(I31="AH1",I31="AH2"),IF(OR(I32="AH1",I32="AH2"),-J31,IF(OR(I32="EH1",I32="EH2"),-J31+0.5,"")),IF(OR(I31="EH1",I31="EH2"),IF(OR(I32="AH1",I32="AH2"),-J31+0.5,IF(OR(I32="EH1",I32="EH2"),-J31+1,"")),IF(AND(OR(I31="DNB1",I31="DNB2"),OR(I32="AH1",I32="AH2")),0,IF(AND(I31="Not ScoreBoth",OR(I32="TO1",I32="TO2")),0.5,"")))))</f>
      </c>
      <c r="K32" t="s" s="217">
        <v>41</v>
      </c>
      <c r="L32" s="218">
        <v>1.11</v>
      </c>
      <c r="M32" s="219">
        <v>34</v>
      </c>
      <c r="N32" s="120"/>
      <c r="O32" s="220">
        <f>IF(OR(AE31="",AE32=""),"",ROUND(IF(L33&gt;0,IF(M32&gt;0,M32,IF(M31&gt;0,IF(N31=TRUE,ROUND((M31*AE32)/AE31,0),(M31*AE32)/AE31),IF(M32&gt;0,ROUND(M32,IF(N31=0,2,IF(N31=0.1,1,0))),IF(M33&gt;0,ROUND(O33*AE32/AE33,IF(N31=0,2,IF(N31=0.1,1,0))),0)))),IF(M32&gt;0,M32,ROUND((M31*AE32)/AE31,IF(N31=0,2,IF(N31=0.1,1,0))))),2))</f>
        <v>34</v>
      </c>
      <c r="P32" s="221">
        <f>IF(OR(L32="",O32=""),"",IF($C32="1/2W",O32/2+O32/2*L32,IF($C32="1/2L",O32/2,IF(I32="Lay",((O32*(L32/(L32-1)))-O32)*(1-_xlfn.XLOOKUP(K32,'Janeiro 2023 - Valor Real'!A3:A15,'Janeiro 2023 - Valor Real'!C3:C15,0))+O32,(O32*L32-O32)*(1-_xlfn.XLOOKUP(K32,'Janeiro 2023 - Valor Real'!A3:A15,'Janeiro 2023 - Valor Real'!C3:C15,0))+O32))))</f>
        <v>37.74</v>
      </c>
      <c r="Q32" s="222">
        <v>1</v>
      </c>
      <c r="R32" s="223">
        <v>0</v>
      </c>
      <c r="S32" s="125"/>
      <c r="T32" s="126"/>
      <c r="U32" s="126"/>
      <c r="V32" s="224"/>
      <c r="W32" s="126"/>
      <c r="X32" s="127"/>
      <c r="Y32" s="128"/>
      <c r="Z32" s="129"/>
      <c r="AA32" s="129"/>
      <c r="AB32" s="129"/>
      <c r="AC32" s="129"/>
      <c r="AD32" s="225">
        <f>(((L32/(L32-1)-1)*(1-_xlfn.XLOOKUP(K32,'Janeiro 2023 - Valor Real'!A3:A15,'Janeiro 2023 - Valor Real'!C3:C15,0))+1))</f>
        <v>10.0909090909091</v>
      </c>
      <c r="AE32" s="226">
        <f>IF(L32="","",IF(L33&gt;0,(SUM(((L31-1)*(1-_xlfn.XLOOKUP(K31,'Janeiro 2023 - Valor Real'!A3:A15,'Janeiro 2023 - Valor Real'!C3:C15,0))+1),((L32-1)*(1-_xlfn.XLOOKUP(K32,'Janeiro 2023 - Valor Real'!A3:A15,'Janeiro 2023 - Valor Real'!C3:C15,0))+1),((L33-1)*(1-_xlfn.XLOOKUP(K33,'Janeiro 2023 - Valor Real'!A3:A15,'Janeiro 2023 - Valor Real'!C3:C15,0))+1))/((L32-1)*(1-_xlfn.XLOOKUP(K32,'Janeiro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Real'!C3:C15,0))+1))/((L31-1)*(1-_xlfn.XLOOKUP(K31,'Janeiro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Real'!C3:C15,0))+1))/((L32-1)*(1-_xlfn.XLOOKUP(K32,'Janeiro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Real'!C3:C15,0))+1))/((L33-1)*(1-_xlfn.XLOOKUP(K33,'Janeiro 2023 - Valor Real'!A3:A15,'Janeiro 2023 - Valor Real'!C3:C15,0))+1)),IF(I32="Lay",IF(I31="Lay",((L31/(L31-1)-1)*(1-_xlfn.XLOOKUP(K31,'Janeiro 2023 - Valor Real'!A3:A15,'Janeiro 2023 - Valor Real'!C3:C15,0))+1)/(((L31/(L31-1)-1)*(1-_xlfn.XLOOKUP(K31,'Janeiro 2023 - Valor Real'!A3:A15,'Janeiro 2023 - Valor Real'!C3:C15,0))+1)+((L32/(L32-1)-1)*(1-_xlfn.XLOOKUP(K32,'Janeiro 2023 - Valor Real'!A3:A15,'Janeiro 2023 - Valor Real'!C3:C15,0))+1)),((L31-1)*(1-_xlfn.XLOOKUP(K31,'Janeiro 2023 - Valor Real'!A3:A15,'Janeiro 2023 - Valor Real'!C3:C15,0))+1)/(((L31-1)*(1-_xlfn.XLOOKUP(K31,'Janeiro 2023 - Valor Real'!A3:A15,'Janeiro 2023 - Valor Real'!C3:C15,0))+1)+((L32/(L32-1)-1)*(1-_xlfn.XLOOKUP(K32,'Janeiro 2023 - Valor Real'!A3:A15,'Janeiro 2023 - Valor Real'!C3:C15,0))+1))),IF(I31="Lay",((L31/(L31-1)-1)*(1-_xlfn.XLOOKUP(K31,'Janeiro 2023 - Valor Real'!A3:A15,'Janeiro 2023 - Valor Real'!C3:C15,0))+1)/((((L31/(L31-1)-1)*(1-_xlfn.XLOOKUP(K31,'Janeiro 2023 - Valor Real'!A3:A15,'Janeiro 2023 - Valor Real'!C3:C15,0))+1))+((L32-1)*(1-_xlfn.XLOOKUP(K32,'Janeiro 2023 - Valor Real'!A3:A15,'Janeiro 2023 - Valor Real'!C3:C15,0))+1)),((L31-1)*(1-_xlfn.XLOOKUP(K31,'Janeiro 2023 - Valor Real'!A3:A15,'Janeiro 2023 - Valor Real'!C3:C15,0))+1)/(((L31-1)*(1-_xlfn.XLOOKUP(K31,'Janeiro 2023 - Valor Real'!A3:A15,'Janeiro 2023 - Valor Real'!C3:C15,0))+1)+((L32-1)*(1-_xlfn.XLOOKUP(K32,'Janeiro 2023 - Valor Real'!A3:A15,'Janeiro 2023 - Valor Real'!C3:C15,0))+1))))))</f>
        <v>0.949796472184532</v>
      </c>
      <c r="AF32" s="197">
        <f>IF($K32=AF$3,ROUND(IF(OR($C32="W",$C32="1/2W",$C32="1/2L"),$P32-$O32,IF($C32="X",0,-$O32)),2),0)</f>
        <v>0</v>
      </c>
      <c r="AG32" s="198">
        <f>IF($K32=AG$3,ROUND(IF(OR($C32="W",$C32="1/2W",$C32="1/2L"),$P32-$O32,IF($C32="X",0,-$O32)),2),0)</f>
        <v>0</v>
      </c>
      <c r="AH32" s="198">
        <f>IF($K32=AH$3,ROUND(IF(OR($C32="W",$C32="1/2W",$C32="1/2L"),$P32-$O32,IF($C32="X",0,-$O32)),2),0)</f>
        <v>0</v>
      </c>
      <c r="AI32" s="198">
        <f>IF($K32=AI$3,ROUND(IF(OR($C32="W",$C32="1/2W",$C32="1/2L"),$P32-$O32,IF($C32="X",0,-$O32)),2),0)</f>
        <v>0</v>
      </c>
      <c r="AJ32" s="198">
        <f>IF($K32=AJ$3,ROUND(IF(OR($C32="W",$C32="1/2W",$C32="1/2L"),$P32-$O32,IF($C32="X",0,-$O32)),2),0)</f>
        <v>3.74</v>
      </c>
      <c r="AK32" s="198">
        <f>IF($K32=AK$3,ROUND(IF(OR($C32="W",$C32="1/2W",$C32="1/2L"),$P32-$O32,IF($C32="X",0,-$O32)),2),0)</f>
        <v>0</v>
      </c>
      <c r="AL32" s="198">
        <f>IF($K32=AL$3,ROUND(IF(OR($C32="W",$C32="1/2W",$C32="1/2L"),$P32-$O32,IF($C32="X",0,-$O32)),2),0)</f>
        <v>0</v>
      </c>
      <c r="AM32" s="198">
        <f>IF($K32=AM$3,ROUND(IF(OR($C32="W",$C32="1/2W",$C32="1/2L"),$P32-$O32,IF($C32="X",0,-$O32)),2),0)</f>
        <v>0</v>
      </c>
      <c r="AN32" s="198">
        <f>IF($K32=AN$3,ROUND(IF(OR($C32="W",$C32="1/2W",$C32="1/2L"),$P32-$O32,IF($C32="X",0,-$O32)),2),0)</f>
        <v>0</v>
      </c>
      <c r="AO32" s="198">
        <f>IF($K32=AO$3,ROUND(IF(OR($C32="W",$C32="1/2W",$C32="1/2L"),$P32-$O32,IF($C32="X",0,-$O32)),2),0)</f>
        <v>0</v>
      </c>
      <c r="AP32" s="198">
        <f>IF($K32=AP$3,ROUND(IF(OR($C32="W",$C32="1/2W",$C32="1/2L"),$P32-$O32,IF($C32="X",0,-$O32)),2),0)</f>
        <v>0</v>
      </c>
      <c r="AQ32" s="198">
        <f>IF($K32=AQ$3,ROUND(IF(OR($C32="W",$C32="1/2W",$C32="1/2L"),$P32-$O32,IF($C32="X",0,-$O32)),2),0)</f>
        <v>0</v>
      </c>
      <c r="AR32" s="199">
        <f>IF($K32=AR$3,ROUND(IF(OR($C32="W",$C32="1/2W",$C32="1/2L"),$P32-$O32,IF($C32="X",0,-$O32)),2),0)</f>
        <v>0</v>
      </c>
      <c r="AS32" s="197">
        <f>IF(AND($B31=" ",$K32=AS$3),$O32,0)</f>
        <v>0</v>
      </c>
      <c r="AT32" s="198">
        <f>IF(AND($B31=" ",K32=AT$3),$O32,0)</f>
        <v>0</v>
      </c>
      <c r="AU32" s="198">
        <f>IF(AND($B31=" ",$K32=AU$3),$O32,0)</f>
        <v>0</v>
      </c>
      <c r="AV32" s="198">
        <f>IF(AND($B31=" ",$K32=AV$3),$O32,0)</f>
        <v>0</v>
      </c>
      <c r="AW32" s="198">
        <f>IF(AND($B31=" ",$K32=AW$3),$O32,0)</f>
        <v>0</v>
      </c>
      <c r="AX32" s="198">
        <f>IF(AND($B31=" ",$K32=AX$3),$O32,0)</f>
        <v>0</v>
      </c>
      <c r="AY32" s="200">
        <f>IF(AND($B31=" ",$K32=AY$3),$O32,0)</f>
        <v>0</v>
      </c>
      <c r="AZ32" s="201">
        <f>IF(AND($B31=" ",$K32=AZ$3),$O32,0)</f>
        <v>0</v>
      </c>
      <c r="BA32" s="201">
        <f>IF(AND($B31=" ",$K32=BA$3),$O32,0)</f>
        <v>0</v>
      </c>
      <c r="BB32" s="201">
        <f>IF(AND($B31=" ",$K32=BB$3),$O32,0)</f>
        <v>0</v>
      </c>
      <c r="BC32" s="202">
        <f>IF(AND($B31=" ",$K32=BC$3),$O32,0)</f>
        <v>0</v>
      </c>
      <c r="BD32" s="198">
        <f>IF(AND($B31=" ",$K32=BD$3),$O32,0)</f>
        <v>0</v>
      </c>
      <c r="BE32" s="199">
        <f>IF(AND($B31=" ",$K32=BE$3),$O32,0)</f>
        <v>0</v>
      </c>
      <c r="BF32" s="197">
        <f>IF($K32=BF$3,IF($C32="X",0,$O32),0)</f>
        <v>0</v>
      </c>
      <c r="BG32" s="198">
        <f>IF($K32=BG$3,IF($C32="X",0,$O32),0)</f>
        <v>0</v>
      </c>
      <c r="BH32" s="198">
        <f>IF($K32=BH$3,IF($C32="X",0,$O32),0)</f>
        <v>0</v>
      </c>
      <c r="BI32" s="198">
        <f>IF($K32=BI$3,IF($C32="X",0,$O32),0)</f>
        <v>0</v>
      </c>
      <c r="BJ32" s="198">
        <f>IF($K32=BJ$3,IF($C32="X",0,$O32),0)</f>
        <v>34</v>
      </c>
      <c r="BK32" s="198">
        <f>IF($K32=BK$3,IF($C32="X",0,$O32),0)</f>
        <v>0</v>
      </c>
      <c r="BL32" s="198">
        <f>IF($K32=BL$3,IF($C32="X",0,$O32),0)</f>
        <v>0</v>
      </c>
      <c r="BM32" s="227">
        <f>IF($K32=BM$3,IF($C32="X",0,$O32),0)</f>
        <v>0</v>
      </c>
      <c r="BN32" s="205">
        <f>IF($K32=BN$3,IF($C32="X",0,$O32),0)</f>
        <v>0</v>
      </c>
      <c r="BO32" s="205">
        <f>IF($K32=BO$3,IF($C32="X",0,$O32),0)</f>
        <v>0</v>
      </c>
      <c r="BP32" s="205">
        <f>IF($K32=BP$3,IF($C32="X",0,$O32),0)</f>
        <v>0</v>
      </c>
      <c r="BQ32" s="202">
        <f>IF($K32=BQ$3,IF($C32="X",0,$O32),0)</f>
        <v>0</v>
      </c>
      <c r="BR32" s="199">
        <f>IF($K32=BR$3,IF($C32="X",0,$O32),0)</f>
        <v>0</v>
      </c>
      <c r="BS32" s="228"/>
      <c r="BT32" s="229"/>
      <c r="BU32" s="140"/>
      <c r="BV32" s="229"/>
      <c r="BW32" s="140"/>
      <c r="BX32" s="140"/>
      <c r="BY32" s="140"/>
      <c r="BZ32" s="229"/>
      <c r="CA32" s="140"/>
      <c r="CB32" s="140"/>
      <c r="CC32" s="140"/>
      <c r="CD32" s="141"/>
      <c r="CE32" s="142"/>
      <c r="CF32" s="230">
        <f>IF(CF$3=$K32,IF($C32="W",1,IF($C32="1/2W",0.5,0)),0)</f>
        <v>0</v>
      </c>
      <c r="CG32" s="231">
        <f>IF(CF$3=$K32,IF($C32="L",1,IF($C32="1/2L",0.5,0)),0)</f>
        <v>0</v>
      </c>
      <c r="CH32" s="231">
        <f>IF(CH$3=$K32,IF($C32="W",1,IF($C32="1/2W",0.5,0)),0)</f>
        <v>0</v>
      </c>
      <c r="CI32" s="231">
        <f>IF(CH$3=$K32,IF($C32="L",1,IF($C32="1/2L",0.5,0)),0)</f>
        <v>0</v>
      </c>
      <c r="CJ32" s="231">
        <f>IF(CJ$3=$K32,IF($C32="W",1,IF($C32="1/2W",0.5,0)),0)</f>
        <v>0</v>
      </c>
      <c r="CK32" s="231">
        <f>IF(CJ$3=$K32,IF($C32="L",1,IF($C32="1/2L",0.5,0)),0)</f>
        <v>0</v>
      </c>
      <c r="CL32" s="231">
        <f>IF(CL$3=$K32,IF($C32="W",1,IF($C32="1/2W",0.5,0)),0)</f>
        <v>0</v>
      </c>
      <c r="CM32" s="231">
        <f>IF(CL$3=$K32,IF($C32="L",1,IF($C32="1/2L",0.5,0)),0)</f>
        <v>0</v>
      </c>
      <c r="CN32" s="231">
        <f>IF(CN$3=$K32,IF($C32="W",1,IF($C32="1/2W",0.5,0)),0)</f>
        <v>1</v>
      </c>
      <c r="CO32" s="231">
        <f>IF(CN$3=$K32,IF($C32="L",1,IF($C32="1/2L",0.5,0)),0)</f>
        <v>0</v>
      </c>
      <c r="CP32" s="231">
        <f>IF(CP$3=$K32,IF($C32="W",1,IF($C32="1/2W",0.5,0)),0)</f>
        <v>0</v>
      </c>
      <c r="CQ32" s="231">
        <f>IF(CP$3=$K32,IF($C32="L",1,IF($C32="1/2L",0.5,0)),0)</f>
        <v>0</v>
      </c>
      <c r="CR32" s="231">
        <f>IF(CR$3=$K32,IF($C32="W",1,IF($C32="1/2W",0.5,0)),0)</f>
        <v>0</v>
      </c>
      <c r="CS32" s="231">
        <f>IF(CR$3=$K32,IF($C32="L",1,IF($C32="1/2L",0.5,0)),0)</f>
        <v>0</v>
      </c>
      <c r="CT32" s="208">
        <f>IF(CT$3=$K32,IF($C32="W",1,IF($C32="1/2W",0.5,0)),0)</f>
        <v>0</v>
      </c>
      <c r="CU32" s="209">
        <f>IF(CT$3=$K32,IF($C32="L",1,IF($C32="1/2L",0.5,0)),0)</f>
        <v>0</v>
      </c>
      <c r="CV32" s="209">
        <f>IF(CV$3=$K32,IF($C32="W",1,IF($C32="1/2W",0.5,0)),0)</f>
        <v>0</v>
      </c>
      <c r="CW32" s="209">
        <f>IF(CV$3=$K32,IF($C32="L",1,IF($C32="1/2L",0.5,0)),0)</f>
        <v>0</v>
      </c>
      <c r="CX32" s="209">
        <f>IF(CX$3=$K32,IF($C32="W",1,IF($C32="1/2W",0.5,0)),0)</f>
        <v>0</v>
      </c>
      <c r="CY32" s="209">
        <f>IF(CX$3=$K32,IF($C32="L",1,IF($C32="1/2L",0.5,0)),0)</f>
        <v>0</v>
      </c>
      <c r="CZ32" s="209">
        <f>IF(CZ$3=$K32,IF($C32="W",1,IF($C32="1/2W",0.5,0)),0)</f>
        <v>0</v>
      </c>
      <c r="DA32" s="209">
        <f>IF(CZ$3=$K32,IF($C32="L",1,IF($C32="1/2L",0.5,0)),0)</f>
        <v>0</v>
      </c>
      <c r="DB32" s="209">
        <f>IF(DB$3=$K32,IF($C32="W",1,IF($C32="1/2W",0.5,0)),0)</f>
        <v>0</v>
      </c>
      <c r="DC32" s="209">
        <f>IF(DB$3=$K32,IF($C32="L",1,IF($C32="1/2L",0.5,0)),0)</f>
        <v>0</v>
      </c>
      <c r="DD32" s="209">
        <f>IF(DD$3=$K32,IF($C32="W",1,IF($C32="1/2W",0.5,0)),0)</f>
        <v>0</v>
      </c>
      <c r="DE32" s="210">
        <f>IF(DD$3=$K32,IF($C32="L",1,IF($C32="1/2L",0.5,0)),0)</f>
        <v>0</v>
      </c>
      <c r="DF32" s="211">
        <f>IF(AND(L32&lt;DF$3,$C32="W"),1+DF31,DF31)</f>
        <v>2</v>
      </c>
      <c r="DG32" s="198">
        <f>IF(DF32&gt;DF31,L32+DG31,DG31)</f>
        <v>2.55</v>
      </c>
      <c r="DH32" s="209">
        <f>IF(AND(L32&gt;DH$3,$C32="W"),1+DH31,0+DH31)</f>
        <v>0</v>
      </c>
      <c r="DI32" s="198">
        <f>IF(DH32&gt;DH31,L32+DI31,DI31)</f>
        <v>0</v>
      </c>
      <c r="DJ32" s="209">
        <f>IF($D31="","",$D31)</f>
        <v>16</v>
      </c>
      <c r="DK32" s="232"/>
    </row>
    <row r="33" ht="14.55" customHeight="1">
      <c r="A33" s="149"/>
      <c r="B33" s="150"/>
      <c r="C33" t="s" s="233">
        <v>58</v>
      </c>
      <c r="D33" s="152"/>
      <c r="E33" s="153"/>
      <c r="F33" s="155"/>
      <c r="G33" s="234"/>
      <c r="H33" s="156"/>
      <c r="I33" s="235"/>
      <c r="J33" s="236"/>
      <c r="K33" s="237"/>
      <c r="L33" s="238"/>
      <c r="M33" s="239"/>
      <c r="N33" s="161"/>
      <c r="O33" t="s" s="240">
        <f>IF(OR(AE31="",AE32=""),"",IF(L33&gt;0,ROUND(IF(M33&gt;0,M33,IF(M31&gt;0,ROUND((M31*AE33)/AE31,IF(N31=0,2,IF(N31=0.1,1,0))),IF(M32&gt;0,ROUND((M32*AE33)/AE32,IF(N31=0,2,IF(N31=0.1,1,0))),IF(M33&gt;0,M33,0)))),2),""))</f>
      </c>
      <c r="P33" t="s" s="241">
        <f>IF(I32="Lay",O32*(L32/(L32-1))-O32,IF(I31="Lay",O31*(L31/(L31-1))-O31,IF(OR(L33="",O33=""),"",IF($C33="1/2W",O33/2+O33/2*L33,IF($C33="1/2L",O33/2,(O33*L33-O33)*(1-_xlfn.XLOOKUP(K33,'Janeiro 2023 - Valor Real'!A3:A15,'Janeiro 2023 - Valor Real'!C3:C15,0))+O33)))))</f>
      </c>
      <c r="Q33" t="s" s="242"/>
      <c r="R33" t="s" s="243"/>
      <c r="S33" s="166"/>
      <c r="T33" s="155"/>
      <c r="U33" s="155"/>
      <c r="V33" s="166"/>
      <c r="W33" s="155"/>
      <c r="X33" s="167"/>
      <c r="Y33" s="128"/>
      <c r="Z33" s="129"/>
      <c r="AA33" s="129"/>
      <c r="AB33" s="129"/>
      <c r="AC33" s="129"/>
      <c r="AD33" s="244">
        <f>((L32/(L32-1)-1))</f>
        <v>9.09090909090909</v>
      </c>
      <c r="AE33" t="s" s="245">
        <f>IF(L33="","",(SUM(((L31-1)*(1-_xlfn.XLOOKUP(K31,'Janeiro 2023 - Valor Real'!A3:A15,'Janeiro 2023 - Valor Real'!C3:C15,0))+1),((L32-1)*(1-_xlfn.XLOOKUP(K32,'Janeiro 2023 - Valor Real'!A3:A15,'Janeiro 2023 - Valor Real'!C3:C15,0))+1),((L33-1)*(1-_xlfn.XLOOKUP(K33,'Janeiro 2023 - Valor Real'!A3:A15,'Janeiro 2023 - Valor Real'!C3:C15,0))+1))/((L33-1)*(1-_xlfn.XLOOKUP(K33,'Janeiro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Real'!C3:C15,0))+1))/((L31-1)*(1-_xlfn.XLOOKUP(K31,'Janeiro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Real'!C3:C15,0))+1))/((L32-1)*(1-_xlfn.XLOOKUP(K32,'Janeiro 2023 - Valor Real'!A3:A15,'Janeiro 2023 - Valor Real'!C3:C15,0))+1)+SUM(((L31-1)*(1-_xlfn.XLOOKUP(K31,'Janeiro 2023 - Valor Real'!A3:A15,'Janeiro 2023 - Valor Real'!C3:C15,0))+1),((L32-1)*(1-_xlfn.XLOOKUP(K32,'Janeiro 2023 - Valor Real'!A3:A15,'Janeiro 2023 - Valor Real'!C3:C15,0))+1),((L33-1)*(1-_xlfn.XLOOKUP(K33,'Janeiro 2023 - Valor Real'!A3:A15,'Janeiro 2023 - Valor Real'!C3:C15,0))+1))/((L33-1)*(1-_xlfn.XLOOKUP(K33,'Janeiro 2023 - Valor Real'!A3:A15,'Janeiro 2023 - Valor Real'!C3:C15,0))+1)))</f>
      </c>
      <c r="AF33" s="197">
        <f>IF($K33=AF$3,ROUND(IF(OR($C33="W",$C33="1/2W",$C33="1/2L"),$P33-$O33,IF($C33="X",0,-$O33)),2),0)</f>
        <v>0</v>
      </c>
      <c r="AG33" s="198">
        <f>IF($K33=AG$3,ROUND(IF(OR($C33="W",$C33="1/2W",$C33="1/2L"),$P33-$O33,IF($C33="X",0,-$O33)),2),0)</f>
        <v>0</v>
      </c>
      <c r="AH33" s="198">
        <f>IF($K33=AH$3,ROUND(IF(OR($C33="W",$C33="1/2W",$C33="1/2L"),$P33-$O33,IF($C33="X",0,-$O33)),2),0)</f>
        <v>0</v>
      </c>
      <c r="AI33" s="198">
        <f>IF($K33=AI$3,ROUND(IF(OR($C33="W",$C33="1/2W",$C33="1/2L"),$P33-$O33,IF($C33="X",0,-$O33)),2),0)</f>
        <v>0</v>
      </c>
      <c r="AJ33" s="198">
        <f>IF($K33=AJ$3,ROUND(IF(OR($C33="W",$C33="1/2W",$C33="1/2L"),$P33-$O33,IF($C33="X",0,-$O33)),2),0)</f>
        <v>0</v>
      </c>
      <c r="AK33" s="198">
        <f>IF($K33=AK$3,ROUND(IF(OR($C33="W",$C33="1/2W",$C33="1/2L"),$P33-$O33,IF($C33="X",0,-$O33)),2),0)</f>
        <v>0</v>
      </c>
      <c r="AL33" s="198">
        <f>IF($K33=AL$3,ROUND(IF(OR($C33="W",$C33="1/2W",$C33="1/2L"),$P33-$O33,IF($C33="X",0,-$O33)),2),0)</f>
        <v>0</v>
      </c>
      <c r="AM33" s="198">
        <f>IF($K33=AM$3,ROUND(IF(OR($C33="W",$C33="1/2W",$C33="1/2L"),$P33-$O33,IF($C33="X",0,-$O33)),2),0)</f>
        <v>0</v>
      </c>
      <c r="AN33" s="198">
        <f>IF($K33=AN$3,ROUND(IF(OR($C33="W",$C33="1/2W",$C33="1/2L"),$P33-$O33,IF($C33="X",0,-$O33)),2),0)</f>
        <v>0</v>
      </c>
      <c r="AO33" s="198">
        <f>IF($K33=AO$3,ROUND(IF(OR($C33="W",$C33="1/2W",$C33="1/2L"),$P33-$O33,IF($C33="X",0,-$O33)),2),0)</f>
        <v>0</v>
      </c>
      <c r="AP33" s="198">
        <f>IF($K33=AP$3,ROUND(IF(OR($C33="W",$C33="1/2W",$C33="1/2L"),$P33-$O33,IF($C33="X",0,-$O33)),2),0)</f>
        <v>0</v>
      </c>
      <c r="AQ33" s="198">
        <f>IF($K33=AQ$3,ROUND(IF(OR($C33="W",$C33="1/2W",$C33="1/2L"),$P33-$O33,IF($C33="X",0,-$O33)),2),0)</f>
        <v>0</v>
      </c>
      <c r="AR33" s="199">
        <f>IF($K33=AR$3,ROUND(IF(OR($C33="W",$C33="1/2W",$C33="1/2L"),$P33-$O33,IF($C33="X",0,-$O33)),2),0)</f>
        <v>0</v>
      </c>
      <c r="AS33" s="197">
        <f>IF(AND($B31=" ",$K33=AS$3),$O33,0)</f>
        <v>0</v>
      </c>
      <c r="AT33" s="198">
        <f>IF(AND($B31=" ",K33=AT$3),$O33,0)</f>
        <v>0</v>
      </c>
      <c r="AU33" s="198">
        <f>IF(AND($B31=" ",$K33=AU$3),$O33,0)</f>
        <v>0</v>
      </c>
      <c r="AV33" s="198">
        <f>IF(AND($B31=" ",$K33=AV$3),$O33,0)</f>
        <v>0</v>
      </c>
      <c r="AW33" s="198">
        <f>IF(AND($B31=" ",$K33=AW$3),$O33,0)</f>
        <v>0</v>
      </c>
      <c r="AX33" s="198">
        <f>IF(AND($B31=" ",$K33=AX$3),$O33,0)</f>
        <v>0</v>
      </c>
      <c r="AY33" s="200">
        <f>IF(AND($B31=" ",$K33=AY$3),$O33,0)</f>
        <v>0</v>
      </c>
      <c r="AZ33" s="201">
        <f>IF(AND($B31=" ",$K33=AZ$3),$O33,0)</f>
        <v>0</v>
      </c>
      <c r="BA33" s="201">
        <f>IF(AND($B31=" ",$K33=BA$3),$O33,0)</f>
        <v>0</v>
      </c>
      <c r="BB33" s="201">
        <f>IF(AND($B31=" ",$K33=BB$3),$O33,0)</f>
        <v>0</v>
      </c>
      <c r="BC33" s="202">
        <f>IF(AND($B31=" ",$K33=BC$3),$O33,0)</f>
        <v>0</v>
      </c>
      <c r="BD33" s="198">
        <f>IF(AND($B31=" ",$K33=BD$3),$O33,0)</f>
        <v>0</v>
      </c>
      <c r="BE33" s="199">
        <f>IF(AND($B31=" ",$K33=BE$3),$O33,0)</f>
        <v>0</v>
      </c>
      <c r="BF33" s="197">
        <f>IF($K33=BF$3,IF($C33="X",0,$O33),0)</f>
        <v>0</v>
      </c>
      <c r="BG33" s="198">
        <f>IF($K33=BG$3,IF($C33="X",0,$O33),0)</f>
        <v>0</v>
      </c>
      <c r="BH33" s="198">
        <f>IF($K33=BH$3,IF($C33="X",0,$O33),0)</f>
        <v>0</v>
      </c>
      <c r="BI33" s="198">
        <f>IF($K33=BI$3,IF($C33="X",0,$O33),0)</f>
        <v>0</v>
      </c>
      <c r="BJ33" s="198">
        <f>IF($K33=BJ$3,IF($C33="X",0,$O33),0)</f>
        <v>0</v>
      </c>
      <c r="BK33" s="198">
        <f>IF($K33=BK$3,IF($C33="X",0,$O33),0)</f>
        <v>0</v>
      </c>
      <c r="BL33" s="198">
        <f>IF($K33=BL$3,IF($C33="X",0,$O33),0)</f>
        <v>0</v>
      </c>
      <c r="BM33" s="200">
        <f>IF($K33=BM$3,IF($C33="X",0,$O33),0)</f>
        <v>0</v>
      </c>
      <c r="BN33" s="201">
        <f>IF($K33=BN$3,IF($C33="X",0,$O33),0)</f>
        <v>0</v>
      </c>
      <c r="BO33" s="201">
        <f>IF($K33=BO$3,IF($C33="X",0,$O33),0)</f>
        <v>0</v>
      </c>
      <c r="BP33" s="201">
        <f>IF($K33=BP$3,IF($C33="X",0,$O33),0)</f>
        <v>0</v>
      </c>
      <c r="BQ33" s="202">
        <f>IF($K33=BQ$3,IF($C33="X",0,$O33),0)</f>
        <v>0</v>
      </c>
      <c r="BR33" s="199">
        <f>IF($K33=BR$3,IF($C33="X",0,$O33),0)</f>
        <v>0</v>
      </c>
      <c r="BS33" s="228"/>
      <c r="BT33" s="229"/>
      <c r="BU33" s="140"/>
      <c r="BV33" s="229"/>
      <c r="BW33" s="140"/>
      <c r="BX33" s="140"/>
      <c r="BY33" s="140"/>
      <c r="BZ33" s="229"/>
      <c r="CA33" s="140"/>
      <c r="CB33" s="140"/>
      <c r="CC33" s="140"/>
      <c r="CD33" s="141"/>
      <c r="CE33" s="142"/>
      <c r="CF33" s="230">
        <f>IF(CF$3=$K33,IF($C33="W",1,IF($C33="1/2W",0.5,0)),0)</f>
        <v>0</v>
      </c>
      <c r="CG33" s="231">
        <f>IF(CF$3=$K33,IF($C33="L",1,IF($C33="1/2L",0.5,0)),0)</f>
        <v>0</v>
      </c>
      <c r="CH33" s="231">
        <f>IF(CH$3=$K33,IF($C33="W",1,IF($C33="1/2W",0.5,0)),0)</f>
        <v>0</v>
      </c>
      <c r="CI33" s="231">
        <f>IF(CH$3=$K33,IF($C33="L",1,IF($C33="1/2L",0.5,0)),0)</f>
        <v>0</v>
      </c>
      <c r="CJ33" s="231">
        <f>IF(CJ$3=$K33,IF($C33="W",1,IF($C33="1/2W",0.5,0)),0)</f>
        <v>0</v>
      </c>
      <c r="CK33" s="231">
        <f>IF(CJ$3=$K33,IF($C33="L",1,IF($C33="1/2L",0.5,0)),0)</f>
        <v>0</v>
      </c>
      <c r="CL33" s="231">
        <f>IF(CL$3=$K33,IF($C33="W",1,IF($C33="1/2W",0.5,0)),0)</f>
        <v>0</v>
      </c>
      <c r="CM33" s="231">
        <f>IF(CL$3=$K33,IF($C33="L",1,IF($C33="1/2L",0.5,0)),0)</f>
        <v>0</v>
      </c>
      <c r="CN33" s="231">
        <f>IF(CN$3=$K33,IF($C33="W",1,IF($C33="1/2W",0.5,0)),0)</f>
        <v>0</v>
      </c>
      <c r="CO33" s="231">
        <f>IF(CN$3=$K33,IF($C33="L",1,IF($C33="1/2L",0.5,0)),0)</f>
        <v>0</v>
      </c>
      <c r="CP33" s="231">
        <f>IF(CP$3=$K33,IF($C33="W",1,IF($C33="1/2W",0.5,0)),0)</f>
        <v>0</v>
      </c>
      <c r="CQ33" s="231">
        <f>IF(CP$3=$K33,IF($C33="L",1,IF($C33="1/2L",0.5,0)),0)</f>
        <v>0</v>
      </c>
      <c r="CR33" s="231">
        <f>IF(CR$3=$K33,IF($C33="W",1,IF($C33="1/2W",0.5,0)),0)</f>
        <v>0</v>
      </c>
      <c r="CS33" s="231">
        <f>IF(CR$3=$K33,IF($C33="L",1,IF($C33="1/2L",0.5,0)),0)</f>
        <v>0</v>
      </c>
      <c r="CT33" s="208">
        <f>IF(CT$3=$K33,IF($C33="W",1,IF($C33="1/2W",0.5,0)),0)</f>
        <v>0</v>
      </c>
      <c r="CU33" s="209">
        <f>IF(CT$3=$K33,IF($C33="L",1,IF($C33="1/2L",0.5,0)),0)</f>
        <v>0</v>
      </c>
      <c r="CV33" s="209">
        <f>IF(CV$3=$K33,IF($C33="W",1,IF($C33="1/2W",0.5,0)),0)</f>
        <v>0</v>
      </c>
      <c r="CW33" s="209">
        <f>IF(CV$3=$K33,IF($C33="L",1,IF($C33="1/2L",0.5,0)),0)</f>
        <v>0</v>
      </c>
      <c r="CX33" s="209">
        <f>IF(CX$3=$K33,IF($C33="W",1,IF($C33="1/2W",0.5,0)),0)</f>
        <v>0</v>
      </c>
      <c r="CY33" s="209">
        <f>IF(CX$3=$K33,IF($C33="L",1,IF($C33="1/2L",0.5,0)),0)</f>
        <v>0</v>
      </c>
      <c r="CZ33" s="209">
        <f>IF(CZ$3=$K33,IF($C33="W",1,IF($C33="1/2W",0.5,0)),0)</f>
        <v>0</v>
      </c>
      <c r="DA33" s="209">
        <f>IF(CZ$3=$K33,IF($C33="L",1,IF($C33="1/2L",0.5,0)),0)</f>
        <v>0</v>
      </c>
      <c r="DB33" s="209">
        <f>IF(DB$3=$K33,IF($C33="W",1,IF($C33="1/2W",0.5,0)),0)</f>
        <v>0</v>
      </c>
      <c r="DC33" s="209">
        <f>IF(DB$3=$K33,IF($C33="L",1,IF($C33="1/2L",0.5,0)),0)</f>
        <v>0</v>
      </c>
      <c r="DD33" s="209">
        <f>IF(DD$3=$K33,IF($C33="W",1,IF($C33="1/2W",0.5,0)),0)</f>
        <v>0</v>
      </c>
      <c r="DE33" s="210">
        <f>IF(DD$3=$K33,IF($C33="L",1,IF($C33="1/2L",0.5,0)),0)</f>
        <v>0</v>
      </c>
      <c r="DF33" s="211">
        <f>IF(AND(L33&lt;DF$3,$C33="W"),1+DF32,DF32)</f>
        <v>2</v>
      </c>
      <c r="DG33" s="198">
        <f>IF(DF33&gt;DF32,L33+DG32,DG32)</f>
        <v>2.55</v>
      </c>
      <c r="DH33" s="209">
        <f>IF(AND(L33&gt;DH$3,$C33="W"),1+DH32,0+DH32)</f>
        <v>0</v>
      </c>
      <c r="DI33" s="198">
        <f>IF(DH33&gt;DH32,L33+DI32,DI32)</f>
        <v>0</v>
      </c>
      <c r="DJ33" s="209">
        <f>IF($D31="","",$D31)</f>
        <v>16</v>
      </c>
      <c r="DK33" s="232"/>
    </row>
    <row r="34" ht="14.55" customHeight="1">
      <c r="A34" s="246">
        <f>$A31+1</f>
        <v>11</v>
      </c>
      <c r="B34" t="s" s="247">
        <v>50</v>
      </c>
      <c r="C34" t="s" s="248">
        <v>51</v>
      </c>
      <c r="D34" s="249">
        <f>IF(G34="","",$D31)</f>
        <v>16</v>
      </c>
      <c r="E34" t="s" s="250">
        <v>63</v>
      </c>
      <c r="F34" t="s" s="251">
        <f>IF(G34="","",IF(OR(AND($C34&lt;&gt;" ",$C35=" "),AND($C35&lt;&gt;" ",$C34=" "),AND(L36&gt;0,OR(AND($C36&lt;&gt;" ",OR($C34=" ",$C35=" ")),AND($C36=" ",OR($C34&lt;&gt;" ",$C35&lt;&gt;" "))))),IF(SUM(F$4:F33)=0,1,LARGE(F$4:F33,1)+1),IF(MONTH(G34)=MONTH(TODAY()),IF(AND(DAY(G34)&lt;DAY(TODAY()),$B34=" "),IF(SUM(F$4:F33)=0,1,LARGE(F$4:F33,1)+1),IF($B34=" ",IF(AND(DAY(G34)=DAY(TODAY()),HOUR(G34)&lt;=HOUR(NOW())+1),IF(AND(HOUR(G34)+2&lt;=HOUR(NOW()),DAY(G34)&lt;=DAY(TODAY()),MINUTE(G34)&lt;=MINUTE(NOW())),IF(SUM(F$4:F33)=0,1,LARGE(F$4:F33,1)+1),IF(OR(MINUTE(G34)&lt;=MINUTE(NOW()),HOUR(G34)&lt;=HOUR(NOW())),"!!!","")),""),"")),"")))</f>
      </c>
      <c r="G34" s="252">
        <v>44942.625</v>
      </c>
      <c r="H34" t="s" s="253">
        <v>84</v>
      </c>
      <c r="I34" t="s" s="254">
        <v>65</v>
      </c>
      <c r="J34" s="255">
        <v>6.5</v>
      </c>
      <c r="K34" t="s" s="256">
        <v>38</v>
      </c>
      <c r="L34" s="257">
        <v>2.5</v>
      </c>
      <c r="M34" s="258">
        <v>7.7</v>
      </c>
      <c r="N34" s="259">
        <v>0</v>
      </c>
      <c r="O34" s="260">
        <f>IF(OR(AE34="",AE35=""),"",ROUND(IF(L36&gt;0,IF(M34&gt;0,M34,IF(M35&gt;0,ROUND((M35*AE34)/AE35,IF(N34=0,2,IF(N34=0.1,1,0))),ROUND((M36*AE34)/AE36,IF(N34=0,2,IF(N34=0.1,1,0))))),IF(M34&gt;0,M34,ROUND((M35*AE34)/AE35,IF(N34=0,2,IF(N34=0.1,1,0))))),2))</f>
        <v>7.7</v>
      </c>
      <c r="P34" s="261">
        <f>IF(OR(L34="",O34=""),"",IF($C34="1/2W",O34/2+O34/2*L34,IF($C34="1/2L",O34/2,IF(I34="Lay",(O34*(L34/(L34-1))-O34)*(1-_xlfn.XLOOKUP(K34,'Janeiro 2023 - Valor Real'!A3:A15,'Janeiro 2023 - Valor Real'!C3:C15,0))+O34,(O34*L34-O34)*(1-_xlfn.XLOOKUP(K34,'Janeiro 2023 - Valor Real'!A3:A15,'Janeiro 2023 - Valor Real'!C3:C15,0))+O34))))</f>
        <v>19.25</v>
      </c>
      <c r="Q34" s="262">
        <v>2</v>
      </c>
      <c r="R34" s="263">
        <v>0</v>
      </c>
      <c r="S34" s="264">
        <f>IF($B34="Anulado",0,ROUND(IF(OR($B34="LOSS",$B34="OK"),IF(OR($C34="W",$C34="1/2W",$C34="1/2L"),P34-O34,IF($C34="L",-O34,0))+IF(OR($C35="W",$C35="1/2W",$C35="1/2L"),P35-O35,IF($C35="L",-O35,0))+IF(OR($C36="W",$C36="1/2W",$C36="1/2L"),P36-O36,IF($C36="L",-O36,0)),IF(AND(OR($C34="W",$C34="1/2W",$C34="1/2L"),C35="W"),P34+P35-SUM(O34:O36)+_xlfn.XLOOKUP("X",C34:C36,O34:O36,0),IF(AND(C34=TRUE,C36="W"),P34+P36-SUM(O34:O36),IF(AND(C35="W",C36="W"),P35+P36-SUM(O34:O36)+_xlfn.XLOOKUP("X",C34:C36,O34:O36,0),IF(L36&gt;0,IF(OR($C34="W",$C34="1/2W",$C34="1/2L"),P34-SUM(O34:O36)+_xlfn.XLOOKUP("X",C34:C36,O34:O36,0),IF(OR($C34="W",$C34="1/2W",$C34="1/2L"),P35-SUM(O34:O36)+_xlfn.XLOOKUP("X",C34:C36,O34:O36,0),IF(OR($C34="W",$C34="1/2W",$C34="1/2L"),P36-SUM(O34:O36)+_xlfn.XLOOKUP("X",C34:C36,O34:O36,0),IF(SUM(P34:P36)/3-SUM(O34:O36)+_xlfn.XLOOKUP("X",C34:C36,O34:O36,0)&gt;0,SUM(P34:P36)/3-SUM(O34:O36)+_xlfn.XLOOKUP("X",C34:C36,O34:O36,0),LARGE(P34:P36,1)-SUM(O34:O36))))),IF(OR($C34="W",$C34="1/2W",$C34="1/2L"),P34-SUM(O34:O35)+_xlfn.XLOOKUP("X",C34:C36,O34:O36,0),IF(OR($C34="W",$C34="1/2W",$C34="1/2L"),P35-SUM(O34:O35)+_xlfn.XLOOKUP("X",C34:C36,O34:O36,0),SUM(P34:P35)/2-SUM(O34:O35)+_xlfn.XLOOKUP("X",C34:C36,O34:O36,0)))))))),2))</f>
        <v>2.44</v>
      </c>
      <c r="T34" s="265">
        <f>IF(S34=0,0,S34/SUM(O34:O36))</f>
        <v>0.145151695419393</v>
      </c>
      <c r="U34" s="266">
        <f>IF($D34=$D31,IF(OR($B34="LOSS",$B34="OK",$B34="Anulada"),S34,0)+U31,IF(OR($B34="LOSS",$B34="OK",$B34="Anulada"),S34,0))</f>
        <v>17.81</v>
      </c>
      <c r="V34" s="266">
        <f>IF($D34="",0,IF($D34=$D31,IF($B34=" ",IF(I36="",IF(OR(AND(I34="DNB1",I35="DNB2"),AND(OR(I34="DNB1",I34="DNB2"),J35=0),AND(OR(I35="DNB1",I35="DNB2"),J34=0),AND(I34="DNB2",I35="DNB1"),AND(IF(J34=0,(J34+1)/ROUND(J34+1,0),J34/ROUND(J34,0))=1,IF(J35=0,(J35+1)/ROUND(IF(J35="",0,J35)+1,0),IF(J35="",0,J35)/ROUND(IF(J35="",1,J35),0))=1,OR(J34&lt;&gt;""),J35&lt;&gt;"")),0,IF(S34&lt;0,IF(I36="",SMALL(P34:P35,1)-SUM(O34:O35),0),SMALL(P34:P35,1)-SUM(O34:O35))),IF(S34&lt;0,IF(I36="",SMALL(P34:P36,1)-SUM(O34:O36),0),LARGE(P34:P36,1)-SUM(O34:O36))),S34)+V31,IF(I36="",IF(OR(AND(I34="DNB1",I35="DNB2"),AND(OR(I34="DNB1",I34="DNB2"),J35=0),AND(OR(I35="DNB1",I35="DNB2"),J34=0),AND(I34="DNB2",I35="DNB1"),AND(IF(J34=0,(J34+1)/ROUND(J34+1,0),J34/ROUND(J34,0))=1,IF(J35=0,(IF(J35="",0,J35)+1)/ROUND(IF(J35="",0,J35)+1,0),IF(J35="",0,J35)/ROUND(IF(J35="",0,J35)+1,0))=1,OR(J34&lt;&gt;""),J35&lt;&gt;"")),0,IF(S34&lt;0,IF(I36="",SMALL(P34:P35,1)-SUM(O34:O35),0),SMALL(P34:P36,1)-SUM(O34:O36))),IF(S34&lt;0,IF(I36="",SMALL(P34:P36,1)-SUM(O34:O36),0),LARGE(P34:P36,1)-SUM(O34:O36)))))</f>
        <v>17.81</v>
      </c>
      <c r="W34" s="266">
        <f>IF($D34=$D31,IF(S34&lt;0,IF(I36="",S34,0),S34)+W31,S34)</f>
        <v>17.81</v>
      </c>
      <c r="X34" t="s" s="267">
        <f>IF(OR(SUM(R34:R36)=0,V34=W34),ROUND(IF(W34=0,0,W34/Y34)*100,2)&amp;"%",ROUND(IF(V34=0,0,V34/Y34)*100,2)&amp;"% a "&amp;ROUND(IF(W34=0,0,W34/Y34)*100,2)&amp;"%")</f>
        <v>85</v>
      </c>
      <c r="Y34" s="268">
        <f>IF($D34=$D31,Y31+SUM(O34:O36),SUM(O34:O36))</f>
        <v>270.95</v>
      </c>
      <c r="Z34" s="266">
        <f>IF($B34=" ",SUM(O34:O36),0)+Z31</f>
        <v>0</v>
      </c>
      <c r="AA34" s="266">
        <f>IF(G34="","",IF($B34="Anulado",LARGE(P34:P36,1)-SUM(O34:O36)+AA31,AA31))</f>
        <v>0</v>
      </c>
      <c r="AB34" s="266">
        <f>IF($D34="","",AB31+S34)</f>
        <v>17.81</v>
      </c>
      <c r="AC34" s="269">
        <f>IF($D34="","",IF($B34=" ",IF(DAY(G34)=DAY(TODAY()),1+AC31,0+AC31),0+AC31))</f>
        <v>0</v>
      </c>
      <c r="AD34" s="270">
        <f>(1-_xlfn.XLOOKUP(K32,'Janeiro 2023 - Valor Real'!A3:A15,'Janeiro 2023 - Valor Real'!C3:C15,0))+1</f>
        <v>2</v>
      </c>
      <c r="AE34" s="271">
        <f>IF(L34="","",IF(L36&gt;0,(SUM(((L34-1)*(1-_xlfn.XLOOKUP(K34,'Janeiro 2023 - Valor Real'!A3:A15,'Janeiro 2023 - Valor Real'!C3:C15,0))+1),((L35-1)*(1-_xlfn.XLOOKUP(K35,'Janeiro 2023 - Valor Real'!A3:A15,'Janeiro 2023 - Valor Real'!C3:C15,0))+1),((L36-1)*(1-_xlfn.XLOOKUP(K36,'Janeiro 2023 - Valor Real'!A3:A15,'Janeiro 2023 - Valor Real'!C3:C15,0))+1))/((L34-1)*(1-_xlfn.XLOOKUP(K34,'Janeiro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Real'!C3:C15,0))+1))/((L34-1)*(1-_xlfn.XLOOKUP(K34,'Janeiro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Real'!C3:C15,0))+1))/((L35-1)*(1-_xlfn.XLOOKUP(K35,'Janeiro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Real'!C3:C15,0))+1))/((L36-1)*(1-_xlfn.XLOOKUP(K36,'Janeiro 2023 - Valor Real'!A3:A15,'Janeiro 2023 - Valor Real'!C3:C15,0))+1)),IF(I34="Lay",IF(I35="Lay",((L35/(L35-1)-1)*(1-_xlfn.XLOOKUP(K35,'Janeiro 2023 - Valor Real'!A3:A15,'Janeiro 2023 - Valor Real'!C3:C15,0))+1)/(((L35/(L35-1)-1)*(1-_xlfn.XLOOKUP(K35,'Janeiro 2023 - Valor Real'!A3:A15,'Janeiro 2023 - Valor Real'!C3:C15,0))+1)+((L34/(L34-1)-1)*(1-_xlfn.XLOOKUP(K34,'Janeiro 2023 - Valor Real'!A3:A15,'Janeiro 2023 - Valor Real'!C3:C15,0))+1)),((L35-1)*(1-_xlfn.XLOOKUP(K35,'Janeiro 2023 - Valor Real'!A3:A15,'Janeiro 2023 - Valor Real'!C3:C15,0))+1)/(((L35-1)*(1-_xlfn.XLOOKUP(K35,'Janeiro 2023 - Valor Real'!A3:A15,'Janeiro 2023 - Valor Real'!C3:C15,0))+1)+((L34/(L34-1)-1)*(1-_xlfn.XLOOKUP(K34,'Janeiro 2023 - Valor Real'!A3:A15,'Janeiro 2023 - Valor Real'!C3:C15,0))+1))),IF(I35="Lay",(((L35/(L35-1)-1)*(1-_xlfn.XLOOKUP(K35,'Janeiro 2023 - Valor Real'!A3:A15,'Janeiro 2023 - Valor Real'!C3:C15,0))+1))/(((L34-1)*(1-_xlfn.XLOOKUP(K34,'Janeiro 2023 - Valor Real'!A3:A15,'Janeiro 2023 - Valor Real'!C3:C15,0))+1)+((L35/(L35-1)-1)*(1-_xlfn.XLOOKUP(K35,'Janeiro 2023 - Valor Real'!A3:A15,'Janeiro 2023 - Valor Real'!C3:C15,0))+1)),((L35-1)*(1-_xlfn.XLOOKUP(K35,'Janeiro 2023 - Valor Real'!A3:A15,'Janeiro 2023 - Valor Real'!C3:C15,0))+1)/(((L35-1)*(1-_xlfn.XLOOKUP(K35,'Janeiro 2023 - Valor Real'!A3:A15,'Janeiro 2023 - Valor Real'!C3:C15,0))+1)+((L34-1)*(1-_xlfn.XLOOKUP(K34,'Janeiro 2023 - Valor Real'!A3:A15,'Janeiro 2023 - Valor Real'!C3:C15,0))+1))))))</f>
        <v>0.458064516129032</v>
      </c>
      <c r="AF34" s="132">
        <f>IF($K34=AF$3,ROUND(IF(OR($C34="W",$C34="1/2W",$C34="1/2L"),$P34-$O34,IF($C34="X",0,-$O34)),2),0)</f>
        <v>0</v>
      </c>
      <c r="AG34" s="133">
        <f>IF($K34=AG$3,ROUND(IF(OR($C34="W",$C34="1/2W",$C34="1/2L"),$P34-$O34,IF($C34="X",0,-$O34)),2),0)</f>
        <v>-7.7</v>
      </c>
      <c r="AH34" s="133">
        <f>IF($K34=AH$3,ROUND(IF(OR($C34="W",$C34="1/2W",$C34="1/2L"),$P34-$O34,IF($C34="X",0,-$O34)),2),0)</f>
        <v>0</v>
      </c>
      <c r="AI34" s="133">
        <f>IF($K34=AI$3,ROUND(IF(OR($C34="W",$C34="1/2W",$C34="1/2L"),$P34-$O34,IF($C34="X",0,-$O34)),2),0)</f>
        <v>0</v>
      </c>
      <c r="AJ34" s="133">
        <f>IF($K34=AJ$3,ROUND(IF(OR($C34="W",$C34="1/2W",$C34="1/2L"),$P34-$O34,IF($C34="X",0,-$O34)),2),0)</f>
        <v>0</v>
      </c>
      <c r="AK34" s="133">
        <f>IF($K34=AK$3,ROUND(IF(OR($C34="W",$C34="1/2W",$C34="1/2L"),$P34-$O34,IF($C34="X",0,-$O34)),2),0)</f>
        <v>0</v>
      </c>
      <c r="AL34" s="133">
        <f>IF($K34=AL$3,ROUND(IF(OR($C34="W",$C34="1/2W",$C34="1/2L"),$P34-$O34,IF($C34="X",0,-$O34)),2),0)</f>
        <v>0</v>
      </c>
      <c r="AM34" s="133">
        <f>IF($K34=AM$3,ROUND(IF(OR($C34="W",$C34="1/2W",$C34="1/2L"),$P34-$O34,IF($C34="X",0,-$O34)),2),0)</f>
        <v>0</v>
      </c>
      <c r="AN34" s="133">
        <f>IF($K34=AN$3,ROUND(IF(OR($C34="W",$C34="1/2W",$C34="1/2L"),$P34-$O34,IF($C34="X",0,-$O34)),2),0)</f>
        <v>0</v>
      </c>
      <c r="AO34" s="133">
        <f>IF($K34=AO$3,ROUND(IF(OR($C34="W",$C34="1/2W",$C34="1/2L"),$P34-$O34,IF($C34="X",0,-$O34)),2),0)</f>
        <v>0</v>
      </c>
      <c r="AP34" s="133">
        <f>IF($K34=AP$3,ROUND(IF(OR($C34="W",$C34="1/2W",$C34="1/2L"),$P34-$O34,IF($C34="X",0,-$O34)),2),0)</f>
        <v>0</v>
      </c>
      <c r="AQ34" s="133">
        <f>IF($K34=AQ$3,ROUND(IF(OR($C34="W",$C34="1/2W",$C34="1/2L"),$P34-$O34,IF($C34="X",0,-$O34)),2),0)</f>
        <v>0</v>
      </c>
      <c r="AR34" s="134">
        <f>IF($K34=AR$3,ROUND(IF(OR($C34="W",$C34="1/2W",$C34="1/2L"),$P34-$O34,IF($C34="X",0,-$O34)),2),0)</f>
        <v>0</v>
      </c>
      <c r="AS34" s="132">
        <f>IF(AND($B34=" ",$K34=AS$3),$O34,0)</f>
        <v>0</v>
      </c>
      <c r="AT34" s="133">
        <f>IF(AND($B34=" ",$K34=AT$3),$O34,0)</f>
        <v>0</v>
      </c>
      <c r="AU34" s="133">
        <f>IF(AND($B34=" ",$K34=AU$3),$O34,0)</f>
        <v>0</v>
      </c>
      <c r="AV34" s="133">
        <f>IF(AND($B34=" ",$K34=AV$3),$O34,0)</f>
        <v>0</v>
      </c>
      <c r="AW34" s="133">
        <f>IF(AND($B34=" ",$K34=AW$3),$O34,0)</f>
        <v>0</v>
      </c>
      <c r="AX34" s="133">
        <f>IF(AND($B34=" ",$K34=AX$3),$O34,0)</f>
        <v>0</v>
      </c>
      <c r="AY34" s="135">
        <f>IF(AND($B34=" ",$K34=AY$3),$O34,0)</f>
        <v>0</v>
      </c>
      <c r="AZ34" s="136">
        <f>IF(AND($B34=" ",$K34=AZ$3),$O34,0)</f>
        <v>0</v>
      </c>
      <c r="BA34" s="136">
        <f>IF(AND($B34=" ",$K34=BA$3),$O34,0)</f>
        <v>0</v>
      </c>
      <c r="BB34" s="136">
        <f>IF(AND($B34=" ",$K34=BB$3),$O34,0)</f>
        <v>0</v>
      </c>
      <c r="BC34" s="137">
        <f>IF(AND($B34=" ",$K34=BC$3),$O34,0)</f>
        <v>0</v>
      </c>
      <c r="BD34" s="133">
        <f>IF(AND($B34=" ",$K34=BD$3),$O34,0)</f>
        <v>0</v>
      </c>
      <c r="BE34" s="134">
        <f>IF(AND($B34=" ",$K34=BE$3),$O34,0)</f>
        <v>0</v>
      </c>
      <c r="BF34" s="132">
        <f>IF($K34=BF$3,IF($C34="X",0,$O34),0)</f>
        <v>0</v>
      </c>
      <c r="BG34" s="133">
        <f>IF($K34=BG$3,IF($C34="X",0,$O34),0)</f>
        <v>7.7</v>
      </c>
      <c r="BH34" s="133">
        <f>IF($K34=BH$3,IF($C34="X",0,$O34),0)</f>
        <v>0</v>
      </c>
      <c r="BI34" s="133">
        <f>IF($K34=BI$3,IF($C34="X",0,$O34),0)</f>
        <v>0</v>
      </c>
      <c r="BJ34" s="133">
        <f>IF($K34=BJ$3,IF($C34="X",0,$O34),0)</f>
        <v>0</v>
      </c>
      <c r="BK34" s="133">
        <f>IF($K34=BK$3,IF($C34="X",0,$O34),0)</f>
        <v>0</v>
      </c>
      <c r="BL34" s="133">
        <f>IF($K34=BL$3,IF($C34="X",0,$O34),0)</f>
        <v>0</v>
      </c>
      <c r="BM34" s="135">
        <f>IF($K34=BM$3,IF($C34="X",0,$O34),0)</f>
        <v>0</v>
      </c>
      <c r="BN34" s="136">
        <f>IF($K34=BN$3,IF($C34="X",0,$O34),0)</f>
        <v>0</v>
      </c>
      <c r="BO34" s="136">
        <f>IF($K34=BO$3,IF($C34="X",0,$O34),0)</f>
        <v>0</v>
      </c>
      <c r="BP34" s="136">
        <f>IF($K34=BP$3,IF($C34="X",0,$O34),0)</f>
        <v>0</v>
      </c>
      <c r="BQ34" s="137">
        <f>IF($K34=BQ$3,IF($C34="X",0,$O34),0)</f>
        <v>0</v>
      </c>
      <c r="BR34" s="134">
        <f>IF($K34=BR$3,IF($C34="X",0,$O34),0)</f>
        <v>0</v>
      </c>
      <c r="BS34" s="170">
        <f>IF($B34="LOSS",IF(AND($K34=BS$3,$C34="L"),-$O34,0)+IF(AND($K35=BS$3,$C35="L"),-$O35,0)+IF(AND($K36=BS$3,$C36="L"),-$O36,0),IF(OR(AND($K34=BS$3,OR($C34="W",$C34="1/2W")),AND($K35=BS$3,OR($C35="W",$C35="1/2W")),AND($K36=BS$3,OR($C36="W",$C36="1/2W"))),$S34,0))</f>
        <v>0</v>
      </c>
      <c r="BT34" s="272">
        <f>IF($B34="LOSS",IF(AND($K34=BT$3,$C34="L"),-$O34,0)+IF(AND($K35=BT$3,$C35="L"),-$O35,0)+IF(AND($K35=BT$3,$C36="L"),-$O36,0),IF(OR(AND($K35=BT$3,OR($C34="W",$C34="1/2W")),AND($K35=BT$3,OR($C35="W",$C35="1/2W")),AND($K35=BT$3,OR($C36="W",$C36="1/2W"))),$S34,0))</f>
        <v>0</v>
      </c>
      <c r="BU34" s="136">
        <f>IF($B34="LOSS",IF(AND($K34=BU$3,$C34="L"),-$O34,0)+IF(AND($K35=BU$3,$C35="L"),-$O35,0)+IF(AND($K35=BU$3,$C36="L"),-$O36,0),IF(OR(AND($K35=BU$3,OR($C34="W",$C34="1/2W")),AND($K35=BU$3,OR($C35="W",$C35="1/2W")),AND($K35=BU$3,OR($C36="W",$C36="1/2W"))),$S34,0))</f>
        <v>2.44</v>
      </c>
      <c r="BV34" s="136">
        <f>IF($B34="LOSS",IF(AND($K34=BV$3,$C34="L"),-$O34,0)+IF(AND($K35=BV$3,$C35="L"),-$O35,0)+IF(AND($K36=BV$3,$C36="L"),-$O36,0),IF(OR(AND($K34=BV$3,OR($C34="W",$C34="1/2W")),AND($K35=BV$3,OR($C35="W",$C35="1/2W")),AND($K36=BV$3,OR($C36="W",$C36="1/2W"))),$S34,0))</f>
        <v>0</v>
      </c>
      <c r="BW34" s="136">
        <f>IF($B34="LOSS",IF(AND($K34=BW$3,$C34="L"),-$O34,0)+IF(AND($K35=BW$3,$C35="L"),-$O35,0)+IF(AND($K36=BW$3,$C36="L"),-$O36,0),IF(OR(AND($K34=BW$3,OR($C34="W",$C34="1/2W")),AND($K35=BW$3,OR($C35="W",$C35="1/2W")),AND($K36=BW$3,OR($C36="W",$C36="1/2W"))),$S34,0))</f>
        <v>0</v>
      </c>
      <c r="BX34" s="136">
        <f>IF($B34="LOSS",IF(AND($K34=BX$3,$C34="L"),-$O34,0)+IF(AND($K35=BX$3,$C35="L"),-$O35,0)+IF(AND($K36=BX$3,$C36="L"),-$O36,0),IF(OR(AND($K34=BX$3,OR($C34="W",$C34="1/2W")),AND($K35=BX$3,OR($C35="W",$C35="1/2W")),AND($K36=BX$3,OR($C36="W",$C36="1/2W"))),$S34,0))</f>
        <v>0</v>
      </c>
      <c r="BY34" s="136">
        <f>IF($B34="LOSS",IF(AND($K34=BY$3,$C34="L"),-$O34,0)+IF(AND($K35=BY$3,$C35="L"),-$O35,0)+IF(AND($K36=BY$3,$C36="L"),-$O36,0),IF(OR(AND($K34=BY$3,OR($C34="W",$C34="1/2W")),AND($K35=BY$3,OR($C35="W",$C35="1/2W")),AND($K36=BY$3,OR($C36="W",$C36="1/2W"))),$S34,0))</f>
        <v>0</v>
      </c>
      <c r="BZ34" s="136">
        <f>IF($B34="LOSS",IF(AND($K34=BZ$3,$C34="L"),-$O34,0)+IF(AND($K35=BZ$3,$C35="L"),-$O35,0)+IF(AND($K36=BZ$3,$C36="L"),-$O36,0),IF(OR(AND($K34=BZ$3,OR($C34="W",$C34="1/2W")),AND($K35=BZ$3,OR($C35="W",$C35="1/2W")),AND($K36=BZ$3,OR($C36="W",$C36="1/2W"))),$S34,0))</f>
        <v>0</v>
      </c>
      <c r="CA34" s="136">
        <f>IF($B34="LOSS",IF(AND($K34=CA$3,$C34="L"),-$O34,0)+IF(AND($K35=CA$3,$C35="L"),-$O35,0)+IF(AND($K36=CA$3,$C36="L"),-$O36,0),IF(OR(AND($K34=CA$3,OR($C34="W",$C34="1/2W")),AND($K35=CA$3,OR($C35="W",$C35="1/2W")),AND($K36=CA$3,OR($C36="W",$C36="1/2W"))),$S34,0))</f>
        <v>0</v>
      </c>
      <c r="CB34" s="136">
        <f>IF($B34="LOSS",IF(AND($K34=CB$3,$C34="L"),-$O34,0)+IF(AND($K35=CB$3,$C35="L"),-$O35,0)+IF(AND($K36=CB$3,$C36="L"),-$O36,0),IF(OR(AND($K34=CB$3,OR($C34="W",$C34="1/2W")),AND($K35=CB$3,OR($C35="W",$C35="1/2W")),AND($K36=CB$3,OR($C36="W",$C36="1/2W"))),$S34,0))</f>
        <v>0</v>
      </c>
      <c r="CC34" s="136">
        <f>IF($B34="LOSS",IF(AND($K34=CC$3,$C34="L"),-$O34,0)+IF(AND($K35=CC$3,$C35="L"),-$O35,0)+IF(AND($K36=CC$3,$C36="L"),-$O36,0),IF(OR(AND($K34=CC$3,OR($C34="W",$C34="1/2W")),AND($K35=CC$3,OR($C35="W",$C35="1/2W")),AND($K36=CC$3,OR($C36="W",$C36="1/2W"))),$S34,0))</f>
        <v>0</v>
      </c>
      <c r="CD34" s="137">
        <f>IF($B34="LOSS",IF(AND($K34=CD$3,$C34="L"),-$O34,0)+IF(AND($K35=CD$3,$C35="L"),-$O35,0)+IF(AND($K36=CD$3,$C36="L"),-$O36,0),IF(OR(AND($K34=CD$3,OR($C34="W",$C34="1/2W")),AND($K35=CD$3,OR($C35="W",$C35="1/2W")),AND($K36=CD$3,OR($C36="W",$C36="1/2W"))),$S34,0))</f>
        <v>0</v>
      </c>
      <c r="CE34" s="134">
        <f>IF($B34="LOSS",IF(AND($K34=CE$3,$C34="L"),-$O34,0)+IF(AND($K35=CE$3,$C35="L"),-$O35,0)+IF(AND($K36=CE$3,$C36="L"),-$O36,0),IF(OR(AND($K34=CE$3,OR($C34="W",$C34="1/2W")),AND($K35=CE$3,OR($C35="W",$C35="1/2W")),AND($K36=CE$3,OR($C36="W",$C36="1/2W"))),$S34,0))</f>
        <v>0</v>
      </c>
      <c r="CF34" s="273">
        <f>IF(CF$3=$K34,IF($C34="W",1,IF($C34="1/2W",0.5,0)),0)</f>
        <v>0</v>
      </c>
      <c r="CG34" s="274">
        <f>IF(CF$3=$K34,IF($C34="L",1,IF($C34="1/2L",0.5,0)),0)</f>
        <v>0</v>
      </c>
      <c r="CH34" s="274">
        <f>IF(CH$3=$K34,IF($C34="W",1,IF($C34="1/2W",0.5,0)),0)</f>
        <v>0</v>
      </c>
      <c r="CI34" s="274">
        <f>IF(CH$3=$K34,IF($C34="L",1,IF($C34="1/2L",0.5,0)),0)</f>
        <v>1</v>
      </c>
      <c r="CJ34" s="274">
        <f>IF(CJ$3=$K34,IF($C34="W",1,IF($C34="1/2W",0.5,0)),0)</f>
        <v>0</v>
      </c>
      <c r="CK34" s="274">
        <f>IF(CJ$3=$K34,IF($C34="L",1,IF($C34="1/2L",0.5,0)),0)</f>
        <v>0</v>
      </c>
      <c r="CL34" s="274">
        <f>IF(CL$3=$K34,IF($C34="W",1,IF($C34="1/2W",0.5,0)),0)</f>
        <v>0</v>
      </c>
      <c r="CM34" s="274">
        <f>IF(CL$3=$K34,IF($C34="L",1,IF($C34="1/2L",0.5,0)),0)</f>
        <v>0</v>
      </c>
      <c r="CN34" s="274">
        <f>IF(CN$3=$K34,IF($C34="W",1,IF($C34="1/2W",0.5,0)),0)</f>
        <v>0</v>
      </c>
      <c r="CO34" s="274">
        <f>IF(CN$3=$K34,IF($C34="L",1,IF($C34="1/2L",0.5,0)),0)</f>
        <v>0</v>
      </c>
      <c r="CP34" s="274">
        <f>IF(CP$3=$K34,IF($C34="W",1,IF($C34="1/2W",0.5,0)),0)</f>
        <v>0</v>
      </c>
      <c r="CQ34" s="274">
        <f>IF(CP$3=$K34,IF($C34="L",1,IF($C34="1/2L",0.5,0)),0)</f>
        <v>0</v>
      </c>
      <c r="CR34" s="274">
        <f>IF(CR$3=$K34,IF($C34="W",1,IF($C34="1/2W",0.5,0)),0)</f>
        <v>0</v>
      </c>
      <c r="CS34" s="274">
        <f>IF(CR$3=$K34,IF($C34="L",1,IF($C34="1/2L",0.5,0)),0)</f>
        <v>0</v>
      </c>
      <c r="CT34" s="145">
        <f>IF(CT$3=$K34,IF($C34="W",1,IF($C34="1/2W",0.5,0)),0)</f>
        <v>0</v>
      </c>
      <c r="CU34" s="146">
        <f>IF(CT$3=$K34,IF($C34="L",1,IF($C34="1/2L",0.5,0)),0)</f>
        <v>0</v>
      </c>
      <c r="CV34" s="146">
        <f>IF(CV$3=$K34,IF($C34="W",1,IF($C34="1/2W",0.5,0)),0)</f>
        <v>0</v>
      </c>
      <c r="CW34" s="146">
        <f>IF(CV$3=$K34,IF($C34="L",1,IF($C34="1/2L",0.5,0)),0)</f>
        <v>0</v>
      </c>
      <c r="CX34" s="146">
        <f>IF(CX$3=$K34,IF($C34="W",1,IF($C34="1/2W",0.5,0)),0)</f>
        <v>0</v>
      </c>
      <c r="CY34" s="146">
        <f>IF(CX$3=$K34,IF($C34="L",1,IF($C34="1/2L",0.5,0)),0)</f>
        <v>0</v>
      </c>
      <c r="CZ34" s="146">
        <f>IF(CZ$3=$K34,IF($C34="W",1,IF($C34="1/2W",0.5,0)),0)</f>
        <v>0</v>
      </c>
      <c r="DA34" s="146">
        <f>IF(CZ$3=$K34,IF($C34="L",1,IF($C34="1/2L",0.5,0)),0)</f>
        <v>0</v>
      </c>
      <c r="DB34" s="146">
        <f>IF(DB$3=$K34,IF($C34="W",1,IF($C34="1/2W",0.5,0)),0)</f>
        <v>0</v>
      </c>
      <c r="DC34" s="146">
        <f>IF(DB$3=$K34,IF($C34="L",1,IF($C34="1/2L",0.5,0)),0)</f>
        <v>0</v>
      </c>
      <c r="DD34" s="146">
        <f>IF(DD$3=$K34,IF($C34="W",1,IF($C34="1/2W",0.5,0)),0)</f>
        <v>0</v>
      </c>
      <c r="DE34" s="147">
        <f>IF(DD$3=$K34,IF($C34="L",1,IF($C34="1/2L",0.5,0)),0)</f>
        <v>0</v>
      </c>
      <c r="DF34" s="143">
        <f>IF(AND(L34&lt;DF$3,$C34="W"),1+DF33,DF33)</f>
        <v>2</v>
      </c>
      <c r="DG34" s="133">
        <f>IF(DF34&gt;DF33,L34+DG33,DG33)</f>
        <v>2.55</v>
      </c>
      <c r="DH34" s="146">
        <f>IF(AND(L34&gt;DH$3,$C34="W"),1+DH33,0+DH33)</f>
        <v>0</v>
      </c>
      <c r="DI34" s="133">
        <f>IF(DH34&gt;DH33,L34+DI33,DI33)</f>
        <v>0</v>
      </c>
      <c r="DJ34" s="146">
        <f>IF($D34="","",$D34)</f>
        <v>16</v>
      </c>
      <c r="DK34" s="146">
        <f>IF(AND($B34=" ",$D34&lt;&gt;""),1,0)</f>
        <v>0</v>
      </c>
    </row>
    <row r="35" ht="14.55" customHeight="1">
      <c r="A35" s="107"/>
      <c r="B35" s="108"/>
      <c r="C35" t="s" s="109">
        <v>56</v>
      </c>
      <c r="D35" s="110"/>
      <c r="E35" s="111"/>
      <c r="F35" s="113"/>
      <c r="G35" s="252"/>
      <c r="H35" s="114"/>
      <c r="I35" t="s" s="275">
        <v>75</v>
      </c>
      <c r="J35" s="276">
        <f>IF(OR(I34="TO",I34="TU",I34="TO1",I34="TU1",I34="TO2",I34="TU2"),J34,IF(OR(I34="AH1",I34="AH2"),IF(OR(I35="AH1",I35="AH2"),-J34,IF(OR(I35="EH1",I35="EH2"),-J34+0.5,"")),IF(OR(I34="EH1",I34="EH2"),IF(OR(I35="AH1",I35="AH2"),-J34+0.5,IF(OR(I35="EH1",I35="EH2"),-J34+1,"")),IF(AND(OR(I34="DNB1",I34="DNB2"),OR(I35="AH1",I35="AH2")),0,IF(AND(I34="Not ScoreBoth",OR(I35="TO1",I35="TO2")),0.5,"")))))</f>
        <v>6.5</v>
      </c>
      <c r="K35" t="s" s="117">
        <v>39</v>
      </c>
      <c r="L35" s="277">
        <v>1.84</v>
      </c>
      <c r="M35" s="278"/>
      <c r="N35" s="120"/>
      <c r="O35" s="121">
        <f>IF(OR(AE34="",AE35=""),"",ROUND(IF(L36&gt;0,IF(M35&gt;0,M35,IF(M34&gt;0,IF(N34=TRUE,ROUND((M34*AE35)/AE34,0),(M34*AE35)/AE34),IF(M35&gt;0,ROUND(M35,IF(N34=0,2,IF(N34=0.1,1,0))),IF(M36&gt;0,ROUND(O36*AE35/AE36,IF(N34=0,2,IF(N34=0.1,1,0))),0)))),IF(M35&gt;0,M35,ROUND((M34*AE35)/AE34,IF(N34=0,2,IF(N34=0.1,1,0))))),2))</f>
        <v>9.109999999999999</v>
      </c>
      <c r="P35" s="122">
        <f>IF(OR(L35="",O35=""),"",IF($C35="1/2W",O35/2+O35/2*L35,IF($C35="1/2L",O35/2,IF(I35="Lay",((O35*(L35/(L35-1)))-O35)*(1-_xlfn.XLOOKUP(K35,'Janeiro 2023 - Valor Real'!A3:A15,'Janeiro 2023 - Valor Real'!C3:C15,0))+O35,(O35*L35-O35)*(1-_xlfn.XLOOKUP(K35,'Janeiro 2023 - Valor Real'!A3:A15,'Janeiro 2023 - Valor Real'!C3:C15,0))+O35))))</f>
        <v>19.2502976190476</v>
      </c>
      <c r="Q35" s="279">
        <v>1</v>
      </c>
      <c r="R35" s="280">
        <v>0</v>
      </c>
      <c r="S35" s="125"/>
      <c r="T35" s="126"/>
      <c r="U35" s="126"/>
      <c r="V35" s="224"/>
      <c r="W35" s="126"/>
      <c r="X35" s="127"/>
      <c r="Y35" s="128"/>
      <c r="Z35" s="129"/>
      <c r="AA35" s="129"/>
      <c r="AB35" s="129"/>
      <c r="AC35" s="129"/>
      <c r="AD35" s="130"/>
      <c r="AE35" s="131">
        <f>IF(L35="","",IF(L36&gt;0,(SUM(((L34-1)*(1-_xlfn.XLOOKUP(K34,'Janeiro 2023 - Valor Real'!A3:A15,'Janeiro 2023 - Valor Real'!C3:C15,0))+1),((L35-1)*(1-_xlfn.XLOOKUP(K35,'Janeiro 2023 - Valor Real'!A3:A15,'Janeiro 2023 - Valor Real'!C3:C15,0))+1),((L36-1)*(1-_xlfn.XLOOKUP(K36,'Janeiro 2023 - Valor Real'!A3:A15,'Janeiro 2023 - Valor Real'!C3:C15,0))+1))/((L35-1)*(1-_xlfn.XLOOKUP(K35,'Janeiro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Real'!C3:C15,0))+1))/((L34-1)*(1-_xlfn.XLOOKUP(K34,'Janeiro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Real'!C3:C15,0))+1))/((L35-1)*(1-_xlfn.XLOOKUP(K35,'Janeiro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Real'!C3:C15,0))+1))/((L36-1)*(1-_xlfn.XLOOKUP(K36,'Janeiro 2023 - Valor Real'!A3:A15,'Janeiro 2023 - Valor Real'!C3:C15,0))+1)),IF(I35="Lay",IF(I34="Lay",((L34/(L34-1)-1)*(1-_xlfn.XLOOKUP(K34,'Janeiro 2023 - Valor Real'!A3:A15,'Janeiro 2023 - Valor Real'!C3:C15,0))+1)/(((L34/(L34-1)-1)*(1-_xlfn.XLOOKUP(K34,'Janeiro 2023 - Valor Real'!A3:A15,'Janeiro 2023 - Valor Real'!C3:C15,0))+1)+((L35/(L35-1)-1)*(1-_xlfn.XLOOKUP(K35,'Janeiro 2023 - Valor Real'!A3:A15,'Janeiro 2023 - Valor Real'!C3:C15,0))+1)),((L34-1)*(1-_xlfn.XLOOKUP(K34,'Janeiro 2023 - Valor Real'!A3:A15,'Janeiro 2023 - Valor Real'!C3:C15,0))+1)/(((L34-1)*(1-_xlfn.XLOOKUP(K34,'Janeiro 2023 - Valor Real'!A3:A15,'Janeiro 2023 - Valor Real'!C3:C15,0))+1)+((L35/(L35-1)-1)*(1-_xlfn.XLOOKUP(K35,'Janeiro 2023 - Valor Real'!A3:A15,'Janeiro 2023 - Valor Real'!C3:C15,0))+1))),IF(I34="Lay",((L34/(L34-1)-1)*(1-_xlfn.XLOOKUP(K34,'Janeiro 2023 - Valor Real'!A3:A15,'Janeiro 2023 - Valor Real'!C3:C15,0))+1)/((((L34/(L34-1)-1)*(1-_xlfn.XLOOKUP(K34,'Janeiro 2023 - Valor Real'!A3:A15,'Janeiro 2023 - Valor Real'!C3:C15,0))+1))+((L35-1)*(1-_xlfn.XLOOKUP(K35,'Janeiro 2023 - Valor Real'!A3:A15,'Janeiro 2023 - Valor Real'!C3:C15,0))+1)),((L34-1)*(1-_xlfn.XLOOKUP(K34,'Janeiro 2023 - Valor Real'!A3:A15,'Janeiro 2023 - Valor Real'!C3:C15,0))+1)/(((L34-1)*(1-_xlfn.XLOOKUP(K34,'Janeiro 2023 - Valor Real'!A3:A15,'Janeiro 2023 - Valor Real'!C3:C15,0))+1)+((L35-1)*(1-_xlfn.XLOOKUP(K35,'Janeiro 2023 - Valor Real'!A3:A15,'Janeiro 2023 - Valor Real'!C3:C15,0))+1))))))</f>
        <v>0.541935483870968</v>
      </c>
      <c r="AF35" s="132">
        <f>IF($K35=AF$3,ROUND(IF(OR($C35="W",$C35="1/2W",$C35="1/2L"),$P35-$O35,IF($C35="X",0,-$O35)),2),0)</f>
        <v>0</v>
      </c>
      <c r="AG35" s="133">
        <f>IF($K35=AG$3,ROUND(IF(OR($C35="W",$C35="1/2W",$C35="1/2L"),$P35-$O35,IF($C35="X",0,-$O35)),2),0)</f>
        <v>0</v>
      </c>
      <c r="AH35" s="133">
        <f>IF($K35=AH$3,ROUND(IF(OR($C35="W",$C35="1/2W",$C35="1/2L"),$P35-$O35,IF($C35="X",0,-$O35)),2),0)</f>
        <v>10.14</v>
      </c>
      <c r="AI35" s="133">
        <f>IF($K35=AI$3,ROUND(IF(OR($C35="W",$C35="1/2W",$C35="1/2L"),$P35-$O35,IF($C35="X",0,-$O35)),2),0)</f>
        <v>0</v>
      </c>
      <c r="AJ35" s="133">
        <f>IF($K35=AJ$3,ROUND(IF(OR($C35="W",$C35="1/2W",$C35="1/2L"),$P35-$O35,IF($C35="X",0,-$O35)),2),0)</f>
        <v>0</v>
      </c>
      <c r="AK35" s="133">
        <f>IF($K35=AK$3,ROUND(IF(OR($C35="W",$C35="1/2W",$C35="1/2L"),$P35-$O35,IF($C35="X",0,-$O35)),2),0)</f>
        <v>0</v>
      </c>
      <c r="AL35" s="133">
        <f>IF($K35=AL$3,ROUND(IF(OR($C35="W",$C35="1/2W",$C35="1/2L"),$P35-$O35,IF($C35="X",0,-$O35)),2),0)</f>
        <v>0</v>
      </c>
      <c r="AM35" s="133">
        <f>IF($K35=AM$3,ROUND(IF(OR($C35="W",$C35="1/2W",$C35="1/2L"),$P35-$O35,IF($C35="X",0,-$O35)),2),0)</f>
        <v>0</v>
      </c>
      <c r="AN35" s="133">
        <f>IF($K35=AN$3,ROUND(IF(OR($C35="W",$C35="1/2W",$C35="1/2L"),$P35-$O35,IF($C35="X",0,-$O35)),2),0)</f>
        <v>0</v>
      </c>
      <c r="AO35" s="133">
        <f>IF($K35=AO$3,ROUND(IF(OR($C35="W",$C35="1/2W",$C35="1/2L"),$P35-$O35,IF($C35="X",0,-$O35)),2),0)</f>
        <v>0</v>
      </c>
      <c r="AP35" s="133">
        <f>IF($K35=AP$3,ROUND(IF(OR($C35="W",$C35="1/2W",$C35="1/2L"),$P35-$O35,IF($C35="X",0,-$O35)),2),0)</f>
        <v>0</v>
      </c>
      <c r="AQ35" s="133">
        <f>IF($K35=AQ$3,ROUND(IF(OR($C35="W",$C35="1/2W",$C35="1/2L"),$P35-$O35,IF($C35="X",0,-$O35)),2),0)</f>
        <v>0</v>
      </c>
      <c r="AR35" s="134">
        <f>IF($K35=AR$3,ROUND(IF(OR($C35="W",$C35="1/2W",$C35="1/2L"),$P35-$O35,IF($C35="X",0,-$O35)),2),0)</f>
        <v>0</v>
      </c>
      <c r="AS35" s="132">
        <f>IF(AND($B34=" ",$K35=AS$3),$O35,0)</f>
        <v>0</v>
      </c>
      <c r="AT35" s="133">
        <f>IF(AND($B34=" ",K35=AT$3),$O35,0)</f>
        <v>0</v>
      </c>
      <c r="AU35" s="133">
        <f>IF(AND($B34=" ",$K35=AU$3),$O35,0)</f>
        <v>0</v>
      </c>
      <c r="AV35" s="133">
        <f>IF(AND($B34=" ",$K35=AV$3),$O35,0)</f>
        <v>0</v>
      </c>
      <c r="AW35" s="133">
        <f>IF(AND($B34=" ",$K35=AW$3),$O35,0)</f>
        <v>0</v>
      </c>
      <c r="AX35" s="133">
        <f>IF(AND($B34=" ",$K35=AX$3),$O35,0)</f>
        <v>0</v>
      </c>
      <c r="AY35" s="135">
        <f>IF(AND($B34=" ",$K35=AY$3),$O35,0)</f>
        <v>0</v>
      </c>
      <c r="AZ35" s="136">
        <f>IF(AND($B34=" ",$K35=AZ$3),$O35,0)</f>
        <v>0</v>
      </c>
      <c r="BA35" s="136">
        <f>IF(AND($B34=" ",$K35=BA$3),$O35,0)</f>
        <v>0</v>
      </c>
      <c r="BB35" s="136">
        <f>IF(AND($B34=" ",$K35=BB$3),$O35,0)</f>
        <v>0</v>
      </c>
      <c r="BC35" s="137">
        <f>IF(AND($B34=" ",$K35=BC$3),$O35,0)</f>
        <v>0</v>
      </c>
      <c r="BD35" s="133">
        <f>IF(AND($B34=" ",$K35=BD$3),$O35,0)</f>
        <v>0</v>
      </c>
      <c r="BE35" s="134">
        <f>IF(AND($B34=" ",$K35=BE$3),$O35,0)</f>
        <v>0</v>
      </c>
      <c r="BF35" s="132">
        <f>IF($K35=BF$3,IF($C35="X",0,$O35),0)</f>
        <v>0</v>
      </c>
      <c r="BG35" s="281">
        <f>IF($K35=BG$3,IF($C35="X",0,$O35),0)</f>
        <v>0</v>
      </c>
      <c r="BH35" s="133">
        <f>IF($K35=BH$3,IF($C35="X",0,$O35),0)</f>
        <v>9.109999999999999</v>
      </c>
      <c r="BI35" s="133">
        <f>IF($K35=BI$3,IF($C35="X",0,$O35),0)</f>
        <v>0</v>
      </c>
      <c r="BJ35" s="133">
        <f>IF($K35=BJ$3,IF($C35="X",0,$O35),0)</f>
        <v>0</v>
      </c>
      <c r="BK35" s="133">
        <f>IF($K35=BK$3,IF($C35="X",0,$O35),0)</f>
        <v>0</v>
      </c>
      <c r="BL35" s="133">
        <f>IF($K35=BL$3,IF($C35="X",0,$O35),0)</f>
        <v>0</v>
      </c>
      <c r="BM35" s="135">
        <f>IF($K35=BM$3,IF($C35="X",0,$O35),0)</f>
        <v>0</v>
      </c>
      <c r="BN35" s="136">
        <f>IF($K35=BN$3,IF($C35="X",0,$O35),0)</f>
        <v>0</v>
      </c>
      <c r="BO35" s="136">
        <f>IF($K35=BO$3,IF($C35="X",0,$O35),0)</f>
        <v>0</v>
      </c>
      <c r="BP35" s="136">
        <f>IF($K35=BP$3,IF($C35="X",0,$O35),0)</f>
        <v>0</v>
      </c>
      <c r="BQ35" s="137">
        <f>IF($K35=BQ$3,IF($C35="X",0,$O35),0)</f>
        <v>0</v>
      </c>
      <c r="BR35" s="134">
        <f>IF($K35=BR$3,IF($C35="X",0,$O35),0)</f>
        <v>0</v>
      </c>
      <c r="BS35" s="282"/>
      <c r="BT35" s="283"/>
      <c r="BU35" s="140"/>
      <c r="BV35" s="283"/>
      <c r="BW35" s="140"/>
      <c r="BX35" s="140"/>
      <c r="BY35" s="140"/>
      <c r="BZ35" s="283"/>
      <c r="CA35" s="140"/>
      <c r="CB35" s="140"/>
      <c r="CC35" s="140"/>
      <c r="CD35" s="141"/>
      <c r="CE35" s="142"/>
      <c r="CF35" s="284">
        <f>IF(CF$3=$K35,IF($C35="W",1,IF($C35="1/2W",0.5,0)),0)</f>
        <v>0</v>
      </c>
      <c r="CG35" s="285">
        <f>IF(CF$3=$K35,IF($C35="L",1,IF($C35="1/2L",0.5,0)),0)</f>
        <v>0</v>
      </c>
      <c r="CH35" s="285">
        <f>IF(CH$3=$K35,IF($C35="W",1,IF($C35="1/2W",0.5,0)),0)</f>
        <v>0</v>
      </c>
      <c r="CI35" s="285">
        <f>IF(CH$3=$K35,IF($C35="L",1,IF($C35="1/2L",0.5,0)),0)</f>
        <v>0</v>
      </c>
      <c r="CJ35" s="285">
        <f>IF(CJ$3=$K35,IF($C35="W",1,IF($C35="1/2W",0.5,0)),0)</f>
        <v>1</v>
      </c>
      <c r="CK35" s="285">
        <f>IF(CJ$3=$K35,IF($C35="L",1,IF($C35="1/2L",0.5,0)),0)</f>
        <v>0</v>
      </c>
      <c r="CL35" s="285">
        <f>IF(CL$3=$K35,IF($C35="W",1,IF($C35="1/2W",0.5,0)),0)</f>
        <v>0</v>
      </c>
      <c r="CM35" s="285">
        <f>IF(CL$3=$K35,IF($C35="L",1,IF($C35="1/2L",0.5,0)),0)</f>
        <v>0</v>
      </c>
      <c r="CN35" s="285">
        <f>IF(CN$3=$K35,IF($C35="W",1,IF($C35="1/2W",0.5,0)),0)</f>
        <v>0</v>
      </c>
      <c r="CO35" s="285">
        <f>IF(CN$3=$K35,IF($C35="L",1,IF($C35="1/2L",0.5,0)),0)</f>
        <v>0</v>
      </c>
      <c r="CP35" s="285">
        <f>IF(CP$3=$K35,IF($C35="W",1,IF($C35="1/2W",0.5,0)),0)</f>
        <v>0</v>
      </c>
      <c r="CQ35" s="285">
        <f>IF(CP$3=$K35,IF($C35="L",1,IF($C35="1/2L",0.5,0)),0)</f>
        <v>0</v>
      </c>
      <c r="CR35" s="285">
        <f>IF(CR$3=$K35,IF($C35="W",1,IF($C35="1/2W",0.5,0)),0)</f>
        <v>0</v>
      </c>
      <c r="CS35" s="285">
        <f>IF(CR$3=$K35,IF($C35="L",1,IF($C35="1/2L",0.5,0)),0)</f>
        <v>0</v>
      </c>
      <c r="CT35" s="145">
        <f>IF(CT$3=$K35,IF($C35="W",1,IF($C35="1/2W",0.5,0)),0)</f>
        <v>0</v>
      </c>
      <c r="CU35" s="146">
        <f>IF(CT$3=$K35,IF($C35="L",1,IF($C35="1/2L",0.5,0)),0)</f>
        <v>0</v>
      </c>
      <c r="CV35" s="146">
        <f>IF(CV$3=$K35,IF($C35="W",1,IF($C35="1/2W",0.5,0)),0)</f>
        <v>0</v>
      </c>
      <c r="CW35" s="146">
        <f>IF(CV$3=$K35,IF($C35="L",1,IF($C35="1/2L",0.5,0)),0)</f>
        <v>0</v>
      </c>
      <c r="CX35" s="146">
        <f>IF(CX$3=$K35,IF($C35="W",1,IF($C35="1/2W",0.5,0)),0)</f>
        <v>0</v>
      </c>
      <c r="CY35" s="146">
        <f>IF(CX$3=$K35,IF($C35="L",1,IF($C35="1/2L",0.5,0)),0)</f>
        <v>0</v>
      </c>
      <c r="CZ35" s="146">
        <f>IF(CZ$3=$K35,IF($C35="W",1,IF($C35="1/2W",0.5,0)),0)</f>
        <v>0</v>
      </c>
      <c r="DA35" s="146">
        <f>IF(CZ$3=$K35,IF($C35="L",1,IF($C35="1/2L",0.5,0)),0)</f>
        <v>0</v>
      </c>
      <c r="DB35" s="146">
        <f>IF(DB$3=$K35,IF($C35="W",1,IF($C35="1/2W",0.5,0)),0)</f>
        <v>0</v>
      </c>
      <c r="DC35" s="146">
        <f>IF(DB$3=$K35,IF($C35="L",1,IF($C35="1/2L",0.5,0)),0)</f>
        <v>0</v>
      </c>
      <c r="DD35" s="146">
        <f>IF(DD$3=$K35,IF($C35="W",1,IF($C35="1/2W",0.5,0)),0)</f>
        <v>0</v>
      </c>
      <c r="DE35" s="147">
        <f>IF(DD$3=$K35,IF($C35="L",1,IF($C35="1/2L",0.5,0)),0)</f>
        <v>0</v>
      </c>
      <c r="DF35" s="143">
        <f>IF(AND(L35&lt;DF$3,$C35="W"),1+DF34,DF34)</f>
        <v>2</v>
      </c>
      <c r="DG35" s="133">
        <f>IF(DF35&gt;DF34,L35+DG34,DG34)</f>
        <v>2.55</v>
      </c>
      <c r="DH35" s="146">
        <f>IF(AND(L35&gt;DH$3,$C35="W"),1+DH34,0+DH34)</f>
        <v>0</v>
      </c>
      <c r="DI35" s="133">
        <f>IF(DH35&gt;DH34,L35+DI34,DI34)</f>
        <v>0</v>
      </c>
      <c r="DJ35" s="146">
        <f>IF($D34="","",$D34)</f>
        <v>16</v>
      </c>
      <c r="DK35" s="286"/>
    </row>
    <row r="36" ht="14.55" customHeight="1">
      <c r="A36" s="149"/>
      <c r="B36" s="150"/>
      <c r="C36" t="s" s="151">
        <v>58</v>
      </c>
      <c r="D36" s="152"/>
      <c r="E36" s="153"/>
      <c r="F36" s="155"/>
      <c r="G36" s="252"/>
      <c r="H36" s="156"/>
      <c r="I36" s="287"/>
      <c r="J36" s="288"/>
      <c r="K36" s="156"/>
      <c r="L36" s="289"/>
      <c r="M36" s="290"/>
      <c r="N36" s="161"/>
      <c r="O36" t="s" s="162">
        <f>IF(OR(AE34="",AE35=""),"",IF(L36&gt;0,ROUND(IF(M36&gt;0,M36,IF(M34&gt;0,ROUND((M34*AE36)/AE34,IF(N34=0,2,IF(N34=0.1,1,0))),IF(M35&gt;0,ROUND((M35*AE36)/AE35,IF(N34=0,2,IF(N34=0.1,1,0))),IF(M36&gt;0,M36,0)))),2),""))</f>
      </c>
      <c r="P36" s="297">
        <f>IF(I35="Lay",O35*(L35/(L35-1))-O35,IF(I34="Lay",O34*(L34/(L34-1))-O34,IF(OR(L36="",O36=""),"",IF($C36="1/2W",O36/2+O36/2*L36,IF($C36="1/2L",O36/2,(O36*L36-O36)*(1-_xlfn.XLOOKUP(K36,'Janeiro 2023 - Valor Real'!A3:A15,'Janeiro 2023 - Valor Real'!C3:C15,0))+O36)))))</f>
        <v>10.8452380952381</v>
      </c>
      <c r="Q36" t="s" s="154"/>
      <c r="R36" t="s" s="163"/>
      <c r="S36" s="166"/>
      <c r="T36" s="155"/>
      <c r="U36" s="155"/>
      <c r="V36" s="166"/>
      <c r="W36" s="155"/>
      <c r="X36" s="167"/>
      <c r="Y36" s="128"/>
      <c r="Z36" s="129"/>
      <c r="AA36" s="129"/>
      <c r="AB36" s="129"/>
      <c r="AC36" s="129"/>
      <c r="AD36" s="168"/>
      <c r="AE36" t="s" s="169">
        <f>IF(L36="","",(SUM(((L34-1)*(1-_xlfn.XLOOKUP(K34,'Janeiro 2023 - Valor Real'!A3:A15,'Janeiro 2023 - Valor Real'!C3:C15,0))+1),((L35-1)*(1-_xlfn.XLOOKUP(K35,'Janeiro 2023 - Valor Real'!A3:A15,'Janeiro 2023 - Valor Real'!C3:C15,0))+1),((L36-1)*(1-_xlfn.XLOOKUP(K36,'Janeiro 2023 - Valor Real'!A3:A15,'Janeiro 2023 - Valor Real'!C3:C15,0))+1))/((L36-1)*(1-_xlfn.XLOOKUP(K36,'Janeiro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Real'!C3:C15,0))+1))/((L34-1)*(1-_xlfn.XLOOKUP(K34,'Janeiro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Real'!C3:C15,0))+1))/((L35-1)*(1-_xlfn.XLOOKUP(K35,'Janeiro 2023 - Valor Real'!A3:A15,'Janeiro 2023 - Valor Real'!C3:C15,0))+1)+SUM(((L34-1)*(1-_xlfn.XLOOKUP(K34,'Janeiro 2023 - Valor Real'!A3:A15,'Janeiro 2023 - Valor Real'!C3:C15,0))+1),((L35-1)*(1-_xlfn.XLOOKUP(K35,'Janeiro 2023 - Valor Real'!A3:A15,'Janeiro 2023 - Valor Real'!C3:C15,0))+1),((L36-1)*(1-_xlfn.XLOOKUP(K36,'Janeiro 2023 - Valor Real'!A3:A15,'Janeiro 2023 - Valor Real'!C3:C15,0))+1))/((L36-1)*(1-_xlfn.XLOOKUP(K36,'Janeiro 2023 - Valor Real'!A3:A15,'Janeiro 2023 - Valor Real'!C3:C15,0))+1)))</f>
      </c>
      <c r="AF36" s="132">
        <f>IF($K36=AF$3,ROUND(IF(OR($C36="W",$C36="1/2W",$C36="1/2L"),$P36-$O36,IF($C36="X",0,-$O36)),2),0)</f>
        <v>0</v>
      </c>
      <c r="AG36" s="133">
        <f>IF($K36=AG$3,ROUND(IF(OR($C36="W",$C36="1/2W",$C36="1/2L"),$P36-$O36,IF($C36="X",0,-$O36)),2),0)</f>
        <v>0</v>
      </c>
      <c r="AH36" s="133">
        <f>IF($K36=AH$3,ROUND(IF(OR($C36="W",$C36="1/2W",$C36="1/2L"),$P36-$O36,IF($C36="X",0,-$O36)),2),0)</f>
        <v>0</v>
      </c>
      <c r="AI36" s="133">
        <f>IF($K36=AI$3,ROUND(IF(OR($C36="W",$C36="1/2W",$C36="1/2L"),$P36-$O36,IF($C36="X",0,-$O36)),2),0)</f>
        <v>0</v>
      </c>
      <c r="AJ36" s="133">
        <f>IF($K36=AJ$3,ROUND(IF(OR($C36="W",$C36="1/2W",$C36="1/2L"),$P36-$O36,IF($C36="X",0,-$O36)),2),0)</f>
        <v>0</v>
      </c>
      <c r="AK36" s="133">
        <f>IF($K36=AK$3,ROUND(IF(OR($C36="W",$C36="1/2W",$C36="1/2L"),$P36-$O36,IF($C36="X",0,-$O36)),2),0)</f>
        <v>0</v>
      </c>
      <c r="AL36" s="133">
        <f>IF($K36=AL$3,ROUND(IF(OR($C36="W",$C36="1/2W",$C36="1/2L"),$P36-$O36,IF($C36="X",0,-$O36)),2),0)</f>
        <v>0</v>
      </c>
      <c r="AM36" s="133">
        <f>IF($K36=AM$3,ROUND(IF(OR($C36="W",$C36="1/2W",$C36="1/2L"),$P36-$O36,IF($C36="X",0,-$O36)),2),0)</f>
        <v>0</v>
      </c>
      <c r="AN36" s="133">
        <f>IF($K36=AN$3,ROUND(IF(OR($C36="W",$C36="1/2W",$C36="1/2L"),$P36-$O36,IF($C36="X",0,-$O36)),2),0)</f>
        <v>0</v>
      </c>
      <c r="AO36" s="133">
        <f>IF($K36=AO$3,ROUND(IF(OR($C36="W",$C36="1/2W",$C36="1/2L"),$P36-$O36,IF($C36="X",0,-$O36)),2),0)</f>
        <v>0</v>
      </c>
      <c r="AP36" s="133">
        <f>IF($K36=AP$3,ROUND(IF(OR($C36="W",$C36="1/2W",$C36="1/2L"),$P36-$O36,IF($C36="X",0,-$O36)),2),0)</f>
        <v>0</v>
      </c>
      <c r="AQ36" s="133">
        <f>IF($K36=AQ$3,ROUND(IF(OR($C36="W",$C36="1/2W",$C36="1/2L"),$P36-$O36,IF($C36="X",0,-$O36)),2),0)</f>
        <v>0</v>
      </c>
      <c r="AR36" s="134">
        <f>IF($K36=AR$3,ROUND(IF(OR($C36="W",$C36="1/2W",$C36="1/2L"),$P36-$O36,IF($C36="X",0,-$O36)),2),0)</f>
        <v>0</v>
      </c>
      <c r="AS36" s="132">
        <f>IF(AND($B34=" ",$K36=AS$3),$O36,0)</f>
        <v>0</v>
      </c>
      <c r="AT36" s="133">
        <f>IF(AND($B34=" ",K36=AT$3),$O36,0)</f>
        <v>0</v>
      </c>
      <c r="AU36" s="133">
        <f>IF(AND($B34=" ",$K36=AU$3),$O36,0)</f>
        <v>0</v>
      </c>
      <c r="AV36" s="133">
        <f>IF(AND($B34=" ",$K36=AV$3),$O36,0)</f>
        <v>0</v>
      </c>
      <c r="AW36" s="133">
        <f>IF(AND($B34=" ",$K36=AW$3),$O36,0)</f>
        <v>0</v>
      </c>
      <c r="AX36" s="133">
        <f>IF(AND($B34=" ",$K36=AX$3),$O36,0)</f>
        <v>0</v>
      </c>
      <c r="AY36" s="135">
        <f>IF(AND($B34=" ",$K36=AY$3),$O36,0)</f>
        <v>0</v>
      </c>
      <c r="AZ36" s="136">
        <f>IF(AND($B34=" ",$K36=AZ$3),$O36,0)</f>
        <v>0</v>
      </c>
      <c r="BA36" s="136">
        <f>IF(AND($B34=" ",$K36=BA$3),$O36,0)</f>
        <v>0</v>
      </c>
      <c r="BB36" s="136">
        <f>IF(AND($B34=" ",$K36=BB$3),$O36,0)</f>
        <v>0</v>
      </c>
      <c r="BC36" s="137">
        <f>IF(AND($B34=" ",$K36=BC$3),$O36,0)</f>
        <v>0</v>
      </c>
      <c r="BD36" s="133">
        <f>IF(AND($B34=" ",$K36=BD$3),$O36,0)</f>
        <v>0</v>
      </c>
      <c r="BE36" s="134">
        <f>IF(AND($B34=" ",$K36=BE$3),$O36,0)</f>
        <v>0</v>
      </c>
      <c r="BF36" s="132">
        <f>IF($K36=BF$3,IF($C36="X",0,$O36),0)</f>
        <v>0</v>
      </c>
      <c r="BG36" s="281">
        <f>IF($K36=BG$3,IF($C36="X",0,$O36),0)</f>
        <v>0</v>
      </c>
      <c r="BH36" s="133">
        <f>IF($K36=BH$3,IF($C36="X",0,$O36),0)</f>
        <v>0</v>
      </c>
      <c r="BI36" s="133">
        <f>IF($K36=BI$3,IF($C36="X",0,$O36),0)</f>
        <v>0</v>
      </c>
      <c r="BJ36" s="133">
        <f>IF($K36=BJ$3,IF($C36="X",0,$O36),0)</f>
        <v>0</v>
      </c>
      <c r="BK36" s="133">
        <f>IF($K36=BK$3,IF($C36="X",0,$O36),0)</f>
        <v>0</v>
      </c>
      <c r="BL36" s="133">
        <f>IF($K36=BL$3,IF($C36="X",0,$O36),0)</f>
        <v>0</v>
      </c>
      <c r="BM36" s="135">
        <f>IF($K36=BM$3,IF($C36="X",0,$O36),0)</f>
        <v>0</v>
      </c>
      <c r="BN36" s="136">
        <f>IF($K36=BN$3,IF($C36="X",0,$O36),0)</f>
        <v>0</v>
      </c>
      <c r="BO36" s="136">
        <f>IF($K36=BO$3,IF($C36="X",0,$O36),0)</f>
        <v>0</v>
      </c>
      <c r="BP36" s="136">
        <f>IF($K36=BP$3,IF($C36="X",0,$O36),0)</f>
        <v>0</v>
      </c>
      <c r="BQ36" s="137">
        <f>IF($K36=BQ$3,IF($C36="X",0,$O36),0)</f>
        <v>0</v>
      </c>
      <c r="BR36" s="134">
        <f>IF($K36=BR$3,IF($C36="X",0,$O36),0)</f>
        <v>0</v>
      </c>
      <c r="BS36" s="282"/>
      <c r="BT36" s="283"/>
      <c r="BU36" s="140"/>
      <c r="BV36" s="283"/>
      <c r="BW36" s="140"/>
      <c r="BX36" s="140"/>
      <c r="BY36" s="140"/>
      <c r="BZ36" s="283"/>
      <c r="CA36" s="140"/>
      <c r="CB36" s="140"/>
      <c r="CC36" s="140"/>
      <c r="CD36" s="141"/>
      <c r="CE36" s="142"/>
      <c r="CF36" s="284">
        <f>IF(CF$3=$K36,IF($C36="W",1,IF($C36="1/2W",0.5,0)),0)</f>
        <v>0</v>
      </c>
      <c r="CG36" s="285">
        <f>IF(CF$3=$K36,IF($C36="L",1,IF($C36="1/2L",0.5,0)),0)</f>
        <v>0</v>
      </c>
      <c r="CH36" s="285">
        <f>IF(CH$3=$K36,IF($C36="W",1,IF($C36="1/2W",0.5,0)),0)</f>
        <v>0</v>
      </c>
      <c r="CI36" s="285">
        <f>IF(CH$3=$K36,IF($C36="L",1,IF($C36="1/2L",0.5,0)),0)</f>
        <v>0</v>
      </c>
      <c r="CJ36" s="285">
        <f>IF(CJ$3=$K36,IF($C36="W",1,IF($C36="1/2W",0.5,0)),0)</f>
        <v>0</v>
      </c>
      <c r="CK36" s="285">
        <f>IF(CJ$3=$K36,IF($C36="L",1,IF($C36="1/2L",0.5,0)),0)</f>
        <v>0</v>
      </c>
      <c r="CL36" s="285">
        <f>IF(CL$3=$K36,IF($C36="W",1,IF($C36="1/2W",0.5,0)),0)</f>
        <v>0</v>
      </c>
      <c r="CM36" s="285">
        <f>IF(CL$3=$K36,IF($C36="L",1,IF($C36="1/2L",0.5,0)),0)</f>
        <v>0</v>
      </c>
      <c r="CN36" s="285">
        <f>IF(CN$3=$K36,IF($C36="W",1,IF($C36="1/2W",0.5,0)),0)</f>
        <v>0</v>
      </c>
      <c r="CO36" s="285">
        <f>IF(CN$3=$K36,IF($C36="L",1,IF($C36="1/2L",0.5,0)),0)</f>
        <v>0</v>
      </c>
      <c r="CP36" s="285">
        <f>IF(CP$3=$K36,IF($C36="W",1,IF($C36="1/2W",0.5,0)),0)</f>
        <v>0</v>
      </c>
      <c r="CQ36" s="285">
        <f>IF(CP$3=$K36,IF($C36="L",1,IF($C36="1/2L",0.5,0)),0)</f>
        <v>0</v>
      </c>
      <c r="CR36" s="285">
        <f>IF(CR$3=$K36,IF($C36="W",1,IF($C36="1/2W",0.5,0)),0)</f>
        <v>0</v>
      </c>
      <c r="CS36" s="285">
        <f>IF(CR$3=$K36,IF($C36="L",1,IF($C36="1/2L",0.5,0)),0)</f>
        <v>0</v>
      </c>
      <c r="CT36" s="145">
        <f>IF(CT$3=$K36,IF($C36="W",1,IF($C36="1/2W",0.5,0)),0)</f>
        <v>0</v>
      </c>
      <c r="CU36" s="146">
        <f>IF(CT$3=$K36,IF($C36="L",1,IF($C36="1/2L",0.5,0)),0)</f>
        <v>0</v>
      </c>
      <c r="CV36" s="146">
        <f>IF(CV$3=$K36,IF($C36="W",1,IF($C36="1/2W",0.5,0)),0)</f>
        <v>0</v>
      </c>
      <c r="CW36" s="146">
        <f>IF(CV$3=$K36,IF($C36="L",1,IF($C36="1/2L",0.5,0)),0)</f>
        <v>0</v>
      </c>
      <c r="CX36" s="146">
        <f>IF(CX$3=$K36,IF($C36="W",1,IF($C36="1/2W",0.5,0)),0)</f>
        <v>0</v>
      </c>
      <c r="CY36" s="146">
        <f>IF(CX$3=$K36,IF($C36="L",1,IF($C36="1/2L",0.5,0)),0)</f>
        <v>0</v>
      </c>
      <c r="CZ36" s="146">
        <f>IF(CZ$3=$K36,IF($C36="W",1,IF($C36="1/2W",0.5,0)),0)</f>
        <v>0</v>
      </c>
      <c r="DA36" s="146">
        <f>IF(CZ$3=$K36,IF($C36="L",1,IF($C36="1/2L",0.5,0)),0)</f>
        <v>0</v>
      </c>
      <c r="DB36" s="146">
        <f>IF(DB$3=$K36,IF($C36="W",1,IF($C36="1/2W",0.5,0)),0)</f>
        <v>0</v>
      </c>
      <c r="DC36" s="146">
        <f>IF(DB$3=$K36,IF($C36="L",1,IF($C36="1/2L",0.5,0)),0)</f>
        <v>0</v>
      </c>
      <c r="DD36" s="146">
        <f>IF(DD$3=$K36,IF($C36="W",1,IF($C36="1/2W",0.5,0)),0)</f>
        <v>0</v>
      </c>
      <c r="DE36" s="147">
        <f>IF(DD$3=$K36,IF($C36="L",1,IF($C36="1/2L",0.5,0)),0)</f>
        <v>0</v>
      </c>
      <c r="DF36" s="143">
        <f>IF(AND(L36&lt;DF$3,$C36="W"),1+DF35,DF35)</f>
        <v>2</v>
      </c>
      <c r="DG36" s="133">
        <f>IF(DF36&gt;DF35,L36+DG35,DG35)</f>
        <v>2.55</v>
      </c>
      <c r="DH36" s="146">
        <f>IF(AND(L36&gt;DH$3,$C36="W"),1+DH35,0+DH35)</f>
        <v>0</v>
      </c>
      <c r="DI36" s="133">
        <f>IF(DH36&gt;DH35,L36+DI35,DI35)</f>
        <v>0</v>
      </c>
      <c r="DJ36" s="146">
        <f>IF($D34="","",$D34)</f>
        <v>16</v>
      </c>
      <c r="DK36" s="286"/>
    </row>
    <row r="37" ht="14.55" customHeight="1">
      <c r="A37" s="171">
        <f>$A34+1</f>
        <v>12</v>
      </c>
      <c r="B37" t="s" s="172">
        <v>50</v>
      </c>
      <c r="C37" t="s" s="173">
        <v>56</v>
      </c>
      <c r="D37" s="174">
        <f>IF(G37="","",$D34)</f>
        <v>16</v>
      </c>
      <c r="E37" t="s" s="175">
        <v>59</v>
      </c>
      <c r="F37" t="s" s="176">
        <f>IF(G37="","",IF(OR(AND($C37&lt;&gt;" ",$C38=" "),AND($C38&lt;&gt;" ",$C37=" "),AND(L39&gt;0,OR(AND($C39&lt;&gt;" ",OR($C37=" ",$C38=" ")),AND($C39=" ",OR($C37&lt;&gt;" ",$C38&lt;&gt;" "))))),IF(SUM(F$4:F36)=0,1,LARGE(F$4:F36,1)+1),IF(MONTH(G37)=MONTH(TODAY()),IF(AND(DAY(G37)&lt;DAY(TODAY()),$B37=" "),IF(SUM(F$4:F36)=0,1,LARGE(F$4:F36,1)+1),IF($B37=" ",IF(AND(DAY(G37)=DAY(TODAY()),HOUR(G37)&lt;=HOUR(NOW())+1),IF(AND(HOUR(G37)+2&lt;=HOUR(NOW()),DAY(G37)&lt;=DAY(TODAY()),MINUTE(G37)&lt;=MINUTE(NOW())),IF(SUM(F$4:F36)=0,1,LARGE(F$4:F36,1)+1),IF(OR(MINUTE(G37)&lt;=MINUTE(NOW()),HOUR(G37)&lt;=HOUR(NOW())),"!!!","")),""),"")),"")))</f>
      </c>
      <c r="G37" s="177">
        <v>44943.611111111109</v>
      </c>
      <c r="H37" t="s" s="178">
        <v>86</v>
      </c>
      <c r="I37" t="s" s="179">
        <v>87</v>
      </c>
      <c r="J37" s="180"/>
      <c r="K37" t="s" s="181">
        <v>37</v>
      </c>
      <c r="L37" s="182">
        <v>1.571</v>
      </c>
      <c r="M37" s="183"/>
      <c r="N37" s="184">
        <v>0</v>
      </c>
      <c r="O37" s="185">
        <f>IF(OR(AE37="",AE38=""),"",ROUND(IF(L39&gt;0,IF(M37&gt;0,M37,IF(M38&gt;0,ROUND((M38*AE37)/AE38,IF(N37=0,2,IF(N37=0.1,1,0))),ROUND((M39*AE37)/AE39,IF(N37=0,2,IF(N37=0.1,1,0))))),IF(M37&gt;0,M37,ROUND((M38*AE37)/AE38,IF(N37=0,2,IF(N37=0.1,1,0))))),2))</f>
        <v>17.5</v>
      </c>
      <c r="P37" s="186">
        <f>IF(OR(L37="",O37=""),"",IF($C37="1/2W",O37/2+O37/2*L37,IF($C37="1/2L",O37/2,IF(I37="Lay",(O37*(L37/(L37-1))-O37)*(1-_xlfn.XLOOKUP(K37,'Janeiro 2023 - Valor Real'!A3:A15,'Janeiro 2023 - Valor Real'!C3:C15,0))+O37,(O37*L37-O37)*(1-_xlfn.XLOOKUP(K37,'Janeiro 2023 - Valor Real'!A3:A15,'Janeiro 2023 - Valor Real'!C3:C15,0))+O37))))</f>
        <v>27.4925</v>
      </c>
      <c r="Q37" s="187">
        <v>1</v>
      </c>
      <c r="R37" s="188">
        <v>0</v>
      </c>
      <c r="S37" s="189">
        <f>IF($B37="Anulado",0,ROUND(IF(OR($B37="LOSS",$B37="OK"),IF(OR($C37="W",$C37="1/2W",$C37="1/2L"),P37-O37,IF($C37="L",-O37,0))+IF(OR($C38="W",$C38="1/2W",$C38="1/2L"),P38-O38,IF($C38="L",-O38,0))+IF(OR($C39="W",$C39="1/2W",$C39="1/2L"),P39-O39,IF($C39="L",-O39,0)),IF(AND(OR($C37="W",$C37="1/2W",$C37="1/2L"),C38="W"),P37+P38-SUM(O37:O39)+_xlfn.XLOOKUP("X",C37:C39,O37:O39,0),IF(AND(C37=TRUE,C39="W"),P37+P39-SUM(O37:O39),IF(AND(C38="W",C39="W"),P38+P39-SUM(O37:O39)+_xlfn.XLOOKUP("X",C37:C39,O37:O39,0),IF(L39&gt;0,IF(OR($C37="W",$C37="1/2W",$C37="1/2L"),P37-SUM(O37:O39)+_xlfn.XLOOKUP("X",C37:C39,O37:O39,0),IF(OR($C37="W",$C37="1/2W",$C37="1/2L"),P38-SUM(O37:O39)+_xlfn.XLOOKUP("X",C37:C39,O37:O39,0),IF(OR($C37="W",$C37="1/2W",$C37="1/2L"),P39-SUM(O37:O39)+_xlfn.XLOOKUP("X",C37:C39,O37:O39,0),IF(SUM(P37:P39)/3-SUM(O37:O39)+_xlfn.XLOOKUP("X",C37:C39,O37:O39,0)&gt;0,SUM(P37:P39)/3-SUM(O37:O39)+_xlfn.XLOOKUP("X",C37:C39,O37:O39,0),LARGE(P37:P39,1)-SUM(O37:O39))))),IF(OR($C37="W",$C37="1/2W",$C37="1/2L"),P37-SUM(O37:O38)+_xlfn.XLOOKUP("X",C37:C39,O37:O39,0),IF(OR($C37="W",$C37="1/2W",$C37="1/2L"),P38-SUM(O37:O38)+_xlfn.XLOOKUP("X",C37:C39,O37:O39,0),SUM(P37:P38)/2-SUM(O37:O38)+_xlfn.XLOOKUP("X",C37:C39,O37:O39,0)))))))),2))</f>
        <v>3.64</v>
      </c>
      <c r="T37" s="190">
        <f>IF(S37=0,0,S37/SUM(O37:O39))</f>
        <v>0.152620545073375</v>
      </c>
      <c r="U37" s="191">
        <f>IF($D37=$D34,IF(OR($B37="LOSS",$B37="OK",$B37="Anulada"),S37,0)+U34,IF(OR($B37="LOSS",$B37="OK",$B37="Anulada"),S37,0))</f>
        <v>21.45</v>
      </c>
      <c r="V37" s="191">
        <f>IF($D37="",0,IF($D37=$D34,IF($B37=" ",IF(I39="",IF(OR(AND(I37="DNB1",I38="DNB2"),AND(OR(I37="DNB1",I37="DNB2"),J38=0),AND(OR(I38="DNB1",I38="DNB2"),J37=0),AND(I37="DNB2",I38="DNB1"),AND(IF(J37=0,(J37+1)/ROUND(J37+1,0),J37/ROUND(J37,0))=1,IF(J38=0,(J38+1)/ROUND(IF(J38="",0,J38)+1,0),IF(J38="",0,J38)/ROUND(IF(J38="",1,J38),0))=1,OR(J37&lt;&gt;""),J38&lt;&gt;"")),0,IF(S37&lt;0,IF(I39="",SMALL(P37:P38,1)-SUM(O37:O38),0),SMALL(P37:P38,1)-SUM(O37:O38))),IF(S37&lt;0,IF(I39="",SMALL(P37:P39,1)-SUM(O37:O39),0),LARGE(P37:P39,1)-SUM(O37:O39))),S37)+V34,IF(I39="",IF(OR(AND(I37="DNB1",I38="DNB2"),AND(OR(I37="DNB1",I37="DNB2"),J38=0),AND(OR(I38="DNB1",I38="DNB2"),J37=0),AND(I37="DNB2",I38="DNB1"),AND(IF(J37=0,(J37+1)/ROUND(J37+1,0),J37/ROUND(J37,0))=1,IF(J38=0,(IF(J38="",0,J38)+1)/ROUND(IF(J38="",0,J38)+1,0),IF(J38="",0,J38)/ROUND(IF(J38="",0,J38)+1,0))=1,OR(J37&lt;&gt;""),J38&lt;&gt;"")),0,IF(S37&lt;0,IF(I39="",SMALL(P37:P38,1)-SUM(O37:O38),0),SMALL(P37:P39,1)-SUM(O37:O39))),IF(S37&lt;0,IF(I39="",SMALL(P37:P39,1)-SUM(O37:O39),0),LARGE(P37:P39,1)-SUM(O37:O39)))))</f>
        <v>21.45</v>
      </c>
      <c r="W37" s="191">
        <f>IF($D37=$D34,IF(S37&lt;0,IF(I39="",S37,0),S37)+W34,S37)</f>
        <v>21.45</v>
      </c>
      <c r="X37" t="s" s="192">
        <f>IF(OR(SUM(R37:R39)=0,V37=W37),ROUND(IF(W37=0,0,W37/Y37)*100,2)&amp;"%",ROUND(IF(V37=0,0,V37/Y37)*100,2)&amp;"% a "&amp;ROUND(IF(W37=0,0,W37/Y37)*100,2)&amp;"%")</f>
        <v>88</v>
      </c>
      <c r="Y37" s="193">
        <f>IF($D37=$D34,Y34+SUM(O37:O39),SUM(O37:O39))</f>
        <v>294.8</v>
      </c>
      <c r="Z37" s="191">
        <f>IF($B37=" ",SUM(O37:O39),0)+Z34</f>
        <v>0</v>
      </c>
      <c r="AA37" s="191">
        <f>IF(G37="","",IF($B37="Anulado",LARGE(P37:P39,1)-SUM(O37:O39)+AA34,AA34))</f>
        <v>0</v>
      </c>
      <c r="AB37" s="191">
        <f>IF($D37="","",AB34+S37)</f>
        <v>21.45</v>
      </c>
      <c r="AC37" s="194">
        <f>IF($D37="","",IF($B37=" ",IF(DAY(G37)=DAY(TODAY()),1+AC34,0+AC34),0+AC34))</f>
        <v>0</v>
      </c>
      <c r="AD37" s="195">
        <f>(((L38/(L38-1)-1)*(1-_xlfn.XLOOKUP(K38,'Janeiro 2023 - Valor Real'!A3:A15,'Janeiro 2023 - Valor Real'!C3:C15,0))+1))/(((L37-1)*(1-_xlfn.XLOOKUP(K37,'Janeiro 2023 - Valor Real'!A3:A15,'Janeiro 2023 - Valor Real'!C3:C15,0))+1)+((L38/(L38-1)-1)*(1-_xlfn.XLOOKUP(K38,'Janeiro 2023 - Valor Real'!A3:A15,'Janeiro 2023 - Valor Real'!C3:C15,0))+1))</f>
        <v>0.452861130604941</v>
      </c>
      <c r="AE37" s="196">
        <f>IF(L37="","",IF(L39&gt;0,(SUM(((L37-1)*(1-_xlfn.XLOOKUP(K37,'Janeiro 2023 - Valor Real'!A3:A15,'Janeiro 2023 - Valor Real'!C3:C15,0))+1),((L38-1)*(1-_xlfn.XLOOKUP(K38,'Janeiro 2023 - Valor Real'!A3:A15,'Janeiro 2023 - Valor Real'!C3:C15,0))+1),((L39-1)*(1-_xlfn.XLOOKUP(K39,'Janeiro 2023 - Valor Real'!A3:A15,'Janeiro 2023 - Valor Real'!C3:C15,0))+1))/((L37-1)*(1-_xlfn.XLOOKUP(K37,'Janeiro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Real'!C3:C15,0))+1))/((L37-1)*(1-_xlfn.XLOOKUP(K37,'Janeiro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Real'!C3:C15,0))+1))/((L38-1)*(1-_xlfn.XLOOKUP(K38,'Janeiro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Real'!C3:C15,0))+1))/((L39-1)*(1-_xlfn.XLOOKUP(K39,'Janeiro 2023 - Valor Real'!A3:A15,'Janeiro 2023 - Valor Real'!C3:C15,0))+1)),IF(I37="Lay",IF(I38="Lay",((L38/(L38-1)-1)*(1-_xlfn.XLOOKUP(K38,'Janeiro 2023 - Valor Real'!A3:A15,'Janeiro 2023 - Valor Real'!C3:C15,0))+1)/(((L38/(L38-1)-1)*(1-_xlfn.XLOOKUP(K38,'Janeiro 2023 - Valor Real'!A3:A15,'Janeiro 2023 - Valor Real'!C3:C15,0))+1)+((L37/(L37-1)-1)*(1-_xlfn.XLOOKUP(K37,'Janeiro 2023 - Valor Real'!A3:A15,'Janeiro 2023 - Valor Real'!C3:C15,0))+1)),((L38-1)*(1-_xlfn.XLOOKUP(K38,'Janeiro 2023 - Valor Real'!A3:A15,'Janeiro 2023 - Valor Real'!C3:C15,0))+1)/(((L38-1)*(1-_xlfn.XLOOKUP(K38,'Janeiro 2023 - Valor Real'!A3:A15,'Janeiro 2023 - Valor Real'!C3:C15,0))+1)+((L37/(L37-1)-1)*(1-_xlfn.XLOOKUP(K37,'Janeiro 2023 - Valor Real'!A3:A15,'Janeiro 2023 - Valor Real'!C3:C15,0))+1))),IF(I38="Lay",(((L38/(L38-1)-1)*(1-_xlfn.XLOOKUP(K38,'Janeiro 2023 - Valor Real'!A3:A15,'Janeiro 2023 - Valor Real'!C3:C15,0))+1))/(((L37-1)*(1-_xlfn.XLOOKUP(K37,'Janeiro 2023 - Valor Real'!A3:A15,'Janeiro 2023 - Valor Real'!C3:C15,0))+1)+((L38/(L38-1)-1)*(1-_xlfn.XLOOKUP(K38,'Janeiro 2023 - Valor Real'!A3:A15,'Janeiro 2023 - Valor Real'!C3:C15,0))+1)),((L38-1)*(1-_xlfn.XLOOKUP(K38,'Janeiro 2023 - Valor Real'!A3:A15,'Janeiro 2023 - Valor Real'!C3:C15,0))+1)/(((L38-1)*(1-_xlfn.XLOOKUP(K38,'Janeiro 2023 - Valor Real'!A3:A15,'Janeiro 2023 - Valor Real'!C3:C15,0))+1)+((L37-1)*(1-_xlfn.XLOOKUP(K37,'Janeiro 2023 - Valor Real'!A3:A15,'Janeiro 2023 - Valor Real'!C3:C15,0))+1))))))</f>
        <v>0.7337739366209119</v>
      </c>
      <c r="AF37" s="197">
        <f>IF($K37=AF$3,ROUND(IF(OR($C37="W",$C37="1/2W",$C37="1/2L"),$P37-$O37,IF($C37="X",0,-$O37)),2),0)</f>
        <v>9.99</v>
      </c>
      <c r="AG37" s="198">
        <f>IF($K37=AG$3,ROUND(IF(OR($C37="W",$C37="1/2W",$C37="1/2L"),$P37-$O37,IF($C37="X",0,-$O37)),2),0)</f>
        <v>0</v>
      </c>
      <c r="AH37" s="198">
        <f>IF($K37=AH$3,ROUND(IF(OR($C37="W",$C37="1/2W",$C37="1/2L"),$P37-$O37,IF($C37="X",0,-$O37)),2),0)</f>
        <v>0</v>
      </c>
      <c r="AI37" s="198">
        <f>IF($K37=AI$3,ROUND(IF(OR($C37="W",$C37="1/2W",$C37="1/2L"),$P37-$O37,IF($C37="X",0,-$O37)),2),0)</f>
        <v>0</v>
      </c>
      <c r="AJ37" s="198">
        <f>IF($K37=AJ$3,ROUND(IF(OR($C37="W",$C37="1/2W",$C37="1/2L"),$P37-$O37,IF($C37="X",0,-$O37)),2),0)</f>
        <v>0</v>
      </c>
      <c r="AK37" s="198">
        <f>IF($K37=AK$3,ROUND(IF(OR($C37="W",$C37="1/2W",$C37="1/2L"),$P37-$O37,IF($C37="X",0,-$O37)),2),0)</f>
        <v>0</v>
      </c>
      <c r="AL37" s="198">
        <f>IF($K37=AL$3,ROUND(IF(OR($C37="W",$C37="1/2W",$C37="1/2L"),$P37-$O37,IF($C37="X",0,-$O37)),2),0)</f>
        <v>0</v>
      </c>
      <c r="AM37" s="198">
        <f>IF($K37=AM$3,ROUND(IF(OR($C37="W",$C37="1/2W",$C37="1/2L"),$P37-$O37,IF($C37="X",0,-$O37)),2),0)</f>
        <v>0</v>
      </c>
      <c r="AN37" s="198">
        <f>IF($K37=AN$3,ROUND(IF(OR($C37="W",$C37="1/2W",$C37="1/2L"),$P37-$O37,IF($C37="X",0,-$O37)),2),0)</f>
        <v>0</v>
      </c>
      <c r="AO37" s="198">
        <f>IF($K37=AO$3,ROUND(IF(OR($C37="W",$C37="1/2W",$C37="1/2L"),$P37-$O37,IF($C37="X",0,-$O37)),2),0)</f>
        <v>0</v>
      </c>
      <c r="AP37" s="198">
        <f>IF($K37=AP$3,ROUND(IF(OR($C37="W",$C37="1/2W",$C37="1/2L"),$P37-$O37,IF($C37="X",0,-$O37)),2),0)</f>
        <v>0</v>
      </c>
      <c r="AQ37" s="198">
        <f>IF($K37=AQ$3,ROUND(IF(OR($C37="W",$C37="1/2W",$C37="1/2L"),$P37-$O37,IF($C37="X",0,-$O37)),2),0)</f>
        <v>0</v>
      </c>
      <c r="AR37" s="199">
        <f>IF($K37=AR$3,ROUND(IF(OR($C37="W",$C37="1/2W",$C37="1/2L"),$P37-$O37,IF($C37="X",0,-$O37)),2),0)</f>
        <v>0</v>
      </c>
      <c r="AS37" s="197">
        <f>IF(AND($B37=" ",$K37=AS$3),$O37,0)</f>
        <v>0</v>
      </c>
      <c r="AT37" s="198">
        <f>IF(AND($B37=" ",$K37=AT$3),$O37,0)</f>
        <v>0</v>
      </c>
      <c r="AU37" s="198">
        <f>IF(AND($B37=" ",$K37=AU$3),$O37,0)</f>
        <v>0</v>
      </c>
      <c r="AV37" s="198">
        <f>IF(AND($B37=" ",$K37=AV$3),$O37,0)</f>
        <v>0</v>
      </c>
      <c r="AW37" s="198">
        <f>IF(AND($B37=" ",$K37=AW$3),$O37,0)</f>
        <v>0</v>
      </c>
      <c r="AX37" s="198">
        <f>IF(AND($B37=" ",$K37=AX$3),$O37,0)</f>
        <v>0</v>
      </c>
      <c r="AY37" s="200">
        <f>IF(AND($B37=" ",$K37=AY$3),$O37,0)</f>
        <v>0</v>
      </c>
      <c r="AZ37" s="201">
        <f>IF(AND($B37=" ",$K37=AZ$3),$O37,0)</f>
        <v>0</v>
      </c>
      <c r="BA37" s="201">
        <f>IF(AND($B37=" ",$K37=BA$3),$O37,0)</f>
        <v>0</v>
      </c>
      <c r="BB37" s="201">
        <f>IF(AND($B37=" ",$K37=BB$3),$O37,0)</f>
        <v>0</v>
      </c>
      <c r="BC37" s="202">
        <f>IF(AND($B37=" ",$K37=BC$3),$O37,0)</f>
        <v>0</v>
      </c>
      <c r="BD37" s="198">
        <f>IF(AND($B37=" ",$K37=BD$3),$O37,0)</f>
        <v>0</v>
      </c>
      <c r="BE37" s="199">
        <f>IF(AND($B37=" ",$K37=BE$3),$O37,0)</f>
        <v>0</v>
      </c>
      <c r="BF37" s="203">
        <f>IF($K37=BF$3,IF($C37="X",0,$O37),0)</f>
        <v>17.5</v>
      </c>
      <c r="BG37" s="198">
        <f>IF($K37=BG$3,IF($C37="X",0,$O37),0)</f>
        <v>0</v>
      </c>
      <c r="BH37" s="198">
        <f>IF($K37=BH$3,IF($C37="X",0,$O37),0)</f>
        <v>0</v>
      </c>
      <c r="BI37" s="198">
        <f>IF($K37=BI$3,IF($C37="X",0,$O37),0)</f>
        <v>0</v>
      </c>
      <c r="BJ37" s="198">
        <f>IF($K37=BJ$3,IF($C37="X",0,$O37),0)</f>
        <v>0</v>
      </c>
      <c r="BK37" s="198">
        <f>IF($K37=BK$3,IF($C37="X",0,$O37),0)</f>
        <v>0</v>
      </c>
      <c r="BL37" s="198">
        <f>IF($K37=BL$3,IF($C37="X",0,$O37),0)</f>
        <v>0</v>
      </c>
      <c r="BM37" s="200">
        <f>IF($K37=BM$3,IF($C37="X",0,$O37),0)</f>
        <v>0</v>
      </c>
      <c r="BN37" s="201">
        <f>IF($K37=BN$3,IF($C37="X",0,$O37),0)</f>
        <v>0</v>
      </c>
      <c r="BO37" s="201">
        <f>IF($K37=BO$3,IF($C37="X",0,$O37),0)</f>
        <v>0</v>
      </c>
      <c r="BP37" s="201">
        <f>IF($K37=BP$3,IF($C37="X",0,$O37),0)</f>
        <v>0</v>
      </c>
      <c r="BQ37" s="202">
        <f>IF($K37=BQ$3,IF($C37="X",0,$O37),0)</f>
        <v>0</v>
      </c>
      <c r="BR37" s="199">
        <f>IF($K37=BR$3,IF($C37="X",0,$O37),0)</f>
        <v>0</v>
      </c>
      <c r="BS37" s="204">
        <f>IF($B37="LOSS",IF(AND($K37=BS$3,$C37="L"),-$O37,0)+IF(AND($K38=BS$3,$C38="L"),-$O38,0)+IF(AND($K39=BS$3,$C39="L"),-$O39,0),IF(OR(AND($K37=BS$3,OR($C37="W",$C37="1/2W")),AND($K38=BS$3,OR($C38="W",$C38="1/2W")),AND($K39=BS$3,OR($C39="W",$C39="1/2W"))),$S37,0))</f>
        <v>3.64</v>
      </c>
      <c r="BT37" s="201">
        <f>IF($B37="LOSS",IF(AND($K37=BT$3,$C37="L"),-$O37,0)+IF(AND($K38=BT$3,$C38="L"),-$O38,0)+IF(AND($K38=BT$3,$C39="L"),-$O39,0),IF(OR(AND($K38=BT$3,OR($C37="W",$C37="1/2W")),AND($K38=BT$3,OR($C38="W",$C38="1/2W")),AND($K38=BT$3,OR($C39="W",$C39="1/2W"))),$S37,0))</f>
        <v>0</v>
      </c>
      <c r="BU37" s="201">
        <f>IF($B37="LOSS",IF(AND($K37=BU$3,$C37="L"),-$O37,0)+IF(AND($K38=BU$3,$C38="L"),-$O38,0)+IF(AND($K38=BU$3,$C39="L"),-$O39,0),IF(OR(AND($K38=BU$3,OR($C37="W",$C37="1/2W")),AND($K38=BU$3,OR($C38="W",$C38="1/2W")),AND($K38=BU$3,OR($C39="W",$C39="1/2W"))),$S37,0))</f>
        <v>0</v>
      </c>
      <c r="BV37" s="201">
        <f>IF($B37="LOSS",IF(AND($K37=BV$3,$C37="L"),-$O37,0)+IF(AND($K38=BV$3,$C38="L"),-$O38,0)+IF(AND($K39=BV$3,$C39="L"),-$O39,0),IF(OR(AND($K37=BV$3,OR($C37="W",$C37="1/2W")),AND($K38=BV$3,OR($C38="W",$C38="1/2W")),AND($K39=BV$3,OR($C39="W",$C39="1/2W"))),$S37,0))</f>
        <v>0</v>
      </c>
      <c r="BW37" s="201">
        <f>IF($B37="LOSS",IF(AND($K37=BW$3,$C37="L"),-$O37,0)+IF(AND($K38=BW$3,$C38="L"),-$O38,0)+IF(AND($K39=BW$3,$C39="L"),-$O39,0),IF(OR(AND($K37=BW$3,OR($C37="W",$C37="1/2W")),AND($K38=BW$3,OR($C38="W",$C38="1/2W")),AND($K39=BW$3,OR($C39="W",$C39="1/2W"))),$S37,0))</f>
        <v>0</v>
      </c>
      <c r="BX37" s="201">
        <f>IF($B37="LOSS",IF(AND($K37=BX$3,$C37="L"),-$O37,0)+IF(AND($K38=BX$3,$C38="L"),-$O38,0)+IF(AND($K39=BX$3,$C39="L"),-$O39,0),IF(OR(AND($K37=BX$3,OR($C37="W",$C37="1/2W")),AND($K38=BX$3,OR($C38="W",$C38="1/2W")),AND($K39=BX$3,OR($C39="W",$C39="1/2W"))),$S37,0))</f>
        <v>0</v>
      </c>
      <c r="BY37" s="201">
        <f>IF($B37="LOSS",IF(AND($K37=BY$3,$C37="L"),-$O37,0)+IF(AND($K38=BY$3,$C38="L"),-$O38,0)+IF(AND($K39=BY$3,$C39="L"),-$O39,0),IF(OR(AND($K37=BY$3,OR($C37="W",$C37="1/2W")),AND($K38=BY$3,OR($C38="W",$C38="1/2W")),AND($K39=BY$3,OR($C39="W",$C39="1/2W"))),$S37,0))</f>
        <v>0</v>
      </c>
      <c r="BZ37" s="205">
        <f>IF($B37="LOSS",IF(AND($K37=BZ$3,$C37="L"),-$O37,0)+IF(AND($K38=BZ$3,$C38="L"),-$O38,0)+IF(AND($K39=BZ$3,$C39="L"),-$O39,0),IF(OR(AND($K37=BZ$3,OR($C37="W",$C37="1/2W")),AND($K38=BZ$3,OR($C38="W",$C38="1/2W")),AND($K39=BZ$3,OR($C39="W",$C39="1/2W"))),$S37,0))</f>
        <v>0</v>
      </c>
      <c r="CA37" s="205">
        <f>IF($B37="LOSS",IF(AND($K37=CA$3,$C37="L"),-$O37,0)+IF(AND($K38=CA$3,$C38="L"),-$O38,0)+IF(AND($K39=CA$3,$C39="L"),-$O39,0),IF(OR(AND($K37=CA$3,OR($C37="W",$C37="1/2W")),AND($K38=CA$3,OR($C38="W",$C38="1/2W")),AND($K39=CA$3,OR($C39="W",$C39="1/2W"))),$S37,0))</f>
        <v>0</v>
      </c>
      <c r="CB37" s="205">
        <f>IF($B37="LOSS",IF(AND($K37=CB$3,$C37="L"),-$O37,0)+IF(AND($K38=CB$3,$C38="L"),-$O38,0)+IF(AND($K39=CB$3,$C39="L"),-$O39,0),IF(OR(AND($K37=CB$3,OR($C37="W",$C37="1/2W")),AND($K38=CB$3,OR($C38="W",$C38="1/2W")),AND($K39=CB$3,OR($C39="W",$C39="1/2W"))),$S37,0))</f>
        <v>0</v>
      </c>
      <c r="CC37" s="205">
        <f>IF($B37="LOSS",IF(AND($K37=CC$3,$C37="L"),-$O37,0)+IF(AND($K38=CC$3,$C38="L"),-$O38,0)+IF(AND($K39=CC$3,$C39="L"),-$O39,0),IF(OR(AND($K37=CC$3,OR($C37="W",$C37="1/2W")),AND($K38=CC$3,OR($C38="W",$C38="1/2W")),AND($K39=CC$3,OR($C39="W",$C39="1/2W"))),$S37,0))</f>
        <v>0</v>
      </c>
      <c r="CD37" s="202">
        <f>IF($B37="LOSS",IF(AND($K37=CD$3,$C37="L"),-$O37,0)+IF(AND($K38=CD$3,$C38="L"),-$O38,0)+IF(AND($K39=CD$3,$C39="L"),-$O39,0),IF(OR(AND($K37=CD$3,OR($C37="W",$C37="1/2W")),AND($K38=CD$3,OR($C38="W",$C38="1/2W")),AND($K39=CD$3,OR($C39="W",$C39="1/2W"))),$S37,0))</f>
        <v>0</v>
      </c>
      <c r="CE37" s="199">
        <f>IF($B37="LOSS",IF(AND($K37=CE$3,$C37="L"),-$O37,0)+IF(AND($K38=CE$3,$C38="L"),-$O38,0)+IF(AND($K39=CE$3,$C39="L"),-$O39,0),IF(OR(AND($K37=CE$3,OR($C37="W",$C37="1/2W")),AND($K38=CE$3,OR($C38="W",$C38="1/2W")),AND($K39=CE$3,OR($C39="W",$C39="1/2W"))),$S37,0))</f>
        <v>0</v>
      </c>
      <c r="CF37" s="206">
        <f>IF(CF$3=$K37,IF($C37="W",1,IF($C37="1/2W",0.5,0)),0)</f>
        <v>1</v>
      </c>
      <c r="CG37" s="207">
        <f>IF(CF$3=$K37,IF($C37="L",1,IF($C37="1/2L",0.5,0)),0)</f>
        <v>0</v>
      </c>
      <c r="CH37" s="207">
        <f>IF(CH$3=$K37,IF($C37="W",1,IF($C37="1/2W",0.5,0)),0)</f>
        <v>0</v>
      </c>
      <c r="CI37" s="207">
        <f>IF(CH$3=$K37,IF($C37="L",1,IF($C37="1/2L",0.5,0)),0)</f>
        <v>0</v>
      </c>
      <c r="CJ37" s="207">
        <f>IF(CJ$3=$K37,IF($C37="W",1,IF($C37="1/2W",0.5,0)),0)</f>
        <v>0</v>
      </c>
      <c r="CK37" s="207">
        <f>IF(CJ$3=$K37,IF($C37="L",1,IF($C37="1/2L",0.5,0)),0)</f>
        <v>0</v>
      </c>
      <c r="CL37" s="207">
        <f>IF(CL$3=$K37,IF($C37="W",1,IF($C37="1/2W",0.5,0)),0)</f>
        <v>0</v>
      </c>
      <c r="CM37" s="207">
        <f>IF(CL$3=$K37,IF($C37="L",1,IF($C37="1/2L",0.5,0)),0)</f>
        <v>0</v>
      </c>
      <c r="CN37" s="207">
        <f>IF(CN$3=$K37,IF($C37="W",1,IF($C37="1/2W",0.5,0)),0)</f>
        <v>0</v>
      </c>
      <c r="CO37" s="207">
        <f>IF(CN$3=$K37,IF($C37="L",1,IF($C37="1/2L",0.5,0)),0)</f>
        <v>0</v>
      </c>
      <c r="CP37" s="207">
        <f>IF(CP$3=$K37,IF($C37="W",1,IF($C37="1/2W",0.5,0)),0)</f>
        <v>0</v>
      </c>
      <c r="CQ37" s="207">
        <f>IF(CP$3=$K37,IF($C37="L",1,IF($C37="1/2L",0.5,0)),0)</f>
        <v>0</v>
      </c>
      <c r="CR37" s="207">
        <f>IF(CR$3=$K37,IF($C37="W",1,IF($C37="1/2W",0.5,0)),0)</f>
        <v>0</v>
      </c>
      <c r="CS37" s="207">
        <f>IF(CR$3=$K37,IF($C37="L",1,IF($C37="1/2L",0.5,0)),0)</f>
        <v>0</v>
      </c>
      <c r="CT37" s="208">
        <f>IF(CT$3=$K37,IF($C37="W",1,IF($C37="1/2W",0.5,0)),0)</f>
        <v>0</v>
      </c>
      <c r="CU37" s="209">
        <f>IF(CT$3=$K37,IF($C37="L",1,IF($C37="1/2L",0.5,0)),0)</f>
        <v>0</v>
      </c>
      <c r="CV37" s="209">
        <f>IF(CV$3=$K37,IF($C37="W",1,IF($C37="1/2W",0.5,0)),0)</f>
        <v>0</v>
      </c>
      <c r="CW37" s="209">
        <f>IF(CV$3=$K37,IF($C37="L",1,IF($C37="1/2L",0.5,0)),0)</f>
        <v>0</v>
      </c>
      <c r="CX37" s="209">
        <f>IF(CX$3=$K37,IF($C37="W",1,IF($C37="1/2W",0.5,0)),0)</f>
        <v>0</v>
      </c>
      <c r="CY37" s="209">
        <f>IF(CX$3=$K37,IF($C37="L",1,IF($C37="1/2L",0.5,0)),0)</f>
        <v>0</v>
      </c>
      <c r="CZ37" s="209">
        <f>IF(CZ$3=$K37,IF($C37="W",1,IF($C37="1/2W",0.5,0)),0)</f>
        <v>0</v>
      </c>
      <c r="DA37" s="209">
        <f>IF(CZ$3=$K37,IF($C37="L",1,IF($C37="1/2L",0.5,0)),0)</f>
        <v>0</v>
      </c>
      <c r="DB37" s="209">
        <f>IF(DB$3=$K37,IF($C37="W",1,IF($C37="1/2W",0.5,0)),0)</f>
        <v>0</v>
      </c>
      <c r="DC37" s="209">
        <f>IF(DB$3=$K37,IF($C37="L",1,IF($C37="1/2L",0.5,0)),0)</f>
        <v>0</v>
      </c>
      <c r="DD37" s="209">
        <f>IF(DD$3=$K37,IF($C37="W",1,IF($C37="1/2W",0.5,0)),0)</f>
        <v>0</v>
      </c>
      <c r="DE37" s="210">
        <f>IF(DD$3=$K37,IF($C37="L",1,IF($C37="1/2L",0.5,0)),0)</f>
        <v>0</v>
      </c>
      <c r="DF37" s="211">
        <f>IF(AND(L37&lt;DF$3,$C37="W"),1+DF36,DF36)</f>
        <v>2</v>
      </c>
      <c r="DG37" s="198">
        <f>IF(DF37&gt;DF36,L37+DG36,DG36)</f>
        <v>2.55</v>
      </c>
      <c r="DH37" s="209">
        <f>IF(AND(L37&gt;DH$3,$C37="W"),1+DH36,0+DH36)</f>
        <v>0</v>
      </c>
      <c r="DI37" s="198">
        <f>IF(DH37&gt;DH36,L37+DI36,DI36)</f>
        <v>0</v>
      </c>
      <c r="DJ37" s="209">
        <f>IF($D37="","",$D37)</f>
        <v>16</v>
      </c>
      <c r="DK37" s="209">
        <f>IF(AND($B37=" ",$D37&lt;&gt;""),1,0)</f>
        <v>0</v>
      </c>
    </row>
    <row r="38" ht="14.55" customHeight="1">
      <c r="A38" s="107"/>
      <c r="B38" s="108"/>
      <c r="C38" t="s" s="213">
        <v>51</v>
      </c>
      <c r="D38" s="110"/>
      <c r="E38" s="111"/>
      <c r="F38" s="113"/>
      <c r="G38" s="214"/>
      <c r="H38" s="114"/>
      <c r="I38" s="299">
        <v>2</v>
      </c>
      <c r="J38" t="s" s="216">
        <f>IF(OR(I37="TO",I37="TU",I37="TO1",I37="TU1",I37="TO2",I37="TU2"),J37,IF(OR(I37="AH1",I37="AH2"),IF(OR(I38="AH1",I38="AH2"),-J37,IF(OR(I38="EH1",I38="EH2"),-J37+0.5,"")),IF(OR(I37="EH1",I37="EH2"),IF(OR(I38="AH1",I38="AH2"),-J37+0.5,IF(OR(I38="EH1",I38="EH2"),-J37+1,"")),IF(AND(OR(I37="DNB1",I37="DNB2"),OR(I38="AH1",I38="AH2")),0,IF(AND(I37="Not ScoreBoth",OR(I38="TO1",I38="TO2")),0.5,"")))))</f>
      </c>
      <c r="K38" t="s" s="217">
        <v>48</v>
      </c>
      <c r="L38" s="218">
        <v>4.33</v>
      </c>
      <c r="M38" s="219">
        <v>6.35</v>
      </c>
      <c r="N38" s="120"/>
      <c r="O38" s="220">
        <f>IF(OR(AE37="",AE38=""),"",ROUND(IF(L39&gt;0,IF(M38&gt;0,M38,IF(M37&gt;0,IF(N37=TRUE,ROUND((M37*AE38)/AE37,0),(M37*AE38)/AE37),IF(M38&gt;0,ROUND(M38,IF(N37=0,2,IF(N37=0.1,1,0))),IF(M39&gt;0,ROUND(O39*AE38/AE39,IF(N37=0,2,IF(N37=0.1,1,0))),0)))),IF(M38&gt;0,M38,ROUND((M37*AE38)/AE37,IF(N37=0,2,IF(N37=0.1,1,0))))),2))</f>
        <v>6.35</v>
      </c>
      <c r="P38" s="221">
        <f>IF(OR(L38="",O38=""),"",IF($C38="1/2W",O38/2+O38/2*L38,IF($C38="1/2L",O38/2,IF(I38="Lay",((O38*(L38/(L38-1)))-O38)*(1-_xlfn.XLOOKUP(K38,'Janeiro 2023 - Valor Real'!A3:A15,'Janeiro 2023 - Valor Real'!C3:C15,0))+O38,(O38*L38-O38)*(1-_xlfn.XLOOKUP(K38,'Janeiro 2023 - Valor Real'!A3:A15,'Janeiro 2023 - Valor Real'!C3:C15,0))+O38))))</f>
        <v>27.4955</v>
      </c>
      <c r="Q38" s="222">
        <v>1</v>
      </c>
      <c r="R38" s="223">
        <v>0</v>
      </c>
      <c r="S38" s="125"/>
      <c r="T38" s="126"/>
      <c r="U38" s="126"/>
      <c r="V38" s="224"/>
      <c r="W38" s="126"/>
      <c r="X38" s="127"/>
      <c r="Y38" s="128"/>
      <c r="Z38" s="129"/>
      <c r="AA38" s="129"/>
      <c r="AB38" s="129"/>
      <c r="AC38" s="129"/>
      <c r="AD38" s="225">
        <f>(((L38/(L38-1)-1)*(1-_xlfn.XLOOKUP(K38,'Janeiro 2023 - Valor Real'!A3:A15,'Janeiro 2023 - Valor Real'!C3:C15,0))+1))</f>
        <v>1.3003003003003</v>
      </c>
      <c r="AE38" s="226">
        <f>IF(L38="","",IF(L39&gt;0,(SUM(((L37-1)*(1-_xlfn.XLOOKUP(K37,'Janeiro 2023 - Valor Real'!A3:A15,'Janeiro 2023 - Valor Real'!C3:C15,0))+1),((L38-1)*(1-_xlfn.XLOOKUP(K38,'Janeiro 2023 - Valor Real'!A3:A15,'Janeiro 2023 - Valor Real'!C3:C15,0))+1),((L39-1)*(1-_xlfn.XLOOKUP(K39,'Janeiro 2023 - Valor Real'!A3:A15,'Janeiro 2023 - Valor Real'!C3:C15,0))+1))/((L38-1)*(1-_xlfn.XLOOKUP(K38,'Janeiro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Real'!C3:C15,0))+1))/((L37-1)*(1-_xlfn.XLOOKUP(K37,'Janeiro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Real'!C3:C15,0))+1))/((L38-1)*(1-_xlfn.XLOOKUP(K38,'Janeiro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Real'!C3:C15,0))+1))/((L39-1)*(1-_xlfn.XLOOKUP(K39,'Janeiro 2023 - Valor Real'!A3:A15,'Janeiro 2023 - Valor Real'!C3:C15,0))+1)),IF(I38="Lay",IF(I37="Lay",((L37/(L37-1)-1)*(1-_xlfn.XLOOKUP(K37,'Janeiro 2023 - Valor Real'!A3:A15,'Janeiro 2023 - Valor Real'!C3:C15,0))+1)/(((L37/(L37-1)-1)*(1-_xlfn.XLOOKUP(K37,'Janeiro 2023 - Valor Real'!A3:A15,'Janeiro 2023 - Valor Real'!C3:C15,0))+1)+((L38/(L38-1)-1)*(1-_xlfn.XLOOKUP(K38,'Janeiro 2023 - Valor Real'!A3:A15,'Janeiro 2023 - Valor Real'!C3:C15,0))+1)),((L37-1)*(1-_xlfn.XLOOKUP(K37,'Janeiro 2023 - Valor Real'!A3:A15,'Janeiro 2023 - Valor Real'!C3:C15,0))+1)/(((L37-1)*(1-_xlfn.XLOOKUP(K37,'Janeiro 2023 - Valor Real'!A3:A15,'Janeiro 2023 - Valor Real'!C3:C15,0))+1)+((L38/(L38-1)-1)*(1-_xlfn.XLOOKUP(K38,'Janeiro 2023 - Valor Real'!A3:A15,'Janeiro 2023 - Valor Real'!C3:C15,0))+1))),IF(I37="Lay",((L37/(L37-1)-1)*(1-_xlfn.XLOOKUP(K37,'Janeiro 2023 - Valor Real'!A3:A15,'Janeiro 2023 - Valor Real'!C3:C15,0))+1)/((((L37/(L37-1)-1)*(1-_xlfn.XLOOKUP(K37,'Janeiro 2023 - Valor Real'!A3:A15,'Janeiro 2023 - Valor Real'!C3:C15,0))+1))+((L38-1)*(1-_xlfn.XLOOKUP(K38,'Janeiro 2023 - Valor Real'!A3:A15,'Janeiro 2023 - Valor Real'!C3:C15,0))+1)),((L37-1)*(1-_xlfn.XLOOKUP(K37,'Janeiro 2023 - Valor Real'!A3:A15,'Janeiro 2023 - Valor Real'!C3:C15,0))+1)/(((L37-1)*(1-_xlfn.XLOOKUP(K37,'Janeiro 2023 - Valor Real'!A3:A15,'Janeiro 2023 - Valor Real'!C3:C15,0))+1)+((L38-1)*(1-_xlfn.XLOOKUP(K38,'Janeiro 2023 - Valor Real'!A3:A15,'Janeiro 2023 - Valor Real'!C3:C15,0))+1))))))</f>
        <v>0.266226063379088</v>
      </c>
      <c r="AF38" s="197">
        <f>IF($K38=AF$3,ROUND(IF(OR($C38="W",$C38="1/2W",$C38="1/2L"),$P38-$O38,IF($C38="X",0,-$O38)),2),0)</f>
        <v>0</v>
      </c>
      <c r="AG38" s="198">
        <f>IF($K38=AG$3,ROUND(IF(OR($C38="W",$C38="1/2W",$C38="1/2L"),$P38-$O38,IF($C38="X",0,-$O38)),2),0)</f>
        <v>0</v>
      </c>
      <c r="AH38" s="198">
        <f>IF($K38=AH$3,ROUND(IF(OR($C38="W",$C38="1/2W",$C38="1/2L"),$P38-$O38,IF($C38="X",0,-$O38)),2),0)</f>
        <v>0</v>
      </c>
      <c r="AI38" s="198">
        <f>IF($K38=AI$3,ROUND(IF(OR($C38="W",$C38="1/2W",$C38="1/2L"),$P38-$O38,IF($C38="X",0,-$O38)),2),0)</f>
        <v>0</v>
      </c>
      <c r="AJ38" s="198">
        <f>IF($K38=AJ$3,ROUND(IF(OR($C38="W",$C38="1/2W",$C38="1/2L"),$P38-$O38,IF($C38="X",0,-$O38)),2),0)</f>
        <v>0</v>
      </c>
      <c r="AK38" s="198">
        <f>IF($K38=AK$3,ROUND(IF(OR($C38="W",$C38="1/2W",$C38="1/2L"),$P38-$O38,IF($C38="X",0,-$O38)),2),0)</f>
        <v>0</v>
      </c>
      <c r="AL38" s="198">
        <f>IF($K38=AL$3,ROUND(IF(OR($C38="W",$C38="1/2W",$C38="1/2L"),$P38-$O38,IF($C38="X",0,-$O38)),2),0)</f>
        <v>0</v>
      </c>
      <c r="AM38" s="198">
        <f>IF($K38=AM$3,ROUND(IF(OR($C38="W",$C38="1/2W",$C38="1/2L"),$P38-$O38,IF($C38="X",0,-$O38)),2),0)</f>
        <v>0</v>
      </c>
      <c r="AN38" s="198">
        <f>IF($K38=AN$3,ROUND(IF(OR($C38="W",$C38="1/2W",$C38="1/2L"),$P38-$O38,IF($C38="X",0,-$O38)),2),0)</f>
        <v>0</v>
      </c>
      <c r="AO38" s="198">
        <f>IF($K38=AO$3,ROUND(IF(OR($C38="W",$C38="1/2W",$C38="1/2L"),$P38-$O38,IF($C38="X",0,-$O38)),2),0)</f>
        <v>0</v>
      </c>
      <c r="AP38" s="198">
        <f>IF($K38=AP$3,ROUND(IF(OR($C38="W",$C38="1/2W",$C38="1/2L"),$P38-$O38,IF($C38="X",0,-$O38)),2),0)</f>
        <v>0</v>
      </c>
      <c r="AQ38" s="198">
        <f>IF($K38=AQ$3,ROUND(IF(OR($C38="W",$C38="1/2W",$C38="1/2L"),$P38-$O38,IF($C38="X",0,-$O38)),2),0)</f>
        <v>-6.35</v>
      </c>
      <c r="AR38" s="199">
        <f>IF($K38=AR$3,ROUND(IF(OR($C38="W",$C38="1/2W",$C38="1/2L"),$P38-$O38,IF($C38="X",0,-$O38)),2),0)</f>
        <v>0</v>
      </c>
      <c r="AS38" s="197">
        <f>IF(AND($B37=" ",$K38=AS$3),$O38,0)</f>
        <v>0</v>
      </c>
      <c r="AT38" s="198">
        <f>IF(AND($B37=" ",K38=AT$3),$O38,0)</f>
        <v>0</v>
      </c>
      <c r="AU38" s="198">
        <f>IF(AND($B37=" ",$K38=AU$3),$O38,0)</f>
        <v>0</v>
      </c>
      <c r="AV38" s="198">
        <f>IF(AND($B37=" ",$K38=AV$3),$O38,0)</f>
        <v>0</v>
      </c>
      <c r="AW38" s="198">
        <f>IF(AND($B37=" ",$K38=AW$3),$O38,0)</f>
        <v>0</v>
      </c>
      <c r="AX38" s="198">
        <f>IF(AND($B37=" ",$K38=AX$3),$O38,0)</f>
        <v>0</v>
      </c>
      <c r="AY38" s="200">
        <f>IF(AND($B37=" ",$K38=AY$3),$O38,0)</f>
        <v>0</v>
      </c>
      <c r="AZ38" s="201">
        <f>IF(AND($B37=" ",$K38=AZ$3),$O38,0)</f>
        <v>0</v>
      </c>
      <c r="BA38" s="201">
        <f>IF(AND($B37=" ",$K38=BA$3),$O38,0)</f>
        <v>0</v>
      </c>
      <c r="BB38" s="201">
        <f>IF(AND($B37=" ",$K38=BB$3),$O38,0)</f>
        <v>0</v>
      </c>
      <c r="BC38" s="202">
        <f>IF(AND($B37=" ",$K38=BC$3),$O38,0)</f>
        <v>0</v>
      </c>
      <c r="BD38" s="198">
        <f>IF(AND($B37=" ",$K38=BD$3),$O38,0)</f>
        <v>0</v>
      </c>
      <c r="BE38" s="199">
        <f>IF(AND($B37=" ",$K38=BE$3),$O38,0)</f>
        <v>0</v>
      </c>
      <c r="BF38" s="197">
        <f>IF($K38=BF$3,IF($C38="X",0,$O38),0)</f>
        <v>0</v>
      </c>
      <c r="BG38" s="198">
        <f>IF($K38=BG$3,IF($C38="X",0,$O38),0)</f>
        <v>0</v>
      </c>
      <c r="BH38" s="198">
        <f>IF($K38=BH$3,IF($C38="X",0,$O38),0)</f>
        <v>0</v>
      </c>
      <c r="BI38" s="198">
        <f>IF($K38=BI$3,IF($C38="X",0,$O38),0)</f>
        <v>0</v>
      </c>
      <c r="BJ38" s="198">
        <f>IF($K38=BJ$3,IF($C38="X",0,$O38),0)</f>
        <v>0</v>
      </c>
      <c r="BK38" s="198">
        <f>IF($K38=BK$3,IF($C38="X",0,$O38),0)</f>
        <v>0</v>
      </c>
      <c r="BL38" s="198">
        <f>IF($K38=BL$3,IF($C38="X",0,$O38),0)</f>
        <v>0</v>
      </c>
      <c r="BM38" s="227">
        <f>IF($K38=BM$3,IF($C38="X",0,$O38),0)</f>
        <v>0</v>
      </c>
      <c r="BN38" s="205">
        <f>IF($K38=BN$3,IF($C38="X",0,$O38),0)</f>
        <v>0</v>
      </c>
      <c r="BO38" s="205">
        <f>IF($K38=BO$3,IF($C38="X",0,$O38),0)</f>
        <v>0</v>
      </c>
      <c r="BP38" s="205">
        <f>IF($K38=BP$3,IF($C38="X",0,$O38),0)</f>
        <v>0</v>
      </c>
      <c r="BQ38" s="202">
        <f>IF($K38=BQ$3,IF($C38="X",0,$O38),0)</f>
        <v>6.35</v>
      </c>
      <c r="BR38" s="199">
        <f>IF($K38=BR$3,IF($C38="X",0,$O38),0)</f>
        <v>0</v>
      </c>
      <c r="BS38" s="228"/>
      <c r="BT38" s="229"/>
      <c r="BU38" s="140"/>
      <c r="BV38" s="229"/>
      <c r="BW38" s="140"/>
      <c r="BX38" s="140"/>
      <c r="BY38" s="140"/>
      <c r="BZ38" s="229"/>
      <c r="CA38" s="140"/>
      <c r="CB38" s="140"/>
      <c r="CC38" s="140"/>
      <c r="CD38" s="141"/>
      <c r="CE38" s="142"/>
      <c r="CF38" s="230">
        <f>IF(CF$3=$K38,IF($C38="W",1,IF($C38="1/2W",0.5,0)),0)</f>
        <v>0</v>
      </c>
      <c r="CG38" s="231">
        <f>IF(CF$3=$K38,IF($C38="L",1,IF($C38="1/2L",0.5,0)),0)</f>
        <v>0</v>
      </c>
      <c r="CH38" s="231">
        <f>IF(CH$3=$K38,IF($C38="W",1,IF($C38="1/2W",0.5,0)),0)</f>
        <v>0</v>
      </c>
      <c r="CI38" s="231">
        <f>IF(CH$3=$K38,IF($C38="L",1,IF($C38="1/2L",0.5,0)),0)</f>
        <v>0</v>
      </c>
      <c r="CJ38" s="231">
        <f>IF(CJ$3=$K38,IF($C38="W",1,IF($C38="1/2W",0.5,0)),0)</f>
        <v>0</v>
      </c>
      <c r="CK38" s="231">
        <f>IF(CJ$3=$K38,IF($C38="L",1,IF($C38="1/2L",0.5,0)),0)</f>
        <v>0</v>
      </c>
      <c r="CL38" s="231">
        <f>IF(CL$3=$K38,IF($C38="W",1,IF($C38="1/2W",0.5,0)),0)</f>
        <v>0</v>
      </c>
      <c r="CM38" s="231">
        <f>IF(CL$3=$K38,IF($C38="L",1,IF($C38="1/2L",0.5,0)),0)</f>
        <v>0</v>
      </c>
      <c r="CN38" s="231">
        <f>IF(CN$3=$K38,IF($C38="W",1,IF($C38="1/2W",0.5,0)),0)</f>
        <v>0</v>
      </c>
      <c r="CO38" s="231">
        <f>IF(CN$3=$K38,IF($C38="L",1,IF($C38="1/2L",0.5,0)),0)</f>
        <v>0</v>
      </c>
      <c r="CP38" s="231">
        <f>IF(CP$3=$K38,IF($C38="W",1,IF($C38="1/2W",0.5,0)),0)</f>
        <v>0</v>
      </c>
      <c r="CQ38" s="231">
        <f>IF(CP$3=$K38,IF($C38="L",1,IF($C38="1/2L",0.5,0)),0)</f>
        <v>0</v>
      </c>
      <c r="CR38" s="231">
        <f>IF(CR$3=$K38,IF($C38="W",1,IF($C38="1/2W",0.5,0)),0)</f>
        <v>0</v>
      </c>
      <c r="CS38" s="231">
        <f>IF(CR$3=$K38,IF($C38="L",1,IF($C38="1/2L",0.5,0)),0)</f>
        <v>0</v>
      </c>
      <c r="CT38" s="208">
        <f>IF(CT$3=$K38,IF($C38="W",1,IF($C38="1/2W",0.5,0)),0)</f>
        <v>0</v>
      </c>
      <c r="CU38" s="209">
        <f>IF(CT$3=$K38,IF($C38="L",1,IF($C38="1/2L",0.5,0)),0)</f>
        <v>0</v>
      </c>
      <c r="CV38" s="209">
        <f>IF(CV$3=$K38,IF($C38="W",1,IF($C38="1/2W",0.5,0)),0)</f>
        <v>0</v>
      </c>
      <c r="CW38" s="209">
        <f>IF(CV$3=$K38,IF($C38="L",1,IF($C38="1/2L",0.5,0)),0)</f>
        <v>0</v>
      </c>
      <c r="CX38" s="209">
        <f>IF(CX$3=$K38,IF($C38="W",1,IF($C38="1/2W",0.5,0)),0)</f>
        <v>0</v>
      </c>
      <c r="CY38" s="209">
        <f>IF(CX$3=$K38,IF($C38="L",1,IF($C38="1/2L",0.5,0)),0)</f>
        <v>0</v>
      </c>
      <c r="CZ38" s="209">
        <f>IF(CZ$3=$K38,IF($C38="W",1,IF($C38="1/2W",0.5,0)),0)</f>
        <v>0</v>
      </c>
      <c r="DA38" s="209">
        <f>IF(CZ$3=$K38,IF($C38="L",1,IF($C38="1/2L",0.5,0)),0)</f>
        <v>0</v>
      </c>
      <c r="DB38" s="209">
        <f>IF(DB$3=$K38,IF($C38="W",1,IF($C38="1/2W",0.5,0)),0)</f>
        <v>0</v>
      </c>
      <c r="DC38" s="209">
        <f>IF(DB$3=$K38,IF($C38="L",1,IF($C38="1/2L",0.5,0)),0)</f>
        <v>1</v>
      </c>
      <c r="DD38" s="209">
        <f>IF(DD$3=$K38,IF($C38="W",1,IF($C38="1/2W",0.5,0)),0)</f>
        <v>0</v>
      </c>
      <c r="DE38" s="210">
        <f>IF(DD$3=$K38,IF($C38="L",1,IF($C38="1/2L",0.5,0)),0)</f>
        <v>0</v>
      </c>
      <c r="DF38" s="211">
        <f>IF(AND(L38&lt;DF$3,$C38="W"),1+DF37,DF37)</f>
        <v>2</v>
      </c>
      <c r="DG38" s="198">
        <f>IF(DF38&gt;DF37,L38+DG37,DG37)</f>
        <v>2.55</v>
      </c>
      <c r="DH38" s="209">
        <f>IF(AND(L38&gt;DH$3,$C38="W"),1+DH37,0+DH37)</f>
        <v>0</v>
      </c>
      <c r="DI38" s="198">
        <f>IF(DH38&gt;DH37,L38+DI37,DI37)</f>
        <v>0</v>
      </c>
      <c r="DJ38" s="209">
        <f>IF($D37="","",$D37)</f>
        <v>16</v>
      </c>
      <c r="DK38" s="232"/>
    </row>
    <row r="39" ht="14.55" customHeight="1">
      <c r="A39" s="149"/>
      <c r="B39" s="150"/>
      <c r="C39" t="s" s="233">
        <v>58</v>
      </c>
      <c r="D39" s="152"/>
      <c r="E39" s="153"/>
      <c r="F39" s="155"/>
      <c r="G39" s="234"/>
      <c r="H39" s="156"/>
      <c r="I39" s="235"/>
      <c r="J39" s="236"/>
      <c r="K39" s="237"/>
      <c r="L39" s="238"/>
      <c r="M39" s="239"/>
      <c r="N39" s="161"/>
      <c r="O39" t="s" s="240">
        <f>IF(OR(AE37="",AE38=""),"",IF(L39&gt;0,ROUND(IF(M39&gt;0,M39,IF(M37&gt;0,ROUND((M37*AE39)/AE37,IF(N37=0,2,IF(N37=0.1,1,0))),IF(M38&gt;0,ROUND((M38*AE39)/AE38,IF(N37=0,2,IF(N37=0.1,1,0))),IF(M39&gt;0,M39,0)))),2),""))</f>
      </c>
      <c r="P39" t="s" s="241">
        <f>IF(I38="Lay",O38*(L38/(L38-1))-O38,IF(I37="Lay",O37*(L37/(L37-1))-O37,IF(OR(L39="",O39=""),"",IF($C39="1/2W",O39/2+O39/2*L39,IF($C39="1/2L",O39/2,(O39*L39-O39)*(1-_xlfn.XLOOKUP(K39,'Janeiro 2023 - Valor Real'!A3:A15,'Janeiro 2023 - Valor Real'!C3:C15,0))+O39)))))</f>
      </c>
      <c r="Q39" t="s" s="242"/>
      <c r="R39" t="s" s="243"/>
      <c r="S39" s="166"/>
      <c r="T39" s="155"/>
      <c r="U39" s="155"/>
      <c r="V39" s="166"/>
      <c r="W39" s="155"/>
      <c r="X39" s="167"/>
      <c r="Y39" s="128"/>
      <c r="Z39" s="129"/>
      <c r="AA39" s="129"/>
      <c r="AB39" s="129"/>
      <c r="AC39" s="129"/>
      <c r="AD39" s="244">
        <f>((L38/(L38-1)-1))</f>
        <v>0.3003003003003</v>
      </c>
      <c r="AE39" t="s" s="245">
        <f>IF(L39="","",(SUM(((L37-1)*(1-_xlfn.XLOOKUP(K37,'Janeiro 2023 - Valor Real'!A3:A15,'Janeiro 2023 - Valor Real'!C3:C15,0))+1),((L38-1)*(1-_xlfn.XLOOKUP(K38,'Janeiro 2023 - Valor Real'!A3:A15,'Janeiro 2023 - Valor Real'!C3:C15,0))+1),((L39-1)*(1-_xlfn.XLOOKUP(K39,'Janeiro 2023 - Valor Real'!A3:A15,'Janeiro 2023 - Valor Real'!C3:C15,0))+1))/((L39-1)*(1-_xlfn.XLOOKUP(K39,'Janeiro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Real'!C3:C15,0))+1))/((L37-1)*(1-_xlfn.XLOOKUP(K37,'Janeiro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Real'!C3:C15,0))+1))/((L38-1)*(1-_xlfn.XLOOKUP(K38,'Janeiro 2023 - Valor Real'!A3:A15,'Janeiro 2023 - Valor Real'!C3:C15,0))+1)+SUM(((L37-1)*(1-_xlfn.XLOOKUP(K37,'Janeiro 2023 - Valor Real'!A3:A15,'Janeiro 2023 - Valor Real'!C3:C15,0))+1),((L38-1)*(1-_xlfn.XLOOKUP(K38,'Janeiro 2023 - Valor Real'!A3:A15,'Janeiro 2023 - Valor Real'!C3:C15,0))+1),((L39-1)*(1-_xlfn.XLOOKUP(K39,'Janeiro 2023 - Valor Real'!A3:A15,'Janeiro 2023 - Valor Real'!C3:C15,0))+1))/((L39-1)*(1-_xlfn.XLOOKUP(K39,'Janeiro 2023 - Valor Real'!A3:A15,'Janeiro 2023 - Valor Real'!C3:C15,0))+1)))</f>
      </c>
      <c r="AF39" s="197">
        <f>IF($K39=AF$3,ROUND(IF(OR($C39="W",$C39="1/2W",$C39="1/2L"),$P39-$O39,IF($C39="X",0,-$O39)),2),0)</f>
        <v>0</v>
      </c>
      <c r="AG39" s="198">
        <f>IF($K39=AG$3,ROUND(IF(OR($C39="W",$C39="1/2W",$C39="1/2L"),$P39-$O39,IF($C39="X",0,-$O39)),2),0)</f>
        <v>0</v>
      </c>
      <c r="AH39" s="198">
        <f>IF($K39=AH$3,ROUND(IF(OR($C39="W",$C39="1/2W",$C39="1/2L"),$P39-$O39,IF($C39="X",0,-$O39)),2),0)</f>
        <v>0</v>
      </c>
      <c r="AI39" s="198">
        <f>IF($K39=AI$3,ROUND(IF(OR($C39="W",$C39="1/2W",$C39="1/2L"),$P39-$O39,IF($C39="X",0,-$O39)),2),0)</f>
        <v>0</v>
      </c>
      <c r="AJ39" s="198">
        <f>IF($K39=AJ$3,ROUND(IF(OR($C39="W",$C39="1/2W",$C39="1/2L"),$P39-$O39,IF($C39="X",0,-$O39)),2),0)</f>
        <v>0</v>
      </c>
      <c r="AK39" s="198">
        <f>IF($K39=AK$3,ROUND(IF(OR($C39="W",$C39="1/2W",$C39="1/2L"),$P39-$O39,IF($C39="X",0,-$O39)),2),0)</f>
        <v>0</v>
      </c>
      <c r="AL39" s="198">
        <f>IF($K39=AL$3,ROUND(IF(OR($C39="W",$C39="1/2W",$C39="1/2L"),$P39-$O39,IF($C39="X",0,-$O39)),2),0)</f>
        <v>0</v>
      </c>
      <c r="AM39" s="198">
        <f>IF($K39=AM$3,ROUND(IF(OR($C39="W",$C39="1/2W",$C39="1/2L"),$P39-$O39,IF($C39="X",0,-$O39)),2),0)</f>
        <v>0</v>
      </c>
      <c r="AN39" s="198">
        <f>IF($K39=AN$3,ROUND(IF(OR($C39="W",$C39="1/2W",$C39="1/2L"),$P39-$O39,IF($C39="X",0,-$O39)),2),0)</f>
        <v>0</v>
      </c>
      <c r="AO39" s="198">
        <f>IF($K39=AO$3,ROUND(IF(OR($C39="W",$C39="1/2W",$C39="1/2L"),$P39-$O39,IF($C39="X",0,-$O39)),2),0)</f>
        <v>0</v>
      </c>
      <c r="AP39" s="198">
        <f>IF($K39=AP$3,ROUND(IF(OR($C39="W",$C39="1/2W",$C39="1/2L"),$P39-$O39,IF($C39="X",0,-$O39)),2),0)</f>
        <v>0</v>
      </c>
      <c r="AQ39" s="198">
        <f>IF($K39=AQ$3,ROUND(IF(OR($C39="W",$C39="1/2W",$C39="1/2L"),$P39-$O39,IF($C39="X",0,-$O39)),2),0)</f>
        <v>0</v>
      </c>
      <c r="AR39" s="199">
        <f>IF($K39=AR$3,ROUND(IF(OR($C39="W",$C39="1/2W",$C39="1/2L"),$P39-$O39,IF($C39="X",0,-$O39)),2),0)</f>
        <v>0</v>
      </c>
      <c r="AS39" s="197">
        <f>IF(AND($B37=" ",$K39=AS$3),$O39,0)</f>
        <v>0</v>
      </c>
      <c r="AT39" s="198">
        <f>IF(AND($B37=" ",K39=AT$3),$O39,0)</f>
        <v>0</v>
      </c>
      <c r="AU39" s="198">
        <f>IF(AND($B37=" ",$K39=AU$3),$O39,0)</f>
        <v>0</v>
      </c>
      <c r="AV39" s="198">
        <f>IF(AND($B37=" ",$K39=AV$3),$O39,0)</f>
        <v>0</v>
      </c>
      <c r="AW39" s="198">
        <f>IF(AND($B37=" ",$K39=AW$3),$O39,0)</f>
        <v>0</v>
      </c>
      <c r="AX39" s="198">
        <f>IF(AND($B37=" ",$K39=AX$3),$O39,0)</f>
        <v>0</v>
      </c>
      <c r="AY39" s="200">
        <f>IF(AND($B37=" ",$K39=AY$3),$O39,0)</f>
        <v>0</v>
      </c>
      <c r="AZ39" s="201">
        <f>IF(AND($B37=" ",$K39=AZ$3),$O39,0)</f>
        <v>0</v>
      </c>
      <c r="BA39" s="201">
        <f>IF(AND($B37=" ",$K39=BA$3),$O39,0)</f>
        <v>0</v>
      </c>
      <c r="BB39" s="201">
        <f>IF(AND($B37=" ",$K39=BB$3),$O39,0)</f>
        <v>0</v>
      </c>
      <c r="BC39" s="202">
        <f>IF(AND($B37=" ",$K39=BC$3),$O39,0)</f>
        <v>0</v>
      </c>
      <c r="BD39" s="198">
        <f>IF(AND($B37=" ",$K39=BD$3),$O39,0)</f>
        <v>0</v>
      </c>
      <c r="BE39" s="199">
        <f>IF(AND($B37=" ",$K39=BE$3),$O39,0)</f>
        <v>0</v>
      </c>
      <c r="BF39" s="197">
        <f>IF($K39=BF$3,IF($C39="X",0,$O39),0)</f>
        <v>0</v>
      </c>
      <c r="BG39" s="198">
        <f>IF($K39=BG$3,IF($C39="X",0,$O39),0)</f>
        <v>0</v>
      </c>
      <c r="BH39" s="198">
        <f>IF($K39=BH$3,IF($C39="X",0,$O39),0)</f>
        <v>0</v>
      </c>
      <c r="BI39" s="198">
        <f>IF($K39=BI$3,IF($C39="X",0,$O39),0)</f>
        <v>0</v>
      </c>
      <c r="BJ39" s="198">
        <f>IF($K39=BJ$3,IF($C39="X",0,$O39),0)</f>
        <v>0</v>
      </c>
      <c r="BK39" s="198">
        <f>IF($K39=BK$3,IF($C39="X",0,$O39),0)</f>
        <v>0</v>
      </c>
      <c r="BL39" s="198">
        <f>IF($K39=BL$3,IF($C39="X",0,$O39),0)</f>
        <v>0</v>
      </c>
      <c r="BM39" s="200">
        <f>IF($K39=BM$3,IF($C39="X",0,$O39),0)</f>
        <v>0</v>
      </c>
      <c r="BN39" s="201">
        <f>IF($K39=BN$3,IF($C39="X",0,$O39),0)</f>
        <v>0</v>
      </c>
      <c r="BO39" s="201">
        <f>IF($K39=BO$3,IF($C39="X",0,$O39),0)</f>
        <v>0</v>
      </c>
      <c r="BP39" s="201">
        <f>IF($K39=BP$3,IF($C39="X",0,$O39),0)</f>
        <v>0</v>
      </c>
      <c r="BQ39" s="202">
        <f>IF($K39=BQ$3,IF($C39="X",0,$O39),0)</f>
        <v>0</v>
      </c>
      <c r="BR39" s="199">
        <f>IF($K39=BR$3,IF($C39="X",0,$O39),0)</f>
        <v>0</v>
      </c>
      <c r="BS39" s="228"/>
      <c r="BT39" s="229"/>
      <c r="BU39" s="140"/>
      <c r="BV39" s="229"/>
      <c r="BW39" s="140"/>
      <c r="BX39" s="140"/>
      <c r="BY39" s="140"/>
      <c r="BZ39" s="229"/>
      <c r="CA39" s="140"/>
      <c r="CB39" s="140"/>
      <c r="CC39" s="140"/>
      <c r="CD39" s="141"/>
      <c r="CE39" s="142"/>
      <c r="CF39" s="230">
        <f>IF(CF$3=$K39,IF($C39="W",1,IF($C39="1/2W",0.5,0)),0)</f>
        <v>0</v>
      </c>
      <c r="CG39" s="231">
        <f>IF(CF$3=$K39,IF($C39="L",1,IF($C39="1/2L",0.5,0)),0)</f>
        <v>0</v>
      </c>
      <c r="CH39" s="231">
        <f>IF(CH$3=$K39,IF($C39="W",1,IF($C39="1/2W",0.5,0)),0)</f>
        <v>0</v>
      </c>
      <c r="CI39" s="231">
        <f>IF(CH$3=$K39,IF($C39="L",1,IF($C39="1/2L",0.5,0)),0)</f>
        <v>0</v>
      </c>
      <c r="CJ39" s="231">
        <f>IF(CJ$3=$K39,IF($C39="W",1,IF($C39="1/2W",0.5,0)),0)</f>
        <v>0</v>
      </c>
      <c r="CK39" s="231">
        <f>IF(CJ$3=$K39,IF($C39="L",1,IF($C39="1/2L",0.5,0)),0)</f>
        <v>0</v>
      </c>
      <c r="CL39" s="231">
        <f>IF(CL$3=$K39,IF($C39="W",1,IF($C39="1/2W",0.5,0)),0)</f>
        <v>0</v>
      </c>
      <c r="CM39" s="231">
        <f>IF(CL$3=$K39,IF($C39="L",1,IF($C39="1/2L",0.5,0)),0)</f>
        <v>0</v>
      </c>
      <c r="CN39" s="231">
        <f>IF(CN$3=$K39,IF($C39="W",1,IF($C39="1/2W",0.5,0)),0)</f>
        <v>0</v>
      </c>
      <c r="CO39" s="231">
        <f>IF(CN$3=$K39,IF($C39="L",1,IF($C39="1/2L",0.5,0)),0)</f>
        <v>0</v>
      </c>
      <c r="CP39" s="231">
        <f>IF(CP$3=$K39,IF($C39="W",1,IF($C39="1/2W",0.5,0)),0)</f>
        <v>0</v>
      </c>
      <c r="CQ39" s="231">
        <f>IF(CP$3=$K39,IF($C39="L",1,IF($C39="1/2L",0.5,0)),0)</f>
        <v>0</v>
      </c>
      <c r="CR39" s="231">
        <f>IF(CR$3=$K39,IF($C39="W",1,IF($C39="1/2W",0.5,0)),0)</f>
        <v>0</v>
      </c>
      <c r="CS39" s="231">
        <f>IF(CR$3=$K39,IF($C39="L",1,IF($C39="1/2L",0.5,0)),0)</f>
        <v>0</v>
      </c>
      <c r="CT39" s="208">
        <f>IF(CT$3=$K39,IF($C39="W",1,IF($C39="1/2W",0.5,0)),0)</f>
        <v>0</v>
      </c>
      <c r="CU39" s="209">
        <f>IF(CT$3=$K39,IF($C39="L",1,IF($C39="1/2L",0.5,0)),0)</f>
        <v>0</v>
      </c>
      <c r="CV39" s="209">
        <f>IF(CV$3=$K39,IF($C39="W",1,IF($C39="1/2W",0.5,0)),0)</f>
        <v>0</v>
      </c>
      <c r="CW39" s="209">
        <f>IF(CV$3=$K39,IF($C39="L",1,IF($C39="1/2L",0.5,0)),0)</f>
        <v>0</v>
      </c>
      <c r="CX39" s="209">
        <f>IF(CX$3=$K39,IF($C39="W",1,IF($C39="1/2W",0.5,0)),0)</f>
        <v>0</v>
      </c>
      <c r="CY39" s="209">
        <f>IF(CX$3=$K39,IF($C39="L",1,IF($C39="1/2L",0.5,0)),0)</f>
        <v>0</v>
      </c>
      <c r="CZ39" s="209">
        <f>IF(CZ$3=$K39,IF($C39="W",1,IF($C39="1/2W",0.5,0)),0)</f>
        <v>0</v>
      </c>
      <c r="DA39" s="209">
        <f>IF(CZ$3=$K39,IF($C39="L",1,IF($C39="1/2L",0.5,0)),0)</f>
        <v>0</v>
      </c>
      <c r="DB39" s="209">
        <f>IF(DB$3=$K39,IF($C39="W",1,IF($C39="1/2W",0.5,0)),0)</f>
        <v>0</v>
      </c>
      <c r="DC39" s="209">
        <f>IF(DB$3=$K39,IF($C39="L",1,IF($C39="1/2L",0.5,0)),0)</f>
        <v>0</v>
      </c>
      <c r="DD39" s="209">
        <f>IF(DD$3=$K39,IF($C39="W",1,IF($C39="1/2W",0.5,0)),0)</f>
        <v>0</v>
      </c>
      <c r="DE39" s="210">
        <f>IF(DD$3=$K39,IF($C39="L",1,IF($C39="1/2L",0.5,0)),0)</f>
        <v>0</v>
      </c>
      <c r="DF39" s="211">
        <f>IF(AND(L39&lt;DF$3,$C39="W"),1+DF38,DF38)</f>
        <v>2</v>
      </c>
      <c r="DG39" s="198">
        <f>IF(DF39&gt;DF38,L39+DG38,DG38)</f>
        <v>2.55</v>
      </c>
      <c r="DH39" s="209">
        <f>IF(AND(L39&gt;DH$3,$C39="W"),1+DH38,0+DH38)</f>
        <v>0</v>
      </c>
      <c r="DI39" s="198">
        <f>IF(DH39&gt;DH38,L39+DI38,DI38)</f>
        <v>0</v>
      </c>
      <c r="DJ39" s="209">
        <f>IF($D37="","",$D37)</f>
        <v>16</v>
      </c>
      <c r="DK39" s="232"/>
    </row>
    <row r="40" ht="14.55" customHeight="1">
      <c r="A40" s="246">
        <f>$A37+1</f>
        <v>13</v>
      </c>
      <c r="B40" t="s" s="247">
        <v>50</v>
      </c>
      <c r="C40" t="s" s="248">
        <v>56</v>
      </c>
      <c r="D40" s="249">
        <f>IF(G40="","",$D37)</f>
        <v>16</v>
      </c>
      <c r="E40" t="s" s="250">
        <v>63</v>
      </c>
      <c r="F40" t="s" s="251">
        <f>IF(G40="","",IF(OR(AND($C40&lt;&gt;" ",$C41=" "),AND($C41&lt;&gt;" ",$C40=" "),AND(L42&gt;0,OR(AND($C42&lt;&gt;" ",OR($C40=" ",$C41=" ")),AND($C42=" ",OR($C40&lt;&gt;" ",$C41&lt;&gt;" "))))),IF(SUM(F$4:F39)=0,1,LARGE(F$4:F39,1)+1),IF(MONTH(G40)=MONTH(TODAY()),IF(AND(DAY(G40)&lt;DAY(TODAY()),$B40=" "),IF(SUM(F$4:F39)=0,1,LARGE(F$4:F39,1)+1),IF($B40=" ",IF(AND(DAY(G40)=DAY(TODAY()),HOUR(G40)&lt;=HOUR(NOW())+1),IF(AND(HOUR(G40)+2&lt;=HOUR(NOW()),DAY(G40)&lt;=DAY(TODAY()),MINUTE(G40)&lt;=MINUTE(NOW())),IF(SUM(F$4:F39)=0,1,LARGE(F$4:F39,1)+1),IF(OR(MINUTE(G40)&lt;=MINUTE(NOW()),HOUR(G40)&lt;=HOUR(NOW())),"!!!","")),""),"")),"")))</f>
      </c>
      <c r="G40" s="252">
        <v>44943.576388888891</v>
      </c>
      <c r="H40" t="s" s="253">
        <v>89</v>
      </c>
      <c r="I40" t="s" s="254">
        <v>62</v>
      </c>
      <c r="J40" s="293"/>
      <c r="K40" t="s" s="256">
        <v>48</v>
      </c>
      <c r="L40" s="257">
        <v>1.56</v>
      </c>
      <c r="M40" s="258">
        <v>12.75</v>
      </c>
      <c r="N40" s="259">
        <v>0</v>
      </c>
      <c r="O40" s="260">
        <f>IF(OR(AE40="",AE41=""),"",ROUND(IF(L42&gt;0,IF(M40&gt;0,M40,IF(M41&gt;0,ROUND((M41*AE40)/AE41,IF(N40=0,2,IF(N40=0.1,1,0))),ROUND((M42*AE40)/AE42,IF(N40=0,2,IF(N40=0.1,1,0))))),IF(M40&gt;0,M40,ROUND((M41*AE40)/AE41,IF(N40=0,2,IF(N40=0.1,1,0))))),2))</f>
        <v>12.75</v>
      </c>
      <c r="P40" s="261">
        <f>IF(OR(L40="",O40=""),"",IF($C40="1/2W",O40/2+O40/2*L40,IF($C40="1/2L",O40/2,IF(I40="Lay",(O40*(L40/(L40-1))-O40)*(1-_xlfn.XLOOKUP(K40,'Janeiro 2023 - Valor Real'!A3:A15,'Janeiro 2023 - Valor Real'!C3:C15,0))+O40,(O40*L40-O40)*(1-_xlfn.XLOOKUP(K40,'Janeiro 2023 - Valor Real'!A3:A15,'Janeiro 2023 - Valor Real'!C3:C15,0))+O40))))</f>
        <v>19.89</v>
      </c>
      <c r="Q40" s="262">
        <v>2</v>
      </c>
      <c r="R40" s="263">
        <v>0</v>
      </c>
      <c r="S40" s="264">
        <f>IF($B40="Anulado",0,ROUND(IF(OR($B40="LOSS",$B40="OK"),IF(OR($C40="W",$C40="1/2W",$C40="1/2L"),P40-O40,IF($C40="L",-O40,0))+IF(OR($C41="W",$C41="1/2W",$C41="1/2L"),P41-O41,IF($C41="L",-O41,0))+IF(OR($C42="W",$C42="1/2W",$C42="1/2L"),P42-O42,IF($C42="L",-O42,0)),IF(AND(OR($C40="W",$C40="1/2W",$C40="1/2L"),C41="W"),P40+P41-SUM(O40:O42)+_xlfn.XLOOKUP("X",C40:C42,O40:O42,0),IF(AND(C40=TRUE,C42="W"),P40+P42-SUM(O40:O42),IF(AND(C41="W",C42="W"),P41+P42-SUM(O40:O42)+_xlfn.XLOOKUP("X",C40:C42,O40:O42,0),IF(L42&gt;0,IF(OR($C40="W",$C40="1/2W",$C40="1/2L"),P40-SUM(O40:O42)+_xlfn.XLOOKUP("X",C40:C42,O40:O42,0),IF(OR($C40="W",$C40="1/2W",$C40="1/2L"),P41-SUM(O40:O42)+_xlfn.XLOOKUP("X",C40:C42,O40:O42,0),IF(OR($C40="W",$C40="1/2W",$C40="1/2L"),P42-SUM(O40:O42)+_xlfn.XLOOKUP("X",C40:C42,O40:O42,0),IF(SUM(P40:P42)/3-SUM(O40:O42)+_xlfn.XLOOKUP("X",C40:C42,O40:O42,0)&gt;0,SUM(P40:P42)/3-SUM(O40:O42)+_xlfn.XLOOKUP("X",C40:C42,O40:O42,0),LARGE(P40:P42,1)-SUM(O40:O42))))),IF(OR($C40="W",$C40="1/2W",$C40="1/2L"),P40-SUM(O40:O41)+_xlfn.XLOOKUP("X",C40:C42,O40:O42,0),IF(OR($C40="W",$C40="1/2W",$C40="1/2L"),P41-SUM(O40:O41)+_xlfn.XLOOKUP("X",C40:C42,O40:O42,0),SUM(P40:P41)/2-SUM(O40:O41)+_xlfn.XLOOKUP("X",C40:C42,O40:O42,0)))))))),2))</f>
        <v>1.31</v>
      </c>
      <c r="T40" s="265">
        <f>IF(S40=0,0,S40/SUM(O40:O42))</f>
        <v>0.07050592034445639</v>
      </c>
      <c r="U40" s="266">
        <f>IF($D40=$D37,IF(OR($B40="LOSS",$B40="OK",$B40="Anulada"),S40,0)+U37,IF(OR($B40="LOSS",$B40="OK",$B40="Anulada"),S40,0))</f>
        <v>22.76</v>
      </c>
      <c r="V40" s="266">
        <f>IF($D40="",0,IF($D40=$D37,IF($B40=" ",IF(I42="",IF(OR(AND(I40="DNB1",I41="DNB2"),AND(OR(I40="DNB1",I40="DNB2"),J41=0),AND(OR(I41="DNB1",I41="DNB2"),J40=0),AND(I40="DNB2",I41="DNB1"),AND(IF(J40=0,(J40+1)/ROUND(J40+1,0),J40/ROUND(J40,0))=1,IF(J41=0,(J41+1)/ROUND(IF(J41="",0,J41)+1,0),IF(J41="",0,J41)/ROUND(IF(J41="",1,J41),0))=1,OR(J40&lt;&gt;""),J41&lt;&gt;"")),0,IF(S40&lt;0,IF(I42="",SMALL(P40:P41,1)-SUM(O40:O41),0),SMALL(P40:P41,1)-SUM(O40:O41))),IF(S40&lt;0,IF(I42="",SMALL(P40:P42,1)-SUM(O40:O42),0),LARGE(P40:P42,1)-SUM(O40:O42))),S40)+V37,IF(I42="",IF(OR(AND(I40="DNB1",I41="DNB2"),AND(OR(I40="DNB1",I40="DNB2"),J41=0),AND(OR(I41="DNB1",I41="DNB2"),J40=0),AND(I40="DNB2",I41="DNB1"),AND(IF(J40=0,(J40+1)/ROUND(J40+1,0),J40/ROUND(J40,0))=1,IF(J41=0,(IF(J41="",0,J41)+1)/ROUND(IF(J41="",0,J41)+1,0),IF(J41="",0,J41)/ROUND(IF(J41="",0,J41)+1,0))=1,OR(J40&lt;&gt;""),J41&lt;&gt;"")),0,IF(S40&lt;0,IF(I42="",SMALL(P40:P41,1)-SUM(O40:O41),0),SMALL(P40:P42,1)-SUM(O40:O42))),IF(S40&lt;0,IF(I42="",SMALL(P40:P42,1)-SUM(O40:O42),0),LARGE(P40:P42,1)-SUM(O40:O42)))))</f>
        <v>22.76</v>
      </c>
      <c r="W40" s="266">
        <f>IF($D40=$D37,IF(S40&lt;0,IF(I42="",S40,0),S40)+W37,S40)</f>
        <v>22.76</v>
      </c>
      <c r="X40" t="s" s="267">
        <f>IF(OR(SUM(R40:R42)=0,V40=W40),ROUND(IF(W40=0,0,W40/Y40)*100,2)&amp;"%",ROUND(IF(V40=0,0,V40/Y40)*100,2)&amp;"% a "&amp;ROUND(IF(W40=0,0,W40/Y40)*100,2)&amp;"%")</f>
        <v>90</v>
      </c>
      <c r="Y40" s="268">
        <f>IF($D40=$D37,Y37+SUM(O40:O42),SUM(O40:O42))</f>
        <v>313.38</v>
      </c>
      <c r="Z40" s="266">
        <f>IF($B40=" ",SUM(O40:O42),0)+Z37</f>
        <v>0</v>
      </c>
      <c r="AA40" s="266">
        <f>IF(G40="","",IF($B40="Anulado",LARGE(P40:P42,1)-SUM(O40:O42)+AA37,AA37))</f>
        <v>0</v>
      </c>
      <c r="AB40" s="266">
        <f>IF($D40="","",AB37+S40)</f>
        <v>22.76</v>
      </c>
      <c r="AC40" s="269">
        <f>IF($D40="","",IF($B40=" ",IF(DAY(G40)=DAY(TODAY()),1+AC37,0+AC37),0+AC37))</f>
        <v>0</v>
      </c>
      <c r="AD40" s="270">
        <f>(1-_xlfn.XLOOKUP(K38,'Janeiro 2023 - Valor Real'!A3:A15,'Janeiro 2023 - Valor Real'!C3:C15,0))+1</f>
        <v>2</v>
      </c>
      <c r="AE40" s="271">
        <f>IF(L40="","",IF(L42&gt;0,(SUM(((L40-1)*(1-_xlfn.XLOOKUP(K40,'Janeiro 2023 - Valor Real'!A3:A15,'Janeiro 2023 - Valor Real'!C3:C15,0))+1),((L41-1)*(1-_xlfn.XLOOKUP(K41,'Janeiro 2023 - Valor Real'!A3:A15,'Janeiro 2023 - Valor Real'!C3:C15,0))+1),((L42-1)*(1-_xlfn.XLOOKUP(K42,'Janeiro 2023 - Valor Real'!A3:A15,'Janeiro 2023 - Valor Real'!C3:C15,0))+1))/((L40-1)*(1-_xlfn.XLOOKUP(K40,'Janeiro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Real'!C3:C15,0))+1))/((L40-1)*(1-_xlfn.XLOOKUP(K40,'Janeiro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Real'!C3:C15,0))+1))/((L41-1)*(1-_xlfn.XLOOKUP(K41,'Janeiro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Real'!C3:C15,0))+1))/((L42-1)*(1-_xlfn.XLOOKUP(K42,'Janeiro 2023 - Valor Real'!A3:A15,'Janeiro 2023 - Valor Real'!C3:C15,0))+1)),IF(I40="Lay",IF(I41="Lay",((L41/(L41-1)-1)*(1-_xlfn.XLOOKUP(K41,'Janeiro 2023 - Valor Real'!A3:A15,'Janeiro 2023 - Valor Real'!C3:C15,0))+1)/(((L41/(L41-1)-1)*(1-_xlfn.XLOOKUP(K41,'Janeiro 2023 - Valor Real'!A3:A15,'Janeiro 2023 - Valor Real'!C3:C15,0))+1)+((L40/(L40-1)-1)*(1-_xlfn.XLOOKUP(K40,'Janeiro 2023 - Valor Real'!A3:A15,'Janeiro 2023 - Valor Real'!C3:C15,0))+1)),((L41-1)*(1-_xlfn.XLOOKUP(K41,'Janeiro 2023 - Valor Real'!A3:A15,'Janeiro 2023 - Valor Real'!C3:C15,0))+1)/(((L41-1)*(1-_xlfn.XLOOKUP(K41,'Janeiro 2023 - Valor Real'!A3:A15,'Janeiro 2023 - Valor Real'!C3:C15,0))+1)+((L40/(L40-1)-1)*(1-_xlfn.XLOOKUP(K40,'Janeiro 2023 - Valor Real'!A3:A15,'Janeiro 2023 - Valor Real'!C3:C15,0))+1))),IF(I41="Lay",(((L41/(L41-1)-1)*(1-_xlfn.XLOOKUP(K41,'Janeiro 2023 - Valor Real'!A3:A15,'Janeiro 2023 - Valor Real'!C3:C15,0))+1))/(((L40-1)*(1-_xlfn.XLOOKUP(K40,'Janeiro 2023 - Valor Real'!A3:A15,'Janeiro 2023 - Valor Real'!C3:C15,0))+1)+((L41/(L41-1)-1)*(1-_xlfn.XLOOKUP(K41,'Janeiro 2023 - Valor Real'!A3:A15,'Janeiro 2023 - Valor Real'!C3:C15,0))+1)),((L41-1)*(1-_xlfn.XLOOKUP(K41,'Janeiro 2023 - Valor Real'!A3:A15,'Janeiro 2023 - Valor Real'!C3:C15,0))+1)/(((L41-1)*(1-_xlfn.XLOOKUP(K41,'Janeiro 2023 - Valor Real'!A3:A15,'Janeiro 2023 - Valor Real'!C3:C15,0))+1)+((L40-1)*(1-_xlfn.XLOOKUP(K40,'Janeiro 2023 - Valor Real'!A3:A15,'Janeiro 2023 - Valor Real'!C3:C15,0))+1))))))</f>
        <v>0.685483870967742</v>
      </c>
      <c r="AF40" s="132">
        <f>IF($K40=AF$3,ROUND(IF(OR($C40="W",$C40="1/2W",$C40="1/2L"),$P40-$O40,IF($C40="X",0,-$O40)),2),0)</f>
        <v>0</v>
      </c>
      <c r="AG40" s="133">
        <f>IF($K40=AG$3,ROUND(IF(OR($C40="W",$C40="1/2W",$C40="1/2L"),$P40-$O40,IF($C40="X",0,-$O40)),2),0)</f>
        <v>0</v>
      </c>
      <c r="AH40" s="133">
        <f>IF($K40=AH$3,ROUND(IF(OR($C40="W",$C40="1/2W",$C40="1/2L"),$P40-$O40,IF($C40="X",0,-$O40)),2),0)</f>
        <v>0</v>
      </c>
      <c r="AI40" s="133">
        <f>IF($K40=AI$3,ROUND(IF(OR($C40="W",$C40="1/2W",$C40="1/2L"),$P40-$O40,IF($C40="X",0,-$O40)),2),0)</f>
        <v>0</v>
      </c>
      <c r="AJ40" s="133">
        <f>IF($K40=AJ$3,ROUND(IF(OR($C40="W",$C40="1/2W",$C40="1/2L"),$P40-$O40,IF($C40="X",0,-$O40)),2),0)</f>
        <v>0</v>
      </c>
      <c r="AK40" s="133">
        <f>IF($K40=AK$3,ROUND(IF(OR($C40="W",$C40="1/2W",$C40="1/2L"),$P40-$O40,IF($C40="X",0,-$O40)),2),0)</f>
        <v>0</v>
      </c>
      <c r="AL40" s="133">
        <f>IF($K40=AL$3,ROUND(IF(OR($C40="W",$C40="1/2W",$C40="1/2L"),$P40-$O40,IF($C40="X",0,-$O40)),2),0)</f>
        <v>0</v>
      </c>
      <c r="AM40" s="133">
        <f>IF($K40=AM$3,ROUND(IF(OR($C40="W",$C40="1/2W",$C40="1/2L"),$P40-$O40,IF($C40="X",0,-$O40)),2),0)</f>
        <v>0</v>
      </c>
      <c r="AN40" s="133">
        <f>IF($K40=AN$3,ROUND(IF(OR($C40="W",$C40="1/2W",$C40="1/2L"),$P40-$O40,IF($C40="X",0,-$O40)),2),0)</f>
        <v>0</v>
      </c>
      <c r="AO40" s="133">
        <f>IF($K40=AO$3,ROUND(IF(OR($C40="W",$C40="1/2W",$C40="1/2L"),$P40-$O40,IF($C40="X",0,-$O40)),2),0)</f>
        <v>0</v>
      </c>
      <c r="AP40" s="133">
        <f>IF($K40=AP$3,ROUND(IF(OR($C40="W",$C40="1/2W",$C40="1/2L"),$P40-$O40,IF($C40="X",0,-$O40)),2),0)</f>
        <v>0</v>
      </c>
      <c r="AQ40" s="133">
        <f>IF($K40=AQ$3,ROUND(IF(OR($C40="W",$C40="1/2W",$C40="1/2L"),$P40-$O40,IF($C40="X",0,-$O40)),2),0)</f>
        <v>7.14</v>
      </c>
      <c r="AR40" s="134">
        <f>IF($K40=AR$3,ROUND(IF(OR($C40="W",$C40="1/2W",$C40="1/2L"),$P40-$O40,IF($C40="X",0,-$O40)),2),0)</f>
        <v>0</v>
      </c>
      <c r="AS40" s="132">
        <f>IF(AND($B40=" ",$K40=AS$3),$O40,0)</f>
        <v>0</v>
      </c>
      <c r="AT40" s="133">
        <f>IF(AND($B40=" ",$K40=AT$3),$O40,0)</f>
        <v>0</v>
      </c>
      <c r="AU40" s="133">
        <f>IF(AND($B40=" ",$K40=AU$3),$O40,0)</f>
        <v>0</v>
      </c>
      <c r="AV40" s="133">
        <f>IF(AND($B40=" ",$K40=AV$3),$O40,0)</f>
        <v>0</v>
      </c>
      <c r="AW40" s="133">
        <f>IF(AND($B40=" ",$K40=AW$3),$O40,0)</f>
        <v>0</v>
      </c>
      <c r="AX40" s="133">
        <f>IF(AND($B40=" ",$K40=AX$3),$O40,0)</f>
        <v>0</v>
      </c>
      <c r="AY40" s="135">
        <f>IF(AND($B40=" ",$K40=AY$3),$O40,0)</f>
        <v>0</v>
      </c>
      <c r="AZ40" s="136">
        <f>IF(AND($B40=" ",$K40=AZ$3),$O40,0)</f>
        <v>0</v>
      </c>
      <c r="BA40" s="136">
        <f>IF(AND($B40=" ",$K40=BA$3),$O40,0)</f>
        <v>0</v>
      </c>
      <c r="BB40" s="136">
        <f>IF(AND($B40=" ",$K40=BB$3),$O40,0)</f>
        <v>0</v>
      </c>
      <c r="BC40" s="137">
        <f>IF(AND($B40=" ",$K40=BC$3),$O40,0)</f>
        <v>0</v>
      </c>
      <c r="BD40" s="133">
        <f>IF(AND($B40=" ",$K40=BD$3),$O40,0)</f>
        <v>0</v>
      </c>
      <c r="BE40" s="134">
        <f>IF(AND($B40=" ",$K40=BE$3),$O40,0)</f>
        <v>0</v>
      </c>
      <c r="BF40" s="132">
        <f>IF($K40=BF$3,IF($C40="X",0,$O40),0)</f>
        <v>0</v>
      </c>
      <c r="BG40" s="133">
        <f>IF($K40=BG$3,IF($C40="X",0,$O40),0)</f>
        <v>0</v>
      </c>
      <c r="BH40" s="133">
        <f>IF($K40=BH$3,IF($C40="X",0,$O40),0)</f>
        <v>0</v>
      </c>
      <c r="BI40" s="133">
        <f>IF($K40=BI$3,IF($C40="X",0,$O40),0)</f>
        <v>0</v>
      </c>
      <c r="BJ40" s="133">
        <f>IF($K40=BJ$3,IF($C40="X",0,$O40),0)</f>
        <v>0</v>
      </c>
      <c r="BK40" s="133">
        <f>IF($K40=BK$3,IF($C40="X",0,$O40),0)</f>
        <v>0</v>
      </c>
      <c r="BL40" s="133">
        <f>IF($K40=BL$3,IF($C40="X",0,$O40),0)</f>
        <v>0</v>
      </c>
      <c r="BM40" s="135">
        <f>IF($K40=BM$3,IF($C40="X",0,$O40),0)</f>
        <v>0</v>
      </c>
      <c r="BN40" s="136">
        <f>IF($K40=BN$3,IF($C40="X",0,$O40),0)</f>
        <v>0</v>
      </c>
      <c r="BO40" s="136">
        <f>IF($K40=BO$3,IF($C40="X",0,$O40),0)</f>
        <v>0</v>
      </c>
      <c r="BP40" s="136">
        <f>IF($K40=BP$3,IF($C40="X",0,$O40),0)</f>
        <v>0</v>
      </c>
      <c r="BQ40" s="137">
        <f>IF($K40=BQ$3,IF($C40="X",0,$O40),0)</f>
        <v>12.75</v>
      </c>
      <c r="BR40" s="134">
        <f>IF($K40=BR$3,IF($C40="X",0,$O40),0)</f>
        <v>0</v>
      </c>
      <c r="BS40" s="170">
        <f>IF($B40="LOSS",IF(AND($K40=BS$3,$C40="L"),-$O40,0)+IF(AND($K41=BS$3,$C41="L"),-$O41,0)+IF(AND($K42=BS$3,$C42="L"),-$O42,0),IF(OR(AND($K40=BS$3,OR($C40="W",$C40="1/2W")),AND($K41=BS$3,OR($C41="W",$C41="1/2W")),AND($K42=BS$3,OR($C42="W",$C42="1/2W"))),$S40,0))</f>
        <v>0</v>
      </c>
      <c r="BT40" s="272">
        <f>IF($B40="LOSS",IF(AND($K40=BT$3,$C40="L"),-$O40,0)+IF(AND($K41=BT$3,$C41="L"),-$O41,0)+IF(AND($K41=BT$3,$C42="L"),-$O42,0),IF(OR(AND($K41=BT$3,OR($C40="W",$C40="1/2W")),AND($K41=BT$3,OR($C41="W",$C41="1/2W")),AND($K41=BT$3,OR($C42="W",$C42="1/2W"))),$S40,0))</f>
        <v>0</v>
      </c>
      <c r="BU40" s="136">
        <f>IF($B40="LOSS",IF(AND($K40=BU$3,$C40="L"),-$O40,0)+IF(AND($K41=BU$3,$C41="L"),-$O41,0)+IF(AND($K41=BU$3,$C42="L"),-$O42,0),IF(OR(AND($K41=BU$3,OR($C40="W",$C40="1/2W")),AND($K41=BU$3,OR($C41="W",$C41="1/2W")),AND($K41=BU$3,OR($C42="W",$C42="1/2W"))),$S40,0))</f>
        <v>0</v>
      </c>
      <c r="BV40" s="136">
        <f>IF($B40="LOSS",IF(AND($K40=BV$3,$C40="L"),-$O40,0)+IF(AND($K41=BV$3,$C41="L"),-$O41,0)+IF(AND($K42=BV$3,$C42="L"),-$O42,0),IF(OR(AND($K40=BV$3,OR($C40="W",$C40="1/2W")),AND($K41=BV$3,OR($C41="W",$C41="1/2W")),AND($K42=BV$3,OR($C42="W",$C42="1/2W"))),$S40,0))</f>
        <v>0</v>
      </c>
      <c r="BW40" s="136">
        <f>IF($B40="LOSS",IF(AND($K40=BW$3,$C40="L"),-$O40,0)+IF(AND($K41=BW$3,$C41="L"),-$O41,0)+IF(AND($K42=BW$3,$C42="L"),-$O42,0),IF(OR(AND($K40=BW$3,OR($C40="W",$C40="1/2W")),AND($K41=BW$3,OR($C41="W",$C41="1/2W")),AND($K42=BW$3,OR($C42="W",$C42="1/2W"))),$S40,0))</f>
        <v>0</v>
      </c>
      <c r="BX40" s="136">
        <f>IF($B40="LOSS",IF(AND($K40=BX$3,$C40="L"),-$O40,0)+IF(AND($K41=BX$3,$C41="L"),-$O41,0)+IF(AND($K42=BX$3,$C42="L"),-$O42,0),IF(OR(AND($K40=BX$3,OR($C40="W",$C40="1/2W")),AND($K41=BX$3,OR($C41="W",$C41="1/2W")),AND($K42=BX$3,OR($C42="W",$C42="1/2W"))),$S40,0))</f>
        <v>0</v>
      </c>
      <c r="BY40" s="136">
        <f>IF($B40="LOSS",IF(AND($K40=BY$3,$C40="L"),-$O40,0)+IF(AND($K41=BY$3,$C41="L"),-$O41,0)+IF(AND($K42=BY$3,$C42="L"),-$O42,0),IF(OR(AND($K40=BY$3,OR($C40="W",$C40="1/2W")),AND($K41=BY$3,OR($C41="W",$C41="1/2W")),AND($K42=BY$3,OR($C42="W",$C42="1/2W"))),$S40,0))</f>
        <v>0</v>
      </c>
      <c r="BZ40" s="136">
        <f>IF($B40="LOSS",IF(AND($K40=BZ$3,$C40="L"),-$O40,0)+IF(AND($K41=BZ$3,$C41="L"),-$O41,0)+IF(AND($K42=BZ$3,$C42="L"),-$O42,0),IF(OR(AND($K40=BZ$3,OR($C40="W",$C40="1/2W")),AND($K41=BZ$3,OR($C41="W",$C41="1/2W")),AND($K42=BZ$3,OR($C42="W",$C42="1/2W"))),$S40,0))</f>
        <v>0</v>
      </c>
      <c r="CA40" s="136">
        <f>IF($B40="LOSS",IF(AND($K40=CA$3,$C40="L"),-$O40,0)+IF(AND($K41=CA$3,$C41="L"),-$O41,0)+IF(AND($K42=CA$3,$C42="L"),-$O42,0),IF(OR(AND($K40=CA$3,OR($C40="W",$C40="1/2W")),AND($K41=CA$3,OR($C41="W",$C41="1/2W")),AND($K42=CA$3,OR($C42="W",$C42="1/2W"))),$S40,0))</f>
        <v>0</v>
      </c>
      <c r="CB40" s="136">
        <f>IF($B40="LOSS",IF(AND($K40=CB$3,$C40="L"),-$O40,0)+IF(AND($K41=CB$3,$C41="L"),-$O41,0)+IF(AND($K42=CB$3,$C42="L"),-$O42,0),IF(OR(AND($K40=CB$3,OR($C40="W",$C40="1/2W")),AND($K41=CB$3,OR($C41="W",$C41="1/2W")),AND($K42=CB$3,OR($C42="W",$C42="1/2W"))),$S40,0))</f>
        <v>0</v>
      </c>
      <c r="CC40" s="136">
        <f>IF($B40="LOSS",IF(AND($K40=CC$3,$C40="L"),-$O40,0)+IF(AND($K41=CC$3,$C41="L"),-$O41,0)+IF(AND($K42=CC$3,$C42="L"),-$O42,0),IF(OR(AND($K40=CC$3,OR($C40="W",$C40="1/2W")),AND($K41=CC$3,OR($C41="W",$C41="1/2W")),AND($K42=CC$3,OR($C42="W",$C42="1/2W"))),$S40,0))</f>
        <v>0</v>
      </c>
      <c r="CD40" s="137">
        <f>IF($B40="LOSS",IF(AND($K40=CD$3,$C40="L"),-$O40,0)+IF(AND($K41=CD$3,$C41="L"),-$O41,0)+IF(AND($K42=CD$3,$C42="L"),-$O42,0),IF(OR(AND($K40=CD$3,OR($C40="W",$C40="1/2W")),AND($K41=CD$3,OR($C41="W",$C41="1/2W")),AND($K42=CD$3,OR($C42="W",$C42="1/2W"))),$S40,0))</f>
        <v>1.31</v>
      </c>
      <c r="CE40" s="134">
        <f>IF($B40="LOSS",IF(AND($K40=CE$3,$C40="L"),-$O40,0)+IF(AND($K41=CE$3,$C41="L"),-$O41,0)+IF(AND($K42=CE$3,$C42="L"),-$O42,0),IF(OR(AND($K40=CE$3,OR($C40="W",$C40="1/2W")),AND($K41=CE$3,OR($C41="W",$C41="1/2W")),AND($K42=CE$3,OR($C42="W",$C42="1/2W"))),$S40,0))</f>
        <v>0</v>
      </c>
      <c r="CF40" s="273">
        <f>IF(CF$3=$K40,IF($C40="W",1,IF($C40="1/2W",0.5,0)),0)</f>
        <v>0</v>
      </c>
      <c r="CG40" s="274">
        <f>IF(CF$3=$K40,IF($C40="L",1,IF($C40="1/2L",0.5,0)),0)</f>
        <v>0</v>
      </c>
      <c r="CH40" s="274">
        <f>IF(CH$3=$K40,IF($C40="W",1,IF($C40="1/2W",0.5,0)),0)</f>
        <v>0</v>
      </c>
      <c r="CI40" s="274">
        <f>IF(CH$3=$K40,IF($C40="L",1,IF($C40="1/2L",0.5,0)),0)</f>
        <v>0</v>
      </c>
      <c r="CJ40" s="274">
        <f>IF(CJ$3=$K40,IF($C40="W",1,IF($C40="1/2W",0.5,0)),0)</f>
        <v>0</v>
      </c>
      <c r="CK40" s="274">
        <f>IF(CJ$3=$K40,IF($C40="L",1,IF($C40="1/2L",0.5,0)),0)</f>
        <v>0</v>
      </c>
      <c r="CL40" s="274">
        <f>IF(CL$3=$K40,IF($C40="W",1,IF($C40="1/2W",0.5,0)),0)</f>
        <v>0</v>
      </c>
      <c r="CM40" s="274">
        <f>IF(CL$3=$K40,IF($C40="L",1,IF($C40="1/2L",0.5,0)),0)</f>
        <v>0</v>
      </c>
      <c r="CN40" s="274">
        <f>IF(CN$3=$K40,IF($C40="W",1,IF($C40="1/2W",0.5,0)),0)</f>
        <v>0</v>
      </c>
      <c r="CO40" s="274">
        <f>IF(CN$3=$K40,IF($C40="L",1,IF($C40="1/2L",0.5,0)),0)</f>
        <v>0</v>
      </c>
      <c r="CP40" s="274">
        <f>IF(CP$3=$K40,IF($C40="W",1,IF($C40="1/2W",0.5,0)),0)</f>
        <v>0</v>
      </c>
      <c r="CQ40" s="274">
        <f>IF(CP$3=$K40,IF($C40="L",1,IF($C40="1/2L",0.5,0)),0)</f>
        <v>0</v>
      </c>
      <c r="CR40" s="274">
        <f>IF(CR$3=$K40,IF($C40="W",1,IF($C40="1/2W",0.5,0)),0)</f>
        <v>0</v>
      </c>
      <c r="CS40" s="274">
        <f>IF(CR$3=$K40,IF($C40="L",1,IF($C40="1/2L",0.5,0)),0)</f>
        <v>0</v>
      </c>
      <c r="CT40" s="145">
        <f>IF(CT$3=$K40,IF($C40="W",1,IF($C40="1/2W",0.5,0)),0)</f>
        <v>0</v>
      </c>
      <c r="CU40" s="146">
        <f>IF(CT$3=$K40,IF($C40="L",1,IF($C40="1/2L",0.5,0)),0)</f>
        <v>0</v>
      </c>
      <c r="CV40" s="146">
        <f>IF(CV$3=$K40,IF($C40="W",1,IF($C40="1/2W",0.5,0)),0)</f>
        <v>0</v>
      </c>
      <c r="CW40" s="146">
        <f>IF(CV$3=$K40,IF($C40="L",1,IF($C40="1/2L",0.5,0)),0)</f>
        <v>0</v>
      </c>
      <c r="CX40" s="146">
        <f>IF(CX$3=$K40,IF($C40="W",1,IF($C40="1/2W",0.5,0)),0)</f>
        <v>0</v>
      </c>
      <c r="CY40" s="146">
        <f>IF(CX$3=$K40,IF($C40="L",1,IF($C40="1/2L",0.5,0)),0)</f>
        <v>0</v>
      </c>
      <c r="CZ40" s="146">
        <f>IF(CZ$3=$K40,IF($C40="W",1,IF($C40="1/2W",0.5,0)),0)</f>
        <v>0</v>
      </c>
      <c r="DA40" s="146">
        <f>IF(CZ$3=$K40,IF($C40="L",1,IF($C40="1/2L",0.5,0)),0)</f>
        <v>0</v>
      </c>
      <c r="DB40" s="146">
        <f>IF(DB$3=$K40,IF($C40="W",1,IF($C40="1/2W",0.5,0)),0)</f>
        <v>1</v>
      </c>
      <c r="DC40" s="146">
        <f>IF(DB$3=$K40,IF($C40="L",1,IF($C40="1/2L",0.5,0)),0)</f>
        <v>0</v>
      </c>
      <c r="DD40" s="146">
        <f>IF(DD$3=$K40,IF($C40="W",1,IF($C40="1/2W",0.5,0)),0)</f>
        <v>0</v>
      </c>
      <c r="DE40" s="147">
        <f>IF(DD$3=$K40,IF($C40="L",1,IF($C40="1/2L",0.5,0)),0)</f>
        <v>0</v>
      </c>
      <c r="DF40" s="143">
        <f>IF(AND(L40&lt;DF$3,$C40="W"),1+DF39,DF39)</f>
        <v>2</v>
      </c>
      <c r="DG40" s="133">
        <f>IF(DF40&gt;DF39,L40+DG39,DG39)</f>
        <v>2.55</v>
      </c>
      <c r="DH40" s="146">
        <f>IF(AND(L40&gt;DH$3,$C40="W"),1+DH39,0+DH39)</f>
        <v>0</v>
      </c>
      <c r="DI40" s="133">
        <f>IF(DH40&gt;DH39,L40+DI39,DI39)</f>
        <v>0</v>
      </c>
      <c r="DJ40" s="146">
        <f>IF($D40="","",$D40)</f>
        <v>16</v>
      </c>
      <c r="DK40" s="146">
        <f>IF(AND($B40=" ",$D40&lt;&gt;""),1,0)</f>
        <v>0</v>
      </c>
    </row>
    <row r="41" ht="14.55" customHeight="1">
      <c r="A41" s="107"/>
      <c r="B41" s="108"/>
      <c r="C41" t="s" s="109">
        <v>51</v>
      </c>
      <c r="D41" s="110"/>
      <c r="E41" s="111"/>
      <c r="F41" s="113"/>
      <c r="G41" s="252"/>
      <c r="H41" s="114"/>
      <c r="I41" t="s" s="275">
        <v>60</v>
      </c>
      <c r="J41" t="s" s="295">
        <f>IF(OR(I40="TO",I40="TU",I40="TO1",I40="TU1",I40="TO2",I40="TU2"),J40,IF(OR(I40="AH1",I40="AH2"),IF(OR(I41="AH1",I41="AH2"),-J40,IF(OR(I41="EH1",I41="EH2"),-J40+0.5,"")),IF(OR(I40="EH1",I40="EH2"),IF(OR(I41="AH1",I41="AH2"),-J40+0.5,IF(OR(I41="EH1",I41="EH2"),-J40+1,"")),IF(AND(OR(I40="DNB1",I40="DNB2"),OR(I41="AH1",I41="AH2")),0,IF(AND(I40="Not ScoreBoth",OR(I41="TO1",I41="TO2")),0.5,"")))))</f>
      </c>
      <c r="K41" t="s" s="117">
        <v>37</v>
      </c>
      <c r="L41" s="277">
        <v>3.4</v>
      </c>
      <c r="M41" s="278">
        <v>5.83</v>
      </c>
      <c r="N41" s="120"/>
      <c r="O41" s="121">
        <f>IF(OR(AE40="",AE41=""),"",ROUND(IF(L42&gt;0,IF(M41&gt;0,M41,IF(M40&gt;0,IF(N40=TRUE,ROUND((M40*AE41)/AE40,0),(M40*AE41)/AE40),IF(M41&gt;0,ROUND(M41,IF(N40=0,2,IF(N40=0.1,1,0))),IF(M42&gt;0,ROUND(O42*AE41/AE42,IF(N40=0,2,IF(N40=0.1,1,0))),0)))),IF(M41&gt;0,M41,ROUND((M40*AE41)/AE40,IF(N40=0,2,IF(N40=0.1,1,0))))),2))</f>
        <v>5.83</v>
      </c>
      <c r="P41" s="122">
        <f>IF(OR(L41="",O41=""),"",IF($C41="1/2W",O41/2+O41/2*L41,IF($C41="1/2L",O41/2,IF(I41="Lay",((O41*(L41/(L41-1)))-O41)*(1-_xlfn.XLOOKUP(K41,'Janeiro 2023 - Valor Real'!A3:A15,'Janeiro 2023 - Valor Real'!C3:C15,0))+O41,(O41*L41-O41)*(1-_xlfn.XLOOKUP(K41,'Janeiro 2023 - Valor Real'!A3:A15,'Janeiro 2023 - Valor Real'!C3:C15,0))+O41))))</f>
        <v>19.822</v>
      </c>
      <c r="Q41" s="279">
        <v>2</v>
      </c>
      <c r="R41" s="280">
        <v>0</v>
      </c>
      <c r="S41" s="125"/>
      <c r="T41" s="126"/>
      <c r="U41" s="126"/>
      <c r="V41" s="224"/>
      <c r="W41" s="126"/>
      <c r="X41" s="127"/>
      <c r="Y41" s="128"/>
      <c r="Z41" s="129"/>
      <c r="AA41" s="129"/>
      <c r="AB41" s="129"/>
      <c r="AC41" s="129"/>
      <c r="AD41" s="130"/>
      <c r="AE41" s="131">
        <f>IF(L41="","",IF(L42&gt;0,(SUM(((L40-1)*(1-_xlfn.XLOOKUP(K40,'Janeiro 2023 - Valor Real'!A3:A15,'Janeiro 2023 - Valor Real'!C3:C15,0))+1),((L41-1)*(1-_xlfn.XLOOKUP(K41,'Janeiro 2023 - Valor Real'!A3:A15,'Janeiro 2023 - Valor Real'!C3:C15,0))+1),((L42-1)*(1-_xlfn.XLOOKUP(K42,'Janeiro 2023 - Valor Real'!A3:A15,'Janeiro 2023 - Valor Real'!C3:C15,0))+1))/((L41-1)*(1-_xlfn.XLOOKUP(K41,'Janeiro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Real'!C3:C15,0))+1))/((L40-1)*(1-_xlfn.XLOOKUP(K40,'Janeiro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Real'!C3:C15,0))+1))/((L41-1)*(1-_xlfn.XLOOKUP(K41,'Janeiro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Real'!C3:C15,0))+1))/((L42-1)*(1-_xlfn.XLOOKUP(K42,'Janeiro 2023 - Valor Real'!A3:A15,'Janeiro 2023 - Valor Real'!C3:C15,0))+1)),IF(I41="Lay",IF(I40="Lay",((L40/(L40-1)-1)*(1-_xlfn.XLOOKUP(K40,'Janeiro 2023 - Valor Real'!A3:A15,'Janeiro 2023 - Valor Real'!C3:C15,0))+1)/(((L40/(L40-1)-1)*(1-_xlfn.XLOOKUP(K40,'Janeiro 2023 - Valor Real'!A3:A15,'Janeiro 2023 - Valor Real'!C3:C15,0))+1)+((L41/(L41-1)-1)*(1-_xlfn.XLOOKUP(K41,'Janeiro 2023 - Valor Real'!A3:A15,'Janeiro 2023 - Valor Real'!C3:C15,0))+1)),((L40-1)*(1-_xlfn.XLOOKUP(K40,'Janeiro 2023 - Valor Real'!A3:A15,'Janeiro 2023 - Valor Real'!C3:C15,0))+1)/(((L40-1)*(1-_xlfn.XLOOKUP(K40,'Janeiro 2023 - Valor Real'!A3:A15,'Janeiro 2023 - Valor Real'!C3:C15,0))+1)+((L41/(L41-1)-1)*(1-_xlfn.XLOOKUP(K41,'Janeiro 2023 - Valor Real'!A3:A15,'Janeiro 2023 - Valor Real'!C3:C15,0))+1))),IF(I40="Lay",((L40/(L40-1)-1)*(1-_xlfn.XLOOKUP(K40,'Janeiro 2023 - Valor Real'!A3:A15,'Janeiro 2023 - Valor Real'!C3:C15,0))+1)/((((L40/(L40-1)-1)*(1-_xlfn.XLOOKUP(K40,'Janeiro 2023 - Valor Real'!A3:A15,'Janeiro 2023 - Valor Real'!C3:C15,0))+1))+((L41-1)*(1-_xlfn.XLOOKUP(K41,'Janeiro 2023 - Valor Real'!A3:A15,'Janeiro 2023 - Valor Real'!C3:C15,0))+1)),((L40-1)*(1-_xlfn.XLOOKUP(K40,'Janeiro 2023 - Valor Real'!A3:A15,'Janeiro 2023 - Valor Real'!C3:C15,0))+1)/(((L40-1)*(1-_xlfn.XLOOKUP(K40,'Janeiro 2023 - Valor Real'!A3:A15,'Janeiro 2023 - Valor Real'!C3:C15,0))+1)+((L41-1)*(1-_xlfn.XLOOKUP(K41,'Janeiro 2023 - Valor Real'!A3:A15,'Janeiro 2023 - Valor Real'!C3:C15,0))+1))))))</f>
        <v>0.314516129032258</v>
      </c>
      <c r="AF41" s="132">
        <f>IF($K41=AF$3,ROUND(IF(OR($C41="W",$C41="1/2W",$C41="1/2L"),$P41-$O41,IF($C41="X",0,-$O41)),2),0)</f>
        <v>-5.83</v>
      </c>
      <c r="AG41" s="133">
        <f>IF($K41=AG$3,ROUND(IF(OR($C41="W",$C41="1/2W",$C41="1/2L"),$P41-$O41,IF($C41="X",0,-$O41)),2),0)</f>
        <v>0</v>
      </c>
      <c r="AH41" s="133">
        <f>IF($K41=AH$3,ROUND(IF(OR($C41="W",$C41="1/2W",$C41="1/2L"),$P41-$O41,IF($C41="X",0,-$O41)),2),0)</f>
        <v>0</v>
      </c>
      <c r="AI41" s="133">
        <f>IF($K41=AI$3,ROUND(IF(OR($C41="W",$C41="1/2W",$C41="1/2L"),$P41-$O41,IF($C41="X",0,-$O41)),2),0)</f>
        <v>0</v>
      </c>
      <c r="AJ41" s="133">
        <f>IF($K41=AJ$3,ROUND(IF(OR($C41="W",$C41="1/2W",$C41="1/2L"),$P41-$O41,IF($C41="X",0,-$O41)),2),0)</f>
        <v>0</v>
      </c>
      <c r="AK41" s="133">
        <f>IF($K41=AK$3,ROUND(IF(OR($C41="W",$C41="1/2W",$C41="1/2L"),$P41-$O41,IF($C41="X",0,-$O41)),2),0)</f>
        <v>0</v>
      </c>
      <c r="AL41" s="133">
        <f>IF($K41=AL$3,ROUND(IF(OR($C41="W",$C41="1/2W",$C41="1/2L"),$P41-$O41,IF($C41="X",0,-$O41)),2),0)</f>
        <v>0</v>
      </c>
      <c r="AM41" s="133">
        <f>IF($K41=AM$3,ROUND(IF(OR($C41="W",$C41="1/2W",$C41="1/2L"),$P41-$O41,IF($C41="X",0,-$O41)),2),0)</f>
        <v>0</v>
      </c>
      <c r="AN41" s="133">
        <f>IF($K41=AN$3,ROUND(IF(OR($C41="W",$C41="1/2W",$C41="1/2L"),$P41-$O41,IF($C41="X",0,-$O41)),2),0)</f>
        <v>0</v>
      </c>
      <c r="AO41" s="133">
        <f>IF($K41=AO$3,ROUND(IF(OR($C41="W",$C41="1/2W",$C41="1/2L"),$P41-$O41,IF($C41="X",0,-$O41)),2),0)</f>
        <v>0</v>
      </c>
      <c r="AP41" s="133">
        <f>IF($K41=AP$3,ROUND(IF(OR($C41="W",$C41="1/2W",$C41="1/2L"),$P41-$O41,IF($C41="X",0,-$O41)),2),0)</f>
        <v>0</v>
      </c>
      <c r="AQ41" s="133">
        <f>IF($K41=AQ$3,ROUND(IF(OR($C41="W",$C41="1/2W",$C41="1/2L"),$P41-$O41,IF($C41="X",0,-$O41)),2),0)</f>
        <v>0</v>
      </c>
      <c r="AR41" s="134">
        <f>IF($K41=AR$3,ROUND(IF(OR($C41="W",$C41="1/2W",$C41="1/2L"),$P41-$O41,IF($C41="X",0,-$O41)),2),0)</f>
        <v>0</v>
      </c>
      <c r="AS41" s="132">
        <f>IF(AND($B40=" ",$K41=AS$3),$O41,0)</f>
        <v>0</v>
      </c>
      <c r="AT41" s="133">
        <f>IF(AND($B40=" ",K41=AT$3),$O41,0)</f>
        <v>0</v>
      </c>
      <c r="AU41" s="133">
        <f>IF(AND($B40=" ",$K41=AU$3),$O41,0)</f>
        <v>0</v>
      </c>
      <c r="AV41" s="133">
        <f>IF(AND($B40=" ",$K41=AV$3),$O41,0)</f>
        <v>0</v>
      </c>
      <c r="AW41" s="133">
        <f>IF(AND($B40=" ",$K41=AW$3),$O41,0)</f>
        <v>0</v>
      </c>
      <c r="AX41" s="133">
        <f>IF(AND($B40=" ",$K41=AX$3),$O41,0)</f>
        <v>0</v>
      </c>
      <c r="AY41" s="135">
        <f>IF(AND($B40=" ",$K41=AY$3),$O41,0)</f>
        <v>0</v>
      </c>
      <c r="AZ41" s="136">
        <f>IF(AND($B40=" ",$K41=AZ$3),$O41,0)</f>
        <v>0</v>
      </c>
      <c r="BA41" s="136">
        <f>IF(AND($B40=" ",$K41=BA$3),$O41,0)</f>
        <v>0</v>
      </c>
      <c r="BB41" s="136">
        <f>IF(AND($B40=" ",$K41=BB$3),$O41,0)</f>
        <v>0</v>
      </c>
      <c r="BC41" s="137">
        <f>IF(AND($B40=" ",$K41=BC$3),$O41,0)</f>
        <v>0</v>
      </c>
      <c r="BD41" s="133">
        <f>IF(AND($B40=" ",$K41=BD$3),$O41,0)</f>
        <v>0</v>
      </c>
      <c r="BE41" s="134">
        <f>IF(AND($B40=" ",$K41=BE$3),$O41,0)</f>
        <v>0</v>
      </c>
      <c r="BF41" s="132">
        <f>IF($K41=BF$3,IF($C41="X",0,$O41),0)</f>
        <v>5.83</v>
      </c>
      <c r="BG41" s="281">
        <f>IF($K41=BG$3,IF($C41="X",0,$O41),0)</f>
        <v>0</v>
      </c>
      <c r="BH41" s="133">
        <f>IF($K41=BH$3,IF($C41="X",0,$O41),0)</f>
        <v>0</v>
      </c>
      <c r="BI41" s="133">
        <f>IF($K41=BI$3,IF($C41="X",0,$O41),0)</f>
        <v>0</v>
      </c>
      <c r="BJ41" s="133">
        <f>IF($K41=BJ$3,IF($C41="X",0,$O41),0)</f>
        <v>0</v>
      </c>
      <c r="BK41" s="133">
        <f>IF($K41=BK$3,IF($C41="X",0,$O41),0)</f>
        <v>0</v>
      </c>
      <c r="BL41" s="133">
        <f>IF($K41=BL$3,IF($C41="X",0,$O41),0)</f>
        <v>0</v>
      </c>
      <c r="BM41" s="135">
        <f>IF($K41=BM$3,IF($C41="X",0,$O41),0)</f>
        <v>0</v>
      </c>
      <c r="BN41" s="136">
        <f>IF($K41=BN$3,IF($C41="X",0,$O41),0)</f>
        <v>0</v>
      </c>
      <c r="BO41" s="136">
        <f>IF($K41=BO$3,IF($C41="X",0,$O41),0)</f>
        <v>0</v>
      </c>
      <c r="BP41" s="136">
        <f>IF($K41=BP$3,IF($C41="X",0,$O41),0)</f>
        <v>0</v>
      </c>
      <c r="BQ41" s="137">
        <f>IF($K41=BQ$3,IF($C41="X",0,$O41),0)</f>
        <v>0</v>
      </c>
      <c r="BR41" s="134">
        <f>IF($K41=BR$3,IF($C41="X",0,$O41),0)</f>
        <v>0</v>
      </c>
      <c r="BS41" s="282"/>
      <c r="BT41" s="283"/>
      <c r="BU41" s="140"/>
      <c r="BV41" s="283"/>
      <c r="BW41" s="140"/>
      <c r="BX41" s="140"/>
      <c r="BY41" s="140"/>
      <c r="BZ41" s="283"/>
      <c r="CA41" s="140"/>
      <c r="CB41" s="140"/>
      <c r="CC41" s="140"/>
      <c r="CD41" s="141"/>
      <c r="CE41" s="142"/>
      <c r="CF41" s="284">
        <f>IF(CF$3=$K41,IF($C41="W",1,IF($C41="1/2W",0.5,0)),0)</f>
        <v>0</v>
      </c>
      <c r="CG41" s="285">
        <f>IF(CF$3=$K41,IF($C41="L",1,IF($C41="1/2L",0.5,0)),0)</f>
        <v>1</v>
      </c>
      <c r="CH41" s="285">
        <f>IF(CH$3=$K41,IF($C41="W",1,IF($C41="1/2W",0.5,0)),0)</f>
        <v>0</v>
      </c>
      <c r="CI41" s="285">
        <f>IF(CH$3=$K41,IF($C41="L",1,IF($C41="1/2L",0.5,0)),0)</f>
        <v>0</v>
      </c>
      <c r="CJ41" s="285">
        <f>IF(CJ$3=$K41,IF($C41="W",1,IF($C41="1/2W",0.5,0)),0)</f>
        <v>0</v>
      </c>
      <c r="CK41" s="285">
        <f>IF(CJ$3=$K41,IF($C41="L",1,IF($C41="1/2L",0.5,0)),0)</f>
        <v>0</v>
      </c>
      <c r="CL41" s="285">
        <f>IF(CL$3=$K41,IF($C41="W",1,IF($C41="1/2W",0.5,0)),0)</f>
        <v>0</v>
      </c>
      <c r="CM41" s="285">
        <f>IF(CL$3=$K41,IF($C41="L",1,IF($C41="1/2L",0.5,0)),0)</f>
        <v>0</v>
      </c>
      <c r="CN41" s="285">
        <f>IF(CN$3=$K41,IF($C41="W",1,IF($C41="1/2W",0.5,0)),0)</f>
        <v>0</v>
      </c>
      <c r="CO41" s="285">
        <f>IF(CN$3=$K41,IF($C41="L",1,IF($C41="1/2L",0.5,0)),0)</f>
        <v>0</v>
      </c>
      <c r="CP41" s="285">
        <f>IF(CP$3=$K41,IF($C41="W",1,IF($C41="1/2W",0.5,0)),0)</f>
        <v>0</v>
      </c>
      <c r="CQ41" s="285">
        <f>IF(CP$3=$K41,IF($C41="L",1,IF($C41="1/2L",0.5,0)),0)</f>
        <v>0</v>
      </c>
      <c r="CR41" s="285">
        <f>IF(CR$3=$K41,IF($C41="W",1,IF($C41="1/2W",0.5,0)),0)</f>
        <v>0</v>
      </c>
      <c r="CS41" s="285">
        <f>IF(CR$3=$K41,IF($C41="L",1,IF($C41="1/2L",0.5,0)),0)</f>
        <v>0</v>
      </c>
      <c r="CT41" s="145">
        <f>IF(CT$3=$K41,IF($C41="W",1,IF($C41="1/2W",0.5,0)),0)</f>
        <v>0</v>
      </c>
      <c r="CU41" s="146">
        <f>IF(CT$3=$K41,IF($C41="L",1,IF($C41="1/2L",0.5,0)),0)</f>
        <v>0</v>
      </c>
      <c r="CV41" s="146">
        <f>IF(CV$3=$K41,IF($C41="W",1,IF($C41="1/2W",0.5,0)),0)</f>
        <v>0</v>
      </c>
      <c r="CW41" s="146">
        <f>IF(CV$3=$K41,IF($C41="L",1,IF($C41="1/2L",0.5,0)),0)</f>
        <v>0</v>
      </c>
      <c r="CX41" s="146">
        <f>IF(CX$3=$K41,IF($C41="W",1,IF($C41="1/2W",0.5,0)),0)</f>
        <v>0</v>
      </c>
      <c r="CY41" s="146">
        <f>IF(CX$3=$K41,IF($C41="L",1,IF($C41="1/2L",0.5,0)),0)</f>
        <v>0</v>
      </c>
      <c r="CZ41" s="146">
        <f>IF(CZ$3=$K41,IF($C41="W",1,IF($C41="1/2W",0.5,0)),0)</f>
        <v>0</v>
      </c>
      <c r="DA41" s="146">
        <f>IF(CZ$3=$K41,IF($C41="L",1,IF($C41="1/2L",0.5,0)),0)</f>
        <v>0</v>
      </c>
      <c r="DB41" s="146">
        <f>IF(DB$3=$K41,IF($C41="W",1,IF($C41="1/2W",0.5,0)),0)</f>
        <v>0</v>
      </c>
      <c r="DC41" s="146">
        <f>IF(DB$3=$K41,IF($C41="L",1,IF($C41="1/2L",0.5,0)),0)</f>
        <v>0</v>
      </c>
      <c r="DD41" s="146">
        <f>IF(DD$3=$K41,IF($C41="W",1,IF($C41="1/2W",0.5,0)),0)</f>
        <v>0</v>
      </c>
      <c r="DE41" s="147">
        <f>IF(DD$3=$K41,IF($C41="L",1,IF($C41="1/2L",0.5,0)),0)</f>
        <v>0</v>
      </c>
      <c r="DF41" s="143">
        <f>IF(AND(L41&lt;DF$3,$C41="W"),1+DF40,DF40)</f>
        <v>2</v>
      </c>
      <c r="DG41" s="133">
        <f>IF(DF41&gt;DF40,L41+DG40,DG40)</f>
        <v>2.55</v>
      </c>
      <c r="DH41" s="146">
        <f>IF(AND(L41&gt;DH$3,$C41="W"),1+DH40,0+DH40)</f>
        <v>0</v>
      </c>
      <c r="DI41" s="133">
        <f>IF(DH41&gt;DH40,L41+DI40,DI40)</f>
        <v>0</v>
      </c>
      <c r="DJ41" s="146">
        <f>IF($D40="","",$D40)</f>
        <v>16</v>
      </c>
      <c r="DK41" s="286"/>
    </row>
    <row r="42" ht="14.55" customHeight="1">
      <c r="A42" s="149"/>
      <c r="B42" s="150"/>
      <c r="C42" t="s" s="151">
        <v>58</v>
      </c>
      <c r="D42" s="152"/>
      <c r="E42" s="153"/>
      <c r="F42" s="155"/>
      <c r="G42" s="252"/>
      <c r="H42" s="156"/>
      <c r="I42" s="287"/>
      <c r="J42" s="288"/>
      <c r="K42" s="156"/>
      <c r="L42" s="289"/>
      <c r="M42" s="290"/>
      <c r="N42" s="161"/>
      <c r="O42" t="s" s="162">
        <f>IF(OR(AE40="",AE41=""),"",IF(L42&gt;0,ROUND(IF(M42&gt;0,M42,IF(M40&gt;0,ROUND((M40*AE42)/AE40,IF(N40=0,2,IF(N40=0.1,1,0))),IF(M41&gt;0,ROUND((M41*AE42)/AE41,IF(N40=0,2,IF(N40=0.1,1,0))),IF(M42&gt;0,M42,0)))),2),""))</f>
      </c>
      <c r="P42" t="s" s="163">
        <f>IF(I41="Lay",O41*(L41/(L41-1))-O41,IF(I40="Lay",O40*(L40/(L40-1))-O40,IF(OR(L42="",O42=""),"",IF($C42="1/2W",O42/2+O42/2*L42,IF($C42="1/2L",O42/2,(O42*L42-O42)*(1-_xlfn.XLOOKUP(K42,'Janeiro 2023 - Valor Real'!A3:A15,'Janeiro 2023 - Valor Real'!C3:C15,0))+O42)))))</f>
      </c>
      <c r="Q42" t="s" s="154"/>
      <c r="R42" t="s" s="163"/>
      <c r="S42" s="166"/>
      <c r="T42" s="155"/>
      <c r="U42" s="155"/>
      <c r="V42" s="166"/>
      <c r="W42" s="155"/>
      <c r="X42" s="167"/>
      <c r="Y42" s="128"/>
      <c r="Z42" s="129"/>
      <c r="AA42" s="129"/>
      <c r="AB42" s="129"/>
      <c r="AC42" s="129"/>
      <c r="AD42" s="168"/>
      <c r="AE42" t="s" s="169">
        <f>IF(L42="","",(SUM(((L40-1)*(1-_xlfn.XLOOKUP(K40,'Janeiro 2023 - Valor Real'!A3:A15,'Janeiro 2023 - Valor Real'!C3:C15,0))+1),((L41-1)*(1-_xlfn.XLOOKUP(K41,'Janeiro 2023 - Valor Real'!A3:A15,'Janeiro 2023 - Valor Real'!C3:C15,0))+1),((L42-1)*(1-_xlfn.XLOOKUP(K42,'Janeiro 2023 - Valor Real'!A3:A15,'Janeiro 2023 - Valor Real'!C3:C15,0))+1))/((L42-1)*(1-_xlfn.XLOOKUP(K42,'Janeiro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Real'!C3:C15,0))+1))/((L40-1)*(1-_xlfn.XLOOKUP(K40,'Janeiro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Real'!C3:C15,0))+1))/((L41-1)*(1-_xlfn.XLOOKUP(K41,'Janeiro 2023 - Valor Real'!A3:A15,'Janeiro 2023 - Valor Real'!C3:C15,0))+1)+SUM(((L40-1)*(1-_xlfn.XLOOKUP(K40,'Janeiro 2023 - Valor Real'!A3:A15,'Janeiro 2023 - Valor Real'!C3:C15,0))+1),((L41-1)*(1-_xlfn.XLOOKUP(K41,'Janeiro 2023 - Valor Real'!A3:A15,'Janeiro 2023 - Valor Real'!C3:C15,0))+1),((L42-1)*(1-_xlfn.XLOOKUP(K42,'Janeiro 2023 - Valor Real'!A3:A15,'Janeiro 2023 - Valor Real'!C3:C15,0))+1))/((L42-1)*(1-_xlfn.XLOOKUP(K42,'Janeiro 2023 - Valor Real'!A3:A15,'Janeiro 2023 - Valor Real'!C3:C15,0))+1)))</f>
      </c>
      <c r="AF42" s="132">
        <f>IF($K42=AF$3,ROUND(IF(OR($C42="W",$C42="1/2W",$C42="1/2L"),$P42-$O42,IF($C42="X",0,-$O42)),2),0)</f>
        <v>0</v>
      </c>
      <c r="AG42" s="133">
        <f>IF($K42=AG$3,ROUND(IF(OR($C42="W",$C42="1/2W",$C42="1/2L"),$P42-$O42,IF($C42="X",0,-$O42)),2),0)</f>
        <v>0</v>
      </c>
      <c r="AH42" s="133">
        <f>IF($K42=AH$3,ROUND(IF(OR($C42="W",$C42="1/2W",$C42="1/2L"),$P42-$O42,IF($C42="X",0,-$O42)),2),0)</f>
        <v>0</v>
      </c>
      <c r="AI42" s="133">
        <f>IF($K42=AI$3,ROUND(IF(OR($C42="W",$C42="1/2W",$C42="1/2L"),$P42-$O42,IF($C42="X",0,-$O42)),2),0)</f>
        <v>0</v>
      </c>
      <c r="AJ42" s="133">
        <f>IF($K42=AJ$3,ROUND(IF(OR($C42="W",$C42="1/2W",$C42="1/2L"),$P42-$O42,IF($C42="X",0,-$O42)),2),0)</f>
        <v>0</v>
      </c>
      <c r="AK42" s="133">
        <f>IF($K42=AK$3,ROUND(IF(OR($C42="W",$C42="1/2W",$C42="1/2L"),$P42-$O42,IF($C42="X",0,-$O42)),2),0)</f>
        <v>0</v>
      </c>
      <c r="AL42" s="133">
        <f>IF($K42=AL$3,ROUND(IF(OR($C42="W",$C42="1/2W",$C42="1/2L"),$P42-$O42,IF($C42="X",0,-$O42)),2),0)</f>
        <v>0</v>
      </c>
      <c r="AM42" s="133">
        <f>IF($K42=AM$3,ROUND(IF(OR($C42="W",$C42="1/2W",$C42="1/2L"),$P42-$O42,IF($C42="X",0,-$O42)),2),0)</f>
        <v>0</v>
      </c>
      <c r="AN42" s="133">
        <f>IF($K42=AN$3,ROUND(IF(OR($C42="W",$C42="1/2W",$C42="1/2L"),$P42-$O42,IF($C42="X",0,-$O42)),2),0)</f>
        <v>0</v>
      </c>
      <c r="AO42" s="133">
        <f>IF($K42=AO$3,ROUND(IF(OR($C42="W",$C42="1/2W",$C42="1/2L"),$P42-$O42,IF($C42="X",0,-$O42)),2),0)</f>
        <v>0</v>
      </c>
      <c r="AP42" s="133">
        <f>IF($K42=AP$3,ROUND(IF(OR($C42="W",$C42="1/2W",$C42="1/2L"),$P42-$O42,IF($C42="X",0,-$O42)),2),0)</f>
        <v>0</v>
      </c>
      <c r="AQ42" s="133">
        <f>IF($K42=AQ$3,ROUND(IF(OR($C42="W",$C42="1/2W",$C42="1/2L"),$P42-$O42,IF($C42="X",0,-$O42)),2),0)</f>
        <v>0</v>
      </c>
      <c r="AR42" s="134">
        <f>IF($K42=AR$3,ROUND(IF(OR($C42="W",$C42="1/2W",$C42="1/2L"),$P42-$O42,IF($C42="X",0,-$O42)),2),0)</f>
        <v>0</v>
      </c>
      <c r="AS42" s="132">
        <f>IF(AND($B40=" ",$K42=AS$3),$O42,0)</f>
        <v>0</v>
      </c>
      <c r="AT42" s="133">
        <f>IF(AND($B40=" ",K42=AT$3),$O42,0)</f>
        <v>0</v>
      </c>
      <c r="AU42" s="133">
        <f>IF(AND($B40=" ",$K42=AU$3),$O42,0)</f>
        <v>0</v>
      </c>
      <c r="AV42" s="133">
        <f>IF(AND($B40=" ",$K42=AV$3),$O42,0)</f>
        <v>0</v>
      </c>
      <c r="AW42" s="133">
        <f>IF(AND($B40=" ",$K42=AW$3),$O42,0)</f>
        <v>0</v>
      </c>
      <c r="AX42" s="133">
        <f>IF(AND($B40=" ",$K42=AX$3),$O42,0)</f>
        <v>0</v>
      </c>
      <c r="AY42" s="135">
        <f>IF(AND($B40=" ",$K42=AY$3),$O42,0)</f>
        <v>0</v>
      </c>
      <c r="AZ42" s="136">
        <f>IF(AND($B40=" ",$K42=AZ$3),$O42,0)</f>
        <v>0</v>
      </c>
      <c r="BA42" s="136">
        <f>IF(AND($B40=" ",$K42=BA$3),$O42,0)</f>
        <v>0</v>
      </c>
      <c r="BB42" s="136">
        <f>IF(AND($B40=" ",$K42=BB$3),$O42,0)</f>
        <v>0</v>
      </c>
      <c r="BC42" s="137">
        <f>IF(AND($B40=" ",$K42=BC$3),$O42,0)</f>
        <v>0</v>
      </c>
      <c r="BD42" s="133">
        <f>IF(AND($B40=" ",$K42=BD$3),$O42,0)</f>
        <v>0</v>
      </c>
      <c r="BE42" s="134">
        <f>IF(AND($B40=" ",$K42=BE$3),$O42,0)</f>
        <v>0</v>
      </c>
      <c r="BF42" s="132">
        <f>IF($K42=BF$3,IF($C42="X",0,$O42),0)</f>
        <v>0</v>
      </c>
      <c r="BG42" s="281">
        <f>IF($K42=BG$3,IF($C42="X",0,$O42),0)</f>
        <v>0</v>
      </c>
      <c r="BH42" s="133">
        <f>IF($K42=BH$3,IF($C42="X",0,$O42),0)</f>
        <v>0</v>
      </c>
      <c r="BI42" s="133">
        <f>IF($K42=BI$3,IF($C42="X",0,$O42),0)</f>
        <v>0</v>
      </c>
      <c r="BJ42" s="133">
        <f>IF($K42=BJ$3,IF($C42="X",0,$O42),0)</f>
        <v>0</v>
      </c>
      <c r="BK42" s="133">
        <f>IF($K42=BK$3,IF($C42="X",0,$O42),0)</f>
        <v>0</v>
      </c>
      <c r="BL42" s="133">
        <f>IF($K42=BL$3,IF($C42="X",0,$O42),0)</f>
        <v>0</v>
      </c>
      <c r="BM42" s="135">
        <f>IF($K42=BM$3,IF($C42="X",0,$O42),0)</f>
        <v>0</v>
      </c>
      <c r="BN42" s="136">
        <f>IF($K42=BN$3,IF($C42="X",0,$O42),0)</f>
        <v>0</v>
      </c>
      <c r="BO42" s="136">
        <f>IF($K42=BO$3,IF($C42="X",0,$O42),0)</f>
        <v>0</v>
      </c>
      <c r="BP42" s="136">
        <f>IF($K42=BP$3,IF($C42="X",0,$O42),0)</f>
        <v>0</v>
      </c>
      <c r="BQ42" s="137">
        <f>IF($K42=BQ$3,IF($C42="X",0,$O42),0)</f>
        <v>0</v>
      </c>
      <c r="BR42" s="134">
        <f>IF($K42=BR$3,IF($C42="X",0,$O42),0)</f>
        <v>0</v>
      </c>
      <c r="BS42" s="282"/>
      <c r="BT42" s="283"/>
      <c r="BU42" s="140"/>
      <c r="BV42" s="283"/>
      <c r="BW42" s="140"/>
      <c r="BX42" s="140"/>
      <c r="BY42" s="140"/>
      <c r="BZ42" s="283"/>
      <c r="CA42" s="140"/>
      <c r="CB42" s="140"/>
      <c r="CC42" s="140"/>
      <c r="CD42" s="141"/>
      <c r="CE42" s="142"/>
      <c r="CF42" s="284">
        <f>IF(CF$3=$K42,IF($C42="W",1,IF($C42="1/2W",0.5,0)),0)</f>
        <v>0</v>
      </c>
      <c r="CG42" s="285">
        <f>IF(CF$3=$K42,IF($C42="L",1,IF($C42="1/2L",0.5,0)),0)</f>
        <v>0</v>
      </c>
      <c r="CH42" s="285">
        <f>IF(CH$3=$K42,IF($C42="W",1,IF($C42="1/2W",0.5,0)),0)</f>
        <v>0</v>
      </c>
      <c r="CI42" s="285">
        <f>IF(CH$3=$K42,IF($C42="L",1,IF($C42="1/2L",0.5,0)),0)</f>
        <v>0</v>
      </c>
      <c r="CJ42" s="285">
        <f>IF(CJ$3=$K42,IF($C42="W",1,IF($C42="1/2W",0.5,0)),0)</f>
        <v>0</v>
      </c>
      <c r="CK42" s="285">
        <f>IF(CJ$3=$K42,IF($C42="L",1,IF($C42="1/2L",0.5,0)),0)</f>
        <v>0</v>
      </c>
      <c r="CL42" s="285">
        <f>IF(CL$3=$K42,IF($C42="W",1,IF($C42="1/2W",0.5,0)),0)</f>
        <v>0</v>
      </c>
      <c r="CM42" s="285">
        <f>IF(CL$3=$K42,IF($C42="L",1,IF($C42="1/2L",0.5,0)),0)</f>
        <v>0</v>
      </c>
      <c r="CN42" s="285">
        <f>IF(CN$3=$K42,IF($C42="W",1,IF($C42="1/2W",0.5,0)),0)</f>
        <v>0</v>
      </c>
      <c r="CO42" s="285">
        <f>IF(CN$3=$K42,IF($C42="L",1,IF($C42="1/2L",0.5,0)),0)</f>
        <v>0</v>
      </c>
      <c r="CP42" s="285">
        <f>IF(CP$3=$K42,IF($C42="W",1,IF($C42="1/2W",0.5,0)),0)</f>
        <v>0</v>
      </c>
      <c r="CQ42" s="285">
        <f>IF(CP$3=$K42,IF($C42="L",1,IF($C42="1/2L",0.5,0)),0)</f>
        <v>0</v>
      </c>
      <c r="CR42" s="285">
        <f>IF(CR$3=$K42,IF($C42="W",1,IF($C42="1/2W",0.5,0)),0)</f>
        <v>0</v>
      </c>
      <c r="CS42" s="285">
        <f>IF(CR$3=$K42,IF($C42="L",1,IF($C42="1/2L",0.5,0)),0)</f>
        <v>0</v>
      </c>
      <c r="CT42" s="145">
        <f>IF(CT$3=$K42,IF($C42="W",1,IF($C42="1/2W",0.5,0)),0)</f>
        <v>0</v>
      </c>
      <c r="CU42" s="146">
        <f>IF(CT$3=$K42,IF($C42="L",1,IF($C42="1/2L",0.5,0)),0)</f>
        <v>0</v>
      </c>
      <c r="CV42" s="146">
        <f>IF(CV$3=$K42,IF($C42="W",1,IF($C42="1/2W",0.5,0)),0)</f>
        <v>0</v>
      </c>
      <c r="CW42" s="146">
        <f>IF(CV$3=$K42,IF($C42="L",1,IF($C42="1/2L",0.5,0)),0)</f>
        <v>0</v>
      </c>
      <c r="CX42" s="146">
        <f>IF(CX$3=$K42,IF($C42="W",1,IF($C42="1/2W",0.5,0)),0)</f>
        <v>0</v>
      </c>
      <c r="CY42" s="146">
        <f>IF(CX$3=$K42,IF($C42="L",1,IF($C42="1/2L",0.5,0)),0)</f>
        <v>0</v>
      </c>
      <c r="CZ42" s="146">
        <f>IF(CZ$3=$K42,IF($C42="W",1,IF($C42="1/2W",0.5,0)),0)</f>
        <v>0</v>
      </c>
      <c r="DA42" s="146">
        <f>IF(CZ$3=$K42,IF($C42="L",1,IF($C42="1/2L",0.5,0)),0)</f>
        <v>0</v>
      </c>
      <c r="DB42" s="146">
        <f>IF(DB$3=$K42,IF($C42="W",1,IF($C42="1/2W",0.5,0)),0)</f>
        <v>0</v>
      </c>
      <c r="DC42" s="146">
        <f>IF(DB$3=$K42,IF($C42="L",1,IF($C42="1/2L",0.5,0)),0)</f>
        <v>0</v>
      </c>
      <c r="DD42" s="146">
        <f>IF(DD$3=$K42,IF($C42="W",1,IF($C42="1/2W",0.5,0)),0)</f>
        <v>0</v>
      </c>
      <c r="DE42" s="147">
        <f>IF(DD$3=$K42,IF($C42="L",1,IF($C42="1/2L",0.5,0)),0)</f>
        <v>0</v>
      </c>
      <c r="DF42" s="143">
        <f>IF(AND(L42&lt;DF$3,$C42="W"),1+DF41,DF41)</f>
        <v>2</v>
      </c>
      <c r="DG42" s="133">
        <f>IF(DF42&gt;DF41,L42+DG41,DG41)</f>
        <v>2.55</v>
      </c>
      <c r="DH42" s="146">
        <f>IF(AND(L42&gt;DH$3,$C42="W"),1+DH41,0+DH41)</f>
        <v>0</v>
      </c>
      <c r="DI42" s="133">
        <f>IF(DH42&gt;DH41,L42+DI41,DI41)</f>
        <v>0</v>
      </c>
      <c r="DJ42" s="146">
        <f>IF($D40="","",$D40)</f>
        <v>16</v>
      </c>
      <c r="DK42" s="286"/>
    </row>
    <row r="43" ht="14.55" customHeight="1">
      <c r="A43" s="171">
        <f>$A40+1</f>
        <v>14</v>
      </c>
      <c r="B43" t="s" s="172">
        <v>50</v>
      </c>
      <c r="C43" t="s" s="173">
        <v>56</v>
      </c>
      <c r="D43" s="174">
        <f>IF(G43="","",$D40)</f>
        <v>16</v>
      </c>
      <c r="E43" t="s" s="175">
        <v>59</v>
      </c>
      <c r="F43" t="s" s="176">
        <f>IF(G43="","",IF(OR(AND($C43&lt;&gt;" ",$C44=" "),AND($C44&lt;&gt;" ",$C43=" "),AND(L45&gt;0,OR(AND($C45&lt;&gt;" ",OR($C43=" ",$C44=" ")),AND($C45=" ",OR($C43&lt;&gt;" ",$C44&lt;&gt;" "))))),IF(SUM(F$4:F42)=0,1,LARGE(F$4:F42,1)+1),IF(MONTH(G43)=MONTH(TODAY()),IF(AND(DAY(G43)&lt;DAY(TODAY()),$B43=" "),IF(SUM(F$4:F42)=0,1,LARGE(F$4:F42,1)+1),IF($B43=" ",IF(AND(DAY(G43)=DAY(TODAY()),HOUR(G43)&lt;=HOUR(NOW())+1),IF(AND(HOUR(G43)+2&lt;=HOUR(NOW()),DAY(G43)&lt;=DAY(TODAY()),MINUTE(G43)&lt;=MINUTE(NOW())),IF(SUM(F$4:F42)=0,1,LARGE(F$4:F42,1)+1),IF(OR(MINUTE(G43)&lt;=MINUTE(NOW()),HOUR(G43)&lt;=HOUR(NOW())),"!!!","")),""),"")),"")))</f>
      </c>
      <c r="G43" s="177">
        <v>44943.895833333336</v>
      </c>
      <c r="H43" t="s" s="178">
        <v>91</v>
      </c>
      <c r="I43" s="298">
        <v>1</v>
      </c>
      <c r="J43" s="180"/>
      <c r="K43" t="s" s="181">
        <v>48</v>
      </c>
      <c r="L43" s="182">
        <v>1.84</v>
      </c>
      <c r="M43" s="183"/>
      <c r="N43" s="184">
        <v>0.1</v>
      </c>
      <c r="O43" s="185">
        <f>IF(OR(AE43="",AE44=""),"",ROUND(IF(L45&gt;0,IF(M43&gt;0,M43,IF(M44&gt;0,ROUND((M44*AE43)/AE44,IF(N43=0,2,IF(N43=0.1,1,0))),ROUND((M45*AE43)/AE45,IF(N43=0,2,IF(N43=0.1,1,0))))),IF(M43&gt;0,M43,ROUND((M44*AE43)/AE44,IF(N43=0,2,IF(N43=0.1,1,0))))),2))</f>
        <v>30.4</v>
      </c>
      <c r="P43" s="186">
        <f>IF(OR(L43="",O43=""),"",IF($C43="1/2W",O43/2+O43/2*L43,IF($C43="1/2L",O43/2,IF(I43="Lay",(O43*(L43/(L43-1))-O43)*(1-_xlfn.XLOOKUP(K43,'Janeiro 2023 - Valor Real'!A3:A15,'Janeiro 2023 - Valor Real'!C3:C15,0))+O43,(O43*L43-O43)*(1-_xlfn.XLOOKUP(K43,'Janeiro 2023 - Valor Real'!A3:A15,'Janeiro 2023 - Valor Real'!C3:C15,0))+O43))))</f>
        <v>55.936</v>
      </c>
      <c r="Q43" s="187">
        <v>1</v>
      </c>
      <c r="R43" s="188">
        <v>0</v>
      </c>
      <c r="S43" s="189">
        <f>IF($B43="Anulado",0,ROUND(IF(OR($B43="LOSS",$B43="OK"),IF(OR($C43="W",$C43="1/2W",$C43="1/2L"),P43-O43,IF($C43="L",-O43,0))+IF(OR($C44="W",$C44="1/2W",$C44="1/2L"),P44-O44,IF($C44="L",-O44,0))+IF(OR($C45="W",$C45="1/2W",$C45="1/2L"),P45-O45,IF($C45="L",-O45,0)),IF(AND(OR($C43="W",$C43="1/2W",$C43="1/2L"),C44="W"),P43+P44-SUM(O43:O45)+_xlfn.XLOOKUP("X",C43:C45,O43:O45,0),IF(AND(C43=TRUE,C45="W"),P43+P45-SUM(O43:O45),IF(AND(C44="W",C45="W"),P44+P45-SUM(O43:O45)+_xlfn.XLOOKUP("X",C43:C45,O43:O45,0),IF(L45&gt;0,IF(OR($C43="W",$C43="1/2W",$C43="1/2L"),P43-SUM(O43:O45)+_xlfn.XLOOKUP("X",C43:C45,O43:O45,0),IF(OR($C43="W",$C43="1/2W",$C43="1/2L"),P44-SUM(O43:O45)+_xlfn.XLOOKUP("X",C43:C45,O43:O45,0),IF(OR($C43="W",$C43="1/2W",$C43="1/2L"),P45-SUM(O43:O45)+_xlfn.XLOOKUP("X",C43:C45,O43:O45,0),IF(SUM(P43:P45)/3-SUM(O43:O45)+_xlfn.XLOOKUP("X",C43:C45,O43:O45,0)&gt;0,SUM(P43:P45)/3-SUM(O43:O45)+_xlfn.XLOOKUP("X",C43:C45,O43:O45,0),LARGE(P43:P45,1)-SUM(O43:O45))))),IF(OR($C43="W",$C43="1/2W",$C43="1/2L"),P43-SUM(O43:O44)+_xlfn.XLOOKUP("X",C43:C45,O43:O45,0),IF(OR($C43="W",$C43="1/2W",$C43="1/2L"),P44-SUM(O43:O44)+_xlfn.XLOOKUP("X",C43:C45,O43:O45,0),SUM(P43:P44)/2-SUM(O43:O44)+_xlfn.XLOOKUP("X",C43:C45,O43:O45,0)))))))),2))</f>
        <v>2.26</v>
      </c>
      <c r="T43" s="190">
        <f>IF(S43=0,0,S43/SUM(O43:O45))</f>
        <v>0.0421013412816692</v>
      </c>
      <c r="U43" s="191">
        <f>IF($D43=$D40,IF(OR($B43="LOSS",$B43="OK",$B43="Anulada"),S43,0)+U40,IF(OR($B43="LOSS",$B43="OK",$B43="Anulada"),S43,0))</f>
        <v>25.02</v>
      </c>
      <c r="V43" s="191">
        <f>IF($D43="",0,IF($D43=$D40,IF($B43=" ",IF(I45="",IF(OR(AND(I43="DNB1",I44="DNB2"),AND(OR(I43="DNB1",I43="DNB2"),J44=0),AND(OR(I44="DNB1",I44="DNB2"),J43=0),AND(I43="DNB2",I44="DNB1"),AND(IF(J43=0,(J43+1)/ROUND(J43+1,0),J43/ROUND(J43,0))=1,IF(J44=0,(J44+1)/ROUND(IF(J44="",0,J44)+1,0),IF(J44="",0,J44)/ROUND(IF(J44="",1,J44),0))=1,OR(J43&lt;&gt;""),J44&lt;&gt;"")),0,IF(S43&lt;0,IF(I45="",SMALL(P43:P44,1)-SUM(O43:O44),0),SMALL(P43:P44,1)-SUM(O43:O44))),IF(S43&lt;0,IF(I45="",SMALL(P43:P45,1)-SUM(O43:O45),0),LARGE(P43:P45,1)-SUM(O43:O45))),S43)+V40,IF(I45="",IF(OR(AND(I43="DNB1",I44="DNB2"),AND(OR(I43="DNB1",I43="DNB2"),J44=0),AND(OR(I44="DNB1",I44="DNB2"),J43=0),AND(I43="DNB2",I44="DNB1"),AND(IF(J43=0,(J43+1)/ROUND(J43+1,0),J43/ROUND(J43,0))=1,IF(J44=0,(IF(J44="",0,J44)+1)/ROUND(IF(J44="",0,J44)+1,0),IF(J44="",0,J44)/ROUND(IF(J44="",0,J44)+1,0))=1,OR(J43&lt;&gt;""),J44&lt;&gt;"")),0,IF(S43&lt;0,IF(I45="",SMALL(P43:P44,1)-SUM(O43:O44),0),SMALL(P43:P45,1)-SUM(O43:O45))),IF(S43&lt;0,IF(I45="",SMALL(P43:P45,1)-SUM(O43:O45),0),LARGE(P43:P45,1)-SUM(O43:O45)))))</f>
        <v>25.02</v>
      </c>
      <c r="W43" s="191">
        <f>IF($D43=$D40,IF(S43&lt;0,IF(I45="",S43,0),S43)+W40,S43)</f>
        <v>25.02</v>
      </c>
      <c r="X43" t="s" s="192">
        <f>IF(OR(SUM(R43:R45)=0,V43=W43),ROUND(IF(W43=0,0,W43/Y43)*100,2)&amp;"%",ROUND(IF(V43=0,0,V43/Y43)*100,2)&amp;"% a "&amp;ROUND(IF(W43=0,0,W43/Y43)*100,2)&amp;"%")</f>
        <v>92</v>
      </c>
      <c r="Y43" s="193">
        <f>IF($D43=$D40,Y40+SUM(O43:O45),SUM(O43:O45))</f>
        <v>367.06</v>
      </c>
      <c r="Z43" s="191">
        <f>IF($B43=" ",SUM(O43:O45),0)+Z40</f>
        <v>0</v>
      </c>
      <c r="AA43" s="191">
        <f>IF(G43="","",IF($B43="Anulado",LARGE(P43:P45,1)-SUM(O43:O45)+AA40,AA40))</f>
        <v>0</v>
      </c>
      <c r="AB43" s="191">
        <f>IF($D43="","",AB40+S43)</f>
        <v>25.02</v>
      </c>
      <c r="AC43" s="194">
        <f>IF($D43="","",IF($B43=" ",IF(DAY(G43)=DAY(TODAY()),1+AC40,0+AC40),0+AC40))</f>
        <v>0</v>
      </c>
      <c r="AD43" s="195">
        <f>(((L44/(L44-1)-1)*(1-_xlfn.XLOOKUP(K44,'Janeiro 2023 - Valor Real'!A3:A15,'Janeiro 2023 - Valor Real'!C3:C15,0))+1))/(((L43-1)*(1-_xlfn.XLOOKUP(K43,'Janeiro 2023 - Valor Real'!A3:A15,'Janeiro 2023 - Valor Real'!C3:C15,0))+1)+((L44/(L44-1)-1)*(1-_xlfn.XLOOKUP(K44,'Janeiro 2023 - Valor Real'!A3:A15,'Janeiro 2023 - Valor Real'!C3:C15,0))+1))</f>
        <v>0.482315112540193</v>
      </c>
      <c r="AE43" s="196">
        <f>IF(L43="","",IF(L45&gt;0,(SUM(((L43-1)*(1-_xlfn.XLOOKUP(K43,'Janeiro 2023 - Valor Real'!A3:A15,'Janeiro 2023 - Valor Real'!C3:C15,0))+1),((L44-1)*(1-_xlfn.XLOOKUP(K44,'Janeiro 2023 - Valor Real'!A3:A15,'Janeiro 2023 - Valor Real'!C3:C15,0))+1),((L45-1)*(1-_xlfn.XLOOKUP(K45,'Janeiro 2023 - Valor Real'!A3:A15,'Janeiro 2023 - Valor Real'!C3:C15,0))+1))/((L43-1)*(1-_xlfn.XLOOKUP(K43,'Janeiro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Real'!C3:C15,0))+1))/((L43-1)*(1-_xlfn.XLOOKUP(K43,'Janeiro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Real'!C3:C15,0))+1))/((L44-1)*(1-_xlfn.XLOOKUP(K44,'Janeiro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Real'!C3:C15,0))+1))/((L45-1)*(1-_xlfn.XLOOKUP(K45,'Janeiro 2023 - Valor Real'!A3:A15,'Janeiro 2023 - Valor Real'!C3:C15,0))+1)),IF(I43="Lay",IF(I44="Lay",((L44/(L44-1)-1)*(1-_xlfn.XLOOKUP(K44,'Janeiro 2023 - Valor Real'!A3:A15,'Janeiro 2023 - Valor Real'!C3:C15,0))+1)/(((L44/(L44-1)-1)*(1-_xlfn.XLOOKUP(K44,'Janeiro 2023 - Valor Real'!A3:A15,'Janeiro 2023 - Valor Real'!C3:C15,0))+1)+((L43/(L43-1)-1)*(1-_xlfn.XLOOKUP(K43,'Janeiro 2023 - Valor Real'!A3:A15,'Janeiro 2023 - Valor Real'!C3:C15,0))+1)),((L44-1)*(1-_xlfn.XLOOKUP(K44,'Janeiro 2023 - Valor Real'!A3:A15,'Janeiro 2023 - Valor Real'!C3:C15,0))+1)/(((L44-1)*(1-_xlfn.XLOOKUP(K44,'Janeiro 2023 - Valor Real'!A3:A15,'Janeiro 2023 - Valor Real'!C3:C15,0))+1)+((L43/(L43-1)-1)*(1-_xlfn.XLOOKUP(K43,'Janeiro 2023 - Valor Real'!A3:A15,'Janeiro 2023 - Valor Real'!C3:C15,0))+1))),IF(I44="Lay",(((L44/(L44-1)-1)*(1-_xlfn.XLOOKUP(K44,'Janeiro 2023 - Valor Real'!A3:A15,'Janeiro 2023 - Valor Real'!C3:C15,0))+1))/(((L43-1)*(1-_xlfn.XLOOKUP(K43,'Janeiro 2023 - Valor Real'!A3:A15,'Janeiro 2023 - Valor Real'!C3:C15,0))+1)+((L44/(L44-1)-1)*(1-_xlfn.XLOOKUP(K44,'Janeiro 2023 - Valor Real'!A3:A15,'Janeiro 2023 - Valor Real'!C3:C15,0))+1)),((L44-1)*(1-_xlfn.XLOOKUP(K44,'Janeiro 2023 - Valor Real'!A3:A15,'Janeiro 2023 - Valor Real'!C3:C15,0))+1)/(((L44-1)*(1-_xlfn.XLOOKUP(K44,'Janeiro 2023 - Valor Real'!A3:A15,'Janeiro 2023 - Valor Real'!C3:C15,0))+1)+((L43-1)*(1-_xlfn.XLOOKUP(K43,'Janeiro 2023 - Valor Real'!A3:A15,'Janeiro 2023 - Valor Real'!C3:C15,0))+1))))))</f>
        <v>0.566037735849057</v>
      </c>
      <c r="AF43" s="197">
        <f>IF($K43=AF$3,ROUND(IF(OR($C43="W",$C43="1/2W",$C43="1/2L"),$P43-$O43,IF($C43="X",0,-$O43)),2),0)</f>
        <v>0</v>
      </c>
      <c r="AG43" s="198">
        <f>IF($K43=AG$3,ROUND(IF(OR($C43="W",$C43="1/2W",$C43="1/2L"),$P43-$O43,IF($C43="X",0,-$O43)),2),0)</f>
        <v>0</v>
      </c>
      <c r="AH43" s="198">
        <f>IF($K43=AH$3,ROUND(IF(OR($C43="W",$C43="1/2W",$C43="1/2L"),$P43-$O43,IF($C43="X",0,-$O43)),2),0)</f>
        <v>0</v>
      </c>
      <c r="AI43" s="198">
        <f>IF($K43=AI$3,ROUND(IF(OR($C43="W",$C43="1/2W",$C43="1/2L"),$P43-$O43,IF($C43="X",0,-$O43)),2),0)</f>
        <v>0</v>
      </c>
      <c r="AJ43" s="198">
        <f>IF($K43=AJ$3,ROUND(IF(OR($C43="W",$C43="1/2W",$C43="1/2L"),$P43-$O43,IF($C43="X",0,-$O43)),2),0)</f>
        <v>0</v>
      </c>
      <c r="AK43" s="198">
        <f>IF($K43=AK$3,ROUND(IF(OR($C43="W",$C43="1/2W",$C43="1/2L"),$P43-$O43,IF($C43="X",0,-$O43)),2),0)</f>
        <v>0</v>
      </c>
      <c r="AL43" s="198">
        <f>IF($K43=AL$3,ROUND(IF(OR($C43="W",$C43="1/2W",$C43="1/2L"),$P43-$O43,IF($C43="X",0,-$O43)),2),0)</f>
        <v>0</v>
      </c>
      <c r="AM43" s="198">
        <f>IF($K43=AM$3,ROUND(IF(OR($C43="W",$C43="1/2W",$C43="1/2L"),$P43-$O43,IF($C43="X",0,-$O43)),2),0)</f>
        <v>0</v>
      </c>
      <c r="AN43" s="198">
        <f>IF($K43=AN$3,ROUND(IF(OR($C43="W",$C43="1/2W",$C43="1/2L"),$P43-$O43,IF($C43="X",0,-$O43)),2),0)</f>
        <v>0</v>
      </c>
      <c r="AO43" s="198">
        <f>IF($K43=AO$3,ROUND(IF(OR($C43="W",$C43="1/2W",$C43="1/2L"),$P43-$O43,IF($C43="X",0,-$O43)),2),0)</f>
        <v>0</v>
      </c>
      <c r="AP43" s="198">
        <f>IF($K43=AP$3,ROUND(IF(OR($C43="W",$C43="1/2W",$C43="1/2L"),$P43-$O43,IF($C43="X",0,-$O43)),2),0)</f>
        <v>0</v>
      </c>
      <c r="AQ43" s="198">
        <f>IF($K43=AQ$3,ROUND(IF(OR($C43="W",$C43="1/2W",$C43="1/2L"),$P43-$O43,IF($C43="X",0,-$O43)),2),0)</f>
        <v>25.54</v>
      </c>
      <c r="AR43" s="199">
        <f>IF($K43=AR$3,ROUND(IF(OR($C43="W",$C43="1/2W",$C43="1/2L"),$P43-$O43,IF($C43="X",0,-$O43)),2),0)</f>
        <v>0</v>
      </c>
      <c r="AS43" s="197">
        <f>IF(AND($B43=" ",$K43=AS$3),$O43,0)</f>
        <v>0</v>
      </c>
      <c r="AT43" s="198">
        <f>IF(AND($B43=" ",$K43=AT$3),$O43,0)</f>
        <v>0</v>
      </c>
      <c r="AU43" s="198">
        <f>IF(AND($B43=" ",$K43=AU$3),$O43,0)</f>
        <v>0</v>
      </c>
      <c r="AV43" s="198">
        <f>IF(AND($B43=" ",$K43=AV$3),$O43,0)</f>
        <v>0</v>
      </c>
      <c r="AW43" s="198">
        <f>IF(AND($B43=" ",$K43=AW$3),$O43,0)</f>
        <v>0</v>
      </c>
      <c r="AX43" s="198">
        <f>IF(AND($B43=" ",$K43=AX$3),$O43,0)</f>
        <v>0</v>
      </c>
      <c r="AY43" s="200">
        <f>IF(AND($B43=" ",$K43=AY$3),$O43,0)</f>
        <v>0</v>
      </c>
      <c r="AZ43" s="201">
        <f>IF(AND($B43=" ",$K43=AZ$3),$O43,0)</f>
        <v>0</v>
      </c>
      <c r="BA43" s="201">
        <f>IF(AND($B43=" ",$K43=BA$3),$O43,0)</f>
        <v>0</v>
      </c>
      <c r="BB43" s="201">
        <f>IF(AND($B43=" ",$K43=BB$3),$O43,0)</f>
        <v>0</v>
      </c>
      <c r="BC43" s="202">
        <f>IF(AND($B43=" ",$K43=BC$3),$O43,0)</f>
        <v>0</v>
      </c>
      <c r="BD43" s="198">
        <f>IF(AND($B43=" ",$K43=BD$3),$O43,0)</f>
        <v>0</v>
      </c>
      <c r="BE43" s="199">
        <f>IF(AND($B43=" ",$K43=BE$3),$O43,0)</f>
        <v>0</v>
      </c>
      <c r="BF43" s="203">
        <f>IF($K43=BF$3,IF($C43="X",0,$O43),0)</f>
        <v>0</v>
      </c>
      <c r="BG43" s="198">
        <f>IF($K43=BG$3,IF($C43="X",0,$O43),0)</f>
        <v>0</v>
      </c>
      <c r="BH43" s="198">
        <f>IF($K43=BH$3,IF($C43="X",0,$O43),0)</f>
        <v>0</v>
      </c>
      <c r="BI43" s="198">
        <f>IF($K43=BI$3,IF($C43="X",0,$O43),0)</f>
        <v>0</v>
      </c>
      <c r="BJ43" s="198">
        <f>IF($K43=BJ$3,IF($C43="X",0,$O43),0)</f>
        <v>0</v>
      </c>
      <c r="BK43" s="198">
        <f>IF($K43=BK$3,IF($C43="X",0,$O43),0)</f>
        <v>0</v>
      </c>
      <c r="BL43" s="198">
        <f>IF($K43=BL$3,IF($C43="X",0,$O43),0)</f>
        <v>0</v>
      </c>
      <c r="BM43" s="200">
        <f>IF($K43=BM$3,IF($C43="X",0,$O43),0)</f>
        <v>0</v>
      </c>
      <c r="BN43" s="201">
        <f>IF($K43=BN$3,IF($C43="X",0,$O43),0)</f>
        <v>0</v>
      </c>
      <c r="BO43" s="201">
        <f>IF($K43=BO$3,IF($C43="X",0,$O43),0)</f>
        <v>0</v>
      </c>
      <c r="BP43" s="201">
        <f>IF($K43=BP$3,IF($C43="X",0,$O43),0)</f>
        <v>0</v>
      </c>
      <c r="BQ43" s="202">
        <f>IF($K43=BQ$3,IF($C43="X",0,$O43),0)</f>
        <v>30.4</v>
      </c>
      <c r="BR43" s="199">
        <f>IF($K43=BR$3,IF($C43="X",0,$O43),0)</f>
        <v>0</v>
      </c>
      <c r="BS43" s="204">
        <f>IF($B43="LOSS",IF(AND($K43=BS$3,$C43="L"),-$O43,0)+IF(AND($K44=BS$3,$C44="L"),-$O44,0)+IF(AND($K45=BS$3,$C45="L"),-$O45,0),IF(OR(AND($K43=BS$3,OR($C43="W",$C43="1/2W")),AND($K44=BS$3,OR($C44="W",$C44="1/2W")),AND($K45=BS$3,OR($C45="W",$C45="1/2W"))),$S43,0))</f>
        <v>0</v>
      </c>
      <c r="BT43" s="201">
        <f>IF($B43="LOSS",IF(AND($K43=BT$3,$C43="L"),-$O43,0)+IF(AND($K44=BT$3,$C44="L"),-$O44,0)+IF(AND($K44=BT$3,$C45="L"),-$O45,0),IF(OR(AND($K44=BT$3,OR($C43="W",$C43="1/2W")),AND($K44=BT$3,OR($C44="W",$C44="1/2W")),AND($K44=BT$3,OR($C45="W",$C45="1/2W"))),$S43,0))</f>
        <v>2.26</v>
      </c>
      <c r="BU43" s="201">
        <f>IF($B43="LOSS",IF(AND($K43=BU$3,$C43="L"),-$O43,0)+IF(AND($K44=BU$3,$C44="L"),-$O44,0)+IF(AND($K44=BU$3,$C45="L"),-$O45,0),IF(OR(AND($K44=BU$3,OR($C43="W",$C43="1/2W")),AND($K44=BU$3,OR($C44="W",$C44="1/2W")),AND($K44=BU$3,OR($C45="W",$C45="1/2W"))),$S43,0))</f>
        <v>0</v>
      </c>
      <c r="BV43" s="201">
        <f>IF($B43="LOSS",IF(AND($K43=BV$3,$C43="L"),-$O43,0)+IF(AND($K44=BV$3,$C44="L"),-$O44,0)+IF(AND($K45=BV$3,$C45="L"),-$O45,0),IF(OR(AND($K43=BV$3,OR($C43="W",$C43="1/2W")),AND($K44=BV$3,OR($C44="W",$C44="1/2W")),AND($K45=BV$3,OR($C45="W",$C45="1/2W"))),$S43,0))</f>
        <v>0</v>
      </c>
      <c r="BW43" s="201">
        <f>IF($B43="LOSS",IF(AND($K43=BW$3,$C43="L"),-$O43,0)+IF(AND($K44=BW$3,$C44="L"),-$O44,0)+IF(AND($K45=BW$3,$C45="L"),-$O45,0),IF(OR(AND($K43=BW$3,OR($C43="W",$C43="1/2W")),AND($K44=BW$3,OR($C44="W",$C44="1/2W")),AND($K45=BW$3,OR($C45="W",$C45="1/2W"))),$S43,0))</f>
        <v>0</v>
      </c>
      <c r="BX43" s="201">
        <f>IF($B43="LOSS",IF(AND($K43=BX$3,$C43="L"),-$O43,0)+IF(AND($K44=BX$3,$C44="L"),-$O44,0)+IF(AND($K45=BX$3,$C45="L"),-$O45,0),IF(OR(AND($K43=BX$3,OR($C43="W",$C43="1/2W")),AND($K44=BX$3,OR($C44="W",$C44="1/2W")),AND($K45=BX$3,OR($C45="W",$C45="1/2W"))),$S43,0))</f>
        <v>0</v>
      </c>
      <c r="BY43" s="201">
        <f>IF($B43="LOSS",IF(AND($K43=BY$3,$C43="L"),-$O43,0)+IF(AND($K44=BY$3,$C44="L"),-$O44,0)+IF(AND($K45=BY$3,$C45="L"),-$O45,0),IF(OR(AND($K43=BY$3,OR($C43="W",$C43="1/2W")),AND($K44=BY$3,OR($C44="W",$C44="1/2W")),AND($K45=BY$3,OR($C45="W",$C45="1/2W"))),$S43,0))</f>
        <v>0</v>
      </c>
      <c r="BZ43" s="205">
        <f>IF($B43="LOSS",IF(AND($K43=BZ$3,$C43="L"),-$O43,0)+IF(AND($K44=BZ$3,$C44="L"),-$O44,0)+IF(AND($K45=BZ$3,$C45="L"),-$O45,0),IF(OR(AND($K43=BZ$3,OR($C43="W",$C43="1/2W")),AND($K44=BZ$3,OR($C44="W",$C44="1/2W")),AND($K45=BZ$3,OR($C45="W",$C45="1/2W"))),$S43,0))</f>
        <v>0</v>
      </c>
      <c r="CA43" s="205">
        <f>IF($B43="LOSS",IF(AND($K43=CA$3,$C43="L"),-$O43,0)+IF(AND($K44=CA$3,$C44="L"),-$O44,0)+IF(AND($K45=CA$3,$C45="L"),-$O45,0),IF(OR(AND($K43=CA$3,OR($C43="W",$C43="1/2W")),AND($K44=CA$3,OR($C44="W",$C44="1/2W")),AND($K45=CA$3,OR($C45="W",$C45="1/2W"))),$S43,0))</f>
        <v>0</v>
      </c>
      <c r="CB43" s="205">
        <f>IF($B43="LOSS",IF(AND($K43=CB$3,$C43="L"),-$O43,0)+IF(AND($K44=CB$3,$C44="L"),-$O44,0)+IF(AND($K45=CB$3,$C45="L"),-$O45,0),IF(OR(AND($K43=CB$3,OR($C43="W",$C43="1/2W")),AND($K44=CB$3,OR($C44="W",$C44="1/2W")),AND($K45=CB$3,OR($C45="W",$C45="1/2W"))),$S43,0))</f>
        <v>0</v>
      </c>
      <c r="CC43" s="205">
        <f>IF($B43="LOSS",IF(AND($K43=CC$3,$C43="L"),-$O43,0)+IF(AND($K44=CC$3,$C44="L"),-$O44,0)+IF(AND($K45=CC$3,$C45="L"),-$O45,0),IF(OR(AND($K43=CC$3,OR($C43="W",$C43="1/2W")),AND($K44=CC$3,OR($C44="W",$C44="1/2W")),AND($K45=CC$3,OR($C45="W",$C45="1/2W"))),$S43,0))</f>
        <v>0</v>
      </c>
      <c r="CD43" s="202">
        <f>IF($B43="LOSS",IF(AND($K43=CD$3,$C43="L"),-$O43,0)+IF(AND($K44=CD$3,$C44="L"),-$O44,0)+IF(AND($K45=CD$3,$C45="L"),-$O45,0),IF(OR(AND($K43=CD$3,OR($C43="W",$C43="1/2W")),AND($K44=CD$3,OR($C44="W",$C44="1/2W")),AND($K45=CD$3,OR($C45="W",$C45="1/2W"))),$S43,0))</f>
        <v>2.26</v>
      </c>
      <c r="CE43" s="199">
        <f>IF($B43="LOSS",IF(AND($K43=CE$3,$C43="L"),-$O43,0)+IF(AND($K44=CE$3,$C44="L"),-$O44,0)+IF(AND($K45=CE$3,$C45="L"),-$O45,0),IF(OR(AND($K43=CE$3,OR($C43="W",$C43="1/2W")),AND($K44=CE$3,OR($C44="W",$C44="1/2W")),AND($K45=CE$3,OR($C45="W",$C45="1/2W"))),$S43,0))</f>
        <v>0</v>
      </c>
      <c r="CF43" s="206">
        <f>IF(CF$3=$K43,IF($C43="W",1,IF($C43="1/2W",0.5,0)),0)</f>
        <v>0</v>
      </c>
      <c r="CG43" s="207">
        <f>IF(CF$3=$K43,IF($C43="L",1,IF($C43="1/2L",0.5,0)),0)</f>
        <v>0</v>
      </c>
      <c r="CH43" s="207">
        <f>IF(CH$3=$K43,IF($C43="W",1,IF($C43="1/2W",0.5,0)),0)</f>
        <v>0</v>
      </c>
      <c r="CI43" s="207">
        <f>IF(CH$3=$K43,IF($C43="L",1,IF($C43="1/2L",0.5,0)),0)</f>
        <v>0</v>
      </c>
      <c r="CJ43" s="207">
        <f>IF(CJ$3=$K43,IF($C43="W",1,IF($C43="1/2W",0.5,0)),0)</f>
        <v>0</v>
      </c>
      <c r="CK43" s="207">
        <f>IF(CJ$3=$K43,IF($C43="L",1,IF($C43="1/2L",0.5,0)),0)</f>
        <v>0</v>
      </c>
      <c r="CL43" s="207">
        <f>IF(CL$3=$K43,IF($C43="W",1,IF($C43="1/2W",0.5,0)),0)</f>
        <v>0</v>
      </c>
      <c r="CM43" s="207">
        <f>IF(CL$3=$K43,IF($C43="L",1,IF($C43="1/2L",0.5,0)),0)</f>
        <v>0</v>
      </c>
      <c r="CN43" s="207">
        <f>IF(CN$3=$K43,IF($C43="W",1,IF($C43="1/2W",0.5,0)),0)</f>
        <v>0</v>
      </c>
      <c r="CO43" s="207">
        <f>IF(CN$3=$K43,IF($C43="L",1,IF($C43="1/2L",0.5,0)),0)</f>
        <v>0</v>
      </c>
      <c r="CP43" s="207">
        <f>IF(CP$3=$K43,IF($C43="W",1,IF($C43="1/2W",0.5,0)),0)</f>
        <v>0</v>
      </c>
      <c r="CQ43" s="207">
        <f>IF(CP$3=$K43,IF($C43="L",1,IF($C43="1/2L",0.5,0)),0)</f>
        <v>0</v>
      </c>
      <c r="CR43" s="207">
        <f>IF(CR$3=$K43,IF($C43="W",1,IF($C43="1/2W",0.5,0)),0)</f>
        <v>0</v>
      </c>
      <c r="CS43" s="207">
        <f>IF(CR$3=$K43,IF($C43="L",1,IF($C43="1/2L",0.5,0)),0)</f>
        <v>0</v>
      </c>
      <c r="CT43" s="208">
        <f>IF(CT$3=$K43,IF($C43="W",1,IF($C43="1/2W",0.5,0)),0)</f>
        <v>0</v>
      </c>
      <c r="CU43" s="209">
        <f>IF(CT$3=$K43,IF($C43="L",1,IF($C43="1/2L",0.5,0)),0)</f>
        <v>0</v>
      </c>
      <c r="CV43" s="209">
        <f>IF(CV$3=$K43,IF($C43="W",1,IF($C43="1/2W",0.5,0)),0)</f>
        <v>0</v>
      </c>
      <c r="CW43" s="209">
        <f>IF(CV$3=$K43,IF($C43="L",1,IF($C43="1/2L",0.5,0)),0)</f>
        <v>0</v>
      </c>
      <c r="CX43" s="209">
        <f>IF(CX$3=$K43,IF($C43="W",1,IF($C43="1/2W",0.5,0)),0)</f>
        <v>0</v>
      </c>
      <c r="CY43" s="209">
        <f>IF(CX$3=$K43,IF($C43="L",1,IF($C43="1/2L",0.5,0)),0)</f>
        <v>0</v>
      </c>
      <c r="CZ43" s="209">
        <f>IF(CZ$3=$K43,IF($C43="W",1,IF($C43="1/2W",0.5,0)),0)</f>
        <v>0</v>
      </c>
      <c r="DA43" s="209">
        <f>IF(CZ$3=$K43,IF($C43="L",1,IF($C43="1/2L",0.5,0)),0)</f>
        <v>0</v>
      </c>
      <c r="DB43" s="209">
        <f>IF(DB$3=$K43,IF($C43="W",1,IF($C43="1/2W",0.5,0)),0)</f>
        <v>1</v>
      </c>
      <c r="DC43" s="209">
        <f>IF(DB$3=$K43,IF($C43="L",1,IF($C43="1/2L",0.5,0)),0)</f>
        <v>0</v>
      </c>
      <c r="DD43" s="209">
        <f>IF(DD$3=$K43,IF($C43="W",1,IF($C43="1/2W",0.5,0)),0)</f>
        <v>0</v>
      </c>
      <c r="DE43" s="210">
        <f>IF(DD$3=$K43,IF($C43="L",1,IF($C43="1/2L",0.5,0)),0)</f>
        <v>0</v>
      </c>
      <c r="DF43" s="211">
        <f>IF(AND(L43&lt;DF$3,$C43="W"),1+DF42,DF42)</f>
        <v>2</v>
      </c>
      <c r="DG43" s="198">
        <f>IF(DF43&gt;DF42,L43+DG42,DG42)</f>
        <v>2.55</v>
      </c>
      <c r="DH43" s="209">
        <f>IF(AND(L43&gt;DH$3,$C43="W"),1+DH42,0+DH42)</f>
        <v>0</v>
      </c>
      <c r="DI43" s="198">
        <f>IF(DH43&gt;DH42,L43+DI42,DI42)</f>
        <v>0</v>
      </c>
      <c r="DJ43" s="209">
        <f>IF($D43="","",$D43)</f>
        <v>16</v>
      </c>
      <c r="DK43" s="209">
        <f>IF(AND($B43=" ",$D43&lt;&gt;""),1,0)</f>
        <v>0</v>
      </c>
    </row>
    <row r="44" ht="14.55" customHeight="1">
      <c r="A44" s="107"/>
      <c r="B44" s="108"/>
      <c r="C44" t="s" s="213">
        <v>51</v>
      </c>
      <c r="D44" s="110"/>
      <c r="E44" s="111"/>
      <c r="F44" s="112"/>
      <c r="G44" s="214"/>
      <c r="H44" s="114"/>
      <c r="I44" t="s" s="215">
        <v>87</v>
      </c>
      <c r="J44" t="s" s="216">
        <f>IF(OR(I43="TO",I43="TU",I43="TO1",I43="TU1",I43="TO2",I43="TU2"),J43,IF(OR(I43="AH1",I43="AH2"),IF(OR(I44="AH1",I44="AH2"),-J43,IF(OR(I44="EH1",I44="EH2"),-J43+0.5,"")),IF(OR(I43="EH1",I43="EH2"),IF(OR(I44="AH1",I44="AH2"),-J43+0.5,IF(OR(I44="EH1",I44="EH2"),-J43+1,"")),IF(AND(OR(I43="DNB1",I43="DNB2"),OR(I44="AH1",I44="AH2")),0,IF(AND(I43="Not ScoreBoth",OR(I44="TO1",I44="TO2")),0.5,"")))))</f>
      </c>
      <c r="K44" t="s" s="217">
        <v>38</v>
      </c>
      <c r="L44" s="218">
        <v>2.4</v>
      </c>
      <c r="M44" s="219">
        <v>23.28</v>
      </c>
      <c r="N44" s="120"/>
      <c r="O44" s="220">
        <f>IF(OR(AE43="",AE44=""),"",ROUND(IF(L45&gt;0,IF(M44&gt;0,M44,IF(M43&gt;0,IF(N43=TRUE,ROUND((M43*AE44)/AE43,0),(M43*AE44)/AE43),IF(M44&gt;0,ROUND(M44,IF(N43=0,2,IF(N43=0.1,1,0))),IF(M45&gt;0,ROUND(O45*AE44/AE45,IF(N43=0,2,IF(N43=0.1,1,0))),0)))),IF(M44&gt;0,M44,ROUND((M43*AE44)/AE43,IF(N43=0,2,IF(N43=0.1,1,0))))),2))</f>
        <v>23.28</v>
      </c>
      <c r="P44" s="221">
        <f>IF(OR(L44="",O44=""),"",IF($C44="1/2W",O44/2+O44/2*L44,IF($C44="1/2L",O44/2,IF(I44="Lay",((O44*(L44/(L44-1)))-O44)*(1-_xlfn.XLOOKUP(K44,'Janeiro 2023 - Valor Real'!A3:A15,'Janeiro 2023 - Valor Real'!C3:C15,0))+O44,(O44*L44-O44)*(1-_xlfn.XLOOKUP(K44,'Janeiro 2023 - Valor Real'!A3:A15,'Janeiro 2023 - Valor Real'!C3:C15,0))+O44))))</f>
        <v>55.872</v>
      </c>
      <c r="Q44" s="222">
        <f>IF(K44="","",IF(_xlfn.XLOOKUP(K44,K$4:K43,DJ$4:DJ43,0,,-1)=DJ44,_xlfn.XLOOKUP(K44,K$4:K43,Q$4:Q43,1,,-1)+1,1))</f>
        <v>3</v>
      </c>
      <c r="R44" s="223">
        <f>IF(K44="","",_xlfn.XLOOKUP(K44,K$4:K43,R$4:R43,0,,-1)+IF($C44=" ",1,0))</f>
        <v>0</v>
      </c>
      <c r="S44" s="125"/>
      <c r="T44" s="126"/>
      <c r="U44" s="126"/>
      <c r="V44" s="224"/>
      <c r="W44" s="126"/>
      <c r="X44" s="127"/>
      <c r="Y44" s="128"/>
      <c r="Z44" s="129"/>
      <c r="AA44" s="129"/>
      <c r="AB44" s="129"/>
      <c r="AC44" s="129"/>
      <c r="AD44" s="225">
        <f>(((L44/(L44-1)-1)*(1-_xlfn.XLOOKUP(K44,'Janeiro 2023 - Valor Real'!A3:A15,'Janeiro 2023 - Valor Real'!C3:C15,0))+1))</f>
        <v>1.71428571428571</v>
      </c>
      <c r="AE44" s="226">
        <f>IF(L44="","",IF(L45&gt;0,(SUM(((L43-1)*(1-_xlfn.XLOOKUP(K43,'Janeiro 2023 - Valor Real'!A3:A15,'Janeiro 2023 - Valor Real'!C3:C15,0))+1),((L44-1)*(1-_xlfn.XLOOKUP(K44,'Janeiro 2023 - Valor Real'!A3:A15,'Janeiro 2023 - Valor Real'!C3:C15,0))+1),((L45-1)*(1-_xlfn.XLOOKUP(K45,'Janeiro 2023 - Valor Real'!A3:A15,'Janeiro 2023 - Valor Real'!C3:C15,0))+1))/((L44-1)*(1-_xlfn.XLOOKUP(K44,'Janeiro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Real'!C3:C15,0))+1))/((L43-1)*(1-_xlfn.XLOOKUP(K43,'Janeiro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Real'!C3:C15,0))+1))/((L44-1)*(1-_xlfn.XLOOKUP(K44,'Janeiro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Real'!C3:C15,0))+1))/((L45-1)*(1-_xlfn.XLOOKUP(K45,'Janeiro 2023 - Valor Real'!A3:A15,'Janeiro 2023 - Valor Real'!C3:C15,0))+1)),IF(I44="Lay",IF(I43="Lay",((L43/(L43-1)-1)*(1-_xlfn.XLOOKUP(K43,'Janeiro 2023 - Valor Real'!A3:A15,'Janeiro 2023 - Valor Real'!C3:C15,0))+1)/(((L43/(L43-1)-1)*(1-_xlfn.XLOOKUP(K43,'Janeiro 2023 - Valor Real'!A3:A15,'Janeiro 2023 - Valor Real'!C3:C15,0))+1)+((L44/(L44-1)-1)*(1-_xlfn.XLOOKUP(K44,'Janeiro 2023 - Valor Real'!A3:A15,'Janeiro 2023 - Valor Real'!C3:C15,0))+1)),((L43-1)*(1-_xlfn.XLOOKUP(K43,'Janeiro 2023 - Valor Real'!A3:A15,'Janeiro 2023 - Valor Real'!C3:C15,0))+1)/(((L43-1)*(1-_xlfn.XLOOKUP(K43,'Janeiro 2023 - Valor Real'!A3:A15,'Janeiro 2023 - Valor Real'!C3:C15,0))+1)+((L44/(L44-1)-1)*(1-_xlfn.XLOOKUP(K44,'Janeiro 2023 - Valor Real'!A3:A15,'Janeiro 2023 - Valor Real'!C3:C15,0))+1))),IF(I43="Lay",((L43/(L43-1)-1)*(1-_xlfn.XLOOKUP(K43,'Janeiro 2023 - Valor Real'!A3:A15,'Janeiro 2023 - Valor Real'!C3:C15,0))+1)/((((L43/(L43-1)-1)*(1-_xlfn.XLOOKUP(K43,'Janeiro 2023 - Valor Real'!A3:A15,'Janeiro 2023 - Valor Real'!C3:C15,0))+1))+((L44-1)*(1-_xlfn.XLOOKUP(K44,'Janeiro 2023 - Valor Real'!A3:A15,'Janeiro 2023 - Valor Real'!C3:C15,0))+1)),((L43-1)*(1-_xlfn.XLOOKUP(K43,'Janeiro 2023 - Valor Real'!A3:A15,'Janeiro 2023 - Valor Real'!C3:C15,0))+1)/(((L43-1)*(1-_xlfn.XLOOKUP(K43,'Janeiro 2023 - Valor Real'!A3:A15,'Janeiro 2023 - Valor Real'!C3:C15,0))+1)+((L44-1)*(1-_xlfn.XLOOKUP(K44,'Janeiro 2023 - Valor Real'!A3:A15,'Janeiro 2023 - Valor Real'!C3:C15,0))+1))))))</f>
        <v>0.433962264150943</v>
      </c>
      <c r="AF44" s="197">
        <f>IF($K44=AF$3,ROUND(IF(OR($C44="W",$C44="1/2W",$C44="1/2L"),$P44-$O44,IF($C44="X",0,-$O44)),2),0)</f>
        <v>0</v>
      </c>
      <c r="AG44" s="198">
        <f>IF($K44=AG$3,ROUND(IF(OR($C44="W",$C44="1/2W",$C44="1/2L"),$P44-$O44,IF($C44="X",0,-$O44)),2),0)</f>
        <v>-23.28</v>
      </c>
      <c r="AH44" s="198">
        <f>IF($K44=AH$3,ROUND(IF(OR($C44="W",$C44="1/2W",$C44="1/2L"),$P44-$O44,IF($C44="X",0,-$O44)),2),0)</f>
        <v>0</v>
      </c>
      <c r="AI44" s="198">
        <f>IF($K44=AI$3,ROUND(IF(OR($C44="W",$C44="1/2W",$C44="1/2L"),$P44-$O44,IF($C44="X",0,-$O44)),2),0)</f>
        <v>0</v>
      </c>
      <c r="AJ44" s="198">
        <f>IF($K44=AJ$3,ROUND(IF(OR($C44="W",$C44="1/2W",$C44="1/2L"),$P44-$O44,IF($C44="X",0,-$O44)),2),0)</f>
        <v>0</v>
      </c>
      <c r="AK44" s="198">
        <f>IF($K44=AK$3,ROUND(IF(OR($C44="W",$C44="1/2W",$C44="1/2L"),$P44-$O44,IF($C44="X",0,-$O44)),2),0)</f>
        <v>0</v>
      </c>
      <c r="AL44" s="198">
        <f>IF($K44=AL$3,ROUND(IF(OR($C44="W",$C44="1/2W",$C44="1/2L"),$P44-$O44,IF($C44="X",0,-$O44)),2),0)</f>
        <v>0</v>
      </c>
      <c r="AM44" s="198">
        <f>IF($K44=AM$3,ROUND(IF(OR($C44="W",$C44="1/2W",$C44="1/2L"),$P44-$O44,IF($C44="X",0,-$O44)),2),0)</f>
        <v>0</v>
      </c>
      <c r="AN44" s="198">
        <f>IF($K44=AN$3,ROUND(IF(OR($C44="W",$C44="1/2W",$C44="1/2L"),$P44-$O44,IF($C44="X",0,-$O44)),2),0)</f>
        <v>0</v>
      </c>
      <c r="AO44" s="198">
        <f>IF($K44=AO$3,ROUND(IF(OR($C44="W",$C44="1/2W",$C44="1/2L"),$P44-$O44,IF($C44="X",0,-$O44)),2),0)</f>
        <v>0</v>
      </c>
      <c r="AP44" s="198">
        <f>IF($K44=AP$3,ROUND(IF(OR($C44="W",$C44="1/2W",$C44="1/2L"),$P44-$O44,IF($C44="X",0,-$O44)),2),0)</f>
        <v>0</v>
      </c>
      <c r="AQ44" s="198">
        <f>IF($K44=AQ$3,ROUND(IF(OR($C44="W",$C44="1/2W",$C44="1/2L"),$P44-$O44,IF($C44="X",0,-$O44)),2),0)</f>
        <v>0</v>
      </c>
      <c r="AR44" s="199">
        <f>IF($K44=AR$3,ROUND(IF(OR($C44="W",$C44="1/2W",$C44="1/2L"),$P44-$O44,IF($C44="X",0,-$O44)),2),0)</f>
        <v>0</v>
      </c>
      <c r="AS44" s="197">
        <f>IF(AND($B43=" ",$K44=AS$3),$O44,0)</f>
        <v>0</v>
      </c>
      <c r="AT44" s="198">
        <f>IF(AND($B43=" ",K44=AT$3),$O44,0)</f>
        <v>0</v>
      </c>
      <c r="AU44" s="198">
        <f>IF(AND($B43=" ",$K44=AU$3),$O44,0)</f>
        <v>0</v>
      </c>
      <c r="AV44" s="198">
        <f>IF(AND($B43=" ",$K44=AV$3),$O44,0)</f>
        <v>0</v>
      </c>
      <c r="AW44" s="198">
        <f>IF(AND($B43=" ",$K44=AW$3),$O44,0)</f>
        <v>0</v>
      </c>
      <c r="AX44" s="198">
        <f>IF(AND($B43=" ",$K44=AX$3),$O44,0)</f>
        <v>0</v>
      </c>
      <c r="AY44" s="200">
        <f>IF(AND($B43=" ",$K44=AY$3),$O44,0)</f>
        <v>0</v>
      </c>
      <c r="AZ44" s="201">
        <f>IF(AND($B43=" ",$K44=AZ$3),$O44,0)</f>
        <v>0</v>
      </c>
      <c r="BA44" s="201">
        <f>IF(AND($B43=" ",$K44=BA$3),$O44,0)</f>
        <v>0</v>
      </c>
      <c r="BB44" s="201">
        <f>IF(AND($B43=" ",$K44=BB$3),$O44,0)</f>
        <v>0</v>
      </c>
      <c r="BC44" s="202">
        <f>IF(AND($B43=" ",$K44=BC$3),$O44,0)</f>
        <v>0</v>
      </c>
      <c r="BD44" s="198">
        <f>IF(AND($B43=" ",$K44=BD$3),$O44,0)</f>
        <v>0</v>
      </c>
      <c r="BE44" s="199">
        <f>IF(AND($B43=" ",$K44=BE$3),$O44,0)</f>
        <v>0</v>
      </c>
      <c r="BF44" s="197">
        <f>IF($K44=BF$3,IF($C44="X",0,$O44),0)</f>
        <v>0</v>
      </c>
      <c r="BG44" s="198">
        <f>IF($K44=BG$3,IF($C44="X",0,$O44),0)</f>
        <v>23.28</v>
      </c>
      <c r="BH44" s="198">
        <f>IF($K44=BH$3,IF($C44="X",0,$O44),0)</f>
        <v>0</v>
      </c>
      <c r="BI44" s="198">
        <f>IF($K44=BI$3,IF($C44="X",0,$O44),0)</f>
        <v>0</v>
      </c>
      <c r="BJ44" s="198">
        <f>IF($K44=BJ$3,IF($C44="X",0,$O44),0)</f>
        <v>0</v>
      </c>
      <c r="BK44" s="198">
        <f>IF($K44=BK$3,IF($C44="X",0,$O44),0)</f>
        <v>0</v>
      </c>
      <c r="BL44" s="198">
        <f>IF($K44=BL$3,IF($C44="X",0,$O44),0)</f>
        <v>0</v>
      </c>
      <c r="BM44" s="227">
        <f>IF($K44=BM$3,IF($C44="X",0,$O44),0)</f>
        <v>0</v>
      </c>
      <c r="BN44" s="205">
        <f>IF($K44=BN$3,IF($C44="X",0,$O44),0)</f>
        <v>0</v>
      </c>
      <c r="BO44" s="205">
        <f>IF($K44=BO$3,IF($C44="X",0,$O44),0)</f>
        <v>0</v>
      </c>
      <c r="BP44" s="205">
        <f>IF($K44=BP$3,IF($C44="X",0,$O44),0)</f>
        <v>0</v>
      </c>
      <c r="BQ44" s="202">
        <f>IF($K44=BQ$3,IF($C44="X",0,$O44),0)</f>
        <v>0</v>
      </c>
      <c r="BR44" s="199">
        <f>IF($K44=BR$3,IF($C44="X",0,$O44),0)</f>
        <v>0</v>
      </c>
      <c r="BS44" s="228"/>
      <c r="BT44" s="229"/>
      <c r="BU44" s="140"/>
      <c r="BV44" s="229"/>
      <c r="BW44" s="140"/>
      <c r="BX44" s="140"/>
      <c r="BY44" s="140"/>
      <c r="BZ44" s="229"/>
      <c r="CA44" s="140"/>
      <c r="CB44" s="140"/>
      <c r="CC44" s="140"/>
      <c r="CD44" s="141"/>
      <c r="CE44" s="142"/>
      <c r="CF44" s="230">
        <f>IF(CF$3=$K44,IF($C44="W",1,IF($C44="1/2W",0.5,0)),0)</f>
        <v>0</v>
      </c>
      <c r="CG44" s="231">
        <f>IF(CF$3=$K44,IF($C44="L",1,IF($C44="1/2L",0.5,0)),0)</f>
        <v>0</v>
      </c>
      <c r="CH44" s="231">
        <f>IF(CH$3=$K44,IF($C44="W",1,IF($C44="1/2W",0.5,0)),0)</f>
        <v>0</v>
      </c>
      <c r="CI44" s="231">
        <f>IF(CH$3=$K44,IF($C44="L",1,IF($C44="1/2L",0.5,0)),0)</f>
        <v>1</v>
      </c>
      <c r="CJ44" s="231">
        <f>IF(CJ$3=$K44,IF($C44="W",1,IF($C44="1/2W",0.5,0)),0)</f>
        <v>0</v>
      </c>
      <c r="CK44" s="231">
        <f>IF(CJ$3=$K44,IF($C44="L",1,IF($C44="1/2L",0.5,0)),0)</f>
        <v>0</v>
      </c>
      <c r="CL44" s="231">
        <f>IF(CL$3=$K44,IF($C44="W",1,IF($C44="1/2W",0.5,0)),0)</f>
        <v>0</v>
      </c>
      <c r="CM44" s="231">
        <f>IF(CL$3=$K44,IF($C44="L",1,IF($C44="1/2L",0.5,0)),0)</f>
        <v>0</v>
      </c>
      <c r="CN44" s="231">
        <f>IF(CN$3=$K44,IF($C44="W",1,IF($C44="1/2W",0.5,0)),0)</f>
        <v>0</v>
      </c>
      <c r="CO44" s="231">
        <f>IF(CN$3=$K44,IF($C44="L",1,IF($C44="1/2L",0.5,0)),0)</f>
        <v>0</v>
      </c>
      <c r="CP44" s="231">
        <f>IF(CP$3=$K44,IF($C44="W",1,IF($C44="1/2W",0.5,0)),0)</f>
        <v>0</v>
      </c>
      <c r="CQ44" s="231">
        <f>IF(CP$3=$K44,IF($C44="L",1,IF($C44="1/2L",0.5,0)),0)</f>
        <v>0</v>
      </c>
      <c r="CR44" s="231">
        <f>IF(CR$3=$K44,IF($C44="W",1,IF($C44="1/2W",0.5,0)),0)</f>
        <v>0</v>
      </c>
      <c r="CS44" s="231">
        <f>IF(CR$3=$K44,IF($C44="L",1,IF($C44="1/2L",0.5,0)),0)</f>
        <v>0</v>
      </c>
      <c r="CT44" s="208">
        <f>IF(CT$3=$K44,IF($C44="W",1,IF($C44="1/2W",0.5,0)),0)</f>
        <v>0</v>
      </c>
      <c r="CU44" s="209">
        <f>IF(CT$3=$K44,IF($C44="L",1,IF($C44="1/2L",0.5,0)),0)</f>
        <v>0</v>
      </c>
      <c r="CV44" s="209">
        <f>IF(CV$3=$K44,IF($C44="W",1,IF($C44="1/2W",0.5,0)),0)</f>
        <v>0</v>
      </c>
      <c r="CW44" s="209">
        <f>IF(CV$3=$K44,IF($C44="L",1,IF($C44="1/2L",0.5,0)),0)</f>
        <v>0</v>
      </c>
      <c r="CX44" s="209">
        <f>IF(CX$3=$K44,IF($C44="W",1,IF($C44="1/2W",0.5,0)),0)</f>
        <v>0</v>
      </c>
      <c r="CY44" s="209">
        <f>IF(CX$3=$K44,IF($C44="L",1,IF($C44="1/2L",0.5,0)),0)</f>
        <v>0</v>
      </c>
      <c r="CZ44" s="209">
        <f>IF(CZ$3=$K44,IF($C44="W",1,IF($C44="1/2W",0.5,0)),0)</f>
        <v>0</v>
      </c>
      <c r="DA44" s="209">
        <f>IF(CZ$3=$K44,IF($C44="L",1,IF($C44="1/2L",0.5,0)),0)</f>
        <v>0</v>
      </c>
      <c r="DB44" s="209">
        <f>IF(DB$3=$K44,IF($C44="W",1,IF($C44="1/2W",0.5,0)),0)</f>
        <v>0</v>
      </c>
      <c r="DC44" s="209">
        <f>IF(DB$3=$K44,IF($C44="L",1,IF($C44="1/2L",0.5,0)),0)</f>
        <v>0</v>
      </c>
      <c r="DD44" s="209">
        <f>IF(DD$3=$K44,IF($C44="W",1,IF($C44="1/2W",0.5,0)),0)</f>
        <v>0</v>
      </c>
      <c r="DE44" s="210">
        <f>IF(DD$3=$K44,IF($C44="L",1,IF($C44="1/2L",0.5,0)),0)</f>
        <v>0</v>
      </c>
      <c r="DF44" s="211">
        <f>IF(AND(L44&lt;DF$3,$C44="W"),1+DF43,DF43)</f>
        <v>2</v>
      </c>
      <c r="DG44" s="198">
        <f>IF(DF44&gt;DF43,L44+DG43,DG43)</f>
        <v>2.55</v>
      </c>
      <c r="DH44" s="209">
        <f>IF(AND(L44&gt;DH$3,$C44="W"),1+DH43,0+DH43)</f>
        <v>0</v>
      </c>
      <c r="DI44" s="198">
        <f>IF(DH44&gt;DH43,L44+DI43,DI43)</f>
        <v>0</v>
      </c>
      <c r="DJ44" s="209">
        <f>IF($D43="","",$D43)</f>
        <v>16</v>
      </c>
      <c r="DK44" s="232"/>
    </row>
    <row r="45" ht="14.55" customHeight="1">
      <c r="A45" s="149"/>
      <c r="B45" s="150"/>
      <c r="C45" t="s" s="233">
        <v>58</v>
      </c>
      <c r="D45" s="152"/>
      <c r="E45" s="153"/>
      <c r="F45" s="154"/>
      <c r="G45" s="234"/>
      <c r="H45" s="156"/>
      <c r="I45" s="235"/>
      <c r="J45" s="236"/>
      <c r="K45" s="237"/>
      <c r="L45" s="238"/>
      <c r="M45" s="239"/>
      <c r="N45" s="161"/>
      <c r="O45" t="s" s="240">
        <f>IF(OR(AE43="",AE44=""),"",IF(L45&gt;0,ROUND(IF(M45&gt;0,M45,IF(M43&gt;0,ROUND((M43*AE45)/AE43,IF(N43=0,2,IF(N43=0.1,1,0))),IF(M44&gt;0,ROUND((M44*AE45)/AE44,IF(N43=0,2,IF(N43=0.1,1,0))),IF(M45&gt;0,M45,0)))),2),""))</f>
      </c>
      <c r="P45" t="s" s="241">
        <f>IF(I44="Lay",O44*(L44/(L44-1))-O44,IF(I43="Lay",O43*(L43/(L43-1))-O43,IF(OR(L45="",O45=""),"",IF($C45="1/2W",O45/2+O45/2*L45,IF($C45="1/2L",O45/2,(O45*L45-O45)*(1-_xlfn.XLOOKUP(K45,'Janeiro 2023 - Valor Real'!A3:A15,'Janeiro 2023 - Valor Real'!C3:C15,0))+O45)))))</f>
      </c>
      <c r="Q45" t="s" s="242">
        <f>IF(K45="","",IF(_xlfn.XLOOKUP(K45,K$4:K44,DJ$4:DJ44,0,,-1)=DJ45,_xlfn.XLOOKUP(K45,K$4:K44,Q$4:Q44,1,,-1)+1,1))</f>
      </c>
      <c r="R45" t="s" s="243">
        <f>IF(K45="","",_xlfn.XLOOKUP(K45,K$4:K44,R$4:R44,0,,-1)+IF($C45=" ",1,0))</f>
      </c>
      <c r="S45" s="166"/>
      <c r="T45" s="155"/>
      <c r="U45" s="155"/>
      <c r="V45" s="166"/>
      <c r="W45" s="155"/>
      <c r="X45" s="167"/>
      <c r="Y45" s="128"/>
      <c r="Z45" s="129"/>
      <c r="AA45" s="129"/>
      <c r="AB45" s="129"/>
      <c r="AC45" s="129"/>
      <c r="AD45" s="244">
        <f>((L44/(L44-1)-1))</f>
        <v>0.714285714285714</v>
      </c>
      <c r="AE45" t="s" s="245">
        <f>IF(L45="","",(SUM(((L43-1)*(1-_xlfn.XLOOKUP(K43,'Janeiro 2023 - Valor Real'!A3:A15,'Janeiro 2023 - Valor Real'!C3:C15,0))+1),((L44-1)*(1-_xlfn.XLOOKUP(K44,'Janeiro 2023 - Valor Real'!A3:A15,'Janeiro 2023 - Valor Real'!C3:C15,0))+1),((L45-1)*(1-_xlfn.XLOOKUP(K45,'Janeiro 2023 - Valor Real'!A3:A15,'Janeiro 2023 - Valor Real'!C3:C15,0))+1))/((L45-1)*(1-_xlfn.XLOOKUP(K45,'Janeiro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Real'!C3:C15,0))+1))/((L43-1)*(1-_xlfn.XLOOKUP(K43,'Janeiro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Real'!C3:C15,0))+1))/((L44-1)*(1-_xlfn.XLOOKUP(K44,'Janeiro 2023 - Valor Real'!A3:A15,'Janeiro 2023 - Valor Real'!C3:C15,0))+1)+SUM(((L43-1)*(1-_xlfn.XLOOKUP(K43,'Janeiro 2023 - Valor Real'!A3:A15,'Janeiro 2023 - Valor Real'!C3:C15,0))+1),((L44-1)*(1-_xlfn.XLOOKUP(K44,'Janeiro 2023 - Valor Real'!A3:A15,'Janeiro 2023 - Valor Real'!C3:C15,0))+1),((L45-1)*(1-_xlfn.XLOOKUP(K45,'Janeiro 2023 - Valor Real'!A3:A15,'Janeiro 2023 - Valor Real'!C3:C15,0))+1))/((L45-1)*(1-_xlfn.XLOOKUP(K45,'Janeiro 2023 - Valor Real'!A3:A15,'Janeiro 2023 - Valor Real'!C3:C15,0))+1)))</f>
      </c>
      <c r="AF45" s="197">
        <f>IF($K45=AF$3,ROUND(IF(OR($C45="W",$C45="1/2W",$C45="1/2L"),$P45-$O45,IF($C45="X",0,-$O45)),2),0)</f>
        <v>0</v>
      </c>
      <c r="AG45" s="198">
        <f>IF($K45=AG$3,ROUND(IF(OR($C45="W",$C45="1/2W",$C45="1/2L"),$P45-$O45,IF($C45="X",0,-$O45)),2),0)</f>
        <v>0</v>
      </c>
      <c r="AH45" s="198">
        <f>IF($K45=AH$3,ROUND(IF(OR($C45="W",$C45="1/2W",$C45="1/2L"),$P45-$O45,IF($C45="X",0,-$O45)),2),0)</f>
        <v>0</v>
      </c>
      <c r="AI45" s="198">
        <f>IF($K45=AI$3,ROUND(IF(OR($C45="W",$C45="1/2W",$C45="1/2L"),$P45-$O45,IF($C45="X",0,-$O45)),2),0)</f>
        <v>0</v>
      </c>
      <c r="AJ45" s="198">
        <f>IF($K45=AJ$3,ROUND(IF(OR($C45="W",$C45="1/2W",$C45="1/2L"),$P45-$O45,IF($C45="X",0,-$O45)),2),0)</f>
        <v>0</v>
      </c>
      <c r="AK45" s="198">
        <f>IF($K45=AK$3,ROUND(IF(OR($C45="W",$C45="1/2W",$C45="1/2L"),$P45-$O45,IF($C45="X",0,-$O45)),2),0)</f>
        <v>0</v>
      </c>
      <c r="AL45" s="198">
        <f>IF($K45=AL$3,ROUND(IF(OR($C45="W",$C45="1/2W",$C45="1/2L"),$P45-$O45,IF($C45="X",0,-$O45)),2),0)</f>
        <v>0</v>
      </c>
      <c r="AM45" s="198">
        <f>IF($K45=AM$3,ROUND(IF(OR($C45="W",$C45="1/2W",$C45="1/2L"),$P45-$O45,IF($C45="X",0,-$O45)),2),0)</f>
        <v>0</v>
      </c>
      <c r="AN45" s="198">
        <f>IF($K45=AN$3,ROUND(IF(OR($C45="W",$C45="1/2W",$C45="1/2L"),$P45-$O45,IF($C45="X",0,-$O45)),2),0)</f>
        <v>0</v>
      </c>
      <c r="AO45" s="198">
        <f>IF($K45=AO$3,ROUND(IF(OR($C45="W",$C45="1/2W",$C45="1/2L"),$P45-$O45,IF($C45="X",0,-$O45)),2),0)</f>
        <v>0</v>
      </c>
      <c r="AP45" s="198">
        <f>IF($K45=AP$3,ROUND(IF(OR($C45="W",$C45="1/2W",$C45="1/2L"),$P45-$O45,IF($C45="X",0,-$O45)),2),0)</f>
        <v>0</v>
      </c>
      <c r="AQ45" s="198">
        <f>IF($K45=AQ$3,ROUND(IF(OR($C45="W",$C45="1/2W",$C45="1/2L"),$P45-$O45,IF($C45="X",0,-$O45)),2),0)</f>
        <v>0</v>
      </c>
      <c r="AR45" s="199">
        <f>IF($K45=AR$3,ROUND(IF(OR($C45="W",$C45="1/2W",$C45="1/2L"),$P45-$O45,IF($C45="X",0,-$O45)),2),0)</f>
        <v>0</v>
      </c>
      <c r="AS45" s="197">
        <f>IF(AND($B43=" ",$K45=AS$3),$O45,0)</f>
        <v>0</v>
      </c>
      <c r="AT45" s="198">
        <f>IF(AND($B43=" ",K45=AT$3),$O45,0)</f>
        <v>0</v>
      </c>
      <c r="AU45" s="198">
        <f>IF(AND($B43=" ",$K45=AU$3),$O45,0)</f>
        <v>0</v>
      </c>
      <c r="AV45" s="198">
        <f>IF(AND($B43=" ",$K45=AV$3),$O45,0)</f>
        <v>0</v>
      </c>
      <c r="AW45" s="198">
        <f>IF(AND($B43=" ",$K45=AW$3),$O45,0)</f>
        <v>0</v>
      </c>
      <c r="AX45" s="198">
        <f>IF(AND($B43=" ",$K45=AX$3),$O45,0)</f>
        <v>0</v>
      </c>
      <c r="AY45" s="200">
        <f>IF(AND($B43=" ",$K45=AY$3),$O45,0)</f>
        <v>0</v>
      </c>
      <c r="AZ45" s="201">
        <f>IF(AND($B43=" ",$K45=AZ$3),$O45,0)</f>
        <v>0</v>
      </c>
      <c r="BA45" s="201">
        <f>IF(AND($B43=" ",$K45=BA$3),$O45,0)</f>
        <v>0</v>
      </c>
      <c r="BB45" s="201">
        <f>IF(AND($B43=" ",$K45=BB$3),$O45,0)</f>
        <v>0</v>
      </c>
      <c r="BC45" s="202">
        <f>IF(AND($B43=" ",$K45=BC$3),$O45,0)</f>
        <v>0</v>
      </c>
      <c r="BD45" s="198">
        <f>IF(AND($B43=" ",$K45=BD$3),$O45,0)</f>
        <v>0</v>
      </c>
      <c r="BE45" s="199">
        <f>IF(AND($B43=" ",$K45=BE$3),$O45,0)</f>
        <v>0</v>
      </c>
      <c r="BF45" s="197">
        <f>IF($K45=BF$3,IF($C45="X",0,$O45),0)</f>
        <v>0</v>
      </c>
      <c r="BG45" s="198">
        <f>IF($K45=BG$3,IF($C45="X",0,$O45),0)</f>
        <v>0</v>
      </c>
      <c r="BH45" s="198">
        <f>IF($K45=BH$3,IF($C45="X",0,$O45),0)</f>
        <v>0</v>
      </c>
      <c r="BI45" s="198">
        <f>IF($K45=BI$3,IF($C45="X",0,$O45),0)</f>
        <v>0</v>
      </c>
      <c r="BJ45" s="198">
        <f>IF($K45=BJ$3,IF($C45="X",0,$O45),0)</f>
        <v>0</v>
      </c>
      <c r="BK45" s="198">
        <f>IF($K45=BK$3,IF($C45="X",0,$O45),0)</f>
        <v>0</v>
      </c>
      <c r="BL45" s="198">
        <f>IF($K45=BL$3,IF($C45="X",0,$O45),0)</f>
        <v>0</v>
      </c>
      <c r="BM45" s="200">
        <f>IF($K45=BM$3,IF($C45="X",0,$O45),0)</f>
        <v>0</v>
      </c>
      <c r="BN45" s="201">
        <f>IF($K45=BN$3,IF($C45="X",0,$O45),0)</f>
        <v>0</v>
      </c>
      <c r="BO45" s="201">
        <f>IF($K45=BO$3,IF($C45="X",0,$O45),0)</f>
        <v>0</v>
      </c>
      <c r="BP45" s="201">
        <f>IF($K45=BP$3,IF($C45="X",0,$O45),0)</f>
        <v>0</v>
      </c>
      <c r="BQ45" s="202">
        <f>IF($K45=BQ$3,IF($C45="X",0,$O45),0)</f>
        <v>0</v>
      </c>
      <c r="BR45" s="199">
        <f>IF($K45=BR$3,IF($C45="X",0,$O45),0)</f>
        <v>0</v>
      </c>
      <c r="BS45" s="228"/>
      <c r="BT45" s="229"/>
      <c r="BU45" s="140"/>
      <c r="BV45" s="229"/>
      <c r="BW45" s="140"/>
      <c r="BX45" s="140"/>
      <c r="BY45" s="140"/>
      <c r="BZ45" s="229"/>
      <c r="CA45" s="140"/>
      <c r="CB45" s="140"/>
      <c r="CC45" s="140"/>
      <c r="CD45" s="141"/>
      <c r="CE45" s="142"/>
      <c r="CF45" s="230">
        <f>IF(CF$3=$K45,IF($C45="W",1,IF($C45="1/2W",0.5,0)),0)</f>
        <v>0</v>
      </c>
      <c r="CG45" s="231">
        <f>IF(CF$3=$K45,IF($C45="L",1,IF($C45="1/2L",0.5,0)),0)</f>
        <v>0</v>
      </c>
      <c r="CH45" s="231">
        <f>IF(CH$3=$K45,IF($C45="W",1,IF($C45="1/2W",0.5,0)),0)</f>
        <v>0</v>
      </c>
      <c r="CI45" s="231">
        <f>IF(CH$3=$K45,IF($C45="L",1,IF($C45="1/2L",0.5,0)),0)</f>
        <v>0</v>
      </c>
      <c r="CJ45" s="231">
        <f>IF(CJ$3=$K45,IF($C45="W",1,IF($C45="1/2W",0.5,0)),0)</f>
        <v>0</v>
      </c>
      <c r="CK45" s="231">
        <f>IF(CJ$3=$K45,IF($C45="L",1,IF($C45="1/2L",0.5,0)),0)</f>
        <v>0</v>
      </c>
      <c r="CL45" s="231">
        <f>IF(CL$3=$K45,IF($C45="W",1,IF($C45="1/2W",0.5,0)),0)</f>
        <v>0</v>
      </c>
      <c r="CM45" s="231">
        <f>IF(CL$3=$K45,IF($C45="L",1,IF($C45="1/2L",0.5,0)),0)</f>
        <v>0</v>
      </c>
      <c r="CN45" s="231">
        <f>IF(CN$3=$K45,IF($C45="W",1,IF($C45="1/2W",0.5,0)),0)</f>
        <v>0</v>
      </c>
      <c r="CO45" s="231">
        <f>IF(CN$3=$K45,IF($C45="L",1,IF($C45="1/2L",0.5,0)),0)</f>
        <v>0</v>
      </c>
      <c r="CP45" s="231">
        <f>IF(CP$3=$K45,IF($C45="W",1,IF($C45="1/2W",0.5,0)),0)</f>
        <v>0</v>
      </c>
      <c r="CQ45" s="231">
        <f>IF(CP$3=$K45,IF($C45="L",1,IF($C45="1/2L",0.5,0)),0)</f>
        <v>0</v>
      </c>
      <c r="CR45" s="231">
        <f>IF(CR$3=$K45,IF($C45="W",1,IF($C45="1/2W",0.5,0)),0)</f>
        <v>0</v>
      </c>
      <c r="CS45" s="231">
        <f>IF(CR$3=$K45,IF($C45="L",1,IF($C45="1/2L",0.5,0)),0)</f>
        <v>0</v>
      </c>
      <c r="CT45" s="208">
        <f>IF(CT$3=$K45,IF($C45="W",1,IF($C45="1/2W",0.5,0)),0)</f>
        <v>0</v>
      </c>
      <c r="CU45" s="209">
        <f>IF(CT$3=$K45,IF($C45="L",1,IF($C45="1/2L",0.5,0)),0)</f>
        <v>0</v>
      </c>
      <c r="CV45" s="209">
        <f>IF(CV$3=$K45,IF($C45="W",1,IF($C45="1/2W",0.5,0)),0)</f>
        <v>0</v>
      </c>
      <c r="CW45" s="209">
        <f>IF(CV$3=$K45,IF($C45="L",1,IF($C45="1/2L",0.5,0)),0)</f>
        <v>0</v>
      </c>
      <c r="CX45" s="209">
        <f>IF(CX$3=$K45,IF($C45="W",1,IF($C45="1/2W",0.5,0)),0)</f>
        <v>0</v>
      </c>
      <c r="CY45" s="209">
        <f>IF(CX$3=$K45,IF($C45="L",1,IF($C45="1/2L",0.5,0)),0)</f>
        <v>0</v>
      </c>
      <c r="CZ45" s="209">
        <f>IF(CZ$3=$K45,IF($C45="W",1,IF($C45="1/2W",0.5,0)),0)</f>
        <v>0</v>
      </c>
      <c r="DA45" s="209">
        <f>IF(CZ$3=$K45,IF($C45="L",1,IF($C45="1/2L",0.5,0)),0)</f>
        <v>0</v>
      </c>
      <c r="DB45" s="209">
        <f>IF(DB$3=$K45,IF($C45="W",1,IF($C45="1/2W",0.5,0)),0)</f>
        <v>0</v>
      </c>
      <c r="DC45" s="209">
        <f>IF(DB$3=$K45,IF($C45="L",1,IF($C45="1/2L",0.5,0)),0)</f>
        <v>0</v>
      </c>
      <c r="DD45" s="209">
        <f>IF(DD$3=$K45,IF($C45="W",1,IF($C45="1/2W",0.5,0)),0)</f>
        <v>0</v>
      </c>
      <c r="DE45" s="210">
        <f>IF(DD$3=$K45,IF($C45="L",1,IF($C45="1/2L",0.5,0)),0)</f>
        <v>0</v>
      </c>
      <c r="DF45" s="211">
        <f>IF(AND(L45&lt;DF$3,$C45="W"),1+DF44,DF44)</f>
        <v>2</v>
      </c>
      <c r="DG45" s="198">
        <f>IF(DF45&gt;DF44,L45+DG44,DG44)</f>
        <v>2.55</v>
      </c>
      <c r="DH45" s="209">
        <f>IF(AND(L45&gt;DH$3,$C45="W"),1+DH44,0+DH44)</f>
        <v>0</v>
      </c>
      <c r="DI45" s="198">
        <f>IF(DH45&gt;DH44,L45+DI44,DI44)</f>
        <v>0</v>
      </c>
      <c r="DJ45" s="209">
        <f>IF($D43="","",$D43)</f>
        <v>16</v>
      </c>
      <c r="DK45" s="232"/>
    </row>
    <row r="46" ht="14.55" customHeight="1">
      <c r="A46" s="246">
        <f>$A43+1</f>
        <v>15</v>
      </c>
      <c r="B46" t="s" s="247">
        <f>IF(AND(_xlfn.XLOOKUP(H46,H$4:H45,G$4:G45,0)=G46,_xlfn.XLOOKUP("TempoBet",K46:K48,L46:L48,0)&gt;0),"X",IF(OR(C46="W",C47="W",C48="W",C46="1/2W",C47="1/2W",C48="1/2W",C46="1/2L",C47="1/2L",C48="1/2L"),"OK",IF(OR(C46="L",C47="L",C48="L"),"LOSS",IF(OR(C46="X",C47="X",C48="X"),"Anulado"," "))))</f>
        <v>50</v>
      </c>
      <c r="C46" t="s" s="248">
        <v>56</v>
      </c>
      <c r="D46" s="249">
        <f>IF(G46="","",$D43)</f>
        <v>16</v>
      </c>
      <c r="E46" t="s" s="250">
        <f>IF(G46=""," ","– "&amp;COUNTIF(D$4:D48,$D46))</f>
        <v>93</v>
      </c>
      <c r="F46" t="s" s="251">
        <f>IF(G46="","",IF(OR(AND($C46&lt;&gt;" ",$C47=" "),AND($C47&lt;&gt;" ",$C46=" "),AND(L48&gt;0,OR(AND($C48&lt;&gt;" ",OR($C46=" ",$C47=" ")),AND($C48=" ",OR($C46&lt;&gt;" ",$C47&lt;&gt;" "))))),IF(SUM(F$4:F45)=0,1,LARGE(F$4:F45,1)+1),IF(MONTH(G46)=MONTH(TODAY()),IF(AND(DAY(G46)&lt;DAY(TODAY()),$B46=" "),IF(SUM(F$4:F45)=0,1,LARGE(F$4:F45,1)+1),IF($B46=" ",IF(AND(DAY(G46)=DAY(TODAY()),HOUR(G46)&lt;=HOUR(NOW())+1),IF(AND(HOUR(G46)+2&lt;=HOUR(NOW()),DAY(G46)&lt;=DAY(TODAY()),MINUTE(G46)&lt;=MINUTE(NOW())),IF(SUM(F$4:F45)=0,1,LARGE(F$4:F45,1)+1),IF(OR(MINUTE(G46)&lt;=MINUTE(NOW()),HOUR(G46)&lt;=HOUR(NOW())),"!!!","")),""),"")),"")))</f>
      </c>
      <c r="G46" s="252">
        <v>44943.611111111109</v>
      </c>
      <c r="H46" t="s" s="253">
        <v>94</v>
      </c>
      <c r="I46" s="292">
        <v>1</v>
      </c>
      <c r="J46" s="293"/>
      <c r="K46" t="s" s="256">
        <v>37</v>
      </c>
      <c r="L46" s="257">
        <v>4.33</v>
      </c>
      <c r="M46" s="258">
        <v>10.5</v>
      </c>
      <c r="N46" s="259">
        <v>0</v>
      </c>
      <c r="O46" s="260">
        <f>IF(OR(AE46="",AE47=""),"",ROUND(IF(L48&gt;0,IF(M46&gt;0,M46,IF(M47&gt;0,ROUND((M47*AE46)/AE47,IF(N46=0,2,IF(N46=0.1,1,0))),ROUND((M48*AE46)/AE48,IF(N46=0,2,IF(N46=0.1,1,0))))),IF(M46&gt;0,M46,ROUND((M47*AE46)/AE47,IF(N46=0,2,IF(N46=0.1,1,0))))),2))</f>
        <v>10.5</v>
      </c>
      <c r="P46" s="261">
        <f>IF(OR(L46="",O46=""),"",IF($C46="1/2W",O46/2+O46/2*L46,IF($C46="1/2L",O46/2,IF(I46="Lay",(O46*(L46/(L46-1))-O46)*(1-_xlfn.XLOOKUP(K46,'Janeiro 2023 - Valor Real'!A3:A15,'Janeiro 2023 - Valor Real'!C3:C15,0))+O46,(O46*L46-O46)*(1-_xlfn.XLOOKUP(K46,'Janeiro 2023 - Valor Real'!A3:A15,'Janeiro 2023 - Valor Real'!C3:C15,0))+O46))))</f>
        <v>45.465</v>
      </c>
      <c r="Q46" s="262">
        <f>IF(K46="","",IF(_xlfn.XLOOKUP(K46,K$4:K45,DJ$4:DJ45,0,,-1)=DJ46,_xlfn.XLOOKUP(K46,K$4:K45,Q$4:Q45,1,,-1)+1,1))</f>
        <v>3</v>
      </c>
      <c r="R46" s="263">
        <f>IF(K46="","",_xlfn.XLOOKUP(K46,K$4:K45,R$4:R45,0,,-1)+IF($C46=" ",1,0))</f>
        <v>0</v>
      </c>
      <c r="S46" s="264">
        <f>IF($B46="Anulado",0,ROUND(IF(OR($B46="LOSS",$B46="OK"),IF(OR($C46="W",$C46="1/2W",$C46="1/2L"),P46-O46,IF($C46="L",-O46,0))+IF(OR($C47="W",$C47="1/2W",$C47="1/2L"),P47-O47,IF($C47="L",-O47,0))+IF(OR($C48="W",$C48="1/2W",$C48="1/2L"),P48-O48,IF($C48="L",-O48,0)),IF(AND(OR($C46="W",$C46="1/2W",$C46="1/2L"),C47="W"),P46+P47-SUM(O46:O48)+_xlfn.XLOOKUP("X",C46:C48,O46:O48,0),IF(AND(C46=TRUE,C48="W"),P46+P48-SUM(O46:O48),IF(AND(C47="W",C48="W"),P47+P48-SUM(O46:O48)+_xlfn.XLOOKUP("X",C46:C48,O46:O48,0),IF(L48&gt;0,IF(OR($C46="W",$C46="1/2W",$C46="1/2L"),P46-SUM(O46:O48)+_xlfn.XLOOKUP("X",C46:C48,O46:O48,0),IF(OR($C46="W",$C46="1/2W",$C46="1/2L"),P47-SUM(O46:O48)+_xlfn.XLOOKUP("X",C46:C48,O46:O48,0),IF(OR($C46="W",$C46="1/2W",$C46="1/2L"),P48-SUM(O46:O48)+_xlfn.XLOOKUP("X",C46:C48,O46:O48,0),IF(SUM(P46:P48)/3-SUM(O46:O48)+_xlfn.XLOOKUP("X",C46:C48,O46:O48,0)&gt;0,SUM(P46:P48)/3-SUM(O46:O48)+_xlfn.XLOOKUP("X",C46:C48,O46:O48,0),LARGE(P46:P48,1)-SUM(O46:O48))))),IF(OR($C46="W",$C46="1/2W",$C46="1/2L"),P46-SUM(O46:O47)+_xlfn.XLOOKUP("X",C46:C48,O46:O48,0),IF(OR($C46="W",$C46="1/2W",$C46="1/2L"),P47-SUM(O46:O47)+_xlfn.XLOOKUP("X",C46:C48,O46:O48,0),SUM(P46:P47)/2-SUM(O46:O47)+_xlfn.XLOOKUP("X",C46:C48,O46:O48,0)))))))),2))</f>
        <v>51.34</v>
      </c>
      <c r="T46" s="265">
        <f>IF(S46=0,0,S46/SUM(O46:O48))</f>
        <v>1.29711975745326</v>
      </c>
      <c r="U46" s="266">
        <f>IF($D46=$D43,IF(OR($B46="LOSS",$B46="OK",$B46="Anulada"),S46,0)+U43,IF(OR($B46="LOSS",$B46="OK",$B46="Anulada"),S46,0))</f>
        <v>76.36</v>
      </c>
      <c r="V46" s="266">
        <f>IF($D46="",0,IF($D46=$D43,IF($B46=" ",IF(I48="",IF(OR(AND(I46="DNB1",I47="DNB2"),AND(OR(I46="DNB1",I46="DNB2"),J47=0),AND(OR(I47="DNB1",I47="DNB2"),J46=0),AND(I46="DNB2",I47="DNB1"),AND(IF(J46=0,(J46+1)/ROUND(J46+1,0),J46/ROUND(J46,0))=1,IF(J47=0,(J47+1)/ROUND(IF(J47="",0,J47)+1,0),IF(J47="",0,J47)/ROUND(IF(J47="",1,J47),0))=1,OR(J46&lt;&gt;""),J47&lt;&gt;"")),0,IF(S46&lt;0,IF(I48="",SMALL(P46:P47,1)-SUM(O46:O47),0),SMALL(P46:P47,1)-SUM(O46:O47))),IF(S46&lt;0,IF(I48="",SMALL(P46:P48,1)-SUM(O46:O48),0),LARGE(P46:P48,1)-SUM(O46:O48))),S46)+V43,IF(I48="",IF(OR(AND(I46="DNB1",I47="DNB2"),AND(OR(I46="DNB1",I46="DNB2"),J47=0),AND(OR(I47="DNB1",I47="DNB2"),J46=0),AND(I46="DNB2",I47="DNB1"),AND(IF(J46=0,(J46+1)/ROUND(J46+1,0),J46/ROUND(J46,0))=1,IF(J47=0,(IF(J47="",0,J47)+1)/ROUND(IF(J47="",0,J47)+1,0),IF(J47="",0,J47)/ROUND(IF(J47="",0,J47)+1,0))=1,OR(J46&lt;&gt;""),J47&lt;&gt;"")),0,IF(S46&lt;0,IF(I48="",SMALL(P46:P47,1)-SUM(O46:O47),0),SMALL(P46:P48,1)-SUM(O46:O48))),IF(S46&lt;0,IF(I48="",SMALL(P46:P48,1)-SUM(O46:O48),0),LARGE(P46:P48,1)-SUM(O46:O48)))))</f>
        <v>76.36</v>
      </c>
      <c r="W46" s="266">
        <f>IF($D46=$D43,IF(S46&lt;0,IF(I48="",S46,0),S46)+W43,S46)</f>
        <v>76.36</v>
      </c>
      <c r="X46" t="s" s="267">
        <f>IF(OR(SUM(R46:R48)=0,V46=W46),ROUND(IF(W46=0,0,W46/Y46)*100,2)&amp;"%",ROUND(IF(V46=0,0,V46/Y46)*100,2)&amp;"% a "&amp;ROUND(IF(W46=0,0,W46/Y46)*100,2)&amp;"%")</f>
        <v>95</v>
      </c>
      <c r="Y46" s="268">
        <f>IF($D46=$D43,Y43+SUM(O46:O48),SUM(O46:O48))</f>
        <v>406.64</v>
      </c>
      <c r="Z46" s="266">
        <f>IF($B46=" ",SUM(O46:O48),0)+Z43</f>
        <v>0</v>
      </c>
      <c r="AA46" s="266">
        <f>IF(G46="","",IF($B46="Anulado",LARGE(P46:P48,1)-SUM(O46:O48)+AA43,AA43))</f>
        <v>0</v>
      </c>
      <c r="AB46" s="266">
        <f>IF($D46="","",AB43+S46)</f>
        <v>76.36</v>
      </c>
      <c r="AC46" s="269">
        <f>IF($D46="","",IF($B46=" ",IF(DAY(G46)=DAY(TODAY()),1+AC43,0+AC43),0+AC43))</f>
        <v>0</v>
      </c>
      <c r="AD46" s="270">
        <f>(1-_xlfn.XLOOKUP(K44,'Janeiro 2023 - Valor Real'!A3:A15,'Janeiro 2023 - Valor Real'!C3:C15,0))+1</f>
        <v>2</v>
      </c>
      <c r="AE46" s="271">
        <f>IF(L46="","",IF(L48&gt;0,(SUM(((L46-1)*(1-_xlfn.XLOOKUP(K46,'Janeiro 2023 - Valor Real'!A3:A15,'Janeiro 2023 - Valor Real'!C3:C15,0))+1),((L47-1)*(1-_xlfn.XLOOKUP(K47,'Janeiro 2023 - Valor Real'!A3:A15,'Janeiro 2023 - Valor Real'!C3:C15,0))+1),((L48-1)*(1-_xlfn.XLOOKUP(K48,'Janeiro 2023 - Valor Real'!A3:A15,'Janeiro 2023 - Valor Real'!C3:C15,0))+1))/((L46-1)*(1-_xlfn.XLOOKUP(K46,'Janeiro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Real'!C3:C15,0))+1))/((L46-1)*(1-_xlfn.XLOOKUP(K46,'Janeiro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Real'!C3:C15,0))+1))/((L47-1)*(1-_xlfn.XLOOKUP(K47,'Janeiro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Real'!C3:C15,0))+1))/((L48-1)*(1-_xlfn.XLOOKUP(K48,'Janeiro 2023 - Valor Real'!A3:A15,'Janeiro 2023 - Valor Real'!C3:C15,0))+1)),IF(I46="Lay",IF(I47="Lay",((L47/(L47-1)-1)*(1-_xlfn.XLOOKUP(K47,'Janeiro 2023 - Valor Real'!A3:A15,'Janeiro 2023 - Valor Real'!C3:C15,0))+1)/(((L47/(L47-1)-1)*(1-_xlfn.XLOOKUP(K47,'Janeiro 2023 - Valor Real'!A3:A15,'Janeiro 2023 - Valor Real'!C3:C15,0))+1)+((L46/(L46-1)-1)*(1-_xlfn.XLOOKUP(K46,'Janeiro 2023 - Valor Real'!A3:A15,'Janeiro 2023 - Valor Real'!C3:C15,0))+1)),((L47-1)*(1-_xlfn.XLOOKUP(K47,'Janeiro 2023 - Valor Real'!A3:A15,'Janeiro 2023 - Valor Real'!C3:C15,0))+1)/(((L47-1)*(1-_xlfn.XLOOKUP(K47,'Janeiro 2023 - Valor Real'!A3:A15,'Janeiro 2023 - Valor Real'!C3:C15,0))+1)+((L46/(L46-1)-1)*(1-_xlfn.XLOOKUP(K46,'Janeiro 2023 - Valor Real'!A3:A15,'Janeiro 2023 - Valor Real'!C3:C15,0))+1))),IF(I47="Lay",(((L47/(L47-1)-1)*(1-_xlfn.XLOOKUP(K47,'Janeiro 2023 - Valor Real'!A3:A15,'Janeiro 2023 - Valor Real'!C3:C15,0))+1))/(((L46-1)*(1-_xlfn.XLOOKUP(K46,'Janeiro 2023 - Valor Real'!A3:A15,'Janeiro 2023 - Valor Real'!C3:C15,0))+1)+((L47/(L47-1)-1)*(1-_xlfn.XLOOKUP(K47,'Janeiro 2023 - Valor Real'!A3:A15,'Janeiro 2023 - Valor Real'!C3:C15,0))+1)),((L47-1)*(1-_xlfn.XLOOKUP(K47,'Janeiro 2023 - Valor Real'!A3:A15,'Janeiro 2023 - Valor Real'!C3:C15,0))+1)/(((L47-1)*(1-_xlfn.XLOOKUP(K47,'Janeiro 2023 - Valor Real'!A3:A15,'Janeiro 2023 - Valor Real'!C3:C15,0))+1)+((L46-1)*(1-_xlfn.XLOOKUP(K46,'Janeiro 2023 - Valor Real'!A3:A15,'Janeiro 2023 - Valor Real'!C3:C15,0))+1))))))</f>
        <v>0.265261479331071</v>
      </c>
      <c r="AF46" s="132">
        <f>IF($K46=AF$3,ROUND(IF(OR($C46="W",$C46="1/2W",$C46="1/2L"),$P46-$O46,IF($C46="X",0,-$O46)),2),0)</f>
        <v>34.97</v>
      </c>
      <c r="AG46" s="133">
        <f>IF($K46=AG$3,ROUND(IF(OR($C46="W",$C46="1/2W",$C46="1/2L"),$P46-$O46,IF($C46="X",0,-$O46)),2),0)</f>
        <v>0</v>
      </c>
      <c r="AH46" s="133">
        <f>IF($K46=AH$3,ROUND(IF(OR($C46="W",$C46="1/2W",$C46="1/2L"),$P46-$O46,IF($C46="X",0,-$O46)),2),0)</f>
        <v>0</v>
      </c>
      <c r="AI46" s="133">
        <f>IF($K46=AI$3,ROUND(IF(OR($C46="W",$C46="1/2W",$C46="1/2L"),$P46-$O46,IF($C46="X",0,-$O46)),2),0)</f>
        <v>0</v>
      </c>
      <c r="AJ46" s="133">
        <f>IF($K46=AJ$3,ROUND(IF(OR($C46="W",$C46="1/2W",$C46="1/2L"),$P46-$O46,IF($C46="X",0,-$O46)),2),0)</f>
        <v>0</v>
      </c>
      <c r="AK46" s="133">
        <f>IF($K46=AK$3,ROUND(IF(OR($C46="W",$C46="1/2W",$C46="1/2L"),$P46-$O46,IF($C46="X",0,-$O46)),2),0)</f>
        <v>0</v>
      </c>
      <c r="AL46" s="133">
        <f>IF($K46=AL$3,ROUND(IF(OR($C46="W",$C46="1/2W",$C46="1/2L"),$P46-$O46,IF($C46="X",0,-$O46)),2),0)</f>
        <v>0</v>
      </c>
      <c r="AM46" s="133">
        <f>IF($K46=AM$3,ROUND(IF(OR($C46="W",$C46="1/2W",$C46="1/2L"),$P46-$O46,IF($C46="X",0,-$O46)),2),0)</f>
        <v>0</v>
      </c>
      <c r="AN46" s="133">
        <f>IF($K46=AN$3,ROUND(IF(OR($C46="W",$C46="1/2W",$C46="1/2L"),$P46-$O46,IF($C46="X",0,-$O46)),2),0)</f>
        <v>0</v>
      </c>
      <c r="AO46" s="133">
        <f>IF($K46=AO$3,ROUND(IF(OR($C46="W",$C46="1/2W",$C46="1/2L"),$P46-$O46,IF($C46="X",0,-$O46)),2),0)</f>
        <v>0</v>
      </c>
      <c r="AP46" s="133">
        <f>IF($K46=AP$3,ROUND(IF(OR($C46="W",$C46="1/2W",$C46="1/2L"),$P46-$O46,IF($C46="X",0,-$O46)),2),0)</f>
        <v>0</v>
      </c>
      <c r="AQ46" s="133">
        <f>IF($K46=AQ$3,ROUND(IF(OR($C46="W",$C46="1/2W",$C46="1/2L"),$P46-$O46,IF($C46="X",0,-$O46)),2),0)</f>
        <v>0</v>
      </c>
      <c r="AR46" s="134">
        <f>IF($K46=AR$3,ROUND(IF(OR($C46="W",$C46="1/2W",$C46="1/2L"),$P46-$O46,IF($C46="X",0,-$O46)),2),0)</f>
        <v>0</v>
      </c>
      <c r="AS46" s="132">
        <f>IF(AND($B46=" ",$K46=AS$3),$O46,0)</f>
        <v>0</v>
      </c>
      <c r="AT46" s="133">
        <f>IF(AND($B46=" ",$K46=AT$3),$O46,0)</f>
        <v>0</v>
      </c>
      <c r="AU46" s="133">
        <f>IF(AND($B46=" ",$K46=AU$3),$O46,0)</f>
        <v>0</v>
      </c>
      <c r="AV46" s="133">
        <f>IF(AND($B46=" ",$K46=AV$3),$O46,0)</f>
        <v>0</v>
      </c>
      <c r="AW46" s="133">
        <f>IF(AND($B46=" ",$K46=AW$3),$O46,0)</f>
        <v>0</v>
      </c>
      <c r="AX46" s="133">
        <f>IF(AND($B46=" ",$K46=AX$3),$O46,0)</f>
        <v>0</v>
      </c>
      <c r="AY46" s="135">
        <f>IF(AND($B46=" ",$K46=AY$3),$O46,0)</f>
        <v>0</v>
      </c>
      <c r="AZ46" s="136">
        <f>IF(AND($B46=" ",$K46=AZ$3),$O46,0)</f>
        <v>0</v>
      </c>
      <c r="BA46" s="136">
        <f>IF(AND($B46=" ",$K46=BA$3),$O46,0)</f>
        <v>0</v>
      </c>
      <c r="BB46" s="136">
        <f>IF(AND($B46=" ",$K46=BB$3),$O46,0)</f>
        <v>0</v>
      </c>
      <c r="BC46" s="137">
        <f>IF(AND($B46=" ",$K46=BC$3),$O46,0)</f>
        <v>0</v>
      </c>
      <c r="BD46" s="133">
        <f>IF(AND($B46=" ",$K46=BD$3),$O46,0)</f>
        <v>0</v>
      </c>
      <c r="BE46" s="134">
        <f>IF(AND($B46=" ",$K46=BE$3),$O46,0)</f>
        <v>0</v>
      </c>
      <c r="BF46" s="132">
        <f>IF($K46=BF$3,IF($C46="X",0,$O46),0)</f>
        <v>10.5</v>
      </c>
      <c r="BG46" s="133">
        <f>IF($K46=BG$3,IF($C46="X",0,$O46),0)</f>
        <v>0</v>
      </c>
      <c r="BH46" s="133">
        <f>IF($K46=BH$3,IF($C46="X",0,$O46),0)</f>
        <v>0</v>
      </c>
      <c r="BI46" s="133">
        <f>IF($K46=BI$3,IF($C46="X",0,$O46),0)</f>
        <v>0</v>
      </c>
      <c r="BJ46" s="133">
        <f>IF($K46=BJ$3,IF($C46="X",0,$O46),0)</f>
        <v>0</v>
      </c>
      <c r="BK46" s="133">
        <f>IF($K46=BK$3,IF($C46="X",0,$O46),0)</f>
        <v>0</v>
      </c>
      <c r="BL46" s="133">
        <f>IF($K46=BL$3,IF($C46="X",0,$O46),0)</f>
        <v>0</v>
      </c>
      <c r="BM46" s="135">
        <f>IF($K46=BM$3,IF($C46="X",0,$O46),0)</f>
        <v>0</v>
      </c>
      <c r="BN46" s="136">
        <f>IF($K46=BN$3,IF($C46="X",0,$O46),0)</f>
        <v>0</v>
      </c>
      <c r="BO46" s="136">
        <f>IF($K46=BO$3,IF($C46="X",0,$O46),0)</f>
        <v>0</v>
      </c>
      <c r="BP46" s="136">
        <f>IF($K46=BP$3,IF($C46="X",0,$O46),0)</f>
        <v>0</v>
      </c>
      <c r="BQ46" s="137">
        <f>IF($K46=BQ$3,IF($C46="X",0,$O46),0)</f>
        <v>0</v>
      </c>
      <c r="BR46" s="134">
        <f>IF($K46=BR$3,IF($C46="X",0,$O46),0)</f>
        <v>0</v>
      </c>
      <c r="BS46" s="170">
        <f>IF($B46="LOSS",IF(AND($K46=BS$3,$C46="L"),-$O46,0)+IF(AND($K47=BS$3,$C47="L"),-$O47,0)+IF(AND($K48=BS$3,$C48="L"),-$O48,0),IF(OR(AND($K46=BS$3,OR($C46="W",$C46="1/2W")),AND($K47=BS$3,OR($C47="W",$C47="1/2W")),AND($K48=BS$3,OR($C48="W",$C48="1/2W"))),$S46,0))</f>
        <v>51.34</v>
      </c>
      <c r="BT46" s="272">
        <f>IF($B46="LOSS",IF(AND($K46=BT$3,$C46="L"),-$O46,0)+IF(AND($K47=BT$3,$C47="L"),-$O47,0)+IF(AND($K47=BT$3,$C48="L"),-$O48,0),IF(OR(AND($K47=BT$3,OR($C46="W",$C46="1/2W")),AND($K47=BT$3,OR($C47="W",$C47="1/2W")),AND($K47=BT$3,OR($C48="W",$C48="1/2W"))),$S46,0))</f>
        <v>0</v>
      </c>
      <c r="BU46" s="136">
        <f>IF($B46="LOSS",IF(AND($K46=BU$3,$C46="L"),-$O46,0)+IF(AND($K47=BU$3,$C47="L"),-$O47,0)+IF(AND($K47=BU$3,$C48="L"),-$O48,0),IF(OR(AND($K47=BU$3,OR($C46="W",$C46="1/2W")),AND($K47=BU$3,OR($C47="W",$C47="1/2W")),AND($K47=BU$3,OR($C48="W",$C48="1/2W"))),$S46,0))</f>
        <v>51.34</v>
      </c>
      <c r="BV46" s="136">
        <f>IF($B46="LOSS",IF(AND($K46=BV$3,$C46="L"),-$O46,0)+IF(AND($K47=BV$3,$C47="L"),-$O47,0)+IF(AND($K48=BV$3,$C48="L"),-$O48,0),IF(OR(AND($K46=BV$3,OR($C46="W",$C46="1/2W")),AND($K47=BV$3,OR($C47="W",$C47="1/2W")),AND($K48=BV$3,OR($C48="W",$C48="1/2W"))),$S46,0))</f>
        <v>0</v>
      </c>
      <c r="BW46" s="136">
        <f>IF($B46="LOSS",IF(AND($K46=BW$3,$C46="L"),-$O46,0)+IF(AND($K47=BW$3,$C47="L"),-$O47,0)+IF(AND($K48=BW$3,$C48="L"),-$O48,0),IF(OR(AND($K46=BW$3,OR($C46="W",$C46="1/2W")),AND($K47=BW$3,OR($C47="W",$C47="1/2W")),AND($K48=BW$3,OR($C48="W",$C48="1/2W"))),$S46,0))</f>
        <v>0</v>
      </c>
      <c r="BX46" s="136">
        <f>IF($B46="LOSS",IF(AND($K46=BX$3,$C46="L"),-$O46,0)+IF(AND($K47=BX$3,$C47="L"),-$O47,0)+IF(AND($K48=BX$3,$C48="L"),-$O48,0),IF(OR(AND($K46=BX$3,OR($C46="W",$C46="1/2W")),AND($K47=BX$3,OR($C47="W",$C47="1/2W")),AND($K48=BX$3,OR($C48="W",$C48="1/2W"))),$S46,0))</f>
        <v>0</v>
      </c>
      <c r="BY46" s="136">
        <f>IF($B46="LOSS",IF(AND($K46=BY$3,$C46="L"),-$O46,0)+IF(AND($K47=BY$3,$C47="L"),-$O47,0)+IF(AND($K48=BY$3,$C48="L"),-$O48,0),IF(OR(AND($K46=BY$3,OR($C46="W",$C46="1/2W")),AND($K47=BY$3,OR($C47="W",$C47="1/2W")),AND($K48=BY$3,OR($C48="W",$C48="1/2W"))),$S46,0))</f>
        <v>0</v>
      </c>
      <c r="BZ46" s="136">
        <f>IF($B46="LOSS",IF(AND($K46=BZ$3,$C46="L"),-$O46,0)+IF(AND($K47=BZ$3,$C47="L"),-$O47,0)+IF(AND($K48=BZ$3,$C48="L"),-$O48,0),IF(OR(AND($K46=BZ$3,OR($C46="W",$C46="1/2W")),AND($K47=BZ$3,OR($C47="W",$C47="1/2W")),AND($K48=BZ$3,OR($C48="W",$C48="1/2W"))),$S46,0))</f>
        <v>0</v>
      </c>
      <c r="CA46" s="136">
        <f>IF($B46="LOSS",IF(AND($K46=CA$3,$C46="L"),-$O46,0)+IF(AND($K47=CA$3,$C47="L"),-$O47,0)+IF(AND($K48=CA$3,$C48="L"),-$O48,0),IF(OR(AND($K46=CA$3,OR($C46="W",$C46="1/2W")),AND($K47=CA$3,OR($C47="W",$C47="1/2W")),AND($K48=CA$3,OR($C48="W",$C48="1/2W"))),$S46,0))</f>
        <v>0</v>
      </c>
      <c r="CB46" s="136">
        <f>IF($B46="LOSS",IF(AND($K46=CB$3,$C46="L"),-$O46,0)+IF(AND($K47=CB$3,$C47="L"),-$O47,0)+IF(AND($K48=CB$3,$C48="L"),-$O48,0),IF(OR(AND($K46=CB$3,OR($C46="W",$C46="1/2W")),AND($K47=CB$3,OR($C47="W",$C47="1/2W")),AND($K48=CB$3,OR($C48="W",$C48="1/2W"))),$S46,0))</f>
        <v>0</v>
      </c>
      <c r="CC46" s="136">
        <f>IF($B46="LOSS",IF(AND($K46=CC$3,$C46="L"),-$O46,0)+IF(AND($K47=CC$3,$C47="L"),-$O47,0)+IF(AND($K48=CC$3,$C48="L"),-$O48,0),IF(OR(AND($K46=CC$3,OR($C46="W",$C46="1/2W")),AND($K47=CC$3,OR($C47="W",$C47="1/2W")),AND($K48=CC$3,OR($C48="W",$C48="1/2W"))),$S46,0))</f>
        <v>0</v>
      </c>
      <c r="CD46" s="137">
        <f>IF($B46="LOSS",IF(AND($K46=CD$3,$C46="L"),-$O46,0)+IF(AND($K47=CD$3,$C47="L"),-$O47,0)+IF(AND($K48=CD$3,$C48="L"),-$O48,0),IF(OR(AND($K46=CD$3,OR($C46="W",$C46="1/2W")),AND($K47=CD$3,OR($C47="W",$C47="1/2W")),AND($K48=CD$3,OR($C48="W",$C48="1/2W"))),$S46,0))</f>
        <v>0</v>
      </c>
      <c r="CE46" s="134">
        <f>IF($B46="LOSS",IF(AND($K46=CE$3,$C46="L"),-$O46,0)+IF(AND($K47=CE$3,$C47="L"),-$O47,0)+IF(AND($K48=CE$3,$C48="L"),-$O48,0),IF(OR(AND($K46=CE$3,OR($C46="W",$C46="1/2W")),AND($K47=CE$3,OR($C47="W",$C47="1/2W")),AND($K48=CE$3,OR($C48="W",$C48="1/2W"))),$S46,0))</f>
        <v>0</v>
      </c>
      <c r="CF46" s="273">
        <f>IF(CF$3=$K46,IF($C46="W",1,IF($C46="1/2W",0.5,0)),0)</f>
        <v>1</v>
      </c>
      <c r="CG46" s="274">
        <f>IF(CF$3=$K46,IF($C46="L",1,IF($C46="1/2L",0.5,0)),0)</f>
        <v>0</v>
      </c>
      <c r="CH46" s="274">
        <f>IF(CH$3=$K46,IF($C46="W",1,IF($C46="1/2W",0.5,0)),0)</f>
        <v>0</v>
      </c>
      <c r="CI46" s="274">
        <f>IF(CH$3=$K46,IF($C46="L",1,IF($C46="1/2L",0.5,0)),0)</f>
        <v>0</v>
      </c>
      <c r="CJ46" s="274">
        <f>IF(CJ$3=$K46,IF($C46="W",1,IF($C46="1/2W",0.5,0)),0)</f>
        <v>0</v>
      </c>
      <c r="CK46" s="274">
        <f>IF(CJ$3=$K46,IF($C46="L",1,IF($C46="1/2L",0.5,0)),0)</f>
        <v>0</v>
      </c>
      <c r="CL46" s="274">
        <f>IF(CL$3=$K46,IF($C46="W",1,IF($C46="1/2W",0.5,0)),0)</f>
        <v>0</v>
      </c>
      <c r="CM46" s="274">
        <f>IF(CL$3=$K46,IF($C46="L",1,IF($C46="1/2L",0.5,0)),0)</f>
        <v>0</v>
      </c>
      <c r="CN46" s="274">
        <f>IF(CN$3=$K46,IF($C46="W",1,IF($C46="1/2W",0.5,0)),0)</f>
        <v>0</v>
      </c>
      <c r="CO46" s="274">
        <f>IF(CN$3=$K46,IF($C46="L",1,IF($C46="1/2L",0.5,0)),0)</f>
        <v>0</v>
      </c>
      <c r="CP46" s="274">
        <f>IF(CP$3=$K46,IF($C46="W",1,IF($C46="1/2W",0.5,0)),0)</f>
        <v>0</v>
      </c>
      <c r="CQ46" s="274">
        <f>IF(CP$3=$K46,IF($C46="L",1,IF($C46="1/2L",0.5,0)),0)</f>
        <v>0</v>
      </c>
      <c r="CR46" s="274">
        <f>IF(CR$3=$K46,IF($C46="W",1,IF($C46="1/2W",0.5,0)),0)</f>
        <v>0</v>
      </c>
      <c r="CS46" s="274">
        <f>IF(CR$3=$K46,IF($C46="L",1,IF($C46="1/2L",0.5,0)),0)</f>
        <v>0</v>
      </c>
      <c r="CT46" s="145">
        <f>IF(CT$3=$K46,IF($C46="W",1,IF($C46="1/2W",0.5,0)),0)</f>
        <v>0</v>
      </c>
      <c r="CU46" s="146">
        <f>IF(CT$3=$K46,IF($C46="L",1,IF($C46="1/2L",0.5,0)),0)</f>
        <v>0</v>
      </c>
      <c r="CV46" s="146">
        <f>IF(CV$3=$K46,IF($C46="W",1,IF($C46="1/2W",0.5,0)),0)</f>
        <v>0</v>
      </c>
      <c r="CW46" s="146">
        <f>IF(CV$3=$K46,IF($C46="L",1,IF($C46="1/2L",0.5,0)),0)</f>
        <v>0</v>
      </c>
      <c r="CX46" s="146">
        <f>IF(CX$3=$K46,IF($C46="W",1,IF($C46="1/2W",0.5,0)),0)</f>
        <v>0</v>
      </c>
      <c r="CY46" s="146">
        <f>IF(CX$3=$K46,IF($C46="L",1,IF($C46="1/2L",0.5,0)),0)</f>
        <v>0</v>
      </c>
      <c r="CZ46" s="146">
        <f>IF(CZ$3=$K46,IF($C46="W",1,IF($C46="1/2W",0.5,0)),0)</f>
        <v>0</v>
      </c>
      <c r="DA46" s="146">
        <f>IF(CZ$3=$K46,IF($C46="L",1,IF($C46="1/2L",0.5,0)),0)</f>
        <v>0</v>
      </c>
      <c r="DB46" s="146">
        <f>IF(DB$3=$K46,IF($C46="W",1,IF($C46="1/2W",0.5,0)),0)</f>
        <v>0</v>
      </c>
      <c r="DC46" s="146">
        <f>IF(DB$3=$K46,IF($C46="L",1,IF($C46="1/2L",0.5,0)),0)</f>
        <v>0</v>
      </c>
      <c r="DD46" s="146">
        <f>IF(DD$3=$K46,IF($C46="W",1,IF($C46="1/2W",0.5,0)),0)</f>
        <v>0</v>
      </c>
      <c r="DE46" s="147">
        <f>IF(DD$3=$K46,IF($C46="L",1,IF($C46="1/2L",0.5,0)),0)</f>
        <v>0</v>
      </c>
      <c r="DF46" s="143">
        <f>IF(AND(L46&lt;DF$3,$C46="W"),1+DF45,DF45)</f>
        <v>2</v>
      </c>
      <c r="DG46" s="133">
        <f>IF(DF46&gt;DF45,L46+DG45,DG45)</f>
        <v>2.55</v>
      </c>
      <c r="DH46" s="146">
        <f>IF(AND(L46&gt;DH$3,$C46="W"),1+DH45,0+DH45)</f>
        <v>1</v>
      </c>
      <c r="DI46" s="133">
        <f>IF(DH46&gt;DH45,L46+DI45,DI45)</f>
        <v>4.33</v>
      </c>
      <c r="DJ46" s="146">
        <f>IF($D46="","",$D46)</f>
        <v>16</v>
      </c>
      <c r="DK46" s="146">
        <f>IF(AND($B46=" ",$D46&lt;&gt;""),1,0)</f>
        <v>0</v>
      </c>
    </row>
    <row r="47" ht="14.55" customHeight="1">
      <c r="A47" s="107"/>
      <c r="B47" s="108"/>
      <c r="C47" t="s" s="109">
        <v>56</v>
      </c>
      <c r="D47" s="110"/>
      <c r="E47" s="111"/>
      <c r="F47" s="113"/>
      <c r="G47" s="252"/>
      <c r="H47" s="114"/>
      <c r="I47" t="s" s="275">
        <v>75</v>
      </c>
      <c r="J47" t="s" s="295">
        <f>IF(OR(I46="TO",I46="TU",I46="TO1",I46="TU1",I46="TO2",I46="TU2"),J46,IF(OR(I46="AH1",I46="AH2"),IF(OR(I47="AH1",I47="AH2"),-J46,IF(OR(I47="EH1",I47="EH2"),-J46+0.5,"")),IF(OR(I46="EH1",I46="EH2"),IF(OR(I47="AH1",I47="AH2"),-J46+0.5,IF(OR(I47="EH1",I47="EH2"),-J46+1,"")),IF(AND(OR(I46="DNB1",I46="DNB2"),OR(I47="AH1",I47="AH2")),0,IF(AND(I46="Not ScoreBoth",OR(I47="TO1",I47="TO2")),0.5,"")))))</f>
      </c>
      <c r="K47" t="s" s="117">
        <v>39</v>
      </c>
      <c r="L47" s="277">
        <v>2.66</v>
      </c>
      <c r="M47" s="278"/>
      <c r="N47" s="120"/>
      <c r="O47" s="121">
        <f>IF(OR(AE46="",AE47=""),"",ROUND(IF(L48&gt;0,IF(M47&gt;0,M47,IF(M46&gt;0,IF(N46=TRUE,ROUND((M46*AE47)/AE46,0),(M46*AE47)/AE46),IF(M47&gt;0,ROUND(M47,IF(N46=0,2,IF(N46=0.1,1,0))),IF(M48&gt;0,ROUND(O48*AE47/AE48,IF(N46=0,2,IF(N46=0.1,1,0))),0)))),IF(M47&gt;0,M47,ROUND((M46*AE47)/AE46,IF(N46=0,2,IF(N46=0.1,1,0))))),2))</f>
        <v>29.08</v>
      </c>
      <c r="P47" s="122">
        <f>IF(OR(L47="",O47=""),"",IF($C47="1/2W",O47/2+O47/2*L47,IF($C47="1/2L",O47/2,IF(I47="Lay",((O47*(L47/(L47-1)))-O47)*(1-_xlfn.XLOOKUP(K47,'Janeiro 2023 - Valor Real'!A3:A15,'Janeiro 2023 - Valor Real'!C3:C15,0))+O47,(O47*L47-O47)*(1-_xlfn.XLOOKUP(K47,'Janeiro 2023 - Valor Real'!A3:A15,'Janeiro 2023 - Valor Real'!C3:C15,0))+O47))))</f>
        <v>45.4593975903614</v>
      </c>
      <c r="Q47" s="279">
        <f>IF(K47="","",IF(_xlfn.XLOOKUP(K47,K$4:K46,DJ$4:DJ46,0,,-1)=DJ47,_xlfn.XLOOKUP(K47,K$4:K46,Q$4:Q46,1,,-1)+1,1))</f>
        <v>2</v>
      </c>
      <c r="R47" s="280">
        <f>IF(K47="","",_xlfn.XLOOKUP(K47,K$4:K46,R$4:R46,0,,-1)+IF($C47=" ",1,0))</f>
        <v>0</v>
      </c>
      <c r="S47" s="125"/>
      <c r="T47" s="126"/>
      <c r="U47" s="126"/>
      <c r="V47" s="224"/>
      <c r="W47" s="126"/>
      <c r="X47" s="127"/>
      <c r="Y47" s="128"/>
      <c r="Z47" s="129"/>
      <c r="AA47" s="129"/>
      <c r="AB47" s="129"/>
      <c r="AC47" s="129"/>
      <c r="AD47" s="130"/>
      <c r="AE47" s="131">
        <f>IF(L47="","",IF(L48&gt;0,(SUM(((L46-1)*(1-_xlfn.XLOOKUP(K46,'Janeiro 2023 - Valor Real'!A3:A15,'Janeiro 2023 - Valor Real'!C3:C15,0))+1),((L47-1)*(1-_xlfn.XLOOKUP(K47,'Janeiro 2023 - Valor Real'!A3:A15,'Janeiro 2023 - Valor Real'!C3:C15,0))+1),((L48-1)*(1-_xlfn.XLOOKUP(K48,'Janeiro 2023 - Valor Real'!A3:A15,'Janeiro 2023 - Valor Real'!C3:C15,0))+1))/((L47-1)*(1-_xlfn.XLOOKUP(K47,'Janeiro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Real'!C3:C15,0))+1))/((L46-1)*(1-_xlfn.XLOOKUP(K46,'Janeiro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Real'!C3:C15,0))+1))/((L47-1)*(1-_xlfn.XLOOKUP(K47,'Janeiro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Real'!C3:C15,0))+1))/((L48-1)*(1-_xlfn.XLOOKUP(K48,'Janeiro 2023 - Valor Real'!A3:A15,'Janeiro 2023 - Valor Real'!C3:C15,0))+1)),IF(I47="Lay",IF(I46="Lay",((L46/(L46-1)-1)*(1-_xlfn.XLOOKUP(K46,'Janeiro 2023 - Valor Real'!A3:A15,'Janeiro 2023 - Valor Real'!C3:C15,0))+1)/(((L46/(L46-1)-1)*(1-_xlfn.XLOOKUP(K46,'Janeiro 2023 - Valor Real'!A3:A15,'Janeiro 2023 - Valor Real'!C3:C15,0))+1)+((L47/(L47-1)-1)*(1-_xlfn.XLOOKUP(K47,'Janeiro 2023 - Valor Real'!A3:A15,'Janeiro 2023 - Valor Real'!C3:C15,0))+1)),((L46-1)*(1-_xlfn.XLOOKUP(K46,'Janeiro 2023 - Valor Real'!A3:A15,'Janeiro 2023 - Valor Real'!C3:C15,0))+1)/(((L46-1)*(1-_xlfn.XLOOKUP(K46,'Janeiro 2023 - Valor Real'!A3:A15,'Janeiro 2023 - Valor Real'!C3:C15,0))+1)+((L47/(L47-1)-1)*(1-_xlfn.XLOOKUP(K47,'Janeiro 2023 - Valor Real'!A3:A15,'Janeiro 2023 - Valor Real'!C3:C15,0))+1))),IF(I46="Lay",((L46/(L46-1)-1)*(1-_xlfn.XLOOKUP(K46,'Janeiro 2023 - Valor Real'!A3:A15,'Janeiro 2023 - Valor Real'!C3:C15,0))+1)/((((L46/(L46-1)-1)*(1-_xlfn.XLOOKUP(K46,'Janeiro 2023 - Valor Real'!A3:A15,'Janeiro 2023 - Valor Real'!C3:C15,0))+1))+((L47-1)*(1-_xlfn.XLOOKUP(K47,'Janeiro 2023 - Valor Real'!A3:A15,'Janeiro 2023 - Valor Real'!C3:C15,0))+1)),((L46-1)*(1-_xlfn.XLOOKUP(K46,'Janeiro 2023 - Valor Real'!A3:A15,'Janeiro 2023 - Valor Real'!C3:C15,0))+1)/(((L46-1)*(1-_xlfn.XLOOKUP(K46,'Janeiro 2023 - Valor Real'!A3:A15,'Janeiro 2023 - Valor Real'!C3:C15,0))+1)+((L47-1)*(1-_xlfn.XLOOKUP(K47,'Janeiro 2023 - Valor Real'!A3:A15,'Janeiro 2023 - Valor Real'!C3:C15,0))+1))))))</f>
        <v>0.734738520668929</v>
      </c>
      <c r="AF47" s="132">
        <f>IF($K47=AF$3,ROUND(IF(OR($C47="W",$C47="1/2W",$C47="1/2L"),$P47-$O47,IF($C47="X",0,-$O47)),2),0)</f>
        <v>0</v>
      </c>
      <c r="AG47" s="133">
        <f>IF($K47=AG$3,ROUND(IF(OR($C47="W",$C47="1/2W",$C47="1/2L"),$P47-$O47,IF($C47="X",0,-$O47)),2),0)</f>
        <v>0</v>
      </c>
      <c r="AH47" s="133">
        <f>IF($K47=AH$3,ROUND(IF(OR($C47="W",$C47="1/2W",$C47="1/2L"),$P47-$O47,IF($C47="X",0,-$O47)),2),0)</f>
        <v>16.38</v>
      </c>
      <c r="AI47" s="133">
        <f>IF($K47=AI$3,ROUND(IF(OR($C47="W",$C47="1/2W",$C47="1/2L"),$P47-$O47,IF($C47="X",0,-$O47)),2),0)</f>
        <v>0</v>
      </c>
      <c r="AJ47" s="133">
        <f>IF($K47=AJ$3,ROUND(IF(OR($C47="W",$C47="1/2W",$C47="1/2L"),$P47-$O47,IF($C47="X",0,-$O47)),2),0)</f>
        <v>0</v>
      </c>
      <c r="AK47" s="133">
        <f>IF($K47=AK$3,ROUND(IF(OR($C47="W",$C47="1/2W",$C47="1/2L"),$P47-$O47,IF($C47="X",0,-$O47)),2),0)</f>
        <v>0</v>
      </c>
      <c r="AL47" s="133">
        <f>IF($K47=AL$3,ROUND(IF(OR($C47="W",$C47="1/2W",$C47="1/2L"),$P47-$O47,IF($C47="X",0,-$O47)),2),0)</f>
        <v>0</v>
      </c>
      <c r="AM47" s="133">
        <f>IF($K47=AM$3,ROUND(IF(OR($C47="W",$C47="1/2W",$C47="1/2L"),$P47-$O47,IF($C47="X",0,-$O47)),2),0)</f>
        <v>0</v>
      </c>
      <c r="AN47" s="133">
        <f>IF($K47=AN$3,ROUND(IF(OR($C47="W",$C47="1/2W",$C47="1/2L"),$P47-$O47,IF($C47="X",0,-$O47)),2),0)</f>
        <v>0</v>
      </c>
      <c r="AO47" s="133">
        <f>IF($K47=AO$3,ROUND(IF(OR($C47="W",$C47="1/2W",$C47="1/2L"),$P47-$O47,IF($C47="X",0,-$O47)),2),0)</f>
        <v>0</v>
      </c>
      <c r="AP47" s="133">
        <f>IF($K47=AP$3,ROUND(IF(OR($C47="W",$C47="1/2W",$C47="1/2L"),$P47-$O47,IF($C47="X",0,-$O47)),2),0)</f>
        <v>0</v>
      </c>
      <c r="AQ47" s="133">
        <f>IF($K47=AQ$3,ROUND(IF(OR($C47="W",$C47="1/2W",$C47="1/2L"),$P47-$O47,IF($C47="X",0,-$O47)),2),0)</f>
        <v>0</v>
      </c>
      <c r="AR47" s="134">
        <f>IF($K47=AR$3,ROUND(IF(OR($C47="W",$C47="1/2W",$C47="1/2L"),$P47-$O47,IF($C47="X",0,-$O47)),2),0)</f>
        <v>0</v>
      </c>
      <c r="AS47" s="132">
        <f>IF(AND($B46=" ",$K47=AS$3),$O47,0)</f>
        <v>0</v>
      </c>
      <c r="AT47" s="133">
        <f>IF(AND($B46=" ",K47=AT$3),$O47,0)</f>
        <v>0</v>
      </c>
      <c r="AU47" s="133">
        <f>IF(AND($B46=" ",$K47=AU$3),$O47,0)</f>
        <v>0</v>
      </c>
      <c r="AV47" s="133">
        <f>IF(AND($B46=" ",$K47=AV$3),$O47,0)</f>
        <v>0</v>
      </c>
      <c r="AW47" s="133">
        <f>IF(AND($B46=" ",$K47=AW$3),$O47,0)</f>
        <v>0</v>
      </c>
      <c r="AX47" s="133">
        <f>IF(AND($B46=" ",$K47=AX$3),$O47,0)</f>
        <v>0</v>
      </c>
      <c r="AY47" s="135">
        <f>IF(AND($B46=" ",$K47=AY$3),$O47,0)</f>
        <v>0</v>
      </c>
      <c r="AZ47" s="136">
        <f>IF(AND($B46=" ",$K47=AZ$3),$O47,0)</f>
        <v>0</v>
      </c>
      <c r="BA47" s="136">
        <f>IF(AND($B46=" ",$K47=BA$3),$O47,0)</f>
        <v>0</v>
      </c>
      <c r="BB47" s="136">
        <f>IF(AND($B46=" ",$K47=BB$3),$O47,0)</f>
        <v>0</v>
      </c>
      <c r="BC47" s="137">
        <f>IF(AND($B46=" ",$K47=BC$3),$O47,0)</f>
        <v>0</v>
      </c>
      <c r="BD47" s="133">
        <f>IF(AND($B46=" ",$K47=BD$3),$O47,0)</f>
        <v>0</v>
      </c>
      <c r="BE47" s="134">
        <f>IF(AND($B46=" ",$K47=BE$3),$O47,0)</f>
        <v>0</v>
      </c>
      <c r="BF47" s="132">
        <f>IF($K47=BF$3,IF($C47="X",0,$O47),0)</f>
        <v>0</v>
      </c>
      <c r="BG47" s="281">
        <f>IF($K47=BG$3,IF($C47="X",0,$O47),0)</f>
        <v>0</v>
      </c>
      <c r="BH47" s="133">
        <f>IF($K47=BH$3,IF($C47="X",0,$O47),0)</f>
        <v>29.08</v>
      </c>
      <c r="BI47" s="133">
        <f>IF($K47=BI$3,IF($C47="X",0,$O47),0)</f>
        <v>0</v>
      </c>
      <c r="BJ47" s="133">
        <f>IF($K47=BJ$3,IF($C47="X",0,$O47),0)</f>
        <v>0</v>
      </c>
      <c r="BK47" s="133">
        <f>IF($K47=BK$3,IF($C47="X",0,$O47),0)</f>
        <v>0</v>
      </c>
      <c r="BL47" s="133">
        <f>IF($K47=BL$3,IF($C47="X",0,$O47),0)</f>
        <v>0</v>
      </c>
      <c r="BM47" s="135">
        <f>IF($K47=BM$3,IF($C47="X",0,$O47),0)</f>
        <v>0</v>
      </c>
      <c r="BN47" s="136">
        <f>IF($K47=BN$3,IF($C47="X",0,$O47),0)</f>
        <v>0</v>
      </c>
      <c r="BO47" s="136">
        <f>IF($K47=BO$3,IF($C47="X",0,$O47),0)</f>
        <v>0</v>
      </c>
      <c r="BP47" s="136">
        <f>IF($K47=BP$3,IF($C47="X",0,$O47),0)</f>
        <v>0</v>
      </c>
      <c r="BQ47" s="137">
        <f>IF($K47=BQ$3,IF($C47="X",0,$O47),0)</f>
        <v>0</v>
      </c>
      <c r="BR47" s="134">
        <f>IF($K47=BR$3,IF($C47="X",0,$O47),0)</f>
        <v>0</v>
      </c>
      <c r="BS47" s="282"/>
      <c r="BT47" s="283"/>
      <c r="BU47" s="140"/>
      <c r="BV47" s="283"/>
      <c r="BW47" s="140"/>
      <c r="BX47" s="140"/>
      <c r="BY47" s="140"/>
      <c r="BZ47" s="283"/>
      <c r="CA47" s="140"/>
      <c r="CB47" s="140"/>
      <c r="CC47" s="140"/>
      <c r="CD47" s="141"/>
      <c r="CE47" s="142"/>
      <c r="CF47" s="284">
        <f>IF(CF$3=$K47,IF($C47="W",1,IF($C47="1/2W",0.5,0)),0)</f>
        <v>0</v>
      </c>
      <c r="CG47" s="285">
        <f>IF(CF$3=$K47,IF($C47="L",1,IF($C47="1/2L",0.5,0)),0)</f>
        <v>0</v>
      </c>
      <c r="CH47" s="285">
        <f>IF(CH$3=$K47,IF($C47="W",1,IF($C47="1/2W",0.5,0)),0)</f>
        <v>0</v>
      </c>
      <c r="CI47" s="285">
        <f>IF(CH$3=$K47,IF($C47="L",1,IF($C47="1/2L",0.5,0)),0)</f>
        <v>0</v>
      </c>
      <c r="CJ47" s="285">
        <f>IF(CJ$3=$K47,IF($C47="W",1,IF($C47="1/2W",0.5,0)),0)</f>
        <v>1</v>
      </c>
      <c r="CK47" s="285">
        <f>IF(CJ$3=$K47,IF($C47="L",1,IF($C47="1/2L",0.5,0)),0)</f>
        <v>0</v>
      </c>
      <c r="CL47" s="285">
        <f>IF(CL$3=$K47,IF($C47="W",1,IF($C47="1/2W",0.5,0)),0)</f>
        <v>0</v>
      </c>
      <c r="CM47" s="285">
        <f>IF(CL$3=$K47,IF($C47="L",1,IF($C47="1/2L",0.5,0)),0)</f>
        <v>0</v>
      </c>
      <c r="CN47" s="285">
        <f>IF(CN$3=$K47,IF($C47="W",1,IF($C47="1/2W",0.5,0)),0)</f>
        <v>0</v>
      </c>
      <c r="CO47" s="285">
        <f>IF(CN$3=$K47,IF($C47="L",1,IF($C47="1/2L",0.5,0)),0)</f>
        <v>0</v>
      </c>
      <c r="CP47" s="285">
        <f>IF(CP$3=$K47,IF($C47="W",1,IF($C47="1/2W",0.5,0)),0)</f>
        <v>0</v>
      </c>
      <c r="CQ47" s="285">
        <f>IF(CP$3=$K47,IF($C47="L",1,IF($C47="1/2L",0.5,0)),0)</f>
        <v>0</v>
      </c>
      <c r="CR47" s="285">
        <f>IF(CR$3=$K47,IF($C47="W",1,IF($C47="1/2W",0.5,0)),0)</f>
        <v>0</v>
      </c>
      <c r="CS47" s="285">
        <f>IF(CR$3=$K47,IF($C47="L",1,IF($C47="1/2L",0.5,0)),0)</f>
        <v>0</v>
      </c>
      <c r="CT47" s="145">
        <f>IF(CT$3=$K47,IF($C47="W",1,IF($C47="1/2W",0.5,0)),0)</f>
        <v>0</v>
      </c>
      <c r="CU47" s="146">
        <f>IF(CT$3=$K47,IF($C47="L",1,IF($C47="1/2L",0.5,0)),0)</f>
        <v>0</v>
      </c>
      <c r="CV47" s="146">
        <f>IF(CV$3=$K47,IF($C47="W",1,IF($C47="1/2W",0.5,0)),0)</f>
        <v>0</v>
      </c>
      <c r="CW47" s="146">
        <f>IF(CV$3=$K47,IF($C47="L",1,IF($C47="1/2L",0.5,0)),0)</f>
        <v>0</v>
      </c>
      <c r="CX47" s="146">
        <f>IF(CX$3=$K47,IF($C47="W",1,IF($C47="1/2W",0.5,0)),0)</f>
        <v>0</v>
      </c>
      <c r="CY47" s="146">
        <f>IF(CX$3=$K47,IF($C47="L",1,IF($C47="1/2L",0.5,0)),0)</f>
        <v>0</v>
      </c>
      <c r="CZ47" s="146">
        <f>IF(CZ$3=$K47,IF($C47="W",1,IF($C47="1/2W",0.5,0)),0)</f>
        <v>0</v>
      </c>
      <c r="DA47" s="146">
        <f>IF(CZ$3=$K47,IF($C47="L",1,IF($C47="1/2L",0.5,0)),0)</f>
        <v>0</v>
      </c>
      <c r="DB47" s="146">
        <f>IF(DB$3=$K47,IF($C47="W",1,IF($C47="1/2W",0.5,0)),0)</f>
        <v>0</v>
      </c>
      <c r="DC47" s="146">
        <f>IF(DB$3=$K47,IF($C47="L",1,IF($C47="1/2L",0.5,0)),0)</f>
        <v>0</v>
      </c>
      <c r="DD47" s="146">
        <f>IF(DD$3=$K47,IF($C47="W",1,IF($C47="1/2W",0.5,0)),0)</f>
        <v>0</v>
      </c>
      <c r="DE47" s="147">
        <f>IF(DD$3=$K47,IF($C47="L",1,IF($C47="1/2L",0.5,0)),0)</f>
        <v>0</v>
      </c>
      <c r="DF47" s="143">
        <f>IF(AND(L47&lt;DF$3,$C47="W"),1+DF46,DF46)</f>
        <v>2</v>
      </c>
      <c r="DG47" s="133">
        <f>IF(DF47&gt;DF46,L47+DG46,DG46)</f>
        <v>2.55</v>
      </c>
      <c r="DH47" s="146">
        <f>IF(AND(L47&gt;DH$3,$C47="W"),1+DH46,0+DH46)</f>
        <v>1</v>
      </c>
      <c r="DI47" s="133">
        <f>IF(DH47&gt;DH46,L47+DI46,DI46)</f>
        <v>4.33</v>
      </c>
      <c r="DJ47" s="146">
        <f>IF($D46="","",$D46)</f>
        <v>16</v>
      </c>
      <c r="DK47" s="286"/>
    </row>
    <row r="48" ht="14.55" customHeight="1">
      <c r="A48" s="149"/>
      <c r="B48" s="150"/>
      <c r="C48" t="s" s="151">
        <v>58</v>
      </c>
      <c r="D48" s="152"/>
      <c r="E48" s="153"/>
      <c r="F48" s="155"/>
      <c r="G48" s="252"/>
      <c r="H48" s="156"/>
      <c r="I48" s="287"/>
      <c r="J48" s="288"/>
      <c r="K48" s="156"/>
      <c r="L48" s="289"/>
      <c r="M48" s="290"/>
      <c r="N48" s="161"/>
      <c r="O48" t="s" s="162">
        <f>IF(OR(AE46="",AE47=""),"",IF(L48&gt;0,ROUND(IF(M48&gt;0,M48,IF(M46&gt;0,ROUND((M46*AE48)/AE46,IF(N46=0,2,IF(N46=0.1,1,0))),IF(M47&gt;0,ROUND((M47*AE48)/AE47,IF(N46=0,2,IF(N46=0.1,1,0))),IF(M48&gt;0,M48,0)))),2),""))</f>
      </c>
      <c r="P48" s="297">
        <f>IF(I47="Lay",O47*(L47/(L47-1))-O47,IF(I46="Lay",O46*(L46/(L46-1))-O46,IF(OR(L48="",O48=""),"",IF($C48="1/2W",O48/2+O48/2*L48,IF($C48="1/2L",O48/2,(O48*L48-O48)*(1-_xlfn.XLOOKUP(K48,'Janeiro 2023 - Valor Real'!A3:A15,'Janeiro 2023 - Valor Real'!C3:C15,0))+O48)))))</f>
        <v>17.5180722891566</v>
      </c>
      <c r="Q48" t="s" s="154">
        <f>IF(K48="","",IF(_xlfn.XLOOKUP(K48,K$4:K47,DJ$4:DJ47,0,,-1)=DJ48,_xlfn.XLOOKUP(K48,K$4:K47,Q$4:Q47,1,,-1)+1,1))</f>
      </c>
      <c r="R48" t="s" s="163">
        <f>IF(K48="","",_xlfn.XLOOKUP(K48,K$4:K47,R$4:R47,0,,-1)+IF($C48=" ",1,0))</f>
      </c>
      <c r="S48" s="166"/>
      <c r="T48" s="155"/>
      <c r="U48" s="155"/>
      <c r="V48" s="166"/>
      <c r="W48" s="155"/>
      <c r="X48" s="167"/>
      <c r="Y48" s="128"/>
      <c r="Z48" s="129"/>
      <c r="AA48" s="129"/>
      <c r="AB48" s="129"/>
      <c r="AC48" s="129"/>
      <c r="AD48" s="168"/>
      <c r="AE48" t="s" s="169">
        <f>IF(L48="","",(SUM(((L46-1)*(1-_xlfn.XLOOKUP(K46,'Janeiro 2023 - Valor Real'!A3:A15,'Janeiro 2023 - Valor Real'!C3:C15,0))+1),((L47-1)*(1-_xlfn.XLOOKUP(K47,'Janeiro 2023 - Valor Real'!A3:A15,'Janeiro 2023 - Valor Real'!C3:C15,0))+1),((L48-1)*(1-_xlfn.XLOOKUP(K48,'Janeiro 2023 - Valor Real'!A3:A15,'Janeiro 2023 - Valor Real'!C3:C15,0))+1))/((L48-1)*(1-_xlfn.XLOOKUP(K48,'Janeiro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Real'!C3:C15,0))+1))/((L46-1)*(1-_xlfn.XLOOKUP(K46,'Janeiro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Real'!C3:C15,0))+1))/((L47-1)*(1-_xlfn.XLOOKUP(K47,'Janeiro 2023 - Valor Real'!A3:A15,'Janeiro 2023 - Valor Real'!C3:C15,0))+1)+SUM(((L46-1)*(1-_xlfn.XLOOKUP(K46,'Janeiro 2023 - Valor Real'!A3:A15,'Janeiro 2023 - Valor Real'!C3:C15,0))+1),((L47-1)*(1-_xlfn.XLOOKUP(K47,'Janeiro 2023 - Valor Real'!A3:A15,'Janeiro 2023 - Valor Real'!C3:C15,0))+1),((L48-1)*(1-_xlfn.XLOOKUP(K48,'Janeiro 2023 - Valor Real'!A3:A15,'Janeiro 2023 - Valor Real'!C3:C15,0))+1))/((L48-1)*(1-_xlfn.XLOOKUP(K48,'Janeiro 2023 - Valor Real'!A3:A15,'Janeiro 2023 - Valor Real'!C3:C15,0))+1)))</f>
      </c>
      <c r="AF48" s="132">
        <f>IF($K48=AF$3,ROUND(IF(OR($C48="W",$C48="1/2W",$C48="1/2L"),$P48-$O48,IF($C48="X",0,-$O48)),2),0)</f>
        <v>0</v>
      </c>
      <c r="AG48" s="133">
        <f>IF($K48=AG$3,ROUND(IF(OR($C48="W",$C48="1/2W",$C48="1/2L"),$P48-$O48,IF($C48="X",0,-$O48)),2),0)</f>
        <v>0</v>
      </c>
      <c r="AH48" s="133">
        <f>IF($K48=AH$3,ROUND(IF(OR($C48="W",$C48="1/2W",$C48="1/2L"),$P48-$O48,IF($C48="X",0,-$O48)),2),0)</f>
        <v>0</v>
      </c>
      <c r="AI48" s="133">
        <f>IF($K48=AI$3,ROUND(IF(OR($C48="W",$C48="1/2W",$C48="1/2L"),$P48-$O48,IF($C48="X",0,-$O48)),2),0)</f>
        <v>0</v>
      </c>
      <c r="AJ48" s="133">
        <f>IF($K48=AJ$3,ROUND(IF(OR($C48="W",$C48="1/2W",$C48="1/2L"),$P48-$O48,IF($C48="X",0,-$O48)),2),0)</f>
        <v>0</v>
      </c>
      <c r="AK48" s="133">
        <f>IF($K48=AK$3,ROUND(IF(OR($C48="W",$C48="1/2W",$C48="1/2L"),$P48-$O48,IF($C48="X",0,-$O48)),2),0)</f>
        <v>0</v>
      </c>
      <c r="AL48" s="133">
        <f>IF($K48=AL$3,ROUND(IF(OR($C48="W",$C48="1/2W",$C48="1/2L"),$P48-$O48,IF($C48="X",0,-$O48)),2),0)</f>
        <v>0</v>
      </c>
      <c r="AM48" s="133">
        <f>IF($K48=AM$3,ROUND(IF(OR($C48="W",$C48="1/2W",$C48="1/2L"),$P48-$O48,IF($C48="X",0,-$O48)),2),0)</f>
        <v>0</v>
      </c>
      <c r="AN48" s="133">
        <f>IF($K48=AN$3,ROUND(IF(OR($C48="W",$C48="1/2W",$C48="1/2L"),$P48-$O48,IF($C48="X",0,-$O48)),2),0)</f>
        <v>0</v>
      </c>
      <c r="AO48" s="133">
        <f>IF($K48=AO$3,ROUND(IF(OR($C48="W",$C48="1/2W",$C48="1/2L"),$P48-$O48,IF($C48="X",0,-$O48)),2),0)</f>
        <v>0</v>
      </c>
      <c r="AP48" s="133">
        <f>IF($K48=AP$3,ROUND(IF(OR($C48="W",$C48="1/2W",$C48="1/2L"),$P48-$O48,IF($C48="X",0,-$O48)),2),0)</f>
        <v>0</v>
      </c>
      <c r="AQ48" s="133">
        <f>IF($K48=AQ$3,ROUND(IF(OR($C48="W",$C48="1/2W",$C48="1/2L"),$P48-$O48,IF($C48="X",0,-$O48)),2),0)</f>
        <v>0</v>
      </c>
      <c r="AR48" s="134">
        <f>IF($K48=AR$3,ROUND(IF(OR($C48="W",$C48="1/2W",$C48="1/2L"),$P48-$O48,IF($C48="X",0,-$O48)),2),0)</f>
        <v>0</v>
      </c>
      <c r="AS48" s="132">
        <f>IF(AND($B46=" ",$K48=AS$3),$O48,0)</f>
        <v>0</v>
      </c>
      <c r="AT48" s="133">
        <f>IF(AND($B46=" ",K48=AT$3),$O48,0)</f>
        <v>0</v>
      </c>
      <c r="AU48" s="133">
        <f>IF(AND($B46=" ",$K48=AU$3),$O48,0)</f>
        <v>0</v>
      </c>
      <c r="AV48" s="133">
        <f>IF(AND($B46=" ",$K48=AV$3),$O48,0)</f>
        <v>0</v>
      </c>
      <c r="AW48" s="133">
        <f>IF(AND($B46=" ",$K48=AW$3),$O48,0)</f>
        <v>0</v>
      </c>
      <c r="AX48" s="133">
        <f>IF(AND($B46=" ",$K48=AX$3),$O48,0)</f>
        <v>0</v>
      </c>
      <c r="AY48" s="135">
        <f>IF(AND($B46=" ",$K48=AY$3),$O48,0)</f>
        <v>0</v>
      </c>
      <c r="AZ48" s="136">
        <f>IF(AND($B46=" ",$K48=AZ$3),$O48,0)</f>
        <v>0</v>
      </c>
      <c r="BA48" s="136">
        <f>IF(AND($B46=" ",$K48=BA$3),$O48,0)</f>
        <v>0</v>
      </c>
      <c r="BB48" s="136">
        <f>IF(AND($B46=" ",$K48=BB$3),$O48,0)</f>
        <v>0</v>
      </c>
      <c r="BC48" s="137">
        <f>IF(AND($B46=" ",$K48=BC$3),$O48,0)</f>
        <v>0</v>
      </c>
      <c r="BD48" s="133">
        <f>IF(AND($B46=" ",$K48=BD$3),$O48,0)</f>
        <v>0</v>
      </c>
      <c r="BE48" s="134">
        <f>IF(AND($B46=" ",$K48=BE$3),$O48,0)</f>
        <v>0</v>
      </c>
      <c r="BF48" s="132">
        <f>IF($K48=BF$3,IF($C48="X",0,$O48),0)</f>
        <v>0</v>
      </c>
      <c r="BG48" s="281">
        <f>IF($K48=BG$3,IF($C48="X",0,$O48),0)</f>
        <v>0</v>
      </c>
      <c r="BH48" s="133">
        <f>IF($K48=BH$3,IF($C48="X",0,$O48),0)</f>
        <v>0</v>
      </c>
      <c r="BI48" s="133">
        <f>IF($K48=BI$3,IF($C48="X",0,$O48),0)</f>
        <v>0</v>
      </c>
      <c r="BJ48" s="133">
        <f>IF($K48=BJ$3,IF($C48="X",0,$O48),0)</f>
        <v>0</v>
      </c>
      <c r="BK48" s="133">
        <f>IF($K48=BK$3,IF($C48="X",0,$O48),0)</f>
        <v>0</v>
      </c>
      <c r="BL48" s="133">
        <f>IF($K48=BL$3,IF($C48="X",0,$O48),0)</f>
        <v>0</v>
      </c>
      <c r="BM48" s="135">
        <f>IF($K48=BM$3,IF($C48="X",0,$O48),0)</f>
        <v>0</v>
      </c>
      <c r="BN48" s="136">
        <f>IF($K48=BN$3,IF($C48="X",0,$O48),0)</f>
        <v>0</v>
      </c>
      <c r="BO48" s="136">
        <f>IF($K48=BO$3,IF($C48="X",0,$O48),0)</f>
        <v>0</v>
      </c>
      <c r="BP48" s="136">
        <f>IF($K48=BP$3,IF($C48="X",0,$O48),0)</f>
        <v>0</v>
      </c>
      <c r="BQ48" s="137">
        <f>IF($K48=BQ$3,IF($C48="X",0,$O48),0)</f>
        <v>0</v>
      </c>
      <c r="BR48" s="134">
        <f>IF($K48=BR$3,IF($C48="X",0,$O48),0)</f>
        <v>0</v>
      </c>
      <c r="BS48" s="282"/>
      <c r="BT48" s="283"/>
      <c r="BU48" s="140"/>
      <c r="BV48" s="283"/>
      <c r="BW48" s="140"/>
      <c r="BX48" s="140"/>
      <c r="BY48" s="140"/>
      <c r="BZ48" s="283"/>
      <c r="CA48" s="140"/>
      <c r="CB48" s="140"/>
      <c r="CC48" s="140"/>
      <c r="CD48" s="141"/>
      <c r="CE48" s="142"/>
      <c r="CF48" s="284">
        <f>IF(CF$3=$K48,IF($C48="W",1,IF($C48="1/2W",0.5,0)),0)</f>
        <v>0</v>
      </c>
      <c r="CG48" s="285">
        <f>IF(CF$3=$K48,IF($C48="L",1,IF($C48="1/2L",0.5,0)),0)</f>
        <v>0</v>
      </c>
      <c r="CH48" s="285">
        <f>IF(CH$3=$K48,IF($C48="W",1,IF($C48="1/2W",0.5,0)),0)</f>
        <v>0</v>
      </c>
      <c r="CI48" s="285">
        <f>IF(CH$3=$K48,IF($C48="L",1,IF($C48="1/2L",0.5,0)),0)</f>
        <v>0</v>
      </c>
      <c r="CJ48" s="285">
        <f>IF(CJ$3=$K48,IF($C48="W",1,IF($C48="1/2W",0.5,0)),0)</f>
        <v>0</v>
      </c>
      <c r="CK48" s="285">
        <f>IF(CJ$3=$K48,IF($C48="L",1,IF($C48="1/2L",0.5,0)),0)</f>
        <v>0</v>
      </c>
      <c r="CL48" s="285">
        <f>IF(CL$3=$K48,IF($C48="W",1,IF($C48="1/2W",0.5,0)),0)</f>
        <v>0</v>
      </c>
      <c r="CM48" s="285">
        <f>IF(CL$3=$K48,IF($C48="L",1,IF($C48="1/2L",0.5,0)),0)</f>
        <v>0</v>
      </c>
      <c r="CN48" s="285">
        <f>IF(CN$3=$K48,IF($C48="W",1,IF($C48="1/2W",0.5,0)),0)</f>
        <v>0</v>
      </c>
      <c r="CO48" s="285">
        <f>IF(CN$3=$K48,IF($C48="L",1,IF($C48="1/2L",0.5,0)),0)</f>
        <v>0</v>
      </c>
      <c r="CP48" s="285">
        <f>IF(CP$3=$K48,IF($C48="W",1,IF($C48="1/2W",0.5,0)),0)</f>
        <v>0</v>
      </c>
      <c r="CQ48" s="285">
        <f>IF(CP$3=$K48,IF($C48="L",1,IF($C48="1/2L",0.5,0)),0)</f>
        <v>0</v>
      </c>
      <c r="CR48" s="285">
        <f>IF(CR$3=$K48,IF($C48="W",1,IF($C48="1/2W",0.5,0)),0)</f>
        <v>0</v>
      </c>
      <c r="CS48" s="285">
        <f>IF(CR$3=$K48,IF($C48="L",1,IF($C48="1/2L",0.5,0)),0)</f>
        <v>0</v>
      </c>
      <c r="CT48" s="145">
        <f>IF(CT$3=$K48,IF($C48="W",1,IF($C48="1/2W",0.5,0)),0)</f>
        <v>0</v>
      </c>
      <c r="CU48" s="146">
        <f>IF(CT$3=$K48,IF($C48="L",1,IF($C48="1/2L",0.5,0)),0)</f>
        <v>0</v>
      </c>
      <c r="CV48" s="146">
        <f>IF(CV$3=$K48,IF($C48="W",1,IF($C48="1/2W",0.5,0)),0)</f>
        <v>0</v>
      </c>
      <c r="CW48" s="146">
        <f>IF(CV$3=$K48,IF($C48="L",1,IF($C48="1/2L",0.5,0)),0)</f>
        <v>0</v>
      </c>
      <c r="CX48" s="146">
        <f>IF(CX$3=$K48,IF($C48="W",1,IF($C48="1/2W",0.5,0)),0)</f>
        <v>0</v>
      </c>
      <c r="CY48" s="146">
        <f>IF(CX$3=$K48,IF($C48="L",1,IF($C48="1/2L",0.5,0)),0)</f>
        <v>0</v>
      </c>
      <c r="CZ48" s="146">
        <f>IF(CZ$3=$K48,IF($C48="W",1,IF($C48="1/2W",0.5,0)),0)</f>
        <v>0</v>
      </c>
      <c r="DA48" s="146">
        <f>IF(CZ$3=$K48,IF($C48="L",1,IF($C48="1/2L",0.5,0)),0)</f>
        <v>0</v>
      </c>
      <c r="DB48" s="146">
        <f>IF(DB$3=$K48,IF($C48="W",1,IF($C48="1/2W",0.5,0)),0)</f>
        <v>0</v>
      </c>
      <c r="DC48" s="146">
        <f>IF(DB$3=$K48,IF($C48="L",1,IF($C48="1/2L",0.5,0)),0)</f>
        <v>0</v>
      </c>
      <c r="DD48" s="146">
        <f>IF(DD$3=$K48,IF($C48="W",1,IF($C48="1/2W",0.5,0)),0)</f>
        <v>0</v>
      </c>
      <c r="DE48" s="147">
        <f>IF(DD$3=$K48,IF($C48="L",1,IF($C48="1/2L",0.5,0)),0)</f>
        <v>0</v>
      </c>
      <c r="DF48" s="143">
        <f>IF(AND(L48&lt;DF$3,$C48="W"),1+DF47,DF47)</f>
        <v>2</v>
      </c>
      <c r="DG48" s="133">
        <f>IF(DF48&gt;DF47,L48+DG47,DG47)</f>
        <v>2.55</v>
      </c>
      <c r="DH48" s="146">
        <f>IF(AND(L48&gt;DH$3,$C48="W"),1+DH47,0+DH47)</f>
        <v>1</v>
      </c>
      <c r="DI48" s="133">
        <f>IF(DH48&gt;DH47,L48+DI47,DI47)</f>
        <v>4.33</v>
      </c>
      <c r="DJ48" s="146">
        <f>IF($D46="","",$D46)</f>
        <v>16</v>
      </c>
      <c r="DK48" s="286"/>
    </row>
    <row r="49" ht="14.55" customHeight="1">
      <c r="A49" s="171">
        <f>$A46+1</f>
        <v>16</v>
      </c>
      <c r="B49" t="s" s="172">
        <f>IF(AND(_xlfn.XLOOKUP(H49,H$4:H48,G$4:G48,0)=G49,_xlfn.XLOOKUP("TempoBet",K49:K51,L49:L51,0)&gt;0),"X",IF(OR(C49="W",C50="W",C51="W",C49="1/2W",C50="1/2W",C51="1/2W",C49="1/2L",C50="1/2L",C51="1/2L"),"OK",IF(OR(C49="L",C50="L",C51="L"),"LOSS",IF(OR(C49="X",C50="X",C51="X"),"Anulado"," "))))</f>
        <v>50</v>
      </c>
      <c r="C49" t="s" s="173">
        <v>56</v>
      </c>
      <c r="D49" s="174">
        <f>IF(G49="","",$D46)</f>
        <v>16</v>
      </c>
      <c r="E49" t="s" s="175">
        <f>IF(G49=""," ","– "&amp;COUNTIF(D$4:D51,$D49))</f>
        <v>96</v>
      </c>
      <c r="F49" t="s" s="176">
        <f>IF(G49="","",IF(OR(AND($C49&lt;&gt;" ",$C50=" "),AND($C50&lt;&gt;" ",$C49=" "),AND(L51&gt;0,OR(AND($C51&lt;&gt;" ",OR($C49=" ",$C50=" ")),AND($C51=" ",OR($C49&lt;&gt;" ",$C50&lt;&gt;" "))))),IF(SUM(F$4:F48)=0,1,LARGE(F$4:F48,1)+1),IF(MONTH(G49)=MONTH(TODAY()),IF(AND(DAY(G49)&lt;DAY(TODAY()),$B49=" "),IF(SUM(F$4:F48)=0,1,LARGE(F$4:F48,1)+1),IF($B49=" ",IF(AND(DAY(G49)=DAY(TODAY()),HOUR(G49)&lt;=HOUR(NOW())+1),IF(AND(HOUR(G49)+2&lt;=HOUR(NOW()),DAY(G49)&lt;=DAY(TODAY()),MINUTE(G49)&lt;=MINUTE(NOW())),IF(SUM(F$4:F48)=0,1,LARGE(F$4:F48,1)+1),IF(OR(MINUTE(G49)&lt;=MINUTE(NOW()),HOUR(G49)&lt;=HOUR(NOW())),"!!!","")),""),"")),"")))</f>
      </c>
      <c r="G49" s="177">
        <v>44944.875</v>
      </c>
      <c r="H49" t="s" s="178">
        <v>97</v>
      </c>
      <c r="I49" t="s" s="179">
        <v>60</v>
      </c>
      <c r="J49" s="180"/>
      <c r="K49" t="s" s="181">
        <v>44</v>
      </c>
      <c r="L49" s="182">
        <v>1.444</v>
      </c>
      <c r="M49" s="183"/>
      <c r="N49" s="184">
        <v>0</v>
      </c>
      <c r="O49" s="185">
        <f>IF(OR(AE49="",AE50=""),"",ROUND(IF(L51&gt;0,IF(M49&gt;0,M49,IF(M50&gt;0,ROUND((M50*AE49)/AE50,IF(N49=0,2,IF(N49=0.1,1,0))),ROUND((M51*AE49)/AE51,IF(N49=0,2,IF(N49=0.1,1,0))))),IF(M49&gt;0,M49,ROUND((M50*AE49)/AE50,IF(N49=0,2,IF(N49=0.1,1,0))))),2))</f>
        <v>25.25</v>
      </c>
      <c r="P49" s="186">
        <f>IF(OR(L49="",O49=""),"",IF($C49="1/2W",O49/2+O49/2*L49,IF($C49="1/2L",O49/2,IF(I49="Lay",(O49*(L49/(L49-1))-O49)*(1-_xlfn.XLOOKUP(K49,'Janeiro 2023 - Valor Real'!A3:A15,'Janeiro 2023 - Valor Real'!C3:C15,0))+O49,(O49*L49-O49)*(1-_xlfn.XLOOKUP(K49,'Janeiro 2023 - Valor Real'!A3:A15,'Janeiro 2023 - Valor Real'!C3:C15,0))+O49))))</f>
        <v>36.461</v>
      </c>
      <c r="Q49" s="187">
        <f>IF(K49="","",IF(_xlfn.XLOOKUP(K49,K$4:K48,DJ$4:DJ48,0,,-1)=DJ49,_xlfn.XLOOKUP(K49,K$4:K48,Q$4:Q48,1,,-1)+1,1))</f>
        <v>2</v>
      </c>
      <c r="R49" s="188">
        <f>IF(K49="","",_xlfn.XLOOKUP(K49,K$4:K48,R$4:R48,0,,-1)+IF($C49=" ",1,0))</f>
        <v>0</v>
      </c>
      <c r="S49" s="189">
        <f>IF($B49="Anulado",0,ROUND(IF(OR($B49="LOSS",$B49="OK"),IF(OR($C49="W",$C49="1/2W",$C49="1/2L"),P49-O49,IF($C49="L",-O49,0))+IF(OR($C50="W",$C50="1/2W",$C50="1/2L"),P50-O50,IF($C50="L",-O50,0))+IF(OR($C51="W",$C51="1/2W",$C51="1/2L"),P51-O51,IF($C51="L",-O51,0)),IF(AND(OR($C49="W",$C49="1/2W",$C49="1/2L"),C50="W"),P49+P50-SUM(O49:O51)+_xlfn.XLOOKUP("X",C49:C51,O49:O51,0),IF(AND(C49=TRUE,C51="W"),P49+P51-SUM(O49:O51),IF(AND(C50="W",C51="W"),P50+P51-SUM(O49:O51)+_xlfn.XLOOKUP("X",C49:C51,O49:O51,0),IF(L51&gt;0,IF(OR($C49="W",$C49="1/2W",$C49="1/2L"),P49-SUM(O49:O51)+_xlfn.XLOOKUP("X",C49:C51,O49:O51,0),IF(OR($C49="W",$C49="1/2W",$C49="1/2L"),P50-SUM(O49:O51)+_xlfn.XLOOKUP("X",C49:C51,O49:O51,0),IF(OR($C49="W",$C49="1/2W",$C49="1/2L"),P51-SUM(O49:O51)+_xlfn.XLOOKUP("X",C49:C51,O49:O51,0),IF(SUM(P49:P51)/3-SUM(O49:O51)+_xlfn.XLOOKUP("X",C49:C51,O49:O51,0)&gt;0,SUM(P49:P51)/3-SUM(O49:O51)+_xlfn.XLOOKUP("X",C49:C51,O49:O51,0),LARGE(P49:P51,1)-SUM(O49:O51))))),IF(OR($C49="W",$C49="1/2W",$C49="1/2L"),P49-SUM(O49:O50)+_xlfn.XLOOKUP("X",C49:C51,O49:O51,0),IF(OR($C49="W",$C49="1/2W",$C49="1/2L"),P50-SUM(O49:O50)+_xlfn.XLOOKUP("X",C49:C51,O49:O51,0),SUM(P49:P50)/2-SUM(O49:O50)+_xlfn.XLOOKUP("X",C49:C51,O49:O51,0)))))))),2))</f>
        <v>1.74</v>
      </c>
      <c r="T49" s="190">
        <f>IF(S49=0,0,S49/SUM(O49:O51))</f>
        <v>0.0501152073732719</v>
      </c>
      <c r="U49" s="191">
        <f>IF($D49=$D46,IF(OR($B49="LOSS",$B49="OK",$B49="Anulada"),S49,0)+U46,IF(OR($B49="LOSS",$B49="OK",$B49="Anulada"),S49,0))</f>
        <v>78.09999999999999</v>
      </c>
      <c r="V49" s="191">
        <f>IF($D49="",0,IF($D49=$D46,IF($B49=" ",IF(I51="",IF(OR(AND(I49="DNB1",I50="DNB2"),AND(OR(I49="DNB1",I49="DNB2"),J50=0),AND(OR(I50="DNB1",I50="DNB2"),J49=0),AND(I49="DNB2",I50="DNB1"),AND(IF(J49=0,(J49+1)/ROUND(J49+1,0),J49/ROUND(J49,0))=1,IF(J50=0,(J50+1)/ROUND(IF(J50="",0,J50)+1,0),IF(J50="",0,J50)/ROUND(IF(J50="",1,J50),0))=1,OR(J49&lt;&gt;""),J50&lt;&gt;"")),0,IF(S49&lt;0,IF(I51="",SMALL(P49:P50,1)-SUM(O49:O50),0),SMALL(P49:P50,1)-SUM(O49:O50))),IF(S49&lt;0,IF(I51="",SMALL(P49:P51,1)-SUM(O49:O51),0),LARGE(P49:P51,1)-SUM(O49:O51))),S49)+V46,IF(I51="",IF(OR(AND(I49="DNB1",I50="DNB2"),AND(OR(I49="DNB1",I49="DNB2"),J50=0),AND(OR(I50="DNB1",I50="DNB2"),J49=0),AND(I49="DNB2",I50="DNB1"),AND(IF(J49=0,(J49+1)/ROUND(J49+1,0),J49/ROUND(J49,0))=1,IF(J50=0,(IF(J50="",0,J50)+1)/ROUND(IF(J50="",0,J50)+1,0),IF(J50="",0,J50)/ROUND(IF(J50="",0,J50)+1,0))=1,OR(J49&lt;&gt;""),J50&lt;&gt;"")),0,IF(S49&lt;0,IF(I51="",SMALL(P49:P50,1)-SUM(O49:O50),0),SMALL(P49:P51,1)-SUM(O49:O51))),IF(S49&lt;0,IF(I51="",SMALL(P49:P51,1)-SUM(O49:O51),0),LARGE(P49:P51,1)-SUM(O49:O51)))))</f>
        <v>78.09999999999999</v>
      </c>
      <c r="W49" s="191">
        <f>IF($D49=$D46,IF(S49&lt;0,IF(I51="",S49,0),S49)+W46,S49)</f>
        <v>78.09999999999999</v>
      </c>
      <c r="X49" t="s" s="192">
        <f>IF(OR(SUM(R49:R51)=0,V49=W49),ROUND(IF(W49=0,0,W49/Y49)*100,2)&amp;"%",ROUND(IF(V49=0,0,V49/Y49)*100,2)&amp;"% a "&amp;ROUND(IF(W49=0,0,W49/Y49)*100,2)&amp;"%")</f>
        <v>98</v>
      </c>
      <c r="Y49" s="193">
        <f>IF($D49=$D46,Y46+SUM(O49:O51),SUM(O49:O51))</f>
        <v>441.36</v>
      </c>
      <c r="Z49" s="191">
        <f>IF($B49=" ",SUM(O49:O51),0)+Z46</f>
        <v>0</v>
      </c>
      <c r="AA49" s="191">
        <f>IF(G49="","",IF($B49="Anulado",LARGE(P49:P51,1)-SUM(O49:O51)+AA46,AA46))</f>
        <v>0</v>
      </c>
      <c r="AB49" s="191">
        <f>IF($D49="","",AB46+S49)</f>
        <v>78.09999999999999</v>
      </c>
      <c r="AC49" s="194">
        <f>IF($D49="","",IF($B49=" ",IF(DAY(G49)=DAY(TODAY()),1+AC46,0+AC46),0+AC46))</f>
        <v>0</v>
      </c>
      <c r="AD49" s="195">
        <f>(((L50/(L50-1)-1)*(1-_xlfn.XLOOKUP(K50,'Janeiro 2023 - Valor Real'!A3:A15,'Janeiro 2023 - Valor Real'!C3:C15,0))+1))/(((L49-1)*(1-_xlfn.XLOOKUP(K49,'Janeiro 2023 - Valor Real'!A3:A15,'Janeiro 2023 - Valor Real'!C3:C15,0))+1)+((L50/(L50-1)-1)*(1-_xlfn.XLOOKUP(K50,'Janeiro 2023 - Valor Real'!A3:A15,'Janeiro 2023 - Valor Real'!C3:C15,0))+1))</f>
        <v>0.483340447435157</v>
      </c>
      <c r="AE49" s="196">
        <f>IF(L49="","",IF(L51&gt;0,(SUM(((L49-1)*(1-_xlfn.XLOOKUP(K49,'Janeiro 2023 - Valor Real'!A3:A15,'Janeiro 2023 - Valor Real'!C3:C15,0))+1),((L50-1)*(1-_xlfn.XLOOKUP(K50,'Janeiro 2023 - Valor Real'!A3:A15,'Janeiro 2023 - Valor Real'!C3:C15,0))+1),((L51-1)*(1-_xlfn.XLOOKUP(K51,'Janeiro 2023 - Valor Real'!A3:A15,'Janeiro 2023 - Valor Real'!C3:C15,0))+1))/((L49-1)*(1-_xlfn.XLOOKUP(K49,'Janeiro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Real'!C3:C15,0))+1))/((L49-1)*(1-_xlfn.XLOOKUP(K49,'Janeiro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Real'!C3:C15,0))+1))/((L50-1)*(1-_xlfn.XLOOKUP(K50,'Janeiro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Real'!C3:C15,0))+1))/((L51-1)*(1-_xlfn.XLOOKUP(K51,'Janeiro 2023 - Valor Real'!A3:A15,'Janeiro 2023 - Valor Real'!C3:C15,0))+1)),IF(I49="Lay",IF(I50="Lay",((L50/(L50-1)-1)*(1-_xlfn.XLOOKUP(K50,'Janeiro 2023 - Valor Real'!A3:A15,'Janeiro 2023 - Valor Real'!C3:C15,0))+1)/(((L50/(L50-1)-1)*(1-_xlfn.XLOOKUP(K50,'Janeiro 2023 - Valor Real'!A3:A15,'Janeiro 2023 - Valor Real'!C3:C15,0))+1)+((L49/(L49-1)-1)*(1-_xlfn.XLOOKUP(K49,'Janeiro 2023 - Valor Real'!A3:A15,'Janeiro 2023 - Valor Real'!C3:C15,0))+1)),((L50-1)*(1-_xlfn.XLOOKUP(K50,'Janeiro 2023 - Valor Real'!A3:A15,'Janeiro 2023 - Valor Real'!C3:C15,0))+1)/(((L50-1)*(1-_xlfn.XLOOKUP(K50,'Janeiro 2023 - Valor Real'!A3:A15,'Janeiro 2023 - Valor Real'!C3:C15,0))+1)+((L49/(L49-1)-1)*(1-_xlfn.XLOOKUP(K49,'Janeiro 2023 - Valor Real'!A3:A15,'Janeiro 2023 - Valor Real'!C3:C15,0))+1))),IF(I50="Lay",(((L50/(L50-1)-1)*(1-_xlfn.XLOOKUP(K50,'Janeiro 2023 - Valor Real'!A3:A15,'Janeiro 2023 - Valor Real'!C3:C15,0))+1))/(((L49-1)*(1-_xlfn.XLOOKUP(K49,'Janeiro 2023 - Valor Real'!A3:A15,'Janeiro 2023 - Valor Real'!C3:C15,0))+1)+((L50/(L50-1)-1)*(1-_xlfn.XLOOKUP(K50,'Janeiro 2023 - Valor Real'!A3:A15,'Janeiro 2023 - Valor Real'!C3:C15,0))+1)),((L50-1)*(1-_xlfn.XLOOKUP(K50,'Janeiro 2023 - Valor Real'!A3:A15,'Janeiro 2023 - Valor Real'!C3:C15,0))+1)/(((L50-1)*(1-_xlfn.XLOOKUP(K50,'Janeiro 2023 - Valor Real'!A3:A15,'Janeiro 2023 - Valor Real'!C3:C15,0))+1)+((L49-1)*(1-_xlfn.XLOOKUP(K49,'Janeiro 2023 - Valor Real'!A3:A15,'Janeiro 2023 - Valor Real'!C3:C15,0))+1))))))</f>
        <v>0.727238383075179</v>
      </c>
      <c r="AF49" s="197">
        <f>IF($K49=AF$3,ROUND(IF(OR($C49="W",$C49="1/2W",$C49="1/2L"),$P49-$O49,IF($C49="X",0,-$O49)),2),0)</f>
        <v>0</v>
      </c>
      <c r="AG49" s="198">
        <f>IF($K49=AG$3,ROUND(IF(OR($C49="W",$C49="1/2W",$C49="1/2L"),$P49-$O49,IF($C49="X",0,-$O49)),2),0)</f>
        <v>0</v>
      </c>
      <c r="AH49" s="198">
        <f>IF($K49=AH$3,ROUND(IF(OR($C49="W",$C49="1/2W",$C49="1/2L"),$P49-$O49,IF($C49="X",0,-$O49)),2),0)</f>
        <v>0</v>
      </c>
      <c r="AI49" s="198">
        <f>IF($K49=AI$3,ROUND(IF(OR($C49="W",$C49="1/2W",$C49="1/2L"),$P49-$O49,IF($C49="X",0,-$O49)),2),0)</f>
        <v>0</v>
      </c>
      <c r="AJ49" s="198">
        <f>IF($K49=AJ$3,ROUND(IF(OR($C49="W",$C49="1/2W",$C49="1/2L"),$P49-$O49,IF($C49="X",0,-$O49)),2),0)</f>
        <v>0</v>
      </c>
      <c r="AK49" s="198">
        <f>IF($K49=AK$3,ROUND(IF(OR($C49="W",$C49="1/2W",$C49="1/2L"),$P49-$O49,IF($C49="X",0,-$O49)),2),0)</f>
        <v>0</v>
      </c>
      <c r="AL49" s="198">
        <f>IF($K49=AL$3,ROUND(IF(OR($C49="W",$C49="1/2W",$C49="1/2L"),$P49-$O49,IF($C49="X",0,-$O49)),2),0)</f>
        <v>0</v>
      </c>
      <c r="AM49" s="198">
        <f>IF($K49=AM$3,ROUND(IF(OR($C49="W",$C49="1/2W",$C49="1/2L"),$P49-$O49,IF($C49="X",0,-$O49)),2),0)</f>
        <v>11.21</v>
      </c>
      <c r="AN49" s="198">
        <f>IF($K49=AN$3,ROUND(IF(OR($C49="W",$C49="1/2W",$C49="1/2L"),$P49-$O49,IF($C49="X",0,-$O49)),2),0)</f>
        <v>0</v>
      </c>
      <c r="AO49" s="198">
        <f>IF($K49=AO$3,ROUND(IF(OR($C49="W",$C49="1/2W",$C49="1/2L"),$P49-$O49,IF($C49="X",0,-$O49)),2),0)</f>
        <v>0</v>
      </c>
      <c r="AP49" s="198">
        <f>IF($K49=AP$3,ROUND(IF(OR($C49="W",$C49="1/2W",$C49="1/2L"),$P49-$O49,IF($C49="X",0,-$O49)),2),0)</f>
        <v>0</v>
      </c>
      <c r="AQ49" s="198">
        <f>IF($K49=AQ$3,ROUND(IF(OR($C49="W",$C49="1/2W",$C49="1/2L"),$P49-$O49,IF($C49="X",0,-$O49)),2),0)</f>
        <v>0</v>
      </c>
      <c r="AR49" s="199">
        <f>IF($K49=AR$3,ROUND(IF(OR($C49="W",$C49="1/2W",$C49="1/2L"),$P49-$O49,IF($C49="X",0,-$O49)),2),0)</f>
        <v>0</v>
      </c>
      <c r="AS49" s="197">
        <f>IF(AND($B49=" ",$K49=AS$3),$O49,0)</f>
        <v>0</v>
      </c>
      <c r="AT49" s="198">
        <f>IF(AND($B49=" ",$K49=AT$3),$O49,0)</f>
        <v>0</v>
      </c>
      <c r="AU49" s="198">
        <f>IF(AND($B49=" ",$K49=AU$3),$O49,0)</f>
        <v>0</v>
      </c>
      <c r="AV49" s="198">
        <f>IF(AND($B49=" ",$K49=AV$3),$O49,0)</f>
        <v>0</v>
      </c>
      <c r="AW49" s="198">
        <f>IF(AND($B49=" ",$K49=AW$3),$O49,0)</f>
        <v>0</v>
      </c>
      <c r="AX49" s="198">
        <f>IF(AND($B49=" ",$K49=AX$3),$O49,0)</f>
        <v>0</v>
      </c>
      <c r="AY49" s="200">
        <f>IF(AND($B49=" ",$K49=AY$3),$O49,0)</f>
        <v>0</v>
      </c>
      <c r="AZ49" s="201">
        <f>IF(AND($B49=" ",$K49=AZ$3),$O49,0)</f>
        <v>0</v>
      </c>
      <c r="BA49" s="201">
        <f>IF(AND($B49=" ",$K49=BA$3),$O49,0)</f>
        <v>0</v>
      </c>
      <c r="BB49" s="201">
        <f>IF(AND($B49=" ",$K49=BB$3),$O49,0)</f>
        <v>0</v>
      </c>
      <c r="BC49" s="202">
        <f>IF(AND($B49=" ",$K49=BC$3),$O49,0)</f>
        <v>0</v>
      </c>
      <c r="BD49" s="198">
        <f>IF(AND($B49=" ",$K49=BD$3),$O49,0)</f>
        <v>0</v>
      </c>
      <c r="BE49" s="199">
        <f>IF(AND($B49=" ",$K49=BE$3),$O49,0)</f>
        <v>0</v>
      </c>
      <c r="BF49" s="203">
        <f>IF($K49=BF$3,IF($C49="X",0,$O49),0)</f>
        <v>0</v>
      </c>
      <c r="BG49" s="198">
        <f>IF($K49=BG$3,IF($C49="X",0,$O49),0)</f>
        <v>0</v>
      </c>
      <c r="BH49" s="198">
        <f>IF($K49=BH$3,IF($C49="X",0,$O49),0)</f>
        <v>0</v>
      </c>
      <c r="BI49" s="198">
        <f>IF($K49=BI$3,IF($C49="X",0,$O49),0)</f>
        <v>0</v>
      </c>
      <c r="BJ49" s="198">
        <f>IF($K49=BJ$3,IF($C49="X",0,$O49),0)</f>
        <v>0</v>
      </c>
      <c r="BK49" s="198">
        <f>IF($K49=BK$3,IF($C49="X",0,$O49),0)</f>
        <v>0</v>
      </c>
      <c r="BL49" s="198">
        <f>IF($K49=BL$3,IF($C49="X",0,$O49),0)</f>
        <v>0</v>
      </c>
      <c r="BM49" s="200">
        <f>IF($K49=BM$3,IF($C49="X",0,$O49),0)</f>
        <v>25.25</v>
      </c>
      <c r="BN49" s="201">
        <f>IF($K49=BN$3,IF($C49="X",0,$O49),0)</f>
        <v>0</v>
      </c>
      <c r="BO49" s="201">
        <f>IF($K49=BO$3,IF($C49="X",0,$O49),0)</f>
        <v>0</v>
      </c>
      <c r="BP49" s="201">
        <f>IF($K49=BP$3,IF($C49="X",0,$O49),0)</f>
        <v>0</v>
      </c>
      <c r="BQ49" s="202">
        <f>IF($K49=BQ$3,IF($C49="X",0,$O49),0)</f>
        <v>0</v>
      </c>
      <c r="BR49" s="199">
        <f>IF($K49=BR$3,IF($C49="X",0,$O49),0)</f>
        <v>0</v>
      </c>
      <c r="BS49" s="204">
        <f>IF($B49="LOSS",IF(AND($K49=BS$3,$C49="L"),-$O49,0)+IF(AND($K50=BS$3,$C50="L"),-$O50,0)+IF(AND($K51=BS$3,$C51="L"),-$O51,0),IF(OR(AND($K49=BS$3,OR($C49="W",$C49="1/2W")),AND($K50=BS$3,OR($C50="W",$C50="1/2W")),AND($K51=BS$3,OR($C51="W",$C51="1/2W"))),$S49,0))</f>
        <v>0</v>
      </c>
      <c r="BT49" s="201">
        <f>IF($B49="LOSS",IF(AND($K49=BT$3,$C49="L"),-$O49,0)+IF(AND($K50=BT$3,$C50="L"),-$O50,0)+IF(AND($K50=BT$3,$C51="L"),-$O51,0),IF(OR(AND($K50=BT$3,OR($C49="W",$C49="1/2W")),AND($K50=BT$3,OR($C50="W",$C50="1/2W")),AND($K50=BT$3,OR($C51="W",$C51="1/2W"))),$S49,0))</f>
        <v>0</v>
      </c>
      <c r="BU49" s="201">
        <f>IF($B49="LOSS",IF(AND($K49=BU$3,$C49="L"),-$O49,0)+IF(AND($K50=BU$3,$C50="L"),-$O50,0)+IF(AND($K50=BU$3,$C51="L"),-$O51,0),IF(OR(AND($K50=BU$3,OR($C49="W",$C49="1/2W")),AND($K50=BU$3,OR($C50="W",$C50="1/2W")),AND($K50=BU$3,OR($C51="W",$C51="1/2W"))),$S49,0))</f>
        <v>0</v>
      </c>
      <c r="BV49" s="201">
        <f>IF($B49="LOSS",IF(AND($K49=BV$3,$C49="L"),-$O49,0)+IF(AND($K50=BV$3,$C50="L"),-$O50,0)+IF(AND($K51=BV$3,$C51="L"),-$O51,0),IF(OR(AND($K49=BV$3,OR($C49="W",$C49="1/2W")),AND($K50=BV$3,OR($C50="W",$C50="1/2W")),AND($K51=BV$3,OR($C51="W",$C51="1/2W"))),$S49,0))</f>
        <v>0</v>
      </c>
      <c r="BW49" s="201">
        <f>IF($B49="LOSS",IF(AND($K49=BW$3,$C49="L"),-$O49,0)+IF(AND($K50=BW$3,$C50="L"),-$O50,0)+IF(AND($K51=BW$3,$C51="L"),-$O51,0),IF(OR(AND($K49=BW$3,OR($C49="W",$C49="1/2W")),AND($K50=BW$3,OR($C50="W",$C50="1/2W")),AND($K51=BW$3,OR($C51="W",$C51="1/2W"))),$S49,0))</f>
        <v>0</v>
      </c>
      <c r="BX49" s="201">
        <f>IF($B49="LOSS",IF(AND($K49=BX$3,$C49="L"),-$O49,0)+IF(AND($K50=BX$3,$C50="L"),-$O50,0)+IF(AND($K51=BX$3,$C51="L"),-$O51,0),IF(OR(AND($K49=BX$3,OR($C49="W",$C49="1/2W")),AND($K50=BX$3,OR($C50="W",$C50="1/2W")),AND($K51=BX$3,OR($C51="W",$C51="1/2W"))),$S49,0))</f>
        <v>0</v>
      </c>
      <c r="BY49" s="201">
        <f>IF($B49="LOSS",IF(AND($K49=BY$3,$C49="L"),-$O49,0)+IF(AND($K50=BY$3,$C50="L"),-$O50,0)+IF(AND($K51=BY$3,$C51="L"),-$O51,0),IF(OR(AND($K49=BY$3,OR($C49="W",$C49="1/2W")),AND($K50=BY$3,OR($C50="W",$C50="1/2W")),AND($K51=BY$3,OR($C51="W",$C51="1/2W"))),$S49,0))</f>
        <v>0</v>
      </c>
      <c r="BZ49" s="205">
        <f>IF($B49="LOSS",IF(AND($K49=BZ$3,$C49="L"),-$O49,0)+IF(AND($K50=BZ$3,$C50="L"),-$O50,0)+IF(AND($K51=BZ$3,$C51="L"),-$O51,0),IF(OR(AND($K49=BZ$3,OR($C49="W",$C49="1/2W")),AND($K50=BZ$3,OR($C50="W",$C50="1/2W")),AND($K51=BZ$3,OR($C51="W",$C51="1/2W"))),$S49,0))</f>
        <v>1.74</v>
      </c>
      <c r="CA49" s="205">
        <f>IF($B49="LOSS",IF(AND($K49=CA$3,$C49="L"),-$O49,0)+IF(AND($K50=CA$3,$C50="L"),-$O50,0)+IF(AND($K51=CA$3,$C51="L"),-$O51,0),IF(OR(AND($K49=CA$3,OR($C49="W",$C49="1/2W")),AND($K50=CA$3,OR($C50="W",$C50="1/2W")),AND($K51=CA$3,OR($C51="W",$C51="1/2W"))),$S49,0))</f>
        <v>0</v>
      </c>
      <c r="CB49" s="205">
        <f>IF($B49="LOSS",IF(AND($K49=CB$3,$C49="L"),-$O49,0)+IF(AND($K50=CB$3,$C50="L"),-$O50,0)+IF(AND($K51=CB$3,$C51="L"),-$O51,0),IF(OR(AND($K49=CB$3,OR($C49="W",$C49="1/2W")),AND($K50=CB$3,OR($C50="W",$C50="1/2W")),AND($K51=CB$3,OR($C51="W",$C51="1/2W"))),$S49,0))</f>
        <v>0</v>
      </c>
      <c r="CC49" s="205">
        <f>IF($B49="LOSS",IF(AND($K49=CC$3,$C49="L"),-$O49,0)+IF(AND($K50=CC$3,$C50="L"),-$O50,0)+IF(AND($K51=CC$3,$C51="L"),-$O51,0),IF(OR(AND($K49=CC$3,OR($C49="W",$C49="1/2W")),AND($K50=CC$3,OR($C50="W",$C50="1/2W")),AND($K51=CC$3,OR($C51="W",$C51="1/2W"))),$S49,0))</f>
        <v>0</v>
      </c>
      <c r="CD49" s="202">
        <f>IF($B49="LOSS",IF(AND($K49=CD$3,$C49="L"),-$O49,0)+IF(AND($K50=CD$3,$C50="L"),-$O50,0)+IF(AND($K51=CD$3,$C51="L"),-$O51,0),IF(OR(AND($K49=CD$3,OR($C49="W",$C49="1/2W")),AND($K50=CD$3,OR($C50="W",$C50="1/2W")),AND($K51=CD$3,OR($C51="W",$C51="1/2W"))),$S49,0))</f>
        <v>0</v>
      </c>
      <c r="CE49" s="199">
        <f>IF($B49="LOSS",IF(AND($K49=CE$3,$C49="L"),-$O49,0)+IF(AND($K50=CE$3,$C50="L"),-$O50,0)+IF(AND($K51=CE$3,$C51="L"),-$O51,0),IF(OR(AND($K49=CE$3,OR($C49="W",$C49="1/2W")),AND($K50=CE$3,OR($C50="W",$C50="1/2W")),AND($K51=CE$3,OR($C51="W",$C51="1/2W"))),$S49,0))</f>
        <v>0</v>
      </c>
      <c r="CF49" s="206">
        <f>IF(CF$3=$K49,IF($C49="W",1,IF($C49="1/2W",0.5,0)),0)</f>
        <v>0</v>
      </c>
      <c r="CG49" s="207">
        <f>IF(CF$3=$K49,IF($C49="L",1,IF($C49="1/2L",0.5,0)),0)</f>
        <v>0</v>
      </c>
      <c r="CH49" s="207">
        <f>IF(CH$3=$K49,IF($C49="W",1,IF($C49="1/2W",0.5,0)),0)</f>
        <v>0</v>
      </c>
      <c r="CI49" s="207">
        <f>IF(CH$3=$K49,IF($C49="L",1,IF($C49="1/2L",0.5,0)),0)</f>
        <v>0</v>
      </c>
      <c r="CJ49" s="207">
        <f>IF(CJ$3=$K49,IF($C49="W",1,IF($C49="1/2W",0.5,0)),0)</f>
        <v>0</v>
      </c>
      <c r="CK49" s="207">
        <f>IF(CJ$3=$K49,IF($C49="L",1,IF($C49="1/2L",0.5,0)),0)</f>
        <v>0</v>
      </c>
      <c r="CL49" s="207">
        <f>IF(CL$3=$K49,IF($C49="W",1,IF($C49="1/2W",0.5,0)),0)</f>
        <v>0</v>
      </c>
      <c r="CM49" s="207">
        <f>IF(CL$3=$K49,IF($C49="L",1,IF($C49="1/2L",0.5,0)),0)</f>
        <v>0</v>
      </c>
      <c r="CN49" s="207">
        <f>IF(CN$3=$K49,IF($C49="W",1,IF($C49="1/2W",0.5,0)),0)</f>
        <v>0</v>
      </c>
      <c r="CO49" s="207">
        <f>IF(CN$3=$K49,IF($C49="L",1,IF($C49="1/2L",0.5,0)),0)</f>
        <v>0</v>
      </c>
      <c r="CP49" s="207">
        <f>IF(CP$3=$K49,IF($C49="W",1,IF($C49="1/2W",0.5,0)),0)</f>
        <v>0</v>
      </c>
      <c r="CQ49" s="207">
        <f>IF(CP$3=$K49,IF($C49="L",1,IF($C49="1/2L",0.5,0)),0)</f>
        <v>0</v>
      </c>
      <c r="CR49" s="207">
        <f>IF(CR$3=$K49,IF($C49="W",1,IF($C49="1/2W",0.5,0)),0)</f>
        <v>0</v>
      </c>
      <c r="CS49" s="207">
        <f>IF(CR$3=$K49,IF($C49="L",1,IF($C49="1/2L",0.5,0)),0)</f>
        <v>0</v>
      </c>
      <c r="CT49" s="208">
        <f>IF(CT$3=$K49,IF($C49="W",1,IF($C49="1/2W",0.5,0)),0)</f>
        <v>1</v>
      </c>
      <c r="CU49" s="209">
        <f>IF(CT$3=$K49,IF($C49="L",1,IF($C49="1/2L",0.5,0)),0)</f>
        <v>0</v>
      </c>
      <c r="CV49" s="209">
        <f>IF(CV$3=$K49,IF($C49="W",1,IF($C49="1/2W",0.5,0)),0)</f>
        <v>0</v>
      </c>
      <c r="CW49" s="209">
        <f>IF(CV$3=$K49,IF($C49="L",1,IF($C49="1/2L",0.5,0)),0)</f>
        <v>0</v>
      </c>
      <c r="CX49" s="209">
        <f>IF(CX$3=$K49,IF($C49="W",1,IF($C49="1/2W",0.5,0)),0)</f>
        <v>0</v>
      </c>
      <c r="CY49" s="209">
        <f>IF(CX$3=$K49,IF($C49="L",1,IF($C49="1/2L",0.5,0)),0)</f>
        <v>0</v>
      </c>
      <c r="CZ49" s="209">
        <f>IF(CZ$3=$K49,IF($C49="W",1,IF($C49="1/2W",0.5,0)),0)</f>
        <v>0</v>
      </c>
      <c r="DA49" s="209">
        <f>IF(CZ$3=$K49,IF($C49="L",1,IF($C49="1/2L",0.5,0)),0)</f>
        <v>0</v>
      </c>
      <c r="DB49" s="209">
        <f>IF(DB$3=$K49,IF($C49="W",1,IF($C49="1/2W",0.5,0)),0)</f>
        <v>0</v>
      </c>
      <c r="DC49" s="209">
        <f>IF(DB$3=$K49,IF($C49="L",1,IF($C49="1/2L",0.5,0)),0)</f>
        <v>0</v>
      </c>
      <c r="DD49" s="209">
        <f>IF(DD$3=$K49,IF($C49="W",1,IF($C49="1/2W",0.5,0)),0)</f>
        <v>0</v>
      </c>
      <c r="DE49" s="210">
        <f>IF(DD$3=$K49,IF($C49="L",1,IF($C49="1/2L",0.5,0)),0)</f>
        <v>0</v>
      </c>
      <c r="DF49" s="211">
        <f>IF(AND(L49&lt;DF$3,$C49="W"),1+DF48,DF48)</f>
        <v>3</v>
      </c>
      <c r="DG49" s="198">
        <f>IF(DF49&gt;DF48,L49+DG48,DG48)</f>
        <v>3.994</v>
      </c>
      <c r="DH49" s="209">
        <f>IF(AND(L49&gt;DH$3,$C49="W"),1+DH48,0+DH48)</f>
        <v>1</v>
      </c>
      <c r="DI49" s="198">
        <f>IF(DH49&gt;DH48,L49+DI48,DI48)</f>
        <v>4.33</v>
      </c>
      <c r="DJ49" s="209">
        <f>IF($D49="","",$D49)</f>
        <v>16</v>
      </c>
      <c r="DK49" s="209">
        <f>IF(AND($B49=" ",$D49&lt;&gt;""),1,0)</f>
        <v>0</v>
      </c>
    </row>
    <row r="50" ht="14.55" customHeight="1">
      <c r="A50" s="107"/>
      <c r="B50" s="108"/>
      <c r="C50" t="s" s="213">
        <v>51</v>
      </c>
      <c r="D50" s="110"/>
      <c r="E50" s="111"/>
      <c r="F50" s="113"/>
      <c r="G50" s="214"/>
      <c r="H50" s="114"/>
      <c r="I50" t="s" s="215">
        <v>62</v>
      </c>
      <c r="J50" t="s" s="216">
        <f>IF(OR(I49="TO",I49="TU",I49="TO1",I49="TU1",I49="TO2",I49="TU2"),J49,IF(OR(I49="AH1",I49="AH2"),IF(OR(I50="AH1",I50="AH2"),-J49,IF(OR(I50="EH1",I50="EH2"),-J49+0.5,"")),IF(OR(I49="EH1",I49="EH2"),IF(OR(I50="AH1",I50="AH2"),-J49+0.5,IF(OR(I50="EH1",I50="EH2"),-J49+1,"")),IF(AND(OR(I49="DNB1",I49="DNB2"),OR(I50="AH1",I50="AH2")),0,IF(AND(I49="Not ScoreBoth",OR(I50="TO1",I50="TO2")),0.5,"")))))</f>
      </c>
      <c r="K50" t="s" s="217">
        <v>41</v>
      </c>
      <c r="L50" s="218">
        <v>3.85</v>
      </c>
      <c r="M50" s="219">
        <v>9.470000000000001</v>
      </c>
      <c r="N50" s="120"/>
      <c r="O50" s="220">
        <f>IF(OR(AE49="",AE50=""),"",ROUND(IF(L51&gt;0,IF(M50&gt;0,M50,IF(M49&gt;0,IF(N49=TRUE,ROUND((M49*AE50)/AE49,0),(M49*AE50)/AE49),IF(M50&gt;0,ROUND(M50,IF(N49=0,2,IF(N49=0.1,1,0))),IF(M51&gt;0,ROUND(O51*AE50/AE51,IF(N49=0,2,IF(N49=0.1,1,0))),0)))),IF(M50&gt;0,M50,ROUND((M49*AE50)/AE49,IF(N49=0,2,IF(N49=0.1,1,0))))),2))</f>
        <v>9.470000000000001</v>
      </c>
      <c r="P50" s="221">
        <f>IF(OR(L50="",O50=""),"",IF($C50="1/2W",O50/2+O50/2*L50,IF($C50="1/2L",O50/2,IF(I50="Lay",((O50*(L50/(L50-1)))-O50)*(1-_xlfn.XLOOKUP(K50,'Janeiro 2023 - Valor Real'!A3:A15,'Janeiro 2023 - Valor Real'!C3:C15,0))+O50,(O50*L50-O50)*(1-_xlfn.XLOOKUP(K50,'Janeiro 2023 - Valor Real'!A3:A15,'Janeiro 2023 - Valor Real'!C3:C15,0))+O50))))</f>
        <v>36.4595</v>
      </c>
      <c r="Q50" s="222">
        <v>2</v>
      </c>
      <c r="R50" s="223">
        <v>0</v>
      </c>
      <c r="S50" s="125"/>
      <c r="T50" s="126"/>
      <c r="U50" s="126"/>
      <c r="V50" s="224"/>
      <c r="W50" s="126"/>
      <c r="X50" s="127"/>
      <c r="Y50" s="128"/>
      <c r="Z50" s="129"/>
      <c r="AA50" s="129"/>
      <c r="AB50" s="129"/>
      <c r="AC50" s="129"/>
      <c r="AD50" s="225">
        <f>(((L50/(L50-1)-1)*(1-_xlfn.XLOOKUP(K50,'Janeiro 2023 - Valor Real'!A3:A15,'Janeiro 2023 - Valor Real'!C3:C15,0))+1))</f>
        <v>1.35087719298246</v>
      </c>
      <c r="AE50" s="226">
        <f>IF(L50="","",IF(L51&gt;0,(SUM(((L49-1)*(1-_xlfn.XLOOKUP(K49,'Janeiro 2023 - Valor Real'!A3:A15,'Janeiro 2023 - Valor Real'!C3:C15,0))+1),((L50-1)*(1-_xlfn.XLOOKUP(K50,'Janeiro 2023 - Valor Real'!A3:A15,'Janeiro 2023 - Valor Real'!C3:C15,0))+1),((L51-1)*(1-_xlfn.XLOOKUP(K51,'Janeiro 2023 - Valor Real'!A3:A15,'Janeiro 2023 - Valor Real'!C3:C15,0))+1))/((L50-1)*(1-_xlfn.XLOOKUP(K50,'Janeiro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Real'!C3:C15,0))+1))/((L49-1)*(1-_xlfn.XLOOKUP(K49,'Janeiro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Real'!C3:C15,0))+1))/((L50-1)*(1-_xlfn.XLOOKUP(K50,'Janeiro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Real'!C3:C15,0))+1))/((L51-1)*(1-_xlfn.XLOOKUP(K51,'Janeiro 2023 - Valor Real'!A3:A15,'Janeiro 2023 - Valor Real'!C3:C15,0))+1)),IF(I50="Lay",IF(I49="Lay",((L49/(L49-1)-1)*(1-_xlfn.XLOOKUP(K49,'Janeiro 2023 - Valor Real'!A3:A15,'Janeiro 2023 - Valor Real'!C3:C15,0))+1)/(((L49/(L49-1)-1)*(1-_xlfn.XLOOKUP(K49,'Janeiro 2023 - Valor Real'!A3:A15,'Janeiro 2023 - Valor Real'!C3:C15,0))+1)+((L50/(L50-1)-1)*(1-_xlfn.XLOOKUP(K50,'Janeiro 2023 - Valor Real'!A3:A15,'Janeiro 2023 - Valor Real'!C3:C15,0))+1)),((L49-1)*(1-_xlfn.XLOOKUP(K49,'Janeiro 2023 - Valor Real'!A3:A15,'Janeiro 2023 - Valor Real'!C3:C15,0))+1)/(((L49-1)*(1-_xlfn.XLOOKUP(K49,'Janeiro 2023 - Valor Real'!A3:A15,'Janeiro 2023 - Valor Real'!C3:C15,0))+1)+((L50/(L50-1)-1)*(1-_xlfn.XLOOKUP(K50,'Janeiro 2023 - Valor Real'!A3:A15,'Janeiro 2023 - Valor Real'!C3:C15,0))+1))),IF(I49="Lay",((L49/(L49-1)-1)*(1-_xlfn.XLOOKUP(K49,'Janeiro 2023 - Valor Real'!A3:A15,'Janeiro 2023 - Valor Real'!C3:C15,0))+1)/((((L49/(L49-1)-1)*(1-_xlfn.XLOOKUP(K49,'Janeiro 2023 - Valor Real'!A3:A15,'Janeiro 2023 - Valor Real'!C3:C15,0))+1))+((L50-1)*(1-_xlfn.XLOOKUP(K50,'Janeiro 2023 - Valor Real'!A3:A15,'Janeiro 2023 - Valor Real'!C3:C15,0))+1)),((L49-1)*(1-_xlfn.XLOOKUP(K49,'Janeiro 2023 - Valor Real'!A3:A15,'Janeiro 2023 - Valor Real'!C3:C15,0))+1)/(((L49-1)*(1-_xlfn.XLOOKUP(K49,'Janeiro 2023 - Valor Real'!A3:A15,'Janeiro 2023 - Valor Real'!C3:C15,0))+1)+((L50-1)*(1-_xlfn.XLOOKUP(K50,'Janeiro 2023 - Valor Real'!A3:A15,'Janeiro 2023 - Valor Real'!C3:C15,0))+1))))))</f>
        <v>0.272761616924821</v>
      </c>
      <c r="AF50" s="197">
        <f>IF($K50=AF$3,ROUND(IF(OR($C50="W",$C50="1/2W",$C50="1/2L"),$P50-$O50,IF($C50="X",0,-$O50)),2),0)</f>
        <v>0</v>
      </c>
      <c r="AG50" s="198">
        <f>IF($K50=AG$3,ROUND(IF(OR($C50="W",$C50="1/2W",$C50="1/2L"),$P50-$O50,IF($C50="X",0,-$O50)),2),0)</f>
        <v>0</v>
      </c>
      <c r="AH50" s="198">
        <f>IF($K50=AH$3,ROUND(IF(OR($C50="W",$C50="1/2W",$C50="1/2L"),$P50-$O50,IF($C50="X",0,-$O50)),2),0)</f>
        <v>0</v>
      </c>
      <c r="AI50" s="198">
        <f>IF($K50=AI$3,ROUND(IF(OR($C50="W",$C50="1/2W",$C50="1/2L"),$P50-$O50,IF($C50="X",0,-$O50)),2),0)</f>
        <v>0</v>
      </c>
      <c r="AJ50" s="198">
        <f>IF($K50=AJ$3,ROUND(IF(OR($C50="W",$C50="1/2W",$C50="1/2L"),$P50-$O50,IF($C50="X",0,-$O50)),2),0)</f>
        <v>-9.470000000000001</v>
      </c>
      <c r="AK50" s="198">
        <f>IF($K50=AK$3,ROUND(IF(OR($C50="W",$C50="1/2W",$C50="1/2L"),$P50-$O50,IF($C50="X",0,-$O50)),2),0)</f>
        <v>0</v>
      </c>
      <c r="AL50" s="198">
        <f>IF($K50=AL$3,ROUND(IF(OR($C50="W",$C50="1/2W",$C50="1/2L"),$P50-$O50,IF($C50="X",0,-$O50)),2),0)</f>
        <v>0</v>
      </c>
      <c r="AM50" s="198">
        <f>IF($K50=AM$3,ROUND(IF(OR($C50="W",$C50="1/2W",$C50="1/2L"),$P50-$O50,IF($C50="X",0,-$O50)),2),0)</f>
        <v>0</v>
      </c>
      <c r="AN50" s="198">
        <f>IF($K50=AN$3,ROUND(IF(OR($C50="W",$C50="1/2W",$C50="1/2L"),$P50-$O50,IF($C50="X",0,-$O50)),2),0)</f>
        <v>0</v>
      </c>
      <c r="AO50" s="198">
        <f>IF($K50=AO$3,ROUND(IF(OR($C50="W",$C50="1/2W",$C50="1/2L"),$P50-$O50,IF($C50="X",0,-$O50)),2),0)</f>
        <v>0</v>
      </c>
      <c r="AP50" s="198">
        <f>IF($K50=AP$3,ROUND(IF(OR($C50="W",$C50="1/2W",$C50="1/2L"),$P50-$O50,IF($C50="X",0,-$O50)),2),0)</f>
        <v>0</v>
      </c>
      <c r="AQ50" s="198">
        <f>IF($K50=AQ$3,ROUND(IF(OR($C50="W",$C50="1/2W",$C50="1/2L"),$P50-$O50,IF($C50="X",0,-$O50)),2),0)</f>
        <v>0</v>
      </c>
      <c r="AR50" s="199">
        <f>IF($K50=AR$3,ROUND(IF(OR($C50="W",$C50="1/2W",$C50="1/2L"),$P50-$O50,IF($C50="X",0,-$O50)),2),0)</f>
        <v>0</v>
      </c>
      <c r="AS50" s="197">
        <f>IF(AND($B49=" ",$K50=AS$3),$O50,0)</f>
        <v>0</v>
      </c>
      <c r="AT50" s="198">
        <f>IF(AND($B49=" ",K50=AT$3),$O50,0)</f>
        <v>0</v>
      </c>
      <c r="AU50" s="198">
        <f>IF(AND($B49=" ",$K50=AU$3),$O50,0)</f>
        <v>0</v>
      </c>
      <c r="AV50" s="198">
        <f>IF(AND($B49=" ",$K50=AV$3),$O50,0)</f>
        <v>0</v>
      </c>
      <c r="AW50" s="198">
        <f>IF(AND($B49=" ",$K50=AW$3),$O50,0)</f>
        <v>0</v>
      </c>
      <c r="AX50" s="198">
        <f>IF(AND($B49=" ",$K50=AX$3),$O50,0)</f>
        <v>0</v>
      </c>
      <c r="AY50" s="200">
        <f>IF(AND($B49=" ",$K50=AY$3),$O50,0)</f>
        <v>0</v>
      </c>
      <c r="AZ50" s="201">
        <f>IF(AND($B49=" ",$K50=AZ$3),$O50,0)</f>
        <v>0</v>
      </c>
      <c r="BA50" s="201">
        <f>IF(AND($B49=" ",$K50=BA$3),$O50,0)</f>
        <v>0</v>
      </c>
      <c r="BB50" s="201">
        <f>IF(AND($B49=" ",$K50=BB$3),$O50,0)</f>
        <v>0</v>
      </c>
      <c r="BC50" s="202">
        <f>IF(AND($B49=" ",$K50=BC$3),$O50,0)</f>
        <v>0</v>
      </c>
      <c r="BD50" s="198">
        <f>IF(AND($B49=" ",$K50=BD$3),$O50,0)</f>
        <v>0</v>
      </c>
      <c r="BE50" s="199">
        <f>IF(AND($B49=" ",$K50=BE$3),$O50,0)</f>
        <v>0</v>
      </c>
      <c r="BF50" s="197">
        <f>IF($K50=BF$3,IF($C50="X",0,$O50),0)</f>
        <v>0</v>
      </c>
      <c r="BG50" s="198">
        <f>IF($K50=BG$3,IF($C50="X",0,$O50),0)</f>
        <v>0</v>
      </c>
      <c r="BH50" s="198">
        <f>IF($K50=BH$3,IF($C50="X",0,$O50),0)</f>
        <v>0</v>
      </c>
      <c r="BI50" s="198">
        <f>IF($K50=BI$3,IF($C50="X",0,$O50),0)</f>
        <v>0</v>
      </c>
      <c r="BJ50" s="198">
        <f>IF($K50=BJ$3,IF($C50="X",0,$O50),0)</f>
        <v>9.470000000000001</v>
      </c>
      <c r="BK50" s="198">
        <f>IF($K50=BK$3,IF($C50="X",0,$O50),0)</f>
        <v>0</v>
      </c>
      <c r="BL50" s="198">
        <f>IF($K50=BL$3,IF($C50="X",0,$O50),0)</f>
        <v>0</v>
      </c>
      <c r="BM50" s="227">
        <f>IF($K50=BM$3,IF($C50="X",0,$O50),0)</f>
        <v>0</v>
      </c>
      <c r="BN50" s="205">
        <f>IF($K50=BN$3,IF($C50="X",0,$O50),0)</f>
        <v>0</v>
      </c>
      <c r="BO50" s="205">
        <f>IF($K50=BO$3,IF($C50="X",0,$O50),0)</f>
        <v>0</v>
      </c>
      <c r="BP50" s="205">
        <f>IF($K50=BP$3,IF($C50="X",0,$O50),0)</f>
        <v>0</v>
      </c>
      <c r="BQ50" s="202">
        <f>IF($K50=BQ$3,IF($C50="X",0,$O50),0)</f>
        <v>0</v>
      </c>
      <c r="BR50" s="199">
        <f>IF($K50=BR$3,IF($C50="X",0,$O50),0)</f>
        <v>0</v>
      </c>
      <c r="BS50" s="228"/>
      <c r="BT50" s="229"/>
      <c r="BU50" s="140"/>
      <c r="BV50" s="229"/>
      <c r="BW50" s="140"/>
      <c r="BX50" s="140"/>
      <c r="BY50" s="140"/>
      <c r="BZ50" s="229"/>
      <c r="CA50" s="140"/>
      <c r="CB50" s="140"/>
      <c r="CC50" s="140"/>
      <c r="CD50" s="141"/>
      <c r="CE50" s="142"/>
      <c r="CF50" s="230">
        <f>IF(CF$3=$K50,IF($C50="W",1,IF($C50="1/2W",0.5,0)),0)</f>
        <v>0</v>
      </c>
      <c r="CG50" s="231">
        <f>IF(CF$3=$K50,IF($C50="L",1,IF($C50="1/2L",0.5,0)),0)</f>
        <v>0</v>
      </c>
      <c r="CH50" s="231">
        <f>IF(CH$3=$K50,IF($C50="W",1,IF($C50="1/2W",0.5,0)),0)</f>
        <v>0</v>
      </c>
      <c r="CI50" s="231">
        <f>IF(CH$3=$K50,IF($C50="L",1,IF($C50="1/2L",0.5,0)),0)</f>
        <v>0</v>
      </c>
      <c r="CJ50" s="231">
        <f>IF(CJ$3=$K50,IF($C50="W",1,IF($C50="1/2W",0.5,0)),0)</f>
        <v>0</v>
      </c>
      <c r="CK50" s="231">
        <f>IF(CJ$3=$K50,IF($C50="L",1,IF($C50="1/2L",0.5,0)),0)</f>
        <v>0</v>
      </c>
      <c r="CL50" s="231">
        <f>IF(CL$3=$K50,IF($C50="W",1,IF($C50="1/2W",0.5,0)),0)</f>
        <v>0</v>
      </c>
      <c r="CM50" s="231">
        <f>IF(CL$3=$K50,IF($C50="L",1,IF($C50="1/2L",0.5,0)),0)</f>
        <v>0</v>
      </c>
      <c r="CN50" s="231">
        <f>IF(CN$3=$K50,IF($C50="W",1,IF($C50="1/2W",0.5,0)),0)</f>
        <v>0</v>
      </c>
      <c r="CO50" s="231">
        <f>IF(CN$3=$K50,IF($C50="L",1,IF($C50="1/2L",0.5,0)),0)</f>
        <v>1</v>
      </c>
      <c r="CP50" s="231">
        <f>IF(CP$3=$K50,IF($C50="W",1,IF($C50="1/2W",0.5,0)),0)</f>
        <v>0</v>
      </c>
      <c r="CQ50" s="231">
        <f>IF(CP$3=$K50,IF($C50="L",1,IF($C50="1/2L",0.5,0)),0)</f>
        <v>0</v>
      </c>
      <c r="CR50" s="231">
        <f>IF(CR$3=$K50,IF($C50="W",1,IF($C50="1/2W",0.5,0)),0)</f>
        <v>0</v>
      </c>
      <c r="CS50" s="231">
        <f>IF(CR$3=$K50,IF($C50="L",1,IF($C50="1/2L",0.5,0)),0)</f>
        <v>0</v>
      </c>
      <c r="CT50" s="208">
        <f>IF(CT$3=$K50,IF($C50="W",1,IF($C50="1/2W",0.5,0)),0)</f>
        <v>0</v>
      </c>
      <c r="CU50" s="209">
        <f>IF(CT$3=$K50,IF($C50="L",1,IF($C50="1/2L",0.5,0)),0)</f>
        <v>0</v>
      </c>
      <c r="CV50" s="209">
        <f>IF(CV$3=$K50,IF($C50="W",1,IF($C50="1/2W",0.5,0)),0)</f>
        <v>0</v>
      </c>
      <c r="CW50" s="209">
        <f>IF(CV$3=$K50,IF($C50="L",1,IF($C50="1/2L",0.5,0)),0)</f>
        <v>0</v>
      </c>
      <c r="CX50" s="209">
        <f>IF(CX$3=$K50,IF($C50="W",1,IF($C50="1/2W",0.5,0)),0)</f>
        <v>0</v>
      </c>
      <c r="CY50" s="209">
        <f>IF(CX$3=$K50,IF($C50="L",1,IF($C50="1/2L",0.5,0)),0)</f>
        <v>0</v>
      </c>
      <c r="CZ50" s="209">
        <f>IF(CZ$3=$K50,IF($C50="W",1,IF($C50="1/2W",0.5,0)),0)</f>
        <v>0</v>
      </c>
      <c r="DA50" s="209">
        <f>IF(CZ$3=$K50,IF($C50="L",1,IF($C50="1/2L",0.5,0)),0)</f>
        <v>0</v>
      </c>
      <c r="DB50" s="209">
        <f>IF(DB$3=$K50,IF($C50="W",1,IF($C50="1/2W",0.5,0)),0)</f>
        <v>0</v>
      </c>
      <c r="DC50" s="209">
        <f>IF(DB$3=$K50,IF($C50="L",1,IF($C50="1/2L",0.5,0)),0)</f>
        <v>0</v>
      </c>
      <c r="DD50" s="209">
        <f>IF(DD$3=$K50,IF($C50="W",1,IF($C50="1/2W",0.5,0)),0)</f>
        <v>0</v>
      </c>
      <c r="DE50" s="210">
        <f>IF(DD$3=$K50,IF($C50="L",1,IF($C50="1/2L",0.5,0)),0)</f>
        <v>0</v>
      </c>
      <c r="DF50" s="211">
        <f>IF(AND(L50&lt;DF$3,$C50="W"),1+DF49,DF49)</f>
        <v>3</v>
      </c>
      <c r="DG50" s="198">
        <f>IF(DF50&gt;DF49,L50+DG49,DG49)</f>
        <v>3.994</v>
      </c>
      <c r="DH50" s="209">
        <f>IF(AND(L50&gt;DH$3,$C50="W"),1+DH49,0+DH49)</f>
        <v>1</v>
      </c>
      <c r="DI50" s="198">
        <f>IF(DH50&gt;DH49,L50+DI49,DI49)</f>
        <v>4.33</v>
      </c>
      <c r="DJ50" s="209">
        <f>IF($D49="","",$D49)</f>
        <v>16</v>
      </c>
      <c r="DK50" s="232"/>
    </row>
    <row r="51" ht="14.55" customHeight="1">
      <c r="A51" s="149"/>
      <c r="B51" s="150"/>
      <c r="C51" t="s" s="233">
        <v>58</v>
      </c>
      <c r="D51" s="152"/>
      <c r="E51" s="153"/>
      <c r="F51" s="155"/>
      <c r="G51" s="234"/>
      <c r="H51" s="156"/>
      <c r="I51" s="235"/>
      <c r="J51" s="236"/>
      <c r="K51" s="237"/>
      <c r="L51" s="238"/>
      <c r="M51" s="239"/>
      <c r="N51" s="161"/>
      <c r="O51" t="s" s="240">
        <f>IF(OR(AE49="",AE50=""),"",IF(L51&gt;0,ROUND(IF(M51&gt;0,M51,IF(M49&gt;0,ROUND((M49*AE51)/AE49,IF(N49=0,2,IF(N49=0.1,1,0))),IF(M50&gt;0,ROUND((M50*AE51)/AE50,IF(N49=0,2,IF(N49=0.1,1,0))),IF(M51&gt;0,M51,0)))),2),""))</f>
      </c>
      <c r="P51" t="s" s="241">
        <f>IF(I50="Lay",O50*(L50/(L50-1))-O50,IF(I49="Lay",O49*(L49/(L49-1))-O49,IF(OR(L51="",O51=""),"",IF($C51="1/2W",O51/2+O51/2*L51,IF($C51="1/2L",O51/2,(O51*L51-O51)*(1-_xlfn.XLOOKUP(K51,'Janeiro 2023 - Valor Real'!A3:A15,'Janeiro 2023 - Valor Real'!C3:C15,0))+O51)))))</f>
      </c>
      <c r="Q51" t="s" s="242"/>
      <c r="R51" t="s" s="243"/>
      <c r="S51" s="166"/>
      <c r="T51" s="155"/>
      <c r="U51" s="155"/>
      <c r="V51" s="166"/>
      <c r="W51" s="155"/>
      <c r="X51" s="167"/>
      <c r="Y51" s="128"/>
      <c r="Z51" s="129"/>
      <c r="AA51" s="129"/>
      <c r="AB51" s="129"/>
      <c r="AC51" s="129"/>
      <c r="AD51" s="244">
        <f>((L50/(L50-1)-1))</f>
        <v>0.350877192982456</v>
      </c>
      <c r="AE51" t="s" s="245">
        <f>IF(L51="","",(SUM(((L49-1)*(1-_xlfn.XLOOKUP(K49,'Janeiro 2023 - Valor Real'!A3:A15,'Janeiro 2023 - Valor Real'!C3:C15,0))+1),((L50-1)*(1-_xlfn.XLOOKUP(K50,'Janeiro 2023 - Valor Real'!A3:A15,'Janeiro 2023 - Valor Real'!C3:C15,0))+1),((L51-1)*(1-_xlfn.XLOOKUP(K51,'Janeiro 2023 - Valor Real'!A3:A15,'Janeiro 2023 - Valor Real'!C3:C15,0))+1))/((L51-1)*(1-_xlfn.XLOOKUP(K51,'Janeiro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Real'!C3:C15,0))+1))/((L49-1)*(1-_xlfn.XLOOKUP(K49,'Janeiro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Real'!C3:C15,0))+1))/((L50-1)*(1-_xlfn.XLOOKUP(K50,'Janeiro 2023 - Valor Real'!A3:A15,'Janeiro 2023 - Valor Real'!C3:C15,0))+1)+SUM(((L49-1)*(1-_xlfn.XLOOKUP(K49,'Janeiro 2023 - Valor Real'!A3:A15,'Janeiro 2023 - Valor Real'!C3:C15,0))+1),((L50-1)*(1-_xlfn.XLOOKUP(K50,'Janeiro 2023 - Valor Real'!A3:A15,'Janeiro 2023 - Valor Real'!C3:C15,0))+1),((L51-1)*(1-_xlfn.XLOOKUP(K51,'Janeiro 2023 - Valor Real'!A3:A15,'Janeiro 2023 - Valor Real'!C3:C15,0))+1))/((L51-1)*(1-_xlfn.XLOOKUP(K51,'Janeiro 2023 - Valor Real'!A3:A15,'Janeiro 2023 - Valor Real'!C3:C15,0))+1)))</f>
      </c>
      <c r="AF51" s="197">
        <f>IF($K51=AF$3,ROUND(IF(OR($C51="W",$C51="1/2W",$C51="1/2L"),$P51-$O51,IF($C51="X",0,-$O51)),2),0)</f>
        <v>0</v>
      </c>
      <c r="AG51" s="198">
        <f>IF($K51=AG$3,ROUND(IF(OR($C51="W",$C51="1/2W",$C51="1/2L"),$P51-$O51,IF($C51="X",0,-$O51)),2),0)</f>
        <v>0</v>
      </c>
      <c r="AH51" s="198">
        <f>IF($K51=AH$3,ROUND(IF(OR($C51="W",$C51="1/2W",$C51="1/2L"),$P51-$O51,IF($C51="X",0,-$O51)),2),0)</f>
        <v>0</v>
      </c>
      <c r="AI51" s="198">
        <f>IF($K51=AI$3,ROUND(IF(OR($C51="W",$C51="1/2W",$C51="1/2L"),$P51-$O51,IF($C51="X",0,-$O51)),2),0)</f>
        <v>0</v>
      </c>
      <c r="AJ51" s="198">
        <f>IF($K51=AJ$3,ROUND(IF(OR($C51="W",$C51="1/2W",$C51="1/2L"),$P51-$O51,IF($C51="X",0,-$O51)),2),0)</f>
        <v>0</v>
      </c>
      <c r="AK51" s="198">
        <f>IF($K51=AK$3,ROUND(IF(OR($C51="W",$C51="1/2W",$C51="1/2L"),$P51-$O51,IF($C51="X",0,-$O51)),2),0)</f>
        <v>0</v>
      </c>
      <c r="AL51" s="198">
        <f>IF($K51=AL$3,ROUND(IF(OR($C51="W",$C51="1/2W",$C51="1/2L"),$P51-$O51,IF($C51="X",0,-$O51)),2),0)</f>
        <v>0</v>
      </c>
      <c r="AM51" s="198">
        <f>IF($K51=AM$3,ROUND(IF(OR($C51="W",$C51="1/2W",$C51="1/2L"),$P51-$O51,IF($C51="X",0,-$O51)),2),0)</f>
        <v>0</v>
      </c>
      <c r="AN51" s="198">
        <f>IF($K51=AN$3,ROUND(IF(OR($C51="W",$C51="1/2W",$C51="1/2L"),$P51-$O51,IF($C51="X",0,-$O51)),2),0)</f>
        <v>0</v>
      </c>
      <c r="AO51" s="198">
        <f>IF($K51=AO$3,ROUND(IF(OR($C51="W",$C51="1/2W",$C51="1/2L"),$P51-$O51,IF($C51="X",0,-$O51)),2),0)</f>
        <v>0</v>
      </c>
      <c r="AP51" s="198">
        <f>IF($K51=AP$3,ROUND(IF(OR($C51="W",$C51="1/2W",$C51="1/2L"),$P51-$O51,IF($C51="X",0,-$O51)),2),0)</f>
        <v>0</v>
      </c>
      <c r="AQ51" s="198">
        <f>IF($K51=AQ$3,ROUND(IF(OR($C51="W",$C51="1/2W",$C51="1/2L"),$P51-$O51,IF($C51="X",0,-$O51)),2),0)</f>
        <v>0</v>
      </c>
      <c r="AR51" s="199">
        <f>IF($K51=AR$3,ROUND(IF(OR($C51="W",$C51="1/2W",$C51="1/2L"),$P51-$O51,IF($C51="X",0,-$O51)),2),0)</f>
        <v>0</v>
      </c>
      <c r="AS51" s="197">
        <f>IF(AND($B49=" ",$K51=AS$3),$O51,0)</f>
        <v>0</v>
      </c>
      <c r="AT51" s="198">
        <f>IF(AND($B49=" ",K51=AT$3),$O51,0)</f>
        <v>0</v>
      </c>
      <c r="AU51" s="198">
        <f>IF(AND($B49=" ",$K51=AU$3),$O51,0)</f>
        <v>0</v>
      </c>
      <c r="AV51" s="198">
        <f>IF(AND($B49=" ",$K51=AV$3),$O51,0)</f>
        <v>0</v>
      </c>
      <c r="AW51" s="198">
        <f>IF(AND($B49=" ",$K51=AW$3),$O51,0)</f>
        <v>0</v>
      </c>
      <c r="AX51" s="198">
        <f>IF(AND($B49=" ",$K51=AX$3),$O51,0)</f>
        <v>0</v>
      </c>
      <c r="AY51" s="200">
        <f>IF(AND($B49=" ",$K51=AY$3),$O51,0)</f>
        <v>0</v>
      </c>
      <c r="AZ51" s="201">
        <f>IF(AND($B49=" ",$K51=AZ$3),$O51,0)</f>
        <v>0</v>
      </c>
      <c r="BA51" s="201">
        <f>IF(AND($B49=" ",$K51=BA$3),$O51,0)</f>
        <v>0</v>
      </c>
      <c r="BB51" s="201">
        <f>IF(AND($B49=" ",$K51=BB$3),$O51,0)</f>
        <v>0</v>
      </c>
      <c r="BC51" s="202">
        <f>IF(AND($B49=" ",$K51=BC$3),$O51,0)</f>
        <v>0</v>
      </c>
      <c r="BD51" s="198">
        <f>IF(AND($B49=" ",$K51=BD$3),$O51,0)</f>
        <v>0</v>
      </c>
      <c r="BE51" s="199">
        <f>IF(AND($B49=" ",$K51=BE$3),$O51,0)</f>
        <v>0</v>
      </c>
      <c r="BF51" s="197">
        <f>IF($K51=BF$3,IF($C51="X",0,$O51),0)</f>
        <v>0</v>
      </c>
      <c r="BG51" s="198">
        <f>IF($K51=BG$3,IF($C51="X",0,$O51),0)</f>
        <v>0</v>
      </c>
      <c r="BH51" s="198">
        <f>IF($K51=BH$3,IF($C51="X",0,$O51),0)</f>
        <v>0</v>
      </c>
      <c r="BI51" s="198">
        <f>IF($K51=BI$3,IF($C51="X",0,$O51),0)</f>
        <v>0</v>
      </c>
      <c r="BJ51" s="198">
        <f>IF($K51=BJ$3,IF($C51="X",0,$O51),0)</f>
        <v>0</v>
      </c>
      <c r="BK51" s="198">
        <f>IF($K51=BK$3,IF($C51="X",0,$O51),0)</f>
        <v>0</v>
      </c>
      <c r="BL51" s="198">
        <f>IF($K51=BL$3,IF($C51="X",0,$O51),0)</f>
        <v>0</v>
      </c>
      <c r="BM51" s="200">
        <f>IF($K51=BM$3,IF($C51="X",0,$O51),0)</f>
        <v>0</v>
      </c>
      <c r="BN51" s="201">
        <f>IF($K51=BN$3,IF($C51="X",0,$O51),0)</f>
        <v>0</v>
      </c>
      <c r="BO51" s="201">
        <f>IF($K51=BO$3,IF($C51="X",0,$O51),0)</f>
        <v>0</v>
      </c>
      <c r="BP51" s="201">
        <f>IF($K51=BP$3,IF($C51="X",0,$O51),0)</f>
        <v>0</v>
      </c>
      <c r="BQ51" s="202">
        <f>IF($K51=BQ$3,IF($C51="X",0,$O51),0)</f>
        <v>0</v>
      </c>
      <c r="BR51" s="199">
        <f>IF($K51=BR$3,IF($C51="X",0,$O51),0)</f>
        <v>0</v>
      </c>
      <c r="BS51" s="228"/>
      <c r="BT51" s="229"/>
      <c r="BU51" s="140"/>
      <c r="BV51" s="229"/>
      <c r="BW51" s="140"/>
      <c r="BX51" s="140"/>
      <c r="BY51" s="140"/>
      <c r="BZ51" s="229"/>
      <c r="CA51" s="140"/>
      <c r="CB51" s="140"/>
      <c r="CC51" s="140"/>
      <c r="CD51" s="141"/>
      <c r="CE51" s="142"/>
      <c r="CF51" s="230">
        <f>IF(CF$3=$K51,IF($C51="W",1,IF($C51="1/2W",0.5,0)),0)</f>
        <v>0</v>
      </c>
      <c r="CG51" s="231">
        <f>IF(CF$3=$K51,IF($C51="L",1,IF($C51="1/2L",0.5,0)),0)</f>
        <v>0</v>
      </c>
      <c r="CH51" s="231">
        <f>IF(CH$3=$K51,IF($C51="W",1,IF($C51="1/2W",0.5,0)),0)</f>
        <v>0</v>
      </c>
      <c r="CI51" s="231">
        <f>IF(CH$3=$K51,IF($C51="L",1,IF($C51="1/2L",0.5,0)),0)</f>
        <v>0</v>
      </c>
      <c r="CJ51" s="231">
        <f>IF(CJ$3=$K51,IF($C51="W",1,IF($C51="1/2W",0.5,0)),0)</f>
        <v>0</v>
      </c>
      <c r="CK51" s="231">
        <f>IF(CJ$3=$K51,IF($C51="L",1,IF($C51="1/2L",0.5,0)),0)</f>
        <v>0</v>
      </c>
      <c r="CL51" s="231">
        <f>IF(CL$3=$K51,IF($C51="W",1,IF($C51="1/2W",0.5,0)),0)</f>
        <v>0</v>
      </c>
      <c r="CM51" s="231">
        <f>IF(CL$3=$K51,IF($C51="L",1,IF($C51="1/2L",0.5,0)),0)</f>
        <v>0</v>
      </c>
      <c r="CN51" s="231">
        <f>IF(CN$3=$K51,IF($C51="W",1,IF($C51="1/2W",0.5,0)),0)</f>
        <v>0</v>
      </c>
      <c r="CO51" s="231">
        <f>IF(CN$3=$K51,IF($C51="L",1,IF($C51="1/2L",0.5,0)),0)</f>
        <v>0</v>
      </c>
      <c r="CP51" s="231">
        <f>IF(CP$3=$K51,IF($C51="W",1,IF($C51="1/2W",0.5,0)),0)</f>
        <v>0</v>
      </c>
      <c r="CQ51" s="231">
        <f>IF(CP$3=$K51,IF($C51="L",1,IF($C51="1/2L",0.5,0)),0)</f>
        <v>0</v>
      </c>
      <c r="CR51" s="231">
        <f>IF(CR$3=$K51,IF($C51="W",1,IF($C51="1/2W",0.5,0)),0)</f>
        <v>0</v>
      </c>
      <c r="CS51" s="231">
        <f>IF(CR$3=$K51,IF($C51="L",1,IF($C51="1/2L",0.5,0)),0)</f>
        <v>0</v>
      </c>
      <c r="CT51" s="208">
        <f>IF(CT$3=$K51,IF($C51="W",1,IF($C51="1/2W",0.5,0)),0)</f>
        <v>0</v>
      </c>
      <c r="CU51" s="209">
        <f>IF(CT$3=$K51,IF($C51="L",1,IF($C51="1/2L",0.5,0)),0)</f>
        <v>0</v>
      </c>
      <c r="CV51" s="209">
        <f>IF(CV$3=$K51,IF($C51="W",1,IF($C51="1/2W",0.5,0)),0)</f>
        <v>0</v>
      </c>
      <c r="CW51" s="209">
        <f>IF(CV$3=$K51,IF($C51="L",1,IF($C51="1/2L",0.5,0)),0)</f>
        <v>0</v>
      </c>
      <c r="CX51" s="209">
        <f>IF(CX$3=$K51,IF($C51="W",1,IF($C51="1/2W",0.5,0)),0)</f>
        <v>0</v>
      </c>
      <c r="CY51" s="209">
        <f>IF(CX$3=$K51,IF($C51="L",1,IF($C51="1/2L",0.5,0)),0)</f>
        <v>0</v>
      </c>
      <c r="CZ51" s="209">
        <f>IF(CZ$3=$K51,IF($C51="W",1,IF($C51="1/2W",0.5,0)),0)</f>
        <v>0</v>
      </c>
      <c r="DA51" s="209">
        <f>IF(CZ$3=$K51,IF($C51="L",1,IF($C51="1/2L",0.5,0)),0)</f>
        <v>0</v>
      </c>
      <c r="DB51" s="209">
        <f>IF(DB$3=$K51,IF($C51="W",1,IF($C51="1/2W",0.5,0)),0)</f>
        <v>0</v>
      </c>
      <c r="DC51" s="209">
        <f>IF(DB$3=$K51,IF($C51="L",1,IF($C51="1/2L",0.5,0)),0)</f>
        <v>0</v>
      </c>
      <c r="DD51" s="209">
        <f>IF(DD$3=$K51,IF($C51="W",1,IF($C51="1/2W",0.5,0)),0)</f>
        <v>0</v>
      </c>
      <c r="DE51" s="210">
        <f>IF(DD$3=$K51,IF($C51="L",1,IF($C51="1/2L",0.5,0)),0)</f>
        <v>0</v>
      </c>
      <c r="DF51" s="211">
        <f>IF(AND(L51&lt;DF$3,$C51="W"),1+DF50,DF50)</f>
        <v>3</v>
      </c>
      <c r="DG51" s="198">
        <f>IF(DF51&gt;DF50,L51+DG50,DG50)</f>
        <v>3.994</v>
      </c>
      <c r="DH51" s="209">
        <f>IF(AND(L51&gt;DH$3,$C51="W"),1+DH50,0+DH50)</f>
        <v>1</v>
      </c>
      <c r="DI51" s="198">
        <f>IF(DH51&gt;DH50,L51+DI50,DI50)</f>
        <v>4.33</v>
      </c>
      <c r="DJ51" s="209">
        <f>IF($D49="","",$D49)</f>
        <v>16</v>
      </c>
      <c r="DK51" s="232"/>
    </row>
    <row r="52" ht="14.55" customHeight="1">
      <c r="A52" s="246">
        <f>$A49+1</f>
        <v>17</v>
      </c>
      <c r="B52" t="s" s="247">
        <v>50</v>
      </c>
      <c r="C52" t="s" s="248">
        <v>56</v>
      </c>
      <c r="D52" t="s" s="303">
        <v>99</v>
      </c>
      <c r="E52" t="s" s="250">
        <v>52</v>
      </c>
      <c r="F52" t="s" s="251">
        <f>IF(G52="","",IF(OR(AND($C52&lt;&gt;" ",$C53=" "),AND($C53&lt;&gt;" ",$C52=" "),AND(L54&gt;0,OR(AND($C54&lt;&gt;" ",OR($C52=" ",$C53=" ")),AND($C54=" ",OR($C52&lt;&gt;" ",$C53&lt;&gt;" "))))),IF(SUM(F$4:F51)=0,1,LARGE(F$4:F51,1)+1),IF(MONTH(G52)=MONTH(TODAY()),IF(AND(DAY(G52)&lt;DAY(TODAY()),$B52=" "),IF(SUM(F$4:F51)=0,1,LARGE(F$4:F51,1)+1),IF($B52=" ",IF(AND(DAY(G52)=DAY(TODAY()),HOUR(G52)&lt;=HOUR(NOW())+1),IF(AND(HOUR(G52)+2&lt;=HOUR(NOW()),DAY(G52)&lt;=DAY(TODAY()),MINUTE(G52)&lt;=MINUTE(NOW())),IF(SUM(F$4:F51)=0,1,LARGE(F$4:F51,1)+1),IF(OR(MINUTE(G52)&lt;=MINUTE(NOW()),HOUR(G52)&lt;=HOUR(NOW())),"!!!","")),""),"")),"")))</f>
      </c>
      <c r="G52" s="252">
        <v>44944.875</v>
      </c>
      <c r="H52" t="s" s="253">
        <v>97</v>
      </c>
      <c r="I52" s="292">
        <v>1</v>
      </c>
      <c r="J52" s="293"/>
      <c r="K52" t="s" s="256">
        <v>44</v>
      </c>
      <c r="L52" s="257">
        <v>1.444</v>
      </c>
      <c r="M52" s="258"/>
      <c r="N52" s="259">
        <v>0</v>
      </c>
      <c r="O52" s="260">
        <f>IF(OR(AE52="",AE53=""),"",ROUND(IF(L54&gt;0,IF(M52&gt;0,M52,IF(M53&gt;0,ROUND((M53*AE52)/AE53,IF(N52=0,2,IF(N52=0.1,1,0))),ROUND((M54*AE52)/AE54,IF(N52=0,2,IF(N52=0.1,1,0))))),IF(M52&gt;0,M52,ROUND((M53*AE52)/AE53,IF(N52=0,2,IF(N52=0.1,1,0))))),2))</f>
        <v>25.37</v>
      </c>
      <c r="P52" s="261">
        <f>IF(OR(L52="",O52=""),"",IF($C52="1/2W",O52/2+O52/2*L52,IF($C52="1/2L",O52/2,IF(I52="Lay",(O52*(L52/(L52-1))-O52)*(1-_xlfn.XLOOKUP(K52,'Janeiro 2023 - Valor Real'!A3:A15,'Janeiro 2023 - Valor Real'!C3:C15,0))+O52,(O52*L52-O52)*(1-_xlfn.XLOOKUP(K52,'Janeiro 2023 - Valor Real'!A3:A15,'Janeiro 2023 - Valor Real'!C3:C15,0))+O52))))</f>
        <v>36.63428</v>
      </c>
      <c r="Q52" s="262">
        <v>1</v>
      </c>
      <c r="R52" s="263">
        <v>0</v>
      </c>
      <c r="S52" s="264">
        <f>IF($B52="Anulado",0,ROUND(IF(OR($B52="LOSS",$B52="OK"),IF(OR($C52="W",$C52="1/2W",$C52="1/2L"),P52-O52,IF($C52="L",-O52,0))+IF(OR($C53="W",$C53="1/2W",$C53="1/2L"),P53-O53,IF($C53="L",-O53,0))+IF(OR($C54="W",$C54="1/2W",$C54="1/2L"),P54-O54,IF($C54="L",-O54,0)),IF(AND(OR($C52="W",$C52="1/2W",$C52="1/2L"),C53="W"),P52+P53-SUM(O52:O54)+_xlfn.XLOOKUP("X",C52:C54,O52:O54,0),IF(AND(C52=TRUE,C54="W"),P52+P54-SUM(O52:O54),IF(AND(C53="W",C54="W"),P53+P54-SUM(O52:O54)+_xlfn.XLOOKUP("X",C52:C54,O52:O54,0),IF(L54&gt;0,IF(OR($C52="W",$C52="1/2W",$C52="1/2L"),P52-SUM(O52:O54)+_xlfn.XLOOKUP("X",C52:C54,O52:O54,0),IF(OR($C52="W",$C52="1/2W",$C52="1/2L"),P53-SUM(O52:O54)+_xlfn.XLOOKUP("X",C52:C54,O52:O54,0),IF(OR($C52="W",$C52="1/2W",$C52="1/2L"),P54-SUM(O52:O54)+_xlfn.XLOOKUP("X",C52:C54,O52:O54,0),IF(SUM(P52:P54)/3-SUM(O52:O54)+_xlfn.XLOOKUP("X",C52:C54,O52:O54,0)&gt;0,SUM(P52:P54)/3-SUM(O52:O54)+_xlfn.XLOOKUP("X",C52:C54,O52:O54,0),LARGE(P52:P54,1)-SUM(O52:O54))))),IF(OR($C52="W",$C52="1/2W",$C52="1/2L"),P52-SUM(O52:O53)+_xlfn.XLOOKUP("X",C52:C54,O52:O54,0),IF(OR($C52="W",$C52="1/2W",$C52="1/2L"),P53-SUM(O52:O53)+_xlfn.XLOOKUP("X",C52:C54,O52:O54,0),SUM(P52:P53)/2-SUM(O52:O53)+_xlfn.XLOOKUP("X",C52:C54,O52:O54,0)))))))),2))</f>
        <v>1.62</v>
      </c>
      <c r="T52" s="265">
        <f>IF(S52=0,0,S52/SUM(O52:O54))</f>
        <v>0.0462724935732648</v>
      </c>
      <c r="U52" s="266">
        <f>IF($D52=$D49,IF(OR($B52="LOSS",$B52="OK",$B52="Anulada"),S52,0)+U49,IF(OR($B52="LOSS",$B52="OK",$B52="Anulada"),S52,0))</f>
        <v>1.62</v>
      </c>
      <c r="V52" s="266">
        <f>IF($D52="",0,IF($D52=$D49,IF($B52=" ",IF(I54="",IF(OR(AND(I52="DNB1",I53="DNB2"),AND(OR(I52="DNB1",I52="DNB2"),J53=0),AND(OR(I53="DNB1",I53="DNB2"),J52=0),AND(I52="DNB2",I53="DNB1"),AND(IF(J52=0,(J52+1)/ROUND(J52+1,0),J52/ROUND(J52,0))=1,IF(J53=0,(J53+1)/ROUND(IF(J53="",0,J53)+1,0),IF(J53="",0,J53)/ROUND(IF(J53="",1,J53),0))=1,OR(J52&lt;&gt;""),J53&lt;&gt;"")),0,IF(S52&lt;0,IF(I54="",SMALL(P52:P53,1)-SUM(O52:O53),0),SMALL(P52:P53,1)-SUM(O52:O53))),IF(S52&lt;0,IF(I54="",SMALL(P52:P54,1)-SUM(O52:O54),0),LARGE(P52:P54,1)-SUM(O52:O54))),S52)+V49,IF(I54="",IF(OR(AND(I52="DNB1",I53="DNB2"),AND(OR(I52="DNB1",I52="DNB2"),J53=0),AND(OR(I53="DNB1",I53="DNB2"),J52=0),AND(I52="DNB2",I53="DNB1"),AND(IF(J52=0,(J52+1)/ROUND(J52+1,0),J52/ROUND(J52,0))=1,IF(J53=0,(IF(J53="",0,J53)+1)/ROUND(IF(J53="",0,J53)+1,0),IF(J53="",0,J53)/ROUND(IF(J53="",0,J53)+1,0))=1,OR(J52&lt;&gt;""),J53&lt;&gt;"")),0,IF(S52&lt;0,IF(I54="",SMALL(P52:P53,1)-SUM(O52:O53),0),SMALL(P52:P54,1)-SUM(O52:O54))),IF(S52&lt;0,IF(I54="",SMALL(P52:P54,1)-SUM(O52:O54),0),LARGE(P52:P54,1)-SUM(O52:O54)))))</f>
        <v>1.622</v>
      </c>
      <c r="W52" s="266">
        <f>IF($D52=$D49,IF(S52&lt;0,IF(I54="",S52,0),S52)+W49,S52)</f>
        <v>1.62</v>
      </c>
      <c r="X52" t="s" s="267">
        <f>IF(OR(SUM(R52:R54)=0,V52=W52),ROUND(IF(W52=0,0,W52/Y52)*100,2)&amp;"%",ROUND(IF(V52=0,0,V52/Y52)*100,2)&amp;"% a "&amp;ROUND(IF(W52=0,0,W52/Y52)*100,2)&amp;"%")</f>
        <v>100</v>
      </c>
      <c r="Y52" s="268">
        <f>IF($D52=$D49,Y49+SUM(O52:O54),SUM(O52:O54))</f>
        <v>35.01</v>
      </c>
      <c r="Z52" s="266">
        <f>IF($B52=" ",SUM(O52:O54),0)+Z49</f>
        <v>0</v>
      </c>
      <c r="AA52" s="266">
        <f>IF(G52="","",IF($B52="Anulado",LARGE(P52:P54,1)-SUM(O52:O54)+AA49,AA49))</f>
        <v>0</v>
      </c>
      <c r="AB52" s="266">
        <f>IF($D52="","",AB49+S52)</f>
        <v>79.72</v>
      </c>
      <c r="AC52" s="269">
        <f>IF($D52="","",IF($B52=" ",IF(DAY(G52)=DAY(TODAY()),1+AC49,0+AC49),0+AC49))</f>
        <v>0</v>
      </c>
      <c r="AD52" s="270">
        <f>(1-_xlfn.XLOOKUP(K50,'Janeiro 2023 - Valor Real'!A3:A15,'Janeiro 2023 - Valor Real'!C3:C15,0))+1</f>
        <v>2</v>
      </c>
      <c r="AE52" s="271">
        <f>IF(L52="","",IF(L54&gt;0,(SUM(((L52-1)*(1-_xlfn.XLOOKUP(K52,'Janeiro 2023 - Valor Real'!A3:A15,'Janeiro 2023 - Valor Real'!C3:C15,0))+1),((L53-1)*(1-_xlfn.XLOOKUP(K53,'Janeiro 2023 - Valor Real'!A3:A15,'Janeiro 2023 - Valor Real'!C3:C15,0))+1),((L54-1)*(1-_xlfn.XLOOKUP(K54,'Janeiro 2023 - Valor Real'!A3:A15,'Janeiro 2023 - Valor Real'!C3:C15,0))+1))/((L52-1)*(1-_xlfn.XLOOKUP(K52,'Janeiro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Real'!C3:C15,0))+1))/((L52-1)*(1-_xlfn.XLOOKUP(K52,'Janeiro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Real'!C3:C15,0))+1))/((L53-1)*(1-_xlfn.XLOOKUP(K53,'Janeiro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Real'!C3:C15,0))+1))/((L54-1)*(1-_xlfn.XLOOKUP(K54,'Janeiro 2023 - Valor Real'!A3:A15,'Janeiro 2023 - Valor Real'!C3:C15,0))+1)),IF(I52="Lay",IF(I53="Lay",((L53/(L53-1)-1)*(1-_xlfn.XLOOKUP(K53,'Janeiro 2023 - Valor Real'!A3:A15,'Janeiro 2023 - Valor Real'!C3:C15,0))+1)/(((L53/(L53-1)-1)*(1-_xlfn.XLOOKUP(K53,'Janeiro 2023 - Valor Real'!A3:A15,'Janeiro 2023 - Valor Real'!C3:C15,0))+1)+((L52/(L52-1)-1)*(1-_xlfn.XLOOKUP(K52,'Janeiro 2023 - Valor Real'!A3:A15,'Janeiro 2023 - Valor Real'!C3:C15,0))+1)),((L53-1)*(1-_xlfn.XLOOKUP(K53,'Janeiro 2023 - Valor Real'!A3:A15,'Janeiro 2023 - Valor Real'!C3:C15,0))+1)/(((L53-1)*(1-_xlfn.XLOOKUP(K53,'Janeiro 2023 - Valor Real'!A3:A15,'Janeiro 2023 - Valor Real'!C3:C15,0))+1)+((L52/(L52-1)-1)*(1-_xlfn.XLOOKUP(K52,'Janeiro 2023 - Valor Real'!A3:A15,'Janeiro 2023 - Valor Real'!C3:C15,0))+1))),IF(I53="Lay",(((L53/(L53-1)-1)*(1-_xlfn.XLOOKUP(K53,'Janeiro 2023 - Valor Real'!A3:A15,'Janeiro 2023 - Valor Real'!C3:C15,0))+1))/(((L52-1)*(1-_xlfn.XLOOKUP(K52,'Janeiro 2023 - Valor Real'!A3:A15,'Janeiro 2023 - Valor Real'!C3:C15,0))+1)+((L53/(L53-1)-1)*(1-_xlfn.XLOOKUP(K53,'Janeiro 2023 - Valor Real'!A3:A15,'Janeiro 2023 - Valor Real'!C3:C15,0))+1)),((L53-1)*(1-_xlfn.XLOOKUP(K53,'Janeiro 2023 - Valor Real'!A3:A15,'Janeiro 2023 - Valor Real'!C3:C15,0))+1)/(((L53-1)*(1-_xlfn.XLOOKUP(K53,'Janeiro 2023 - Valor Real'!A3:A15,'Janeiro 2023 - Valor Real'!C3:C15,0))+1)+((L52-1)*(1-_xlfn.XLOOKUP(K52,'Janeiro 2023 - Valor Real'!A3:A15,'Janeiro 2023 - Valor Real'!C3:C15,0))+1))))))</f>
        <v>0.72463768115942</v>
      </c>
      <c r="AF52" s="132">
        <f>IF($K52=AF$3,ROUND(IF(OR($C52="W",$C52="1/2W",$C52="1/2L"),$P52-$O52,IF($C52="X",0,-$O52)),2),0)</f>
        <v>0</v>
      </c>
      <c r="AG52" s="133">
        <f>IF($K52=AG$3,ROUND(IF(OR($C52="W",$C52="1/2W",$C52="1/2L"),$P52-$O52,IF($C52="X",0,-$O52)),2),0)</f>
        <v>0</v>
      </c>
      <c r="AH52" s="133">
        <f>IF($K52=AH$3,ROUND(IF(OR($C52="W",$C52="1/2W",$C52="1/2L"),$P52-$O52,IF($C52="X",0,-$O52)),2),0)</f>
        <v>0</v>
      </c>
      <c r="AI52" s="133">
        <f>IF($K52=AI$3,ROUND(IF(OR($C52="W",$C52="1/2W",$C52="1/2L"),$P52-$O52,IF($C52="X",0,-$O52)),2),0)</f>
        <v>0</v>
      </c>
      <c r="AJ52" s="133">
        <f>IF($K52=AJ$3,ROUND(IF(OR($C52="W",$C52="1/2W",$C52="1/2L"),$P52-$O52,IF($C52="X",0,-$O52)),2),0)</f>
        <v>0</v>
      </c>
      <c r="AK52" s="133">
        <f>IF($K52=AK$3,ROUND(IF(OR($C52="W",$C52="1/2W",$C52="1/2L"),$P52-$O52,IF($C52="X",0,-$O52)),2),0)</f>
        <v>0</v>
      </c>
      <c r="AL52" s="133">
        <f>IF($K52=AL$3,ROUND(IF(OR($C52="W",$C52="1/2W",$C52="1/2L"),$P52-$O52,IF($C52="X",0,-$O52)),2),0)</f>
        <v>0</v>
      </c>
      <c r="AM52" s="133">
        <f>IF($K52=AM$3,ROUND(IF(OR($C52="W",$C52="1/2W",$C52="1/2L"),$P52-$O52,IF($C52="X",0,-$O52)),2),0)</f>
        <v>11.26</v>
      </c>
      <c r="AN52" s="133">
        <f>IF($K52=AN$3,ROUND(IF(OR($C52="W",$C52="1/2W",$C52="1/2L"),$P52-$O52,IF($C52="X",0,-$O52)),2),0)</f>
        <v>0</v>
      </c>
      <c r="AO52" s="133">
        <f>IF($K52=AO$3,ROUND(IF(OR($C52="W",$C52="1/2W",$C52="1/2L"),$P52-$O52,IF($C52="X",0,-$O52)),2),0)</f>
        <v>0</v>
      </c>
      <c r="AP52" s="133">
        <f>IF($K52=AP$3,ROUND(IF(OR($C52="W",$C52="1/2W",$C52="1/2L"),$P52-$O52,IF($C52="X",0,-$O52)),2),0)</f>
        <v>0</v>
      </c>
      <c r="AQ52" s="133">
        <f>IF($K52=AQ$3,ROUND(IF(OR($C52="W",$C52="1/2W",$C52="1/2L"),$P52-$O52,IF($C52="X",0,-$O52)),2),0)</f>
        <v>0</v>
      </c>
      <c r="AR52" s="134">
        <f>IF($K52=AR$3,ROUND(IF(OR($C52="W",$C52="1/2W",$C52="1/2L"),$P52-$O52,IF($C52="X",0,-$O52)),2),0)</f>
        <v>0</v>
      </c>
      <c r="AS52" s="132">
        <f>IF(AND($B52=" ",$K52=AS$3),$O52,0)</f>
        <v>0</v>
      </c>
      <c r="AT52" s="133">
        <f>IF(AND($B52=" ",$K52=AT$3),$O52,0)</f>
        <v>0</v>
      </c>
      <c r="AU52" s="133">
        <f>IF(AND($B52=" ",$K52=AU$3),$O52,0)</f>
        <v>0</v>
      </c>
      <c r="AV52" s="133">
        <f>IF(AND($B52=" ",$K52=AV$3),$O52,0)</f>
        <v>0</v>
      </c>
      <c r="AW52" s="133">
        <f>IF(AND($B52=" ",$K52=AW$3),$O52,0)</f>
        <v>0</v>
      </c>
      <c r="AX52" s="133">
        <f>IF(AND($B52=" ",$K52=AX$3),$O52,0)</f>
        <v>0</v>
      </c>
      <c r="AY52" s="135">
        <f>IF(AND($B52=" ",$K52=AY$3),$O52,0)</f>
        <v>0</v>
      </c>
      <c r="AZ52" s="136">
        <f>IF(AND($B52=" ",$K52=AZ$3),$O52,0)</f>
        <v>0</v>
      </c>
      <c r="BA52" s="136">
        <f>IF(AND($B52=" ",$K52=BA$3),$O52,0)</f>
        <v>0</v>
      </c>
      <c r="BB52" s="136">
        <f>IF(AND($B52=" ",$K52=BB$3),$O52,0)</f>
        <v>0</v>
      </c>
      <c r="BC52" s="137">
        <f>IF(AND($B52=" ",$K52=BC$3),$O52,0)</f>
        <v>0</v>
      </c>
      <c r="BD52" s="133">
        <f>IF(AND($B52=" ",$K52=BD$3),$O52,0)</f>
        <v>0</v>
      </c>
      <c r="BE52" s="134">
        <f>IF(AND($B52=" ",$K52=BE$3),$O52,0)</f>
        <v>0</v>
      </c>
      <c r="BF52" s="132">
        <f>IF($K52=BF$3,IF($C52="X",0,$O52),0)</f>
        <v>0</v>
      </c>
      <c r="BG52" s="133">
        <f>IF($K52=BG$3,IF($C52="X",0,$O52),0)</f>
        <v>0</v>
      </c>
      <c r="BH52" s="133">
        <f>IF($K52=BH$3,IF($C52="X",0,$O52),0)</f>
        <v>0</v>
      </c>
      <c r="BI52" s="133">
        <f>IF($K52=BI$3,IF($C52="X",0,$O52),0)</f>
        <v>0</v>
      </c>
      <c r="BJ52" s="133">
        <f>IF($K52=BJ$3,IF($C52="X",0,$O52),0)</f>
        <v>0</v>
      </c>
      <c r="BK52" s="133">
        <f>IF($K52=BK$3,IF($C52="X",0,$O52),0)</f>
        <v>0</v>
      </c>
      <c r="BL52" s="133">
        <f>IF($K52=BL$3,IF($C52="X",0,$O52),0)</f>
        <v>0</v>
      </c>
      <c r="BM52" s="135">
        <f>IF($K52=BM$3,IF($C52="X",0,$O52),0)</f>
        <v>25.37</v>
      </c>
      <c r="BN52" s="136">
        <f>IF($K52=BN$3,IF($C52="X",0,$O52),0)</f>
        <v>0</v>
      </c>
      <c r="BO52" s="136">
        <f>IF($K52=BO$3,IF($C52="X",0,$O52),0)</f>
        <v>0</v>
      </c>
      <c r="BP52" s="136">
        <f>IF($K52=BP$3,IF($C52="X",0,$O52),0)</f>
        <v>0</v>
      </c>
      <c r="BQ52" s="137">
        <f>IF($K52=BQ$3,IF($C52="X",0,$O52),0)</f>
        <v>0</v>
      </c>
      <c r="BR52" s="134">
        <f>IF($K52=BR$3,IF($C52="X",0,$O52),0)</f>
        <v>0</v>
      </c>
      <c r="BS52" s="170">
        <f>IF($B52="LOSS",IF(AND($K52=BS$3,$C52="L"),-$O52,0)+IF(AND($K53=BS$3,$C53="L"),-$O53,0)+IF(AND($K54=BS$3,$C54="L"),-$O54,0),IF(OR(AND($K52=BS$3,OR($C52="W",$C52="1/2W")),AND($K53=BS$3,OR($C53="W",$C53="1/2W")),AND($K54=BS$3,OR($C54="W",$C54="1/2W"))),$S52,0))</f>
        <v>0</v>
      </c>
      <c r="BT52" s="272">
        <f>IF($B52="LOSS",IF(AND($K52=BT$3,$C52="L"),-$O52,0)+IF(AND($K53=BT$3,$C53="L"),-$O53,0)+IF(AND($K53=BT$3,$C54="L"),-$O54,0),IF(OR(AND($K53=BT$3,OR($C52="W",$C52="1/2W")),AND($K53=BT$3,OR($C53="W",$C53="1/2W")),AND($K53=BT$3,OR($C54="W",$C54="1/2W"))),$S52,0))</f>
        <v>0</v>
      </c>
      <c r="BU52" s="136">
        <f>IF($B52="LOSS",IF(AND($K52=BU$3,$C52="L"),-$O52,0)+IF(AND($K53=BU$3,$C53="L"),-$O53,0)+IF(AND($K53=BU$3,$C54="L"),-$O54,0),IF(OR(AND($K53=BU$3,OR($C52="W",$C52="1/2W")),AND($K53=BU$3,OR($C53="W",$C53="1/2W")),AND($K53=BU$3,OR($C54="W",$C54="1/2W"))),$S52,0))</f>
        <v>0</v>
      </c>
      <c r="BV52" s="136">
        <f>IF($B52="LOSS",IF(AND($K52=BV$3,$C52="L"),-$O52,0)+IF(AND($K53=BV$3,$C53="L"),-$O53,0)+IF(AND($K54=BV$3,$C54="L"),-$O54,0),IF(OR(AND($K52=BV$3,OR($C52="W",$C52="1/2W")),AND($K53=BV$3,OR($C53="W",$C53="1/2W")),AND($K54=BV$3,OR($C54="W",$C54="1/2W"))),$S52,0))</f>
        <v>0</v>
      </c>
      <c r="BW52" s="136">
        <f>IF($B52="LOSS",IF(AND($K52=BW$3,$C52="L"),-$O52,0)+IF(AND($K53=BW$3,$C53="L"),-$O53,0)+IF(AND($K54=BW$3,$C54="L"),-$O54,0),IF(OR(AND($K52=BW$3,OR($C52="W",$C52="1/2W")),AND($K53=BW$3,OR($C53="W",$C53="1/2W")),AND($K54=BW$3,OR($C54="W",$C54="1/2W"))),$S52,0))</f>
        <v>0</v>
      </c>
      <c r="BX52" s="136">
        <f>IF($B52="LOSS",IF(AND($K52=BX$3,$C52="L"),-$O52,0)+IF(AND($K53=BX$3,$C53="L"),-$O53,0)+IF(AND($K54=BX$3,$C54="L"),-$O54,0),IF(OR(AND($K52=BX$3,OR($C52="W",$C52="1/2W")),AND($K53=BX$3,OR($C53="W",$C53="1/2W")),AND($K54=BX$3,OR($C54="W",$C54="1/2W"))),$S52,0))</f>
        <v>0</v>
      </c>
      <c r="BY52" s="136">
        <f>IF($B52="LOSS",IF(AND($K52=BY$3,$C52="L"),-$O52,0)+IF(AND($K53=BY$3,$C53="L"),-$O53,0)+IF(AND($K54=BY$3,$C54="L"),-$O54,0),IF(OR(AND($K52=BY$3,OR($C52="W",$C52="1/2W")),AND($K53=BY$3,OR($C53="W",$C53="1/2W")),AND($K54=BY$3,OR($C54="W",$C54="1/2W"))),$S52,0))</f>
        <v>0</v>
      </c>
      <c r="BZ52" s="136">
        <f>IF($B52="LOSS",IF(AND($K52=BZ$3,$C52="L"),-$O52,0)+IF(AND($K53=BZ$3,$C53="L"),-$O53,0)+IF(AND($K54=BZ$3,$C54="L"),-$O54,0),IF(OR(AND($K52=BZ$3,OR($C52="W",$C52="1/2W")),AND($K53=BZ$3,OR($C53="W",$C53="1/2W")),AND($K54=BZ$3,OR($C54="W",$C54="1/2W"))),$S52,0))</f>
        <v>1.62</v>
      </c>
      <c r="CA52" s="136">
        <f>IF($B52="LOSS",IF(AND($K52=CA$3,$C52="L"),-$O52,0)+IF(AND($K53=CA$3,$C53="L"),-$O53,0)+IF(AND($K54=CA$3,$C54="L"),-$O54,0),IF(OR(AND($K52=CA$3,OR($C52="W",$C52="1/2W")),AND($K53=CA$3,OR($C53="W",$C53="1/2W")),AND($K54=CA$3,OR($C54="W",$C54="1/2W"))),$S52,0))</f>
        <v>0</v>
      </c>
      <c r="CB52" s="136">
        <f>IF($B52="LOSS",IF(AND($K52=CB$3,$C52="L"),-$O52,0)+IF(AND($K53=CB$3,$C53="L"),-$O53,0)+IF(AND($K54=CB$3,$C54="L"),-$O54,0),IF(OR(AND($K52=CB$3,OR($C52="W",$C52="1/2W")),AND($K53=CB$3,OR($C53="W",$C53="1/2W")),AND($K54=CB$3,OR($C54="W",$C54="1/2W"))),$S52,0))</f>
        <v>0</v>
      </c>
      <c r="CC52" s="136">
        <f>IF($B52="LOSS",IF(AND($K52=CC$3,$C52="L"),-$O52,0)+IF(AND($K53=CC$3,$C53="L"),-$O53,0)+IF(AND($K54=CC$3,$C54="L"),-$O54,0),IF(OR(AND($K52=CC$3,OR($C52="W",$C52="1/2W")),AND($K53=CC$3,OR($C53="W",$C53="1/2W")),AND($K54=CC$3,OR($C54="W",$C54="1/2W"))),$S52,0))</f>
        <v>0</v>
      </c>
      <c r="CD52" s="137">
        <f>IF($B52="LOSS",IF(AND($K52=CD$3,$C52="L"),-$O52,0)+IF(AND($K53=CD$3,$C53="L"),-$O53,0)+IF(AND($K54=CD$3,$C54="L"),-$O54,0),IF(OR(AND($K52=CD$3,OR($C52="W",$C52="1/2W")),AND($K53=CD$3,OR($C53="W",$C53="1/2W")),AND($K54=CD$3,OR($C54="W",$C54="1/2W"))),$S52,0))</f>
        <v>0</v>
      </c>
      <c r="CE52" s="134">
        <f>IF($B52="LOSS",IF(AND($K52=CE$3,$C52="L"),-$O52,0)+IF(AND($K53=CE$3,$C53="L"),-$O53,0)+IF(AND($K54=CE$3,$C54="L"),-$O54,0),IF(OR(AND($K52=CE$3,OR($C52="W",$C52="1/2W")),AND($K53=CE$3,OR($C53="W",$C53="1/2W")),AND($K54=CE$3,OR($C54="W",$C54="1/2W"))),$S52,0))</f>
        <v>0</v>
      </c>
      <c r="CF52" s="273">
        <f>IF(CF$3=$K52,IF($C52="W",1,IF($C52="1/2W",0.5,0)),0)</f>
        <v>0</v>
      </c>
      <c r="CG52" s="274">
        <f>IF(CF$3=$K52,IF($C52="L",1,IF($C52="1/2L",0.5,0)),0)</f>
        <v>0</v>
      </c>
      <c r="CH52" s="274">
        <f>IF(CH$3=$K52,IF($C52="W",1,IF($C52="1/2W",0.5,0)),0)</f>
        <v>0</v>
      </c>
      <c r="CI52" s="274">
        <f>IF(CH$3=$K52,IF($C52="L",1,IF($C52="1/2L",0.5,0)),0)</f>
        <v>0</v>
      </c>
      <c r="CJ52" s="274">
        <f>IF(CJ$3=$K52,IF($C52="W",1,IF($C52="1/2W",0.5,0)),0)</f>
        <v>0</v>
      </c>
      <c r="CK52" s="274">
        <f>IF(CJ$3=$K52,IF($C52="L",1,IF($C52="1/2L",0.5,0)),0)</f>
        <v>0</v>
      </c>
      <c r="CL52" s="274">
        <f>IF(CL$3=$K52,IF($C52="W",1,IF($C52="1/2W",0.5,0)),0)</f>
        <v>0</v>
      </c>
      <c r="CM52" s="274">
        <f>IF(CL$3=$K52,IF($C52="L",1,IF($C52="1/2L",0.5,0)),0)</f>
        <v>0</v>
      </c>
      <c r="CN52" s="274">
        <f>IF(CN$3=$K52,IF($C52="W",1,IF($C52="1/2W",0.5,0)),0)</f>
        <v>0</v>
      </c>
      <c r="CO52" s="274">
        <f>IF(CN$3=$K52,IF($C52="L",1,IF($C52="1/2L",0.5,0)),0)</f>
        <v>0</v>
      </c>
      <c r="CP52" s="274">
        <f>IF(CP$3=$K52,IF($C52="W",1,IF($C52="1/2W",0.5,0)),0)</f>
        <v>0</v>
      </c>
      <c r="CQ52" s="274">
        <f>IF(CP$3=$K52,IF($C52="L",1,IF($C52="1/2L",0.5,0)),0)</f>
        <v>0</v>
      </c>
      <c r="CR52" s="274">
        <f>IF(CR$3=$K52,IF($C52="W",1,IF($C52="1/2W",0.5,0)),0)</f>
        <v>0</v>
      </c>
      <c r="CS52" s="274">
        <f>IF(CR$3=$K52,IF($C52="L",1,IF($C52="1/2L",0.5,0)),0)</f>
        <v>0</v>
      </c>
      <c r="CT52" s="145">
        <f>IF(CT$3=$K52,IF($C52="W",1,IF($C52="1/2W",0.5,0)),0)</f>
        <v>1</v>
      </c>
      <c r="CU52" s="146">
        <f>IF(CT$3=$K52,IF($C52="L",1,IF($C52="1/2L",0.5,0)),0)</f>
        <v>0</v>
      </c>
      <c r="CV52" s="146">
        <f>IF(CV$3=$K52,IF($C52="W",1,IF($C52="1/2W",0.5,0)),0)</f>
        <v>0</v>
      </c>
      <c r="CW52" s="146">
        <f>IF(CV$3=$K52,IF($C52="L",1,IF($C52="1/2L",0.5,0)),0)</f>
        <v>0</v>
      </c>
      <c r="CX52" s="146">
        <f>IF(CX$3=$K52,IF($C52="W",1,IF($C52="1/2W",0.5,0)),0)</f>
        <v>0</v>
      </c>
      <c r="CY52" s="146">
        <f>IF(CX$3=$K52,IF($C52="L",1,IF($C52="1/2L",0.5,0)),0)</f>
        <v>0</v>
      </c>
      <c r="CZ52" s="146">
        <f>IF(CZ$3=$K52,IF($C52="W",1,IF($C52="1/2W",0.5,0)),0)</f>
        <v>0</v>
      </c>
      <c r="DA52" s="146">
        <f>IF(CZ$3=$K52,IF($C52="L",1,IF($C52="1/2L",0.5,0)),0)</f>
        <v>0</v>
      </c>
      <c r="DB52" s="146">
        <f>IF(DB$3=$K52,IF($C52="W",1,IF($C52="1/2W",0.5,0)),0)</f>
        <v>0</v>
      </c>
      <c r="DC52" s="146">
        <f>IF(DB$3=$K52,IF($C52="L",1,IF($C52="1/2L",0.5,0)),0)</f>
        <v>0</v>
      </c>
      <c r="DD52" s="146">
        <f>IF(DD$3=$K52,IF($C52="W",1,IF($C52="1/2W",0.5,0)),0)</f>
        <v>0</v>
      </c>
      <c r="DE52" s="147">
        <f>IF(DD$3=$K52,IF($C52="L",1,IF($C52="1/2L",0.5,0)),0)</f>
        <v>0</v>
      </c>
      <c r="DF52" s="143">
        <f>IF(AND(L52&lt;DF$3,$C52="W"),1+DF51,DF51)</f>
        <v>4</v>
      </c>
      <c r="DG52" s="133">
        <f>IF(DF52&gt;DF51,L52+DG51,DG51)</f>
        <v>5.438</v>
      </c>
      <c r="DH52" s="146">
        <f>IF(AND(L52&gt;DH$3,$C52="W"),1+DH51,0+DH51)</f>
        <v>1</v>
      </c>
      <c r="DI52" s="133">
        <f>IF(DH52&gt;DH51,L52+DI51,DI51)</f>
        <v>4.33</v>
      </c>
      <c r="DJ52" t="s" s="304">
        <f>IF($D52="","",$D52)</f>
        <v>101</v>
      </c>
      <c r="DK52" s="146">
        <f>IF(AND($B52=" ",$D52&lt;&gt;""),1,0)</f>
        <v>0</v>
      </c>
    </row>
    <row r="53" ht="14.55" customHeight="1">
      <c r="A53" s="107"/>
      <c r="B53" s="108"/>
      <c r="C53" t="s" s="109">
        <v>51</v>
      </c>
      <c r="D53" s="110"/>
      <c r="E53" s="111"/>
      <c r="F53" s="113"/>
      <c r="G53" s="252"/>
      <c r="H53" s="114"/>
      <c r="I53" s="294">
        <v>2</v>
      </c>
      <c r="J53" t="s" s="295">
        <f>IF(OR(I52="TO",I52="TU",I52="TO1",I52="TU1",I52="TO2",I52="TU2"),J52,IF(OR(I52="AH1",I52="AH2"),IF(OR(I53="AH1",I53="AH2"),-J52,IF(OR(I53="EH1",I53="EH2"),-J52+0.5,"")),IF(OR(I52="EH1",I52="EH2"),IF(OR(I53="AH1",I53="AH2"),-J52+0.5,IF(OR(I53="EH1",I53="EH2"),-J52+1,"")),IF(AND(OR(I52="DNB1",I52="DNB2"),OR(I53="AH1",I53="AH2")),0,IF(AND(I52="Not ScoreBoth",OR(I53="TO1",I53="TO2")),0.5,"")))))</f>
      </c>
      <c r="K53" t="s" s="117">
        <v>41</v>
      </c>
      <c r="L53" s="277">
        <v>3.8</v>
      </c>
      <c r="M53" s="278">
        <v>9.640000000000001</v>
      </c>
      <c r="N53" s="120"/>
      <c r="O53" s="121">
        <f>IF(OR(AE52="",AE53=""),"",ROUND(IF(L54&gt;0,IF(M53&gt;0,M53,IF(M52&gt;0,IF(N52=TRUE,ROUND((M52*AE53)/AE52,0),(M52*AE53)/AE52),IF(M53&gt;0,ROUND(M53,IF(N52=0,2,IF(N52=0.1,1,0))),IF(M54&gt;0,ROUND(O54*AE53/AE54,IF(N52=0,2,IF(N52=0.1,1,0))),0)))),IF(M53&gt;0,M53,ROUND((M52*AE53)/AE52,IF(N52=0,2,IF(N52=0.1,1,0))))),2))</f>
        <v>9.640000000000001</v>
      </c>
      <c r="P53" s="122">
        <f>IF(OR(L53="",O53=""),"",IF($C53="1/2W",O53/2+O53/2*L53,IF($C53="1/2L",O53/2,IF(I53="Lay",((O53*(L53/(L53-1)))-O53)*(1-_xlfn.XLOOKUP(K53,'Janeiro 2023 - Valor Real'!A3:A15,'Janeiro 2023 - Valor Real'!C3:C15,0))+O53,(O53*L53-O53)*(1-_xlfn.XLOOKUP(K53,'Janeiro 2023 - Valor Real'!A3:A15,'Janeiro 2023 - Valor Real'!C3:C15,0))+O53))))</f>
        <v>36.632</v>
      </c>
      <c r="Q53" s="279">
        <v>1</v>
      </c>
      <c r="R53" s="280">
        <v>0</v>
      </c>
      <c r="S53" s="125"/>
      <c r="T53" s="126"/>
      <c r="U53" s="126"/>
      <c r="V53" s="224"/>
      <c r="W53" s="126"/>
      <c r="X53" s="127"/>
      <c r="Y53" s="128"/>
      <c r="Z53" s="129"/>
      <c r="AA53" s="129"/>
      <c r="AB53" s="129"/>
      <c r="AC53" s="129"/>
      <c r="AD53" s="130"/>
      <c r="AE53" s="131">
        <f>IF(L53="","",IF(L54&gt;0,(SUM(((L52-1)*(1-_xlfn.XLOOKUP(K52,'Janeiro 2023 - Valor Real'!A3:A15,'Janeiro 2023 - Valor Real'!C3:C15,0))+1),((L53-1)*(1-_xlfn.XLOOKUP(K53,'Janeiro 2023 - Valor Real'!A3:A15,'Janeiro 2023 - Valor Real'!C3:C15,0))+1),((L54-1)*(1-_xlfn.XLOOKUP(K54,'Janeiro 2023 - Valor Real'!A3:A15,'Janeiro 2023 - Valor Real'!C3:C15,0))+1))/((L53-1)*(1-_xlfn.XLOOKUP(K53,'Janeiro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Real'!C3:C15,0))+1))/((L52-1)*(1-_xlfn.XLOOKUP(K52,'Janeiro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Real'!C3:C15,0))+1))/((L53-1)*(1-_xlfn.XLOOKUP(K53,'Janeiro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Real'!C3:C15,0))+1))/((L54-1)*(1-_xlfn.XLOOKUP(K54,'Janeiro 2023 - Valor Real'!A3:A15,'Janeiro 2023 - Valor Real'!C3:C15,0))+1)),IF(I53="Lay",IF(I52="Lay",((L52/(L52-1)-1)*(1-_xlfn.XLOOKUP(K52,'Janeiro 2023 - Valor Real'!A3:A15,'Janeiro 2023 - Valor Real'!C3:C15,0))+1)/(((L52/(L52-1)-1)*(1-_xlfn.XLOOKUP(K52,'Janeiro 2023 - Valor Real'!A3:A15,'Janeiro 2023 - Valor Real'!C3:C15,0))+1)+((L53/(L53-1)-1)*(1-_xlfn.XLOOKUP(K53,'Janeiro 2023 - Valor Real'!A3:A15,'Janeiro 2023 - Valor Real'!C3:C15,0))+1)),((L52-1)*(1-_xlfn.XLOOKUP(K52,'Janeiro 2023 - Valor Real'!A3:A15,'Janeiro 2023 - Valor Real'!C3:C15,0))+1)/(((L52-1)*(1-_xlfn.XLOOKUP(K52,'Janeiro 2023 - Valor Real'!A3:A15,'Janeiro 2023 - Valor Real'!C3:C15,0))+1)+((L53/(L53-1)-1)*(1-_xlfn.XLOOKUP(K53,'Janeiro 2023 - Valor Real'!A3:A15,'Janeiro 2023 - Valor Real'!C3:C15,0))+1))),IF(I52="Lay",((L52/(L52-1)-1)*(1-_xlfn.XLOOKUP(K52,'Janeiro 2023 - Valor Real'!A3:A15,'Janeiro 2023 - Valor Real'!C3:C15,0))+1)/((((L52/(L52-1)-1)*(1-_xlfn.XLOOKUP(K52,'Janeiro 2023 - Valor Real'!A3:A15,'Janeiro 2023 - Valor Real'!C3:C15,0))+1))+((L53-1)*(1-_xlfn.XLOOKUP(K53,'Janeiro 2023 - Valor Real'!A3:A15,'Janeiro 2023 - Valor Real'!C3:C15,0))+1)),((L52-1)*(1-_xlfn.XLOOKUP(K52,'Janeiro 2023 - Valor Real'!A3:A15,'Janeiro 2023 - Valor Real'!C3:C15,0))+1)/(((L52-1)*(1-_xlfn.XLOOKUP(K52,'Janeiro 2023 - Valor Real'!A3:A15,'Janeiro 2023 - Valor Real'!C3:C15,0))+1)+((L53-1)*(1-_xlfn.XLOOKUP(K53,'Janeiro 2023 - Valor Real'!A3:A15,'Janeiro 2023 - Valor Real'!C3:C15,0))+1))))))</f>
        <v>0.27536231884058</v>
      </c>
      <c r="AF53" s="132">
        <f>IF($K53=AF$3,ROUND(IF(OR($C53="W",$C53="1/2W",$C53="1/2L"),$P53-$O53,IF($C53="X",0,-$O53)),2),0)</f>
        <v>0</v>
      </c>
      <c r="AG53" s="133">
        <f>IF($K53=AG$3,ROUND(IF(OR($C53="W",$C53="1/2W",$C53="1/2L"),$P53-$O53,IF($C53="X",0,-$O53)),2),0)</f>
        <v>0</v>
      </c>
      <c r="AH53" s="133">
        <f>IF($K53=AH$3,ROUND(IF(OR($C53="W",$C53="1/2W",$C53="1/2L"),$P53-$O53,IF($C53="X",0,-$O53)),2),0)</f>
        <v>0</v>
      </c>
      <c r="AI53" s="133">
        <f>IF($K53=AI$3,ROUND(IF(OR($C53="W",$C53="1/2W",$C53="1/2L"),$P53-$O53,IF($C53="X",0,-$O53)),2),0)</f>
        <v>0</v>
      </c>
      <c r="AJ53" s="133">
        <f>IF($K53=AJ$3,ROUND(IF(OR($C53="W",$C53="1/2W",$C53="1/2L"),$P53-$O53,IF($C53="X",0,-$O53)),2),0)</f>
        <v>-9.640000000000001</v>
      </c>
      <c r="AK53" s="133">
        <f>IF($K53=AK$3,ROUND(IF(OR($C53="W",$C53="1/2W",$C53="1/2L"),$P53-$O53,IF($C53="X",0,-$O53)),2),0)</f>
        <v>0</v>
      </c>
      <c r="AL53" s="133">
        <f>IF($K53=AL$3,ROUND(IF(OR($C53="W",$C53="1/2W",$C53="1/2L"),$P53-$O53,IF($C53="X",0,-$O53)),2),0)</f>
        <v>0</v>
      </c>
      <c r="AM53" s="133">
        <f>IF($K53=AM$3,ROUND(IF(OR($C53="W",$C53="1/2W",$C53="1/2L"),$P53-$O53,IF($C53="X",0,-$O53)),2),0)</f>
        <v>0</v>
      </c>
      <c r="AN53" s="133">
        <f>IF($K53=AN$3,ROUND(IF(OR($C53="W",$C53="1/2W",$C53="1/2L"),$P53-$O53,IF($C53="X",0,-$O53)),2),0)</f>
        <v>0</v>
      </c>
      <c r="AO53" s="133">
        <f>IF($K53=AO$3,ROUND(IF(OR($C53="W",$C53="1/2W",$C53="1/2L"),$P53-$O53,IF($C53="X",0,-$O53)),2),0)</f>
        <v>0</v>
      </c>
      <c r="AP53" s="133">
        <f>IF($K53=AP$3,ROUND(IF(OR($C53="W",$C53="1/2W",$C53="1/2L"),$P53-$O53,IF($C53="X",0,-$O53)),2),0)</f>
        <v>0</v>
      </c>
      <c r="AQ53" s="133">
        <f>IF($K53=AQ$3,ROUND(IF(OR($C53="W",$C53="1/2W",$C53="1/2L"),$P53-$O53,IF($C53="X",0,-$O53)),2),0)</f>
        <v>0</v>
      </c>
      <c r="AR53" s="134">
        <f>IF($K53=AR$3,ROUND(IF(OR($C53="W",$C53="1/2W",$C53="1/2L"),$P53-$O53,IF($C53="X",0,-$O53)),2),0)</f>
        <v>0</v>
      </c>
      <c r="AS53" s="132">
        <f>IF(AND($B52=" ",$K53=AS$3),$O53,0)</f>
        <v>0</v>
      </c>
      <c r="AT53" s="133">
        <f>IF(AND($B52=" ",K53=AT$3),$O53,0)</f>
        <v>0</v>
      </c>
      <c r="AU53" s="133">
        <f>IF(AND($B52=" ",$K53=AU$3),$O53,0)</f>
        <v>0</v>
      </c>
      <c r="AV53" s="133">
        <f>IF(AND($B52=" ",$K53=AV$3),$O53,0)</f>
        <v>0</v>
      </c>
      <c r="AW53" s="133">
        <f>IF(AND($B52=" ",$K53=AW$3),$O53,0)</f>
        <v>0</v>
      </c>
      <c r="AX53" s="133">
        <f>IF(AND($B52=" ",$K53=AX$3),$O53,0)</f>
        <v>0</v>
      </c>
      <c r="AY53" s="135">
        <f>IF(AND($B52=" ",$K53=AY$3),$O53,0)</f>
        <v>0</v>
      </c>
      <c r="AZ53" s="136">
        <f>IF(AND($B52=" ",$K53=AZ$3),$O53,0)</f>
        <v>0</v>
      </c>
      <c r="BA53" s="136">
        <f>IF(AND($B52=" ",$K53=BA$3),$O53,0)</f>
        <v>0</v>
      </c>
      <c r="BB53" s="136">
        <f>IF(AND($B52=" ",$K53=BB$3),$O53,0)</f>
        <v>0</v>
      </c>
      <c r="BC53" s="137">
        <f>IF(AND($B52=" ",$K53=BC$3),$O53,0)</f>
        <v>0</v>
      </c>
      <c r="BD53" s="133">
        <f>IF(AND($B52=" ",$K53=BD$3),$O53,0)</f>
        <v>0</v>
      </c>
      <c r="BE53" s="134">
        <f>IF(AND($B52=" ",$K53=BE$3),$O53,0)</f>
        <v>0</v>
      </c>
      <c r="BF53" s="132">
        <f>IF($K53=BF$3,IF($C53="X",0,$O53),0)</f>
        <v>0</v>
      </c>
      <c r="BG53" s="281">
        <f>IF($K53=BG$3,IF($C53="X",0,$O53),0)</f>
        <v>0</v>
      </c>
      <c r="BH53" s="133">
        <f>IF($K53=BH$3,IF($C53="X",0,$O53),0)</f>
        <v>0</v>
      </c>
      <c r="BI53" s="133">
        <f>IF($K53=BI$3,IF($C53="X",0,$O53),0)</f>
        <v>0</v>
      </c>
      <c r="BJ53" s="133">
        <f>IF($K53=BJ$3,IF($C53="X",0,$O53),0)</f>
        <v>9.640000000000001</v>
      </c>
      <c r="BK53" s="133">
        <f>IF($K53=BK$3,IF($C53="X",0,$O53),0)</f>
        <v>0</v>
      </c>
      <c r="BL53" s="133">
        <f>IF($K53=BL$3,IF($C53="X",0,$O53),0)</f>
        <v>0</v>
      </c>
      <c r="BM53" s="135">
        <f>IF($K53=BM$3,IF($C53="X",0,$O53),0)</f>
        <v>0</v>
      </c>
      <c r="BN53" s="136">
        <f>IF($K53=BN$3,IF($C53="X",0,$O53),0)</f>
        <v>0</v>
      </c>
      <c r="BO53" s="136">
        <f>IF($K53=BO$3,IF($C53="X",0,$O53),0)</f>
        <v>0</v>
      </c>
      <c r="BP53" s="136">
        <f>IF($K53=BP$3,IF($C53="X",0,$O53),0)</f>
        <v>0</v>
      </c>
      <c r="BQ53" s="137">
        <f>IF($K53=BQ$3,IF($C53="X",0,$O53),0)</f>
        <v>0</v>
      </c>
      <c r="BR53" s="134">
        <f>IF($K53=BR$3,IF($C53="X",0,$O53),0)</f>
        <v>0</v>
      </c>
      <c r="BS53" s="282"/>
      <c r="BT53" s="283"/>
      <c r="BU53" s="140"/>
      <c r="BV53" s="283"/>
      <c r="BW53" s="140"/>
      <c r="BX53" s="140"/>
      <c r="BY53" s="140"/>
      <c r="BZ53" s="283"/>
      <c r="CA53" s="140"/>
      <c r="CB53" s="140"/>
      <c r="CC53" s="140"/>
      <c r="CD53" s="141"/>
      <c r="CE53" s="142"/>
      <c r="CF53" s="284">
        <f>IF(CF$3=$K53,IF($C53="W",1,IF($C53="1/2W",0.5,0)),0)</f>
        <v>0</v>
      </c>
      <c r="CG53" s="285">
        <f>IF(CF$3=$K53,IF($C53="L",1,IF($C53="1/2L",0.5,0)),0)</f>
        <v>0</v>
      </c>
      <c r="CH53" s="285">
        <f>IF(CH$3=$K53,IF($C53="W",1,IF($C53="1/2W",0.5,0)),0)</f>
        <v>0</v>
      </c>
      <c r="CI53" s="285">
        <f>IF(CH$3=$K53,IF($C53="L",1,IF($C53="1/2L",0.5,0)),0)</f>
        <v>0</v>
      </c>
      <c r="CJ53" s="285">
        <f>IF(CJ$3=$K53,IF($C53="W",1,IF($C53="1/2W",0.5,0)),0)</f>
        <v>0</v>
      </c>
      <c r="CK53" s="285">
        <f>IF(CJ$3=$K53,IF($C53="L",1,IF($C53="1/2L",0.5,0)),0)</f>
        <v>0</v>
      </c>
      <c r="CL53" s="285">
        <f>IF(CL$3=$K53,IF($C53="W",1,IF($C53="1/2W",0.5,0)),0)</f>
        <v>0</v>
      </c>
      <c r="CM53" s="285">
        <f>IF(CL$3=$K53,IF($C53="L",1,IF($C53="1/2L",0.5,0)),0)</f>
        <v>0</v>
      </c>
      <c r="CN53" s="285">
        <f>IF(CN$3=$K53,IF($C53="W",1,IF($C53="1/2W",0.5,0)),0)</f>
        <v>0</v>
      </c>
      <c r="CO53" s="285">
        <f>IF(CN$3=$K53,IF($C53="L",1,IF($C53="1/2L",0.5,0)),0)</f>
        <v>1</v>
      </c>
      <c r="CP53" s="285">
        <f>IF(CP$3=$K53,IF($C53="W",1,IF($C53="1/2W",0.5,0)),0)</f>
        <v>0</v>
      </c>
      <c r="CQ53" s="285">
        <f>IF(CP$3=$K53,IF($C53="L",1,IF($C53="1/2L",0.5,0)),0)</f>
        <v>0</v>
      </c>
      <c r="CR53" s="285">
        <f>IF(CR$3=$K53,IF($C53="W",1,IF($C53="1/2W",0.5,0)),0)</f>
        <v>0</v>
      </c>
      <c r="CS53" s="285">
        <f>IF(CR$3=$K53,IF($C53="L",1,IF($C53="1/2L",0.5,0)),0)</f>
        <v>0</v>
      </c>
      <c r="CT53" s="145">
        <f>IF(CT$3=$K53,IF($C53="W",1,IF($C53="1/2W",0.5,0)),0)</f>
        <v>0</v>
      </c>
      <c r="CU53" s="146">
        <f>IF(CT$3=$K53,IF($C53="L",1,IF($C53="1/2L",0.5,0)),0)</f>
        <v>0</v>
      </c>
      <c r="CV53" s="146">
        <f>IF(CV$3=$K53,IF($C53="W",1,IF($C53="1/2W",0.5,0)),0)</f>
        <v>0</v>
      </c>
      <c r="CW53" s="146">
        <f>IF(CV$3=$K53,IF($C53="L",1,IF($C53="1/2L",0.5,0)),0)</f>
        <v>0</v>
      </c>
      <c r="CX53" s="146">
        <f>IF(CX$3=$K53,IF($C53="W",1,IF($C53="1/2W",0.5,0)),0)</f>
        <v>0</v>
      </c>
      <c r="CY53" s="146">
        <f>IF(CX$3=$K53,IF($C53="L",1,IF($C53="1/2L",0.5,0)),0)</f>
        <v>0</v>
      </c>
      <c r="CZ53" s="146">
        <f>IF(CZ$3=$K53,IF($C53="W",1,IF($C53="1/2W",0.5,0)),0)</f>
        <v>0</v>
      </c>
      <c r="DA53" s="146">
        <f>IF(CZ$3=$K53,IF($C53="L",1,IF($C53="1/2L",0.5,0)),0)</f>
        <v>0</v>
      </c>
      <c r="DB53" s="146">
        <f>IF(DB$3=$K53,IF($C53="W",1,IF($C53="1/2W",0.5,0)),0)</f>
        <v>0</v>
      </c>
      <c r="DC53" s="146">
        <f>IF(DB$3=$K53,IF($C53="L",1,IF($C53="1/2L",0.5,0)),0)</f>
        <v>0</v>
      </c>
      <c r="DD53" s="146">
        <f>IF(DD$3=$K53,IF($C53="W",1,IF($C53="1/2W",0.5,0)),0)</f>
        <v>0</v>
      </c>
      <c r="DE53" s="147">
        <f>IF(DD$3=$K53,IF($C53="L",1,IF($C53="1/2L",0.5,0)),0)</f>
        <v>0</v>
      </c>
      <c r="DF53" s="143">
        <f>IF(AND(L53&lt;DF$3,$C53="W"),1+DF52,DF52)</f>
        <v>4</v>
      </c>
      <c r="DG53" s="133">
        <f>IF(DF53&gt;DF52,L53+DG52,DG52)</f>
        <v>5.438</v>
      </c>
      <c r="DH53" s="146">
        <f>IF(AND(L53&gt;DH$3,$C53="W"),1+DH52,0+DH52)</f>
        <v>1</v>
      </c>
      <c r="DI53" s="133">
        <f>IF(DH53&gt;DH52,L53+DI52,DI52)</f>
        <v>4.33</v>
      </c>
      <c r="DJ53" t="s" s="304">
        <f>IF($D52="","",$D52)</f>
        <v>101</v>
      </c>
      <c r="DK53" s="286"/>
    </row>
    <row r="54" ht="14.55" customHeight="1">
      <c r="A54" s="149"/>
      <c r="B54" s="150"/>
      <c r="C54" t="s" s="151">
        <v>58</v>
      </c>
      <c r="D54" s="152"/>
      <c r="E54" s="153"/>
      <c r="F54" s="155"/>
      <c r="G54" s="252"/>
      <c r="H54" s="156"/>
      <c r="I54" s="287"/>
      <c r="J54" s="288"/>
      <c r="K54" s="156"/>
      <c r="L54" s="289"/>
      <c r="M54" s="290"/>
      <c r="N54" s="161"/>
      <c r="O54" t="s" s="162">
        <f>IF(OR(AE52="",AE53=""),"",IF(L54&gt;0,ROUND(IF(M54&gt;0,M54,IF(M52&gt;0,ROUND((M52*AE54)/AE52,IF(N52=0,2,IF(N52=0.1,1,0))),IF(M53&gt;0,ROUND((M53*AE54)/AE53,IF(N52=0,2,IF(N52=0.1,1,0))),IF(M54&gt;0,M54,0)))),2),""))</f>
      </c>
      <c r="P54" t="s" s="163">
        <f>IF(I53="Lay",O53*(L53/(L53-1))-O53,IF(I52="Lay",O52*(L52/(L52-1))-O52,IF(OR(L54="",O54=""),"",IF($C54="1/2W",O54/2+O54/2*L54,IF($C54="1/2L",O54/2,(O54*L54-O54)*(1-_xlfn.XLOOKUP(K54,'Janeiro 2023 - Valor Real'!A3:A15,'Janeiro 2023 - Valor Real'!C3:C15,0))+O54)))))</f>
      </c>
      <c r="Q54" t="s" s="154"/>
      <c r="R54" t="s" s="163"/>
      <c r="S54" s="166"/>
      <c r="T54" s="155"/>
      <c r="U54" s="155"/>
      <c r="V54" s="166"/>
      <c r="W54" s="155"/>
      <c r="X54" s="167"/>
      <c r="Y54" s="128"/>
      <c r="Z54" s="129"/>
      <c r="AA54" s="129"/>
      <c r="AB54" s="129"/>
      <c r="AC54" s="129"/>
      <c r="AD54" s="168"/>
      <c r="AE54" t="s" s="169">
        <f>IF(L54="","",(SUM(((L52-1)*(1-_xlfn.XLOOKUP(K52,'Janeiro 2023 - Valor Real'!A3:A15,'Janeiro 2023 - Valor Real'!C3:C15,0))+1),((L53-1)*(1-_xlfn.XLOOKUP(K53,'Janeiro 2023 - Valor Real'!A3:A15,'Janeiro 2023 - Valor Real'!C3:C15,0))+1),((L54-1)*(1-_xlfn.XLOOKUP(K54,'Janeiro 2023 - Valor Real'!A3:A15,'Janeiro 2023 - Valor Real'!C3:C15,0))+1))/((L54-1)*(1-_xlfn.XLOOKUP(K54,'Janeiro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Real'!C3:C15,0))+1))/((L52-1)*(1-_xlfn.XLOOKUP(K52,'Janeiro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Real'!C3:C15,0))+1))/((L53-1)*(1-_xlfn.XLOOKUP(K53,'Janeiro 2023 - Valor Real'!A3:A15,'Janeiro 2023 - Valor Real'!C3:C15,0))+1)+SUM(((L52-1)*(1-_xlfn.XLOOKUP(K52,'Janeiro 2023 - Valor Real'!A3:A15,'Janeiro 2023 - Valor Real'!C3:C15,0))+1),((L53-1)*(1-_xlfn.XLOOKUP(K53,'Janeiro 2023 - Valor Real'!A3:A15,'Janeiro 2023 - Valor Real'!C3:C15,0))+1),((L54-1)*(1-_xlfn.XLOOKUP(K54,'Janeiro 2023 - Valor Real'!A3:A15,'Janeiro 2023 - Valor Real'!C3:C15,0))+1))/((L54-1)*(1-_xlfn.XLOOKUP(K54,'Janeiro 2023 - Valor Real'!A3:A15,'Janeiro 2023 - Valor Real'!C3:C15,0))+1)))</f>
      </c>
      <c r="AF54" s="132">
        <f>IF($K54=AF$3,ROUND(IF(OR($C54="W",$C54="1/2W",$C54="1/2L"),$P54-$O54,IF($C54="X",0,-$O54)),2),0)</f>
        <v>0</v>
      </c>
      <c r="AG54" s="133">
        <f>IF($K54=AG$3,ROUND(IF(OR($C54="W",$C54="1/2W",$C54="1/2L"),$P54-$O54,IF($C54="X",0,-$O54)),2),0)</f>
        <v>0</v>
      </c>
      <c r="AH54" s="133">
        <f>IF($K54=AH$3,ROUND(IF(OR($C54="W",$C54="1/2W",$C54="1/2L"),$P54-$O54,IF($C54="X",0,-$O54)),2),0)</f>
        <v>0</v>
      </c>
      <c r="AI54" s="133">
        <f>IF($K54=AI$3,ROUND(IF(OR($C54="W",$C54="1/2W",$C54="1/2L"),$P54-$O54,IF($C54="X",0,-$O54)),2),0)</f>
        <v>0</v>
      </c>
      <c r="AJ54" s="133">
        <f>IF($K54=AJ$3,ROUND(IF(OR($C54="W",$C54="1/2W",$C54="1/2L"),$P54-$O54,IF($C54="X",0,-$O54)),2),0)</f>
        <v>0</v>
      </c>
      <c r="AK54" s="133">
        <f>IF($K54=AK$3,ROUND(IF(OR($C54="W",$C54="1/2W",$C54="1/2L"),$P54-$O54,IF($C54="X",0,-$O54)),2),0)</f>
        <v>0</v>
      </c>
      <c r="AL54" s="133">
        <f>IF($K54=AL$3,ROUND(IF(OR($C54="W",$C54="1/2W",$C54="1/2L"),$P54-$O54,IF($C54="X",0,-$O54)),2),0)</f>
        <v>0</v>
      </c>
      <c r="AM54" s="133">
        <f>IF($K54=AM$3,ROUND(IF(OR($C54="W",$C54="1/2W",$C54="1/2L"),$P54-$O54,IF($C54="X",0,-$O54)),2),0)</f>
        <v>0</v>
      </c>
      <c r="AN54" s="133">
        <f>IF($K54=AN$3,ROUND(IF(OR($C54="W",$C54="1/2W",$C54="1/2L"),$P54-$O54,IF($C54="X",0,-$O54)),2),0)</f>
        <v>0</v>
      </c>
      <c r="AO54" s="133">
        <f>IF($K54=AO$3,ROUND(IF(OR($C54="W",$C54="1/2W",$C54="1/2L"),$P54-$O54,IF($C54="X",0,-$O54)),2),0)</f>
        <v>0</v>
      </c>
      <c r="AP54" s="133">
        <f>IF($K54=AP$3,ROUND(IF(OR($C54="W",$C54="1/2W",$C54="1/2L"),$P54-$O54,IF($C54="X",0,-$O54)),2),0)</f>
        <v>0</v>
      </c>
      <c r="AQ54" s="133">
        <f>IF($K54=AQ$3,ROUND(IF(OR($C54="W",$C54="1/2W",$C54="1/2L"),$P54-$O54,IF($C54="X",0,-$O54)),2),0)</f>
        <v>0</v>
      </c>
      <c r="AR54" s="134">
        <f>IF($K54=AR$3,ROUND(IF(OR($C54="W",$C54="1/2W",$C54="1/2L"),$P54-$O54,IF($C54="X",0,-$O54)),2),0)</f>
        <v>0</v>
      </c>
      <c r="AS54" s="132">
        <f>IF(AND($B52=" ",$K54=AS$3),$O54,0)</f>
        <v>0</v>
      </c>
      <c r="AT54" s="133">
        <f>IF(AND($B52=" ",K54=AT$3),$O54,0)</f>
        <v>0</v>
      </c>
      <c r="AU54" s="133">
        <f>IF(AND($B52=" ",$K54=AU$3),$O54,0)</f>
        <v>0</v>
      </c>
      <c r="AV54" s="133">
        <f>IF(AND($B52=" ",$K54=AV$3),$O54,0)</f>
        <v>0</v>
      </c>
      <c r="AW54" s="133">
        <f>IF(AND($B52=" ",$K54=AW$3),$O54,0)</f>
        <v>0</v>
      </c>
      <c r="AX54" s="133">
        <f>IF(AND($B52=" ",$K54=AX$3),$O54,0)</f>
        <v>0</v>
      </c>
      <c r="AY54" s="135">
        <f>IF(AND($B52=" ",$K54=AY$3),$O54,0)</f>
        <v>0</v>
      </c>
      <c r="AZ54" s="136">
        <f>IF(AND($B52=" ",$K54=AZ$3),$O54,0)</f>
        <v>0</v>
      </c>
      <c r="BA54" s="136">
        <f>IF(AND($B52=" ",$K54=BA$3),$O54,0)</f>
        <v>0</v>
      </c>
      <c r="BB54" s="136">
        <f>IF(AND($B52=" ",$K54=BB$3),$O54,0)</f>
        <v>0</v>
      </c>
      <c r="BC54" s="137">
        <f>IF(AND($B52=" ",$K54=BC$3),$O54,0)</f>
        <v>0</v>
      </c>
      <c r="BD54" s="133">
        <f>IF(AND($B52=" ",$K54=BD$3),$O54,0)</f>
        <v>0</v>
      </c>
      <c r="BE54" s="134">
        <f>IF(AND($B52=" ",$K54=BE$3),$O54,0)</f>
        <v>0</v>
      </c>
      <c r="BF54" s="132">
        <f>IF($K54=BF$3,IF($C54="X",0,$O54),0)</f>
        <v>0</v>
      </c>
      <c r="BG54" s="281">
        <f>IF($K54=BG$3,IF($C54="X",0,$O54),0)</f>
        <v>0</v>
      </c>
      <c r="BH54" s="133">
        <f>IF($K54=BH$3,IF($C54="X",0,$O54),0)</f>
        <v>0</v>
      </c>
      <c r="BI54" s="133">
        <f>IF($K54=BI$3,IF($C54="X",0,$O54),0)</f>
        <v>0</v>
      </c>
      <c r="BJ54" s="133">
        <f>IF($K54=BJ$3,IF($C54="X",0,$O54),0)</f>
        <v>0</v>
      </c>
      <c r="BK54" s="133">
        <f>IF($K54=BK$3,IF($C54="X",0,$O54),0)</f>
        <v>0</v>
      </c>
      <c r="BL54" s="133">
        <f>IF($K54=BL$3,IF($C54="X",0,$O54),0)</f>
        <v>0</v>
      </c>
      <c r="BM54" s="135">
        <f>IF($K54=BM$3,IF($C54="X",0,$O54),0)</f>
        <v>0</v>
      </c>
      <c r="BN54" s="136">
        <f>IF($K54=BN$3,IF($C54="X",0,$O54),0)</f>
        <v>0</v>
      </c>
      <c r="BO54" s="136">
        <f>IF($K54=BO$3,IF($C54="X",0,$O54),0)</f>
        <v>0</v>
      </c>
      <c r="BP54" s="136">
        <f>IF($K54=BP$3,IF($C54="X",0,$O54),0)</f>
        <v>0</v>
      </c>
      <c r="BQ54" s="137">
        <f>IF($K54=BQ$3,IF($C54="X",0,$O54),0)</f>
        <v>0</v>
      </c>
      <c r="BR54" s="134">
        <f>IF($K54=BR$3,IF($C54="X",0,$O54),0)</f>
        <v>0</v>
      </c>
      <c r="BS54" s="282"/>
      <c r="BT54" s="283"/>
      <c r="BU54" s="140"/>
      <c r="BV54" s="283"/>
      <c r="BW54" s="140"/>
      <c r="BX54" s="140"/>
      <c r="BY54" s="140"/>
      <c r="BZ54" s="283"/>
      <c r="CA54" s="140"/>
      <c r="CB54" s="140"/>
      <c r="CC54" s="140"/>
      <c r="CD54" s="141"/>
      <c r="CE54" s="142"/>
      <c r="CF54" s="284">
        <f>IF(CF$3=$K54,IF($C54="W",1,IF($C54="1/2W",0.5,0)),0)</f>
        <v>0</v>
      </c>
      <c r="CG54" s="285">
        <f>IF(CF$3=$K54,IF($C54="L",1,IF($C54="1/2L",0.5,0)),0)</f>
        <v>0</v>
      </c>
      <c r="CH54" s="285">
        <f>IF(CH$3=$K54,IF($C54="W",1,IF($C54="1/2W",0.5,0)),0)</f>
        <v>0</v>
      </c>
      <c r="CI54" s="285">
        <f>IF(CH$3=$K54,IF($C54="L",1,IF($C54="1/2L",0.5,0)),0)</f>
        <v>0</v>
      </c>
      <c r="CJ54" s="285">
        <f>IF(CJ$3=$K54,IF($C54="W",1,IF($C54="1/2W",0.5,0)),0)</f>
        <v>0</v>
      </c>
      <c r="CK54" s="285">
        <f>IF(CJ$3=$K54,IF($C54="L",1,IF($C54="1/2L",0.5,0)),0)</f>
        <v>0</v>
      </c>
      <c r="CL54" s="285">
        <f>IF(CL$3=$K54,IF($C54="W",1,IF($C54="1/2W",0.5,0)),0)</f>
        <v>0</v>
      </c>
      <c r="CM54" s="285">
        <f>IF(CL$3=$K54,IF($C54="L",1,IF($C54="1/2L",0.5,0)),0)</f>
        <v>0</v>
      </c>
      <c r="CN54" s="285">
        <f>IF(CN$3=$K54,IF($C54="W",1,IF($C54="1/2W",0.5,0)),0)</f>
        <v>0</v>
      </c>
      <c r="CO54" s="285">
        <f>IF(CN$3=$K54,IF($C54="L",1,IF($C54="1/2L",0.5,0)),0)</f>
        <v>0</v>
      </c>
      <c r="CP54" s="285">
        <f>IF(CP$3=$K54,IF($C54="W",1,IF($C54="1/2W",0.5,0)),0)</f>
        <v>0</v>
      </c>
      <c r="CQ54" s="285">
        <f>IF(CP$3=$K54,IF($C54="L",1,IF($C54="1/2L",0.5,0)),0)</f>
        <v>0</v>
      </c>
      <c r="CR54" s="285">
        <f>IF(CR$3=$K54,IF($C54="W",1,IF($C54="1/2W",0.5,0)),0)</f>
        <v>0</v>
      </c>
      <c r="CS54" s="285">
        <f>IF(CR$3=$K54,IF($C54="L",1,IF($C54="1/2L",0.5,0)),0)</f>
        <v>0</v>
      </c>
      <c r="CT54" s="145">
        <f>IF(CT$3=$K54,IF($C54="W",1,IF($C54="1/2W",0.5,0)),0)</f>
        <v>0</v>
      </c>
      <c r="CU54" s="146">
        <f>IF(CT$3=$K54,IF($C54="L",1,IF($C54="1/2L",0.5,0)),0)</f>
        <v>0</v>
      </c>
      <c r="CV54" s="146">
        <f>IF(CV$3=$K54,IF($C54="W",1,IF($C54="1/2W",0.5,0)),0)</f>
        <v>0</v>
      </c>
      <c r="CW54" s="146">
        <f>IF(CV$3=$K54,IF($C54="L",1,IF($C54="1/2L",0.5,0)),0)</f>
        <v>0</v>
      </c>
      <c r="CX54" s="146">
        <f>IF(CX$3=$K54,IF($C54="W",1,IF($C54="1/2W",0.5,0)),0)</f>
        <v>0</v>
      </c>
      <c r="CY54" s="146">
        <f>IF(CX$3=$K54,IF($C54="L",1,IF($C54="1/2L",0.5,0)),0)</f>
        <v>0</v>
      </c>
      <c r="CZ54" s="146">
        <f>IF(CZ$3=$K54,IF($C54="W",1,IF($C54="1/2W",0.5,0)),0)</f>
        <v>0</v>
      </c>
      <c r="DA54" s="146">
        <f>IF(CZ$3=$K54,IF($C54="L",1,IF($C54="1/2L",0.5,0)),0)</f>
        <v>0</v>
      </c>
      <c r="DB54" s="146">
        <f>IF(DB$3=$K54,IF($C54="W",1,IF($C54="1/2W",0.5,0)),0)</f>
        <v>0</v>
      </c>
      <c r="DC54" s="146">
        <f>IF(DB$3=$K54,IF($C54="L",1,IF($C54="1/2L",0.5,0)),0)</f>
        <v>0</v>
      </c>
      <c r="DD54" s="146">
        <f>IF(DD$3=$K54,IF($C54="W",1,IF($C54="1/2W",0.5,0)),0)</f>
        <v>0</v>
      </c>
      <c r="DE54" s="147">
        <f>IF(DD$3=$K54,IF($C54="L",1,IF($C54="1/2L",0.5,0)),0)</f>
        <v>0</v>
      </c>
      <c r="DF54" s="143">
        <f>IF(AND(L54&lt;DF$3,$C54="W"),1+DF53,DF53)</f>
        <v>4</v>
      </c>
      <c r="DG54" s="133">
        <f>IF(DF54&gt;DF53,L54+DG53,DG53)</f>
        <v>5.438</v>
      </c>
      <c r="DH54" s="146">
        <f>IF(AND(L54&gt;DH$3,$C54="W"),1+DH53,0+DH53)</f>
        <v>1</v>
      </c>
      <c r="DI54" s="133">
        <f>IF(DH54&gt;DH53,L54+DI53,DI53)</f>
        <v>4.33</v>
      </c>
      <c r="DJ54" t="s" s="304">
        <f>IF($D52="","",$D52)</f>
        <v>101</v>
      </c>
      <c r="DK54" s="286"/>
    </row>
    <row r="55" ht="14.55" customHeight="1">
      <c r="A55" s="171">
        <f>$A52+1</f>
        <v>18</v>
      </c>
      <c r="B55" t="s" s="172">
        <v>50</v>
      </c>
      <c r="C55" t="s" s="173">
        <v>51</v>
      </c>
      <c r="D55" t="s" s="305">
        <f>IF(G55="","",$D52)</f>
        <v>101</v>
      </c>
      <c r="E55" t="s" s="175">
        <v>59</v>
      </c>
      <c r="F55" t="s" s="176">
        <f>IF(G55="","",IF(OR(AND($C55&lt;&gt;" ",$C56=" "),AND($C56&lt;&gt;" ",$C55=" "),AND(L57&gt;0,OR(AND($C57&lt;&gt;" ",OR($C55=" ",$C56=" ")),AND($C57=" ",OR($C55&lt;&gt;" ",$C56&lt;&gt;" "))))),IF(SUM(F$4:F54)=0,1,LARGE(F$4:F54,1)+1),IF(MONTH(G55)=MONTH(TODAY()),IF(AND(DAY(G55)&lt;DAY(TODAY()),$B55=" "),IF(SUM(F$4:F54)=0,1,LARGE(F$4:F54,1)+1),IF($B55=" ",IF(AND(DAY(G55)=DAY(TODAY()),HOUR(G55)&lt;=HOUR(NOW())+1),IF(AND(HOUR(G55)+2&lt;=HOUR(NOW()),DAY(G55)&lt;=DAY(TODAY()),MINUTE(G55)&lt;=MINUTE(NOW())),IF(SUM(F$4:F54)=0,1,LARGE(F$4:F54,1)+1),IF(OR(MINUTE(G55)&lt;=MINUTE(NOW()),HOUR(G55)&lt;=HOUR(NOW())),"!!!","")),""),"")),"")))</f>
      </c>
      <c r="G55" s="177">
        <v>44943.993055555555</v>
      </c>
      <c r="H55" t="s" s="178">
        <v>102</v>
      </c>
      <c r="I55" s="298">
        <v>1</v>
      </c>
      <c r="J55" s="180"/>
      <c r="K55" t="s" s="181">
        <v>37</v>
      </c>
      <c r="L55" s="182">
        <v>2.37</v>
      </c>
      <c r="M55" s="183">
        <v>10.18</v>
      </c>
      <c r="N55" s="184">
        <v>0.1</v>
      </c>
      <c r="O55" s="185">
        <f>IF(OR(AE55="",AE56=""),"",ROUND(IF(L57&gt;0,IF(M55&gt;0,M55,IF(M56&gt;0,ROUND((M56*AE55)/AE56,IF(N55=0,2,IF(N55=0.1,1,0))),ROUND((M57*AE55)/AE57,IF(N55=0,2,IF(N55=0.1,1,0))))),IF(M55&gt;0,M55,ROUND((M56*AE55)/AE56,IF(N55=0,2,IF(N55=0.1,1,0))))),2))</f>
        <v>10.18</v>
      </c>
      <c r="P55" s="186">
        <f>IF(OR(L55="",O55=""),"",IF($C55="1/2W",O55/2+O55/2*L55,IF($C55="1/2L",O55/2,IF(I55="Lay",(O55*(L55/(L55-1))-O55)*(1-_xlfn.XLOOKUP(K55,'Janeiro 2023 - Valor Real'!A3:A15,'Janeiro 2023 - Valor Real'!C3:C15,0))+O55,(O55*L55-O55)*(1-_xlfn.XLOOKUP(K55,'Janeiro 2023 - Valor Real'!A3:A15,'Janeiro 2023 - Valor Real'!C3:C15,0))+O55))))</f>
        <v>24.1266</v>
      </c>
      <c r="Q55" s="187">
        <v>1</v>
      </c>
      <c r="R55" s="188">
        <v>0</v>
      </c>
      <c r="S55" s="189">
        <f>IF($B55="Anulado",0,ROUND(IF(OR($B55="LOSS",$B55="OK"),IF(OR($C55="W",$C55="1/2W",$C55="1/2L"),P55-O55,IF($C55="L",-O55,0))+IF(OR($C56="W",$C56="1/2W",$C56="1/2L"),P56-O56,IF($C56="L",-O56,0))+IF(OR($C57="W",$C57="1/2W",$C57="1/2L"),P57-O57,IF($C57="L",-O57,0)),IF(AND(OR($C55="W",$C55="1/2W",$C55="1/2L"),C56="W"),P55+P56-SUM(O55:O57)+_xlfn.XLOOKUP("X",C55:C57,O55:O57,0),IF(AND(C55=TRUE,C57="W"),P55+P57-SUM(O55:O57),IF(AND(C56="W",C57="W"),P56+P57-SUM(O55:O57)+_xlfn.XLOOKUP("X",C55:C57,O55:O57,0),IF(L57&gt;0,IF(OR($C55="W",$C55="1/2W",$C55="1/2L"),P55-SUM(O55:O57)+_xlfn.XLOOKUP("X",C55:C57,O55:O57,0),IF(OR($C55="W",$C55="1/2W",$C55="1/2L"),P56-SUM(O55:O57)+_xlfn.XLOOKUP("X",C55:C57,O55:O57,0),IF(OR($C55="W",$C55="1/2W",$C55="1/2L"),P57-SUM(O55:O57)+_xlfn.XLOOKUP("X",C55:C57,O55:O57,0),IF(SUM(P55:P57)/3-SUM(O55:O57)+_xlfn.XLOOKUP("X",C55:C57,O55:O57,0)&gt;0,SUM(P55:P57)/3-SUM(O55:O57)+_xlfn.XLOOKUP("X",C55:C57,O55:O57,0),LARGE(P55:P57,1)-SUM(O55:O57))))),IF(OR($C55="W",$C55="1/2W",$C55="1/2L"),P55-SUM(O55:O56)+_xlfn.XLOOKUP("X",C55:C57,O55:O57,0),IF(OR($C55="W",$C55="1/2W",$C55="1/2L"),P56-SUM(O55:O56)+_xlfn.XLOOKUP("X",C55:C57,O55:O57,0),SUM(P55:P56)/2-SUM(O55:O56)+_xlfn.XLOOKUP("X",C55:C57,O55:O57,0)))))))),2))</f>
        <v>1.6</v>
      </c>
      <c r="T55" s="190">
        <f>IF(S55=0,0,S55/SUM(O55:O57))</f>
        <v>0.070859167404783</v>
      </c>
      <c r="U55" s="191">
        <f>IF($D55=$D52,IF(OR($B55="LOSS",$B55="OK",$B55="Anulada"),S55,0)+U52,IF(OR($B55="LOSS",$B55="OK",$B55="Anulada"),S55,0))</f>
        <v>3.22</v>
      </c>
      <c r="V55" s="191">
        <f>IF($D55="",0,IF($D55=$D52,IF($B55=" ",IF(I57="",IF(OR(AND(I55="DNB1",I56="DNB2"),AND(OR(I55="DNB1",I55="DNB2"),J56=0),AND(OR(I56="DNB1",I56="DNB2"),J55=0),AND(I55="DNB2",I56="DNB1"),AND(IF(J55=0,(J55+1)/ROUND(J55+1,0),J55/ROUND(J55,0))=1,IF(J56=0,(J56+1)/ROUND(IF(J56="",0,J56)+1,0),IF(J56="",0,J56)/ROUND(IF(J56="",1,J56),0))=1,OR(J55&lt;&gt;""),J56&lt;&gt;"")),0,IF(S55&lt;0,IF(I57="",SMALL(P55:P56,1)-SUM(O55:O56),0),SMALL(P55:P56,1)-SUM(O55:O56))),IF(S55&lt;0,IF(I57="",SMALL(P55:P57,1)-SUM(O55:O57),0),LARGE(P55:P57,1)-SUM(O55:O57))),S55)+V52,IF(I57="",IF(OR(AND(I55="DNB1",I56="DNB2"),AND(OR(I55="DNB1",I55="DNB2"),J56=0),AND(OR(I56="DNB1",I56="DNB2"),J55=0),AND(I55="DNB2",I56="DNB1"),AND(IF(J55=0,(J55+1)/ROUND(J55+1,0),J55/ROUND(J55,0))=1,IF(J56=0,(IF(J56="",0,J56)+1)/ROUND(IF(J56="",0,J56)+1,0),IF(J56="",0,J56)/ROUND(IF(J56="",0,J56)+1,0))=1,OR(J55&lt;&gt;""),J56&lt;&gt;"")),0,IF(S55&lt;0,IF(I57="",SMALL(P55:P56,1)-SUM(O55:O56),0),SMALL(P55:P57,1)-SUM(O55:O57))),IF(S55&lt;0,IF(I57="",SMALL(P55:P57,1)-SUM(O55:O57),0),LARGE(P55:P57,1)-SUM(O55:O57)))))</f>
        <v>3.222</v>
      </c>
      <c r="W55" s="191">
        <f>IF($D55=$D52,IF(S55&lt;0,IF(I57="",S55,0),S55)+W52,S55)</f>
        <v>3.22</v>
      </c>
      <c r="X55" t="s" s="192">
        <f>IF(OR(SUM(R55:R57)=0,V55=W55),ROUND(IF(W55=0,0,W55/Y55)*100,2)&amp;"%",ROUND(IF(V55=0,0,V55/Y55)*100,2)&amp;"% a "&amp;ROUND(IF(W55=0,0,W55/Y55)*100,2)&amp;"%")</f>
        <v>103</v>
      </c>
      <c r="Y55" s="193">
        <f>IF($D55=$D52,Y52+SUM(O55:O57),SUM(O55:O57))</f>
        <v>57.59</v>
      </c>
      <c r="Z55" s="191">
        <f>IF($B55=" ",SUM(O55:O57),0)+Z52</f>
        <v>0</v>
      </c>
      <c r="AA55" s="191">
        <f>IF(G55="","",IF($B55="Anulado",LARGE(P55:P57,1)-SUM(O55:O57)+AA52,AA52))</f>
        <v>0</v>
      </c>
      <c r="AB55" s="191">
        <f>IF($D55="","",AB52+S55)</f>
        <v>81.31999999999999</v>
      </c>
      <c r="AC55" s="194">
        <f>IF($D55="","",IF($B55=" ",IF(DAY(G55)=DAY(TODAY()),1+AC52,0+AC52),0+AC52))</f>
        <v>0</v>
      </c>
      <c r="AD55" s="195">
        <f>(((L56/(L56-1)-1)*(1-_xlfn.XLOOKUP(K56,'Janeiro 2023 - Valor Real'!A3:A15,'Janeiro 2023 - Valor Real'!C3:C15,0))+1))/(((L55-1)*(1-_xlfn.XLOOKUP(K55,'Janeiro 2023 - Valor Real'!A3:A15,'Janeiro 2023 - Valor Real'!C3:C15,0))+1)+((L56/(L56-1)-1)*(1-_xlfn.XLOOKUP(K56,'Janeiro 2023 - Valor Real'!A3:A15,'Janeiro 2023 - Valor Real'!C3:C15,0))+1))</f>
        <v>0.464119957158158</v>
      </c>
      <c r="AE55" s="196">
        <f>IF(L55="","",IF(L57&gt;0,(SUM(((L55-1)*(1-_xlfn.XLOOKUP(K55,'Janeiro 2023 - Valor Real'!A3:A15,'Janeiro 2023 - Valor Real'!C3:C15,0))+1),((L56-1)*(1-_xlfn.XLOOKUP(K56,'Janeiro 2023 - Valor Real'!A3:A15,'Janeiro 2023 - Valor Real'!C3:C15,0))+1),((L57-1)*(1-_xlfn.XLOOKUP(K57,'Janeiro 2023 - Valor Real'!A3:A15,'Janeiro 2023 - Valor Real'!C3:C15,0))+1))/((L55-1)*(1-_xlfn.XLOOKUP(K55,'Janeiro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Real'!C3:C15,0))+1))/((L55-1)*(1-_xlfn.XLOOKUP(K55,'Janeiro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Real'!C3:C15,0))+1))/((L56-1)*(1-_xlfn.XLOOKUP(K56,'Janeiro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Real'!C3:C15,0))+1))/((L57-1)*(1-_xlfn.XLOOKUP(K57,'Janeiro 2023 - Valor Real'!A3:A15,'Janeiro 2023 - Valor Real'!C3:C15,0))+1)),IF(I55="Lay",IF(I56="Lay",((L56/(L56-1)-1)*(1-_xlfn.XLOOKUP(K56,'Janeiro 2023 - Valor Real'!A3:A15,'Janeiro 2023 - Valor Real'!C3:C15,0))+1)/(((L56/(L56-1)-1)*(1-_xlfn.XLOOKUP(K56,'Janeiro 2023 - Valor Real'!A3:A15,'Janeiro 2023 - Valor Real'!C3:C15,0))+1)+((L55/(L55-1)-1)*(1-_xlfn.XLOOKUP(K55,'Janeiro 2023 - Valor Real'!A3:A15,'Janeiro 2023 - Valor Real'!C3:C15,0))+1)),((L56-1)*(1-_xlfn.XLOOKUP(K56,'Janeiro 2023 - Valor Real'!A3:A15,'Janeiro 2023 - Valor Real'!C3:C15,0))+1)/(((L56-1)*(1-_xlfn.XLOOKUP(K56,'Janeiro 2023 - Valor Real'!A3:A15,'Janeiro 2023 - Valor Real'!C3:C15,0))+1)+((L55/(L55-1)-1)*(1-_xlfn.XLOOKUP(K55,'Janeiro 2023 - Valor Real'!A3:A15,'Janeiro 2023 - Valor Real'!C3:C15,0))+1))),IF(I56="Lay",(((L56/(L56-1)-1)*(1-_xlfn.XLOOKUP(K56,'Janeiro 2023 - Valor Real'!A3:A15,'Janeiro 2023 - Valor Real'!C3:C15,0))+1))/(((L55-1)*(1-_xlfn.XLOOKUP(K55,'Janeiro 2023 - Valor Real'!A3:A15,'Janeiro 2023 - Valor Real'!C3:C15,0))+1)+((L56/(L56-1)-1)*(1-_xlfn.XLOOKUP(K56,'Janeiro 2023 - Valor Real'!A3:A15,'Janeiro 2023 - Valor Real'!C3:C15,0))+1)),((L56-1)*(1-_xlfn.XLOOKUP(K56,'Janeiro 2023 - Valor Real'!A3:A15,'Janeiro 2023 - Valor Real'!C3:C15,0))+1)/(((L56-1)*(1-_xlfn.XLOOKUP(K56,'Janeiro 2023 - Valor Real'!A3:A15,'Janeiro 2023 - Valor Real'!C3:C15,0))+1)+((L55-1)*(1-_xlfn.XLOOKUP(K55,'Janeiro 2023 - Valor Real'!A3:A15,'Janeiro 2023 - Valor Real'!C3:C15,0))+1))))))</f>
        <v>0.451388888888889</v>
      </c>
      <c r="AF55" s="197">
        <f>IF($K55=AF$3,ROUND(IF(OR($C55="W",$C55="1/2W",$C55="1/2L"),$P55-$O55,IF($C55="X",0,-$O55)),2),0)</f>
        <v>-10.18</v>
      </c>
      <c r="AG55" s="198">
        <f>IF($K55=AG$3,ROUND(IF(OR($C55="W",$C55="1/2W",$C55="1/2L"),$P55-$O55,IF($C55="X",0,-$O55)),2),0)</f>
        <v>0</v>
      </c>
      <c r="AH55" s="198">
        <f>IF($K55=AH$3,ROUND(IF(OR($C55="W",$C55="1/2W",$C55="1/2L"),$P55-$O55,IF($C55="X",0,-$O55)),2),0)</f>
        <v>0</v>
      </c>
      <c r="AI55" s="198">
        <f>IF($K55=AI$3,ROUND(IF(OR($C55="W",$C55="1/2W",$C55="1/2L"),$P55-$O55,IF($C55="X",0,-$O55)),2),0)</f>
        <v>0</v>
      </c>
      <c r="AJ55" s="198">
        <f>IF($K55=AJ$3,ROUND(IF(OR($C55="W",$C55="1/2W",$C55="1/2L"),$P55-$O55,IF($C55="X",0,-$O55)),2),0)</f>
        <v>0</v>
      </c>
      <c r="AK55" s="198">
        <f>IF($K55=AK$3,ROUND(IF(OR($C55="W",$C55="1/2W",$C55="1/2L"),$P55-$O55,IF($C55="X",0,-$O55)),2),0)</f>
        <v>0</v>
      </c>
      <c r="AL55" s="198">
        <f>IF($K55=AL$3,ROUND(IF(OR($C55="W",$C55="1/2W",$C55="1/2L"),$P55-$O55,IF($C55="X",0,-$O55)),2),0)</f>
        <v>0</v>
      </c>
      <c r="AM55" s="198">
        <f>IF($K55=AM$3,ROUND(IF(OR($C55="W",$C55="1/2W",$C55="1/2L"),$P55-$O55,IF($C55="X",0,-$O55)),2),0)</f>
        <v>0</v>
      </c>
      <c r="AN55" s="198">
        <f>IF($K55=AN$3,ROUND(IF(OR($C55="W",$C55="1/2W",$C55="1/2L"),$P55-$O55,IF($C55="X",0,-$O55)),2),0)</f>
        <v>0</v>
      </c>
      <c r="AO55" s="198">
        <f>IF($K55=AO$3,ROUND(IF(OR($C55="W",$C55="1/2W",$C55="1/2L"),$P55-$O55,IF($C55="X",0,-$O55)),2),0)</f>
        <v>0</v>
      </c>
      <c r="AP55" s="198">
        <f>IF($K55=AP$3,ROUND(IF(OR($C55="W",$C55="1/2W",$C55="1/2L"),$P55-$O55,IF($C55="X",0,-$O55)),2),0)</f>
        <v>0</v>
      </c>
      <c r="AQ55" s="198">
        <f>IF($K55=AQ$3,ROUND(IF(OR($C55="W",$C55="1/2W",$C55="1/2L"),$P55-$O55,IF($C55="X",0,-$O55)),2),0)</f>
        <v>0</v>
      </c>
      <c r="AR55" s="199">
        <f>IF($K55=AR$3,ROUND(IF(OR($C55="W",$C55="1/2W",$C55="1/2L"),$P55-$O55,IF($C55="X",0,-$O55)),2),0)</f>
        <v>0</v>
      </c>
      <c r="AS55" s="197">
        <f>IF(AND($B55=" ",$K55=AS$3),$O55,0)</f>
        <v>0</v>
      </c>
      <c r="AT55" s="198">
        <f>IF(AND($B55=" ",$K55=AT$3),$O55,0)</f>
        <v>0</v>
      </c>
      <c r="AU55" s="198">
        <f>IF(AND($B55=" ",$K55=AU$3),$O55,0)</f>
        <v>0</v>
      </c>
      <c r="AV55" s="198">
        <f>IF(AND($B55=" ",$K55=AV$3),$O55,0)</f>
        <v>0</v>
      </c>
      <c r="AW55" s="198">
        <f>IF(AND($B55=" ",$K55=AW$3),$O55,0)</f>
        <v>0</v>
      </c>
      <c r="AX55" s="198">
        <f>IF(AND($B55=" ",$K55=AX$3),$O55,0)</f>
        <v>0</v>
      </c>
      <c r="AY55" s="200">
        <f>IF(AND($B55=" ",$K55=AY$3),$O55,0)</f>
        <v>0</v>
      </c>
      <c r="AZ55" s="201">
        <f>IF(AND($B55=" ",$K55=AZ$3),$O55,0)</f>
        <v>0</v>
      </c>
      <c r="BA55" s="201">
        <f>IF(AND($B55=" ",$K55=BA$3),$O55,0)</f>
        <v>0</v>
      </c>
      <c r="BB55" s="201">
        <f>IF(AND($B55=" ",$K55=BB$3),$O55,0)</f>
        <v>0</v>
      </c>
      <c r="BC55" s="202">
        <f>IF(AND($B55=" ",$K55=BC$3),$O55,0)</f>
        <v>0</v>
      </c>
      <c r="BD55" s="198">
        <f>IF(AND($B55=" ",$K55=BD$3),$O55,0)</f>
        <v>0</v>
      </c>
      <c r="BE55" s="199">
        <f>IF(AND($B55=" ",$K55=BE$3),$O55,0)</f>
        <v>0</v>
      </c>
      <c r="BF55" s="203">
        <f>IF($K55=BF$3,IF($C55="X",0,$O55),0)</f>
        <v>10.18</v>
      </c>
      <c r="BG55" s="198">
        <f>IF($K55=BG$3,IF($C55="X",0,$O55),0)</f>
        <v>0</v>
      </c>
      <c r="BH55" s="198">
        <f>IF($K55=BH$3,IF($C55="X",0,$O55),0)</f>
        <v>0</v>
      </c>
      <c r="BI55" s="198">
        <f>IF($K55=BI$3,IF($C55="X",0,$O55),0)</f>
        <v>0</v>
      </c>
      <c r="BJ55" s="198">
        <f>IF($K55=BJ$3,IF($C55="X",0,$O55),0)</f>
        <v>0</v>
      </c>
      <c r="BK55" s="198">
        <f>IF($K55=BK$3,IF($C55="X",0,$O55),0)</f>
        <v>0</v>
      </c>
      <c r="BL55" s="198">
        <f>IF($K55=BL$3,IF($C55="X",0,$O55),0)</f>
        <v>0</v>
      </c>
      <c r="BM55" s="200">
        <f>IF($K55=BM$3,IF($C55="X",0,$O55),0)</f>
        <v>0</v>
      </c>
      <c r="BN55" s="201">
        <f>IF($K55=BN$3,IF($C55="X",0,$O55),0)</f>
        <v>0</v>
      </c>
      <c r="BO55" s="201">
        <f>IF($K55=BO$3,IF($C55="X",0,$O55),0)</f>
        <v>0</v>
      </c>
      <c r="BP55" s="201">
        <f>IF($K55=BP$3,IF($C55="X",0,$O55),0)</f>
        <v>0</v>
      </c>
      <c r="BQ55" s="202">
        <f>IF($K55=BQ$3,IF($C55="X",0,$O55),0)</f>
        <v>0</v>
      </c>
      <c r="BR55" s="199">
        <f>IF($K55=BR$3,IF($C55="X",0,$O55),0)</f>
        <v>0</v>
      </c>
      <c r="BS55" s="204">
        <f>IF($B55="LOSS",IF(AND($K55=BS$3,$C55="L"),-$O55,0)+IF(AND($K56=BS$3,$C56="L"),-$O56,0)+IF(AND($K57=BS$3,$C57="L"),-$O57,0),IF(OR(AND($K55=BS$3,OR($C55="W",$C55="1/2W")),AND($K56=BS$3,OR($C56="W",$C56="1/2W")),AND($K57=BS$3,OR($C57="W",$C57="1/2W"))),$S55,0))</f>
        <v>0</v>
      </c>
      <c r="BT55" s="201">
        <f>IF($B55="LOSS",IF(AND($K55=BT$3,$C55="L"),-$O55,0)+IF(AND($K56=BT$3,$C56="L"),-$O56,0)+IF(AND($K56=BT$3,$C57="L"),-$O57,0),IF(OR(AND($K56=BT$3,OR($C55="W",$C55="1/2W")),AND($K56=BT$3,OR($C56="W",$C56="1/2W")),AND($K56=BT$3,OR($C57="W",$C57="1/2W"))),$S55,0))</f>
        <v>0</v>
      </c>
      <c r="BU55" s="201">
        <f>IF($B55="LOSS",IF(AND($K55=BU$3,$C55="L"),-$O55,0)+IF(AND($K56=BU$3,$C56="L"),-$O56,0)+IF(AND($K56=BU$3,$C57="L"),-$O57,0),IF(OR(AND($K56=BU$3,OR($C55="W",$C55="1/2W")),AND($K56=BU$3,OR($C56="W",$C56="1/2W")),AND($K56=BU$3,OR($C57="W",$C57="1/2W"))),$S55,0))</f>
        <v>0</v>
      </c>
      <c r="BV55" s="201">
        <f>IF($B55="LOSS",IF(AND($K55=BV$3,$C55="L"),-$O55,0)+IF(AND($K56=BV$3,$C56="L"),-$O56,0)+IF(AND($K57=BV$3,$C57="L"),-$O57,0),IF(OR(AND($K55=BV$3,OR($C55="W",$C55="1/2W")),AND($K56=BV$3,OR($C56="W",$C56="1/2W")),AND($K57=BV$3,OR($C57="W",$C57="1/2W"))),$S55,0))</f>
        <v>0</v>
      </c>
      <c r="BW55" s="201">
        <f>IF($B55="LOSS",IF(AND($K55=BW$3,$C55="L"),-$O55,0)+IF(AND($K56=BW$3,$C56="L"),-$O56,0)+IF(AND($K57=BW$3,$C57="L"),-$O57,0),IF(OR(AND($K55=BW$3,OR($C55="W",$C55="1/2W")),AND($K56=BW$3,OR($C56="W",$C56="1/2W")),AND($K57=BW$3,OR($C57="W",$C57="1/2W"))),$S55,0))</f>
        <v>0</v>
      </c>
      <c r="BX55" s="201">
        <f>IF($B55="LOSS",IF(AND($K55=BX$3,$C55="L"),-$O55,0)+IF(AND($K56=BX$3,$C56="L"),-$O56,0)+IF(AND($K57=BX$3,$C57="L"),-$O57,0),IF(OR(AND($K55=BX$3,OR($C55="W",$C55="1/2W")),AND($K56=BX$3,OR($C56="W",$C56="1/2W")),AND($K57=BX$3,OR($C57="W",$C57="1/2W"))),$S55,0))</f>
        <v>0</v>
      </c>
      <c r="BY55" s="201">
        <f>IF($B55="LOSS",IF(AND($K55=BY$3,$C55="L"),-$O55,0)+IF(AND($K56=BY$3,$C56="L"),-$O56,0)+IF(AND($K57=BY$3,$C57="L"),-$O57,0),IF(OR(AND($K55=BY$3,OR($C55="W",$C55="1/2W")),AND($K56=BY$3,OR($C56="W",$C56="1/2W")),AND($K57=BY$3,OR($C57="W",$C57="1/2W"))),$S55,0))</f>
        <v>0</v>
      </c>
      <c r="BZ55" s="205">
        <f>IF($B55="LOSS",IF(AND($K55=BZ$3,$C55="L"),-$O55,0)+IF(AND($K56=BZ$3,$C56="L"),-$O56,0)+IF(AND($K57=BZ$3,$C57="L"),-$O57,0),IF(OR(AND($K55=BZ$3,OR($C55="W",$C55="1/2W")),AND($K56=BZ$3,OR($C56="W",$C56="1/2W")),AND($K57=BZ$3,OR($C57="W",$C57="1/2W"))),$S55,0))</f>
        <v>0</v>
      </c>
      <c r="CA55" s="205">
        <f>IF($B55="LOSS",IF(AND($K55=CA$3,$C55="L"),-$O55,0)+IF(AND($K56=CA$3,$C56="L"),-$O56,0)+IF(AND($K57=CA$3,$C57="L"),-$O57,0),IF(OR(AND($K55=CA$3,OR($C55="W",$C55="1/2W")),AND($K56=CA$3,OR($C56="W",$C56="1/2W")),AND($K57=CA$3,OR($C57="W",$C57="1/2W"))),$S55,0))</f>
        <v>0</v>
      </c>
      <c r="CB55" s="205">
        <f>IF($B55="LOSS",IF(AND($K55=CB$3,$C55="L"),-$O55,0)+IF(AND($K56=CB$3,$C56="L"),-$O56,0)+IF(AND($K57=CB$3,$C57="L"),-$O57,0),IF(OR(AND($K55=CB$3,OR($C55="W",$C55="1/2W")),AND($K56=CB$3,OR($C56="W",$C56="1/2W")),AND($K57=CB$3,OR($C57="W",$C57="1/2W"))),$S55,0))</f>
        <v>0</v>
      </c>
      <c r="CC55" s="205">
        <f>IF($B55="LOSS",IF(AND($K55=CC$3,$C55="L"),-$O55,0)+IF(AND($K56=CC$3,$C56="L"),-$O56,0)+IF(AND($K57=CC$3,$C57="L"),-$O57,0),IF(OR(AND($K55=CC$3,OR($C55="W",$C55="1/2W")),AND($K56=CC$3,OR($C56="W",$C56="1/2W")),AND($K57=CC$3,OR($C57="W",$C57="1/2W"))),$S55,0))</f>
        <v>0</v>
      </c>
      <c r="CD55" s="202">
        <f>IF($B55="LOSS",IF(AND($K55=CD$3,$C55="L"),-$O55,0)+IF(AND($K56=CD$3,$C56="L"),-$O56,0)+IF(AND($K57=CD$3,$C57="L"),-$O57,0),IF(OR(AND($K55=CD$3,OR($C55="W",$C55="1/2W")),AND($K56=CD$3,OR($C56="W",$C56="1/2W")),AND($K57=CD$3,OR($C57="W",$C57="1/2W"))),$S55,0))</f>
        <v>1.6</v>
      </c>
      <c r="CE55" s="199">
        <f>IF($B55="LOSS",IF(AND($K55=CE$3,$C55="L"),-$O55,0)+IF(AND($K56=CE$3,$C56="L"),-$O56,0)+IF(AND($K57=CE$3,$C57="L"),-$O57,0),IF(OR(AND($K55=CE$3,OR($C55="W",$C55="1/2W")),AND($K56=CE$3,OR($C56="W",$C56="1/2W")),AND($K57=CE$3,OR($C57="W",$C57="1/2W"))),$S55,0))</f>
        <v>0</v>
      </c>
      <c r="CF55" s="206">
        <f>IF(CF$3=$K55,IF($C55="W",1,IF($C55="1/2W",0.5,0)),0)</f>
        <v>0</v>
      </c>
      <c r="CG55" s="207">
        <f>IF(CF$3=$K55,IF($C55="L",1,IF($C55="1/2L",0.5,0)),0)</f>
        <v>1</v>
      </c>
      <c r="CH55" s="207">
        <f>IF(CH$3=$K55,IF($C55="W",1,IF($C55="1/2W",0.5,0)),0)</f>
        <v>0</v>
      </c>
      <c r="CI55" s="207">
        <f>IF(CH$3=$K55,IF($C55="L",1,IF($C55="1/2L",0.5,0)),0)</f>
        <v>0</v>
      </c>
      <c r="CJ55" s="207">
        <f>IF(CJ$3=$K55,IF($C55="W",1,IF($C55="1/2W",0.5,0)),0)</f>
        <v>0</v>
      </c>
      <c r="CK55" s="207">
        <f>IF(CJ$3=$K55,IF($C55="L",1,IF($C55="1/2L",0.5,0)),0)</f>
        <v>0</v>
      </c>
      <c r="CL55" s="207">
        <f>IF(CL$3=$K55,IF($C55="W",1,IF($C55="1/2W",0.5,0)),0)</f>
        <v>0</v>
      </c>
      <c r="CM55" s="207">
        <f>IF(CL$3=$K55,IF($C55="L",1,IF($C55="1/2L",0.5,0)),0)</f>
        <v>0</v>
      </c>
      <c r="CN55" s="207">
        <f>IF(CN$3=$K55,IF($C55="W",1,IF($C55="1/2W",0.5,0)),0)</f>
        <v>0</v>
      </c>
      <c r="CO55" s="207">
        <f>IF(CN$3=$K55,IF($C55="L",1,IF($C55="1/2L",0.5,0)),0)</f>
        <v>0</v>
      </c>
      <c r="CP55" s="207">
        <f>IF(CP$3=$K55,IF($C55="W",1,IF($C55="1/2W",0.5,0)),0)</f>
        <v>0</v>
      </c>
      <c r="CQ55" s="207">
        <f>IF(CP$3=$K55,IF($C55="L",1,IF($C55="1/2L",0.5,0)),0)</f>
        <v>0</v>
      </c>
      <c r="CR55" s="207">
        <f>IF(CR$3=$K55,IF($C55="W",1,IF($C55="1/2W",0.5,0)),0)</f>
        <v>0</v>
      </c>
      <c r="CS55" s="207">
        <f>IF(CR$3=$K55,IF($C55="L",1,IF($C55="1/2L",0.5,0)),0)</f>
        <v>0</v>
      </c>
      <c r="CT55" s="208">
        <f>IF(CT$3=$K55,IF($C55="W",1,IF($C55="1/2W",0.5,0)),0)</f>
        <v>0</v>
      </c>
      <c r="CU55" s="209">
        <f>IF(CT$3=$K55,IF($C55="L",1,IF($C55="1/2L",0.5,0)),0)</f>
        <v>0</v>
      </c>
      <c r="CV55" s="209">
        <f>IF(CV$3=$K55,IF($C55="W",1,IF($C55="1/2W",0.5,0)),0)</f>
        <v>0</v>
      </c>
      <c r="CW55" s="209">
        <f>IF(CV$3=$K55,IF($C55="L",1,IF($C55="1/2L",0.5,0)),0)</f>
        <v>0</v>
      </c>
      <c r="CX55" s="209">
        <f>IF(CX$3=$K55,IF($C55="W",1,IF($C55="1/2W",0.5,0)),0)</f>
        <v>0</v>
      </c>
      <c r="CY55" s="209">
        <f>IF(CX$3=$K55,IF($C55="L",1,IF($C55="1/2L",0.5,0)),0)</f>
        <v>0</v>
      </c>
      <c r="CZ55" s="209">
        <f>IF(CZ$3=$K55,IF($C55="W",1,IF($C55="1/2W",0.5,0)),0)</f>
        <v>0</v>
      </c>
      <c r="DA55" s="209">
        <f>IF(CZ$3=$K55,IF($C55="L",1,IF($C55="1/2L",0.5,0)),0)</f>
        <v>0</v>
      </c>
      <c r="DB55" s="209">
        <f>IF(DB$3=$K55,IF($C55="W",1,IF($C55="1/2W",0.5,0)),0)</f>
        <v>0</v>
      </c>
      <c r="DC55" s="209">
        <f>IF(DB$3=$K55,IF($C55="L",1,IF($C55="1/2L",0.5,0)),0)</f>
        <v>0</v>
      </c>
      <c r="DD55" s="209">
        <f>IF(DD$3=$K55,IF($C55="W",1,IF($C55="1/2W",0.5,0)),0)</f>
        <v>0</v>
      </c>
      <c r="DE55" s="210">
        <f>IF(DD$3=$K55,IF($C55="L",1,IF($C55="1/2L",0.5,0)),0)</f>
        <v>0</v>
      </c>
      <c r="DF55" s="211">
        <f>IF(AND(L55&lt;DF$3,$C55="W"),1+DF54,DF54)</f>
        <v>4</v>
      </c>
      <c r="DG55" s="198">
        <f>IF(DF55&gt;DF54,L55+DG54,DG54)</f>
        <v>5.438</v>
      </c>
      <c r="DH55" s="209">
        <f>IF(AND(L55&gt;DH$3,$C55="W"),1+DH54,0+DH54)</f>
        <v>1</v>
      </c>
      <c r="DI55" s="198">
        <f>IF(DH55&gt;DH54,L55+DI54,DI54)</f>
        <v>4.33</v>
      </c>
      <c r="DJ55" t="s" s="306">
        <f>IF($D55="","",$D55)</f>
        <v>101</v>
      </c>
      <c r="DK55" s="209">
        <f>IF(AND($B55=" ",$D55&lt;&gt;""),1,0)</f>
        <v>0</v>
      </c>
    </row>
    <row r="56" ht="14.55" customHeight="1">
      <c r="A56" s="107"/>
      <c r="B56" s="108"/>
      <c r="C56" t="s" s="213">
        <v>56</v>
      </c>
      <c r="D56" s="110"/>
      <c r="E56" s="111"/>
      <c r="F56" s="113"/>
      <c r="G56" s="214"/>
      <c r="H56" s="114"/>
      <c r="I56" s="299">
        <v>2</v>
      </c>
      <c r="J56" t="s" s="216">
        <f>IF(OR(I55="TO",I55="TU",I55="TO1",I55="TU1",I55="TO2",I55="TU2"),J55,IF(OR(I55="AH1",I55="AH2"),IF(OR(I56="AH1",I56="AH2"),-J55,IF(OR(I56="EH1",I56="EH2"),-J55+0.5,"")),IF(OR(I55="EH1",I55="EH2"),IF(OR(I56="AH1",I56="AH2"),-J55+0.5,IF(OR(I56="EH1",I56="EH2"),-J55+1,"")),IF(AND(OR(I55="DNB1",I55="DNB2"),OR(I56="AH1",I56="AH2")),0,IF(AND(I55="Not ScoreBoth",OR(I56="TO1",I56="TO2")),0.5,"")))))</f>
      </c>
      <c r="K56" t="s" s="217">
        <v>48</v>
      </c>
      <c r="L56" s="218">
        <v>1.95</v>
      </c>
      <c r="M56" s="219"/>
      <c r="N56" s="120"/>
      <c r="O56" s="220">
        <f>IF(OR(AE55="",AE56=""),"",ROUND(IF(L57&gt;0,IF(M56&gt;0,M56,IF(M55&gt;0,IF(N55=TRUE,ROUND((M55*AE56)/AE55,0),(M55*AE56)/AE55),IF(M56&gt;0,ROUND(M56,IF(N55=0,2,IF(N55=0.1,1,0))),IF(M57&gt;0,ROUND(O57*AE56/AE57,IF(N55=0,2,IF(N55=0.1,1,0))),0)))),IF(M56&gt;0,M56,ROUND((M55*AE56)/AE55,IF(N55=0,2,IF(N55=0.1,1,0))))),2))</f>
        <v>12.4</v>
      </c>
      <c r="P56" s="221">
        <f>IF(OR(L56="",O56=""),"",IF($C56="1/2W",O56/2+O56/2*L56,IF($C56="1/2L",O56/2,IF(I56="Lay",((O56*(L56/(L56-1)))-O56)*(1-_xlfn.XLOOKUP(K56,'Janeiro 2023 - Valor Real'!A3:A15,'Janeiro 2023 - Valor Real'!C3:C15,0))+O56,(O56*L56-O56)*(1-_xlfn.XLOOKUP(K56,'Janeiro 2023 - Valor Real'!A3:A15,'Janeiro 2023 - Valor Real'!C3:C15,0))+O56))))</f>
        <v>24.18</v>
      </c>
      <c r="Q56" s="222">
        <v>1</v>
      </c>
      <c r="R56" s="223">
        <v>0</v>
      </c>
      <c r="S56" s="125"/>
      <c r="T56" s="126"/>
      <c r="U56" s="126"/>
      <c r="V56" s="224"/>
      <c r="W56" s="126"/>
      <c r="X56" s="127"/>
      <c r="Y56" s="128"/>
      <c r="Z56" s="129"/>
      <c r="AA56" s="129"/>
      <c r="AB56" s="129"/>
      <c r="AC56" s="129"/>
      <c r="AD56" s="225">
        <f>(((L56/(L56-1)-1)*(1-_xlfn.XLOOKUP(K56,'Janeiro 2023 - Valor Real'!A3:A15,'Janeiro 2023 - Valor Real'!C3:C15,0))+1))</f>
        <v>2.05263157894737</v>
      </c>
      <c r="AE56" s="226">
        <f>IF(L56="","",IF(L57&gt;0,(SUM(((L55-1)*(1-_xlfn.XLOOKUP(K55,'Janeiro 2023 - Valor Real'!A3:A15,'Janeiro 2023 - Valor Real'!C3:C15,0))+1),((L56-1)*(1-_xlfn.XLOOKUP(K56,'Janeiro 2023 - Valor Real'!A3:A15,'Janeiro 2023 - Valor Real'!C3:C15,0))+1),((L57-1)*(1-_xlfn.XLOOKUP(K57,'Janeiro 2023 - Valor Real'!A3:A15,'Janeiro 2023 - Valor Real'!C3:C15,0))+1))/((L56-1)*(1-_xlfn.XLOOKUP(K56,'Janeiro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Real'!C3:C15,0))+1))/((L55-1)*(1-_xlfn.XLOOKUP(K55,'Janeiro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Real'!C3:C15,0))+1))/((L56-1)*(1-_xlfn.XLOOKUP(K56,'Janeiro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Real'!C3:C15,0))+1))/((L57-1)*(1-_xlfn.XLOOKUP(K57,'Janeiro 2023 - Valor Real'!A3:A15,'Janeiro 2023 - Valor Real'!C3:C15,0))+1)),IF(I56="Lay",IF(I55="Lay",((L55/(L55-1)-1)*(1-_xlfn.XLOOKUP(K55,'Janeiro 2023 - Valor Real'!A3:A15,'Janeiro 2023 - Valor Real'!C3:C15,0))+1)/(((L55/(L55-1)-1)*(1-_xlfn.XLOOKUP(K55,'Janeiro 2023 - Valor Real'!A3:A15,'Janeiro 2023 - Valor Real'!C3:C15,0))+1)+((L56/(L56-1)-1)*(1-_xlfn.XLOOKUP(K56,'Janeiro 2023 - Valor Real'!A3:A15,'Janeiro 2023 - Valor Real'!C3:C15,0))+1)),((L55-1)*(1-_xlfn.XLOOKUP(K55,'Janeiro 2023 - Valor Real'!A3:A15,'Janeiro 2023 - Valor Real'!C3:C15,0))+1)/(((L55-1)*(1-_xlfn.XLOOKUP(K55,'Janeiro 2023 - Valor Real'!A3:A15,'Janeiro 2023 - Valor Real'!C3:C15,0))+1)+((L56/(L56-1)-1)*(1-_xlfn.XLOOKUP(K56,'Janeiro 2023 - Valor Real'!A3:A15,'Janeiro 2023 - Valor Real'!C3:C15,0))+1))),IF(I55="Lay",((L55/(L55-1)-1)*(1-_xlfn.XLOOKUP(K55,'Janeiro 2023 - Valor Real'!A3:A15,'Janeiro 2023 - Valor Real'!C3:C15,0))+1)/((((L55/(L55-1)-1)*(1-_xlfn.XLOOKUP(K55,'Janeiro 2023 - Valor Real'!A3:A15,'Janeiro 2023 - Valor Real'!C3:C15,0))+1))+((L56-1)*(1-_xlfn.XLOOKUP(K56,'Janeiro 2023 - Valor Real'!A3:A15,'Janeiro 2023 - Valor Real'!C3:C15,0))+1)),((L55-1)*(1-_xlfn.XLOOKUP(K55,'Janeiro 2023 - Valor Real'!A3:A15,'Janeiro 2023 - Valor Real'!C3:C15,0))+1)/(((L55-1)*(1-_xlfn.XLOOKUP(K55,'Janeiro 2023 - Valor Real'!A3:A15,'Janeiro 2023 - Valor Real'!C3:C15,0))+1)+((L56-1)*(1-_xlfn.XLOOKUP(K56,'Janeiro 2023 - Valor Real'!A3:A15,'Janeiro 2023 - Valor Real'!C3:C15,0))+1))))))</f>
        <v>0.548611111111111</v>
      </c>
      <c r="AF56" s="197">
        <f>IF($K56=AF$3,ROUND(IF(OR($C56="W",$C56="1/2W",$C56="1/2L"),$P56-$O56,IF($C56="X",0,-$O56)),2),0)</f>
        <v>0</v>
      </c>
      <c r="AG56" s="198">
        <f>IF($K56=AG$3,ROUND(IF(OR($C56="W",$C56="1/2W",$C56="1/2L"),$P56-$O56,IF($C56="X",0,-$O56)),2),0)</f>
        <v>0</v>
      </c>
      <c r="AH56" s="198">
        <f>IF($K56=AH$3,ROUND(IF(OR($C56="W",$C56="1/2W",$C56="1/2L"),$P56-$O56,IF($C56="X",0,-$O56)),2),0)</f>
        <v>0</v>
      </c>
      <c r="AI56" s="198">
        <f>IF($K56=AI$3,ROUND(IF(OR($C56="W",$C56="1/2W",$C56="1/2L"),$P56-$O56,IF($C56="X",0,-$O56)),2),0)</f>
        <v>0</v>
      </c>
      <c r="AJ56" s="198">
        <f>IF($K56=AJ$3,ROUND(IF(OR($C56="W",$C56="1/2W",$C56="1/2L"),$P56-$O56,IF($C56="X",0,-$O56)),2),0)</f>
        <v>0</v>
      </c>
      <c r="AK56" s="198">
        <f>IF($K56=AK$3,ROUND(IF(OR($C56="W",$C56="1/2W",$C56="1/2L"),$P56-$O56,IF($C56="X",0,-$O56)),2),0)</f>
        <v>0</v>
      </c>
      <c r="AL56" s="198">
        <f>IF($K56=AL$3,ROUND(IF(OR($C56="W",$C56="1/2W",$C56="1/2L"),$P56-$O56,IF($C56="X",0,-$O56)),2),0)</f>
        <v>0</v>
      </c>
      <c r="AM56" s="198">
        <f>IF($K56=AM$3,ROUND(IF(OR($C56="W",$C56="1/2W",$C56="1/2L"),$P56-$O56,IF($C56="X",0,-$O56)),2),0)</f>
        <v>0</v>
      </c>
      <c r="AN56" s="198">
        <f>IF($K56=AN$3,ROUND(IF(OR($C56="W",$C56="1/2W",$C56="1/2L"),$P56-$O56,IF($C56="X",0,-$O56)),2),0)</f>
        <v>0</v>
      </c>
      <c r="AO56" s="198">
        <f>IF($K56=AO$3,ROUND(IF(OR($C56="W",$C56="1/2W",$C56="1/2L"),$P56-$O56,IF($C56="X",0,-$O56)),2),0)</f>
        <v>0</v>
      </c>
      <c r="AP56" s="198">
        <f>IF($K56=AP$3,ROUND(IF(OR($C56="W",$C56="1/2W",$C56="1/2L"),$P56-$O56,IF($C56="X",0,-$O56)),2),0)</f>
        <v>0</v>
      </c>
      <c r="AQ56" s="198">
        <f>IF($K56=AQ$3,ROUND(IF(OR($C56="W",$C56="1/2W",$C56="1/2L"),$P56-$O56,IF($C56="X",0,-$O56)),2),0)</f>
        <v>11.78</v>
      </c>
      <c r="AR56" s="199">
        <f>IF($K56=AR$3,ROUND(IF(OR($C56="W",$C56="1/2W",$C56="1/2L"),$P56-$O56,IF($C56="X",0,-$O56)),2),0)</f>
        <v>0</v>
      </c>
      <c r="AS56" s="197">
        <f>IF(AND($B55=" ",$K56=AS$3),$O56,0)</f>
        <v>0</v>
      </c>
      <c r="AT56" s="198">
        <f>IF(AND($B55=" ",K56=AT$3),$O56,0)</f>
        <v>0</v>
      </c>
      <c r="AU56" s="198">
        <f>IF(AND($B55=" ",$K56=AU$3),$O56,0)</f>
        <v>0</v>
      </c>
      <c r="AV56" s="198">
        <f>IF(AND($B55=" ",$K56=AV$3),$O56,0)</f>
        <v>0</v>
      </c>
      <c r="AW56" s="198">
        <f>IF(AND($B55=" ",$K56=AW$3),$O56,0)</f>
        <v>0</v>
      </c>
      <c r="AX56" s="198">
        <f>IF(AND($B55=" ",$K56=AX$3),$O56,0)</f>
        <v>0</v>
      </c>
      <c r="AY56" s="200">
        <f>IF(AND($B55=" ",$K56=AY$3),$O56,0)</f>
        <v>0</v>
      </c>
      <c r="AZ56" s="201">
        <f>IF(AND($B55=" ",$K56=AZ$3),$O56,0)</f>
        <v>0</v>
      </c>
      <c r="BA56" s="201">
        <f>IF(AND($B55=" ",$K56=BA$3),$O56,0)</f>
        <v>0</v>
      </c>
      <c r="BB56" s="201">
        <f>IF(AND($B55=" ",$K56=BB$3),$O56,0)</f>
        <v>0</v>
      </c>
      <c r="BC56" s="202">
        <f>IF(AND($B55=" ",$K56=BC$3),$O56,0)</f>
        <v>0</v>
      </c>
      <c r="BD56" s="198">
        <f>IF(AND($B55=" ",$K56=BD$3),$O56,0)</f>
        <v>0</v>
      </c>
      <c r="BE56" s="199">
        <f>IF(AND($B55=" ",$K56=BE$3),$O56,0)</f>
        <v>0</v>
      </c>
      <c r="BF56" s="197">
        <f>IF($K56=BF$3,IF($C56="X",0,$O56),0)</f>
        <v>0</v>
      </c>
      <c r="BG56" s="198">
        <f>IF($K56=BG$3,IF($C56="X",0,$O56),0)</f>
        <v>0</v>
      </c>
      <c r="BH56" s="198">
        <f>IF($K56=BH$3,IF($C56="X",0,$O56),0)</f>
        <v>0</v>
      </c>
      <c r="BI56" s="198">
        <f>IF($K56=BI$3,IF($C56="X",0,$O56),0)</f>
        <v>0</v>
      </c>
      <c r="BJ56" s="198">
        <f>IF($K56=BJ$3,IF($C56="X",0,$O56),0)</f>
        <v>0</v>
      </c>
      <c r="BK56" s="198">
        <f>IF($K56=BK$3,IF($C56="X",0,$O56),0)</f>
        <v>0</v>
      </c>
      <c r="BL56" s="198">
        <f>IF($K56=BL$3,IF($C56="X",0,$O56),0)</f>
        <v>0</v>
      </c>
      <c r="BM56" s="227">
        <f>IF($K56=BM$3,IF($C56="X",0,$O56),0)</f>
        <v>0</v>
      </c>
      <c r="BN56" s="205">
        <f>IF($K56=BN$3,IF($C56="X",0,$O56),0)</f>
        <v>0</v>
      </c>
      <c r="BO56" s="205">
        <f>IF($K56=BO$3,IF($C56="X",0,$O56),0)</f>
        <v>0</v>
      </c>
      <c r="BP56" s="205">
        <f>IF($K56=BP$3,IF($C56="X",0,$O56),0)</f>
        <v>0</v>
      </c>
      <c r="BQ56" s="202">
        <f>IF($K56=BQ$3,IF($C56="X",0,$O56),0)</f>
        <v>12.4</v>
      </c>
      <c r="BR56" s="199">
        <f>IF($K56=BR$3,IF($C56="X",0,$O56),0)</f>
        <v>0</v>
      </c>
      <c r="BS56" s="228"/>
      <c r="BT56" s="229"/>
      <c r="BU56" s="140"/>
      <c r="BV56" s="229"/>
      <c r="BW56" s="140"/>
      <c r="BX56" s="140"/>
      <c r="BY56" s="140"/>
      <c r="BZ56" s="229"/>
      <c r="CA56" s="140"/>
      <c r="CB56" s="140"/>
      <c r="CC56" s="140"/>
      <c r="CD56" s="141"/>
      <c r="CE56" s="142"/>
      <c r="CF56" s="230">
        <f>IF(CF$3=$K56,IF($C56="W",1,IF($C56="1/2W",0.5,0)),0)</f>
        <v>0</v>
      </c>
      <c r="CG56" s="231">
        <f>IF(CF$3=$K56,IF($C56="L",1,IF($C56="1/2L",0.5,0)),0)</f>
        <v>0</v>
      </c>
      <c r="CH56" s="231">
        <f>IF(CH$3=$K56,IF($C56="W",1,IF($C56="1/2W",0.5,0)),0)</f>
        <v>0</v>
      </c>
      <c r="CI56" s="231">
        <f>IF(CH$3=$K56,IF($C56="L",1,IF($C56="1/2L",0.5,0)),0)</f>
        <v>0</v>
      </c>
      <c r="CJ56" s="231">
        <f>IF(CJ$3=$K56,IF($C56="W",1,IF($C56="1/2W",0.5,0)),0)</f>
        <v>0</v>
      </c>
      <c r="CK56" s="231">
        <f>IF(CJ$3=$K56,IF($C56="L",1,IF($C56="1/2L",0.5,0)),0)</f>
        <v>0</v>
      </c>
      <c r="CL56" s="231">
        <f>IF(CL$3=$K56,IF($C56="W",1,IF($C56="1/2W",0.5,0)),0)</f>
        <v>0</v>
      </c>
      <c r="CM56" s="231">
        <f>IF(CL$3=$K56,IF($C56="L",1,IF($C56="1/2L",0.5,0)),0)</f>
        <v>0</v>
      </c>
      <c r="CN56" s="231">
        <f>IF(CN$3=$K56,IF($C56="W",1,IF($C56="1/2W",0.5,0)),0)</f>
        <v>0</v>
      </c>
      <c r="CO56" s="231">
        <f>IF(CN$3=$K56,IF($C56="L",1,IF($C56="1/2L",0.5,0)),0)</f>
        <v>0</v>
      </c>
      <c r="CP56" s="231">
        <f>IF(CP$3=$K56,IF($C56="W",1,IF($C56="1/2W",0.5,0)),0)</f>
        <v>0</v>
      </c>
      <c r="CQ56" s="231">
        <f>IF(CP$3=$K56,IF($C56="L",1,IF($C56="1/2L",0.5,0)),0)</f>
        <v>0</v>
      </c>
      <c r="CR56" s="231">
        <f>IF(CR$3=$K56,IF($C56="W",1,IF($C56="1/2W",0.5,0)),0)</f>
        <v>0</v>
      </c>
      <c r="CS56" s="231">
        <f>IF(CR$3=$K56,IF($C56="L",1,IF($C56="1/2L",0.5,0)),0)</f>
        <v>0</v>
      </c>
      <c r="CT56" s="208">
        <f>IF(CT$3=$K56,IF($C56="W",1,IF($C56="1/2W",0.5,0)),0)</f>
        <v>0</v>
      </c>
      <c r="CU56" s="209">
        <f>IF(CT$3=$K56,IF($C56="L",1,IF($C56="1/2L",0.5,0)),0)</f>
        <v>0</v>
      </c>
      <c r="CV56" s="209">
        <f>IF(CV$3=$K56,IF($C56="W",1,IF($C56="1/2W",0.5,0)),0)</f>
        <v>0</v>
      </c>
      <c r="CW56" s="209">
        <f>IF(CV$3=$K56,IF($C56="L",1,IF($C56="1/2L",0.5,0)),0)</f>
        <v>0</v>
      </c>
      <c r="CX56" s="209">
        <f>IF(CX$3=$K56,IF($C56="W",1,IF($C56="1/2W",0.5,0)),0)</f>
        <v>0</v>
      </c>
      <c r="CY56" s="209">
        <f>IF(CX$3=$K56,IF($C56="L",1,IF($C56="1/2L",0.5,0)),0)</f>
        <v>0</v>
      </c>
      <c r="CZ56" s="209">
        <f>IF(CZ$3=$K56,IF($C56="W",1,IF($C56="1/2W",0.5,0)),0)</f>
        <v>0</v>
      </c>
      <c r="DA56" s="209">
        <f>IF(CZ$3=$K56,IF($C56="L",1,IF($C56="1/2L",0.5,0)),0)</f>
        <v>0</v>
      </c>
      <c r="DB56" s="209">
        <f>IF(DB$3=$K56,IF($C56="W",1,IF($C56="1/2W",0.5,0)),0)</f>
        <v>1</v>
      </c>
      <c r="DC56" s="209">
        <f>IF(DB$3=$K56,IF($C56="L",1,IF($C56="1/2L",0.5,0)),0)</f>
        <v>0</v>
      </c>
      <c r="DD56" s="209">
        <f>IF(DD$3=$K56,IF($C56="W",1,IF($C56="1/2W",0.5,0)),0)</f>
        <v>0</v>
      </c>
      <c r="DE56" s="210">
        <f>IF(DD$3=$K56,IF($C56="L",1,IF($C56="1/2L",0.5,0)),0)</f>
        <v>0</v>
      </c>
      <c r="DF56" s="211">
        <f>IF(AND(L56&lt;DF$3,$C56="W"),1+DF55,DF55)</f>
        <v>4</v>
      </c>
      <c r="DG56" s="198">
        <f>IF(DF56&gt;DF55,L56+DG55,DG55)</f>
        <v>5.438</v>
      </c>
      <c r="DH56" s="209">
        <f>IF(AND(L56&gt;DH$3,$C56="W"),1+DH55,0+DH55)</f>
        <v>1</v>
      </c>
      <c r="DI56" s="198">
        <f>IF(DH56&gt;DH55,L56+DI55,DI55)</f>
        <v>4.33</v>
      </c>
      <c r="DJ56" t="s" s="306">
        <f>IF($D55="","",$D55)</f>
        <v>101</v>
      </c>
      <c r="DK56" s="232"/>
    </row>
    <row r="57" ht="14.55" customHeight="1">
      <c r="A57" s="149"/>
      <c r="B57" s="150"/>
      <c r="C57" t="s" s="233">
        <v>58</v>
      </c>
      <c r="D57" s="152"/>
      <c r="E57" s="153"/>
      <c r="F57" s="155"/>
      <c r="G57" s="234"/>
      <c r="H57" s="156"/>
      <c r="I57" s="235"/>
      <c r="J57" s="236"/>
      <c r="K57" s="237"/>
      <c r="L57" s="238"/>
      <c r="M57" s="239"/>
      <c r="N57" s="161"/>
      <c r="O57" t="s" s="240">
        <f>IF(OR(AE55="",AE56=""),"",IF(L57&gt;0,ROUND(IF(M57&gt;0,M57,IF(M55&gt;0,ROUND((M55*AE57)/AE55,IF(N55=0,2,IF(N55=0.1,1,0))),IF(M56&gt;0,ROUND((M56*AE57)/AE56,IF(N55=0,2,IF(N55=0.1,1,0))),IF(M57&gt;0,M57,0)))),2),""))</f>
      </c>
      <c r="P57" t="s" s="241">
        <f>IF(I56="Lay",O56*(L56/(L56-1))-O56,IF(I55="Lay",O55*(L55/(L55-1))-O55,IF(OR(L57="",O57=""),"",IF($C57="1/2W",O57/2+O57/2*L57,IF($C57="1/2L",O57/2,(O57*L57-O57)*(1-_xlfn.XLOOKUP(K57,'Janeiro 2023 - Valor Real'!A3:A15,'Janeiro 2023 - Valor Real'!C3:C15,0))+O57)))))</f>
      </c>
      <c r="Q57" t="s" s="242"/>
      <c r="R57" t="s" s="243"/>
      <c r="S57" s="166"/>
      <c r="T57" s="155"/>
      <c r="U57" s="155"/>
      <c r="V57" s="166"/>
      <c r="W57" s="155"/>
      <c r="X57" s="167"/>
      <c r="Y57" s="128"/>
      <c r="Z57" s="129"/>
      <c r="AA57" s="129"/>
      <c r="AB57" s="129"/>
      <c r="AC57" s="129"/>
      <c r="AD57" s="244">
        <f>((L56/(L56-1)-1))</f>
        <v>1.05263157894737</v>
      </c>
      <c r="AE57" t="s" s="245">
        <f>IF(L57="","",(SUM(((L55-1)*(1-_xlfn.XLOOKUP(K55,'Janeiro 2023 - Valor Real'!A3:A15,'Janeiro 2023 - Valor Real'!C3:C15,0))+1),((L56-1)*(1-_xlfn.XLOOKUP(K56,'Janeiro 2023 - Valor Real'!A3:A15,'Janeiro 2023 - Valor Real'!C3:C15,0))+1),((L57-1)*(1-_xlfn.XLOOKUP(K57,'Janeiro 2023 - Valor Real'!A3:A15,'Janeiro 2023 - Valor Real'!C3:C15,0))+1))/((L57-1)*(1-_xlfn.XLOOKUP(K57,'Janeiro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Real'!C3:C15,0))+1))/((L55-1)*(1-_xlfn.XLOOKUP(K55,'Janeiro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Real'!C3:C15,0))+1))/((L56-1)*(1-_xlfn.XLOOKUP(K56,'Janeiro 2023 - Valor Real'!A3:A15,'Janeiro 2023 - Valor Real'!C3:C15,0))+1)+SUM(((L55-1)*(1-_xlfn.XLOOKUP(K55,'Janeiro 2023 - Valor Real'!A3:A15,'Janeiro 2023 - Valor Real'!C3:C15,0))+1),((L56-1)*(1-_xlfn.XLOOKUP(K56,'Janeiro 2023 - Valor Real'!A3:A15,'Janeiro 2023 - Valor Real'!C3:C15,0))+1),((L57-1)*(1-_xlfn.XLOOKUP(K57,'Janeiro 2023 - Valor Real'!A3:A15,'Janeiro 2023 - Valor Real'!C3:C15,0))+1))/((L57-1)*(1-_xlfn.XLOOKUP(K57,'Janeiro 2023 - Valor Real'!A3:A15,'Janeiro 2023 - Valor Real'!C3:C15,0))+1)))</f>
      </c>
      <c r="AF57" s="197">
        <f>IF($K57=AF$3,ROUND(IF(OR($C57="W",$C57="1/2W",$C57="1/2L"),$P57-$O57,IF($C57="X",0,-$O57)),2),0)</f>
        <v>0</v>
      </c>
      <c r="AG57" s="198">
        <f>IF($K57=AG$3,ROUND(IF(OR($C57="W",$C57="1/2W",$C57="1/2L"),$P57-$O57,IF($C57="X",0,-$O57)),2),0)</f>
        <v>0</v>
      </c>
      <c r="AH57" s="198">
        <f>IF($K57=AH$3,ROUND(IF(OR($C57="W",$C57="1/2W",$C57="1/2L"),$P57-$O57,IF($C57="X",0,-$O57)),2),0)</f>
        <v>0</v>
      </c>
      <c r="AI57" s="198">
        <f>IF($K57=AI$3,ROUND(IF(OR($C57="W",$C57="1/2W",$C57="1/2L"),$P57-$O57,IF($C57="X",0,-$O57)),2),0)</f>
        <v>0</v>
      </c>
      <c r="AJ57" s="198">
        <f>IF($K57=AJ$3,ROUND(IF(OR($C57="W",$C57="1/2W",$C57="1/2L"),$P57-$O57,IF($C57="X",0,-$O57)),2),0)</f>
        <v>0</v>
      </c>
      <c r="AK57" s="198">
        <f>IF($K57=AK$3,ROUND(IF(OR($C57="W",$C57="1/2W",$C57="1/2L"),$P57-$O57,IF($C57="X",0,-$O57)),2),0)</f>
        <v>0</v>
      </c>
      <c r="AL57" s="198">
        <f>IF($K57=AL$3,ROUND(IF(OR($C57="W",$C57="1/2W",$C57="1/2L"),$P57-$O57,IF($C57="X",0,-$O57)),2),0)</f>
        <v>0</v>
      </c>
      <c r="AM57" s="198">
        <f>IF($K57=AM$3,ROUND(IF(OR($C57="W",$C57="1/2W",$C57="1/2L"),$P57-$O57,IF($C57="X",0,-$O57)),2),0)</f>
        <v>0</v>
      </c>
      <c r="AN57" s="198">
        <f>IF($K57=AN$3,ROUND(IF(OR($C57="W",$C57="1/2W",$C57="1/2L"),$P57-$O57,IF($C57="X",0,-$O57)),2),0)</f>
        <v>0</v>
      </c>
      <c r="AO57" s="198">
        <f>IF($K57=AO$3,ROUND(IF(OR($C57="W",$C57="1/2W",$C57="1/2L"),$P57-$O57,IF($C57="X",0,-$O57)),2),0)</f>
        <v>0</v>
      </c>
      <c r="AP57" s="198">
        <f>IF($K57=AP$3,ROUND(IF(OR($C57="W",$C57="1/2W",$C57="1/2L"),$P57-$O57,IF($C57="X",0,-$O57)),2),0)</f>
        <v>0</v>
      </c>
      <c r="AQ57" s="198">
        <f>IF($K57=AQ$3,ROUND(IF(OR($C57="W",$C57="1/2W",$C57="1/2L"),$P57-$O57,IF($C57="X",0,-$O57)),2),0)</f>
        <v>0</v>
      </c>
      <c r="AR57" s="199">
        <f>IF($K57=AR$3,ROUND(IF(OR($C57="W",$C57="1/2W",$C57="1/2L"),$P57-$O57,IF($C57="X",0,-$O57)),2),0)</f>
        <v>0</v>
      </c>
      <c r="AS57" s="197">
        <f>IF(AND($B55=" ",$K57=AS$3),$O57,0)</f>
        <v>0</v>
      </c>
      <c r="AT57" s="198">
        <f>IF(AND($B55=" ",K57=AT$3),$O57,0)</f>
        <v>0</v>
      </c>
      <c r="AU57" s="198">
        <f>IF(AND($B55=" ",$K57=AU$3),$O57,0)</f>
        <v>0</v>
      </c>
      <c r="AV57" s="198">
        <f>IF(AND($B55=" ",$K57=AV$3),$O57,0)</f>
        <v>0</v>
      </c>
      <c r="AW57" s="198">
        <f>IF(AND($B55=" ",$K57=AW$3),$O57,0)</f>
        <v>0</v>
      </c>
      <c r="AX57" s="198">
        <f>IF(AND($B55=" ",$K57=AX$3),$O57,0)</f>
        <v>0</v>
      </c>
      <c r="AY57" s="200">
        <f>IF(AND($B55=" ",$K57=AY$3),$O57,0)</f>
        <v>0</v>
      </c>
      <c r="AZ57" s="201">
        <f>IF(AND($B55=" ",$K57=AZ$3),$O57,0)</f>
        <v>0</v>
      </c>
      <c r="BA57" s="201">
        <f>IF(AND($B55=" ",$K57=BA$3),$O57,0)</f>
        <v>0</v>
      </c>
      <c r="BB57" s="201">
        <f>IF(AND($B55=" ",$K57=BB$3),$O57,0)</f>
        <v>0</v>
      </c>
      <c r="BC57" s="202">
        <f>IF(AND($B55=" ",$K57=BC$3),$O57,0)</f>
        <v>0</v>
      </c>
      <c r="BD57" s="198">
        <f>IF(AND($B55=" ",$K57=BD$3),$O57,0)</f>
        <v>0</v>
      </c>
      <c r="BE57" s="199">
        <f>IF(AND($B55=" ",$K57=BE$3),$O57,0)</f>
        <v>0</v>
      </c>
      <c r="BF57" s="197">
        <f>IF($K57=BF$3,IF($C57="X",0,$O57),0)</f>
        <v>0</v>
      </c>
      <c r="BG57" s="198">
        <f>IF($K57=BG$3,IF($C57="X",0,$O57),0)</f>
        <v>0</v>
      </c>
      <c r="BH57" s="198">
        <f>IF($K57=BH$3,IF($C57="X",0,$O57),0)</f>
        <v>0</v>
      </c>
      <c r="BI57" s="198">
        <f>IF($K57=BI$3,IF($C57="X",0,$O57),0)</f>
        <v>0</v>
      </c>
      <c r="BJ57" s="198">
        <f>IF($K57=BJ$3,IF($C57="X",0,$O57),0)</f>
        <v>0</v>
      </c>
      <c r="BK57" s="198">
        <f>IF($K57=BK$3,IF($C57="X",0,$O57),0)</f>
        <v>0</v>
      </c>
      <c r="BL57" s="198">
        <f>IF($K57=BL$3,IF($C57="X",0,$O57),0)</f>
        <v>0</v>
      </c>
      <c r="BM57" s="200">
        <f>IF($K57=BM$3,IF($C57="X",0,$O57),0)</f>
        <v>0</v>
      </c>
      <c r="BN57" s="201">
        <f>IF($K57=BN$3,IF($C57="X",0,$O57),0)</f>
        <v>0</v>
      </c>
      <c r="BO57" s="201">
        <f>IF($K57=BO$3,IF($C57="X",0,$O57),0)</f>
        <v>0</v>
      </c>
      <c r="BP57" s="201">
        <f>IF($K57=BP$3,IF($C57="X",0,$O57),0)</f>
        <v>0</v>
      </c>
      <c r="BQ57" s="202">
        <f>IF($K57=BQ$3,IF($C57="X",0,$O57),0)</f>
        <v>0</v>
      </c>
      <c r="BR57" s="199">
        <f>IF($K57=BR$3,IF($C57="X",0,$O57),0)</f>
        <v>0</v>
      </c>
      <c r="BS57" s="228"/>
      <c r="BT57" s="229"/>
      <c r="BU57" s="140"/>
      <c r="BV57" s="229"/>
      <c r="BW57" s="140"/>
      <c r="BX57" s="140"/>
      <c r="BY57" s="140"/>
      <c r="BZ57" s="229"/>
      <c r="CA57" s="140"/>
      <c r="CB57" s="140"/>
      <c r="CC57" s="140"/>
      <c r="CD57" s="141"/>
      <c r="CE57" s="142"/>
      <c r="CF57" s="230">
        <f>IF(CF$3=$K57,IF($C57="W",1,IF($C57="1/2W",0.5,0)),0)</f>
        <v>0</v>
      </c>
      <c r="CG57" s="231">
        <f>IF(CF$3=$K57,IF($C57="L",1,IF($C57="1/2L",0.5,0)),0)</f>
        <v>0</v>
      </c>
      <c r="CH57" s="231">
        <f>IF(CH$3=$K57,IF($C57="W",1,IF($C57="1/2W",0.5,0)),0)</f>
        <v>0</v>
      </c>
      <c r="CI57" s="231">
        <f>IF(CH$3=$K57,IF($C57="L",1,IF($C57="1/2L",0.5,0)),0)</f>
        <v>0</v>
      </c>
      <c r="CJ57" s="231">
        <f>IF(CJ$3=$K57,IF($C57="W",1,IF($C57="1/2W",0.5,0)),0)</f>
        <v>0</v>
      </c>
      <c r="CK57" s="231">
        <f>IF(CJ$3=$K57,IF($C57="L",1,IF($C57="1/2L",0.5,0)),0)</f>
        <v>0</v>
      </c>
      <c r="CL57" s="231">
        <f>IF(CL$3=$K57,IF($C57="W",1,IF($C57="1/2W",0.5,0)),0)</f>
        <v>0</v>
      </c>
      <c r="CM57" s="231">
        <f>IF(CL$3=$K57,IF($C57="L",1,IF($C57="1/2L",0.5,0)),0)</f>
        <v>0</v>
      </c>
      <c r="CN57" s="231">
        <f>IF(CN$3=$K57,IF($C57="W",1,IF($C57="1/2W",0.5,0)),0)</f>
        <v>0</v>
      </c>
      <c r="CO57" s="231">
        <f>IF(CN$3=$K57,IF($C57="L",1,IF($C57="1/2L",0.5,0)),0)</f>
        <v>0</v>
      </c>
      <c r="CP57" s="231">
        <f>IF(CP$3=$K57,IF($C57="W",1,IF($C57="1/2W",0.5,0)),0)</f>
        <v>0</v>
      </c>
      <c r="CQ57" s="231">
        <f>IF(CP$3=$K57,IF($C57="L",1,IF($C57="1/2L",0.5,0)),0)</f>
        <v>0</v>
      </c>
      <c r="CR57" s="231">
        <f>IF(CR$3=$K57,IF($C57="W",1,IF($C57="1/2W",0.5,0)),0)</f>
        <v>0</v>
      </c>
      <c r="CS57" s="231">
        <f>IF(CR$3=$K57,IF($C57="L",1,IF($C57="1/2L",0.5,0)),0)</f>
        <v>0</v>
      </c>
      <c r="CT57" s="208">
        <f>IF(CT$3=$K57,IF($C57="W",1,IF($C57="1/2W",0.5,0)),0)</f>
        <v>0</v>
      </c>
      <c r="CU57" s="209">
        <f>IF(CT$3=$K57,IF($C57="L",1,IF($C57="1/2L",0.5,0)),0)</f>
        <v>0</v>
      </c>
      <c r="CV57" s="209">
        <f>IF(CV$3=$K57,IF($C57="W",1,IF($C57="1/2W",0.5,0)),0)</f>
        <v>0</v>
      </c>
      <c r="CW57" s="209">
        <f>IF(CV$3=$K57,IF($C57="L",1,IF($C57="1/2L",0.5,0)),0)</f>
        <v>0</v>
      </c>
      <c r="CX57" s="209">
        <f>IF(CX$3=$K57,IF($C57="W",1,IF($C57="1/2W",0.5,0)),0)</f>
        <v>0</v>
      </c>
      <c r="CY57" s="209">
        <f>IF(CX$3=$K57,IF($C57="L",1,IF($C57="1/2L",0.5,0)),0)</f>
        <v>0</v>
      </c>
      <c r="CZ57" s="209">
        <f>IF(CZ$3=$K57,IF($C57="W",1,IF($C57="1/2W",0.5,0)),0)</f>
        <v>0</v>
      </c>
      <c r="DA57" s="209">
        <f>IF(CZ$3=$K57,IF($C57="L",1,IF($C57="1/2L",0.5,0)),0)</f>
        <v>0</v>
      </c>
      <c r="DB57" s="209">
        <f>IF(DB$3=$K57,IF($C57="W",1,IF($C57="1/2W",0.5,0)),0)</f>
        <v>0</v>
      </c>
      <c r="DC57" s="209">
        <f>IF(DB$3=$K57,IF($C57="L",1,IF($C57="1/2L",0.5,0)),0)</f>
        <v>0</v>
      </c>
      <c r="DD57" s="209">
        <f>IF(DD$3=$K57,IF($C57="W",1,IF($C57="1/2W",0.5,0)),0)</f>
        <v>0</v>
      </c>
      <c r="DE57" s="210">
        <f>IF(DD$3=$K57,IF($C57="L",1,IF($C57="1/2L",0.5,0)),0)</f>
        <v>0</v>
      </c>
      <c r="DF57" s="211">
        <f>IF(AND(L57&lt;DF$3,$C57="W"),1+DF56,DF56)</f>
        <v>4</v>
      </c>
      <c r="DG57" s="198">
        <f>IF(DF57&gt;DF56,L57+DG56,DG56)</f>
        <v>5.438</v>
      </c>
      <c r="DH57" s="209">
        <f>IF(AND(L57&gt;DH$3,$C57="W"),1+DH56,0+DH56)</f>
        <v>1</v>
      </c>
      <c r="DI57" s="198">
        <f>IF(DH57&gt;DH56,L57+DI56,DI56)</f>
        <v>4.33</v>
      </c>
      <c r="DJ57" t="s" s="306">
        <f>IF($D55="","",$D55)</f>
        <v>101</v>
      </c>
      <c r="DK57" s="232"/>
    </row>
    <row r="58" ht="14.55" customHeight="1">
      <c r="A58" s="246">
        <f>$A55+1</f>
        <v>19</v>
      </c>
      <c r="B58" t="s" s="247">
        <v>50</v>
      </c>
      <c r="C58" t="s" s="248">
        <v>56</v>
      </c>
      <c r="D58" t="s" s="303">
        <f>IF(G58="","",$D55)</f>
        <v>101</v>
      </c>
      <c r="E58" t="s" s="250">
        <v>63</v>
      </c>
      <c r="F58" t="s" s="251">
        <f>IF(G58="","",IF(OR(AND($C58&lt;&gt;" ",$C59=" "),AND($C59&lt;&gt;" ",$C58=" "),AND(L60&gt;0,OR(AND($C60&lt;&gt;" ",OR($C58=" ",$C59=" ")),AND($C60=" ",OR($C58&lt;&gt;" ",$C59&lt;&gt;" "))))),IF(SUM(F$4:F57)=0,1,LARGE(F$4:F57,1)+1),IF(MONTH(G58)=MONTH(TODAY()),IF(AND(DAY(G58)&lt;DAY(TODAY()),$B58=" "),IF(SUM(F$4:F57)=0,1,LARGE(F$4:F57,1)+1),IF($B58=" ",IF(AND(DAY(G58)=DAY(TODAY()),HOUR(G58)&lt;=HOUR(NOW())+1),IF(AND(HOUR(G58)+2&lt;=HOUR(NOW()),DAY(G58)&lt;=DAY(TODAY()),MINUTE(G58)&lt;=MINUTE(NOW())),IF(SUM(F$4:F57)=0,1,LARGE(F$4:F57,1)+1),IF(OR(MINUTE(G58)&lt;=MINUTE(NOW()),HOUR(G58)&lt;=HOUR(NOW())),"!!!","")),""),"")),"")))</f>
      </c>
      <c r="G58" s="252">
        <v>44943.583333333336</v>
      </c>
      <c r="H58" t="s" s="253">
        <v>104</v>
      </c>
      <c r="I58" t="s" s="254">
        <v>57</v>
      </c>
      <c r="J58" s="255">
        <v>2</v>
      </c>
      <c r="K58" t="s" s="256">
        <v>41</v>
      </c>
      <c r="L58" s="257">
        <v>1.61</v>
      </c>
      <c r="M58" s="258">
        <v>55.33</v>
      </c>
      <c r="N58" s="259">
        <v>0</v>
      </c>
      <c r="O58" s="260">
        <f>IF(OR(AE58="",AE59=""),"",ROUND(IF(L60&gt;0,IF(M58&gt;0,M58,IF(M59&gt;0,ROUND((M59*AE58)/AE59,IF(N58=0,2,IF(N58=0.1,1,0))),ROUND((M60*AE58)/AE60,IF(N58=0,2,IF(N58=0.1,1,0))))),IF(M58&gt;0,M58,ROUND((M59*AE58)/AE59,IF(N58=0,2,IF(N58=0.1,1,0))))),2))</f>
        <v>55.33</v>
      </c>
      <c r="P58" s="261">
        <f>IF(OR(L58="",O58=""),"",IF($C58="1/2W",O58/2+O58/2*L58,IF($C58="1/2L",O58/2,IF(I58="Lay",(O58*(L58/(L58-1))-O58)*(1-_xlfn.XLOOKUP(K58,'Janeiro 2023 - Valor Real'!A3:A15,'Janeiro 2023 - Valor Real'!C3:C15,0))+O58,(O58*L58-O58)*(1-_xlfn.XLOOKUP(K58,'Janeiro 2023 - Valor Real'!A3:A15,'Janeiro 2023 - Valor Real'!C3:C15,0))+O58))))</f>
        <v>89.0813</v>
      </c>
      <c r="Q58" s="262">
        <v>2</v>
      </c>
      <c r="R58" s="263">
        <v>0</v>
      </c>
      <c r="S58" s="264">
        <f>IF($B58="Anulado",0,ROUND(IF(OR($B58="LOSS",$B58="OK"),IF(OR($C58="W",$C58="1/2W",$C58="1/2L"),P58-O58,IF($C58="L",-O58,0))+IF(OR($C59="W",$C59="1/2W",$C59="1/2L"),P59-O59,IF($C59="L",-O59,0))+IF(OR($C60="W",$C60="1/2W",$C60="1/2L"),P60-O60,IF($C60="L",-O60,0)),IF(AND(OR($C58="W",$C58="1/2W",$C58="1/2L"),C59="W"),P58+P59-SUM(O58:O60)+_xlfn.XLOOKUP("X",C58:C60,O58:O60,0),IF(AND(C58=TRUE,C60="W"),P58+P60-SUM(O58:O60),IF(AND(C59="W",C60="W"),P59+P60-SUM(O58:O60)+_xlfn.XLOOKUP("X",C58:C60,O58:O60,0),IF(L60&gt;0,IF(OR($C58="W",$C58="1/2W",$C58="1/2L"),P58-SUM(O58:O60)+_xlfn.XLOOKUP("X",C58:C60,O58:O60,0),IF(OR($C58="W",$C58="1/2W",$C58="1/2L"),P59-SUM(O58:O60)+_xlfn.XLOOKUP("X",C58:C60,O58:O60,0),IF(OR($C58="W",$C58="1/2W",$C58="1/2L"),P60-SUM(O58:O60)+_xlfn.XLOOKUP("X",C58:C60,O58:O60,0),IF(SUM(P58:P60)/3-SUM(O58:O60)+_xlfn.XLOOKUP("X",C58:C60,O58:O60,0)&gt;0,SUM(P58:P60)/3-SUM(O58:O60)+_xlfn.XLOOKUP("X",C58:C60,O58:O60,0),LARGE(P58:P60,1)-SUM(O58:O60))))),IF(OR($C58="W",$C58="1/2W",$C58="1/2L"),P58-SUM(O58:O59)+_xlfn.XLOOKUP("X",C58:C60,O58:O60,0),IF(OR($C58="W",$C58="1/2W",$C58="1/2L"),P59-SUM(O58:O59)+_xlfn.XLOOKUP("X",C58:C60,O58:O60,0),SUM(P58:P59)/2-SUM(O58:O59)+_xlfn.XLOOKUP("X",C58:C60,O58:O60,0)))))))),2))</f>
        <v>5.2</v>
      </c>
      <c r="T58" s="265">
        <f>IF(S58=0,0,S58/SUM(O58:O60))</f>
        <v>0.0619933237958989</v>
      </c>
      <c r="U58" s="266">
        <f>IF($D58=$D55,IF(OR($B58="LOSS",$B58="OK",$B58="Anulada"),S58,0)+U55,IF(OR($B58="LOSS",$B58="OK",$B58="Anulada"),S58,0))</f>
        <v>8.42</v>
      </c>
      <c r="V58" s="266">
        <f>IF($D58="",0,IF($D58=$D55,IF($B58=" ",IF(I60="",IF(OR(AND(I58="DNB1",I59="DNB2"),AND(OR(I58="DNB1",I58="DNB2"),J59=0),AND(OR(I59="DNB1",I59="DNB2"),J58=0),AND(I58="DNB2",I59="DNB1"),AND(IF(J58=0,(J58+1)/ROUND(J58+1,0),J58/ROUND(J58,0))=1,IF(J59=0,(J59+1)/ROUND(IF(J59="",0,J59)+1,0),IF(J59="",0,J59)/ROUND(IF(J59="",1,J59),0))=1,OR(J58&lt;&gt;""),J59&lt;&gt;"")),0,IF(S58&lt;0,IF(I60="",SMALL(P58:P59,1)-SUM(O58:O59),0),SMALL(P58:P59,1)-SUM(O58:O59))),IF(S58&lt;0,IF(I60="",SMALL(P58:P60,1)-SUM(O58:O60),0),LARGE(P58:P60,1)-SUM(O58:O60))),S58)+V55,IF(I60="",IF(OR(AND(I58="DNB1",I59="DNB2"),AND(OR(I58="DNB1",I58="DNB2"),J59=0),AND(OR(I59="DNB1",I59="DNB2"),J58=0),AND(I58="DNB2",I59="DNB1"),AND(IF(J58=0,(J58+1)/ROUND(J58+1,0),J58/ROUND(J58,0))=1,IF(J59=0,(IF(J59="",0,J59)+1)/ROUND(IF(J59="",0,J59)+1,0),IF(J59="",0,J59)/ROUND(IF(J59="",0,J59)+1,0))=1,OR(J58&lt;&gt;""),J59&lt;&gt;"")),0,IF(S58&lt;0,IF(I60="",SMALL(P58:P59,1)-SUM(O58:O59),0),SMALL(P58:P60,1)-SUM(O58:O60))),IF(S58&lt;0,IF(I60="",SMALL(P58:P60,1)-SUM(O58:O60),0),LARGE(P58:P60,1)-SUM(O58:O60)))))</f>
        <v>8.422000000000001</v>
      </c>
      <c r="W58" s="266">
        <f>IF($D58=$D55,IF(S58&lt;0,IF(I60="",S58,0),S58)+W55,S58)</f>
        <v>8.42</v>
      </c>
      <c r="X58" t="s" s="267">
        <f>IF(OR(SUM(R58:R60)=0,V58=W58),ROUND(IF(W58=0,0,W58/Y58)*100,2)&amp;"%",ROUND(IF(V58=0,0,V58/Y58)*100,2)&amp;"% a "&amp;ROUND(IF(W58=0,0,W58/Y58)*100,2)&amp;"%")</f>
        <v>105</v>
      </c>
      <c r="Y58" s="268">
        <f>IF($D58=$D55,Y55+SUM(O58:O60),SUM(O58:O60))</f>
        <v>141.47</v>
      </c>
      <c r="Z58" s="266">
        <f>IF($B58=" ",SUM(O58:O60),0)+Z55</f>
        <v>0</v>
      </c>
      <c r="AA58" s="266">
        <f>IF(G58="","",IF($B58="Anulado",LARGE(P58:P60,1)-SUM(O58:O60)+AA55,AA55))</f>
        <v>0</v>
      </c>
      <c r="AB58" s="266">
        <f>IF($D58="","",AB55+S58)</f>
        <v>86.52</v>
      </c>
      <c r="AC58" s="269">
        <f>IF($D58="","",IF($B58=" ",IF(DAY(G58)=DAY(TODAY()),1+AC55,0+AC55),0+AC55))</f>
        <v>0</v>
      </c>
      <c r="AD58" s="270">
        <f>(1-_xlfn.XLOOKUP(K56,'Janeiro 2023 - Valor Real'!A3:A15,'Janeiro 2023 - Valor Real'!C3:C15,0))+1</f>
        <v>2</v>
      </c>
      <c r="AE58" s="271">
        <f>IF(L58="","",IF(L60&gt;0,(SUM(((L58-1)*(1-_xlfn.XLOOKUP(K58,'Janeiro 2023 - Valor Real'!A3:A15,'Janeiro 2023 - Valor Real'!C3:C15,0))+1),((L59-1)*(1-_xlfn.XLOOKUP(K59,'Janeiro 2023 - Valor Real'!A3:A15,'Janeiro 2023 - Valor Real'!C3:C15,0))+1),((L60-1)*(1-_xlfn.XLOOKUP(K60,'Janeiro 2023 - Valor Real'!A3:A15,'Janeiro 2023 - Valor Real'!C3:C15,0))+1))/((L58-1)*(1-_xlfn.XLOOKUP(K58,'Janeiro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Real'!C3:C15,0))+1))/((L58-1)*(1-_xlfn.XLOOKUP(K58,'Janeiro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Real'!C3:C15,0))+1))/((L59-1)*(1-_xlfn.XLOOKUP(K59,'Janeiro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Real'!C3:C15,0))+1))/((L60-1)*(1-_xlfn.XLOOKUP(K60,'Janeiro 2023 - Valor Real'!A3:A15,'Janeiro 2023 - Valor Real'!C3:C15,0))+1)),IF(I58="Lay",IF(I59="Lay",((L59/(L59-1)-1)*(1-_xlfn.XLOOKUP(K59,'Janeiro 2023 - Valor Real'!A3:A15,'Janeiro 2023 - Valor Real'!C3:C15,0))+1)/(((L59/(L59-1)-1)*(1-_xlfn.XLOOKUP(K59,'Janeiro 2023 - Valor Real'!A3:A15,'Janeiro 2023 - Valor Real'!C3:C15,0))+1)+((L58/(L58-1)-1)*(1-_xlfn.XLOOKUP(K58,'Janeiro 2023 - Valor Real'!A3:A15,'Janeiro 2023 - Valor Real'!C3:C15,0))+1)),((L59-1)*(1-_xlfn.XLOOKUP(K59,'Janeiro 2023 - Valor Real'!A3:A15,'Janeiro 2023 - Valor Real'!C3:C15,0))+1)/(((L59-1)*(1-_xlfn.XLOOKUP(K59,'Janeiro 2023 - Valor Real'!A3:A15,'Janeiro 2023 - Valor Real'!C3:C15,0))+1)+((L58/(L58-1)-1)*(1-_xlfn.XLOOKUP(K58,'Janeiro 2023 - Valor Real'!A3:A15,'Janeiro 2023 - Valor Real'!C3:C15,0))+1))),IF(I59="Lay",(((L59/(L59-1)-1)*(1-_xlfn.XLOOKUP(K59,'Janeiro 2023 - Valor Real'!A3:A15,'Janeiro 2023 - Valor Real'!C3:C15,0))+1))/(((L58-1)*(1-_xlfn.XLOOKUP(K58,'Janeiro 2023 - Valor Real'!A3:A15,'Janeiro 2023 - Valor Real'!C3:C15,0))+1)+((L59/(L59-1)-1)*(1-_xlfn.XLOOKUP(K59,'Janeiro 2023 - Valor Real'!A3:A15,'Janeiro 2023 - Valor Real'!C3:C15,0))+1)),((L59-1)*(1-_xlfn.XLOOKUP(K59,'Janeiro 2023 - Valor Real'!A3:A15,'Janeiro 2023 - Valor Real'!C3:C15,0))+1)/(((L59-1)*(1-_xlfn.XLOOKUP(K59,'Janeiro 2023 - Valor Real'!A3:A15,'Janeiro 2023 - Valor Real'!C3:C15,0))+1)+((L58-1)*(1-_xlfn.XLOOKUP(K58,'Janeiro 2023 - Valor Real'!A3:A15,'Janeiro 2023 - Valor Real'!C3:C15,0))+1))))))</f>
        <v>0.659619450317125</v>
      </c>
      <c r="AF58" s="132">
        <f>IF($K58=AF$3,ROUND(IF(OR($C58="W",$C58="1/2W",$C58="1/2L"),$P58-$O58,IF($C58="X",0,-$O58)),2),0)</f>
        <v>0</v>
      </c>
      <c r="AG58" s="133">
        <f>IF($K58=AG$3,ROUND(IF(OR($C58="W",$C58="1/2W",$C58="1/2L"),$P58-$O58,IF($C58="X",0,-$O58)),2),0)</f>
        <v>0</v>
      </c>
      <c r="AH58" s="133">
        <f>IF($K58=AH$3,ROUND(IF(OR($C58="W",$C58="1/2W",$C58="1/2L"),$P58-$O58,IF($C58="X",0,-$O58)),2),0)</f>
        <v>0</v>
      </c>
      <c r="AI58" s="133">
        <f>IF($K58=AI$3,ROUND(IF(OR($C58="W",$C58="1/2W",$C58="1/2L"),$P58-$O58,IF($C58="X",0,-$O58)),2),0)</f>
        <v>0</v>
      </c>
      <c r="AJ58" s="133">
        <f>IF($K58=AJ$3,ROUND(IF(OR($C58="W",$C58="1/2W",$C58="1/2L"),$P58-$O58,IF($C58="X",0,-$O58)),2),0)</f>
        <v>33.75</v>
      </c>
      <c r="AK58" s="133">
        <f>IF($K58=AK$3,ROUND(IF(OR($C58="W",$C58="1/2W",$C58="1/2L"),$P58-$O58,IF($C58="X",0,-$O58)),2),0)</f>
        <v>0</v>
      </c>
      <c r="AL58" s="133">
        <f>IF($K58=AL$3,ROUND(IF(OR($C58="W",$C58="1/2W",$C58="1/2L"),$P58-$O58,IF($C58="X",0,-$O58)),2),0)</f>
        <v>0</v>
      </c>
      <c r="AM58" s="133">
        <f>IF($K58=AM$3,ROUND(IF(OR($C58="W",$C58="1/2W",$C58="1/2L"),$P58-$O58,IF($C58="X",0,-$O58)),2),0)</f>
        <v>0</v>
      </c>
      <c r="AN58" s="133">
        <f>IF($K58=AN$3,ROUND(IF(OR($C58="W",$C58="1/2W",$C58="1/2L"),$P58-$O58,IF($C58="X",0,-$O58)),2),0)</f>
        <v>0</v>
      </c>
      <c r="AO58" s="133">
        <f>IF($K58=AO$3,ROUND(IF(OR($C58="W",$C58="1/2W",$C58="1/2L"),$P58-$O58,IF($C58="X",0,-$O58)),2),0)</f>
        <v>0</v>
      </c>
      <c r="AP58" s="133">
        <f>IF($K58=AP$3,ROUND(IF(OR($C58="W",$C58="1/2W",$C58="1/2L"),$P58-$O58,IF($C58="X",0,-$O58)),2),0)</f>
        <v>0</v>
      </c>
      <c r="AQ58" s="133">
        <f>IF($K58=AQ$3,ROUND(IF(OR($C58="W",$C58="1/2W",$C58="1/2L"),$P58-$O58,IF($C58="X",0,-$O58)),2),0)</f>
        <v>0</v>
      </c>
      <c r="AR58" s="134">
        <f>IF($K58=AR$3,ROUND(IF(OR($C58="W",$C58="1/2W",$C58="1/2L"),$P58-$O58,IF($C58="X",0,-$O58)),2),0)</f>
        <v>0</v>
      </c>
      <c r="AS58" s="132">
        <f>IF(AND($B58=" ",$K58=AS$3),$O58,0)</f>
        <v>0</v>
      </c>
      <c r="AT58" s="133">
        <f>IF(AND($B58=" ",$K58=AT$3),$O58,0)</f>
        <v>0</v>
      </c>
      <c r="AU58" s="133">
        <f>IF(AND($B58=" ",$K58=AU$3),$O58,0)</f>
        <v>0</v>
      </c>
      <c r="AV58" s="133">
        <f>IF(AND($B58=" ",$K58=AV$3),$O58,0)</f>
        <v>0</v>
      </c>
      <c r="AW58" s="133">
        <f>IF(AND($B58=" ",$K58=AW$3),$O58,0)</f>
        <v>0</v>
      </c>
      <c r="AX58" s="133">
        <f>IF(AND($B58=" ",$K58=AX$3),$O58,0)</f>
        <v>0</v>
      </c>
      <c r="AY58" s="135">
        <f>IF(AND($B58=" ",$K58=AY$3),$O58,0)</f>
        <v>0</v>
      </c>
      <c r="AZ58" s="136">
        <f>IF(AND($B58=" ",$K58=AZ$3),$O58,0)</f>
        <v>0</v>
      </c>
      <c r="BA58" s="136">
        <f>IF(AND($B58=" ",$K58=BA$3),$O58,0)</f>
        <v>0</v>
      </c>
      <c r="BB58" s="136">
        <f>IF(AND($B58=" ",$K58=BB$3),$O58,0)</f>
        <v>0</v>
      </c>
      <c r="BC58" s="137">
        <f>IF(AND($B58=" ",$K58=BC$3),$O58,0)</f>
        <v>0</v>
      </c>
      <c r="BD58" s="133">
        <f>IF(AND($B58=" ",$K58=BD$3),$O58,0)</f>
        <v>0</v>
      </c>
      <c r="BE58" s="134">
        <f>IF(AND($B58=" ",$K58=BE$3),$O58,0)</f>
        <v>0</v>
      </c>
      <c r="BF58" s="132">
        <f>IF($K58=BF$3,IF($C58="X",0,$O58),0)</f>
        <v>0</v>
      </c>
      <c r="BG58" s="133">
        <f>IF($K58=BG$3,IF($C58="X",0,$O58),0)</f>
        <v>0</v>
      </c>
      <c r="BH58" s="133">
        <f>IF($K58=BH$3,IF($C58="X",0,$O58),0)</f>
        <v>0</v>
      </c>
      <c r="BI58" s="133">
        <f>IF($K58=BI$3,IF($C58="X",0,$O58),0)</f>
        <v>0</v>
      </c>
      <c r="BJ58" s="133">
        <f>IF($K58=BJ$3,IF($C58="X",0,$O58),0)</f>
        <v>55.33</v>
      </c>
      <c r="BK58" s="133">
        <f>IF($K58=BK$3,IF($C58="X",0,$O58),0)</f>
        <v>0</v>
      </c>
      <c r="BL58" s="133">
        <f>IF($K58=BL$3,IF($C58="X",0,$O58),0)</f>
        <v>0</v>
      </c>
      <c r="BM58" s="135">
        <f>IF($K58=BM$3,IF($C58="X",0,$O58),0)</f>
        <v>0</v>
      </c>
      <c r="BN58" s="136">
        <f>IF($K58=BN$3,IF($C58="X",0,$O58),0)</f>
        <v>0</v>
      </c>
      <c r="BO58" s="136">
        <f>IF($K58=BO$3,IF($C58="X",0,$O58),0)</f>
        <v>0</v>
      </c>
      <c r="BP58" s="136">
        <f>IF($K58=BP$3,IF($C58="X",0,$O58),0)</f>
        <v>0</v>
      </c>
      <c r="BQ58" s="137">
        <f>IF($K58=BQ$3,IF($C58="X",0,$O58),0)</f>
        <v>0</v>
      </c>
      <c r="BR58" s="134">
        <f>IF($K58=BR$3,IF($C58="X",0,$O58),0)</f>
        <v>0</v>
      </c>
      <c r="BS58" s="170">
        <f>IF($B58="LOSS",IF(AND($K58=BS$3,$C58="L"),-$O58,0)+IF(AND($K59=BS$3,$C59="L"),-$O59,0)+IF(AND($K60=BS$3,$C60="L"),-$O60,0),IF(OR(AND($K58=BS$3,OR($C58="W",$C58="1/2W")),AND($K59=BS$3,OR($C59="W",$C59="1/2W")),AND($K60=BS$3,OR($C60="W",$C60="1/2W"))),$S58,0))</f>
        <v>0</v>
      </c>
      <c r="BT58" s="272">
        <f>IF($B58="LOSS",IF(AND($K58=BT$3,$C58="L"),-$O58,0)+IF(AND($K59=BT$3,$C59="L"),-$O59,0)+IF(AND($K59=BT$3,$C60="L"),-$O60,0),IF(OR(AND($K59=BT$3,OR($C58="W",$C58="1/2W")),AND($K59=BT$3,OR($C59="W",$C59="1/2W")),AND($K59=BT$3,OR($C60="W",$C60="1/2W"))),$S58,0))</f>
        <v>0</v>
      </c>
      <c r="BU58" s="136">
        <f>IF($B58="LOSS",IF(AND($K58=BU$3,$C58="L"),-$O58,0)+IF(AND($K59=BU$3,$C59="L"),-$O59,0)+IF(AND($K59=BU$3,$C60="L"),-$O60,0),IF(OR(AND($K59=BU$3,OR($C58="W",$C58="1/2W")),AND($K59=BU$3,OR($C59="W",$C59="1/2W")),AND($K59=BU$3,OR($C60="W",$C60="1/2W"))),$S58,0))</f>
        <v>0</v>
      </c>
      <c r="BV58" s="136">
        <f>IF($B58="LOSS",IF(AND($K58=BV$3,$C58="L"),-$O58,0)+IF(AND($K59=BV$3,$C59="L"),-$O59,0)+IF(AND($K60=BV$3,$C60="L"),-$O60,0),IF(OR(AND($K58=BV$3,OR($C58="W",$C58="1/2W")),AND($K59=BV$3,OR($C59="W",$C59="1/2W")),AND($K60=BV$3,OR($C60="W",$C60="1/2W"))),$S58,0))</f>
        <v>0</v>
      </c>
      <c r="BW58" s="136">
        <f>IF($B58="LOSS",IF(AND($K58=BW$3,$C58="L"),-$O58,0)+IF(AND($K59=BW$3,$C59="L"),-$O59,0)+IF(AND($K60=BW$3,$C60="L"),-$O60,0),IF(OR(AND($K58=BW$3,OR($C58="W",$C58="1/2W")),AND($K59=BW$3,OR($C59="W",$C59="1/2W")),AND($K60=BW$3,OR($C60="W",$C60="1/2W"))),$S58,0))</f>
        <v>5.2</v>
      </c>
      <c r="BX58" s="136">
        <f>IF($B58="LOSS",IF(AND($K58=BX$3,$C58="L"),-$O58,0)+IF(AND($K59=BX$3,$C59="L"),-$O59,0)+IF(AND($K60=BX$3,$C60="L"),-$O60,0),IF(OR(AND($K58=BX$3,OR($C58="W",$C58="1/2W")),AND($K59=BX$3,OR($C59="W",$C59="1/2W")),AND($K60=BX$3,OR($C60="W",$C60="1/2W"))),$S58,0))</f>
        <v>0</v>
      </c>
      <c r="BY58" s="136">
        <f>IF($B58="LOSS",IF(AND($K58=BY$3,$C58="L"),-$O58,0)+IF(AND($K59=BY$3,$C59="L"),-$O59,0)+IF(AND($K60=BY$3,$C60="L"),-$O60,0),IF(OR(AND($K58=BY$3,OR($C58="W",$C58="1/2W")),AND($K59=BY$3,OR($C59="W",$C59="1/2W")),AND($K60=BY$3,OR($C60="W",$C60="1/2W"))),$S58,0))</f>
        <v>0</v>
      </c>
      <c r="BZ58" s="136">
        <f>IF($B58="LOSS",IF(AND($K58=BZ$3,$C58="L"),-$O58,0)+IF(AND($K59=BZ$3,$C59="L"),-$O59,0)+IF(AND($K60=BZ$3,$C60="L"),-$O60,0),IF(OR(AND($K58=BZ$3,OR($C58="W",$C58="1/2W")),AND($K59=BZ$3,OR($C59="W",$C59="1/2W")),AND($K60=BZ$3,OR($C60="W",$C60="1/2W"))),$S58,0))</f>
        <v>0</v>
      </c>
      <c r="CA58" s="136">
        <f>IF($B58="LOSS",IF(AND($K58=CA$3,$C58="L"),-$O58,0)+IF(AND($K59=CA$3,$C59="L"),-$O59,0)+IF(AND($K60=CA$3,$C60="L"),-$O60,0),IF(OR(AND($K58=CA$3,OR($C58="W",$C58="1/2W")),AND($K59=CA$3,OR($C59="W",$C59="1/2W")),AND($K60=CA$3,OR($C60="W",$C60="1/2W"))),$S58,0))</f>
        <v>0</v>
      </c>
      <c r="CB58" s="136">
        <f>IF($B58="LOSS",IF(AND($K58=CB$3,$C58="L"),-$O58,0)+IF(AND($K59=CB$3,$C59="L"),-$O59,0)+IF(AND($K60=CB$3,$C60="L"),-$O60,0),IF(OR(AND($K58=CB$3,OR($C58="W",$C58="1/2W")),AND($K59=CB$3,OR($C59="W",$C59="1/2W")),AND($K60=CB$3,OR($C60="W",$C60="1/2W"))),$S58,0))</f>
        <v>0</v>
      </c>
      <c r="CC58" s="136">
        <f>IF($B58="LOSS",IF(AND($K58=CC$3,$C58="L"),-$O58,0)+IF(AND($K59=CC$3,$C59="L"),-$O59,0)+IF(AND($K60=CC$3,$C60="L"),-$O60,0),IF(OR(AND($K58=CC$3,OR($C58="W",$C58="1/2W")),AND($K59=CC$3,OR($C59="W",$C59="1/2W")),AND($K60=CC$3,OR($C60="W",$C60="1/2W"))),$S58,0))</f>
        <v>0</v>
      </c>
      <c r="CD58" s="137">
        <f>IF($B58="LOSS",IF(AND($K58=CD$3,$C58="L"),-$O58,0)+IF(AND($K59=CD$3,$C59="L"),-$O59,0)+IF(AND($K60=CD$3,$C60="L"),-$O60,0),IF(OR(AND($K58=CD$3,OR($C58="W",$C58="1/2W")),AND($K59=CD$3,OR($C59="W",$C59="1/2W")),AND($K60=CD$3,OR($C60="W",$C60="1/2W"))),$S58,0))</f>
        <v>0</v>
      </c>
      <c r="CE58" s="134">
        <f>IF($B58="LOSS",IF(AND($K58=CE$3,$C58="L"),-$O58,0)+IF(AND($K59=CE$3,$C59="L"),-$O59,0)+IF(AND($K60=CE$3,$C60="L"),-$O60,0),IF(OR(AND($K58=CE$3,OR($C58="W",$C58="1/2W")),AND($K59=CE$3,OR($C59="W",$C59="1/2W")),AND($K60=CE$3,OR($C60="W",$C60="1/2W"))),$S58,0))</f>
        <v>0</v>
      </c>
      <c r="CF58" s="273">
        <f>IF(CF$3=$K58,IF($C58="W",1,IF($C58="1/2W",0.5,0)),0)</f>
        <v>0</v>
      </c>
      <c r="CG58" s="274">
        <f>IF(CF$3=$K58,IF($C58="L",1,IF($C58="1/2L",0.5,0)),0)</f>
        <v>0</v>
      </c>
      <c r="CH58" s="274">
        <f>IF(CH$3=$K58,IF($C58="W",1,IF($C58="1/2W",0.5,0)),0)</f>
        <v>0</v>
      </c>
      <c r="CI58" s="274">
        <f>IF(CH$3=$K58,IF($C58="L",1,IF($C58="1/2L",0.5,0)),0)</f>
        <v>0</v>
      </c>
      <c r="CJ58" s="274">
        <f>IF(CJ$3=$K58,IF($C58="W",1,IF($C58="1/2W",0.5,0)),0)</f>
        <v>0</v>
      </c>
      <c r="CK58" s="274">
        <f>IF(CJ$3=$K58,IF($C58="L",1,IF($C58="1/2L",0.5,0)),0)</f>
        <v>0</v>
      </c>
      <c r="CL58" s="274">
        <f>IF(CL$3=$K58,IF($C58="W",1,IF($C58="1/2W",0.5,0)),0)</f>
        <v>0</v>
      </c>
      <c r="CM58" s="274">
        <f>IF(CL$3=$K58,IF($C58="L",1,IF($C58="1/2L",0.5,0)),0)</f>
        <v>0</v>
      </c>
      <c r="CN58" s="274">
        <f>IF(CN$3=$K58,IF($C58="W",1,IF($C58="1/2W",0.5,0)),0)</f>
        <v>1</v>
      </c>
      <c r="CO58" s="274">
        <f>IF(CN$3=$K58,IF($C58="L",1,IF($C58="1/2L",0.5,0)),0)</f>
        <v>0</v>
      </c>
      <c r="CP58" s="274">
        <f>IF(CP$3=$K58,IF($C58="W",1,IF($C58="1/2W",0.5,0)),0)</f>
        <v>0</v>
      </c>
      <c r="CQ58" s="274">
        <f>IF(CP$3=$K58,IF($C58="L",1,IF($C58="1/2L",0.5,0)),0)</f>
        <v>0</v>
      </c>
      <c r="CR58" s="274">
        <f>IF(CR$3=$K58,IF($C58="W",1,IF($C58="1/2W",0.5,0)),0)</f>
        <v>0</v>
      </c>
      <c r="CS58" s="274">
        <f>IF(CR$3=$K58,IF($C58="L",1,IF($C58="1/2L",0.5,0)),0)</f>
        <v>0</v>
      </c>
      <c r="CT58" s="145">
        <f>IF(CT$3=$K58,IF($C58="W",1,IF($C58="1/2W",0.5,0)),0)</f>
        <v>0</v>
      </c>
      <c r="CU58" s="146">
        <f>IF(CT$3=$K58,IF($C58="L",1,IF($C58="1/2L",0.5,0)),0)</f>
        <v>0</v>
      </c>
      <c r="CV58" s="146">
        <f>IF(CV$3=$K58,IF($C58="W",1,IF($C58="1/2W",0.5,0)),0)</f>
        <v>0</v>
      </c>
      <c r="CW58" s="146">
        <f>IF(CV$3=$K58,IF($C58="L",1,IF($C58="1/2L",0.5,0)),0)</f>
        <v>0</v>
      </c>
      <c r="CX58" s="146">
        <f>IF(CX$3=$K58,IF($C58="W",1,IF($C58="1/2W",0.5,0)),0)</f>
        <v>0</v>
      </c>
      <c r="CY58" s="146">
        <f>IF(CX$3=$K58,IF($C58="L",1,IF($C58="1/2L",0.5,0)),0)</f>
        <v>0</v>
      </c>
      <c r="CZ58" s="146">
        <f>IF(CZ$3=$K58,IF($C58="W",1,IF($C58="1/2W",0.5,0)),0)</f>
        <v>0</v>
      </c>
      <c r="DA58" s="146">
        <f>IF(CZ$3=$K58,IF($C58="L",1,IF($C58="1/2L",0.5,0)),0)</f>
        <v>0</v>
      </c>
      <c r="DB58" s="146">
        <f>IF(DB$3=$K58,IF($C58="W",1,IF($C58="1/2W",0.5,0)),0)</f>
        <v>0</v>
      </c>
      <c r="DC58" s="146">
        <f>IF(DB$3=$K58,IF($C58="L",1,IF($C58="1/2L",0.5,0)),0)</f>
        <v>0</v>
      </c>
      <c r="DD58" s="146">
        <f>IF(DD$3=$K58,IF($C58="W",1,IF($C58="1/2W",0.5,0)),0)</f>
        <v>0</v>
      </c>
      <c r="DE58" s="147">
        <f>IF(DD$3=$K58,IF($C58="L",1,IF($C58="1/2L",0.5,0)),0)</f>
        <v>0</v>
      </c>
      <c r="DF58" s="143">
        <f>IF(AND(L58&lt;DF$3,$C58="W"),1+DF57,DF57)</f>
        <v>4</v>
      </c>
      <c r="DG58" s="133">
        <f>IF(DF58&gt;DF57,L58+DG57,DG57)</f>
        <v>5.438</v>
      </c>
      <c r="DH58" s="146">
        <f>IF(AND(L58&gt;DH$3,$C58="W"),1+DH57,0+DH57)</f>
        <v>1</v>
      </c>
      <c r="DI58" s="133">
        <f>IF(DH58&gt;DH57,L58+DI57,DI57)</f>
        <v>4.33</v>
      </c>
      <c r="DJ58" t="s" s="304">
        <f>IF($D58="","",$D58)</f>
        <v>101</v>
      </c>
      <c r="DK58" s="146">
        <f>IF(AND($B58=" ",$D58&lt;&gt;""),1,0)</f>
        <v>0</v>
      </c>
    </row>
    <row r="59" ht="14.55" customHeight="1">
      <c r="A59" s="107"/>
      <c r="B59" s="108"/>
      <c r="C59" t="s" s="109">
        <v>51</v>
      </c>
      <c r="D59" s="110"/>
      <c r="E59" s="111"/>
      <c r="F59" s="113"/>
      <c r="G59" s="252"/>
      <c r="H59" s="114"/>
      <c r="I59" t="s" s="275">
        <v>54</v>
      </c>
      <c r="J59" s="276">
        <f>IF(OR(I58="TO",I58="TU",I58="TO1",I58="TU1",I58="TO2",I58="TU2"),J58,IF(OR(I58="AH1",I58="AH2"),IF(OR(I59="AH1",I59="AH2"),-J58,IF(OR(I59="EH1",I59="EH2"),-J58+0.5,"")),IF(OR(I58="EH1",I58="EH2"),IF(OR(I59="AH1",I59="AH2"),-J58+0.5,IF(OR(I59="EH1",I59="EH2"),-J58+1,"")),IF(AND(OR(I58="DNB1",I58="DNB2"),OR(I59="AH1",I59="AH2")),0,IF(AND(I58="Not ScoreBoth",OR(I59="TO1",I59="TO2")),0.5,"")))))</f>
        <v>-2</v>
      </c>
      <c r="K59" t="s" s="117">
        <v>44</v>
      </c>
      <c r="L59" s="277">
        <v>3.12</v>
      </c>
      <c r="M59" s="278"/>
      <c r="N59" s="120"/>
      <c r="O59" s="121">
        <f>IF(OR(AE58="",AE59=""),"",ROUND(IF(L60&gt;0,IF(M59&gt;0,M59,IF(M58&gt;0,IF(N58=TRUE,ROUND((M58*AE59)/AE58,0),(M58*AE59)/AE58),IF(M59&gt;0,ROUND(M59,IF(N58=0,2,IF(N58=0.1,1,0))),IF(M60&gt;0,ROUND(O60*AE59/AE60,IF(N58=0,2,IF(N58=0.1,1,0))),0)))),IF(M59&gt;0,M59,ROUND((M58*AE59)/AE58,IF(N58=0,2,IF(N58=0.1,1,0))))),2))</f>
        <v>28.55</v>
      </c>
      <c r="P59" s="122">
        <f>IF(OR(L59="",O59=""),"",IF($C59="1/2W",O59/2+O59/2*L59,IF($C59="1/2L",O59/2,IF(I59="Lay",((O59*(L59/(L59-1)))-O59)*(1-_xlfn.XLOOKUP(K59,'Janeiro 2023 - Valor Real'!A3:A15,'Janeiro 2023 - Valor Real'!C3:C15,0))+O59,(O59*L59-O59)*(1-_xlfn.XLOOKUP(K59,'Janeiro 2023 - Valor Real'!A3:A15,'Janeiro 2023 - Valor Real'!C3:C15,0))+O59))))</f>
        <v>89.07599999999999</v>
      </c>
      <c r="Q59" s="279">
        <v>2</v>
      </c>
      <c r="R59" s="280">
        <v>0</v>
      </c>
      <c r="S59" s="125"/>
      <c r="T59" s="126"/>
      <c r="U59" s="126"/>
      <c r="V59" s="224"/>
      <c r="W59" s="126"/>
      <c r="X59" s="127"/>
      <c r="Y59" s="128"/>
      <c r="Z59" s="129"/>
      <c r="AA59" s="129"/>
      <c r="AB59" s="129"/>
      <c r="AC59" s="129"/>
      <c r="AD59" s="130"/>
      <c r="AE59" s="131">
        <f>IF(L59="","",IF(L60&gt;0,(SUM(((L58-1)*(1-_xlfn.XLOOKUP(K58,'Janeiro 2023 - Valor Real'!A3:A15,'Janeiro 2023 - Valor Real'!C3:C15,0))+1),((L59-1)*(1-_xlfn.XLOOKUP(K59,'Janeiro 2023 - Valor Real'!A3:A15,'Janeiro 2023 - Valor Real'!C3:C15,0))+1),((L60-1)*(1-_xlfn.XLOOKUP(K60,'Janeiro 2023 - Valor Real'!A3:A15,'Janeiro 2023 - Valor Real'!C3:C15,0))+1))/((L59-1)*(1-_xlfn.XLOOKUP(K59,'Janeiro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Real'!C3:C15,0))+1))/((L58-1)*(1-_xlfn.XLOOKUP(K58,'Janeiro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Real'!C3:C15,0))+1))/((L59-1)*(1-_xlfn.XLOOKUP(K59,'Janeiro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Real'!C3:C15,0))+1))/((L60-1)*(1-_xlfn.XLOOKUP(K60,'Janeiro 2023 - Valor Real'!A3:A15,'Janeiro 2023 - Valor Real'!C3:C15,0))+1)),IF(I59="Lay",IF(I58="Lay",((L58/(L58-1)-1)*(1-_xlfn.XLOOKUP(K58,'Janeiro 2023 - Valor Real'!A3:A15,'Janeiro 2023 - Valor Real'!C3:C15,0))+1)/(((L58/(L58-1)-1)*(1-_xlfn.XLOOKUP(K58,'Janeiro 2023 - Valor Real'!A3:A15,'Janeiro 2023 - Valor Real'!C3:C15,0))+1)+((L59/(L59-1)-1)*(1-_xlfn.XLOOKUP(K59,'Janeiro 2023 - Valor Real'!A3:A15,'Janeiro 2023 - Valor Real'!C3:C15,0))+1)),((L58-1)*(1-_xlfn.XLOOKUP(K58,'Janeiro 2023 - Valor Real'!A3:A15,'Janeiro 2023 - Valor Real'!C3:C15,0))+1)/(((L58-1)*(1-_xlfn.XLOOKUP(K58,'Janeiro 2023 - Valor Real'!A3:A15,'Janeiro 2023 - Valor Real'!C3:C15,0))+1)+((L59/(L59-1)-1)*(1-_xlfn.XLOOKUP(K59,'Janeiro 2023 - Valor Real'!A3:A15,'Janeiro 2023 - Valor Real'!C3:C15,0))+1))),IF(I58="Lay",((L58/(L58-1)-1)*(1-_xlfn.XLOOKUP(K58,'Janeiro 2023 - Valor Real'!A3:A15,'Janeiro 2023 - Valor Real'!C3:C15,0))+1)/((((L58/(L58-1)-1)*(1-_xlfn.XLOOKUP(K58,'Janeiro 2023 - Valor Real'!A3:A15,'Janeiro 2023 - Valor Real'!C3:C15,0))+1))+((L59-1)*(1-_xlfn.XLOOKUP(K59,'Janeiro 2023 - Valor Real'!A3:A15,'Janeiro 2023 - Valor Real'!C3:C15,0))+1)),((L58-1)*(1-_xlfn.XLOOKUP(K58,'Janeiro 2023 - Valor Real'!A3:A15,'Janeiro 2023 - Valor Real'!C3:C15,0))+1)/(((L58-1)*(1-_xlfn.XLOOKUP(K58,'Janeiro 2023 - Valor Real'!A3:A15,'Janeiro 2023 - Valor Real'!C3:C15,0))+1)+((L59-1)*(1-_xlfn.XLOOKUP(K59,'Janeiro 2023 - Valor Real'!A3:A15,'Janeiro 2023 - Valor Real'!C3:C15,0))+1))))))</f>
        <v>0.340380549682875</v>
      </c>
      <c r="AF59" s="132">
        <f>IF($K59=AF$3,ROUND(IF(OR($C59="W",$C59="1/2W",$C59="1/2L"),$P59-$O59,IF($C59="X",0,-$O59)),2),0)</f>
        <v>0</v>
      </c>
      <c r="AG59" s="133">
        <f>IF($K59=AG$3,ROUND(IF(OR($C59="W",$C59="1/2W",$C59="1/2L"),$P59-$O59,IF($C59="X",0,-$O59)),2),0)</f>
        <v>0</v>
      </c>
      <c r="AH59" s="133">
        <f>IF($K59=AH$3,ROUND(IF(OR($C59="W",$C59="1/2W",$C59="1/2L"),$P59-$O59,IF($C59="X",0,-$O59)),2),0)</f>
        <v>0</v>
      </c>
      <c r="AI59" s="133">
        <f>IF($K59=AI$3,ROUND(IF(OR($C59="W",$C59="1/2W",$C59="1/2L"),$P59-$O59,IF($C59="X",0,-$O59)),2),0)</f>
        <v>0</v>
      </c>
      <c r="AJ59" s="133">
        <f>IF($K59=AJ$3,ROUND(IF(OR($C59="W",$C59="1/2W",$C59="1/2L"),$P59-$O59,IF($C59="X",0,-$O59)),2),0)</f>
        <v>0</v>
      </c>
      <c r="AK59" s="133">
        <f>IF($K59=AK$3,ROUND(IF(OR($C59="W",$C59="1/2W",$C59="1/2L"),$P59-$O59,IF($C59="X",0,-$O59)),2),0)</f>
        <v>0</v>
      </c>
      <c r="AL59" s="133">
        <f>IF($K59=AL$3,ROUND(IF(OR($C59="W",$C59="1/2W",$C59="1/2L"),$P59-$O59,IF($C59="X",0,-$O59)),2),0)</f>
        <v>0</v>
      </c>
      <c r="AM59" s="133">
        <f>IF($K59=AM$3,ROUND(IF(OR($C59="W",$C59="1/2W",$C59="1/2L"),$P59-$O59,IF($C59="X",0,-$O59)),2),0)</f>
        <v>-28.55</v>
      </c>
      <c r="AN59" s="133">
        <f>IF($K59=AN$3,ROUND(IF(OR($C59="W",$C59="1/2W",$C59="1/2L"),$P59-$O59,IF($C59="X",0,-$O59)),2),0)</f>
        <v>0</v>
      </c>
      <c r="AO59" s="133">
        <f>IF($K59=AO$3,ROUND(IF(OR($C59="W",$C59="1/2W",$C59="1/2L"),$P59-$O59,IF($C59="X",0,-$O59)),2),0)</f>
        <v>0</v>
      </c>
      <c r="AP59" s="133">
        <f>IF($K59=AP$3,ROUND(IF(OR($C59="W",$C59="1/2W",$C59="1/2L"),$P59-$O59,IF($C59="X",0,-$O59)),2),0)</f>
        <v>0</v>
      </c>
      <c r="AQ59" s="133">
        <f>IF($K59=AQ$3,ROUND(IF(OR($C59="W",$C59="1/2W",$C59="1/2L"),$P59-$O59,IF($C59="X",0,-$O59)),2),0)</f>
        <v>0</v>
      </c>
      <c r="AR59" s="134">
        <f>IF($K59=AR$3,ROUND(IF(OR($C59="W",$C59="1/2W",$C59="1/2L"),$P59-$O59,IF($C59="X",0,-$O59)),2),0)</f>
        <v>0</v>
      </c>
      <c r="AS59" s="132">
        <f>IF(AND($B58=" ",$K59=AS$3),$O59,0)</f>
        <v>0</v>
      </c>
      <c r="AT59" s="133">
        <f>IF(AND($B58=" ",K59=AT$3),$O59,0)</f>
        <v>0</v>
      </c>
      <c r="AU59" s="133">
        <f>IF(AND($B58=" ",$K59=AU$3),$O59,0)</f>
        <v>0</v>
      </c>
      <c r="AV59" s="133">
        <f>IF(AND($B58=" ",$K59=AV$3),$O59,0)</f>
        <v>0</v>
      </c>
      <c r="AW59" s="133">
        <f>IF(AND($B58=" ",$K59=AW$3),$O59,0)</f>
        <v>0</v>
      </c>
      <c r="AX59" s="133">
        <f>IF(AND($B58=" ",$K59=AX$3),$O59,0)</f>
        <v>0</v>
      </c>
      <c r="AY59" s="135">
        <f>IF(AND($B58=" ",$K59=AY$3),$O59,0)</f>
        <v>0</v>
      </c>
      <c r="AZ59" s="136">
        <f>IF(AND($B58=" ",$K59=AZ$3),$O59,0)</f>
        <v>0</v>
      </c>
      <c r="BA59" s="136">
        <f>IF(AND($B58=" ",$K59=BA$3),$O59,0)</f>
        <v>0</v>
      </c>
      <c r="BB59" s="136">
        <f>IF(AND($B58=" ",$K59=BB$3),$O59,0)</f>
        <v>0</v>
      </c>
      <c r="BC59" s="137">
        <f>IF(AND($B58=" ",$K59=BC$3),$O59,0)</f>
        <v>0</v>
      </c>
      <c r="BD59" s="133">
        <f>IF(AND($B58=" ",$K59=BD$3),$O59,0)</f>
        <v>0</v>
      </c>
      <c r="BE59" s="134">
        <f>IF(AND($B58=" ",$K59=BE$3),$O59,0)</f>
        <v>0</v>
      </c>
      <c r="BF59" s="132">
        <f>IF($K59=BF$3,IF($C59="X",0,$O59),0)</f>
        <v>0</v>
      </c>
      <c r="BG59" s="281">
        <f>IF($K59=BG$3,IF($C59="X",0,$O59),0)</f>
        <v>0</v>
      </c>
      <c r="BH59" s="133">
        <f>IF($K59=BH$3,IF($C59="X",0,$O59),0)</f>
        <v>0</v>
      </c>
      <c r="BI59" s="133">
        <f>IF($K59=BI$3,IF($C59="X",0,$O59),0)</f>
        <v>0</v>
      </c>
      <c r="BJ59" s="133">
        <f>IF($K59=BJ$3,IF($C59="X",0,$O59),0)</f>
        <v>0</v>
      </c>
      <c r="BK59" s="133">
        <f>IF($K59=BK$3,IF($C59="X",0,$O59),0)</f>
        <v>0</v>
      </c>
      <c r="BL59" s="133">
        <f>IF($K59=BL$3,IF($C59="X",0,$O59),0)</f>
        <v>0</v>
      </c>
      <c r="BM59" s="135">
        <f>IF($K59=BM$3,IF($C59="X",0,$O59),0)</f>
        <v>28.55</v>
      </c>
      <c r="BN59" s="136">
        <f>IF($K59=BN$3,IF($C59="X",0,$O59),0)</f>
        <v>0</v>
      </c>
      <c r="BO59" s="136">
        <f>IF($K59=BO$3,IF($C59="X",0,$O59),0)</f>
        <v>0</v>
      </c>
      <c r="BP59" s="136">
        <f>IF($K59=BP$3,IF($C59="X",0,$O59),0)</f>
        <v>0</v>
      </c>
      <c r="BQ59" s="137">
        <f>IF($K59=BQ$3,IF($C59="X",0,$O59),0)</f>
        <v>0</v>
      </c>
      <c r="BR59" s="134">
        <f>IF($K59=BR$3,IF($C59="X",0,$O59),0)</f>
        <v>0</v>
      </c>
      <c r="BS59" s="282"/>
      <c r="BT59" s="283"/>
      <c r="BU59" s="140"/>
      <c r="BV59" s="283"/>
      <c r="BW59" s="140"/>
      <c r="BX59" s="140"/>
      <c r="BY59" s="140"/>
      <c r="BZ59" s="283"/>
      <c r="CA59" s="140"/>
      <c r="CB59" s="140"/>
      <c r="CC59" s="140"/>
      <c r="CD59" s="141"/>
      <c r="CE59" s="142"/>
      <c r="CF59" s="284">
        <f>IF(CF$3=$K59,IF($C59="W",1,IF($C59="1/2W",0.5,0)),0)</f>
        <v>0</v>
      </c>
      <c r="CG59" s="285">
        <f>IF(CF$3=$K59,IF($C59="L",1,IF($C59="1/2L",0.5,0)),0)</f>
        <v>0</v>
      </c>
      <c r="CH59" s="285">
        <f>IF(CH$3=$K59,IF($C59="W",1,IF($C59="1/2W",0.5,0)),0)</f>
        <v>0</v>
      </c>
      <c r="CI59" s="285">
        <f>IF(CH$3=$K59,IF($C59="L",1,IF($C59="1/2L",0.5,0)),0)</f>
        <v>0</v>
      </c>
      <c r="CJ59" s="285">
        <f>IF(CJ$3=$K59,IF($C59="W",1,IF($C59="1/2W",0.5,0)),0)</f>
        <v>0</v>
      </c>
      <c r="CK59" s="285">
        <f>IF(CJ$3=$K59,IF($C59="L",1,IF($C59="1/2L",0.5,0)),0)</f>
        <v>0</v>
      </c>
      <c r="CL59" s="285">
        <f>IF(CL$3=$K59,IF($C59="W",1,IF($C59="1/2W",0.5,0)),0)</f>
        <v>0</v>
      </c>
      <c r="CM59" s="285">
        <f>IF(CL$3=$K59,IF($C59="L",1,IF($C59="1/2L",0.5,0)),0)</f>
        <v>0</v>
      </c>
      <c r="CN59" s="285">
        <f>IF(CN$3=$K59,IF($C59="W",1,IF($C59="1/2W",0.5,0)),0)</f>
        <v>0</v>
      </c>
      <c r="CO59" s="285">
        <f>IF(CN$3=$K59,IF($C59="L",1,IF($C59="1/2L",0.5,0)),0)</f>
        <v>0</v>
      </c>
      <c r="CP59" s="285">
        <f>IF(CP$3=$K59,IF($C59="W",1,IF($C59="1/2W",0.5,0)),0)</f>
        <v>0</v>
      </c>
      <c r="CQ59" s="285">
        <f>IF(CP$3=$K59,IF($C59="L",1,IF($C59="1/2L",0.5,0)),0)</f>
        <v>0</v>
      </c>
      <c r="CR59" s="285">
        <f>IF(CR$3=$K59,IF($C59="W",1,IF($C59="1/2W",0.5,0)),0)</f>
        <v>0</v>
      </c>
      <c r="CS59" s="285">
        <f>IF(CR$3=$K59,IF($C59="L",1,IF($C59="1/2L",0.5,0)),0)</f>
        <v>0</v>
      </c>
      <c r="CT59" s="145">
        <f>IF(CT$3=$K59,IF($C59="W",1,IF($C59="1/2W",0.5,0)),0)</f>
        <v>0</v>
      </c>
      <c r="CU59" s="146">
        <f>IF(CT$3=$K59,IF($C59="L",1,IF($C59="1/2L",0.5,0)),0)</f>
        <v>1</v>
      </c>
      <c r="CV59" s="146">
        <f>IF(CV$3=$K59,IF($C59="W",1,IF($C59="1/2W",0.5,0)),0)</f>
        <v>0</v>
      </c>
      <c r="CW59" s="146">
        <f>IF(CV$3=$K59,IF($C59="L",1,IF($C59="1/2L",0.5,0)),0)</f>
        <v>0</v>
      </c>
      <c r="CX59" s="146">
        <f>IF(CX$3=$K59,IF($C59="W",1,IF($C59="1/2W",0.5,0)),0)</f>
        <v>0</v>
      </c>
      <c r="CY59" s="146">
        <f>IF(CX$3=$K59,IF($C59="L",1,IF($C59="1/2L",0.5,0)),0)</f>
        <v>0</v>
      </c>
      <c r="CZ59" s="146">
        <f>IF(CZ$3=$K59,IF($C59="W",1,IF($C59="1/2W",0.5,0)),0)</f>
        <v>0</v>
      </c>
      <c r="DA59" s="146">
        <f>IF(CZ$3=$K59,IF($C59="L",1,IF($C59="1/2L",0.5,0)),0)</f>
        <v>0</v>
      </c>
      <c r="DB59" s="146">
        <f>IF(DB$3=$K59,IF($C59="W",1,IF($C59="1/2W",0.5,0)),0)</f>
        <v>0</v>
      </c>
      <c r="DC59" s="146">
        <f>IF(DB$3=$K59,IF($C59="L",1,IF($C59="1/2L",0.5,0)),0)</f>
        <v>0</v>
      </c>
      <c r="DD59" s="146">
        <f>IF(DD$3=$K59,IF($C59="W",1,IF($C59="1/2W",0.5,0)),0)</f>
        <v>0</v>
      </c>
      <c r="DE59" s="147">
        <f>IF(DD$3=$K59,IF($C59="L",1,IF($C59="1/2L",0.5,0)),0)</f>
        <v>0</v>
      </c>
      <c r="DF59" s="143">
        <f>IF(AND(L59&lt;DF$3,$C59="W"),1+DF58,DF58)</f>
        <v>4</v>
      </c>
      <c r="DG59" s="133">
        <f>IF(DF59&gt;DF58,L59+DG58,DG58)</f>
        <v>5.438</v>
      </c>
      <c r="DH59" s="146">
        <f>IF(AND(L59&gt;DH$3,$C59="W"),1+DH58,0+DH58)</f>
        <v>1</v>
      </c>
      <c r="DI59" s="133">
        <f>IF(DH59&gt;DH58,L59+DI58,DI58)</f>
        <v>4.33</v>
      </c>
      <c r="DJ59" t="s" s="304">
        <f>IF($D58="","",$D58)</f>
        <v>101</v>
      </c>
      <c r="DK59" s="286"/>
    </row>
    <row r="60" ht="14.55" customHeight="1">
      <c r="A60" s="149"/>
      <c r="B60" s="150"/>
      <c r="C60" t="s" s="151">
        <v>58</v>
      </c>
      <c r="D60" s="152"/>
      <c r="E60" s="153"/>
      <c r="F60" s="155"/>
      <c r="G60" s="252"/>
      <c r="H60" s="156"/>
      <c r="I60" s="287"/>
      <c r="J60" s="288"/>
      <c r="K60" s="156"/>
      <c r="L60" s="289"/>
      <c r="M60" s="290"/>
      <c r="N60" s="161"/>
      <c r="O60" t="s" s="162">
        <f>IF(OR(AE58="",AE59=""),"",IF(L60&gt;0,ROUND(IF(M60&gt;0,M60,IF(M58&gt;0,ROUND((M58*AE60)/AE58,IF(N58=0,2,IF(N58=0.1,1,0))),IF(M59&gt;0,ROUND((M59*AE60)/AE59,IF(N58=0,2,IF(N58=0.1,1,0))),IF(M60&gt;0,M60,0)))),2),""))</f>
      </c>
      <c r="P60" t="s" s="163">
        <f>IF(I59="Lay",O59*(L59/(L59-1))-O59,IF(I58="Lay",O58*(L58/(L58-1))-O58,IF(OR(L60="",O60=""),"",IF($C60="1/2W",O60/2+O60/2*L60,IF($C60="1/2L",O60/2,(O60*L60-O60)*(1-_xlfn.XLOOKUP(K60,'Janeiro 2023 - Valor Real'!A3:A15,'Janeiro 2023 - Valor Real'!C3:C15,0))+O60)))))</f>
      </c>
      <c r="Q60" t="s" s="154"/>
      <c r="R60" t="s" s="163"/>
      <c r="S60" s="166"/>
      <c r="T60" s="155"/>
      <c r="U60" s="155"/>
      <c r="V60" s="166"/>
      <c r="W60" s="155"/>
      <c r="X60" s="167"/>
      <c r="Y60" s="128"/>
      <c r="Z60" s="129"/>
      <c r="AA60" s="129"/>
      <c r="AB60" s="129"/>
      <c r="AC60" s="129"/>
      <c r="AD60" s="168"/>
      <c r="AE60" t="s" s="169">
        <f>IF(L60="","",(SUM(((L58-1)*(1-_xlfn.XLOOKUP(K58,'Janeiro 2023 - Valor Real'!A3:A15,'Janeiro 2023 - Valor Real'!C3:C15,0))+1),((L59-1)*(1-_xlfn.XLOOKUP(K59,'Janeiro 2023 - Valor Real'!A3:A15,'Janeiro 2023 - Valor Real'!C3:C15,0))+1),((L60-1)*(1-_xlfn.XLOOKUP(K60,'Janeiro 2023 - Valor Real'!A3:A15,'Janeiro 2023 - Valor Real'!C3:C15,0))+1))/((L60-1)*(1-_xlfn.XLOOKUP(K60,'Janeiro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Real'!C3:C15,0))+1))/((L58-1)*(1-_xlfn.XLOOKUP(K58,'Janeiro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Real'!C3:C15,0))+1))/((L59-1)*(1-_xlfn.XLOOKUP(K59,'Janeiro 2023 - Valor Real'!A3:A15,'Janeiro 2023 - Valor Real'!C3:C15,0))+1)+SUM(((L58-1)*(1-_xlfn.XLOOKUP(K58,'Janeiro 2023 - Valor Real'!A3:A15,'Janeiro 2023 - Valor Real'!C3:C15,0))+1),((L59-1)*(1-_xlfn.XLOOKUP(K59,'Janeiro 2023 - Valor Real'!A3:A15,'Janeiro 2023 - Valor Real'!C3:C15,0))+1),((L60-1)*(1-_xlfn.XLOOKUP(K60,'Janeiro 2023 - Valor Real'!A3:A15,'Janeiro 2023 - Valor Real'!C3:C15,0))+1))/((L60-1)*(1-_xlfn.XLOOKUP(K60,'Janeiro 2023 - Valor Real'!A3:A15,'Janeiro 2023 - Valor Real'!C3:C15,0))+1)))</f>
      </c>
      <c r="AF60" s="132">
        <f>IF($K60=AF$3,ROUND(IF(OR($C60="W",$C60="1/2W",$C60="1/2L"),$P60-$O60,IF($C60="X",0,-$O60)),2),0)</f>
        <v>0</v>
      </c>
      <c r="AG60" s="133">
        <f>IF($K60=AG$3,ROUND(IF(OR($C60="W",$C60="1/2W",$C60="1/2L"),$P60-$O60,IF($C60="X",0,-$O60)),2),0)</f>
        <v>0</v>
      </c>
      <c r="AH60" s="133">
        <f>IF($K60=AH$3,ROUND(IF(OR($C60="W",$C60="1/2W",$C60="1/2L"),$P60-$O60,IF($C60="X",0,-$O60)),2),0)</f>
        <v>0</v>
      </c>
      <c r="AI60" s="133">
        <f>IF($K60=AI$3,ROUND(IF(OR($C60="W",$C60="1/2W",$C60="1/2L"),$P60-$O60,IF($C60="X",0,-$O60)),2),0)</f>
        <v>0</v>
      </c>
      <c r="AJ60" s="133">
        <f>IF($K60=AJ$3,ROUND(IF(OR($C60="W",$C60="1/2W",$C60="1/2L"),$P60-$O60,IF($C60="X",0,-$O60)),2),0)</f>
        <v>0</v>
      </c>
      <c r="AK60" s="133">
        <f>IF($K60=AK$3,ROUND(IF(OR($C60="W",$C60="1/2W",$C60="1/2L"),$P60-$O60,IF($C60="X",0,-$O60)),2),0)</f>
        <v>0</v>
      </c>
      <c r="AL60" s="133">
        <f>IF($K60=AL$3,ROUND(IF(OR($C60="W",$C60="1/2W",$C60="1/2L"),$P60-$O60,IF($C60="X",0,-$O60)),2),0)</f>
        <v>0</v>
      </c>
      <c r="AM60" s="133">
        <f>IF($K60=AM$3,ROUND(IF(OR($C60="W",$C60="1/2W",$C60="1/2L"),$P60-$O60,IF($C60="X",0,-$O60)),2),0)</f>
        <v>0</v>
      </c>
      <c r="AN60" s="133">
        <f>IF($K60=AN$3,ROUND(IF(OR($C60="W",$C60="1/2W",$C60="1/2L"),$P60-$O60,IF($C60="X",0,-$O60)),2),0)</f>
        <v>0</v>
      </c>
      <c r="AO60" s="133">
        <f>IF($K60=AO$3,ROUND(IF(OR($C60="W",$C60="1/2W",$C60="1/2L"),$P60-$O60,IF($C60="X",0,-$O60)),2),0)</f>
        <v>0</v>
      </c>
      <c r="AP60" s="133">
        <f>IF($K60=AP$3,ROUND(IF(OR($C60="W",$C60="1/2W",$C60="1/2L"),$P60-$O60,IF($C60="X",0,-$O60)),2),0)</f>
        <v>0</v>
      </c>
      <c r="AQ60" s="133">
        <f>IF($K60=AQ$3,ROUND(IF(OR($C60="W",$C60="1/2W",$C60="1/2L"),$P60-$O60,IF($C60="X",0,-$O60)),2),0)</f>
        <v>0</v>
      </c>
      <c r="AR60" s="134">
        <f>IF($K60=AR$3,ROUND(IF(OR($C60="W",$C60="1/2W",$C60="1/2L"),$P60-$O60,IF($C60="X",0,-$O60)),2),0)</f>
        <v>0</v>
      </c>
      <c r="AS60" s="132">
        <f>IF(AND($B58=" ",$K60=AS$3),$O60,0)</f>
        <v>0</v>
      </c>
      <c r="AT60" s="133">
        <f>IF(AND($B58=" ",K60=AT$3),$O60,0)</f>
        <v>0</v>
      </c>
      <c r="AU60" s="133">
        <f>IF(AND($B58=" ",$K60=AU$3),$O60,0)</f>
        <v>0</v>
      </c>
      <c r="AV60" s="133">
        <f>IF(AND($B58=" ",$K60=AV$3),$O60,0)</f>
        <v>0</v>
      </c>
      <c r="AW60" s="133">
        <f>IF(AND($B58=" ",$K60=AW$3),$O60,0)</f>
        <v>0</v>
      </c>
      <c r="AX60" s="133">
        <f>IF(AND($B58=" ",$K60=AX$3),$O60,0)</f>
        <v>0</v>
      </c>
      <c r="AY60" s="135">
        <f>IF(AND($B58=" ",$K60=AY$3),$O60,0)</f>
        <v>0</v>
      </c>
      <c r="AZ60" s="136">
        <f>IF(AND($B58=" ",$K60=AZ$3),$O60,0)</f>
        <v>0</v>
      </c>
      <c r="BA60" s="136">
        <f>IF(AND($B58=" ",$K60=BA$3),$O60,0)</f>
        <v>0</v>
      </c>
      <c r="BB60" s="136">
        <f>IF(AND($B58=" ",$K60=BB$3),$O60,0)</f>
        <v>0</v>
      </c>
      <c r="BC60" s="137">
        <f>IF(AND($B58=" ",$K60=BC$3),$O60,0)</f>
        <v>0</v>
      </c>
      <c r="BD60" s="133">
        <f>IF(AND($B58=" ",$K60=BD$3),$O60,0)</f>
        <v>0</v>
      </c>
      <c r="BE60" s="134">
        <f>IF(AND($B58=" ",$K60=BE$3),$O60,0)</f>
        <v>0</v>
      </c>
      <c r="BF60" s="132">
        <f>IF($K60=BF$3,IF($C60="X",0,$O60),0)</f>
        <v>0</v>
      </c>
      <c r="BG60" s="281">
        <f>IF($K60=BG$3,IF($C60="X",0,$O60),0)</f>
        <v>0</v>
      </c>
      <c r="BH60" s="133">
        <f>IF($K60=BH$3,IF($C60="X",0,$O60),0)</f>
        <v>0</v>
      </c>
      <c r="BI60" s="133">
        <f>IF($K60=BI$3,IF($C60="X",0,$O60),0)</f>
        <v>0</v>
      </c>
      <c r="BJ60" s="133">
        <f>IF($K60=BJ$3,IF($C60="X",0,$O60),0)</f>
        <v>0</v>
      </c>
      <c r="BK60" s="133">
        <f>IF($K60=BK$3,IF($C60="X",0,$O60),0)</f>
        <v>0</v>
      </c>
      <c r="BL60" s="133">
        <f>IF($K60=BL$3,IF($C60="X",0,$O60),0)</f>
        <v>0</v>
      </c>
      <c r="BM60" s="135">
        <f>IF($K60=BM$3,IF($C60="X",0,$O60),0)</f>
        <v>0</v>
      </c>
      <c r="BN60" s="136">
        <f>IF($K60=BN$3,IF($C60="X",0,$O60),0)</f>
        <v>0</v>
      </c>
      <c r="BO60" s="136">
        <f>IF($K60=BO$3,IF($C60="X",0,$O60),0)</f>
        <v>0</v>
      </c>
      <c r="BP60" s="136">
        <f>IF($K60=BP$3,IF($C60="X",0,$O60),0)</f>
        <v>0</v>
      </c>
      <c r="BQ60" s="137">
        <f>IF($K60=BQ$3,IF($C60="X",0,$O60),0)</f>
        <v>0</v>
      </c>
      <c r="BR60" s="134">
        <f>IF($K60=BR$3,IF($C60="X",0,$O60),0)</f>
        <v>0</v>
      </c>
      <c r="BS60" s="282"/>
      <c r="BT60" s="283"/>
      <c r="BU60" s="140"/>
      <c r="BV60" s="283"/>
      <c r="BW60" s="140"/>
      <c r="BX60" s="140"/>
      <c r="BY60" s="140"/>
      <c r="BZ60" s="283"/>
      <c r="CA60" s="140"/>
      <c r="CB60" s="140"/>
      <c r="CC60" s="140"/>
      <c r="CD60" s="141"/>
      <c r="CE60" s="142"/>
      <c r="CF60" s="284">
        <f>IF(CF$3=$K60,IF($C60="W",1,IF($C60="1/2W",0.5,0)),0)</f>
        <v>0</v>
      </c>
      <c r="CG60" s="285">
        <f>IF(CF$3=$K60,IF($C60="L",1,IF($C60="1/2L",0.5,0)),0)</f>
        <v>0</v>
      </c>
      <c r="CH60" s="285">
        <f>IF(CH$3=$K60,IF($C60="W",1,IF($C60="1/2W",0.5,0)),0)</f>
        <v>0</v>
      </c>
      <c r="CI60" s="285">
        <f>IF(CH$3=$K60,IF($C60="L",1,IF($C60="1/2L",0.5,0)),0)</f>
        <v>0</v>
      </c>
      <c r="CJ60" s="285">
        <f>IF(CJ$3=$K60,IF($C60="W",1,IF($C60="1/2W",0.5,0)),0)</f>
        <v>0</v>
      </c>
      <c r="CK60" s="285">
        <f>IF(CJ$3=$K60,IF($C60="L",1,IF($C60="1/2L",0.5,0)),0)</f>
        <v>0</v>
      </c>
      <c r="CL60" s="285">
        <f>IF(CL$3=$K60,IF($C60="W",1,IF($C60="1/2W",0.5,0)),0)</f>
        <v>0</v>
      </c>
      <c r="CM60" s="285">
        <f>IF(CL$3=$K60,IF($C60="L",1,IF($C60="1/2L",0.5,0)),0)</f>
        <v>0</v>
      </c>
      <c r="CN60" s="285">
        <f>IF(CN$3=$K60,IF($C60="W",1,IF($C60="1/2W",0.5,0)),0)</f>
        <v>0</v>
      </c>
      <c r="CO60" s="285">
        <f>IF(CN$3=$K60,IF($C60="L",1,IF($C60="1/2L",0.5,0)),0)</f>
        <v>0</v>
      </c>
      <c r="CP60" s="285">
        <f>IF(CP$3=$K60,IF($C60="W",1,IF($C60="1/2W",0.5,0)),0)</f>
        <v>0</v>
      </c>
      <c r="CQ60" s="285">
        <f>IF(CP$3=$K60,IF($C60="L",1,IF($C60="1/2L",0.5,0)),0)</f>
        <v>0</v>
      </c>
      <c r="CR60" s="285">
        <f>IF(CR$3=$K60,IF($C60="W",1,IF($C60="1/2W",0.5,0)),0)</f>
        <v>0</v>
      </c>
      <c r="CS60" s="285">
        <f>IF(CR$3=$K60,IF($C60="L",1,IF($C60="1/2L",0.5,0)),0)</f>
        <v>0</v>
      </c>
      <c r="CT60" s="145">
        <f>IF(CT$3=$K60,IF($C60="W",1,IF($C60="1/2W",0.5,0)),0)</f>
        <v>0</v>
      </c>
      <c r="CU60" s="146">
        <f>IF(CT$3=$K60,IF($C60="L",1,IF($C60="1/2L",0.5,0)),0)</f>
        <v>0</v>
      </c>
      <c r="CV60" s="146">
        <f>IF(CV$3=$K60,IF($C60="W",1,IF($C60="1/2W",0.5,0)),0)</f>
        <v>0</v>
      </c>
      <c r="CW60" s="146">
        <f>IF(CV$3=$K60,IF($C60="L",1,IF($C60="1/2L",0.5,0)),0)</f>
        <v>0</v>
      </c>
      <c r="CX60" s="146">
        <f>IF(CX$3=$K60,IF($C60="W",1,IF($C60="1/2W",0.5,0)),0)</f>
        <v>0</v>
      </c>
      <c r="CY60" s="146">
        <f>IF(CX$3=$K60,IF($C60="L",1,IF($C60="1/2L",0.5,0)),0)</f>
        <v>0</v>
      </c>
      <c r="CZ60" s="146">
        <f>IF(CZ$3=$K60,IF($C60="W",1,IF($C60="1/2W",0.5,0)),0)</f>
        <v>0</v>
      </c>
      <c r="DA60" s="146">
        <f>IF(CZ$3=$K60,IF($C60="L",1,IF($C60="1/2L",0.5,0)),0)</f>
        <v>0</v>
      </c>
      <c r="DB60" s="146">
        <f>IF(DB$3=$K60,IF($C60="W",1,IF($C60="1/2W",0.5,0)),0)</f>
        <v>0</v>
      </c>
      <c r="DC60" s="146">
        <f>IF(DB$3=$K60,IF($C60="L",1,IF($C60="1/2L",0.5,0)),0)</f>
        <v>0</v>
      </c>
      <c r="DD60" s="146">
        <f>IF(DD$3=$K60,IF($C60="W",1,IF($C60="1/2W",0.5,0)),0)</f>
        <v>0</v>
      </c>
      <c r="DE60" s="147">
        <f>IF(DD$3=$K60,IF($C60="L",1,IF($C60="1/2L",0.5,0)),0)</f>
        <v>0</v>
      </c>
      <c r="DF60" s="143">
        <f>IF(AND(L60&lt;DF$3,$C60="W"),1+DF59,DF59)</f>
        <v>4</v>
      </c>
      <c r="DG60" s="133">
        <f>IF(DF60&gt;DF59,L60+DG59,DG59)</f>
        <v>5.438</v>
      </c>
      <c r="DH60" s="146">
        <f>IF(AND(L60&gt;DH$3,$C60="W"),1+DH59,0+DH59)</f>
        <v>1</v>
      </c>
      <c r="DI60" s="133">
        <f>IF(DH60&gt;DH59,L60+DI59,DI59)</f>
        <v>4.33</v>
      </c>
      <c r="DJ60" t="s" s="304">
        <f>IF($D58="","",$D58)</f>
        <v>101</v>
      </c>
      <c r="DK60" s="286"/>
    </row>
    <row r="61" ht="14.55" customHeight="1">
      <c r="A61" s="171">
        <f>$A58+1</f>
        <v>20</v>
      </c>
      <c r="B61" t="s" s="172">
        <v>50</v>
      </c>
      <c r="C61" t="s" s="173">
        <v>51</v>
      </c>
      <c r="D61" t="s" s="305">
        <f>IF(G61="","",$D58)</f>
        <v>101</v>
      </c>
      <c r="E61" t="s" s="175">
        <v>106</v>
      </c>
      <c r="F61" t="s" s="176">
        <f>IF(G61="","",IF(OR(AND($C61&lt;&gt;" ",$C62=" "),AND($C62&lt;&gt;" ",$C61=" "),AND(L63&gt;0,OR(AND($C63&lt;&gt;" ",OR($C61=" ",$C62=" ")),AND($C63=" ",OR($C61&lt;&gt;" ",$C62&lt;&gt;" "))))),IF(SUM(F$4:F60)=0,1,LARGE(F$4:F60,1)+1),IF(MONTH(G61)=MONTH(TODAY()),IF(AND(DAY(G61)&lt;DAY(TODAY()),$B61=" "),IF(SUM(F$4:F60)=0,1,LARGE(F$4:F60,1)+1),IF($B61=" ",IF(AND(DAY(G61)=DAY(TODAY()),HOUR(G61)&lt;=HOUR(NOW())+1),IF(AND(HOUR(G61)+2&lt;=HOUR(NOW()),DAY(G61)&lt;=DAY(TODAY()),MINUTE(G61)&lt;=MINUTE(NOW())),IF(SUM(F$4:F60)=0,1,LARGE(F$4:F60,1)+1),IF(OR(MINUTE(G61)&lt;=MINUTE(NOW()),HOUR(G61)&lt;=HOUR(NOW())),"!!!","")),""),"")),"")))</f>
      </c>
      <c r="G61" s="177">
        <v>44944.375</v>
      </c>
      <c r="H61" t="s" s="178">
        <v>82</v>
      </c>
      <c r="I61" s="298">
        <v>1</v>
      </c>
      <c r="J61" s="180"/>
      <c r="K61" t="s" s="181">
        <v>48</v>
      </c>
      <c r="L61" s="182">
        <v>12.5</v>
      </c>
      <c r="M61" s="183">
        <v>1.61</v>
      </c>
      <c r="N61" s="184">
        <v>0.1</v>
      </c>
      <c r="O61" s="185">
        <f>IF(OR(AE61="",AE62=""),"",ROUND(IF(L63&gt;0,IF(M61&gt;0,M61,IF(M62&gt;0,ROUND((M62*AE61)/AE62,IF(N61=0,2,IF(N61=0.1,1,0))),ROUND((M63*AE61)/AE63,IF(N61=0,2,IF(N61=0.1,1,0))))),IF(M61&gt;0,M61,ROUND((M62*AE61)/AE62,IF(N61=0,2,IF(N61=0.1,1,0))))),2))</f>
        <v>1.61</v>
      </c>
      <c r="P61" s="186">
        <f>IF(OR(L61="",O61=""),"",IF($C61="1/2W",O61/2+O61/2*L61,IF($C61="1/2L",O61/2,IF(I61="Lay",(O61*(L61/(L61-1))-O61)*(1-_xlfn.XLOOKUP(K61,'Janeiro 2023 - Valor Real'!A3:A15,'Janeiro 2023 - Valor Real'!C3:C15,0))+O61,(O61*L61-O61)*(1-_xlfn.XLOOKUP(K61,'Janeiro 2023 - Valor Real'!A3:A15,'Janeiro 2023 - Valor Real'!C3:C15,0))+O61))))</f>
        <v>20.125</v>
      </c>
      <c r="Q61" s="187">
        <v>2</v>
      </c>
      <c r="R61" s="188">
        <v>0</v>
      </c>
      <c r="S61" s="189">
        <f>IF($B61="Anulado",0,ROUND(IF(OR($B61="LOSS",$B61="OK"),IF(OR($C61="W",$C61="1/2W",$C61="1/2L"),P61-O61,IF($C61="L",-O61,0))+IF(OR($C62="W",$C62="1/2W",$C62="1/2L"),P62-O62,IF($C62="L",-O62,0))+IF(OR($C63="W",$C63="1/2W",$C63="1/2L"),P63-O63,IF($C63="L",-O63,0)),IF(AND(OR($C61="W",$C61="1/2W",$C61="1/2L"),C62="W"),P61+P62-SUM(O61:O63)+_xlfn.XLOOKUP("X",C61:C63,O61:O63,0),IF(AND(C61=TRUE,C63="W"),P61+P63-SUM(O61:O63),IF(AND(C62="W",C63="W"),P62+P63-SUM(O61:O63)+_xlfn.XLOOKUP("X",C61:C63,O61:O63,0),IF(L63&gt;0,IF(OR($C61="W",$C61="1/2W",$C61="1/2L"),P61-SUM(O61:O63)+_xlfn.XLOOKUP("X",C61:C63,O61:O63,0),IF(OR($C61="W",$C61="1/2W",$C61="1/2L"),P62-SUM(O61:O63)+_xlfn.XLOOKUP("X",C61:C63,O61:O63,0),IF(OR($C61="W",$C61="1/2W",$C61="1/2L"),P63-SUM(O61:O63)+_xlfn.XLOOKUP("X",C61:C63,O61:O63,0),IF(SUM(P61:P63)/3-SUM(O61:O63)+_xlfn.XLOOKUP("X",C61:C63,O61:O63,0)&gt;0,SUM(P61:P63)/3-SUM(O61:O63)+_xlfn.XLOOKUP("X",C61:C63,O61:O63,0),LARGE(P61:P63,1)-SUM(O61:O63))))),IF(OR($C61="W",$C61="1/2W",$C61="1/2L"),P61-SUM(O61:O62)+_xlfn.XLOOKUP("X",C61:C63,O61:O63,0),IF(OR($C61="W",$C61="1/2W",$C61="1/2L"),P62-SUM(O61:O62)+_xlfn.XLOOKUP("X",C61:C63,O61:O63,0),SUM(P61:P62)/2-SUM(O61:O62)+_xlfn.XLOOKUP("X",C61:C63,O61:O63,0)))))))),2))</f>
        <v>0.55</v>
      </c>
      <c r="T61" s="190">
        <f>IF(S61=0,0,S61/SUM(O61:O63))</f>
        <v>0.0280469148393677</v>
      </c>
      <c r="U61" s="191">
        <f>IF($D61=$D58,IF(OR($B61="LOSS",$B61="OK",$B61="Anulada"),S61,0)+U58,IF(OR($B61="LOSS",$B61="OK",$B61="Anulada"),S61,0))</f>
        <v>8.970000000000001</v>
      </c>
      <c r="V61" s="191">
        <f>IF($D61="",0,IF($D61=$D58,IF($B61=" ",IF(I63="",IF(OR(AND(I61="DNB1",I62="DNB2"),AND(OR(I61="DNB1",I61="DNB2"),J62=0),AND(OR(I62="DNB1",I62="DNB2"),J61=0),AND(I61="DNB2",I62="DNB1"),AND(IF(J61=0,(J61+1)/ROUND(J61+1,0),J61/ROUND(J61,0))=1,IF(J62=0,(J62+1)/ROUND(IF(J62="",0,J62)+1,0),IF(J62="",0,J62)/ROUND(IF(J62="",1,J62),0))=1,OR(J61&lt;&gt;""),J62&lt;&gt;"")),0,IF(S61&lt;0,IF(I63="",SMALL(P61:P62,1)-SUM(O61:O62),0),SMALL(P61:P62,1)-SUM(O61:O62))),IF(S61&lt;0,IF(I63="",SMALL(P61:P63,1)-SUM(O61:O63),0),LARGE(P61:P63,1)-SUM(O61:O63))),S61)+V58,IF(I63="",IF(OR(AND(I61="DNB1",I62="DNB2"),AND(OR(I61="DNB1",I61="DNB2"),J62=0),AND(OR(I62="DNB1",I62="DNB2"),J61=0),AND(I61="DNB2",I62="DNB1"),AND(IF(J61=0,(J61+1)/ROUND(J61+1,0),J61/ROUND(J61,0))=1,IF(J62=0,(IF(J62="",0,J62)+1)/ROUND(IF(J62="",0,J62)+1,0),IF(J62="",0,J62)/ROUND(IF(J62="",0,J62)+1,0))=1,OR(J61&lt;&gt;""),J62&lt;&gt;"")),0,IF(S61&lt;0,IF(I63="",SMALL(P61:P62,1)-SUM(O61:O62),0),SMALL(P61:P63,1)-SUM(O61:O63))),IF(S61&lt;0,IF(I63="",SMALL(P61:P63,1)-SUM(O61:O63),0),LARGE(P61:P63,1)-SUM(O61:O63)))))</f>
        <v>8.972</v>
      </c>
      <c r="W61" s="191">
        <f>IF($D61=$D58,IF(S61&lt;0,IF(I63="",S61,0),S61)+W58,S61)</f>
        <v>8.970000000000001</v>
      </c>
      <c r="X61" t="s" s="192">
        <f>IF(OR(SUM(R61:R63)=0,V61=W61),ROUND(IF(W61=0,0,W61/Y61)*100,2)&amp;"%",ROUND(IF(V61=0,0,V61/Y61)*100,2)&amp;"% a "&amp;ROUND(IF(W61=0,0,W61/Y61)*100,2)&amp;"%")</f>
        <v>107</v>
      </c>
      <c r="Y61" s="193">
        <f>IF($D61=$D58,Y58+SUM(O61:O63),SUM(O61:O63))</f>
        <v>161.08</v>
      </c>
      <c r="Z61" s="191">
        <f>IF($B61=" ",SUM(O61:O63),0)+Z58</f>
        <v>0</v>
      </c>
      <c r="AA61" s="191">
        <f>IF(G61="","",IF($B61="Anulado",LARGE(P61:P63,1)-SUM(O61:O63)+AA58,AA58))</f>
        <v>0</v>
      </c>
      <c r="AB61" s="191">
        <f>IF($D61="","",AB58+S61)</f>
        <v>87.06999999999999</v>
      </c>
      <c r="AC61" s="194">
        <f>IF($D61="","",IF($B61=" ",IF(DAY(G61)=DAY(TODAY()),1+AC58,0+AC58),0+AC58))</f>
        <v>0</v>
      </c>
      <c r="AD61" s="195">
        <f>(((L62/(L62-1)-1)*(1-_xlfn.XLOOKUP(K62,'Janeiro 2023 - Valor Real'!A3:A15,'Janeiro 2023 - Valor Real'!C3:C15,0))+1))/(((L61-1)*(1-_xlfn.XLOOKUP(K61,'Janeiro 2023 - Valor Real'!A3:A15,'Janeiro 2023 - Valor Real'!C3:C15,0))+1)+((L62/(L62-1)-1)*(1-_xlfn.XLOOKUP(K62,'Janeiro 2023 - Valor Real'!A3:A15,'Janeiro 2023 - Valor Real'!C3:C15,0))+1))</f>
        <v>0.427480916030534</v>
      </c>
      <c r="AE61" s="196">
        <f>IF(L61="","",IF(L63&gt;0,(SUM(((L61-1)*(1-_xlfn.XLOOKUP(K61,'Janeiro 2023 - Valor Real'!A3:A15,'Janeiro 2023 - Valor Real'!C3:C15,0))+1),((L62-1)*(1-_xlfn.XLOOKUP(K62,'Janeiro 2023 - Valor Real'!A3:A15,'Janeiro 2023 - Valor Real'!C3:C15,0))+1),((L63-1)*(1-_xlfn.XLOOKUP(K63,'Janeiro 2023 - Valor Real'!A3:A15,'Janeiro 2023 - Valor Real'!C3:C15,0))+1))/((L61-1)*(1-_xlfn.XLOOKUP(K61,'Janeiro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Real'!C3:C15,0))+1))/((L61-1)*(1-_xlfn.XLOOKUP(K61,'Janeiro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Real'!C3:C15,0))+1))/((L62-1)*(1-_xlfn.XLOOKUP(K62,'Janeiro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Real'!C3:C15,0))+1))/((L63-1)*(1-_xlfn.XLOOKUP(K63,'Janeiro 2023 - Valor Real'!A3:A15,'Janeiro 2023 - Valor Real'!C3:C15,0))+1)),IF(I61="Lay",IF(I62="Lay",((L62/(L62-1)-1)*(1-_xlfn.XLOOKUP(K62,'Janeiro 2023 - Valor Real'!A3:A15,'Janeiro 2023 - Valor Real'!C3:C15,0))+1)/(((L62/(L62-1)-1)*(1-_xlfn.XLOOKUP(K62,'Janeiro 2023 - Valor Real'!A3:A15,'Janeiro 2023 - Valor Real'!C3:C15,0))+1)+((L61/(L61-1)-1)*(1-_xlfn.XLOOKUP(K61,'Janeiro 2023 - Valor Real'!A3:A15,'Janeiro 2023 - Valor Real'!C3:C15,0))+1)),((L62-1)*(1-_xlfn.XLOOKUP(K62,'Janeiro 2023 - Valor Real'!A3:A15,'Janeiro 2023 - Valor Real'!C3:C15,0))+1)/(((L62-1)*(1-_xlfn.XLOOKUP(K62,'Janeiro 2023 - Valor Real'!A3:A15,'Janeiro 2023 - Valor Real'!C3:C15,0))+1)+((L61/(L61-1)-1)*(1-_xlfn.XLOOKUP(K61,'Janeiro 2023 - Valor Real'!A3:A15,'Janeiro 2023 - Valor Real'!C3:C15,0))+1))),IF(I62="Lay",(((L62/(L62-1)-1)*(1-_xlfn.XLOOKUP(K62,'Janeiro 2023 - Valor Real'!A3:A15,'Janeiro 2023 - Valor Real'!C3:C15,0))+1))/(((L61-1)*(1-_xlfn.XLOOKUP(K61,'Janeiro 2023 - Valor Real'!A3:A15,'Janeiro 2023 - Valor Real'!C3:C15,0))+1)+((L62/(L62-1)-1)*(1-_xlfn.XLOOKUP(K62,'Janeiro 2023 - Valor Real'!A3:A15,'Janeiro 2023 - Valor Real'!C3:C15,0))+1)),((L62-1)*(1-_xlfn.XLOOKUP(K62,'Janeiro 2023 - Valor Real'!A3:A15,'Janeiro 2023 - Valor Real'!C3:C15,0))+1)/(((L62-1)*(1-_xlfn.XLOOKUP(K62,'Janeiro 2023 - Valor Real'!A3:A15,'Janeiro 2023 - Valor Real'!C3:C15,0))+1)+((L61-1)*(1-_xlfn.XLOOKUP(K61,'Janeiro 2023 - Valor Real'!A3:A15,'Janeiro 2023 - Valor Real'!C3:C15,0))+1))))))</f>
        <v>0.08223201174743019</v>
      </c>
      <c r="AF61" s="197">
        <f>IF($K61=AF$3,ROUND(IF(OR($C61="W",$C61="1/2W",$C61="1/2L"),$P61-$O61,IF($C61="X",0,-$O61)),2),0)</f>
        <v>0</v>
      </c>
      <c r="AG61" s="198">
        <f>IF($K61=AG$3,ROUND(IF(OR($C61="W",$C61="1/2W",$C61="1/2L"),$P61-$O61,IF($C61="X",0,-$O61)),2),0)</f>
        <v>0</v>
      </c>
      <c r="AH61" s="198">
        <f>IF($K61=AH$3,ROUND(IF(OR($C61="W",$C61="1/2W",$C61="1/2L"),$P61-$O61,IF($C61="X",0,-$O61)),2),0)</f>
        <v>0</v>
      </c>
      <c r="AI61" s="198">
        <f>IF($K61=AI$3,ROUND(IF(OR($C61="W",$C61="1/2W",$C61="1/2L"),$P61-$O61,IF($C61="X",0,-$O61)),2),0)</f>
        <v>0</v>
      </c>
      <c r="AJ61" s="198">
        <f>IF($K61=AJ$3,ROUND(IF(OR($C61="W",$C61="1/2W",$C61="1/2L"),$P61-$O61,IF($C61="X",0,-$O61)),2),0)</f>
        <v>0</v>
      </c>
      <c r="AK61" s="198">
        <f>IF($K61=AK$3,ROUND(IF(OR($C61="W",$C61="1/2W",$C61="1/2L"),$P61-$O61,IF($C61="X",0,-$O61)),2),0)</f>
        <v>0</v>
      </c>
      <c r="AL61" s="198">
        <f>IF($K61=AL$3,ROUND(IF(OR($C61="W",$C61="1/2W",$C61="1/2L"),$P61-$O61,IF($C61="X",0,-$O61)),2),0)</f>
        <v>0</v>
      </c>
      <c r="AM61" s="198">
        <f>IF($K61=AM$3,ROUND(IF(OR($C61="W",$C61="1/2W",$C61="1/2L"),$P61-$O61,IF($C61="X",0,-$O61)),2),0)</f>
        <v>0</v>
      </c>
      <c r="AN61" s="198">
        <f>IF($K61=AN$3,ROUND(IF(OR($C61="W",$C61="1/2W",$C61="1/2L"),$P61-$O61,IF($C61="X",0,-$O61)),2),0)</f>
        <v>0</v>
      </c>
      <c r="AO61" s="198">
        <f>IF($K61=AO$3,ROUND(IF(OR($C61="W",$C61="1/2W",$C61="1/2L"),$P61-$O61,IF($C61="X",0,-$O61)),2),0)</f>
        <v>0</v>
      </c>
      <c r="AP61" s="198">
        <f>IF($K61=AP$3,ROUND(IF(OR($C61="W",$C61="1/2W",$C61="1/2L"),$P61-$O61,IF($C61="X",0,-$O61)),2),0)</f>
        <v>0</v>
      </c>
      <c r="AQ61" s="198">
        <f>IF($K61=AQ$3,ROUND(IF(OR($C61="W",$C61="1/2W",$C61="1/2L"),$P61-$O61,IF($C61="X",0,-$O61)),2),0)</f>
        <v>-1.61</v>
      </c>
      <c r="AR61" s="199">
        <f>IF($K61=AR$3,ROUND(IF(OR($C61="W",$C61="1/2W",$C61="1/2L"),$P61-$O61,IF($C61="X",0,-$O61)),2),0)</f>
        <v>0</v>
      </c>
      <c r="AS61" s="197">
        <f>IF(AND($B61=" ",$K61=AS$3),$O61,0)</f>
        <v>0</v>
      </c>
      <c r="AT61" s="198">
        <f>IF(AND($B61=" ",$K61=AT$3),$O61,0)</f>
        <v>0</v>
      </c>
      <c r="AU61" s="198">
        <f>IF(AND($B61=" ",$K61=AU$3),$O61,0)</f>
        <v>0</v>
      </c>
      <c r="AV61" s="198">
        <f>IF(AND($B61=" ",$K61=AV$3),$O61,0)</f>
        <v>0</v>
      </c>
      <c r="AW61" s="198">
        <f>IF(AND($B61=" ",$K61=AW$3),$O61,0)</f>
        <v>0</v>
      </c>
      <c r="AX61" s="198">
        <f>IF(AND($B61=" ",$K61=AX$3),$O61,0)</f>
        <v>0</v>
      </c>
      <c r="AY61" s="200">
        <f>IF(AND($B61=" ",$K61=AY$3),$O61,0)</f>
        <v>0</v>
      </c>
      <c r="AZ61" s="201">
        <f>IF(AND($B61=" ",$K61=AZ$3),$O61,0)</f>
        <v>0</v>
      </c>
      <c r="BA61" s="201">
        <f>IF(AND($B61=" ",$K61=BA$3),$O61,0)</f>
        <v>0</v>
      </c>
      <c r="BB61" s="201">
        <f>IF(AND($B61=" ",$K61=BB$3),$O61,0)</f>
        <v>0</v>
      </c>
      <c r="BC61" s="202">
        <f>IF(AND($B61=" ",$K61=BC$3),$O61,0)</f>
        <v>0</v>
      </c>
      <c r="BD61" s="198">
        <f>IF(AND($B61=" ",$K61=BD$3),$O61,0)</f>
        <v>0</v>
      </c>
      <c r="BE61" s="199">
        <f>IF(AND($B61=" ",$K61=BE$3),$O61,0)</f>
        <v>0</v>
      </c>
      <c r="BF61" s="203">
        <f>IF($K61=BF$3,IF($C61="X",0,$O61),0)</f>
        <v>0</v>
      </c>
      <c r="BG61" s="198">
        <f>IF($K61=BG$3,IF($C61="X",0,$O61),0)</f>
        <v>0</v>
      </c>
      <c r="BH61" s="198">
        <f>IF($K61=BH$3,IF($C61="X",0,$O61),0)</f>
        <v>0</v>
      </c>
      <c r="BI61" s="198">
        <f>IF($K61=BI$3,IF($C61="X",0,$O61),0)</f>
        <v>0</v>
      </c>
      <c r="BJ61" s="198">
        <f>IF($K61=BJ$3,IF($C61="X",0,$O61),0)</f>
        <v>0</v>
      </c>
      <c r="BK61" s="198">
        <f>IF($K61=BK$3,IF($C61="X",0,$O61),0)</f>
        <v>0</v>
      </c>
      <c r="BL61" s="198">
        <f>IF($K61=BL$3,IF($C61="X",0,$O61),0)</f>
        <v>0</v>
      </c>
      <c r="BM61" s="200">
        <f>IF($K61=BM$3,IF($C61="X",0,$O61),0)</f>
        <v>0</v>
      </c>
      <c r="BN61" s="201">
        <f>IF($K61=BN$3,IF($C61="X",0,$O61),0)</f>
        <v>0</v>
      </c>
      <c r="BO61" s="201">
        <f>IF($K61=BO$3,IF($C61="X",0,$O61),0)</f>
        <v>0</v>
      </c>
      <c r="BP61" s="201">
        <f>IF($K61=BP$3,IF($C61="X",0,$O61),0)</f>
        <v>0</v>
      </c>
      <c r="BQ61" s="202">
        <f>IF($K61=BQ$3,IF($C61="X",0,$O61),0)</f>
        <v>1.61</v>
      </c>
      <c r="BR61" s="199">
        <f>IF($K61=BR$3,IF($C61="X",0,$O61),0)</f>
        <v>0</v>
      </c>
      <c r="BS61" s="204">
        <f>IF($B61="LOSS",IF(AND($K61=BS$3,$C61="L"),-$O61,0)+IF(AND($K62=BS$3,$C62="L"),-$O62,0)+IF(AND($K63=BS$3,$C63="L"),-$O63,0),IF(OR(AND($K61=BS$3,OR($C61="W",$C61="1/2W")),AND($K62=BS$3,OR($C62="W",$C62="1/2W")),AND($K63=BS$3,OR($C63="W",$C63="1/2W"))),$S61,0))</f>
        <v>0</v>
      </c>
      <c r="BT61" s="201">
        <f>IF($B61="LOSS",IF(AND($K61=BT$3,$C61="L"),-$O61,0)+IF(AND($K62=BT$3,$C62="L"),-$O62,0)+IF(AND($K62=BT$3,$C63="L"),-$O63,0),IF(OR(AND($K62=BT$3,OR($C61="W",$C61="1/2W")),AND($K62=BT$3,OR($C62="W",$C62="1/2W")),AND($K62=BT$3,OR($C63="W",$C63="1/2W"))),$S61,0))</f>
        <v>0</v>
      </c>
      <c r="BU61" s="201">
        <f>IF($B61="LOSS",IF(AND($K61=BU$3,$C61="L"),-$O61,0)+IF(AND($K62=BU$3,$C62="L"),-$O62,0)+IF(AND($K62=BU$3,$C63="L"),-$O63,0),IF(OR(AND($K62=BU$3,OR($C61="W",$C61="1/2W")),AND($K62=BU$3,OR($C62="W",$C62="1/2W")),AND($K62=BU$3,OR($C63="W",$C63="1/2W"))),$S61,0))</f>
        <v>0</v>
      </c>
      <c r="BV61" s="201">
        <f>IF($B61="LOSS",IF(AND($K61=BV$3,$C61="L"),-$O61,0)+IF(AND($K62=BV$3,$C62="L"),-$O62,0)+IF(AND($K63=BV$3,$C63="L"),-$O63,0),IF(OR(AND($K61=BV$3,OR($C61="W",$C61="1/2W")),AND($K62=BV$3,OR($C62="W",$C62="1/2W")),AND($K63=BV$3,OR($C63="W",$C63="1/2W"))),$S61,0))</f>
        <v>0</v>
      </c>
      <c r="BW61" s="201">
        <f>IF($B61="LOSS",IF(AND($K61=BW$3,$C61="L"),-$O61,0)+IF(AND($K62=BW$3,$C62="L"),-$O62,0)+IF(AND($K63=BW$3,$C63="L"),-$O63,0),IF(OR(AND($K61=BW$3,OR($C61="W",$C61="1/2W")),AND($K62=BW$3,OR($C62="W",$C62="1/2W")),AND($K63=BW$3,OR($C63="W",$C63="1/2W"))),$S61,0))</f>
        <v>0.55</v>
      </c>
      <c r="BX61" s="201">
        <f>IF($B61="LOSS",IF(AND($K61=BX$3,$C61="L"),-$O61,0)+IF(AND($K62=BX$3,$C62="L"),-$O62,0)+IF(AND($K63=BX$3,$C63="L"),-$O63,0),IF(OR(AND($K61=BX$3,OR($C61="W",$C61="1/2W")),AND($K62=BX$3,OR($C62="W",$C62="1/2W")),AND($K63=BX$3,OR($C63="W",$C63="1/2W"))),$S61,0))</f>
        <v>0</v>
      </c>
      <c r="BY61" s="201">
        <f>IF($B61="LOSS",IF(AND($K61=BY$3,$C61="L"),-$O61,0)+IF(AND($K62=BY$3,$C62="L"),-$O62,0)+IF(AND($K63=BY$3,$C63="L"),-$O63,0),IF(OR(AND($K61=BY$3,OR($C61="W",$C61="1/2W")),AND($K62=BY$3,OR($C62="W",$C62="1/2W")),AND($K63=BY$3,OR($C63="W",$C63="1/2W"))),$S61,0))</f>
        <v>0</v>
      </c>
      <c r="BZ61" s="205">
        <f>IF($B61="LOSS",IF(AND($K61=BZ$3,$C61="L"),-$O61,0)+IF(AND($K62=BZ$3,$C62="L"),-$O62,0)+IF(AND($K63=BZ$3,$C63="L"),-$O63,0),IF(OR(AND($K61=BZ$3,OR($C61="W",$C61="1/2W")),AND($K62=BZ$3,OR($C62="W",$C62="1/2W")),AND($K63=BZ$3,OR($C63="W",$C63="1/2W"))),$S61,0))</f>
        <v>0</v>
      </c>
      <c r="CA61" s="205">
        <f>IF($B61="LOSS",IF(AND($K61=CA$3,$C61="L"),-$O61,0)+IF(AND($K62=CA$3,$C62="L"),-$O62,0)+IF(AND($K63=CA$3,$C63="L"),-$O63,0),IF(OR(AND($K61=CA$3,OR($C61="W",$C61="1/2W")),AND($K62=CA$3,OR($C62="W",$C62="1/2W")),AND($K63=CA$3,OR($C63="W",$C63="1/2W"))),$S61,0))</f>
        <v>0</v>
      </c>
      <c r="CB61" s="205">
        <f>IF($B61="LOSS",IF(AND($K61=CB$3,$C61="L"),-$O61,0)+IF(AND($K62=CB$3,$C62="L"),-$O62,0)+IF(AND($K63=CB$3,$C63="L"),-$O63,0),IF(OR(AND($K61=CB$3,OR($C61="W",$C61="1/2W")),AND($K62=CB$3,OR($C62="W",$C62="1/2W")),AND($K63=CB$3,OR($C63="W",$C63="1/2W"))),$S61,0))</f>
        <v>0</v>
      </c>
      <c r="CC61" s="205">
        <f>IF($B61="LOSS",IF(AND($K61=CC$3,$C61="L"),-$O61,0)+IF(AND($K62=CC$3,$C62="L"),-$O62,0)+IF(AND($K63=CC$3,$C63="L"),-$O63,0),IF(OR(AND($K61=CC$3,OR($C61="W",$C61="1/2W")),AND($K62=CC$3,OR($C62="W",$C62="1/2W")),AND($K63=CC$3,OR($C63="W",$C63="1/2W"))),$S61,0))</f>
        <v>0</v>
      </c>
      <c r="CD61" s="202">
        <f>IF($B61="LOSS",IF(AND($K61=CD$3,$C61="L"),-$O61,0)+IF(AND($K62=CD$3,$C62="L"),-$O62,0)+IF(AND($K63=CD$3,$C63="L"),-$O63,0),IF(OR(AND($K61=CD$3,OR($C61="W",$C61="1/2W")),AND($K62=CD$3,OR($C62="W",$C62="1/2W")),AND($K63=CD$3,OR($C63="W",$C63="1/2W"))),$S61,0))</f>
        <v>0</v>
      </c>
      <c r="CE61" s="199">
        <f>IF($B61="LOSS",IF(AND($K61=CE$3,$C61="L"),-$O61,0)+IF(AND($K62=CE$3,$C62="L"),-$O62,0)+IF(AND($K63=CE$3,$C63="L"),-$O63,0),IF(OR(AND($K61=CE$3,OR($C61="W",$C61="1/2W")),AND($K62=CE$3,OR($C62="W",$C62="1/2W")),AND($K63=CE$3,OR($C63="W",$C63="1/2W"))),$S61,0))</f>
        <v>0</v>
      </c>
      <c r="CF61" s="206">
        <f>IF(CF$3=$K61,IF($C61="W",1,IF($C61="1/2W",0.5,0)),0)</f>
        <v>0</v>
      </c>
      <c r="CG61" s="207">
        <f>IF(CF$3=$K61,IF($C61="L",1,IF($C61="1/2L",0.5,0)),0)</f>
        <v>0</v>
      </c>
      <c r="CH61" s="207">
        <f>IF(CH$3=$K61,IF($C61="W",1,IF($C61="1/2W",0.5,0)),0)</f>
        <v>0</v>
      </c>
      <c r="CI61" s="207">
        <f>IF(CH$3=$K61,IF($C61="L",1,IF($C61="1/2L",0.5,0)),0)</f>
        <v>0</v>
      </c>
      <c r="CJ61" s="207">
        <f>IF(CJ$3=$K61,IF($C61="W",1,IF($C61="1/2W",0.5,0)),0)</f>
        <v>0</v>
      </c>
      <c r="CK61" s="207">
        <f>IF(CJ$3=$K61,IF($C61="L",1,IF($C61="1/2L",0.5,0)),0)</f>
        <v>0</v>
      </c>
      <c r="CL61" s="207">
        <f>IF(CL$3=$K61,IF($C61="W",1,IF($C61="1/2W",0.5,0)),0)</f>
        <v>0</v>
      </c>
      <c r="CM61" s="207">
        <f>IF(CL$3=$K61,IF($C61="L",1,IF($C61="1/2L",0.5,0)),0)</f>
        <v>0</v>
      </c>
      <c r="CN61" s="207">
        <f>IF(CN$3=$K61,IF($C61="W",1,IF($C61="1/2W",0.5,0)),0)</f>
        <v>0</v>
      </c>
      <c r="CO61" s="207">
        <f>IF(CN$3=$K61,IF($C61="L",1,IF($C61="1/2L",0.5,0)),0)</f>
        <v>0</v>
      </c>
      <c r="CP61" s="207">
        <f>IF(CP$3=$K61,IF($C61="W",1,IF($C61="1/2W",0.5,0)),0)</f>
        <v>0</v>
      </c>
      <c r="CQ61" s="207">
        <f>IF(CP$3=$K61,IF($C61="L",1,IF($C61="1/2L",0.5,0)),0)</f>
        <v>0</v>
      </c>
      <c r="CR61" s="207">
        <f>IF(CR$3=$K61,IF($C61="W",1,IF($C61="1/2W",0.5,0)),0)</f>
        <v>0</v>
      </c>
      <c r="CS61" s="207">
        <f>IF(CR$3=$K61,IF($C61="L",1,IF($C61="1/2L",0.5,0)),0)</f>
        <v>0</v>
      </c>
      <c r="CT61" s="208">
        <f>IF(CT$3=$K61,IF($C61="W",1,IF($C61="1/2W",0.5,0)),0)</f>
        <v>0</v>
      </c>
      <c r="CU61" s="209">
        <f>IF(CT$3=$K61,IF($C61="L",1,IF($C61="1/2L",0.5,0)),0)</f>
        <v>0</v>
      </c>
      <c r="CV61" s="209">
        <f>IF(CV$3=$K61,IF($C61="W",1,IF($C61="1/2W",0.5,0)),0)</f>
        <v>0</v>
      </c>
      <c r="CW61" s="209">
        <f>IF(CV$3=$K61,IF($C61="L",1,IF($C61="1/2L",0.5,0)),0)</f>
        <v>0</v>
      </c>
      <c r="CX61" s="209">
        <f>IF(CX$3=$K61,IF($C61="W",1,IF($C61="1/2W",0.5,0)),0)</f>
        <v>0</v>
      </c>
      <c r="CY61" s="209">
        <f>IF(CX$3=$K61,IF($C61="L",1,IF($C61="1/2L",0.5,0)),0)</f>
        <v>0</v>
      </c>
      <c r="CZ61" s="209">
        <f>IF(CZ$3=$K61,IF($C61="W",1,IF($C61="1/2W",0.5,0)),0)</f>
        <v>0</v>
      </c>
      <c r="DA61" s="209">
        <f>IF(CZ$3=$K61,IF($C61="L",1,IF($C61="1/2L",0.5,0)),0)</f>
        <v>0</v>
      </c>
      <c r="DB61" s="209">
        <f>IF(DB$3=$K61,IF($C61="W",1,IF($C61="1/2W",0.5,0)),0)</f>
        <v>0</v>
      </c>
      <c r="DC61" s="209">
        <f>IF(DB$3=$K61,IF($C61="L",1,IF($C61="1/2L",0.5,0)),0)</f>
        <v>1</v>
      </c>
      <c r="DD61" s="209">
        <f>IF(DD$3=$K61,IF($C61="W",1,IF($C61="1/2W",0.5,0)),0)</f>
        <v>0</v>
      </c>
      <c r="DE61" s="210">
        <f>IF(DD$3=$K61,IF($C61="L",1,IF($C61="1/2L",0.5,0)),0)</f>
        <v>0</v>
      </c>
      <c r="DF61" s="211">
        <f>IF(AND(L61&lt;DF$3,$C61="W"),1+DF60,DF60)</f>
        <v>4</v>
      </c>
      <c r="DG61" s="198">
        <f>IF(DF61&gt;DF60,L61+DG60,DG60)</f>
        <v>5.438</v>
      </c>
      <c r="DH61" s="209">
        <f>IF(AND(L61&gt;DH$3,$C61="W"),1+DH60,0+DH60)</f>
        <v>1</v>
      </c>
      <c r="DI61" s="198">
        <f>IF(DH61&gt;DH60,L61+DI60,DI60)</f>
        <v>4.33</v>
      </c>
      <c r="DJ61" t="s" s="306">
        <f>IF($D61="","",$D61)</f>
        <v>101</v>
      </c>
      <c r="DK61" s="209">
        <f>IF(AND($B61=" ",$D61&lt;&gt;""),1,0)</f>
        <v>0</v>
      </c>
    </row>
    <row r="62" ht="14.55" customHeight="1">
      <c r="A62" s="107"/>
      <c r="B62" s="108"/>
      <c r="C62" t="s" s="213">
        <v>56</v>
      </c>
      <c r="D62" s="110"/>
      <c r="E62" s="111"/>
      <c r="F62" s="112"/>
      <c r="G62" s="214"/>
      <c r="H62" s="114"/>
      <c r="I62" s="299">
        <v>2</v>
      </c>
      <c r="J62" t="s" s="216">
        <f>IF(OR(I61="TO",I61="TU",I61="TO1",I61="TU1",I61="TO2",I61="TU2"),J61,IF(OR(I61="AH1",I61="AH2"),IF(OR(I62="AH1",I62="AH2"),-J61,IF(OR(I62="EH1",I62="EH2"),-J61+0.5,"")),IF(OR(I61="EH1",I61="EH2"),IF(OR(I62="AH1",I62="AH2"),-J61+0.5,IF(OR(I62="EH1",I62="EH2"),-J61+1,"")),IF(AND(OR(I61="DNB1",I61="DNB2"),OR(I62="AH1",I62="AH2")),0,IF(AND(I61="Not ScoreBoth",OR(I62="TO1",I62="TO2")),0.5,"")))))</f>
      </c>
      <c r="K62" t="s" s="217">
        <v>41</v>
      </c>
      <c r="L62" s="218">
        <v>1.12</v>
      </c>
      <c r="M62" s="219"/>
      <c r="N62" s="120"/>
      <c r="O62" s="220">
        <f>IF(OR(AE61="",AE62=""),"",ROUND(IF(L63&gt;0,IF(M62&gt;0,M62,IF(M61&gt;0,IF(N61=TRUE,ROUND((M61*AE62)/AE61,0),(M61*AE62)/AE61),IF(M62&gt;0,ROUND(M62,IF(N61=0,2,IF(N61=0.1,1,0))),IF(M63&gt;0,ROUND(O63*AE62/AE63,IF(N61=0,2,IF(N61=0.1,1,0))),0)))),IF(M62&gt;0,M62,ROUND((M61*AE62)/AE61,IF(N61=0,2,IF(N61=0.1,1,0))))),2))</f>
        <v>18</v>
      </c>
      <c r="P62" s="221">
        <f>IF(OR(L62="",O62=""),"",IF($C62="1/2W",O62/2+O62/2*L62,IF($C62="1/2L",O62/2,IF(I62="Lay",((O62*(L62/(L62-1)))-O62)*(1-_xlfn.XLOOKUP(K62,'Janeiro 2023 - Valor Real'!A3:A15,'Janeiro 2023 - Valor Real'!C3:C15,0))+O62,(O62*L62-O62)*(1-_xlfn.XLOOKUP(K62,'Janeiro 2023 - Valor Real'!A3:A15,'Janeiro 2023 - Valor Real'!C3:C15,0))+O62))))</f>
        <v>20.16</v>
      </c>
      <c r="Q62" s="222">
        <v>3</v>
      </c>
      <c r="R62" s="223">
        <v>0</v>
      </c>
      <c r="S62" s="125"/>
      <c r="T62" s="126"/>
      <c r="U62" s="126"/>
      <c r="V62" s="224"/>
      <c r="W62" s="126"/>
      <c r="X62" s="127"/>
      <c r="Y62" s="128"/>
      <c r="Z62" s="129"/>
      <c r="AA62" s="129"/>
      <c r="AB62" s="129"/>
      <c r="AC62" s="129"/>
      <c r="AD62" s="225">
        <f>(((L62/(L62-1)-1)*(1-_xlfn.XLOOKUP(K62,'Janeiro 2023 - Valor Real'!A3:A15,'Janeiro 2023 - Valor Real'!C3:C15,0))+1))</f>
        <v>9.33333333333333</v>
      </c>
      <c r="AE62" s="226">
        <f>IF(L62="","",IF(L63&gt;0,(SUM(((L61-1)*(1-_xlfn.XLOOKUP(K61,'Janeiro 2023 - Valor Real'!A3:A15,'Janeiro 2023 - Valor Real'!C3:C15,0))+1),((L62-1)*(1-_xlfn.XLOOKUP(K62,'Janeiro 2023 - Valor Real'!A3:A15,'Janeiro 2023 - Valor Real'!C3:C15,0))+1),((L63-1)*(1-_xlfn.XLOOKUP(K63,'Janeiro 2023 - Valor Real'!A3:A15,'Janeiro 2023 - Valor Real'!C3:C15,0))+1))/((L62-1)*(1-_xlfn.XLOOKUP(K62,'Janeiro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Real'!C3:C15,0))+1))/((L61-1)*(1-_xlfn.XLOOKUP(K61,'Janeiro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Real'!C3:C15,0))+1))/((L62-1)*(1-_xlfn.XLOOKUP(K62,'Janeiro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Real'!C3:C15,0))+1))/((L63-1)*(1-_xlfn.XLOOKUP(K63,'Janeiro 2023 - Valor Real'!A3:A15,'Janeiro 2023 - Valor Real'!C3:C15,0))+1)),IF(I62="Lay",IF(I61="Lay",((L61/(L61-1)-1)*(1-_xlfn.XLOOKUP(K61,'Janeiro 2023 - Valor Real'!A3:A15,'Janeiro 2023 - Valor Real'!C3:C15,0))+1)/(((L61/(L61-1)-1)*(1-_xlfn.XLOOKUP(K61,'Janeiro 2023 - Valor Real'!A3:A15,'Janeiro 2023 - Valor Real'!C3:C15,0))+1)+((L62/(L62-1)-1)*(1-_xlfn.XLOOKUP(K62,'Janeiro 2023 - Valor Real'!A3:A15,'Janeiro 2023 - Valor Real'!C3:C15,0))+1)),((L61-1)*(1-_xlfn.XLOOKUP(K61,'Janeiro 2023 - Valor Real'!A3:A15,'Janeiro 2023 - Valor Real'!C3:C15,0))+1)/(((L61-1)*(1-_xlfn.XLOOKUP(K61,'Janeiro 2023 - Valor Real'!A3:A15,'Janeiro 2023 - Valor Real'!C3:C15,0))+1)+((L62/(L62-1)-1)*(1-_xlfn.XLOOKUP(K62,'Janeiro 2023 - Valor Real'!A3:A15,'Janeiro 2023 - Valor Real'!C3:C15,0))+1))),IF(I61="Lay",((L61/(L61-1)-1)*(1-_xlfn.XLOOKUP(K61,'Janeiro 2023 - Valor Real'!A3:A15,'Janeiro 2023 - Valor Real'!C3:C15,0))+1)/((((L61/(L61-1)-1)*(1-_xlfn.XLOOKUP(K61,'Janeiro 2023 - Valor Real'!A3:A15,'Janeiro 2023 - Valor Real'!C3:C15,0))+1))+((L62-1)*(1-_xlfn.XLOOKUP(K62,'Janeiro 2023 - Valor Real'!A3:A15,'Janeiro 2023 - Valor Real'!C3:C15,0))+1)),((L61-1)*(1-_xlfn.XLOOKUP(K61,'Janeiro 2023 - Valor Real'!A3:A15,'Janeiro 2023 - Valor Real'!C3:C15,0))+1)/(((L61-1)*(1-_xlfn.XLOOKUP(K61,'Janeiro 2023 - Valor Real'!A3:A15,'Janeiro 2023 - Valor Real'!C3:C15,0))+1)+((L62-1)*(1-_xlfn.XLOOKUP(K62,'Janeiro 2023 - Valor Real'!A3:A15,'Janeiro 2023 - Valor Real'!C3:C15,0))+1))))))</f>
        <v>0.91776798825257</v>
      </c>
      <c r="AF62" s="197">
        <f>IF($K62=AF$3,ROUND(IF(OR($C62="W",$C62="1/2W",$C62="1/2L"),$P62-$O62,IF($C62="X",0,-$O62)),2),0)</f>
        <v>0</v>
      </c>
      <c r="AG62" s="198">
        <f>IF($K62=AG$3,ROUND(IF(OR($C62="W",$C62="1/2W",$C62="1/2L"),$P62-$O62,IF($C62="X",0,-$O62)),2),0)</f>
        <v>0</v>
      </c>
      <c r="AH62" s="198">
        <f>IF($K62=AH$3,ROUND(IF(OR($C62="W",$C62="1/2W",$C62="1/2L"),$P62-$O62,IF($C62="X",0,-$O62)),2),0)</f>
        <v>0</v>
      </c>
      <c r="AI62" s="198">
        <f>IF($K62=AI$3,ROUND(IF(OR($C62="W",$C62="1/2W",$C62="1/2L"),$P62-$O62,IF($C62="X",0,-$O62)),2),0)</f>
        <v>0</v>
      </c>
      <c r="AJ62" s="198">
        <f>IF($K62=AJ$3,ROUND(IF(OR($C62="W",$C62="1/2W",$C62="1/2L"),$P62-$O62,IF($C62="X",0,-$O62)),2),0)</f>
        <v>2.16</v>
      </c>
      <c r="AK62" s="198">
        <f>IF($K62=AK$3,ROUND(IF(OR($C62="W",$C62="1/2W",$C62="1/2L"),$P62-$O62,IF($C62="X",0,-$O62)),2),0)</f>
        <v>0</v>
      </c>
      <c r="AL62" s="198">
        <f>IF($K62=AL$3,ROUND(IF(OR($C62="W",$C62="1/2W",$C62="1/2L"),$P62-$O62,IF($C62="X",0,-$O62)),2),0)</f>
        <v>0</v>
      </c>
      <c r="AM62" s="198">
        <f>IF($K62=AM$3,ROUND(IF(OR($C62="W",$C62="1/2W",$C62="1/2L"),$P62-$O62,IF($C62="X",0,-$O62)),2),0)</f>
        <v>0</v>
      </c>
      <c r="AN62" s="198">
        <f>IF($K62=AN$3,ROUND(IF(OR($C62="W",$C62="1/2W",$C62="1/2L"),$P62-$O62,IF($C62="X",0,-$O62)),2),0)</f>
        <v>0</v>
      </c>
      <c r="AO62" s="198">
        <f>IF($K62=AO$3,ROUND(IF(OR($C62="W",$C62="1/2W",$C62="1/2L"),$P62-$O62,IF($C62="X",0,-$O62)),2),0)</f>
        <v>0</v>
      </c>
      <c r="AP62" s="198">
        <f>IF($K62=AP$3,ROUND(IF(OR($C62="W",$C62="1/2W",$C62="1/2L"),$P62-$O62,IF($C62="X",0,-$O62)),2),0)</f>
        <v>0</v>
      </c>
      <c r="AQ62" s="198">
        <f>IF($K62=AQ$3,ROUND(IF(OR($C62="W",$C62="1/2W",$C62="1/2L"),$P62-$O62,IF($C62="X",0,-$O62)),2),0)</f>
        <v>0</v>
      </c>
      <c r="AR62" s="199">
        <f>IF($K62=AR$3,ROUND(IF(OR($C62="W",$C62="1/2W",$C62="1/2L"),$P62-$O62,IF($C62="X",0,-$O62)),2),0)</f>
        <v>0</v>
      </c>
      <c r="AS62" s="197">
        <f>IF(AND($B61=" ",$K62=AS$3),$O62,0)</f>
        <v>0</v>
      </c>
      <c r="AT62" s="198">
        <f>IF(AND($B61=" ",K62=AT$3),$O62,0)</f>
        <v>0</v>
      </c>
      <c r="AU62" s="198">
        <f>IF(AND($B61=" ",$K62=AU$3),$O62,0)</f>
        <v>0</v>
      </c>
      <c r="AV62" s="198">
        <f>IF(AND($B61=" ",$K62=AV$3),$O62,0)</f>
        <v>0</v>
      </c>
      <c r="AW62" s="198">
        <f>IF(AND($B61=" ",$K62=AW$3),$O62,0)</f>
        <v>0</v>
      </c>
      <c r="AX62" s="198">
        <f>IF(AND($B61=" ",$K62=AX$3),$O62,0)</f>
        <v>0</v>
      </c>
      <c r="AY62" s="200">
        <f>IF(AND($B61=" ",$K62=AY$3),$O62,0)</f>
        <v>0</v>
      </c>
      <c r="AZ62" s="201">
        <f>IF(AND($B61=" ",$K62=AZ$3),$O62,0)</f>
        <v>0</v>
      </c>
      <c r="BA62" s="201">
        <f>IF(AND($B61=" ",$K62=BA$3),$O62,0)</f>
        <v>0</v>
      </c>
      <c r="BB62" s="201">
        <f>IF(AND($B61=" ",$K62=BB$3),$O62,0)</f>
        <v>0</v>
      </c>
      <c r="BC62" s="202">
        <f>IF(AND($B61=" ",$K62=BC$3),$O62,0)</f>
        <v>0</v>
      </c>
      <c r="BD62" s="198">
        <f>IF(AND($B61=" ",$K62=BD$3),$O62,0)</f>
        <v>0</v>
      </c>
      <c r="BE62" s="199">
        <f>IF(AND($B61=" ",$K62=BE$3),$O62,0)</f>
        <v>0</v>
      </c>
      <c r="BF62" s="197">
        <f>IF($K62=BF$3,IF($C62="X",0,$O62),0)</f>
        <v>0</v>
      </c>
      <c r="BG62" s="198">
        <f>IF($K62=BG$3,IF($C62="X",0,$O62),0)</f>
        <v>0</v>
      </c>
      <c r="BH62" s="198">
        <f>IF($K62=BH$3,IF($C62="X",0,$O62),0)</f>
        <v>0</v>
      </c>
      <c r="BI62" s="198">
        <f>IF($K62=BI$3,IF($C62="X",0,$O62),0)</f>
        <v>0</v>
      </c>
      <c r="BJ62" s="198">
        <f>IF($K62=BJ$3,IF($C62="X",0,$O62),0)</f>
        <v>18</v>
      </c>
      <c r="BK62" s="198">
        <f>IF($K62=BK$3,IF($C62="X",0,$O62),0)</f>
        <v>0</v>
      </c>
      <c r="BL62" s="198">
        <f>IF($K62=BL$3,IF($C62="X",0,$O62),0)</f>
        <v>0</v>
      </c>
      <c r="BM62" s="227">
        <f>IF($K62=BM$3,IF($C62="X",0,$O62),0)</f>
        <v>0</v>
      </c>
      <c r="BN62" s="205">
        <f>IF($K62=BN$3,IF($C62="X",0,$O62),0)</f>
        <v>0</v>
      </c>
      <c r="BO62" s="205">
        <f>IF($K62=BO$3,IF($C62="X",0,$O62),0)</f>
        <v>0</v>
      </c>
      <c r="BP62" s="205">
        <f>IF($K62=BP$3,IF($C62="X",0,$O62),0)</f>
        <v>0</v>
      </c>
      <c r="BQ62" s="202">
        <f>IF($K62=BQ$3,IF($C62="X",0,$O62),0)</f>
        <v>0</v>
      </c>
      <c r="BR62" s="199">
        <f>IF($K62=BR$3,IF($C62="X",0,$O62),0)</f>
        <v>0</v>
      </c>
      <c r="BS62" s="228"/>
      <c r="BT62" s="229"/>
      <c r="BU62" s="140"/>
      <c r="BV62" s="229"/>
      <c r="BW62" s="140"/>
      <c r="BX62" s="140"/>
      <c r="BY62" s="140"/>
      <c r="BZ62" s="229"/>
      <c r="CA62" s="140"/>
      <c r="CB62" s="140"/>
      <c r="CC62" s="140"/>
      <c r="CD62" s="141"/>
      <c r="CE62" s="142"/>
      <c r="CF62" s="230">
        <f>IF(CF$3=$K62,IF($C62="W",1,IF($C62="1/2W",0.5,0)),0)</f>
        <v>0</v>
      </c>
      <c r="CG62" s="231">
        <f>IF(CF$3=$K62,IF($C62="L",1,IF($C62="1/2L",0.5,0)),0)</f>
        <v>0</v>
      </c>
      <c r="CH62" s="231">
        <f>IF(CH$3=$K62,IF($C62="W",1,IF($C62="1/2W",0.5,0)),0)</f>
        <v>0</v>
      </c>
      <c r="CI62" s="231">
        <f>IF(CH$3=$K62,IF($C62="L",1,IF($C62="1/2L",0.5,0)),0)</f>
        <v>0</v>
      </c>
      <c r="CJ62" s="231">
        <f>IF(CJ$3=$K62,IF($C62="W",1,IF($C62="1/2W",0.5,0)),0)</f>
        <v>0</v>
      </c>
      <c r="CK62" s="231">
        <f>IF(CJ$3=$K62,IF($C62="L",1,IF($C62="1/2L",0.5,0)),0)</f>
        <v>0</v>
      </c>
      <c r="CL62" s="231">
        <f>IF(CL$3=$K62,IF($C62="W",1,IF($C62="1/2W",0.5,0)),0)</f>
        <v>0</v>
      </c>
      <c r="CM62" s="231">
        <f>IF(CL$3=$K62,IF($C62="L",1,IF($C62="1/2L",0.5,0)),0)</f>
        <v>0</v>
      </c>
      <c r="CN62" s="231">
        <f>IF(CN$3=$K62,IF($C62="W",1,IF($C62="1/2W",0.5,0)),0)</f>
        <v>1</v>
      </c>
      <c r="CO62" s="231">
        <f>IF(CN$3=$K62,IF($C62="L",1,IF($C62="1/2L",0.5,0)),0)</f>
        <v>0</v>
      </c>
      <c r="CP62" s="231">
        <f>IF(CP$3=$K62,IF($C62="W",1,IF($C62="1/2W",0.5,0)),0)</f>
        <v>0</v>
      </c>
      <c r="CQ62" s="231">
        <f>IF(CP$3=$K62,IF($C62="L",1,IF($C62="1/2L",0.5,0)),0)</f>
        <v>0</v>
      </c>
      <c r="CR62" s="231">
        <f>IF(CR$3=$K62,IF($C62="W",1,IF($C62="1/2W",0.5,0)),0)</f>
        <v>0</v>
      </c>
      <c r="CS62" s="231">
        <f>IF(CR$3=$K62,IF($C62="L",1,IF($C62="1/2L",0.5,0)),0)</f>
        <v>0</v>
      </c>
      <c r="CT62" s="208">
        <f>IF(CT$3=$K62,IF($C62="W",1,IF($C62="1/2W",0.5,0)),0)</f>
        <v>0</v>
      </c>
      <c r="CU62" s="209">
        <f>IF(CT$3=$K62,IF($C62="L",1,IF($C62="1/2L",0.5,0)),0)</f>
        <v>0</v>
      </c>
      <c r="CV62" s="209">
        <f>IF(CV$3=$K62,IF($C62="W",1,IF($C62="1/2W",0.5,0)),0)</f>
        <v>0</v>
      </c>
      <c r="CW62" s="209">
        <f>IF(CV$3=$K62,IF($C62="L",1,IF($C62="1/2L",0.5,0)),0)</f>
        <v>0</v>
      </c>
      <c r="CX62" s="209">
        <f>IF(CX$3=$K62,IF($C62="W",1,IF($C62="1/2W",0.5,0)),0)</f>
        <v>0</v>
      </c>
      <c r="CY62" s="209">
        <f>IF(CX$3=$K62,IF($C62="L",1,IF($C62="1/2L",0.5,0)),0)</f>
        <v>0</v>
      </c>
      <c r="CZ62" s="209">
        <f>IF(CZ$3=$K62,IF($C62="W",1,IF($C62="1/2W",0.5,0)),0)</f>
        <v>0</v>
      </c>
      <c r="DA62" s="209">
        <f>IF(CZ$3=$K62,IF($C62="L",1,IF($C62="1/2L",0.5,0)),0)</f>
        <v>0</v>
      </c>
      <c r="DB62" s="209">
        <f>IF(DB$3=$K62,IF($C62="W",1,IF($C62="1/2W",0.5,0)),0)</f>
        <v>0</v>
      </c>
      <c r="DC62" s="209">
        <f>IF(DB$3=$K62,IF($C62="L",1,IF($C62="1/2L",0.5,0)),0)</f>
        <v>0</v>
      </c>
      <c r="DD62" s="209">
        <f>IF(DD$3=$K62,IF($C62="W",1,IF($C62="1/2W",0.5,0)),0)</f>
        <v>0</v>
      </c>
      <c r="DE62" s="210">
        <f>IF(DD$3=$K62,IF($C62="L",1,IF($C62="1/2L",0.5,0)),0)</f>
        <v>0</v>
      </c>
      <c r="DF62" s="211">
        <f>IF(AND(L62&lt;DF$3,$C62="W"),1+DF61,DF61)</f>
        <v>5</v>
      </c>
      <c r="DG62" s="198">
        <f>IF(DF62&gt;DF61,L62+DG61,DG61)</f>
        <v>6.558</v>
      </c>
      <c r="DH62" s="209">
        <f>IF(AND(L62&gt;DH$3,$C62="W"),1+DH61,0+DH61)</f>
        <v>1</v>
      </c>
      <c r="DI62" s="198">
        <f>IF(DH62&gt;DH61,L62+DI61,DI61)</f>
        <v>4.33</v>
      </c>
      <c r="DJ62" t="s" s="306">
        <f>IF($D61="","",$D61)</f>
        <v>101</v>
      </c>
      <c r="DK62" s="232"/>
    </row>
    <row r="63" ht="14.55" customHeight="1">
      <c r="A63" s="149"/>
      <c r="B63" s="150"/>
      <c r="C63" t="s" s="233">
        <v>58</v>
      </c>
      <c r="D63" s="152"/>
      <c r="E63" s="153"/>
      <c r="F63" s="154"/>
      <c r="G63" s="234"/>
      <c r="H63" s="156"/>
      <c r="I63" s="235"/>
      <c r="J63" s="236"/>
      <c r="K63" s="237"/>
      <c r="L63" s="238"/>
      <c r="M63" s="239"/>
      <c r="N63" s="161"/>
      <c r="O63" t="s" s="240">
        <f>IF(OR(AE61="",AE62=""),"",IF(L63&gt;0,ROUND(IF(M63&gt;0,M63,IF(M61&gt;0,ROUND((M61*AE63)/AE61,IF(N61=0,2,IF(N61=0.1,1,0))),IF(M62&gt;0,ROUND((M62*AE63)/AE62,IF(N61=0,2,IF(N61=0.1,1,0))),IF(M63&gt;0,M63,0)))),2),""))</f>
      </c>
      <c r="P63" t="s" s="241">
        <f>IF(I62="Lay",O62*(L62/(L62-1))-O62,IF(I61="Lay",O61*(L61/(L61-1))-O61,IF(OR(L63="",O63=""),"",IF($C63="1/2W",O63/2+O63/2*L63,IF($C63="1/2L",O63/2,(O63*L63-O63)*(1-_xlfn.XLOOKUP(K63,'Janeiro 2023 - Valor Real'!A3:A15,'Janeiro 2023 - Valor Real'!C3:C15,0))+O63)))))</f>
      </c>
      <c r="Q63" t="s" s="242"/>
      <c r="R63" t="s" s="243"/>
      <c r="S63" s="166"/>
      <c r="T63" s="155"/>
      <c r="U63" s="155"/>
      <c r="V63" s="166"/>
      <c r="W63" s="155"/>
      <c r="X63" s="167"/>
      <c r="Y63" s="128"/>
      <c r="Z63" s="129"/>
      <c r="AA63" s="129"/>
      <c r="AB63" s="129"/>
      <c r="AC63" s="129"/>
      <c r="AD63" s="244">
        <f>((L62/(L62-1)-1))</f>
        <v>8.33333333333333</v>
      </c>
      <c r="AE63" t="s" s="245">
        <f>IF(L63="","",(SUM(((L61-1)*(1-_xlfn.XLOOKUP(K61,'Janeiro 2023 - Valor Real'!A3:A15,'Janeiro 2023 - Valor Real'!C3:C15,0))+1),((L62-1)*(1-_xlfn.XLOOKUP(K62,'Janeiro 2023 - Valor Real'!A3:A15,'Janeiro 2023 - Valor Real'!C3:C15,0))+1),((L63-1)*(1-_xlfn.XLOOKUP(K63,'Janeiro 2023 - Valor Real'!A3:A15,'Janeiro 2023 - Valor Real'!C3:C15,0))+1))/((L63-1)*(1-_xlfn.XLOOKUP(K63,'Janeiro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Real'!C3:C15,0))+1))/((L61-1)*(1-_xlfn.XLOOKUP(K61,'Janeiro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Real'!C3:C15,0))+1))/((L62-1)*(1-_xlfn.XLOOKUP(K62,'Janeiro 2023 - Valor Real'!A3:A15,'Janeiro 2023 - Valor Real'!C3:C15,0))+1)+SUM(((L61-1)*(1-_xlfn.XLOOKUP(K61,'Janeiro 2023 - Valor Real'!A3:A15,'Janeiro 2023 - Valor Real'!C3:C15,0))+1),((L62-1)*(1-_xlfn.XLOOKUP(K62,'Janeiro 2023 - Valor Real'!A3:A15,'Janeiro 2023 - Valor Real'!C3:C15,0))+1),((L63-1)*(1-_xlfn.XLOOKUP(K63,'Janeiro 2023 - Valor Real'!A3:A15,'Janeiro 2023 - Valor Real'!C3:C15,0))+1))/((L63-1)*(1-_xlfn.XLOOKUP(K63,'Janeiro 2023 - Valor Real'!A3:A15,'Janeiro 2023 - Valor Real'!C3:C15,0))+1)))</f>
      </c>
      <c r="AF63" s="197">
        <f>IF($K63=AF$3,ROUND(IF(OR($C63="W",$C63="1/2W",$C63="1/2L"),$P63-$O63,IF($C63="X",0,-$O63)),2),0)</f>
        <v>0</v>
      </c>
      <c r="AG63" s="198">
        <f>IF($K63=AG$3,ROUND(IF(OR($C63="W",$C63="1/2W",$C63="1/2L"),$P63-$O63,IF($C63="X",0,-$O63)),2),0)</f>
        <v>0</v>
      </c>
      <c r="AH63" s="198">
        <f>IF($K63=AH$3,ROUND(IF(OR($C63="W",$C63="1/2W",$C63="1/2L"),$P63-$O63,IF($C63="X",0,-$O63)),2),0)</f>
        <v>0</v>
      </c>
      <c r="AI63" s="198">
        <f>IF($K63=AI$3,ROUND(IF(OR($C63="W",$C63="1/2W",$C63="1/2L"),$P63-$O63,IF($C63="X",0,-$O63)),2),0)</f>
        <v>0</v>
      </c>
      <c r="AJ63" s="198">
        <f>IF($K63=AJ$3,ROUND(IF(OR($C63="W",$C63="1/2W",$C63="1/2L"),$P63-$O63,IF($C63="X",0,-$O63)),2),0)</f>
        <v>0</v>
      </c>
      <c r="AK63" s="198">
        <f>IF($K63=AK$3,ROUND(IF(OR($C63="W",$C63="1/2W",$C63="1/2L"),$P63-$O63,IF($C63="X",0,-$O63)),2),0)</f>
        <v>0</v>
      </c>
      <c r="AL63" s="198">
        <f>IF($K63=AL$3,ROUND(IF(OR($C63="W",$C63="1/2W",$C63="1/2L"),$P63-$O63,IF($C63="X",0,-$O63)),2),0)</f>
        <v>0</v>
      </c>
      <c r="AM63" s="198">
        <f>IF($K63=AM$3,ROUND(IF(OR($C63="W",$C63="1/2W",$C63="1/2L"),$P63-$O63,IF($C63="X",0,-$O63)),2),0)</f>
        <v>0</v>
      </c>
      <c r="AN63" s="198">
        <f>IF($K63=AN$3,ROUND(IF(OR($C63="W",$C63="1/2W",$C63="1/2L"),$P63-$O63,IF($C63="X",0,-$O63)),2),0)</f>
        <v>0</v>
      </c>
      <c r="AO63" s="198">
        <f>IF($K63=AO$3,ROUND(IF(OR($C63="W",$C63="1/2W",$C63="1/2L"),$P63-$O63,IF($C63="X",0,-$O63)),2),0)</f>
        <v>0</v>
      </c>
      <c r="AP63" s="198">
        <f>IF($K63=AP$3,ROUND(IF(OR($C63="W",$C63="1/2W",$C63="1/2L"),$P63-$O63,IF($C63="X",0,-$O63)),2),0)</f>
        <v>0</v>
      </c>
      <c r="AQ63" s="198">
        <f>IF($K63=AQ$3,ROUND(IF(OR($C63="W",$C63="1/2W",$C63="1/2L"),$P63-$O63,IF($C63="X",0,-$O63)),2),0)</f>
        <v>0</v>
      </c>
      <c r="AR63" s="199">
        <f>IF($K63=AR$3,ROUND(IF(OR($C63="W",$C63="1/2W",$C63="1/2L"),$P63-$O63,IF($C63="X",0,-$O63)),2),0)</f>
        <v>0</v>
      </c>
      <c r="AS63" s="197">
        <f>IF(AND($B61=" ",$K63=AS$3),$O63,0)</f>
        <v>0</v>
      </c>
      <c r="AT63" s="198">
        <f>IF(AND($B61=" ",K63=AT$3),$O63,0)</f>
        <v>0</v>
      </c>
      <c r="AU63" s="198">
        <f>IF(AND($B61=" ",$K63=AU$3),$O63,0)</f>
        <v>0</v>
      </c>
      <c r="AV63" s="198">
        <f>IF(AND($B61=" ",$K63=AV$3),$O63,0)</f>
        <v>0</v>
      </c>
      <c r="AW63" s="198">
        <f>IF(AND($B61=" ",$K63=AW$3),$O63,0)</f>
        <v>0</v>
      </c>
      <c r="AX63" s="198">
        <f>IF(AND($B61=" ",$K63=AX$3),$O63,0)</f>
        <v>0</v>
      </c>
      <c r="AY63" s="200">
        <f>IF(AND($B61=" ",$K63=AY$3),$O63,0)</f>
        <v>0</v>
      </c>
      <c r="AZ63" s="201">
        <f>IF(AND($B61=" ",$K63=AZ$3),$O63,0)</f>
        <v>0</v>
      </c>
      <c r="BA63" s="201">
        <f>IF(AND($B61=" ",$K63=BA$3),$O63,0)</f>
        <v>0</v>
      </c>
      <c r="BB63" s="201">
        <f>IF(AND($B61=" ",$K63=BB$3),$O63,0)</f>
        <v>0</v>
      </c>
      <c r="BC63" s="202">
        <f>IF(AND($B61=" ",$K63=BC$3),$O63,0)</f>
        <v>0</v>
      </c>
      <c r="BD63" s="198">
        <f>IF(AND($B61=" ",$K63=BD$3),$O63,0)</f>
        <v>0</v>
      </c>
      <c r="BE63" s="199">
        <f>IF(AND($B61=" ",$K63=BE$3),$O63,0)</f>
        <v>0</v>
      </c>
      <c r="BF63" s="197">
        <f>IF($K63=BF$3,IF($C63="X",0,$O63),0)</f>
        <v>0</v>
      </c>
      <c r="BG63" s="198">
        <f>IF($K63=BG$3,IF($C63="X",0,$O63),0)</f>
        <v>0</v>
      </c>
      <c r="BH63" s="198">
        <f>IF($K63=BH$3,IF($C63="X",0,$O63),0)</f>
        <v>0</v>
      </c>
      <c r="BI63" s="198">
        <f>IF($K63=BI$3,IF($C63="X",0,$O63),0)</f>
        <v>0</v>
      </c>
      <c r="BJ63" s="198">
        <f>IF($K63=BJ$3,IF($C63="X",0,$O63),0)</f>
        <v>0</v>
      </c>
      <c r="BK63" s="198">
        <f>IF($K63=BK$3,IF($C63="X",0,$O63),0)</f>
        <v>0</v>
      </c>
      <c r="BL63" s="198">
        <f>IF($K63=BL$3,IF($C63="X",0,$O63),0)</f>
        <v>0</v>
      </c>
      <c r="BM63" s="200">
        <f>IF($K63=BM$3,IF($C63="X",0,$O63),0)</f>
        <v>0</v>
      </c>
      <c r="BN63" s="201">
        <f>IF($K63=BN$3,IF($C63="X",0,$O63),0)</f>
        <v>0</v>
      </c>
      <c r="BO63" s="201">
        <f>IF($K63=BO$3,IF($C63="X",0,$O63),0)</f>
        <v>0</v>
      </c>
      <c r="BP63" s="201">
        <f>IF($K63=BP$3,IF($C63="X",0,$O63),0)</f>
        <v>0</v>
      </c>
      <c r="BQ63" s="202">
        <f>IF($K63=BQ$3,IF($C63="X",0,$O63),0)</f>
        <v>0</v>
      </c>
      <c r="BR63" s="199">
        <f>IF($K63=BR$3,IF($C63="X",0,$O63),0)</f>
        <v>0</v>
      </c>
      <c r="BS63" s="228"/>
      <c r="BT63" s="229"/>
      <c r="BU63" s="140"/>
      <c r="BV63" s="229"/>
      <c r="BW63" s="140"/>
      <c r="BX63" s="140"/>
      <c r="BY63" s="140"/>
      <c r="BZ63" s="229"/>
      <c r="CA63" s="140"/>
      <c r="CB63" s="140"/>
      <c r="CC63" s="140"/>
      <c r="CD63" s="141"/>
      <c r="CE63" s="142"/>
      <c r="CF63" s="230">
        <f>IF(CF$3=$K63,IF($C63="W",1,IF($C63="1/2W",0.5,0)),0)</f>
        <v>0</v>
      </c>
      <c r="CG63" s="231">
        <f>IF(CF$3=$K63,IF($C63="L",1,IF($C63="1/2L",0.5,0)),0)</f>
        <v>0</v>
      </c>
      <c r="CH63" s="231">
        <f>IF(CH$3=$K63,IF($C63="W",1,IF($C63="1/2W",0.5,0)),0)</f>
        <v>0</v>
      </c>
      <c r="CI63" s="231">
        <f>IF(CH$3=$K63,IF($C63="L",1,IF($C63="1/2L",0.5,0)),0)</f>
        <v>0</v>
      </c>
      <c r="CJ63" s="231">
        <f>IF(CJ$3=$K63,IF($C63="W",1,IF($C63="1/2W",0.5,0)),0)</f>
        <v>0</v>
      </c>
      <c r="CK63" s="231">
        <f>IF(CJ$3=$K63,IF($C63="L",1,IF($C63="1/2L",0.5,0)),0)</f>
        <v>0</v>
      </c>
      <c r="CL63" s="231">
        <f>IF(CL$3=$K63,IF($C63="W",1,IF($C63="1/2W",0.5,0)),0)</f>
        <v>0</v>
      </c>
      <c r="CM63" s="231">
        <f>IF(CL$3=$K63,IF($C63="L",1,IF($C63="1/2L",0.5,0)),0)</f>
        <v>0</v>
      </c>
      <c r="CN63" s="231">
        <f>IF(CN$3=$K63,IF($C63="W",1,IF($C63="1/2W",0.5,0)),0)</f>
        <v>0</v>
      </c>
      <c r="CO63" s="231">
        <f>IF(CN$3=$K63,IF($C63="L",1,IF($C63="1/2L",0.5,0)),0)</f>
        <v>0</v>
      </c>
      <c r="CP63" s="231">
        <f>IF(CP$3=$K63,IF($C63="W",1,IF($C63="1/2W",0.5,0)),0)</f>
        <v>0</v>
      </c>
      <c r="CQ63" s="231">
        <f>IF(CP$3=$K63,IF($C63="L",1,IF($C63="1/2L",0.5,0)),0)</f>
        <v>0</v>
      </c>
      <c r="CR63" s="231">
        <f>IF(CR$3=$K63,IF($C63="W",1,IF($C63="1/2W",0.5,0)),0)</f>
        <v>0</v>
      </c>
      <c r="CS63" s="231">
        <f>IF(CR$3=$K63,IF($C63="L",1,IF($C63="1/2L",0.5,0)),0)</f>
        <v>0</v>
      </c>
      <c r="CT63" s="208">
        <f>IF(CT$3=$K63,IF($C63="W",1,IF($C63="1/2W",0.5,0)),0)</f>
        <v>0</v>
      </c>
      <c r="CU63" s="209">
        <f>IF(CT$3=$K63,IF($C63="L",1,IF($C63="1/2L",0.5,0)),0)</f>
        <v>0</v>
      </c>
      <c r="CV63" s="209">
        <f>IF(CV$3=$K63,IF($C63="W",1,IF($C63="1/2W",0.5,0)),0)</f>
        <v>0</v>
      </c>
      <c r="CW63" s="209">
        <f>IF(CV$3=$K63,IF($C63="L",1,IF($C63="1/2L",0.5,0)),0)</f>
        <v>0</v>
      </c>
      <c r="CX63" s="209">
        <f>IF(CX$3=$K63,IF($C63="W",1,IF($C63="1/2W",0.5,0)),0)</f>
        <v>0</v>
      </c>
      <c r="CY63" s="209">
        <f>IF(CX$3=$K63,IF($C63="L",1,IF($C63="1/2L",0.5,0)),0)</f>
        <v>0</v>
      </c>
      <c r="CZ63" s="209">
        <f>IF(CZ$3=$K63,IF($C63="W",1,IF($C63="1/2W",0.5,0)),0)</f>
        <v>0</v>
      </c>
      <c r="DA63" s="209">
        <f>IF(CZ$3=$K63,IF($C63="L",1,IF($C63="1/2L",0.5,0)),0)</f>
        <v>0</v>
      </c>
      <c r="DB63" s="209">
        <f>IF(DB$3=$K63,IF($C63="W",1,IF($C63="1/2W",0.5,0)),0)</f>
        <v>0</v>
      </c>
      <c r="DC63" s="209">
        <f>IF(DB$3=$K63,IF($C63="L",1,IF($C63="1/2L",0.5,0)),0)</f>
        <v>0</v>
      </c>
      <c r="DD63" s="209">
        <f>IF(DD$3=$K63,IF($C63="W",1,IF($C63="1/2W",0.5,0)),0)</f>
        <v>0</v>
      </c>
      <c r="DE63" s="210">
        <f>IF(DD$3=$K63,IF($C63="L",1,IF($C63="1/2L",0.5,0)),0)</f>
        <v>0</v>
      </c>
      <c r="DF63" s="211">
        <f>IF(AND(L63&lt;DF$3,$C63="W"),1+DF62,DF62)</f>
        <v>5</v>
      </c>
      <c r="DG63" s="198">
        <f>IF(DF63&gt;DF62,L63+DG62,DG62)</f>
        <v>6.558</v>
      </c>
      <c r="DH63" s="209">
        <f>IF(AND(L63&gt;DH$3,$C63="W"),1+DH62,0+DH62)</f>
        <v>1</v>
      </c>
      <c r="DI63" s="198">
        <f>IF(DH63&gt;DH62,L63+DI62,DI62)</f>
        <v>4.33</v>
      </c>
      <c r="DJ63" t="s" s="306">
        <f>IF($D61="","",$D61)</f>
        <v>101</v>
      </c>
      <c r="DK63" s="232"/>
    </row>
    <row r="64" ht="14.55" customHeight="1">
      <c r="A64" s="246">
        <f>$A61+1</f>
        <v>21</v>
      </c>
      <c r="B64" t="s" s="247">
        <v>50</v>
      </c>
      <c r="C64" t="s" s="248">
        <v>51</v>
      </c>
      <c r="D64" t="s" s="303">
        <f>IF(G64="","",$D61)</f>
        <v>101</v>
      </c>
      <c r="E64" t="s" s="250">
        <v>108</v>
      </c>
      <c r="F64" t="s" s="251">
        <f>IF(G64="","",IF(OR(AND($C64&lt;&gt;" ",$C65=" "),AND($C65&lt;&gt;" ",$C64=" "),AND(L66&gt;0,OR(AND($C66&lt;&gt;" ",OR($C64=" ",$C65=" ")),AND($C66=" ",OR($C64&lt;&gt;" ",$C65&lt;&gt;" "))))),IF(SUM(F$4:F63)=0,1,LARGE(F$4:F63,1)+1),IF(MONTH(G64)=MONTH(TODAY()),IF(AND(DAY(G64)&lt;DAY(TODAY()),$B64=" "),IF(SUM(F$4:F63)=0,1,LARGE(F$4:F63,1)+1),IF($B64=" ",IF(AND(DAY(G64)=DAY(TODAY()),HOUR(G64)&lt;=HOUR(NOW())+1),IF(AND(HOUR(G64)+2&lt;=HOUR(NOW()),DAY(G64)&lt;=DAY(TODAY()),MINUTE(G64)&lt;=MINUTE(NOW())),IF(SUM(F$4:F63)=0,1,LARGE(F$4:F63,1)+1),IF(OR(MINUTE(G64)&lt;=MINUTE(NOW()),HOUR(G64)&lt;=HOUR(NOW())),"!!!","")),""),"")),"")))</f>
      </c>
      <c r="G64" s="252">
        <v>44943.291666666664</v>
      </c>
      <c r="H64" t="s" s="253">
        <v>109</v>
      </c>
      <c r="I64" t="s" s="254">
        <v>65</v>
      </c>
      <c r="J64" s="255">
        <v>3.5</v>
      </c>
      <c r="K64" t="s" s="256">
        <v>38</v>
      </c>
      <c r="L64" s="257">
        <v>2</v>
      </c>
      <c r="M64" s="258">
        <v>14.36</v>
      </c>
      <c r="N64" s="259">
        <v>0</v>
      </c>
      <c r="O64" s="260">
        <f>IF(OR(AE64="",AE65=""),"",ROUND(IF(L66&gt;0,IF(M64&gt;0,M64,IF(M65&gt;0,ROUND((M65*AE64)/AE65,IF(N64=0,2,IF(N64=0.1,1,0))),ROUND((M66*AE64)/AE66,IF(N64=0,2,IF(N64=0.1,1,0))))),IF(M64&gt;0,M64,ROUND((M65*AE64)/AE65,IF(N64=0,2,IF(N64=0.1,1,0))))),2))</f>
        <v>14.36</v>
      </c>
      <c r="P64" s="261">
        <f>IF(OR(L64="",O64=""),"",IF($C64="1/2W",O64/2+O64/2*L64,IF($C64="1/2L",O64/2,IF(I64="Lay",(O64*(L64/(L64-1))-O64)*(1-_xlfn.XLOOKUP(K64,'Janeiro 2023 - Valor Real'!A3:A15,'Janeiro 2023 - Valor Real'!C3:C15,0))+O64,(O64*L64-O64)*(1-_xlfn.XLOOKUP(K64,'Janeiro 2023 - Valor Real'!A3:A15,'Janeiro 2023 - Valor Real'!C3:C15,0))+O64))))</f>
        <v>28.72</v>
      </c>
      <c r="Q64" s="262">
        <v>1</v>
      </c>
      <c r="R64" s="263">
        <v>0</v>
      </c>
      <c r="S64" s="264">
        <f>IF($B64="Anulado",0,ROUND(IF(OR($B64="LOSS",$B64="OK"),IF(OR($C64="W",$C64="1/2W",$C64="1/2L"),P64-O64,IF($C64="L",-O64,0))+IF(OR($C65="W",$C65="1/2W",$C65="1/2L"),P65-O65,IF($C65="L",-O65,0))+IF(OR($C66="W",$C66="1/2W",$C66="1/2L"),P66-O66,IF($C66="L",-O66,0)),IF(AND(OR($C64="W",$C64="1/2W",$C64="1/2L"),C65="W"),P64+P65-SUM(O64:O66)+_xlfn.XLOOKUP("X",C64:C66,O64:O66,0),IF(AND(C64=TRUE,C66="W"),P64+P66-SUM(O64:O66),IF(AND(C65="W",C66="W"),P65+P66-SUM(O64:O66)+_xlfn.XLOOKUP("X",C64:C66,O64:O66,0),IF(L66&gt;0,IF(OR($C64="W",$C64="1/2W",$C64="1/2L"),P64-SUM(O64:O66)+_xlfn.XLOOKUP("X",C64:C66,O64:O66,0),IF(OR($C64="W",$C64="1/2W",$C64="1/2L"),P65-SUM(O64:O66)+_xlfn.XLOOKUP("X",C64:C66,O64:O66,0),IF(OR($C64="W",$C64="1/2W",$C64="1/2L"),P66-SUM(O64:O66)+_xlfn.XLOOKUP("X",C64:C66,O64:O66,0),IF(SUM(P64:P66)/3-SUM(O64:O66)+_xlfn.XLOOKUP("X",C64:C66,O64:O66,0)&gt;0,SUM(P64:P66)/3-SUM(O64:O66)+_xlfn.XLOOKUP("X",C64:C66,O64:O66,0),LARGE(P64:P66,1)-SUM(O64:O66))))),IF(OR($C64="W",$C64="1/2W",$C64="1/2L"),P64-SUM(O64:O65)+_xlfn.XLOOKUP("X",C64:C66,O64:O66,0),IF(OR($C64="W",$C64="1/2W",$C64="1/2L"),P65-SUM(O64:O65)+_xlfn.XLOOKUP("X",C64:C66,O64:O66,0),SUM(P64:P65)/2-SUM(O64:O65)+_xlfn.XLOOKUP("X",C64:C66,O64:O66,0)))))))),2))</f>
        <v>1.07</v>
      </c>
      <c r="T64" s="265">
        <f>IF(S64=0,0,S64/SUM(O64:O66))</f>
        <v>0.0386840202458424</v>
      </c>
      <c r="U64" s="266">
        <f>IF($D64=$D61,IF(OR($B64="LOSS",$B64="OK",$B64="Anulada"),S64,0)+U61,IF(OR($B64="LOSS",$B64="OK",$B64="Anulada"),S64,0))</f>
        <v>10.04</v>
      </c>
      <c r="V64" s="266">
        <f>IF($D64="",0,IF($D64=$D61,IF($B64=" ",IF(I66="",IF(OR(AND(I64="DNB1",I65="DNB2"),AND(OR(I64="DNB1",I64="DNB2"),J65=0),AND(OR(I65="DNB1",I65="DNB2"),J64=0),AND(I64="DNB2",I65="DNB1"),AND(IF(J64=0,(J64+1)/ROUND(J64+1,0),J64/ROUND(J64,0))=1,IF(J65=0,(J65+1)/ROUND(IF(J65="",0,J65)+1,0),IF(J65="",0,J65)/ROUND(IF(J65="",1,J65),0))=1,OR(J64&lt;&gt;""),J65&lt;&gt;"")),0,IF(S64&lt;0,IF(I66="",SMALL(P64:P65,1)-SUM(O64:O65),0),SMALL(P64:P65,1)-SUM(O64:O65))),IF(S64&lt;0,IF(I66="",SMALL(P64:P66,1)-SUM(O64:O66),0),LARGE(P64:P66,1)-SUM(O64:O66))),S64)+V61,IF(I66="",IF(OR(AND(I64="DNB1",I65="DNB2"),AND(OR(I64="DNB1",I64="DNB2"),J65=0),AND(OR(I65="DNB1",I65="DNB2"),J64=0),AND(I64="DNB2",I65="DNB1"),AND(IF(J64=0,(J64+1)/ROUND(J64+1,0),J64/ROUND(J64,0))=1,IF(J65=0,(IF(J65="",0,J65)+1)/ROUND(IF(J65="",0,J65)+1,0),IF(J65="",0,J65)/ROUND(IF(J65="",0,J65)+1,0))=1,OR(J64&lt;&gt;""),J65&lt;&gt;"")),0,IF(S64&lt;0,IF(I66="",SMALL(P64:P65,1)-SUM(O64:O65),0),SMALL(P64:P66,1)-SUM(O64:O66))),IF(S64&lt;0,IF(I66="",SMALL(P64:P66,1)-SUM(O64:O66),0),LARGE(P64:P66,1)-SUM(O64:O66)))))</f>
        <v>10.042</v>
      </c>
      <c r="W64" s="266">
        <f>IF($D64=$D61,IF(S64&lt;0,IF(I66="",S64,0),S64)+W61,S64)</f>
        <v>10.04</v>
      </c>
      <c r="X64" t="s" s="267">
        <f>IF(OR(SUM(R64:R66)=0,V64=W64),ROUND(IF(W64=0,0,W64/Y64)*100,2)&amp;"%",ROUND(IF(V64=0,0,V64/Y64)*100,2)&amp;"% a "&amp;ROUND(IF(W64=0,0,W64/Y64)*100,2)&amp;"%")</f>
        <v>110</v>
      </c>
      <c r="Y64" s="268">
        <f>IF($D64=$D61,Y61+SUM(O64:O66),SUM(O64:O66))</f>
        <v>188.74</v>
      </c>
      <c r="Z64" s="266">
        <f>IF($B64=" ",SUM(O64:O66),0)+Z61</f>
        <v>0</v>
      </c>
      <c r="AA64" s="266">
        <f>IF(G64="","",IF($B64="Anulado",LARGE(P64:P66,1)-SUM(O64:O66)+AA61,AA61))</f>
        <v>0</v>
      </c>
      <c r="AB64" s="266">
        <f>IF($D64="","",AB61+S64)</f>
        <v>88.14</v>
      </c>
      <c r="AC64" s="269">
        <f>IF($D64="","",IF($B64=" ",IF(DAY(G64)=DAY(TODAY()),1+AC61,0+AC61),0+AC61))</f>
        <v>0</v>
      </c>
      <c r="AD64" s="270">
        <f>(1-_xlfn.XLOOKUP(K62,'Janeiro 2023 - Valor Real'!A3:A15,'Janeiro 2023 - Valor Real'!C3:C15,0))+1</f>
        <v>2</v>
      </c>
      <c r="AE64" s="271">
        <f>IF(L64="","",IF(L66&gt;0,(SUM(((L64-1)*(1-_xlfn.XLOOKUP(K64,'Janeiro 2023 - Valor Real'!A3:A15,'Janeiro 2023 - Valor Real'!C3:C15,0))+1),((L65-1)*(1-_xlfn.XLOOKUP(K65,'Janeiro 2023 - Valor Real'!A3:A15,'Janeiro 2023 - Valor Real'!C3:C15,0))+1),((L66-1)*(1-_xlfn.XLOOKUP(K66,'Janeiro 2023 - Valor Real'!A3:A15,'Janeiro 2023 - Valor Real'!C3:C15,0))+1))/((L64-1)*(1-_xlfn.XLOOKUP(K64,'Janeiro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Real'!C3:C15,0))+1))/((L64-1)*(1-_xlfn.XLOOKUP(K64,'Janeiro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Real'!C3:C15,0))+1))/((L65-1)*(1-_xlfn.XLOOKUP(K65,'Janeiro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Real'!C3:C15,0))+1))/((L66-1)*(1-_xlfn.XLOOKUP(K66,'Janeiro 2023 - Valor Real'!A3:A15,'Janeiro 2023 - Valor Real'!C3:C15,0))+1)),IF(I64="Lay",IF(I65="Lay",((L65/(L65-1)-1)*(1-_xlfn.XLOOKUP(K65,'Janeiro 2023 - Valor Real'!A3:A15,'Janeiro 2023 - Valor Real'!C3:C15,0))+1)/(((L65/(L65-1)-1)*(1-_xlfn.XLOOKUP(K65,'Janeiro 2023 - Valor Real'!A3:A15,'Janeiro 2023 - Valor Real'!C3:C15,0))+1)+((L64/(L64-1)-1)*(1-_xlfn.XLOOKUP(K64,'Janeiro 2023 - Valor Real'!A3:A15,'Janeiro 2023 - Valor Real'!C3:C15,0))+1)),((L65-1)*(1-_xlfn.XLOOKUP(K65,'Janeiro 2023 - Valor Real'!A3:A15,'Janeiro 2023 - Valor Real'!C3:C15,0))+1)/(((L65-1)*(1-_xlfn.XLOOKUP(K65,'Janeiro 2023 - Valor Real'!A3:A15,'Janeiro 2023 - Valor Real'!C3:C15,0))+1)+((L64/(L64-1)-1)*(1-_xlfn.XLOOKUP(K64,'Janeiro 2023 - Valor Real'!A3:A15,'Janeiro 2023 - Valor Real'!C3:C15,0))+1))),IF(I65="Lay",(((L65/(L65-1)-1)*(1-_xlfn.XLOOKUP(K65,'Janeiro 2023 - Valor Real'!A3:A15,'Janeiro 2023 - Valor Real'!C3:C15,0))+1))/(((L64-1)*(1-_xlfn.XLOOKUP(K64,'Janeiro 2023 - Valor Real'!A3:A15,'Janeiro 2023 - Valor Real'!C3:C15,0))+1)+((L65/(L65-1)-1)*(1-_xlfn.XLOOKUP(K65,'Janeiro 2023 - Valor Real'!A3:A15,'Janeiro 2023 - Valor Real'!C3:C15,0))+1)),((L65-1)*(1-_xlfn.XLOOKUP(K65,'Janeiro 2023 - Valor Real'!A3:A15,'Janeiro 2023 - Valor Real'!C3:C15,0))+1)/(((L65-1)*(1-_xlfn.XLOOKUP(K65,'Janeiro 2023 - Valor Real'!A3:A15,'Janeiro 2023 - Valor Real'!C3:C15,0))+1)+((L64-1)*(1-_xlfn.XLOOKUP(K64,'Janeiro 2023 - Valor Real'!A3:A15,'Janeiro 2023 - Valor Real'!C3:C15,0))+1))))))</f>
        <v>0.5192307692307691</v>
      </c>
      <c r="AF64" s="132">
        <f>IF($K64=AF$3,ROUND(IF(OR($C64="W",$C64="1/2W",$C64="1/2L"),$P64-$O64,IF($C64="X",0,-$O64)),2),0)</f>
        <v>0</v>
      </c>
      <c r="AG64" s="133">
        <f>IF($K64=AG$3,ROUND(IF(OR($C64="W",$C64="1/2W",$C64="1/2L"),$P64-$O64,IF($C64="X",0,-$O64)),2),0)</f>
        <v>-14.36</v>
      </c>
      <c r="AH64" s="133">
        <f>IF($K64=AH$3,ROUND(IF(OR($C64="W",$C64="1/2W",$C64="1/2L"),$P64-$O64,IF($C64="X",0,-$O64)),2),0)</f>
        <v>0</v>
      </c>
      <c r="AI64" s="133">
        <f>IF($K64=AI$3,ROUND(IF(OR($C64="W",$C64="1/2W",$C64="1/2L"),$P64-$O64,IF($C64="X",0,-$O64)),2),0)</f>
        <v>0</v>
      </c>
      <c r="AJ64" s="133">
        <f>IF($K64=AJ$3,ROUND(IF(OR($C64="W",$C64="1/2W",$C64="1/2L"),$P64-$O64,IF($C64="X",0,-$O64)),2),0)</f>
        <v>0</v>
      </c>
      <c r="AK64" s="133">
        <f>IF($K64=AK$3,ROUND(IF(OR($C64="W",$C64="1/2W",$C64="1/2L"),$P64-$O64,IF($C64="X",0,-$O64)),2),0)</f>
        <v>0</v>
      </c>
      <c r="AL64" s="133">
        <f>IF($K64=AL$3,ROUND(IF(OR($C64="W",$C64="1/2W",$C64="1/2L"),$P64-$O64,IF($C64="X",0,-$O64)),2),0)</f>
        <v>0</v>
      </c>
      <c r="AM64" s="133">
        <f>IF($K64=AM$3,ROUND(IF(OR($C64="W",$C64="1/2W",$C64="1/2L"),$P64-$O64,IF($C64="X",0,-$O64)),2),0)</f>
        <v>0</v>
      </c>
      <c r="AN64" s="133">
        <f>IF($K64=AN$3,ROUND(IF(OR($C64="W",$C64="1/2W",$C64="1/2L"),$P64-$O64,IF($C64="X",0,-$O64)),2),0)</f>
        <v>0</v>
      </c>
      <c r="AO64" s="133">
        <f>IF($K64=AO$3,ROUND(IF(OR($C64="W",$C64="1/2W",$C64="1/2L"),$P64-$O64,IF($C64="X",0,-$O64)),2),0)</f>
        <v>0</v>
      </c>
      <c r="AP64" s="133">
        <f>IF($K64=AP$3,ROUND(IF(OR($C64="W",$C64="1/2W",$C64="1/2L"),$P64-$O64,IF($C64="X",0,-$O64)),2),0)</f>
        <v>0</v>
      </c>
      <c r="AQ64" s="133">
        <f>IF($K64=AQ$3,ROUND(IF(OR($C64="W",$C64="1/2W",$C64="1/2L"),$P64-$O64,IF($C64="X",0,-$O64)),2),0)</f>
        <v>0</v>
      </c>
      <c r="AR64" s="134">
        <f>IF($K64=AR$3,ROUND(IF(OR($C64="W",$C64="1/2W",$C64="1/2L"),$P64-$O64,IF($C64="X",0,-$O64)),2),0)</f>
        <v>0</v>
      </c>
      <c r="AS64" s="132">
        <f>IF(AND($B64=" ",$K64=AS$3),$O64,0)</f>
        <v>0</v>
      </c>
      <c r="AT64" s="133">
        <f>IF(AND($B64=" ",$K64=AT$3),$O64,0)</f>
        <v>0</v>
      </c>
      <c r="AU64" s="133">
        <f>IF(AND($B64=" ",$K64=AU$3),$O64,0)</f>
        <v>0</v>
      </c>
      <c r="AV64" s="133">
        <f>IF(AND($B64=" ",$K64=AV$3),$O64,0)</f>
        <v>0</v>
      </c>
      <c r="AW64" s="133">
        <f>IF(AND($B64=" ",$K64=AW$3),$O64,0)</f>
        <v>0</v>
      </c>
      <c r="AX64" s="133">
        <f>IF(AND($B64=" ",$K64=AX$3),$O64,0)</f>
        <v>0</v>
      </c>
      <c r="AY64" s="135">
        <f>IF(AND($B64=" ",$K64=AY$3),$O64,0)</f>
        <v>0</v>
      </c>
      <c r="AZ64" s="136">
        <f>IF(AND($B64=" ",$K64=AZ$3),$O64,0)</f>
        <v>0</v>
      </c>
      <c r="BA64" s="136">
        <f>IF(AND($B64=" ",$K64=BA$3),$O64,0)</f>
        <v>0</v>
      </c>
      <c r="BB64" s="136">
        <f>IF(AND($B64=" ",$K64=BB$3),$O64,0)</f>
        <v>0</v>
      </c>
      <c r="BC64" s="137">
        <f>IF(AND($B64=" ",$K64=BC$3),$O64,0)</f>
        <v>0</v>
      </c>
      <c r="BD64" s="133">
        <f>IF(AND($B64=" ",$K64=BD$3),$O64,0)</f>
        <v>0</v>
      </c>
      <c r="BE64" s="134">
        <f>IF(AND($B64=" ",$K64=BE$3),$O64,0)</f>
        <v>0</v>
      </c>
      <c r="BF64" s="132">
        <f>IF($K64=BF$3,IF($C64="X",0,$O64),0)</f>
        <v>0</v>
      </c>
      <c r="BG64" s="133">
        <f>IF($K64=BG$3,IF($C64="X",0,$O64),0)</f>
        <v>14.36</v>
      </c>
      <c r="BH64" s="133">
        <f>IF($K64=BH$3,IF($C64="X",0,$O64),0)</f>
        <v>0</v>
      </c>
      <c r="BI64" s="133">
        <f>IF($K64=BI$3,IF($C64="X",0,$O64),0)</f>
        <v>0</v>
      </c>
      <c r="BJ64" s="133">
        <f>IF($K64=BJ$3,IF($C64="X",0,$O64),0)</f>
        <v>0</v>
      </c>
      <c r="BK64" s="133">
        <f>IF($K64=BK$3,IF($C64="X",0,$O64),0)</f>
        <v>0</v>
      </c>
      <c r="BL64" s="133">
        <f>IF($K64=BL$3,IF($C64="X",0,$O64),0)</f>
        <v>0</v>
      </c>
      <c r="BM64" s="135">
        <f>IF($K64=BM$3,IF($C64="X",0,$O64),0)</f>
        <v>0</v>
      </c>
      <c r="BN64" s="136">
        <f>IF($K64=BN$3,IF($C64="X",0,$O64),0)</f>
        <v>0</v>
      </c>
      <c r="BO64" s="136">
        <f>IF($K64=BO$3,IF($C64="X",0,$O64),0)</f>
        <v>0</v>
      </c>
      <c r="BP64" s="136">
        <f>IF($K64=BP$3,IF($C64="X",0,$O64),0)</f>
        <v>0</v>
      </c>
      <c r="BQ64" s="137">
        <f>IF($K64=BQ$3,IF($C64="X",0,$O64),0)</f>
        <v>0</v>
      </c>
      <c r="BR64" s="134">
        <f>IF($K64=BR$3,IF($C64="X",0,$O64),0)</f>
        <v>0</v>
      </c>
      <c r="BS64" s="170">
        <f>IF($B64="LOSS",IF(AND($K64=BS$3,$C64="L"),-$O64,0)+IF(AND($K65=BS$3,$C65="L"),-$O65,0)+IF(AND($K66=BS$3,$C66="L"),-$O66,0),IF(OR(AND($K64=BS$3,OR($C64="W",$C64="1/2W")),AND($K65=BS$3,OR($C65="W",$C65="1/2W")),AND($K66=BS$3,OR($C66="W",$C66="1/2W"))),$S64,0))</f>
        <v>0</v>
      </c>
      <c r="BT64" s="272">
        <f>IF($B64="LOSS",IF(AND($K64=BT$3,$C64="L"),-$O64,0)+IF(AND($K65=BT$3,$C65="L"),-$O65,0)+IF(AND($K65=BT$3,$C66="L"),-$O66,0),IF(OR(AND($K65=BT$3,OR($C64="W",$C64="1/2W")),AND($K65=BT$3,OR($C65="W",$C65="1/2W")),AND($K65=BT$3,OR($C66="W",$C66="1/2W"))),$S64,0))</f>
        <v>0</v>
      </c>
      <c r="BU64" s="136">
        <f>IF($B64="LOSS",IF(AND($K64=BU$3,$C64="L"),-$O64,0)+IF(AND($K65=BU$3,$C65="L"),-$O65,0)+IF(AND($K65=BU$3,$C66="L"),-$O66,0),IF(OR(AND($K65=BU$3,OR($C64="W",$C64="1/2W")),AND($K65=BU$3,OR($C65="W",$C65="1/2W")),AND($K65=BU$3,OR($C66="W",$C66="1/2W"))),$S64,0))</f>
        <v>0</v>
      </c>
      <c r="BV64" s="136">
        <f>IF($B64="LOSS",IF(AND($K64=BV$3,$C64="L"),-$O64,0)+IF(AND($K65=BV$3,$C65="L"),-$O65,0)+IF(AND($K66=BV$3,$C66="L"),-$O66,0),IF(OR(AND($K64=BV$3,OR($C64="W",$C64="1/2W")),AND($K65=BV$3,OR($C65="W",$C65="1/2W")),AND($K66=BV$3,OR($C66="W",$C66="1/2W"))),$S64,0))</f>
        <v>0</v>
      </c>
      <c r="BW64" s="136">
        <f>IF($B64="LOSS",IF(AND($K64=BW$3,$C64="L"),-$O64,0)+IF(AND($K65=BW$3,$C65="L"),-$O65,0)+IF(AND($K66=BW$3,$C66="L"),-$O66,0),IF(OR(AND($K64=BW$3,OR($C64="W",$C64="1/2W")),AND($K65=BW$3,OR($C65="W",$C65="1/2W")),AND($K66=BW$3,OR($C66="W",$C66="1/2W"))),$S64,0))</f>
        <v>0</v>
      </c>
      <c r="BX64" s="136">
        <f>IF($B64="LOSS",IF(AND($K64=BX$3,$C64="L"),-$O64,0)+IF(AND($K65=BX$3,$C65="L"),-$O65,0)+IF(AND($K66=BX$3,$C66="L"),-$O66,0),IF(OR(AND($K64=BX$3,OR($C64="W",$C64="1/2W")),AND($K65=BX$3,OR($C65="W",$C65="1/2W")),AND($K66=BX$3,OR($C66="W",$C66="1/2W"))),$S64,0))</f>
        <v>0</v>
      </c>
      <c r="BY64" s="136">
        <f>IF($B64="LOSS",IF(AND($K64=BY$3,$C64="L"),-$O64,0)+IF(AND($K65=BY$3,$C65="L"),-$O65,0)+IF(AND($K66=BY$3,$C66="L"),-$O66,0),IF(OR(AND($K64=BY$3,OR($C64="W",$C64="1/2W")),AND($K65=BY$3,OR($C65="W",$C65="1/2W")),AND($K66=BY$3,OR($C66="W",$C66="1/2W"))),$S64,0))</f>
        <v>0</v>
      </c>
      <c r="BZ64" s="136">
        <f>IF($B64="LOSS",IF(AND($K64=BZ$3,$C64="L"),-$O64,0)+IF(AND($K65=BZ$3,$C65="L"),-$O65,0)+IF(AND($K66=BZ$3,$C66="L"),-$O66,0),IF(OR(AND($K64=BZ$3,OR($C64="W",$C64="1/2W")),AND($K65=BZ$3,OR($C65="W",$C65="1/2W")),AND($K66=BZ$3,OR($C66="W",$C66="1/2W"))),$S64,0))</f>
        <v>1.07</v>
      </c>
      <c r="CA64" s="136">
        <f>IF($B64="LOSS",IF(AND($K64=CA$3,$C64="L"),-$O64,0)+IF(AND($K65=CA$3,$C65="L"),-$O65,0)+IF(AND($K66=CA$3,$C66="L"),-$O66,0),IF(OR(AND($K64=CA$3,OR($C64="W",$C64="1/2W")),AND($K65=CA$3,OR($C65="W",$C65="1/2W")),AND($K66=CA$3,OR($C66="W",$C66="1/2W"))),$S64,0))</f>
        <v>0</v>
      </c>
      <c r="CB64" s="136">
        <f>IF($B64="LOSS",IF(AND($K64=CB$3,$C64="L"),-$O64,0)+IF(AND($K65=CB$3,$C65="L"),-$O65,0)+IF(AND($K66=CB$3,$C66="L"),-$O66,0),IF(OR(AND($K64=CB$3,OR($C64="W",$C64="1/2W")),AND($K65=CB$3,OR($C65="W",$C65="1/2W")),AND($K66=CB$3,OR($C66="W",$C66="1/2W"))),$S64,0))</f>
        <v>0</v>
      </c>
      <c r="CC64" s="136">
        <f>IF($B64="LOSS",IF(AND($K64=CC$3,$C64="L"),-$O64,0)+IF(AND($K65=CC$3,$C65="L"),-$O65,0)+IF(AND($K66=CC$3,$C66="L"),-$O66,0),IF(OR(AND($K64=CC$3,OR($C64="W",$C64="1/2W")),AND($K65=CC$3,OR($C65="W",$C65="1/2W")),AND($K66=CC$3,OR($C66="W",$C66="1/2W"))),$S64,0))</f>
        <v>0</v>
      </c>
      <c r="CD64" s="137">
        <f>IF($B64="LOSS",IF(AND($K64=CD$3,$C64="L"),-$O64,0)+IF(AND($K65=CD$3,$C65="L"),-$O65,0)+IF(AND($K66=CD$3,$C66="L"),-$O66,0),IF(OR(AND($K64=CD$3,OR($C64="W",$C64="1/2W")),AND($K65=CD$3,OR($C65="W",$C65="1/2W")),AND($K66=CD$3,OR($C66="W",$C66="1/2W"))),$S64,0))</f>
        <v>0</v>
      </c>
      <c r="CE64" s="134">
        <f>IF($B64="LOSS",IF(AND($K64=CE$3,$C64="L"),-$O64,0)+IF(AND($K65=CE$3,$C65="L"),-$O65,0)+IF(AND($K66=CE$3,$C66="L"),-$O66,0),IF(OR(AND($K64=CE$3,OR($C64="W",$C64="1/2W")),AND($K65=CE$3,OR($C65="W",$C65="1/2W")),AND($K66=CE$3,OR($C66="W",$C66="1/2W"))),$S64,0))</f>
        <v>0</v>
      </c>
      <c r="CF64" s="273">
        <f>IF(CF$3=$K64,IF($C64="W",1,IF($C64="1/2W",0.5,0)),0)</f>
        <v>0</v>
      </c>
      <c r="CG64" s="274">
        <f>IF(CF$3=$K64,IF($C64="L",1,IF($C64="1/2L",0.5,0)),0)</f>
        <v>0</v>
      </c>
      <c r="CH64" s="274">
        <f>IF(CH$3=$K64,IF($C64="W",1,IF($C64="1/2W",0.5,0)),0)</f>
        <v>0</v>
      </c>
      <c r="CI64" s="274">
        <f>IF(CH$3=$K64,IF($C64="L",1,IF($C64="1/2L",0.5,0)),0)</f>
        <v>1</v>
      </c>
      <c r="CJ64" s="274">
        <f>IF(CJ$3=$K64,IF($C64="W",1,IF($C64="1/2W",0.5,0)),0)</f>
        <v>0</v>
      </c>
      <c r="CK64" s="274">
        <f>IF(CJ$3=$K64,IF($C64="L",1,IF($C64="1/2L",0.5,0)),0)</f>
        <v>0</v>
      </c>
      <c r="CL64" s="274">
        <f>IF(CL$3=$K64,IF($C64="W",1,IF($C64="1/2W",0.5,0)),0)</f>
        <v>0</v>
      </c>
      <c r="CM64" s="274">
        <f>IF(CL$3=$K64,IF($C64="L",1,IF($C64="1/2L",0.5,0)),0)</f>
        <v>0</v>
      </c>
      <c r="CN64" s="274">
        <f>IF(CN$3=$K64,IF($C64="W",1,IF($C64="1/2W",0.5,0)),0)</f>
        <v>0</v>
      </c>
      <c r="CO64" s="274">
        <f>IF(CN$3=$K64,IF($C64="L",1,IF($C64="1/2L",0.5,0)),0)</f>
        <v>0</v>
      </c>
      <c r="CP64" s="274">
        <f>IF(CP$3=$K64,IF($C64="W",1,IF($C64="1/2W",0.5,0)),0)</f>
        <v>0</v>
      </c>
      <c r="CQ64" s="274">
        <f>IF(CP$3=$K64,IF($C64="L",1,IF($C64="1/2L",0.5,0)),0)</f>
        <v>0</v>
      </c>
      <c r="CR64" s="274">
        <f>IF(CR$3=$K64,IF($C64="W",1,IF($C64="1/2W",0.5,0)),0)</f>
        <v>0</v>
      </c>
      <c r="CS64" s="274">
        <f>IF(CR$3=$K64,IF($C64="L",1,IF($C64="1/2L",0.5,0)),0)</f>
        <v>0</v>
      </c>
      <c r="CT64" s="145">
        <f>IF(CT$3=$K64,IF($C64="W",1,IF($C64="1/2W",0.5,0)),0)</f>
        <v>0</v>
      </c>
      <c r="CU64" s="146">
        <f>IF(CT$3=$K64,IF($C64="L",1,IF($C64="1/2L",0.5,0)),0)</f>
        <v>0</v>
      </c>
      <c r="CV64" s="146">
        <f>IF(CV$3=$K64,IF($C64="W",1,IF($C64="1/2W",0.5,0)),0)</f>
        <v>0</v>
      </c>
      <c r="CW64" s="146">
        <f>IF(CV$3=$K64,IF($C64="L",1,IF($C64="1/2L",0.5,0)),0)</f>
        <v>0</v>
      </c>
      <c r="CX64" s="146">
        <f>IF(CX$3=$K64,IF($C64="W",1,IF($C64="1/2W",0.5,0)),0)</f>
        <v>0</v>
      </c>
      <c r="CY64" s="146">
        <f>IF(CX$3=$K64,IF($C64="L",1,IF($C64="1/2L",0.5,0)),0)</f>
        <v>0</v>
      </c>
      <c r="CZ64" s="146">
        <f>IF(CZ$3=$K64,IF($C64="W",1,IF($C64="1/2W",0.5,0)),0)</f>
        <v>0</v>
      </c>
      <c r="DA64" s="146">
        <f>IF(CZ$3=$K64,IF($C64="L",1,IF($C64="1/2L",0.5,0)),0)</f>
        <v>0</v>
      </c>
      <c r="DB64" s="146">
        <f>IF(DB$3=$K64,IF($C64="W",1,IF($C64="1/2W",0.5,0)),0)</f>
        <v>0</v>
      </c>
      <c r="DC64" s="146">
        <f>IF(DB$3=$K64,IF($C64="L",1,IF($C64="1/2L",0.5,0)),0)</f>
        <v>0</v>
      </c>
      <c r="DD64" s="146">
        <f>IF(DD$3=$K64,IF($C64="W",1,IF($C64="1/2W",0.5,0)),0)</f>
        <v>0</v>
      </c>
      <c r="DE64" s="147">
        <f>IF(DD$3=$K64,IF($C64="L",1,IF($C64="1/2L",0.5,0)),0)</f>
        <v>0</v>
      </c>
      <c r="DF64" s="143">
        <f>IF(AND(L64&lt;DF$3,$C64="W"),1+DF63,DF63)</f>
        <v>5</v>
      </c>
      <c r="DG64" s="133">
        <f>IF(DF64&gt;DF63,L64+DG63,DG63)</f>
        <v>6.558</v>
      </c>
      <c r="DH64" s="146">
        <f>IF(AND(L64&gt;DH$3,$C64="W"),1+DH63,0+DH63)</f>
        <v>1</v>
      </c>
      <c r="DI64" s="133">
        <f>IF(DH64&gt;DH63,L64+DI63,DI63)</f>
        <v>4.33</v>
      </c>
      <c r="DJ64" t="s" s="304">
        <f>IF($D64="","",$D64)</f>
        <v>101</v>
      </c>
      <c r="DK64" s="146">
        <f>IF(AND($B64=" ",$D64&lt;&gt;""),1,0)</f>
        <v>0</v>
      </c>
    </row>
    <row r="65" ht="14.55" customHeight="1">
      <c r="A65" s="107"/>
      <c r="B65" s="108"/>
      <c r="C65" t="s" s="109">
        <v>56</v>
      </c>
      <c r="D65" s="110"/>
      <c r="E65" s="111"/>
      <c r="F65" s="113"/>
      <c r="G65" s="252"/>
      <c r="H65" s="114"/>
      <c r="I65" t="s" s="275">
        <v>67</v>
      </c>
      <c r="J65" s="276">
        <f>IF(OR(I64="TO",I64="TU",I64="TO1",I64="TU1",I64="TO2",I64="TU2"),J64,IF(OR(I64="AH1",I64="AH2"),IF(OR(I65="AH1",I65="AH2"),-J64,IF(OR(I65="EH1",I65="EH2"),-J64+0.5,"")),IF(OR(I64="EH1",I64="EH2"),IF(OR(I65="AH1",I65="AH2"),-J64+0.5,IF(OR(I65="EH1",I65="EH2"),-J64+1,"")),IF(AND(OR(I64="DNB1",I64="DNB2"),OR(I65="AH1",I65="AH2")),0,IF(AND(I64="Not ScoreBoth",OR(I65="TO1",I65="TO2")),0.5,"")))))</f>
        <v>3.5</v>
      </c>
      <c r="K65" t="s" s="117">
        <v>44</v>
      </c>
      <c r="L65" s="277">
        <v>2.16</v>
      </c>
      <c r="M65" s="278"/>
      <c r="N65" s="120"/>
      <c r="O65" s="121">
        <f>IF(OR(AE64="",AE65=""),"",ROUND(IF(L66&gt;0,IF(M65&gt;0,M65,IF(M64&gt;0,IF(N64=TRUE,ROUND((M64*AE65)/AE64,0),(M64*AE65)/AE64),IF(M65&gt;0,ROUND(M65,IF(N64=0,2,IF(N64=0.1,1,0))),IF(M66&gt;0,ROUND(O66*AE65/AE66,IF(N64=0,2,IF(N64=0.1,1,0))),0)))),IF(M65&gt;0,M65,ROUND((M64*AE65)/AE64,IF(N64=0,2,IF(N64=0.1,1,0))))),2))</f>
        <v>13.3</v>
      </c>
      <c r="P65" s="122">
        <f>IF(OR(L65="",O65=""),"",IF($C65="1/2W",O65/2+O65/2*L65,IF($C65="1/2L",O65/2,IF(I65="Lay",((O65*(L65/(L65-1)))-O65)*(1-_xlfn.XLOOKUP(K65,'Janeiro 2023 - Valor Real'!A3:A15,'Janeiro 2023 - Valor Real'!C3:C15,0))+O65,(O65*L65-O65)*(1-_xlfn.XLOOKUP(K65,'Janeiro 2023 - Valor Real'!A3:A15,'Janeiro 2023 - Valor Real'!C3:C15,0))+O65))))</f>
        <v>28.728</v>
      </c>
      <c r="Q65" s="279">
        <v>3</v>
      </c>
      <c r="R65" s="280">
        <v>0</v>
      </c>
      <c r="S65" s="125"/>
      <c r="T65" s="126"/>
      <c r="U65" s="126"/>
      <c r="V65" s="224"/>
      <c r="W65" s="126"/>
      <c r="X65" s="127"/>
      <c r="Y65" s="128"/>
      <c r="Z65" s="129"/>
      <c r="AA65" s="129"/>
      <c r="AB65" s="129"/>
      <c r="AC65" s="129"/>
      <c r="AD65" s="130"/>
      <c r="AE65" s="131">
        <f>IF(L65="","",IF(L66&gt;0,(SUM(((L64-1)*(1-_xlfn.XLOOKUP(K64,'Janeiro 2023 - Valor Real'!A3:A15,'Janeiro 2023 - Valor Real'!C3:C15,0))+1),((L65-1)*(1-_xlfn.XLOOKUP(K65,'Janeiro 2023 - Valor Real'!A3:A15,'Janeiro 2023 - Valor Real'!C3:C15,0))+1),((L66-1)*(1-_xlfn.XLOOKUP(K66,'Janeiro 2023 - Valor Real'!A3:A15,'Janeiro 2023 - Valor Real'!C3:C15,0))+1))/((L65-1)*(1-_xlfn.XLOOKUP(K65,'Janeiro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Real'!C3:C15,0))+1))/((L64-1)*(1-_xlfn.XLOOKUP(K64,'Janeiro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Real'!C3:C15,0))+1))/((L65-1)*(1-_xlfn.XLOOKUP(K65,'Janeiro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Real'!C3:C15,0))+1))/((L66-1)*(1-_xlfn.XLOOKUP(K66,'Janeiro 2023 - Valor Real'!A3:A15,'Janeiro 2023 - Valor Real'!C3:C15,0))+1)),IF(I65="Lay",IF(I64="Lay",((L64/(L64-1)-1)*(1-_xlfn.XLOOKUP(K64,'Janeiro 2023 - Valor Real'!A3:A15,'Janeiro 2023 - Valor Real'!C3:C15,0))+1)/(((L64/(L64-1)-1)*(1-_xlfn.XLOOKUP(K64,'Janeiro 2023 - Valor Real'!A3:A15,'Janeiro 2023 - Valor Real'!C3:C15,0))+1)+((L65/(L65-1)-1)*(1-_xlfn.XLOOKUP(K65,'Janeiro 2023 - Valor Real'!A3:A15,'Janeiro 2023 - Valor Real'!C3:C15,0))+1)),((L64-1)*(1-_xlfn.XLOOKUP(K64,'Janeiro 2023 - Valor Real'!A3:A15,'Janeiro 2023 - Valor Real'!C3:C15,0))+1)/(((L64-1)*(1-_xlfn.XLOOKUP(K64,'Janeiro 2023 - Valor Real'!A3:A15,'Janeiro 2023 - Valor Real'!C3:C15,0))+1)+((L65/(L65-1)-1)*(1-_xlfn.XLOOKUP(K65,'Janeiro 2023 - Valor Real'!A3:A15,'Janeiro 2023 - Valor Real'!C3:C15,0))+1))),IF(I64="Lay",((L64/(L64-1)-1)*(1-_xlfn.XLOOKUP(K64,'Janeiro 2023 - Valor Real'!A3:A15,'Janeiro 2023 - Valor Real'!C3:C15,0))+1)/((((L64/(L64-1)-1)*(1-_xlfn.XLOOKUP(K64,'Janeiro 2023 - Valor Real'!A3:A15,'Janeiro 2023 - Valor Real'!C3:C15,0))+1))+((L65-1)*(1-_xlfn.XLOOKUP(K65,'Janeiro 2023 - Valor Real'!A3:A15,'Janeiro 2023 - Valor Real'!C3:C15,0))+1)),((L64-1)*(1-_xlfn.XLOOKUP(K64,'Janeiro 2023 - Valor Real'!A3:A15,'Janeiro 2023 - Valor Real'!C3:C15,0))+1)/(((L64-1)*(1-_xlfn.XLOOKUP(K64,'Janeiro 2023 - Valor Real'!A3:A15,'Janeiro 2023 - Valor Real'!C3:C15,0))+1)+((L65-1)*(1-_xlfn.XLOOKUP(K65,'Janeiro 2023 - Valor Real'!A3:A15,'Janeiro 2023 - Valor Real'!C3:C15,0))+1))))))</f>
        <v>0.480769230769231</v>
      </c>
      <c r="AF65" s="132">
        <f>IF($K65=AF$3,ROUND(IF(OR($C65="W",$C65="1/2W",$C65="1/2L"),$P65-$O65,IF($C65="X",0,-$O65)),2),0)</f>
        <v>0</v>
      </c>
      <c r="AG65" s="133">
        <f>IF($K65=AG$3,ROUND(IF(OR($C65="W",$C65="1/2W",$C65="1/2L"),$P65-$O65,IF($C65="X",0,-$O65)),2),0)</f>
        <v>0</v>
      </c>
      <c r="AH65" s="133">
        <f>IF($K65=AH$3,ROUND(IF(OR($C65="W",$C65="1/2W",$C65="1/2L"),$P65-$O65,IF($C65="X",0,-$O65)),2),0)</f>
        <v>0</v>
      </c>
      <c r="AI65" s="133">
        <f>IF($K65=AI$3,ROUND(IF(OR($C65="W",$C65="1/2W",$C65="1/2L"),$P65-$O65,IF($C65="X",0,-$O65)),2),0)</f>
        <v>0</v>
      </c>
      <c r="AJ65" s="133">
        <f>IF($K65=AJ$3,ROUND(IF(OR($C65="W",$C65="1/2W",$C65="1/2L"),$P65-$O65,IF($C65="X",0,-$O65)),2),0)</f>
        <v>0</v>
      </c>
      <c r="AK65" s="133">
        <f>IF($K65=AK$3,ROUND(IF(OR($C65="W",$C65="1/2W",$C65="1/2L"),$P65-$O65,IF($C65="X",0,-$O65)),2),0)</f>
        <v>0</v>
      </c>
      <c r="AL65" s="133">
        <f>IF($K65=AL$3,ROUND(IF(OR($C65="W",$C65="1/2W",$C65="1/2L"),$P65-$O65,IF($C65="X",0,-$O65)),2),0)</f>
        <v>0</v>
      </c>
      <c r="AM65" s="133">
        <f>IF($K65=AM$3,ROUND(IF(OR($C65="W",$C65="1/2W",$C65="1/2L"),$P65-$O65,IF($C65="X",0,-$O65)),2),0)</f>
        <v>15.43</v>
      </c>
      <c r="AN65" s="133">
        <f>IF($K65=AN$3,ROUND(IF(OR($C65="W",$C65="1/2W",$C65="1/2L"),$P65-$O65,IF($C65="X",0,-$O65)),2),0)</f>
        <v>0</v>
      </c>
      <c r="AO65" s="133">
        <f>IF($K65=AO$3,ROUND(IF(OR($C65="W",$C65="1/2W",$C65="1/2L"),$P65-$O65,IF($C65="X",0,-$O65)),2),0)</f>
        <v>0</v>
      </c>
      <c r="AP65" s="133">
        <f>IF($K65=AP$3,ROUND(IF(OR($C65="W",$C65="1/2W",$C65="1/2L"),$P65-$O65,IF($C65="X",0,-$O65)),2),0)</f>
        <v>0</v>
      </c>
      <c r="AQ65" s="133">
        <f>IF($K65=AQ$3,ROUND(IF(OR($C65="W",$C65="1/2W",$C65="1/2L"),$P65-$O65,IF($C65="X",0,-$O65)),2),0)</f>
        <v>0</v>
      </c>
      <c r="AR65" s="134">
        <f>IF($K65=AR$3,ROUND(IF(OR($C65="W",$C65="1/2W",$C65="1/2L"),$P65-$O65,IF($C65="X",0,-$O65)),2),0)</f>
        <v>0</v>
      </c>
      <c r="AS65" s="132">
        <f>IF(AND($B64=" ",$K65=AS$3),$O65,0)</f>
        <v>0</v>
      </c>
      <c r="AT65" s="133">
        <f>IF(AND($B64=" ",K65=AT$3),$O65,0)</f>
        <v>0</v>
      </c>
      <c r="AU65" s="133">
        <f>IF(AND($B64=" ",$K65=AU$3),$O65,0)</f>
        <v>0</v>
      </c>
      <c r="AV65" s="133">
        <f>IF(AND($B64=" ",$K65=AV$3),$O65,0)</f>
        <v>0</v>
      </c>
      <c r="AW65" s="133">
        <f>IF(AND($B64=" ",$K65=AW$3),$O65,0)</f>
        <v>0</v>
      </c>
      <c r="AX65" s="133">
        <f>IF(AND($B64=" ",$K65=AX$3),$O65,0)</f>
        <v>0</v>
      </c>
      <c r="AY65" s="135">
        <f>IF(AND($B64=" ",$K65=AY$3),$O65,0)</f>
        <v>0</v>
      </c>
      <c r="AZ65" s="136">
        <f>IF(AND($B64=" ",$K65=AZ$3),$O65,0)</f>
        <v>0</v>
      </c>
      <c r="BA65" s="136">
        <f>IF(AND($B64=" ",$K65=BA$3),$O65,0)</f>
        <v>0</v>
      </c>
      <c r="BB65" s="136">
        <f>IF(AND($B64=" ",$K65=BB$3),$O65,0)</f>
        <v>0</v>
      </c>
      <c r="BC65" s="137">
        <f>IF(AND($B64=" ",$K65=BC$3),$O65,0)</f>
        <v>0</v>
      </c>
      <c r="BD65" s="133">
        <f>IF(AND($B64=" ",$K65=BD$3),$O65,0)</f>
        <v>0</v>
      </c>
      <c r="BE65" s="134">
        <f>IF(AND($B64=" ",$K65=BE$3),$O65,0)</f>
        <v>0</v>
      </c>
      <c r="BF65" s="132">
        <f>IF($K65=BF$3,IF($C65="X",0,$O65),0)</f>
        <v>0</v>
      </c>
      <c r="BG65" s="281">
        <f>IF($K65=BG$3,IF($C65="X",0,$O65),0)</f>
        <v>0</v>
      </c>
      <c r="BH65" s="133">
        <f>IF($K65=BH$3,IF($C65="X",0,$O65),0)</f>
        <v>0</v>
      </c>
      <c r="BI65" s="133">
        <f>IF($K65=BI$3,IF($C65="X",0,$O65),0)</f>
        <v>0</v>
      </c>
      <c r="BJ65" s="133">
        <f>IF($K65=BJ$3,IF($C65="X",0,$O65),0)</f>
        <v>0</v>
      </c>
      <c r="BK65" s="133">
        <f>IF($K65=BK$3,IF($C65="X",0,$O65),0)</f>
        <v>0</v>
      </c>
      <c r="BL65" s="133">
        <f>IF($K65=BL$3,IF($C65="X",0,$O65),0)</f>
        <v>0</v>
      </c>
      <c r="BM65" s="135">
        <f>IF($K65=BM$3,IF($C65="X",0,$O65),0)</f>
        <v>13.3</v>
      </c>
      <c r="BN65" s="136">
        <f>IF($K65=BN$3,IF($C65="X",0,$O65),0)</f>
        <v>0</v>
      </c>
      <c r="BO65" s="136">
        <f>IF($K65=BO$3,IF($C65="X",0,$O65),0)</f>
        <v>0</v>
      </c>
      <c r="BP65" s="136">
        <f>IF($K65=BP$3,IF($C65="X",0,$O65),0)</f>
        <v>0</v>
      </c>
      <c r="BQ65" s="137">
        <f>IF($K65=BQ$3,IF($C65="X",0,$O65),0)</f>
        <v>0</v>
      </c>
      <c r="BR65" s="134">
        <f>IF($K65=BR$3,IF($C65="X",0,$O65),0)</f>
        <v>0</v>
      </c>
      <c r="BS65" s="282"/>
      <c r="BT65" s="283"/>
      <c r="BU65" s="140"/>
      <c r="BV65" s="283"/>
      <c r="BW65" s="140"/>
      <c r="BX65" s="140"/>
      <c r="BY65" s="140"/>
      <c r="BZ65" s="283"/>
      <c r="CA65" s="140"/>
      <c r="CB65" s="140"/>
      <c r="CC65" s="140"/>
      <c r="CD65" s="141"/>
      <c r="CE65" s="142"/>
      <c r="CF65" s="284">
        <f>IF(CF$3=$K65,IF($C65="W",1,IF($C65="1/2W",0.5,0)),0)</f>
        <v>0</v>
      </c>
      <c r="CG65" s="285">
        <f>IF(CF$3=$K65,IF($C65="L",1,IF($C65="1/2L",0.5,0)),0)</f>
        <v>0</v>
      </c>
      <c r="CH65" s="285">
        <f>IF(CH$3=$K65,IF($C65="W",1,IF($C65="1/2W",0.5,0)),0)</f>
        <v>0</v>
      </c>
      <c r="CI65" s="285">
        <f>IF(CH$3=$K65,IF($C65="L",1,IF($C65="1/2L",0.5,0)),0)</f>
        <v>0</v>
      </c>
      <c r="CJ65" s="285">
        <f>IF(CJ$3=$K65,IF($C65="W",1,IF($C65="1/2W",0.5,0)),0)</f>
        <v>0</v>
      </c>
      <c r="CK65" s="285">
        <f>IF(CJ$3=$K65,IF($C65="L",1,IF($C65="1/2L",0.5,0)),0)</f>
        <v>0</v>
      </c>
      <c r="CL65" s="285">
        <f>IF(CL$3=$K65,IF($C65="W",1,IF($C65="1/2W",0.5,0)),0)</f>
        <v>0</v>
      </c>
      <c r="CM65" s="285">
        <f>IF(CL$3=$K65,IF($C65="L",1,IF($C65="1/2L",0.5,0)),0)</f>
        <v>0</v>
      </c>
      <c r="CN65" s="285">
        <f>IF(CN$3=$K65,IF($C65="W",1,IF($C65="1/2W",0.5,0)),0)</f>
        <v>0</v>
      </c>
      <c r="CO65" s="285">
        <f>IF(CN$3=$K65,IF($C65="L",1,IF($C65="1/2L",0.5,0)),0)</f>
        <v>0</v>
      </c>
      <c r="CP65" s="285">
        <f>IF(CP$3=$K65,IF($C65="W",1,IF($C65="1/2W",0.5,0)),0)</f>
        <v>0</v>
      </c>
      <c r="CQ65" s="285">
        <f>IF(CP$3=$K65,IF($C65="L",1,IF($C65="1/2L",0.5,0)),0)</f>
        <v>0</v>
      </c>
      <c r="CR65" s="285">
        <f>IF(CR$3=$K65,IF($C65="W",1,IF($C65="1/2W",0.5,0)),0)</f>
        <v>0</v>
      </c>
      <c r="CS65" s="285">
        <f>IF(CR$3=$K65,IF($C65="L",1,IF($C65="1/2L",0.5,0)),0)</f>
        <v>0</v>
      </c>
      <c r="CT65" s="145">
        <f>IF(CT$3=$K65,IF($C65="W",1,IF($C65="1/2W",0.5,0)),0)</f>
        <v>1</v>
      </c>
      <c r="CU65" s="146">
        <f>IF(CT$3=$K65,IF($C65="L",1,IF($C65="1/2L",0.5,0)),0)</f>
        <v>0</v>
      </c>
      <c r="CV65" s="146">
        <f>IF(CV$3=$K65,IF($C65="W",1,IF($C65="1/2W",0.5,0)),0)</f>
        <v>0</v>
      </c>
      <c r="CW65" s="146">
        <f>IF(CV$3=$K65,IF($C65="L",1,IF($C65="1/2L",0.5,0)),0)</f>
        <v>0</v>
      </c>
      <c r="CX65" s="146">
        <f>IF(CX$3=$K65,IF($C65="W",1,IF($C65="1/2W",0.5,0)),0)</f>
        <v>0</v>
      </c>
      <c r="CY65" s="146">
        <f>IF(CX$3=$K65,IF($C65="L",1,IF($C65="1/2L",0.5,0)),0)</f>
        <v>0</v>
      </c>
      <c r="CZ65" s="146">
        <f>IF(CZ$3=$K65,IF($C65="W",1,IF($C65="1/2W",0.5,0)),0)</f>
        <v>0</v>
      </c>
      <c r="DA65" s="146">
        <f>IF(CZ$3=$K65,IF($C65="L",1,IF($C65="1/2L",0.5,0)),0)</f>
        <v>0</v>
      </c>
      <c r="DB65" s="146">
        <f>IF(DB$3=$K65,IF($C65="W",1,IF($C65="1/2W",0.5,0)),0)</f>
        <v>0</v>
      </c>
      <c r="DC65" s="146">
        <f>IF(DB$3=$K65,IF($C65="L",1,IF($C65="1/2L",0.5,0)),0)</f>
        <v>0</v>
      </c>
      <c r="DD65" s="146">
        <f>IF(DD$3=$K65,IF($C65="W",1,IF($C65="1/2W",0.5,0)),0)</f>
        <v>0</v>
      </c>
      <c r="DE65" s="147">
        <f>IF(DD$3=$K65,IF($C65="L",1,IF($C65="1/2L",0.5,0)),0)</f>
        <v>0</v>
      </c>
      <c r="DF65" s="143">
        <f>IF(AND(L65&lt;DF$3,$C65="W"),1+DF64,DF64)</f>
        <v>5</v>
      </c>
      <c r="DG65" s="133">
        <f>IF(DF65&gt;DF64,L65+DG64,DG64)</f>
        <v>6.558</v>
      </c>
      <c r="DH65" s="146">
        <f>IF(AND(L65&gt;DH$3,$C65="W"),1+DH64,0+DH64)</f>
        <v>1</v>
      </c>
      <c r="DI65" s="133">
        <f>IF(DH65&gt;DH64,L65+DI64,DI64)</f>
        <v>4.33</v>
      </c>
      <c r="DJ65" t="s" s="304">
        <f>IF($D64="","",$D64)</f>
        <v>101</v>
      </c>
      <c r="DK65" s="286"/>
    </row>
    <row r="66" ht="14.55" customHeight="1">
      <c r="A66" s="149"/>
      <c r="B66" s="150"/>
      <c r="C66" t="s" s="151">
        <v>58</v>
      </c>
      <c r="D66" s="152"/>
      <c r="E66" s="153"/>
      <c r="F66" s="155"/>
      <c r="G66" s="252"/>
      <c r="H66" s="156"/>
      <c r="I66" s="287"/>
      <c r="J66" s="288"/>
      <c r="K66" s="156"/>
      <c r="L66" s="289"/>
      <c r="M66" s="290"/>
      <c r="N66" s="161"/>
      <c r="O66" t="s" s="162">
        <f>IF(OR(AE64="",AE65=""),"",IF(L66&gt;0,ROUND(IF(M66&gt;0,M66,IF(M64&gt;0,ROUND((M64*AE66)/AE64,IF(N64=0,2,IF(N64=0.1,1,0))),IF(M65&gt;0,ROUND((M65*AE66)/AE65,IF(N64=0,2,IF(N64=0.1,1,0))),IF(M66&gt;0,M66,0)))),2),""))</f>
      </c>
      <c r="P66" t="s" s="163">
        <f>IF(I65="Lay",O65*(L65/(L65-1))-O65,IF(I64="Lay",O64*(L64/(L64-1))-O64,IF(OR(L66="",O66=""),"",IF($C66="1/2W",O66/2+O66/2*L66,IF($C66="1/2L",O66/2,(O66*L66-O66)*(1-_xlfn.XLOOKUP(K66,'Janeiro 2023 - Valor Real'!A3:A15,'Janeiro 2023 - Valor Real'!C3:C15,0))+O66)))))</f>
      </c>
      <c r="Q66" t="s" s="154"/>
      <c r="R66" t="s" s="163"/>
      <c r="S66" s="166"/>
      <c r="T66" s="155"/>
      <c r="U66" s="155"/>
      <c r="V66" s="166"/>
      <c r="W66" s="155"/>
      <c r="X66" s="167"/>
      <c r="Y66" s="128"/>
      <c r="Z66" s="129"/>
      <c r="AA66" s="129"/>
      <c r="AB66" s="129"/>
      <c r="AC66" s="129"/>
      <c r="AD66" s="168"/>
      <c r="AE66" t="s" s="169">
        <f>IF(L66="","",(SUM(((L64-1)*(1-_xlfn.XLOOKUP(K64,'Janeiro 2023 - Valor Real'!A3:A15,'Janeiro 2023 - Valor Real'!C3:C15,0))+1),((L65-1)*(1-_xlfn.XLOOKUP(K65,'Janeiro 2023 - Valor Real'!A3:A15,'Janeiro 2023 - Valor Real'!C3:C15,0))+1),((L66-1)*(1-_xlfn.XLOOKUP(K66,'Janeiro 2023 - Valor Real'!A3:A15,'Janeiro 2023 - Valor Real'!C3:C15,0))+1))/((L66-1)*(1-_xlfn.XLOOKUP(K66,'Janeiro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Real'!C3:C15,0))+1))/((L64-1)*(1-_xlfn.XLOOKUP(K64,'Janeiro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Real'!C3:C15,0))+1))/((L65-1)*(1-_xlfn.XLOOKUP(K65,'Janeiro 2023 - Valor Real'!A3:A15,'Janeiro 2023 - Valor Real'!C3:C15,0))+1)+SUM(((L64-1)*(1-_xlfn.XLOOKUP(K64,'Janeiro 2023 - Valor Real'!A3:A15,'Janeiro 2023 - Valor Real'!C3:C15,0))+1),((L65-1)*(1-_xlfn.XLOOKUP(K65,'Janeiro 2023 - Valor Real'!A3:A15,'Janeiro 2023 - Valor Real'!C3:C15,0))+1),((L66-1)*(1-_xlfn.XLOOKUP(K66,'Janeiro 2023 - Valor Real'!A3:A15,'Janeiro 2023 - Valor Real'!C3:C15,0))+1))/((L66-1)*(1-_xlfn.XLOOKUP(K66,'Janeiro 2023 - Valor Real'!A3:A15,'Janeiro 2023 - Valor Real'!C3:C15,0))+1)))</f>
      </c>
      <c r="AF66" s="132">
        <f>IF($K66=AF$3,ROUND(IF(OR($C66="W",$C66="1/2W",$C66="1/2L"),$P66-$O66,IF($C66="X",0,-$O66)),2),0)</f>
        <v>0</v>
      </c>
      <c r="AG66" s="133">
        <f>IF($K66=AG$3,ROUND(IF(OR($C66="W",$C66="1/2W",$C66="1/2L"),$P66-$O66,IF($C66="X",0,-$O66)),2),0)</f>
        <v>0</v>
      </c>
      <c r="AH66" s="133">
        <f>IF($K66=AH$3,ROUND(IF(OR($C66="W",$C66="1/2W",$C66="1/2L"),$P66-$O66,IF($C66="X",0,-$O66)),2),0)</f>
        <v>0</v>
      </c>
      <c r="AI66" s="133">
        <f>IF($K66=AI$3,ROUND(IF(OR($C66="W",$C66="1/2W",$C66="1/2L"),$P66-$O66,IF($C66="X",0,-$O66)),2),0)</f>
        <v>0</v>
      </c>
      <c r="AJ66" s="133">
        <f>IF($K66=AJ$3,ROUND(IF(OR($C66="W",$C66="1/2W",$C66="1/2L"),$P66-$O66,IF($C66="X",0,-$O66)),2),0)</f>
        <v>0</v>
      </c>
      <c r="AK66" s="133">
        <f>IF($K66=AK$3,ROUND(IF(OR($C66="W",$C66="1/2W",$C66="1/2L"),$P66-$O66,IF($C66="X",0,-$O66)),2),0)</f>
        <v>0</v>
      </c>
      <c r="AL66" s="133">
        <f>IF($K66=AL$3,ROUND(IF(OR($C66="W",$C66="1/2W",$C66="1/2L"),$P66-$O66,IF($C66="X",0,-$O66)),2),0)</f>
        <v>0</v>
      </c>
      <c r="AM66" s="133">
        <f>IF($K66=AM$3,ROUND(IF(OR($C66="W",$C66="1/2W",$C66="1/2L"),$P66-$O66,IF($C66="X",0,-$O66)),2),0)</f>
        <v>0</v>
      </c>
      <c r="AN66" s="133">
        <f>IF($K66=AN$3,ROUND(IF(OR($C66="W",$C66="1/2W",$C66="1/2L"),$P66-$O66,IF($C66="X",0,-$O66)),2),0)</f>
        <v>0</v>
      </c>
      <c r="AO66" s="133">
        <f>IF($K66=AO$3,ROUND(IF(OR($C66="W",$C66="1/2W",$C66="1/2L"),$P66-$O66,IF($C66="X",0,-$O66)),2),0)</f>
        <v>0</v>
      </c>
      <c r="AP66" s="133">
        <f>IF($K66=AP$3,ROUND(IF(OR($C66="W",$C66="1/2W",$C66="1/2L"),$P66-$O66,IF($C66="X",0,-$O66)),2),0)</f>
        <v>0</v>
      </c>
      <c r="AQ66" s="133">
        <f>IF($K66=AQ$3,ROUND(IF(OR($C66="W",$C66="1/2W",$C66="1/2L"),$P66-$O66,IF($C66="X",0,-$O66)),2),0)</f>
        <v>0</v>
      </c>
      <c r="AR66" s="134">
        <f>IF($K66=AR$3,ROUND(IF(OR($C66="W",$C66="1/2W",$C66="1/2L"),$P66-$O66,IF($C66="X",0,-$O66)),2),0)</f>
        <v>0</v>
      </c>
      <c r="AS66" s="132">
        <f>IF(AND($B64=" ",$K66=AS$3),$O66,0)</f>
        <v>0</v>
      </c>
      <c r="AT66" s="133">
        <f>IF(AND($B64=" ",K66=AT$3),$O66,0)</f>
        <v>0</v>
      </c>
      <c r="AU66" s="133">
        <f>IF(AND($B64=" ",$K66=AU$3),$O66,0)</f>
        <v>0</v>
      </c>
      <c r="AV66" s="133">
        <f>IF(AND($B64=" ",$K66=AV$3),$O66,0)</f>
        <v>0</v>
      </c>
      <c r="AW66" s="133">
        <f>IF(AND($B64=" ",$K66=AW$3),$O66,0)</f>
        <v>0</v>
      </c>
      <c r="AX66" s="133">
        <f>IF(AND($B64=" ",$K66=AX$3),$O66,0)</f>
        <v>0</v>
      </c>
      <c r="AY66" s="135">
        <f>IF(AND($B64=" ",$K66=AY$3),$O66,0)</f>
        <v>0</v>
      </c>
      <c r="AZ66" s="136">
        <f>IF(AND($B64=" ",$K66=AZ$3),$O66,0)</f>
        <v>0</v>
      </c>
      <c r="BA66" s="136">
        <f>IF(AND($B64=" ",$K66=BA$3),$O66,0)</f>
        <v>0</v>
      </c>
      <c r="BB66" s="136">
        <f>IF(AND($B64=" ",$K66=BB$3),$O66,0)</f>
        <v>0</v>
      </c>
      <c r="BC66" s="137">
        <f>IF(AND($B64=" ",$K66=BC$3),$O66,0)</f>
        <v>0</v>
      </c>
      <c r="BD66" s="133">
        <f>IF(AND($B64=" ",$K66=BD$3),$O66,0)</f>
        <v>0</v>
      </c>
      <c r="BE66" s="134">
        <f>IF(AND($B64=" ",$K66=BE$3),$O66,0)</f>
        <v>0</v>
      </c>
      <c r="BF66" s="132">
        <f>IF($K66=BF$3,IF($C66="X",0,$O66),0)</f>
        <v>0</v>
      </c>
      <c r="BG66" s="281">
        <f>IF($K66=BG$3,IF($C66="X",0,$O66),0)</f>
        <v>0</v>
      </c>
      <c r="BH66" s="133">
        <f>IF($K66=BH$3,IF($C66="X",0,$O66),0)</f>
        <v>0</v>
      </c>
      <c r="BI66" s="133">
        <f>IF($K66=BI$3,IF($C66="X",0,$O66),0)</f>
        <v>0</v>
      </c>
      <c r="BJ66" s="133">
        <f>IF($K66=BJ$3,IF($C66="X",0,$O66),0)</f>
        <v>0</v>
      </c>
      <c r="BK66" s="133">
        <f>IF($K66=BK$3,IF($C66="X",0,$O66),0)</f>
        <v>0</v>
      </c>
      <c r="BL66" s="133">
        <f>IF($K66=BL$3,IF($C66="X",0,$O66),0)</f>
        <v>0</v>
      </c>
      <c r="BM66" s="135">
        <f>IF($K66=BM$3,IF($C66="X",0,$O66),0)</f>
        <v>0</v>
      </c>
      <c r="BN66" s="136">
        <f>IF($K66=BN$3,IF($C66="X",0,$O66),0)</f>
        <v>0</v>
      </c>
      <c r="BO66" s="136">
        <f>IF($K66=BO$3,IF($C66="X",0,$O66),0)</f>
        <v>0</v>
      </c>
      <c r="BP66" s="136">
        <f>IF($K66=BP$3,IF($C66="X",0,$O66),0)</f>
        <v>0</v>
      </c>
      <c r="BQ66" s="137">
        <f>IF($K66=BQ$3,IF($C66="X",0,$O66),0)</f>
        <v>0</v>
      </c>
      <c r="BR66" s="134">
        <f>IF($K66=BR$3,IF($C66="X",0,$O66),0)</f>
        <v>0</v>
      </c>
      <c r="BS66" s="282"/>
      <c r="BT66" s="283"/>
      <c r="BU66" s="140"/>
      <c r="BV66" s="283"/>
      <c r="BW66" s="140"/>
      <c r="BX66" s="140"/>
      <c r="BY66" s="140"/>
      <c r="BZ66" s="283"/>
      <c r="CA66" s="140"/>
      <c r="CB66" s="140"/>
      <c r="CC66" s="140"/>
      <c r="CD66" s="141"/>
      <c r="CE66" s="142"/>
      <c r="CF66" s="284">
        <f>IF(CF$3=$K66,IF($C66="W",1,IF($C66="1/2W",0.5,0)),0)</f>
        <v>0</v>
      </c>
      <c r="CG66" s="285">
        <f>IF(CF$3=$K66,IF($C66="L",1,IF($C66="1/2L",0.5,0)),0)</f>
        <v>0</v>
      </c>
      <c r="CH66" s="285">
        <f>IF(CH$3=$K66,IF($C66="W",1,IF($C66="1/2W",0.5,0)),0)</f>
        <v>0</v>
      </c>
      <c r="CI66" s="285">
        <f>IF(CH$3=$K66,IF($C66="L",1,IF($C66="1/2L",0.5,0)),0)</f>
        <v>0</v>
      </c>
      <c r="CJ66" s="285">
        <f>IF(CJ$3=$K66,IF($C66="W",1,IF($C66="1/2W",0.5,0)),0)</f>
        <v>0</v>
      </c>
      <c r="CK66" s="285">
        <f>IF(CJ$3=$K66,IF($C66="L",1,IF($C66="1/2L",0.5,0)),0)</f>
        <v>0</v>
      </c>
      <c r="CL66" s="285">
        <f>IF(CL$3=$K66,IF($C66="W",1,IF($C66="1/2W",0.5,0)),0)</f>
        <v>0</v>
      </c>
      <c r="CM66" s="285">
        <f>IF(CL$3=$K66,IF($C66="L",1,IF($C66="1/2L",0.5,0)),0)</f>
        <v>0</v>
      </c>
      <c r="CN66" s="285">
        <f>IF(CN$3=$K66,IF($C66="W",1,IF($C66="1/2W",0.5,0)),0)</f>
        <v>0</v>
      </c>
      <c r="CO66" s="285">
        <f>IF(CN$3=$K66,IF($C66="L",1,IF($C66="1/2L",0.5,0)),0)</f>
        <v>0</v>
      </c>
      <c r="CP66" s="285">
        <f>IF(CP$3=$K66,IF($C66="W",1,IF($C66="1/2W",0.5,0)),0)</f>
        <v>0</v>
      </c>
      <c r="CQ66" s="285">
        <f>IF(CP$3=$K66,IF($C66="L",1,IF($C66="1/2L",0.5,0)),0)</f>
        <v>0</v>
      </c>
      <c r="CR66" s="285">
        <f>IF(CR$3=$K66,IF($C66="W",1,IF($C66="1/2W",0.5,0)),0)</f>
        <v>0</v>
      </c>
      <c r="CS66" s="285">
        <f>IF(CR$3=$K66,IF($C66="L",1,IF($C66="1/2L",0.5,0)),0)</f>
        <v>0</v>
      </c>
      <c r="CT66" s="145">
        <f>IF(CT$3=$K66,IF($C66="W",1,IF($C66="1/2W",0.5,0)),0)</f>
        <v>0</v>
      </c>
      <c r="CU66" s="146">
        <f>IF(CT$3=$K66,IF($C66="L",1,IF($C66="1/2L",0.5,0)),0)</f>
        <v>0</v>
      </c>
      <c r="CV66" s="146">
        <f>IF(CV$3=$K66,IF($C66="W",1,IF($C66="1/2W",0.5,0)),0)</f>
        <v>0</v>
      </c>
      <c r="CW66" s="146">
        <f>IF(CV$3=$K66,IF($C66="L",1,IF($C66="1/2L",0.5,0)),0)</f>
        <v>0</v>
      </c>
      <c r="CX66" s="146">
        <f>IF(CX$3=$K66,IF($C66="W",1,IF($C66="1/2W",0.5,0)),0)</f>
        <v>0</v>
      </c>
      <c r="CY66" s="146">
        <f>IF(CX$3=$K66,IF($C66="L",1,IF($C66="1/2L",0.5,0)),0)</f>
        <v>0</v>
      </c>
      <c r="CZ66" s="146">
        <f>IF(CZ$3=$K66,IF($C66="W",1,IF($C66="1/2W",0.5,0)),0)</f>
        <v>0</v>
      </c>
      <c r="DA66" s="146">
        <f>IF(CZ$3=$K66,IF($C66="L",1,IF($C66="1/2L",0.5,0)),0)</f>
        <v>0</v>
      </c>
      <c r="DB66" s="146">
        <f>IF(DB$3=$K66,IF($C66="W",1,IF($C66="1/2W",0.5,0)),0)</f>
        <v>0</v>
      </c>
      <c r="DC66" s="146">
        <f>IF(DB$3=$K66,IF($C66="L",1,IF($C66="1/2L",0.5,0)),0)</f>
        <v>0</v>
      </c>
      <c r="DD66" s="146">
        <f>IF(DD$3=$K66,IF($C66="W",1,IF($C66="1/2W",0.5,0)),0)</f>
        <v>0</v>
      </c>
      <c r="DE66" s="147">
        <f>IF(DD$3=$K66,IF($C66="L",1,IF($C66="1/2L",0.5,0)),0)</f>
        <v>0</v>
      </c>
      <c r="DF66" s="143">
        <f>IF(AND(L66&lt;DF$3,$C66="W"),1+DF65,DF65)</f>
        <v>5</v>
      </c>
      <c r="DG66" s="133">
        <f>IF(DF66&gt;DF65,L66+DG65,DG65)</f>
        <v>6.558</v>
      </c>
      <c r="DH66" s="146">
        <f>IF(AND(L66&gt;DH$3,$C66="W"),1+DH65,0+DH65)</f>
        <v>1</v>
      </c>
      <c r="DI66" s="133">
        <f>IF(DH66&gt;DH65,L66+DI65,DI65)</f>
        <v>4.33</v>
      </c>
      <c r="DJ66" t="s" s="304">
        <f>IF($D64="","",$D64)</f>
        <v>101</v>
      </c>
      <c r="DK66" s="286"/>
    </row>
    <row r="67" ht="14.55" customHeight="1">
      <c r="A67" s="171">
        <f>$A64+1</f>
        <v>22</v>
      </c>
      <c r="B67" t="s" s="172">
        <v>50</v>
      </c>
      <c r="C67" t="s" s="173">
        <v>51</v>
      </c>
      <c r="D67" t="s" s="305">
        <f>IF(G67="","",$D64)</f>
        <v>101</v>
      </c>
      <c r="E67" t="s" s="175">
        <v>111</v>
      </c>
      <c r="F67" t="s" s="176">
        <f>IF(G67="","",IF(OR(AND($C67&lt;&gt;" ",$C68=" "),AND($C68&lt;&gt;" ",$C67=" "),AND(L69&gt;0,OR(AND($C69&lt;&gt;" ",OR($C67=" ",$C68=" ")),AND($C69=" ",OR($C67&lt;&gt;" ",$C68&lt;&gt;" "))))),IF(SUM(F$4:F66)=0,1,LARGE(F$4:F66,1)+1),IF(MONTH(G67)=MONTH(TODAY()),IF(AND(DAY(G67)&lt;DAY(TODAY()),$B67=" "),IF(SUM(F$4:F66)=0,1,LARGE(F$4:F66,1)+1),IF($B67=" ",IF(AND(DAY(G67)=DAY(TODAY()),HOUR(G67)&lt;=HOUR(NOW())+1),IF(AND(HOUR(G67)+2&lt;=HOUR(NOW()),DAY(G67)&lt;=DAY(TODAY()),MINUTE(G67)&lt;=MINUTE(NOW())),IF(SUM(F$4:F66)=0,1,LARGE(F$4:F66,1)+1),IF(OR(MINUTE(G67)&lt;=MINUTE(NOW()),HOUR(G67)&lt;=HOUR(NOW())),"!!!","")),""),"")),"")))</f>
      </c>
      <c r="G67" s="177">
        <v>44943.270833333336</v>
      </c>
      <c r="H67" t="s" s="178">
        <v>112</v>
      </c>
      <c r="I67" s="298">
        <v>2</v>
      </c>
      <c r="J67" s="180"/>
      <c r="K67" t="s" s="181">
        <v>37</v>
      </c>
      <c r="L67" s="182">
        <v>1.83</v>
      </c>
      <c r="M67" s="183"/>
      <c r="N67" s="184">
        <v>1</v>
      </c>
      <c r="O67" s="185">
        <f>IF(OR(AE67="",AE68=""),"",ROUND(IF(L69&gt;0,IF(M67&gt;0,M67,IF(M68&gt;0,ROUND((M68*AE67)/AE68,IF(N67=0,2,IF(N67=0.1,1,0))),ROUND((M69*AE67)/AE69,IF(N67=0,2,IF(N67=0.1,1,0))))),IF(M67&gt;0,M67,ROUND((M68*AE67)/AE68,IF(N67=0,2,IF(N67=0.1,1,0))))),2))</f>
        <v>5</v>
      </c>
      <c r="P67" s="186">
        <f>IF(OR(L67="",O67=""),"",IF($C67="1/2W",O67/2+O67/2*L67,IF($C67="1/2L",O67/2,IF(I67="Lay",(O67*(L67/(L67-1))-O67)*(1-_xlfn.XLOOKUP(K67,'Janeiro 2023 - Valor Real'!A3:A15,'Janeiro 2023 - Valor Real'!C3:C15,0))+O67,(O67*L67-O67)*(1-_xlfn.XLOOKUP(K67,'Janeiro 2023 - Valor Real'!A3:A15,'Janeiro 2023 - Valor Real'!C3:C15,0))+O67))))</f>
        <v>9.15</v>
      </c>
      <c r="Q67" s="187">
        <v>2</v>
      </c>
      <c r="R67" s="188">
        <v>0</v>
      </c>
      <c r="S67" s="189">
        <f>IF($B67="Anulado",0,ROUND(IF(OR($B67="LOSS",$B67="OK"),IF(OR($C67="W",$C67="1/2W",$C67="1/2L"),P67-O67,IF($C67="L",-O67,0))+IF(OR($C68="W",$C68="1/2W",$C68="1/2L"),P68-O68,IF($C68="L",-O68,0))+IF(OR($C69="W",$C69="1/2W",$C69="1/2L"),P69-O69,IF($C69="L",-O69,0)),IF(AND(OR($C67="W",$C67="1/2W",$C67="1/2L"),C68="W"),P67+P68-SUM(O67:O69)+_xlfn.XLOOKUP("X",C67:C69,O67:O69,0),IF(AND(C67=TRUE,C69="W"),P67+P69-SUM(O67:O69),IF(AND(C68="W",C69="W"),P68+P69-SUM(O67:O69)+_xlfn.XLOOKUP("X",C67:C69,O67:O69,0),IF(L69&gt;0,IF(OR($C67="W",$C67="1/2W",$C67="1/2L"),P67-SUM(O67:O69)+_xlfn.XLOOKUP("X",C67:C69,O67:O69,0),IF(OR($C67="W",$C67="1/2W",$C67="1/2L"),P68-SUM(O67:O69)+_xlfn.XLOOKUP("X",C67:C69,O67:O69,0),IF(OR($C67="W",$C67="1/2W",$C67="1/2L"),P69-SUM(O67:O69)+_xlfn.XLOOKUP("X",C67:C69,O67:O69,0),IF(SUM(P67:P69)/3-SUM(O67:O69)+_xlfn.XLOOKUP("X",C67:C69,O67:O69,0)&gt;0,SUM(P67:P69)/3-SUM(O67:O69)+_xlfn.XLOOKUP("X",C67:C69,O67:O69,0),LARGE(P67:P69,1)-SUM(O67:O69))))),IF(OR($C67="W",$C67="1/2W",$C67="1/2L"),P67-SUM(O67:O68)+_xlfn.XLOOKUP("X",C67:C69,O67:O69,0),IF(OR($C67="W",$C67="1/2W",$C67="1/2L"),P68-SUM(O67:O68)+_xlfn.XLOOKUP("X",C67:C69,O67:O69,0),SUM(P67:P68)/2-SUM(O67:O68)+_xlfn.XLOOKUP("X",C67:C69,O67:O69,0)))))))),2))</f>
        <v>0.51</v>
      </c>
      <c r="T67" s="190">
        <f>IF(S67=0,0,S67/SUM(O67:O69))</f>
        <v>0.0588235294117647</v>
      </c>
      <c r="U67" s="191">
        <f>IF($D67=$D64,IF(OR($B67="LOSS",$B67="OK",$B67="Anulada"),S67,0)+U64,IF(OR($B67="LOSS",$B67="OK",$B67="Anulada"),S67,0))</f>
        <v>10.55</v>
      </c>
      <c r="V67" s="191">
        <f>IF($D67="",0,IF($D67=$D64,IF($B67=" ",IF(I69="",IF(OR(AND(I67="DNB1",I68="DNB2"),AND(OR(I67="DNB1",I67="DNB2"),J68=0),AND(OR(I68="DNB1",I68="DNB2"),J67=0),AND(I67="DNB2",I68="DNB1"),AND(IF(J67=0,(J67+1)/ROUND(J67+1,0),J67/ROUND(J67,0))=1,IF(J68=0,(J68+1)/ROUND(IF(J68="",0,J68)+1,0),IF(J68="",0,J68)/ROUND(IF(J68="",1,J68),0))=1,OR(J67&lt;&gt;""),J68&lt;&gt;"")),0,IF(S67&lt;0,IF(I69="",SMALL(P67:P68,1)-SUM(O67:O68),0),SMALL(P67:P68,1)-SUM(O67:O68))),IF(S67&lt;0,IF(I69="",SMALL(P67:P69,1)-SUM(O67:O69),0),LARGE(P67:P69,1)-SUM(O67:O69))),S67)+V64,IF(I69="",IF(OR(AND(I67="DNB1",I68="DNB2"),AND(OR(I67="DNB1",I67="DNB2"),J68=0),AND(OR(I68="DNB1",I68="DNB2"),J67=0),AND(I67="DNB2",I68="DNB1"),AND(IF(J67=0,(J67+1)/ROUND(J67+1,0),J67/ROUND(J67,0))=1,IF(J68=0,(IF(J68="",0,J68)+1)/ROUND(IF(J68="",0,J68)+1,0),IF(J68="",0,J68)/ROUND(IF(J68="",0,J68)+1,0))=1,OR(J67&lt;&gt;""),J68&lt;&gt;"")),0,IF(S67&lt;0,IF(I69="",SMALL(P67:P68,1)-SUM(O67:O68),0),SMALL(P67:P69,1)-SUM(O67:O69))),IF(S67&lt;0,IF(I69="",SMALL(P67:P69,1)-SUM(O67:O69),0),LARGE(P67:P69,1)-SUM(O67:O69)))))</f>
        <v>10.552</v>
      </c>
      <c r="W67" s="191">
        <f>IF($D67=$D64,IF(S67&lt;0,IF(I69="",S67,0),S67)+W64,S67)</f>
        <v>10.55</v>
      </c>
      <c r="X67" t="s" s="192">
        <f>IF(OR(SUM(R67:R69)=0,V67=W67),ROUND(IF(W67=0,0,W67/Y67)*100,2)&amp;"%",ROUND(IF(V67=0,0,V67/Y67)*100,2)&amp;"% a "&amp;ROUND(IF(W67=0,0,W67/Y67)*100,2)&amp;"%")</f>
        <v>113</v>
      </c>
      <c r="Y67" s="193">
        <f>IF($D67=$D64,Y64+SUM(O67:O69),SUM(O67:O69))</f>
        <v>197.41</v>
      </c>
      <c r="Z67" s="191">
        <f>IF($B67=" ",SUM(O67:O69),0)+Z64</f>
        <v>0</v>
      </c>
      <c r="AA67" s="191">
        <f>IF(G67="","",IF($B67="Anulado",LARGE(P67:P69,1)-SUM(O67:O69)+AA64,AA64))</f>
        <v>0</v>
      </c>
      <c r="AB67" s="191">
        <f>IF($D67="","",AB64+S67)</f>
        <v>88.65000000000001</v>
      </c>
      <c r="AC67" s="194">
        <f>IF($D67="","",IF($B67=" ",IF(DAY(G67)=DAY(TODAY()),1+AC64,0+AC64),0+AC64))</f>
        <v>0</v>
      </c>
      <c r="AD67" s="195">
        <f>(((L68/(L68-1)-1)*(1-_xlfn.XLOOKUP(K68,'Janeiro 2023 - Valor Real'!A3:A15,'Janeiro 2023 - Valor Real'!C3:C15,0))+1))/(((L67-1)*(1-_xlfn.XLOOKUP(K67,'Janeiro 2023 - Valor Real'!A3:A15,'Janeiro 2023 - Valor Real'!C3:C15,0))+1)+((L68/(L68-1)-1)*(1-_xlfn.XLOOKUP(K68,'Janeiro 2023 - Valor Real'!A3:A15,'Janeiro 2023 - Valor Real'!C3:C15,0))+1))</f>
        <v>0.476644423260248</v>
      </c>
      <c r="AE67" s="196">
        <f>IF(L67="","",IF(L69&gt;0,(SUM(((L67-1)*(1-_xlfn.XLOOKUP(K67,'Janeiro 2023 - Valor Real'!A3:A15,'Janeiro 2023 - Valor Real'!C3:C15,0))+1),((L68-1)*(1-_xlfn.XLOOKUP(K68,'Janeiro 2023 - Valor Real'!A3:A15,'Janeiro 2023 - Valor Real'!C3:C15,0))+1),((L69-1)*(1-_xlfn.XLOOKUP(K69,'Janeiro 2023 - Valor Real'!A3:A15,'Janeiro 2023 - Valor Real'!C3:C15,0))+1))/((L67-1)*(1-_xlfn.XLOOKUP(K67,'Janeiro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Real'!C3:C15,0))+1))/((L67-1)*(1-_xlfn.XLOOKUP(K67,'Janeiro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Real'!C3:C15,0))+1))/((L68-1)*(1-_xlfn.XLOOKUP(K68,'Janeiro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Real'!C3:C15,0))+1))/((L69-1)*(1-_xlfn.XLOOKUP(K69,'Janeiro 2023 - Valor Real'!A3:A15,'Janeiro 2023 - Valor Real'!C3:C15,0))+1)),IF(I67="Lay",IF(I68="Lay",((L68/(L68-1)-1)*(1-_xlfn.XLOOKUP(K68,'Janeiro 2023 - Valor Real'!A3:A15,'Janeiro 2023 - Valor Real'!C3:C15,0))+1)/(((L68/(L68-1)-1)*(1-_xlfn.XLOOKUP(K68,'Janeiro 2023 - Valor Real'!A3:A15,'Janeiro 2023 - Valor Real'!C3:C15,0))+1)+((L67/(L67-1)-1)*(1-_xlfn.XLOOKUP(K67,'Janeiro 2023 - Valor Real'!A3:A15,'Janeiro 2023 - Valor Real'!C3:C15,0))+1)),((L68-1)*(1-_xlfn.XLOOKUP(K68,'Janeiro 2023 - Valor Real'!A3:A15,'Janeiro 2023 - Valor Real'!C3:C15,0))+1)/(((L68-1)*(1-_xlfn.XLOOKUP(K68,'Janeiro 2023 - Valor Real'!A3:A15,'Janeiro 2023 - Valor Real'!C3:C15,0))+1)+((L67/(L67-1)-1)*(1-_xlfn.XLOOKUP(K67,'Janeiro 2023 - Valor Real'!A3:A15,'Janeiro 2023 - Valor Real'!C3:C15,0))+1))),IF(I68="Lay",(((L68/(L68-1)-1)*(1-_xlfn.XLOOKUP(K68,'Janeiro 2023 - Valor Real'!A3:A15,'Janeiro 2023 - Valor Real'!C3:C15,0))+1))/(((L67-1)*(1-_xlfn.XLOOKUP(K67,'Janeiro 2023 - Valor Real'!A3:A15,'Janeiro 2023 - Valor Real'!C3:C15,0))+1)+((L68/(L68-1)-1)*(1-_xlfn.XLOOKUP(K68,'Janeiro 2023 - Valor Real'!A3:A15,'Janeiro 2023 - Valor Real'!C3:C15,0))+1)),((L68-1)*(1-_xlfn.XLOOKUP(K68,'Janeiro 2023 - Valor Real'!A3:A15,'Janeiro 2023 - Valor Real'!C3:C15,0))+1)/(((L68-1)*(1-_xlfn.XLOOKUP(K68,'Janeiro 2023 - Valor Real'!A3:A15,'Janeiro 2023 - Valor Real'!C3:C15,0))+1)+((L67-1)*(1-_xlfn.XLOOKUP(K67,'Janeiro 2023 - Valor Real'!A3:A15,'Janeiro 2023 - Valor Real'!C3:C15,0))+1))))))</f>
        <v>0.577367205542725</v>
      </c>
      <c r="AF67" s="197">
        <f>IF($K67=AF$3,ROUND(IF(OR($C67="W",$C67="1/2W",$C67="1/2L"),$P67-$O67,IF($C67="X",0,-$O67)),2),0)</f>
        <v>-5</v>
      </c>
      <c r="AG67" s="198">
        <f>IF($K67=AG$3,ROUND(IF(OR($C67="W",$C67="1/2W",$C67="1/2L"),$P67-$O67,IF($C67="X",0,-$O67)),2),0)</f>
        <v>0</v>
      </c>
      <c r="AH67" s="198">
        <f>IF($K67=AH$3,ROUND(IF(OR($C67="W",$C67="1/2W",$C67="1/2L"),$P67-$O67,IF($C67="X",0,-$O67)),2),0)</f>
        <v>0</v>
      </c>
      <c r="AI67" s="198">
        <f>IF($K67=AI$3,ROUND(IF(OR($C67="W",$C67="1/2W",$C67="1/2L"),$P67-$O67,IF($C67="X",0,-$O67)),2),0)</f>
        <v>0</v>
      </c>
      <c r="AJ67" s="198">
        <f>IF($K67=AJ$3,ROUND(IF(OR($C67="W",$C67="1/2W",$C67="1/2L"),$P67-$O67,IF($C67="X",0,-$O67)),2),0)</f>
        <v>0</v>
      </c>
      <c r="AK67" s="198">
        <f>IF($K67=AK$3,ROUND(IF(OR($C67="W",$C67="1/2W",$C67="1/2L"),$P67-$O67,IF($C67="X",0,-$O67)),2),0)</f>
        <v>0</v>
      </c>
      <c r="AL67" s="198">
        <f>IF($K67=AL$3,ROUND(IF(OR($C67="W",$C67="1/2W",$C67="1/2L"),$P67-$O67,IF($C67="X",0,-$O67)),2),0)</f>
        <v>0</v>
      </c>
      <c r="AM67" s="198">
        <f>IF($K67=AM$3,ROUND(IF(OR($C67="W",$C67="1/2W",$C67="1/2L"),$P67-$O67,IF($C67="X",0,-$O67)),2),0)</f>
        <v>0</v>
      </c>
      <c r="AN67" s="198">
        <f>IF($K67=AN$3,ROUND(IF(OR($C67="W",$C67="1/2W",$C67="1/2L"),$P67-$O67,IF($C67="X",0,-$O67)),2),0)</f>
        <v>0</v>
      </c>
      <c r="AO67" s="198">
        <f>IF($K67=AO$3,ROUND(IF(OR($C67="W",$C67="1/2W",$C67="1/2L"),$P67-$O67,IF($C67="X",0,-$O67)),2),0)</f>
        <v>0</v>
      </c>
      <c r="AP67" s="198">
        <f>IF($K67=AP$3,ROUND(IF(OR($C67="W",$C67="1/2W",$C67="1/2L"),$P67-$O67,IF($C67="X",0,-$O67)),2),0)</f>
        <v>0</v>
      </c>
      <c r="AQ67" s="198">
        <f>IF($K67=AQ$3,ROUND(IF(OR($C67="W",$C67="1/2W",$C67="1/2L"),$P67-$O67,IF($C67="X",0,-$O67)),2),0)</f>
        <v>0</v>
      </c>
      <c r="AR67" s="199">
        <f>IF($K67=AR$3,ROUND(IF(OR($C67="W",$C67="1/2W",$C67="1/2L"),$P67-$O67,IF($C67="X",0,-$O67)),2),0)</f>
        <v>0</v>
      </c>
      <c r="AS67" s="197">
        <f>IF(AND($B67=" ",$K67=AS$3),$O67,0)</f>
        <v>0</v>
      </c>
      <c r="AT67" s="198">
        <f>IF(AND($B67=" ",$K67=AT$3),$O67,0)</f>
        <v>0</v>
      </c>
      <c r="AU67" s="198">
        <f>IF(AND($B67=" ",$K67=AU$3),$O67,0)</f>
        <v>0</v>
      </c>
      <c r="AV67" s="198">
        <f>IF(AND($B67=" ",$K67=AV$3),$O67,0)</f>
        <v>0</v>
      </c>
      <c r="AW67" s="198">
        <f>IF(AND($B67=" ",$K67=AW$3),$O67,0)</f>
        <v>0</v>
      </c>
      <c r="AX67" s="198">
        <f>IF(AND($B67=" ",$K67=AX$3),$O67,0)</f>
        <v>0</v>
      </c>
      <c r="AY67" s="200">
        <f>IF(AND($B67=" ",$K67=AY$3),$O67,0)</f>
        <v>0</v>
      </c>
      <c r="AZ67" s="201">
        <f>IF(AND($B67=" ",$K67=AZ$3),$O67,0)</f>
        <v>0</v>
      </c>
      <c r="BA67" s="201">
        <f>IF(AND($B67=" ",$K67=BA$3),$O67,0)</f>
        <v>0</v>
      </c>
      <c r="BB67" s="201">
        <f>IF(AND($B67=" ",$K67=BB$3),$O67,0)</f>
        <v>0</v>
      </c>
      <c r="BC67" s="202">
        <f>IF(AND($B67=" ",$K67=BC$3),$O67,0)</f>
        <v>0</v>
      </c>
      <c r="BD67" s="198">
        <f>IF(AND($B67=" ",$K67=BD$3),$O67,0)</f>
        <v>0</v>
      </c>
      <c r="BE67" s="199">
        <f>IF(AND($B67=" ",$K67=BE$3),$O67,0)</f>
        <v>0</v>
      </c>
      <c r="BF67" s="203">
        <f>IF($K67=BF$3,IF($C67="X",0,$O67),0)</f>
        <v>5</v>
      </c>
      <c r="BG67" s="198">
        <f>IF($K67=BG$3,IF($C67="X",0,$O67),0)</f>
        <v>0</v>
      </c>
      <c r="BH67" s="198">
        <f>IF($K67=BH$3,IF($C67="X",0,$O67),0)</f>
        <v>0</v>
      </c>
      <c r="BI67" s="198">
        <f>IF($K67=BI$3,IF($C67="X",0,$O67),0)</f>
        <v>0</v>
      </c>
      <c r="BJ67" s="198">
        <f>IF($K67=BJ$3,IF($C67="X",0,$O67),0)</f>
        <v>0</v>
      </c>
      <c r="BK67" s="198">
        <f>IF($K67=BK$3,IF($C67="X",0,$O67),0)</f>
        <v>0</v>
      </c>
      <c r="BL67" s="198">
        <f>IF($K67=BL$3,IF($C67="X",0,$O67),0)</f>
        <v>0</v>
      </c>
      <c r="BM67" s="200">
        <f>IF($K67=BM$3,IF($C67="X",0,$O67),0)</f>
        <v>0</v>
      </c>
      <c r="BN67" s="201">
        <f>IF($K67=BN$3,IF($C67="X",0,$O67),0)</f>
        <v>0</v>
      </c>
      <c r="BO67" s="201">
        <f>IF($K67=BO$3,IF($C67="X",0,$O67),0)</f>
        <v>0</v>
      </c>
      <c r="BP67" s="201">
        <f>IF($K67=BP$3,IF($C67="X",0,$O67),0)</f>
        <v>0</v>
      </c>
      <c r="BQ67" s="202">
        <f>IF($K67=BQ$3,IF($C67="X",0,$O67),0)</f>
        <v>0</v>
      </c>
      <c r="BR67" s="199">
        <f>IF($K67=BR$3,IF($C67="X",0,$O67),0)</f>
        <v>0</v>
      </c>
      <c r="BS67" s="204">
        <f>IF($B67="LOSS",IF(AND($K67=BS$3,$C67="L"),-$O67,0)+IF(AND($K68=BS$3,$C68="L"),-$O68,0)+IF(AND($K69=BS$3,$C69="L"),-$O69,0),IF(OR(AND($K67=BS$3,OR($C67="W",$C67="1/2W")),AND($K68=BS$3,OR($C68="W",$C68="1/2W")),AND($K69=BS$3,OR($C69="W",$C69="1/2W"))),$S67,0))</f>
        <v>0</v>
      </c>
      <c r="BT67" s="201">
        <f>IF($B67="LOSS",IF(AND($K67=BT$3,$C67="L"),-$O67,0)+IF(AND($K68=BT$3,$C68="L"),-$O68,0)+IF(AND($K68=BT$3,$C69="L"),-$O69,0),IF(OR(AND($K68=BT$3,OR($C67="W",$C67="1/2W")),AND($K68=BT$3,OR($C68="W",$C68="1/2W")),AND($K68=BT$3,OR($C69="W",$C69="1/2W"))),$S67,0))</f>
        <v>0</v>
      </c>
      <c r="BU67" s="201">
        <f>IF($B67="LOSS",IF(AND($K67=BU$3,$C67="L"),-$O67,0)+IF(AND($K68=BU$3,$C68="L"),-$O68,0)+IF(AND($K68=BU$3,$C69="L"),-$O69,0),IF(OR(AND($K68=BU$3,OR($C67="W",$C67="1/2W")),AND($K68=BU$3,OR($C68="W",$C68="1/2W")),AND($K68=BU$3,OR($C69="W",$C69="1/2W"))),$S67,0))</f>
        <v>0</v>
      </c>
      <c r="BV67" s="201">
        <f>IF($B67="LOSS",IF(AND($K67=BV$3,$C67="L"),-$O67,0)+IF(AND($K68=BV$3,$C68="L"),-$O68,0)+IF(AND($K69=BV$3,$C69="L"),-$O69,0),IF(OR(AND($K67=BV$3,OR($C67="W",$C67="1/2W")),AND($K68=BV$3,OR($C68="W",$C68="1/2W")),AND($K69=BV$3,OR($C69="W",$C69="1/2W"))),$S67,0))</f>
        <v>0.51</v>
      </c>
      <c r="BW67" s="201">
        <f>IF($B67="LOSS",IF(AND($K67=BW$3,$C67="L"),-$O67,0)+IF(AND($K68=BW$3,$C68="L"),-$O68,0)+IF(AND($K69=BW$3,$C69="L"),-$O69,0),IF(OR(AND($K67=BW$3,OR($C67="W",$C67="1/2W")),AND($K68=BW$3,OR($C68="W",$C68="1/2W")),AND($K69=BW$3,OR($C69="W",$C69="1/2W"))),$S67,0))</f>
        <v>0</v>
      </c>
      <c r="BX67" s="201">
        <f>IF($B67="LOSS",IF(AND($K67=BX$3,$C67="L"),-$O67,0)+IF(AND($K68=BX$3,$C68="L"),-$O68,0)+IF(AND($K69=BX$3,$C69="L"),-$O69,0),IF(OR(AND($K67=BX$3,OR($C67="W",$C67="1/2W")),AND($K68=BX$3,OR($C68="W",$C68="1/2W")),AND($K69=BX$3,OR($C69="W",$C69="1/2W"))),$S67,0))</f>
        <v>0</v>
      </c>
      <c r="BY67" s="201">
        <f>IF($B67="LOSS",IF(AND($K67=BY$3,$C67="L"),-$O67,0)+IF(AND($K68=BY$3,$C68="L"),-$O68,0)+IF(AND($K69=BY$3,$C69="L"),-$O69,0),IF(OR(AND($K67=BY$3,OR($C67="W",$C67="1/2W")),AND($K68=BY$3,OR($C68="W",$C68="1/2W")),AND($K69=BY$3,OR($C69="W",$C69="1/2W"))),$S67,0))</f>
        <v>0</v>
      </c>
      <c r="BZ67" s="205">
        <f>IF($B67="LOSS",IF(AND($K67=BZ$3,$C67="L"),-$O67,0)+IF(AND($K68=BZ$3,$C68="L"),-$O68,0)+IF(AND($K69=BZ$3,$C69="L"),-$O69,0),IF(OR(AND($K67=BZ$3,OR($C67="W",$C67="1/2W")),AND($K68=BZ$3,OR($C68="W",$C68="1/2W")),AND($K69=BZ$3,OR($C69="W",$C69="1/2W"))),$S67,0))</f>
        <v>0</v>
      </c>
      <c r="CA67" s="205">
        <f>IF($B67="LOSS",IF(AND($K67=CA$3,$C67="L"),-$O67,0)+IF(AND($K68=CA$3,$C68="L"),-$O68,0)+IF(AND($K69=CA$3,$C69="L"),-$O69,0),IF(OR(AND($K67=CA$3,OR($C67="W",$C67="1/2W")),AND($K68=CA$3,OR($C68="W",$C68="1/2W")),AND($K69=CA$3,OR($C69="W",$C69="1/2W"))),$S67,0))</f>
        <v>0</v>
      </c>
      <c r="CB67" s="205">
        <f>IF($B67="LOSS",IF(AND($K67=CB$3,$C67="L"),-$O67,0)+IF(AND($K68=CB$3,$C68="L"),-$O68,0)+IF(AND($K69=CB$3,$C69="L"),-$O69,0),IF(OR(AND($K67=CB$3,OR($C67="W",$C67="1/2W")),AND($K68=CB$3,OR($C68="W",$C68="1/2W")),AND($K69=CB$3,OR($C69="W",$C69="1/2W"))),$S67,0))</f>
        <v>0</v>
      </c>
      <c r="CC67" s="205">
        <f>IF($B67="LOSS",IF(AND($K67=CC$3,$C67="L"),-$O67,0)+IF(AND($K68=CC$3,$C68="L"),-$O68,0)+IF(AND($K69=CC$3,$C69="L"),-$O69,0),IF(OR(AND($K67=CC$3,OR($C67="W",$C67="1/2W")),AND($K68=CC$3,OR($C68="W",$C68="1/2W")),AND($K69=CC$3,OR($C69="W",$C69="1/2W"))),$S67,0))</f>
        <v>0</v>
      </c>
      <c r="CD67" s="202">
        <f>IF($B67="LOSS",IF(AND($K67=CD$3,$C67="L"),-$O67,0)+IF(AND($K68=CD$3,$C68="L"),-$O68,0)+IF(AND($K69=CD$3,$C69="L"),-$O69,0),IF(OR(AND($K67=CD$3,OR($C67="W",$C67="1/2W")),AND($K68=CD$3,OR($C68="W",$C68="1/2W")),AND($K69=CD$3,OR($C69="W",$C69="1/2W"))),$S67,0))</f>
        <v>0</v>
      </c>
      <c r="CE67" s="199">
        <f>IF($B67="LOSS",IF(AND($K67=CE$3,$C67="L"),-$O67,0)+IF(AND($K68=CE$3,$C68="L"),-$O68,0)+IF(AND($K69=CE$3,$C69="L"),-$O69,0),IF(OR(AND($K67=CE$3,OR($C67="W",$C67="1/2W")),AND($K68=CE$3,OR($C68="W",$C68="1/2W")),AND($K69=CE$3,OR($C69="W",$C69="1/2W"))),$S67,0))</f>
        <v>0</v>
      </c>
      <c r="CF67" s="206">
        <f>IF(CF$3=$K67,IF($C67="W",1,IF($C67="1/2W",0.5,0)),0)</f>
        <v>0</v>
      </c>
      <c r="CG67" s="207">
        <f>IF(CF$3=$K67,IF($C67="L",1,IF($C67="1/2L",0.5,0)),0)</f>
        <v>1</v>
      </c>
      <c r="CH67" s="207">
        <f>IF(CH$3=$K67,IF($C67="W",1,IF($C67="1/2W",0.5,0)),0)</f>
        <v>0</v>
      </c>
      <c r="CI67" s="207">
        <f>IF(CH$3=$K67,IF($C67="L",1,IF($C67="1/2L",0.5,0)),0)</f>
        <v>0</v>
      </c>
      <c r="CJ67" s="207">
        <f>IF(CJ$3=$K67,IF($C67="W",1,IF($C67="1/2W",0.5,0)),0)</f>
        <v>0</v>
      </c>
      <c r="CK67" s="207">
        <f>IF(CJ$3=$K67,IF($C67="L",1,IF($C67="1/2L",0.5,0)),0)</f>
        <v>0</v>
      </c>
      <c r="CL67" s="207">
        <f>IF(CL$3=$K67,IF($C67="W",1,IF($C67="1/2W",0.5,0)),0)</f>
        <v>0</v>
      </c>
      <c r="CM67" s="207">
        <f>IF(CL$3=$K67,IF($C67="L",1,IF($C67="1/2L",0.5,0)),0)</f>
        <v>0</v>
      </c>
      <c r="CN67" s="207">
        <f>IF(CN$3=$K67,IF($C67="W",1,IF($C67="1/2W",0.5,0)),0)</f>
        <v>0</v>
      </c>
      <c r="CO67" s="207">
        <f>IF(CN$3=$K67,IF($C67="L",1,IF($C67="1/2L",0.5,0)),0)</f>
        <v>0</v>
      </c>
      <c r="CP67" s="207">
        <f>IF(CP$3=$K67,IF($C67="W",1,IF($C67="1/2W",0.5,0)),0)</f>
        <v>0</v>
      </c>
      <c r="CQ67" s="207">
        <f>IF(CP$3=$K67,IF($C67="L",1,IF($C67="1/2L",0.5,0)),0)</f>
        <v>0</v>
      </c>
      <c r="CR67" s="207">
        <f>IF(CR$3=$K67,IF($C67="W",1,IF($C67="1/2W",0.5,0)),0)</f>
        <v>0</v>
      </c>
      <c r="CS67" s="207">
        <f>IF(CR$3=$K67,IF($C67="L",1,IF($C67="1/2L",0.5,0)),0)</f>
        <v>0</v>
      </c>
      <c r="CT67" s="208">
        <f>IF(CT$3=$K67,IF($C67="W",1,IF($C67="1/2W",0.5,0)),0)</f>
        <v>0</v>
      </c>
      <c r="CU67" s="209">
        <f>IF(CT$3=$K67,IF($C67="L",1,IF($C67="1/2L",0.5,0)),0)</f>
        <v>0</v>
      </c>
      <c r="CV67" s="209">
        <f>IF(CV$3=$K67,IF($C67="W",1,IF($C67="1/2W",0.5,0)),0)</f>
        <v>0</v>
      </c>
      <c r="CW67" s="209">
        <f>IF(CV$3=$K67,IF($C67="L",1,IF($C67="1/2L",0.5,0)),0)</f>
        <v>0</v>
      </c>
      <c r="CX67" s="209">
        <f>IF(CX$3=$K67,IF($C67="W",1,IF($C67="1/2W",0.5,0)),0)</f>
        <v>0</v>
      </c>
      <c r="CY67" s="209">
        <f>IF(CX$3=$K67,IF($C67="L",1,IF($C67="1/2L",0.5,0)),0)</f>
        <v>0</v>
      </c>
      <c r="CZ67" s="209">
        <f>IF(CZ$3=$K67,IF($C67="W",1,IF($C67="1/2W",0.5,0)),0)</f>
        <v>0</v>
      </c>
      <c r="DA67" s="209">
        <f>IF(CZ$3=$K67,IF($C67="L",1,IF($C67="1/2L",0.5,0)),0)</f>
        <v>0</v>
      </c>
      <c r="DB67" s="209">
        <f>IF(DB$3=$K67,IF($C67="W",1,IF($C67="1/2W",0.5,0)),0)</f>
        <v>0</v>
      </c>
      <c r="DC67" s="209">
        <f>IF(DB$3=$K67,IF($C67="L",1,IF($C67="1/2L",0.5,0)),0)</f>
        <v>0</v>
      </c>
      <c r="DD67" s="209">
        <f>IF(DD$3=$K67,IF($C67="W",1,IF($C67="1/2W",0.5,0)),0)</f>
        <v>0</v>
      </c>
      <c r="DE67" s="210">
        <f>IF(DD$3=$K67,IF($C67="L",1,IF($C67="1/2L",0.5,0)),0)</f>
        <v>0</v>
      </c>
      <c r="DF67" s="211">
        <f>IF(AND(L67&lt;DF$3,$C67="W"),1+DF66,DF66)</f>
        <v>5</v>
      </c>
      <c r="DG67" s="198">
        <f>IF(DF67&gt;DF66,L67+DG66,DG66)</f>
        <v>6.558</v>
      </c>
      <c r="DH67" s="209">
        <f>IF(AND(L67&gt;DH$3,$C67="W"),1+DH66,0+DH66)</f>
        <v>1</v>
      </c>
      <c r="DI67" s="198">
        <f>IF(DH67&gt;DH66,L67+DI66,DI66)</f>
        <v>4.33</v>
      </c>
      <c r="DJ67" t="s" s="306">
        <f>IF($D67="","",$D67)</f>
        <v>101</v>
      </c>
      <c r="DK67" s="209">
        <f>IF(AND($B67=" ",$D67&lt;&gt;""),1,0)</f>
        <v>0</v>
      </c>
    </row>
    <row r="68" ht="14.55" customHeight="1">
      <c r="A68" s="107"/>
      <c r="B68" s="108"/>
      <c r="C68" t="s" s="213">
        <v>56</v>
      </c>
      <c r="D68" s="110"/>
      <c r="E68" s="111"/>
      <c r="F68" s="113"/>
      <c r="G68" s="214"/>
      <c r="H68" s="114"/>
      <c r="I68" s="299">
        <v>1</v>
      </c>
      <c r="J68" t="s" s="216">
        <f>IF(OR(I67="TO",I67="TU",I67="TO1",I67="TU1",I67="TO2",I67="TU2"),J67,IF(OR(I67="AH1",I67="AH2"),IF(OR(I68="AH1",I68="AH2"),-J67,IF(OR(I68="EH1",I68="EH2"),-J67+0.5,"")),IF(OR(I67="EH1",I67="EH2"),IF(OR(I68="AH1",I68="AH2"),-J67+0.5,IF(OR(I68="EH1",I68="EH2"),-J67+1,"")),IF(AND(OR(I67="DNB1",I67="DNB2"),OR(I68="AH1",I68="AH2")),0,IF(AND(I67="Not ScoreBoth",OR(I68="TO1",I68="TO2")),0.5,"")))))</f>
      </c>
      <c r="K68" t="s" s="217">
        <v>40</v>
      </c>
      <c r="L68" s="218">
        <v>2.5</v>
      </c>
      <c r="M68" s="219">
        <v>3.67</v>
      </c>
      <c r="N68" s="120"/>
      <c r="O68" s="220">
        <f>IF(OR(AE67="",AE68=""),"",ROUND(IF(L69&gt;0,IF(M68&gt;0,M68,IF(M67&gt;0,IF(N67=TRUE,ROUND((M67*AE68)/AE67,0),(M67*AE68)/AE67),IF(M68&gt;0,ROUND(M68,IF(N67=0,2,IF(N67=0.1,1,0))),IF(M69&gt;0,ROUND(O69*AE68/AE69,IF(N67=0,2,IF(N67=0.1,1,0))),0)))),IF(M68&gt;0,M68,ROUND((M67*AE68)/AE67,IF(N67=0,2,IF(N67=0.1,1,0))))),2))</f>
        <v>3.67</v>
      </c>
      <c r="P68" s="221">
        <f>IF(OR(L68="",O68=""),"",IF($C68="1/2W",O68/2+O68/2*L68,IF($C68="1/2L",O68/2,IF(I68="Lay",((O68*(L68/(L68-1)))-O68)*(1-_xlfn.XLOOKUP(K68,'Janeiro 2023 - Valor Real'!A3:A15,'Janeiro 2023 - Valor Real'!C3:C15,0))+O68,(O68*L68-O68)*(1-_xlfn.XLOOKUP(K68,'Janeiro 2023 - Valor Real'!A3:A15,'Janeiro 2023 - Valor Real'!C3:C15,0))+O68))))</f>
        <v>9.175000000000001</v>
      </c>
      <c r="Q68" s="222">
        <v>1</v>
      </c>
      <c r="R68" s="223">
        <v>0</v>
      </c>
      <c r="S68" s="125"/>
      <c r="T68" s="126"/>
      <c r="U68" s="126"/>
      <c r="V68" s="224"/>
      <c r="W68" s="126"/>
      <c r="X68" s="127"/>
      <c r="Y68" s="128"/>
      <c r="Z68" s="129"/>
      <c r="AA68" s="129"/>
      <c r="AB68" s="129"/>
      <c r="AC68" s="129"/>
      <c r="AD68" s="225">
        <f>(((L68/(L68-1)-1)*(1-_xlfn.XLOOKUP(K68,'Janeiro 2023 - Valor Real'!A3:A15,'Janeiro 2023 - Valor Real'!C3:C15,0))+1))</f>
        <v>1.66666666666667</v>
      </c>
      <c r="AE68" s="226">
        <f>IF(L68="","",IF(L69&gt;0,(SUM(((L67-1)*(1-_xlfn.XLOOKUP(K67,'Janeiro 2023 - Valor Real'!A3:A15,'Janeiro 2023 - Valor Real'!C3:C15,0))+1),((L68-1)*(1-_xlfn.XLOOKUP(K68,'Janeiro 2023 - Valor Real'!A3:A15,'Janeiro 2023 - Valor Real'!C3:C15,0))+1),((L69-1)*(1-_xlfn.XLOOKUP(K69,'Janeiro 2023 - Valor Real'!A3:A15,'Janeiro 2023 - Valor Real'!C3:C15,0))+1))/((L68-1)*(1-_xlfn.XLOOKUP(K68,'Janeiro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Real'!C3:C15,0))+1))/((L67-1)*(1-_xlfn.XLOOKUP(K67,'Janeiro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Real'!C3:C15,0))+1))/((L68-1)*(1-_xlfn.XLOOKUP(K68,'Janeiro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Real'!C3:C15,0))+1))/((L69-1)*(1-_xlfn.XLOOKUP(K69,'Janeiro 2023 - Valor Real'!A3:A15,'Janeiro 2023 - Valor Real'!C3:C15,0))+1)),IF(I68="Lay",IF(I67="Lay",((L67/(L67-1)-1)*(1-_xlfn.XLOOKUP(K67,'Janeiro 2023 - Valor Real'!A3:A15,'Janeiro 2023 - Valor Real'!C3:C15,0))+1)/(((L67/(L67-1)-1)*(1-_xlfn.XLOOKUP(K67,'Janeiro 2023 - Valor Real'!A3:A15,'Janeiro 2023 - Valor Real'!C3:C15,0))+1)+((L68/(L68-1)-1)*(1-_xlfn.XLOOKUP(K68,'Janeiro 2023 - Valor Real'!A3:A15,'Janeiro 2023 - Valor Real'!C3:C15,0))+1)),((L67-1)*(1-_xlfn.XLOOKUP(K67,'Janeiro 2023 - Valor Real'!A3:A15,'Janeiro 2023 - Valor Real'!C3:C15,0))+1)/(((L67-1)*(1-_xlfn.XLOOKUP(K67,'Janeiro 2023 - Valor Real'!A3:A15,'Janeiro 2023 - Valor Real'!C3:C15,0))+1)+((L68/(L68-1)-1)*(1-_xlfn.XLOOKUP(K68,'Janeiro 2023 - Valor Real'!A3:A15,'Janeiro 2023 - Valor Real'!C3:C15,0))+1))),IF(I67="Lay",((L67/(L67-1)-1)*(1-_xlfn.XLOOKUP(K67,'Janeiro 2023 - Valor Real'!A3:A15,'Janeiro 2023 - Valor Real'!C3:C15,0))+1)/((((L67/(L67-1)-1)*(1-_xlfn.XLOOKUP(K67,'Janeiro 2023 - Valor Real'!A3:A15,'Janeiro 2023 - Valor Real'!C3:C15,0))+1))+((L68-1)*(1-_xlfn.XLOOKUP(K68,'Janeiro 2023 - Valor Real'!A3:A15,'Janeiro 2023 - Valor Real'!C3:C15,0))+1)),((L67-1)*(1-_xlfn.XLOOKUP(K67,'Janeiro 2023 - Valor Real'!A3:A15,'Janeiro 2023 - Valor Real'!C3:C15,0))+1)/(((L67-1)*(1-_xlfn.XLOOKUP(K67,'Janeiro 2023 - Valor Real'!A3:A15,'Janeiro 2023 - Valor Real'!C3:C15,0))+1)+((L68-1)*(1-_xlfn.XLOOKUP(K68,'Janeiro 2023 - Valor Real'!A3:A15,'Janeiro 2023 - Valor Real'!C3:C15,0))+1))))))</f>
        <v>0.422632794457275</v>
      </c>
      <c r="AF68" s="197">
        <f>IF($K68=AF$3,ROUND(IF(OR($C68="W",$C68="1/2W",$C68="1/2L"),$P68-$O68,IF($C68="X",0,-$O68)),2),0)</f>
        <v>0</v>
      </c>
      <c r="AG68" s="198">
        <f>IF($K68=AG$3,ROUND(IF(OR($C68="W",$C68="1/2W",$C68="1/2L"),$P68-$O68,IF($C68="X",0,-$O68)),2),0)</f>
        <v>0</v>
      </c>
      <c r="AH68" s="198">
        <f>IF($K68=AH$3,ROUND(IF(OR($C68="W",$C68="1/2W",$C68="1/2L"),$P68-$O68,IF($C68="X",0,-$O68)),2),0)</f>
        <v>0</v>
      </c>
      <c r="AI68" s="198">
        <f>IF($K68=AI$3,ROUND(IF(OR($C68="W",$C68="1/2W",$C68="1/2L"),$P68-$O68,IF($C68="X",0,-$O68)),2),0)</f>
        <v>5.51</v>
      </c>
      <c r="AJ68" s="198">
        <f>IF($K68=AJ$3,ROUND(IF(OR($C68="W",$C68="1/2W",$C68="1/2L"),$P68-$O68,IF($C68="X",0,-$O68)),2),0)</f>
        <v>0</v>
      </c>
      <c r="AK68" s="198">
        <f>IF($K68=AK$3,ROUND(IF(OR($C68="W",$C68="1/2W",$C68="1/2L"),$P68-$O68,IF($C68="X",0,-$O68)),2),0)</f>
        <v>0</v>
      </c>
      <c r="AL68" s="198">
        <f>IF($K68=AL$3,ROUND(IF(OR($C68="W",$C68="1/2W",$C68="1/2L"),$P68-$O68,IF($C68="X",0,-$O68)),2),0)</f>
        <v>0</v>
      </c>
      <c r="AM68" s="198">
        <f>IF($K68=AM$3,ROUND(IF(OR($C68="W",$C68="1/2W",$C68="1/2L"),$P68-$O68,IF($C68="X",0,-$O68)),2),0)</f>
        <v>0</v>
      </c>
      <c r="AN68" s="198">
        <f>IF($K68=AN$3,ROUND(IF(OR($C68="W",$C68="1/2W",$C68="1/2L"),$P68-$O68,IF($C68="X",0,-$O68)),2),0)</f>
        <v>0</v>
      </c>
      <c r="AO68" s="198">
        <f>IF($K68=AO$3,ROUND(IF(OR($C68="W",$C68="1/2W",$C68="1/2L"),$P68-$O68,IF($C68="X",0,-$O68)),2),0)</f>
        <v>0</v>
      </c>
      <c r="AP68" s="198">
        <f>IF($K68=AP$3,ROUND(IF(OR($C68="W",$C68="1/2W",$C68="1/2L"),$P68-$O68,IF($C68="X",0,-$O68)),2),0)</f>
        <v>0</v>
      </c>
      <c r="AQ68" s="198">
        <f>IF($K68=AQ$3,ROUND(IF(OR($C68="W",$C68="1/2W",$C68="1/2L"),$P68-$O68,IF($C68="X",0,-$O68)),2),0)</f>
        <v>0</v>
      </c>
      <c r="AR68" s="199">
        <f>IF($K68=AR$3,ROUND(IF(OR($C68="W",$C68="1/2W",$C68="1/2L"),$P68-$O68,IF($C68="X",0,-$O68)),2),0)</f>
        <v>0</v>
      </c>
      <c r="AS68" s="197">
        <f>IF(AND($B67=" ",$K68=AS$3),$O68,0)</f>
        <v>0</v>
      </c>
      <c r="AT68" s="198">
        <f>IF(AND($B67=" ",K68=AT$3),$O68,0)</f>
        <v>0</v>
      </c>
      <c r="AU68" s="198">
        <f>IF(AND($B67=" ",$K68=AU$3),$O68,0)</f>
        <v>0</v>
      </c>
      <c r="AV68" s="198">
        <f>IF(AND($B67=" ",$K68=AV$3),$O68,0)</f>
        <v>0</v>
      </c>
      <c r="AW68" s="198">
        <f>IF(AND($B67=" ",$K68=AW$3),$O68,0)</f>
        <v>0</v>
      </c>
      <c r="AX68" s="198">
        <f>IF(AND($B67=" ",$K68=AX$3),$O68,0)</f>
        <v>0</v>
      </c>
      <c r="AY68" s="200">
        <f>IF(AND($B67=" ",$K68=AY$3),$O68,0)</f>
        <v>0</v>
      </c>
      <c r="AZ68" s="201">
        <f>IF(AND($B67=" ",$K68=AZ$3),$O68,0)</f>
        <v>0</v>
      </c>
      <c r="BA68" s="201">
        <f>IF(AND($B67=" ",$K68=BA$3),$O68,0)</f>
        <v>0</v>
      </c>
      <c r="BB68" s="201">
        <f>IF(AND($B67=" ",$K68=BB$3),$O68,0)</f>
        <v>0</v>
      </c>
      <c r="BC68" s="202">
        <f>IF(AND($B67=" ",$K68=BC$3),$O68,0)</f>
        <v>0</v>
      </c>
      <c r="BD68" s="198">
        <f>IF(AND($B67=" ",$K68=BD$3),$O68,0)</f>
        <v>0</v>
      </c>
      <c r="BE68" s="199">
        <f>IF(AND($B67=" ",$K68=BE$3),$O68,0)</f>
        <v>0</v>
      </c>
      <c r="BF68" s="197">
        <f>IF($K68=BF$3,IF($C68="X",0,$O68),0)</f>
        <v>0</v>
      </c>
      <c r="BG68" s="198">
        <f>IF($K68=BG$3,IF($C68="X",0,$O68),0)</f>
        <v>0</v>
      </c>
      <c r="BH68" s="198">
        <f>IF($K68=BH$3,IF($C68="X",0,$O68),0)</f>
        <v>0</v>
      </c>
      <c r="BI68" s="198">
        <f>IF($K68=BI$3,IF($C68="X",0,$O68),0)</f>
        <v>3.67</v>
      </c>
      <c r="BJ68" s="198">
        <f>IF($K68=BJ$3,IF($C68="X",0,$O68),0)</f>
        <v>0</v>
      </c>
      <c r="BK68" s="198">
        <f>IF($K68=BK$3,IF($C68="X",0,$O68),0)</f>
        <v>0</v>
      </c>
      <c r="BL68" s="198">
        <f>IF($K68=BL$3,IF($C68="X",0,$O68),0)</f>
        <v>0</v>
      </c>
      <c r="BM68" s="227">
        <f>IF($K68=BM$3,IF($C68="X",0,$O68),0)</f>
        <v>0</v>
      </c>
      <c r="BN68" s="205">
        <f>IF($K68=BN$3,IF($C68="X",0,$O68),0)</f>
        <v>0</v>
      </c>
      <c r="BO68" s="205">
        <f>IF($K68=BO$3,IF($C68="X",0,$O68),0)</f>
        <v>0</v>
      </c>
      <c r="BP68" s="205">
        <f>IF($K68=BP$3,IF($C68="X",0,$O68),0)</f>
        <v>0</v>
      </c>
      <c r="BQ68" s="202">
        <f>IF($K68=BQ$3,IF($C68="X",0,$O68),0)</f>
        <v>0</v>
      </c>
      <c r="BR68" s="199">
        <f>IF($K68=BR$3,IF($C68="X",0,$O68),0)</f>
        <v>0</v>
      </c>
      <c r="BS68" s="228"/>
      <c r="BT68" s="229"/>
      <c r="BU68" s="140"/>
      <c r="BV68" s="229"/>
      <c r="BW68" s="140"/>
      <c r="BX68" s="140"/>
      <c r="BY68" s="140"/>
      <c r="BZ68" s="229"/>
      <c r="CA68" s="140"/>
      <c r="CB68" s="140"/>
      <c r="CC68" s="140"/>
      <c r="CD68" s="141"/>
      <c r="CE68" s="142"/>
      <c r="CF68" s="230">
        <f>IF(CF$3=$K68,IF($C68="W",1,IF($C68="1/2W",0.5,0)),0)</f>
        <v>0</v>
      </c>
      <c r="CG68" s="231">
        <f>IF(CF$3=$K68,IF($C68="L",1,IF($C68="1/2L",0.5,0)),0)</f>
        <v>0</v>
      </c>
      <c r="CH68" s="231">
        <f>IF(CH$3=$K68,IF($C68="W",1,IF($C68="1/2W",0.5,0)),0)</f>
        <v>0</v>
      </c>
      <c r="CI68" s="231">
        <f>IF(CH$3=$K68,IF($C68="L",1,IF($C68="1/2L",0.5,0)),0)</f>
        <v>0</v>
      </c>
      <c r="CJ68" s="231">
        <f>IF(CJ$3=$K68,IF($C68="W",1,IF($C68="1/2W",0.5,0)),0)</f>
        <v>0</v>
      </c>
      <c r="CK68" s="231">
        <f>IF(CJ$3=$K68,IF($C68="L",1,IF($C68="1/2L",0.5,0)),0)</f>
        <v>0</v>
      </c>
      <c r="CL68" s="231">
        <f>IF(CL$3=$K68,IF($C68="W",1,IF($C68="1/2W",0.5,0)),0)</f>
        <v>1</v>
      </c>
      <c r="CM68" s="231">
        <f>IF(CL$3=$K68,IF($C68="L",1,IF($C68="1/2L",0.5,0)),0)</f>
        <v>0</v>
      </c>
      <c r="CN68" s="231">
        <f>IF(CN$3=$K68,IF($C68="W",1,IF($C68="1/2W",0.5,0)),0)</f>
        <v>0</v>
      </c>
      <c r="CO68" s="231">
        <f>IF(CN$3=$K68,IF($C68="L",1,IF($C68="1/2L",0.5,0)),0)</f>
        <v>0</v>
      </c>
      <c r="CP68" s="231">
        <f>IF(CP$3=$K68,IF($C68="W",1,IF($C68="1/2W",0.5,0)),0)</f>
        <v>0</v>
      </c>
      <c r="CQ68" s="231">
        <f>IF(CP$3=$K68,IF($C68="L",1,IF($C68="1/2L",0.5,0)),0)</f>
        <v>0</v>
      </c>
      <c r="CR68" s="231">
        <f>IF(CR$3=$K68,IF($C68="W",1,IF($C68="1/2W",0.5,0)),0)</f>
        <v>0</v>
      </c>
      <c r="CS68" s="231">
        <f>IF(CR$3=$K68,IF($C68="L",1,IF($C68="1/2L",0.5,0)),0)</f>
        <v>0</v>
      </c>
      <c r="CT68" s="208">
        <f>IF(CT$3=$K68,IF($C68="W",1,IF($C68="1/2W",0.5,0)),0)</f>
        <v>0</v>
      </c>
      <c r="CU68" s="209">
        <f>IF(CT$3=$K68,IF($C68="L",1,IF($C68="1/2L",0.5,0)),0)</f>
        <v>0</v>
      </c>
      <c r="CV68" s="209">
        <f>IF(CV$3=$K68,IF($C68="W",1,IF($C68="1/2W",0.5,0)),0)</f>
        <v>0</v>
      </c>
      <c r="CW68" s="209">
        <f>IF(CV$3=$K68,IF($C68="L",1,IF($C68="1/2L",0.5,0)),0)</f>
        <v>0</v>
      </c>
      <c r="CX68" s="209">
        <f>IF(CX$3=$K68,IF($C68="W",1,IF($C68="1/2W",0.5,0)),0)</f>
        <v>0</v>
      </c>
      <c r="CY68" s="209">
        <f>IF(CX$3=$K68,IF($C68="L",1,IF($C68="1/2L",0.5,0)),0)</f>
        <v>0</v>
      </c>
      <c r="CZ68" s="209">
        <f>IF(CZ$3=$K68,IF($C68="W",1,IF($C68="1/2W",0.5,0)),0)</f>
        <v>0</v>
      </c>
      <c r="DA68" s="209">
        <f>IF(CZ$3=$K68,IF($C68="L",1,IF($C68="1/2L",0.5,0)),0)</f>
        <v>0</v>
      </c>
      <c r="DB68" s="209">
        <f>IF(DB$3=$K68,IF($C68="W",1,IF($C68="1/2W",0.5,0)),0)</f>
        <v>0</v>
      </c>
      <c r="DC68" s="209">
        <f>IF(DB$3=$K68,IF($C68="L",1,IF($C68="1/2L",0.5,0)),0)</f>
        <v>0</v>
      </c>
      <c r="DD68" s="209">
        <f>IF(DD$3=$K68,IF($C68="W",1,IF($C68="1/2W",0.5,0)),0)</f>
        <v>0</v>
      </c>
      <c r="DE68" s="210">
        <f>IF(DD$3=$K68,IF($C68="L",1,IF($C68="1/2L",0.5,0)),0)</f>
        <v>0</v>
      </c>
      <c r="DF68" s="211">
        <f>IF(AND(L68&lt;DF$3,$C68="W"),1+DF67,DF67)</f>
        <v>5</v>
      </c>
      <c r="DG68" s="198">
        <f>IF(DF68&gt;DF67,L68+DG67,DG67)</f>
        <v>6.558</v>
      </c>
      <c r="DH68" s="209">
        <f>IF(AND(L68&gt;DH$3,$C68="W"),1+DH67,0+DH67)</f>
        <v>1</v>
      </c>
      <c r="DI68" s="198">
        <f>IF(DH68&gt;DH67,L68+DI67,DI67)</f>
        <v>4.33</v>
      </c>
      <c r="DJ68" t="s" s="306">
        <f>IF($D67="","",$D67)</f>
        <v>101</v>
      </c>
      <c r="DK68" s="232"/>
    </row>
    <row r="69" ht="14.55" customHeight="1">
      <c r="A69" s="149"/>
      <c r="B69" s="150"/>
      <c r="C69" t="s" s="233">
        <v>58</v>
      </c>
      <c r="D69" s="152"/>
      <c r="E69" s="153"/>
      <c r="F69" s="155"/>
      <c r="G69" s="234"/>
      <c r="H69" s="156"/>
      <c r="I69" s="235"/>
      <c r="J69" s="236"/>
      <c r="K69" s="237"/>
      <c r="L69" s="238"/>
      <c r="M69" s="239"/>
      <c r="N69" s="161"/>
      <c r="O69" t="s" s="240">
        <f>IF(OR(AE67="",AE68=""),"",IF(L69&gt;0,ROUND(IF(M69&gt;0,M69,IF(M67&gt;0,ROUND((M67*AE69)/AE67,IF(N67=0,2,IF(N67=0.1,1,0))),IF(M68&gt;0,ROUND((M68*AE69)/AE68,IF(N67=0,2,IF(N67=0.1,1,0))),IF(M69&gt;0,M69,0)))),2),""))</f>
      </c>
      <c r="P69" t="s" s="241">
        <f>IF(I68="Lay",O68*(L68/(L68-1))-O68,IF(I67="Lay",O67*(L67/(L67-1))-O67,IF(OR(L69="",O69=""),"",IF($C69="1/2W",O69/2+O69/2*L69,IF($C69="1/2L",O69/2,(O69*L69-O69)*(1-_xlfn.XLOOKUP(K69,'Janeiro 2023 - Valor Real'!A3:A15,'Janeiro 2023 - Valor Real'!C3:C15,0))+O69)))))</f>
      </c>
      <c r="Q69" t="s" s="242"/>
      <c r="R69" t="s" s="243"/>
      <c r="S69" s="166"/>
      <c r="T69" s="155"/>
      <c r="U69" s="155"/>
      <c r="V69" s="166"/>
      <c r="W69" s="155"/>
      <c r="X69" s="167"/>
      <c r="Y69" s="128"/>
      <c r="Z69" s="129"/>
      <c r="AA69" s="129"/>
      <c r="AB69" s="129"/>
      <c r="AC69" s="129"/>
      <c r="AD69" s="244">
        <f>((L68/(L68-1)-1))</f>
        <v>0.666666666666667</v>
      </c>
      <c r="AE69" t="s" s="245">
        <f>IF(L69="","",(SUM(((L67-1)*(1-_xlfn.XLOOKUP(K67,'Janeiro 2023 - Valor Real'!A3:A15,'Janeiro 2023 - Valor Real'!C3:C15,0))+1),((L68-1)*(1-_xlfn.XLOOKUP(K68,'Janeiro 2023 - Valor Real'!A3:A15,'Janeiro 2023 - Valor Real'!C3:C15,0))+1),((L69-1)*(1-_xlfn.XLOOKUP(K69,'Janeiro 2023 - Valor Real'!A3:A15,'Janeiro 2023 - Valor Real'!C3:C15,0))+1))/((L69-1)*(1-_xlfn.XLOOKUP(K69,'Janeiro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Real'!C3:C15,0))+1))/((L67-1)*(1-_xlfn.XLOOKUP(K67,'Janeiro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Real'!C3:C15,0))+1))/((L68-1)*(1-_xlfn.XLOOKUP(K68,'Janeiro 2023 - Valor Real'!A3:A15,'Janeiro 2023 - Valor Real'!C3:C15,0))+1)+SUM(((L67-1)*(1-_xlfn.XLOOKUP(K67,'Janeiro 2023 - Valor Real'!A3:A15,'Janeiro 2023 - Valor Real'!C3:C15,0))+1),((L68-1)*(1-_xlfn.XLOOKUP(K68,'Janeiro 2023 - Valor Real'!A3:A15,'Janeiro 2023 - Valor Real'!C3:C15,0))+1),((L69-1)*(1-_xlfn.XLOOKUP(K69,'Janeiro 2023 - Valor Real'!A3:A15,'Janeiro 2023 - Valor Real'!C3:C15,0))+1))/((L69-1)*(1-_xlfn.XLOOKUP(K69,'Janeiro 2023 - Valor Real'!A3:A15,'Janeiro 2023 - Valor Real'!C3:C15,0))+1)))</f>
      </c>
      <c r="AF69" s="197">
        <f>IF($K69=AF$3,ROUND(IF(OR($C69="W",$C69="1/2W",$C69="1/2L"),$P69-$O69,IF($C69="X",0,-$O69)),2),0)</f>
        <v>0</v>
      </c>
      <c r="AG69" s="198">
        <f>IF($K69=AG$3,ROUND(IF(OR($C69="W",$C69="1/2W",$C69="1/2L"),$P69-$O69,IF($C69="X",0,-$O69)),2),0)</f>
        <v>0</v>
      </c>
      <c r="AH69" s="198">
        <f>IF($K69=AH$3,ROUND(IF(OR($C69="W",$C69="1/2W",$C69="1/2L"),$P69-$O69,IF($C69="X",0,-$O69)),2),0)</f>
        <v>0</v>
      </c>
      <c r="AI69" s="198">
        <f>IF($K69=AI$3,ROUND(IF(OR($C69="W",$C69="1/2W",$C69="1/2L"),$P69-$O69,IF($C69="X",0,-$O69)),2),0)</f>
        <v>0</v>
      </c>
      <c r="AJ69" s="198">
        <f>IF($K69=AJ$3,ROUND(IF(OR($C69="W",$C69="1/2W",$C69="1/2L"),$P69-$O69,IF($C69="X",0,-$O69)),2),0)</f>
        <v>0</v>
      </c>
      <c r="AK69" s="198">
        <f>IF($K69=AK$3,ROUND(IF(OR($C69="W",$C69="1/2W",$C69="1/2L"),$P69-$O69,IF($C69="X",0,-$O69)),2),0)</f>
        <v>0</v>
      </c>
      <c r="AL69" s="198">
        <f>IF($K69=AL$3,ROUND(IF(OR($C69="W",$C69="1/2W",$C69="1/2L"),$P69-$O69,IF($C69="X",0,-$O69)),2),0)</f>
        <v>0</v>
      </c>
      <c r="AM69" s="198">
        <f>IF($K69=AM$3,ROUND(IF(OR($C69="W",$C69="1/2W",$C69="1/2L"),$P69-$O69,IF($C69="X",0,-$O69)),2),0)</f>
        <v>0</v>
      </c>
      <c r="AN69" s="198">
        <f>IF($K69=AN$3,ROUND(IF(OR($C69="W",$C69="1/2W",$C69="1/2L"),$P69-$O69,IF($C69="X",0,-$O69)),2),0)</f>
        <v>0</v>
      </c>
      <c r="AO69" s="198">
        <f>IF($K69=AO$3,ROUND(IF(OR($C69="W",$C69="1/2W",$C69="1/2L"),$P69-$O69,IF($C69="X",0,-$O69)),2),0)</f>
        <v>0</v>
      </c>
      <c r="AP69" s="198">
        <f>IF($K69=AP$3,ROUND(IF(OR($C69="W",$C69="1/2W",$C69="1/2L"),$P69-$O69,IF($C69="X",0,-$O69)),2),0)</f>
        <v>0</v>
      </c>
      <c r="AQ69" s="198">
        <f>IF($K69=AQ$3,ROUND(IF(OR($C69="W",$C69="1/2W",$C69="1/2L"),$P69-$O69,IF($C69="X",0,-$O69)),2),0)</f>
        <v>0</v>
      </c>
      <c r="AR69" s="199">
        <f>IF($K69=AR$3,ROUND(IF(OR($C69="W",$C69="1/2W",$C69="1/2L"),$P69-$O69,IF($C69="X",0,-$O69)),2),0)</f>
        <v>0</v>
      </c>
      <c r="AS69" s="197">
        <f>IF(AND($B67=" ",$K69=AS$3),$O69,0)</f>
        <v>0</v>
      </c>
      <c r="AT69" s="198">
        <f>IF(AND($B67=" ",K69=AT$3),$O69,0)</f>
        <v>0</v>
      </c>
      <c r="AU69" s="198">
        <f>IF(AND($B67=" ",$K69=AU$3),$O69,0)</f>
        <v>0</v>
      </c>
      <c r="AV69" s="198">
        <f>IF(AND($B67=" ",$K69=AV$3),$O69,0)</f>
        <v>0</v>
      </c>
      <c r="AW69" s="198">
        <f>IF(AND($B67=" ",$K69=AW$3),$O69,0)</f>
        <v>0</v>
      </c>
      <c r="AX69" s="198">
        <f>IF(AND($B67=" ",$K69=AX$3),$O69,0)</f>
        <v>0</v>
      </c>
      <c r="AY69" s="200">
        <f>IF(AND($B67=" ",$K69=AY$3),$O69,0)</f>
        <v>0</v>
      </c>
      <c r="AZ69" s="201">
        <f>IF(AND($B67=" ",$K69=AZ$3),$O69,0)</f>
        <v>0</v>
      </c>
      <c r="BA69" s="201">
        <f>IF(AND($B67=" ",$K69=BA$3),$O69,0)</f>
        <v>0</v>
      </c>
      <c r="BB69" s="201">
        <f>IF(AND($B67=" ",$K69=BB$3),$O69,0)</f>
        <v>0</v>
      </c>
      <c r="BC69" s="202">
        <f>IF(AND($B67=" ",$K69=BC$3),$O69,0)</f>
        <v>0</v>
      </c>
      <c r="BD69" s="198">
        <f>IF(AND($B67=" ",$K69=BD$3),$O69,0)</f>
        <v>0</v>
      </c>
      <c r="BE69" s="199">
        <f>IF(AND($B67=" ",$K69=BE$3),$O69,0)</f>
        <v>0</v>
      </c>
      <c r="BF69" s="197">
        <f>IF($K69=BF$3,IF($C69="X",0,$O69),0)</f>
        <v>0</v>
      </c>
      <c r="BG69" s="198">
        <f>IF($K69=BG$3,IF($C69="X",0,$O69),0)</f>
        <v>0</v>
      </c>
      <c r="BH69" s="198">
        <f>IF($K69=BH$3,IF($C69="X",0,$O69),0)</f>
        <v>0</v>
      </c>
      <c r="BI69" s="198">
        <f>IF($K69=BI$3,IF($C69="X",0,$O69),0)</f>
        <v>0</v>
      </c>
      <c r="BJ69" s="198">
        <f>IF($K69=BJ$3,IF($C69="X",0,$O69),0)</f>
        <v>0</v>
      </c>
      <c r="BK69" s="198">
        <f>IF($K69=BK$3,IF($C69="X",0,$O69),0)</f>
        <v>0</v>
      </c>
      <c r="BL69" s="198">
        <f>IF($K69=BL$3,IF($C69="X",0,$O69),0)</f>
        <v>0</v>
      </c>
      <c r="BM69" s="200">
        <f>IF($K69=BM$3,IF($C69="X",0,$O69),0)</f>
        <v>0</v>
      </c>
      <c r="BN69" s="201">
        <f>IF($K69=BN$3,IF($C69="X",0,$O69),0)</f>
        <v>0</v>
      </c>
      <c r="BO69" s="201">
        <f>IF($K69=BO$3,IF($C69="X",0,$O69),0)</f>
        <v>0</v>
      </c>
      <c r="BP69" s="201">
        <f>IF($K69=BP$3,IF($C69="X",0,$O69),0)</f>
        <v>0</v>
      </c>
      <c r="BQ69" s="202">
        <f>IF($K69=BQ$3,IF($C69="X",0,$O69),0)</f>
        <v>0</v>
      </c>
      <c r="BR69" s="199">
        <f>IF($K69=BR$3,IF($C69="X",0,$O69),0)</f>
        <v>0</v>
      </c>
      <c r="BS69" s="228"/>
      <c r="BT69" s="229"/>
      <c r="BU69" s="140"/>
      <c r="BV69" s="229"/>
      <c r="BW69" s="140"/>
      <c r="BX69" s="140"/>
      <c r="BY69" s="140"/>
      <c r="BZ69" s="229"/>
      <c r="CA69" s="140"/>
      <c r="CB69" s="140"/>
      <c r="CC69" s="140"/>
      <c r="CD69" s="141"/>
      <c r="CE69" s="142"/>
      <c r="CF69" s="230">
        <f>IF(CF$3=$K69,IF($C69="W",1,IF($C69="1/2W",0.5,0)),0)</f>
        <v>0</v>
      </c>
      <c r="CG69" s="231">
        <f>IF(CF$3=$K69,IF($C69="L",1,IF($C69="1/2L",0.5,0)),0)</f>
        <v>0</v>
      </c>
      <c r="CH69" s="231">
        <f>IF(CH$3=$K69,IF($C69="W",1,IF($C69="1/2W",0.5,0)),0)</f>
        <v>0</v>
      </c>
      <c r="CI69" s="231">
        <f>IF(CH$3=$K69,IF($C69="L",1,IF($C69="1/2L",0.5,0)),0)</f>
        <v>0</v>
      </c>
      <c r="CJ69" s="231">
        <f>IF(CJ$3=$K69,IF($C69="W",1,IF($C69="1/2W",0.5,0)),0)</f>
        <v>0</v>
      </c>
      <c r="CK69" s="231">
        <f>IF(CJ$3=$K69,IF($C69="L",1,IF($C69="1/2L",0.5,0)),0)</f>
        <v>0</v>
      </c>
      <c r="CL69" s="231">
        <f>IF(CL$3=$K69,IF($C69="W",1,IF($C69="1/2W",0.5,0)),0)</f>
        <v>0</v>
      </c>
      <c r="CM69" s="231">
        <f>IF(CL$3=$K69,IF($C69="L",1,IF($C69="1/2L",0.5,0)),0)</f>
        <v>0</v>
      </c>
      <c r="CN69" s="231">
        <f>IF(CN$3=$K69,IF($C69="W",1,IF($C69="1/2W",0.5,0)),0)</f>
        <v>0</v>
      </c>
      <c r="CO69" s="231">
        <f>IF(CN$3=$K69,IF($C69="L",1,IF($C69="1/2L",0.5,0)),0)</f>
        <v>0</v>
      </c>
      <c r="CP69" s="231">
        <f>IF(CP$3=$K69,IF($C69="W",1,IF($C69="1/2W",0.5,0)),0)</f>
        <v>0</v>
      </c>
      <c r="CQ69" s="231">
        <f>IF(CP$3=$K69,IF($C69="L",1,IF($C69="1/2L",0.5,0)),0)</f>
        <v>0</v>
      </c>
      <c r="CR69" s="231">
        <f>IF(CR$3=$K69,IF($C69="W",1,IF($C69="1/2W",0.5,0)),0)</f>
        <v>0</v>
      </c>
      <c r="CS69" s="231">
        <f>IF(CR$3=$K69,IF($C69="L",1,IF($C69="1/2L",0.5,0)),0)</f>
        <v>0</v>
      </c>
      <c r="CT69" s="208">
        <f>IF(CT$3=$K69,IF($C69="W",1,IF($C69="1/2W",0.5,0)),0)</f>
        <v>0</v>
      </c>
      <c r="CU69" s="209">
        <f>IF(CT$3=$K69,IF($C69="L",1,IF($C69="1/2L",0.5,0)),0)</f>
        <v>0</v>
      </c>
      <c r="CV69" s="209">
        <f>IF(CV$3=$K69,IF($C69="W",1,IF($C69="1/2W",0.5,0)),0)</f>
        <v>0</v>
      </c>
      <c r="CW69" s="209">
        <f>IF(CV$3=$K69,IF($C69="L",1,IF($C69="1/2L",0.5,0)),0)</f>
        <v>0</v>
      </c>
      <c r="CX69" s="209">
        <f>IF(CX$3=$K69,IF($C69="W",1,IF($C69="1/2W",0.5,0)),0)</f>
        <v>0</v>
      </c>
      <c r="CY69" s="209">
        <f>IF(CX$3=$K69,IF($C69="L",1,IF($C69="1/2L",0.5,0)),0)</f>
        <v>0</v>
      </c>
      <c r="CZ69" s="209">
        <f>IF(CZ$3=$K69,IF($C69="W",1,IF($C69="1/2W",0.5,0)),0)</f>
        <v>0</v>
      </c>
      <c r="DA69" s="209">
        <f>IF(CZ$3=$K69,IF($C69="L",1,IF($C69="1/2L",0.5,0)),0)</f>
        <v>0</v>
      </c>
      <c r="DB69" s="209">
        <f>IF(DB$3=$K69,IF($C69="W",1,IF($C69="1/2W",0.5,0)),0)</f>
        <v>0</v>
      </c>
      <c r="DC69" s="209">
        <f>IF(DB$3=$K69,IF($C69="L",1,IF($C69="1/2L",0.5,0)),0)</f>
        <v>0</v>
      </c>
      <c r="DD69" s="209">
        <f>IF(DD$3=$K69,IF($C69="W",1,IF($C69="1/2W",0.5,0)),0)</f>
        <v>0</v>
      </c>
      <c r="DE69" s="210">
        <f>IF(DD$3=$K69,IF($C69="L",1,IF($C69="1/2L",0.5,0)),0)</f>
        <v>0</v>
      </c>
      <c r="DF69" s="211">
        <f>IF(AND(L69&lt;DF$3,$C69="W"),1+DF68,DF68)</f>
        <v>5</v>
      </c>
      <c r="DG69" s="198">
        <f>IF(DF69&gt;DF68,L69+DG68,DG68)</f>
        <v>6.558</v>
      </c>
      <c r="DH69" s="209">
        <f>IF(AND(L69&gt;DH$3,$C69="W"),1+DH68,0+DH68)</f>
        <v>1</v>
      </c>
      <c r="DI69" s="198">
        <f>IF(DH69&gt;DH68,L69+DI68,DI68)</f>
        <v>4.33</v>
      </c>
      <c r="DJ69" t="s" s="306">
        <f>IF($D67="","",$D67)</f>
        <v>101</v>
      </c>
      <c r="DK69" s="232"/>
    </row>
    <row r="70" ht="14.55" customHeight="1">
      <c r="A70" s="246">
        <f>$A67+1</f>
        <v>23</v>
      </c>
      <c r="B70" t="s" s="247">
        <v>24</v>
      </c>
      <c r="C70" t="s" s="248">
        <v>114</v>
      </c>
      <c r="D70" t="s" s="303">
        <f>IF(G70="","",$D67)</f>
        <v>101</v>
      </c>
      <c r="E70" t="s" s="250">
        <v>115</v>
      </c>
      <c r="F70" t="s" s="251">
        <f>IF(G70="","",IF(OR(AND($C70&lt;&gt;" ",$C71=" "),AND($C71&lt;&gt;" ",$C70=" "),AND(L72&gt;0,OR(AND($C72&lt;&gt;" ",OR($C70=" ",$C71=" ")),AND($C72=" ",OR($C70&lt;&gt;" ",$C71&lt;&gt;" "))))),IF(SUM(F$4:F69)=0,1,LARGE(F$4:F69,1)+1),IF(MONTH(G70)=MONTH(TODAY()),IF(AND(DAY(G70)&lt;DAY(TODAY()),$B70=" "),IF(SUM(F$4:F69)=0,1,LARGE(F$4:F69,1)+1),IF($B70=" ",IF(AND(DAY(G70)=DAY(TODAY()),HOUR(G70)&lt;=HOUR(NOW())+1),IF(AND(HOUR(G70)+2&lt;=HOUR(NOW()),DAY(G70)&lt;=DAY(TODAY()),MINUTE(G70)&lt;=MINUTE(NOW())),IF(SUM(F$4:F69)=0,1,LARGE(F$4:F69,1)+1),IF(OR(MINUTE(G70)&lt;=MINUTE(NOW()),HOUR(G70)&lt;=HOUR(NOW())),"!!!","")),""),"")),"")))</f>
      </c>
      <c r="G70" s="252">
        <v>44944.59375</v>
      </c>
      <c r="H70" t="s" s="253">
        <v>116</v>
      </c>
      <c r="I70" t="s" s="254">
        <v>60</v>
      </c>
      <c r="J70" s="293"/>
      <c r="K70" t="s" s="256">
        <v>37</v>
      </c>
      <c r="L70" s="257">
        <v>2.1</v>
      </c>
      <c r="M70" s="258">
        <v>63.64</v>
      </c>
      <c r="N70" s="259">
        <v>0</v>
      </c>
      <c r="O70" s="260">
        <f>IF(OR(AE70="",AE71=""),"",ROUND(IF(L72&gt;0,IF(M70&gt;0,M70,IF(M71&gt;0,ROUND((M71*AE70)/AE71,IF(N70=0,2,IF(N70=0.1,1,0))),ROUND((M72*AE70)/AE72,IF(N70=0,2,IF(N70=0.1,1,0))))),IF(M70&gt;0,M70,ROUND((M71*AE70)/AE71,IF(N70=0,2,IF(N70=0.1,1,0))))),2))</f>
        <v>63.64</v>
      </c>
      <c r="P70" s="261">
        <f>IF(OR(L70="",O70=""),"",IF($C70="1/2W",O70/2+O70/2*L70,IF($C70="1/2L",O70/2,IF(I70="Lay",(O70*(L70/(L70-1))-O70)*(1-_xlfn.XLOOKUP(K70,'Janeiro 2023 - Valor Real'!A3:A15,'Janeiro 2023 - Valor Real'!C3:C15,0))+O70,(O70*L70-O70)*(1-_xlfn.XLOOKUP(K70,'Janeiro 2023 - Valor Real'!A3:A15,'Janeiro 2023 - Valor Real'!C3:C15,0))+O70))))</f>
        <v>133.644</v>
      </c>
      <c r="Q70" s="262">
        <v>3</v>
      </c>
      <c r="R70" s="263">
        <v>0</v>
      </c>
      <c r="S70" s="264">
        <f>IF($B70="Anulado",0,ROUND(IF(OR($B70="LOSS",$B70="OK"),IF(OR($C70="W",$C70="1/2W",$C70="1/2L"),P70-O70,IF($C70="L",-O70,0))+IF(OR($C71="W",$C71="1/2W",$C71="1/2L"),P71-O71,IF($C71="L",-O71,0))+IF(OR($C72="W",$C72="1/2W",$C72="1/2L"),P72-O72,IF($C72="L",-O72,0)),IF(AND(OR($C70="W",$C70="1/2W",$C70="1/2L"),C71="W"),P70+P71-SUM(O70:O72)+_xlfn.XLOOKUP("X",C70:C72,O70:O72,0),IF(AND(C70=TRUE,C72="W"),P70+P72-SUM(O70:O72),IF(AND(C71="W",C72="W"),P71+P72-SUM(O70:O72)+_xlfn.XLOOKUP("X",C70:C72,O70:O72,0),IF(L72&gt;0,IF(OR($C70="W",$C70="1/2W",$C70="1/2L"),P70-SUM(O70:O72)+_xlfn.XLOOKUP("X",C70:C72,O70:O72,0),IF(OR($C70="W",$C70="1/2W",$C70="1/2L"),P71-SUM(O70:O72)+_xlfn.XLOOKUP("X",C70:C72,O70:O72,0),IF(OR($C70="W",$C70="1/2W",$C70="1/2L"),P72-SUM(O70:O72)+_xlfn.XLOOKUP("X",C70:C72,O70:O72,0),IF(SUM(P70:P72)/3-SUM(O70:O72)+_xlfn.XLOOKUP("X",C70:C72,O70:O72,0)&gt;0,SUM(P70:P72)/3-SUM(O70:O72)+_xlfn.XLOOKUP("X",C70:C72,O70:O72,0),LARGE(P70:P72,1)-SUM(O70:O72))))),IF(OR($C70="W",$C70="1/2W",$C70="1/2L"),P70-SUM(O70:O71)+_xlfn.XLOOKUP("X",C70:C72,O70:O72,0),IF(OR($C70="W",$C70="1/2W",$C70="1/2L"),P71-SUM(O70:O71)+_xlfn.XLOOKUP("X",C70:C72,O70:O72,0),SUM(P70:P71)/2-SUM(O70:O71)+_xlfn.XLOOKUP("X",C70:C72,O70:O72,0)))))))),2))</f>
        <v>0</v>
      </c>
      <c r="T70" s="265">
        <f>IF(S70=0,0,S70/SUM(O70:O72))</f>
        <v>0</v>
      </c>
      <c r="U70" s="266">
        <f>IF($D70=$D67,IF(OR($B70="LOSS",$B70="OK",$B70="Anulada"),S70,0)+U67,IF(OR($B70="LOSS",$B70="OK",$B70="Anulada"),S70,0))</f>
        <v>10.55</v>
      </c>
      <c r="V70" s="266">
        <f>IF($D70="",0,IF($D70=$D67,IF($B70=" ",IF(I72="",IF(OR(AND(I70="DNB1",I71="DNB2"),AND(OR(I70="DNB1",I70="DNB2"),J71=0),AND(OR(I71="DNB1",I71="DNB2"),J70=0),AND(I70="DNB2",I71="DNB1"),AND(IF(J70=0,(J70+1)/ROUND(J70+1,0),J70/ROUND(J70,0))=1,IF(J71=0,(J71+1)/ROUND(IF(J71="",0,J71)+1,0),IF(J71="",0,J71)/ROUND(IF(J71="",1,J71),0))=1,OR(J70&lt;&gt;""),J71&lt;&gt;"")),0,IF(S70&lt;0,IF(I72="",SMALL(P70:P71,1)-SUM(O70:O71),0),SMALL(P70:P71,1)-SUM(O70:O71))),IF(S70&lt;0,IF(I72="",SMALL(P70:P72,1)-SUM(O70:O72),0),LARGE(P70:P72,1)-SUM(O70:O72))),S70)+V67,IF(I72="",IF(OR(AND(I70="DNB1",I71="DNB2"),AND(OR(I70="DNB1",I70="DNB2"),J71=0),AND(OR(I71="DNB1",I71="DNB2"),J70=0),AND(I70="DNB2",I71="DNB1"),AND(IF(J70=0,(J70+1)/ROUND(J70+1,0),J70/ROUND(J70,0))=1,IF(J71=0,(IF(J71="",0,J71)+1)/ROUND(IF(J71="",0,J71)+1,0),IF(J71="",0,J71)/ROUND(IF(J71="",0,J71)+1,0))=1,OR(J70&lt;&gt;""),J71&lt;&gt;"")),0,IF(S70&lt;0,IF(I72="",SMALL(P70:P71,1)-SUM(O70:O71),0),SMALL(P70:P72,1)-SUM(O70:O72))),IF(S70&lt;0,IF(I72="",SMALL(P70:P72,1)-SUM(O70:O72),0),LARGE(P70:P72,1)-SUM(O70:O72)))))</f>
        <v>10.552</v>
      </c>
      <c r="W70" s="266">
        <f>IF($D70=$D67,IF(S70&lt;0,IF(I72="",S70,0),S70)+W67,S70)</f>
        <v>10.55</v>
      </c>
      <c r="X70" t="s" s="267">
        <f>IF(OR(SUM(R70:R72)=0,V70=W70),ROUND(IF(W70=0,0,W70/Y70)*100,2)&amp;"%",ROUND(IF(V70=0,0,V70/Y70)*100,2)&amp;"% a "&amp;ROUND(IF(W70=0,0,W70/Y70)*100,2)&amp;"%")</f>
        <v>117</v>
      </c>
      <c r="Y70" s="268">
        <f>IF($D70=$D67,Y67+SUM(O70:O72),SUM(O70:O72))</f>
        <v>324.99</v>
      </c>
      <c r="Z70" s="266">
        <f>IF($B70=" ",SUM(O70:O72),0)+Z67</f>
        <v>0</v>
      </c>
      <c r="AA70" s="266">
        <f>IF(G70="","",IF($B70="Anulado",LARGE(P70:P72,1)-SUM(O70:O72)+AA67,AA67))</f>
        <v>6.064</v>
      </c>
      <c r="AB70" s="266">
        <f>IF($D70="","",AB67+S70)</f>
        <v>88.65000000000001</v>
      </c>
      <c r="AC70" s="269">
        <f>IF($D70="","",IF($B70=" ",IF(DAY(G70)=DAY(TODAY()),1+AC67,0+AC67),0+AC67))</f>
        <v>0</v>
      </c>
      <c r="AD70" s="270">
        <f>(1-_xlfn.XLOOKUP(K68,'Janeiro 2023 - Valor Real'!A3:A15,'Janeiro 2023 - Valor Real'!C3:C15,0))+1</f>
        <v>2</v>
      </c>
      <c r="AE70" s="271">
        <f>IF(L70="","",IF(L72&gt;0,(SUM(((L70-1)*(1-_xlfn.XLOOKUP(K70,'Janeiro 2023 - Valor Real'!A3:A15,'Janeiro 2023 - Valor Real'!C3:C15,0))+1),((L71-1)*(1-_xlfn.XLOOKUP(K71,'Janeiro 2023 - Valor Real'!A3:A15,'Janeiro 2023 - Valor Real'!C3:C15,0))+1),((L72-1)*(1-_xlfn.XLOOKUP(K72,'Janeiro 2023 - Valor Real'!A3:A15,'Janeiro 2023 - Valor Real'!C3:C15,0))+1))/((L70-1)*(1-_xlfn.XLOOKUP(K70,'Janeiro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Real'!C3:C15,0))+1))/((L70-1)*(1-_xlfn.XLOOKUP(K70,'Janeiro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Real'!C3:C15,0))+1))/((L71-1)*(1-_xlfn.XLOOKUP(K71,'Janeiro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Real'!C3:C15,0))+1))/((L72-1)*(1-_xlfn.XLOOKUP(K72,'Janeiro 2023 - Valor Real'!A3:A15,'Janeiro 2023 - Valor Real'!C3:C15,0))+1)),IF(I70="Lay",IF(I71="Lay",((L71/(L71-1)-1)*(1-_xlfn.XLOOKUP(K71,'Janeiro 2023 - Valor Real'!A3:A15,'Janeiro 2023 - Valor Real'!C3:C15,0))+1)/(((L71/(L71-1)-1)*(1-_xlfn.XLOOKUP(K71,'Janeiro 2023 - Valor Real'!A3:A15,'Janeiro 2023 - Valor Real'!C3:C15,0))+1)+((L70/(L70-1)-1)*(1-_xlfn.XLOOKUP(K70,'Janeiro 2023 - Valor Real'!A3:A15,'Janeiro 2023 - Valor Real'!C3:C15,0))+1)),((L71-1)*(1-_xlfn.XLOOKUP(K71,'Janeiro 2023 - Valor Real'!A3:A15,'Janeiro 2023 - Valor Real'!C3:C15,0))+1)/(((L71-1)*(1-_xlfn.XLOOKUP(K71,'Janeiro 2023 - Valor Real'!A3:A15,'Janeiro 2023 - Valor Real'!C3:C15,0))+1)+((L70/(L70-1)-1)*(1-_xlfn.XLOOKUP(K70,'Janeiro 2023 - Valor Real'!A3:A15,'Janeiro 2023 - Valor Real'!C3:C15,0))+1))),IF(I71="Lay",(((L71/(L71-1)-1)*(1-_xlfn.XLOOKUP(K71,'Janeiro 2023 - Valor Real'!A3:A15,'Janeiro 2023 - Valor Real'!C3:C15,0))+1))/(((L70-1)*(1-_xlfn.XLOOKUP(K70,'Janeiro 2023 - Valor Real'!A3:A15,'Janeiro 2023 - Valor Real'!C3:C15,0))+1)+((L71/(L71-1)-1)*(1-_xlfn.XLOOKUP(K71,'Janeiro 2023 - Valor Real'!A3:A15,'Janeiro 2023 - Valor Real'!C3:C15,0))+1)),((L71-1)*(1-_xlfn.XLOOKUP(K71,'Janeiro 2023 - Valor Real'!A3:A15,'Janeiro 2023 - Valor Real'!C3:C15,0))+1)/(((L71-1)*(1-_xlfn.XLOOKUP(K71,'Janeiro 2023 - Valor Real'!A3:A15,'Janeiro 2023 - Valor Real'!C3:C15,0))+1)+((L70-1)*(1-_xlfn.XLOOKUP(K70,'Janeiro 2023 - Valor Real'!A3:A15,'Janeiro 2023 - Valor Real'!C3:C15,0))+1))))))</f>
        <v>0.498806682577566</v>
      </c>
      <c r="AF70" s="132">
        <f>IF($K70=AF$3,ROUND(IF(OR($C70="W",$C70="1/2W",$C70="1/2L"),$P70-$O70,IF($C70="X",0,-$O70)),2),0)</f>
        <v>0</v>
      </c>
      <c r="AG70" s="133">
        <f>IF($K70=AG$3,ROUND(IF(OR($C70="W",$C70="1/2W",$C70="1/2L"),$P70-$O70,IF($C70="X",0,-$O70)),2),0)</f>
        <v>0</v>
      </c>
      <c r="AH70" s="133">
        <f>IF($K70=AH$3,ROUND(IF(OR($C70="W",$C70="1/2W",$C70="1/2L"),$P70-$O70,IF($C70="X",0,-$O70)),2),0)</f>
        <v>0</v>
      </c>
      <c r="AI70" s="133">
        <f>IF($K70=AI$3,ROUND(IF(OR($C70="W",$C70="1/2W",$C70="1/2L"),$P70-$O70,IF($C70="X",0,-$O70)),2),0)</f>
        <v>0</v>
      </c>
      <c r="AJ70" s="133">
        <f>IF($K70=AJ$3,ROUND(IF(OR($C70="W",$C70="1/2W",$C70="1/2L"),$P70-$O70,IF($C70="X",0,-$O70)),2),0)</f>
        <v>0</v>
      </c>
      <c r="AK70" s="133">
        <f>IF($K70=AK$3,ROUND(IF(OR($C70="W",$C70="1/2W",$C70="1/2L"),$P70-$O70,IF($C70="X",0,-$O70)),2),0)</f>
        <v>0</v>
      </c>
      <c r="AL70" s="133">
        <f>IF($K70=AL$3,ROUND(IF(OR($C70="W",$C70="1/2W",$C70="1/2L"),$P70-$O70,IF($C70="X",0,-$O70)),2),0)</f>
        <v>0</v>
      </c>
      <c r="AM70" s="133">
        <f>IF($K70=AM$3,ROUND(IF(OR($C70="W",$C70="1/2W",$C70="1/2L"),$P70-$O70,IF($C70="X",0,-$O70)),2),0)</f>
        <v>0</v>
      </c>
      <c r="AN70" s="133">
        <f>IF($K70=AN$3,ROUND(IF(OR($C70="W",$C70="1/2W",$C70="1/2L"),$P70-$O70,IF($C70="X",0,-$O70)),2),0)</f>
        <v>0</v>
      </c>
      <c r="AO70" s="133">
        <f>IF($K70=AO$3,ROUND(IF(OR($C70="W",$C70="1/2W",$C70="1/2L"),$P70-$O70,IF($C70="X",0,-$O70)),2),0)</f>
        <v>0</v>
      </c>
      <c r="AP70" s="133">
        <f>IF($K70=AP$3,ROUND(IF(OR($C70="W",$C70="1/2W",$C70="1/2L"),$P70-$O70,IF($C70="X",0,-$O70)),2),0)</f>
        <v>0</v>
      </c>
      <c r="AQ70" s="133">
        <f>IF($K70=AQ$3,ROUND(IF(OR($C70="W",$C70="1/2W",$C70="1/2L"),$P70-$O70,IF($C70="X",0,-$O70)),2),0)</f>
        <v>0</v>
      </c>
      <c r="AR70" s="134">
        <f>IF($K70=AR$3,ROUND(IF(OR($C70="W",$C70="1/2W",$C70="1/2L"),$P70-$O70,IF($C70="X",0,-$O70)),2),0)</f>
        <v>0</v>
      </c>
      <c r="AS70" s="132">
        <f>IF(AND($B70=" ",$K70=AS$3),$O70,0)</f>
        <v>0</v>
      </c>
      <c r="AT70" s="133">
        <f>IF(AND($B70=" ",$K70=AT$3),$O70,0)</f>
        <v>0</v>
      </c>
      <c r="AU70" s="133">
        <f>IF(AND($B70=" ",$K70=AU$3),$O70,0)</f>
        <v>0</v>
      </c>
      <c r="AV70" s="133">
        <f>IF(AND($B70=" ",$K70=AV$3),$O70,0)</f>
        <v>0</v>
      </c>
      <c r="AW70" s="133">
        <f>IF(AND($B70=" ",$K70=AW$3),$O70,0)</f>
        <v>0</v>
      </c>
      <c r="AX70" s="133">
        <f>IF(AND($B70=" ",$K70=AX$3),$O70,0)</f>
        <v>0</v>
      </c>
      <c r="AY70" s="135">
        <f>IF(AND($B70=" ",$K70=AY$3),$O70,0)</f>
        <v>0</v>
      </c>
      <c r="AZ70" s="136">
        <f>IF(AND($B70=" ",$K70=AZ$3),$O70,0)</f>
        <v>0</v>
      </c>
      <c r="BA70" s="136">
        <f>IF(AND($B70=" ",$K70=BA$3),$O70,0)</f>
        <v>0</v>
      </c>
      <c r="BB70" s="136">
        <f>IF(AND($B70=" ",$K70=BB$3),$O70,0)</f>
        <v>0</v>
      </c>
      <c r="BC70" s="137">
        <f>IF(AND($B70=" ",$K70=BC$3),$O70,0)</f>
        <v>0</v>
      </c>
      <c r="BD70" s="133">
        <f>IF(AND($B70=" ",$K70=BD$3),$O70,0)</f>
        <v>0</v>
      </c>
      <c r="BE70" s="134">
        <f>IF(AND($B70=" ",$K70=BE$3),$O70,0)</f>
        <v>0</v>
      </c>
      <c r="BF70" s="132">
        <f>IF($K70=BF$3,IF($C70="X",0,$O70),0)</f>
        <v>0</v>
      </c>
      <c r="BG70" s="133">
        <f>IF($K70=BG$3,IF($C70="X",0,$O70),0)</f>
        <v>0</v>
      </c>
      <c r="BH70" s="133">
        <f>IF($K70=BH$3,IF($C70="X",0,$O70),0)</f>
        <v>0</v>
      </c>
      <c r="BI70" s="133">
        <f>IF($K70=BI$3,IF($C70="X",0,$O70),0)</f>
        <v>0</v>
      </c>
      <c r="BJ70" s="133">
        <f>IF($K70=BJ$3,IF($C70="X",0,$O70),0)</f>
        <v>0</v>
      </c>
      <c r="BK70" s="133">
        <f>IF($K70=BK$3,IF($C70="X",0,$O70),0)</f>
        <v>0</v>
      </c>
      <c r="BL70" s="133">
        <f>IF($K70=BL$3,IF($C70="X",0,$O70),0)</f>
        <v>0</v>
      </c>
      <c r="BM70" s="135">
        <f>IF($K70=BM$3,IF($C70="X",0,$O70),0)</f>
        <v>0</v>
      </c>
      <c r="BN70" s="136">
        <f>IF($K70=BN$3,IF($C70="X",0,$O70),0)</f>
        <v>0</v>
      </c>
      <c r="BO70" s="136">
        <f>IF($K70=BO$3,IF($C70="X",0,$O70),0)</f>
        <v>0</v>
      </c>
      <c r="BP70" s="136">
        <f>IF($K70=BP$3,IF($C70="X",0,$O70),0)</f>
        <v>0</v>
      </c>
      <c r="BQ70" s="137">
        <f>IF($K70=BQ$3,IF($C70="X",0,$O70),0)</f>
        <v>0</v>
      </c>
      <c r="BR70" s="134">
        <f>IF($K70=BR$3,IF($C70="X",0,$O70),0)</f>
        <v>0</v>
      </c>
      <c r="BS70" s="170">
        <f>IF($B70="LOSS",IF(AND($K70=BS$3,$C70="L"),-$O70,0)+IF(AND($K71=BS$3,$C71="L"),-$O71,0)+IF(AND($K72=BS$3,$C72="L"),-$O72,0),IF(OR(AND($K70=BS$3,OR($C70="W",$C70="1/2W")),AND($K71=BS$3,OR($C71="W",$C71="1/2W")),AND($K72=BS$3,OR($C72="W",$C72="1/2W"))),$S70,0))</f>
        <v>0</v>
      </c>
      <c r="BT70" s="272">
        <f>IF($B70="LOSS",IF(AND($K70=BT$3,$C70="L"),-$O70,0)+IF(AND($K71=BT$3,$C71="L"),-$O71,0)+IF(AND($K71=BT$3,$C72="L"),-$O72,0),IF(OR(AND($K71=BT$3,OR($C70="W",$C70="1/2W")),AND($K71=BT$3,OR($C71="W",$C71="1/2W")),AND($K71=BT$3,OR($C72="W",$C72="1/2W"))),$S70,0))</f>
        <v>0</v>
      </c>
      <c r="BU70" s="136">
        <f>IF($B70="LOSS",IF(AND($K70=BU$3,$C70="L"),-$O70,0)+IF(AND($K71=BU$3,$C71="L"),-$O71,0)+IF(AND($K71=BU$3,$C72="L"),-$O72,0),IF(OR(AND($K71=BU$3,OR($C70="W",$C70="1/2W")),AND($K71=BU$3,OR($C71="W",$C71="1/2W")),AND($K71=BU$3,OR($C72="W",$C72="1/2W"))),$S70,0))</f>
        <v>0</v>
      </c>
      <c r="BV70" s="136">
        <f>IF($B70="LOSS",IF(AND($K70=BV$3,$C70="L"),-$O70,0)+IF(AND($K71=BV$3,$C71="L"),-$O71,0)+IF(AND($K72=BV$3,$C72="L"),-$O72,0),IF(OR(AND($K70=BV$3,OR($C70="W",$C70="1/2W")),AND($K71=BV$3,OR($C71="W",$C71="1/2W")),AND($K72=BV$3,OR($C72="W",$C72="1/2W"))),$S70,0))</f>
        <v>0</v>
      </c>
      <c r="BW70" s="136">
        <f>IF($B70="LOSS",IF(AND($K70=BW$3,$C70="L"),-$O70,0)+IF(AND($K71=BW$3,$C71="L"),-$O71,0)+IF(AND($K72=BW$3,$C72="L"),-$O72,0),IF(OR(AND($K70=BW$3,OR($C70="W",$C70="1/2W")),AND($K71=BW$3,OR($C71="W",$C71="1/2W")),AND($K72=BW$3,OR($C72="W",$C72="1/2W"))),$S70,0))</f>
        <v>0</v>
      </c>
      <c r="BX70" s="136">
        <f>IF($B70="LOSS",IF(AND($K70=BX$3,$C70="L"),-$O70,0)+IF(AND($K71=BX$3,$C71="L"),-$O71,0)+IF(AND($K72=BX$3,$C72="L"),-$O72,0),IF(OR(AND($K70=BX$3,OR($C70="W",$C70="1/2W")),AND($K71=BX$3,OR($C71="W",$C71="1/2W")),AND($K72=BX$3,OR($C72="W",$C72="1/2W"))),$S70,0))</f>
        <v>0</v>
      </c>
      <c r="BY70" s="136">
        <f>IF($B70="LOSS",IF(AND($K70=BY$3,$C70="L"),-$O70,0)+IF(AND($K71=BY$3,$C71="L"),-$O71,0)+IF(AND($K72=BY$3,$C72="L"),-$O72,0),IF(OR(AND($K70=BY$3,OR($C70="W",$C70="1/2W")),AND($K71=BY$3,OR($C71="W",$C71="1/2W")),AND($K72=BY$3,OR($C72="W",$C72="1/2W"))),$S70,0))</f>
        <v>0</v>
      </c>
      <c r="BZ70" s="136">
        <f>IF($B70="LOSS",IF(AND($K70=BZ$3,$C70="L"),-$O70,0)+IF(AND($K71=BZ$3,$C71="L"),-$O71,0)+IF(AND($K72=BZ$3,$C72="L"),-$O72,0),IF(OR(AND($K70=BZ$3,OR($C70="W",$C70="1/2W")),AND($K71=BZ$3,OR($C71="W",$C71="1/2W")),AND($K72=BZ$3,OR($C72="W",$C72="1/2W"))),$S70,0))</f>
        <v>0</v>
      </c>
      <c r="CA70" s="136">
        <f>IF($B70="LOSS",IF(AND($K70=CA$3,$C70="L"),-$O70,0)+IF(AND($K71=CA$3,$C71="L"),-$O71,0)+IF(AND($K72=CA$3,$C72="L"),-$O72,0),IF(OR(AND($K70=CA$3,OR($C70="W",$C70="1/2W")),AND($K71=CA$3,OR($C71="W",$C71="1/2W")),AND($K72=CA$3,OR($C72="W",$C72="1/2W"))),$S70,0))</f>
        <v>0</v>
      </c>
      <c r="CB70" s="136">
        <f>IF($B70="LOSS",IF(AND($K70=CB$3,$C70="L"),-$O70,0)+IF(AND($K71=CB$3,$C71="L"),-$O71,0)+IF(AND($K72=CB$3,$C72="L"),-$O72,0),IF(OR(AND($K70=CB$3,OR($C70="W",$C70="1/2W")),AND($K71=CB$3,OR($C71="W",$C71="1/2W")),AND($K72=CB$3,OR($C72="W",$C72="1/2W"))),$S70,0))</f>
        <v>0</v>
      </c>
      <c r="CC70" s="136">
        <f>IF($B70="LOSS",IF(AND($K70=CC$3,$C70="L"),-$O70,0)+IF(AND($K71=CC$3,$C71="L"),-$O71,0)+IF(AND($K72=CC$3,$C72="L"),-$O72,0),IF(OR(AND($K70=CC$3,OR($C70="W",$C70="1/2W")),AND($K71=CC$3,OR($C71="W",$C71="1/2W")),AND($K72=CC$3,OR($C72="W",$C72="1/2W"))),$S70,0))</f>
        <v>0</v>
      </c>
      <c r="CD70" s="137">
        <f>IF($B70="LOSS",IF(AND($K70=CD$3,$C70="L"),-$O70,0)+IF(AND($K71=CD$3,$C71="L"),-$O71,0)+IF(AND($K72=CD$3,$C72="L"),-$O72,0),IF(OR(AND($K70=CD$3,OR($C70="W",$C70="1/2W")),AND($K71=CD$3,OR($C71="W",$C71="1/2W")),AND($K72=CD$3,OR($C72="W",$C72="1/2W"))),$S70,0))</f>
        <v>0</v>
      </c>
      <c r="CE70" s="134">
        <f>IF($B70="LOSS",IF(AND($K70=CE$3,$C70="L"),-$O70,0)+IF(AND($K71=CE$3,$C71="L"),-$O71,0)+IF(AND($K72=CE$3,$C72="L"),-$O72,0),IF(OR(AND($K70=CE$3,OR($C70="W",$C70="1/2W")),AND($K71=CE$3,OR($C71="W",$C71="1/2W")),AND($K72=CE$3,OR($C72="W",$C72="1/2W"))),$S70,0))</f>
        <v>0</v>
      </c>
      <c r="CF70" s="273">
        <f>IF(CF$3=$K70,IF($C70="W",1,IF($C70="1/2W",0.5,0)),0)</f>
        <v>0</v>
      </c>
      <c r="CG70" s="274">
        <f>IF(CF$3=$K70,IF($C70="L",1,IF($C70="1/2L",0.5,0)),0)</f>
        <v>0</v>
      </c>
      <c r="CH70" s="274">
        <f>IF(CH$3=$K70,IF($C70="W",1,IF($C70="1/2W",0.5,0)),0)</f>
        <v>0</v>
      </c>
      <c r="CI70" s="274">
        <f>IF(CH$3=$K70,IF($C70="L",1,IF($C70="1/2L",0.5,0)),0)</f>
        <v>0</v>
      </c>
      <c r="CJ70" s="274">
        <f>IF(CJ$3=$K70,IF($C70="W",1,IF($C70="1/2W",0.5,0)),0)</f>
        <v>0</v>
      </c>
      <c r="CK70" s="274">
        <f>IF(CJ$3=$K70,IF($C70="L",1,IF($C70="1/2L",0.5,0)),0)</f>
        <v>0</v>
      </c>
      <c r="CL70" s="274">
        <f>IF(CL$3=$K70,IF($C70="W",1,IF($C70="1/2W",0.5,0)),0)</f>
        <v>0</v>
      </c>
      <c r="CM70" s="274">
        <f>IF(CL$3=$K70,IF($C70="L",1,IF($C70="1/2L",0.5,0)),0)</f>
        <v>0</v>
      </c>
      <c r="CN70" s="274">
        <f>IF(CN$3=$K70,IF($C70="W",1,IF($C70="1/2W",0.5,0)),0)</f>
        <v>0</v>
      </c>
      <c r="CO70" s="274">
        <f>IF(CN$3=$K70,IF($C70="L",1,IF($C70="1/2L",0.5,0)),0)</f>
        <v>0</v>
      </c>
      <c r="CP70" s="274">
        <f>IF(CP$3=$K70,IF($C70="W",1,IF($C70="1/2W",0.5,0)),0)</f>
        <v>0</v>
      </c>
      <c r="CQ70" s="274">
        <f>IF(CP$3=$K70,IF($C70="L",1,IF($C70="1/2L",0.5,0)),0)</f>
        <v>0</v>
      </c>
      <c r="CR70" s="274">
        <f>IF(CR$3=$K70,IF($C70="W",1,IF($C70="1/2W",0.5,0)),0)</f>
        <v>0</v>
      </c>
      <c r="CS70" s="274">
        <f>IF(CR$3=$K70,IF($C70="L",1,IF($C70="1/2L",0.5,0)),0)</f>
        <v>0</v>
      </c>
      <c r="CT70" s="145">
        <f>IF(CT$3=$K70,IF($C70="W",1,IF($C70="1/2W",0.5,0)),0)</f>
        <v>0</v>
      </c>
      <c r="CU70" s="146">
        <f>IF(CT$3=$K70,IF($C70="L",1,IF($C70="1/2L",0.5,0)),0)</f>
        <v>0</v>
      </c>
      <c r="CV70" s="146">
        <f>IF(CV$3=$K70,IF($C70="W",1,IF($C70="1/2W",0.5,0)),0)</f>
        <v>0</v>
      </c>
      <c r="CW70" s="146">
        <f>IF(CV$3=$K70,IF($C70="L",1,IF($C70="1/2L",0.5,0)),0)</f>
        <v>0</v>
      </c>
      <c r="CX70" s="146">
        <f>IF(CX$3=$K70,IF($C70="W",1,IF($C70="1/2W",0.5,0)),0)</f>
        <v>0</v>
      </c>
      <c r="CY70" s="146">
        <f>IF(CX$3=$K70,IF($C70="L",1,IF($C70="1/2L",0.5,0)),0)</f>
        <v>0</v>
      </c>
      <c r="CZ70" s="146">
        <f>IF(CZ$3=$K70,IF($C70="W",1,IF($C70="1/2W",0.5,0)),0)</f>
        <v>0</v>
      </c>
      <c r="DA70" s="146">
        <f>IF(CZ$3=$K70,IF($C70="L",1,IF($C70="1/2L",0.5,0)),0)</f>
        <v>0</v>
      </c>
      <c r="DB70" s="146">
        <f>IF(DB$3=$K70,IF($C70="W",1,IF($C70="1/2W",0.5,0)),0)</f>
        <v>0</v>
      </c>
      <c r="DC70" s="146">
        <f>IF(DB$3=$K70,IF($C70="L",1,IF($C70="1/2L",0.5,0)),0)</f>
        <v>0</v>
      </c>
      <c r="DD70" s="146">
        <f>IF(DD$3=$K70,IF($C70="W",1,IF($C70="1/2W",0.5,0)),0)</f>
        <v>0</v>
      </c>
      <c r="DE70" s="147">
        <f>IF(DD$3=$K70,IF($C70="L",1,IF($C70="1/2L",0.5,0)),0)</f>
        <v>0</v>
      </c>
      <c r="DF70" s="143">
        <f>IF(AND(L70&lt;DF$3,$C70="W"),1+DF69,DF69)</f>
        <v>5</v>
      </c>
      <c r="DG70" s="133">
        <f>IF(DF70&gt;DF69,L70+DG69,DG69)</f>
        <v>6.558</v>
      </c>
      <c r="DH70" s="146">
        <f>IF(AND(L70&gt;DH$3,$C70="W"),1+DH69,0+DH69)</f>
        <v>1</v>
      </c>
      <c r="DI70" s="133">
        <f>IF(DH70&gt;DH69,L70+DI69,DI69)</f>
        <v>4.33</v>
      </c>
      <c r="DJ70" t="s" s="304">
        <f>IF($D70="","",$D70)</f>
        <v>101</v>
      </c>
      <c r="DK70" s="146">
        <f>IF(AND($B70=" ",$D70&lt;&gt;""),1,0)</f>
        <v>0</v>
      </c>
    </row>
    <row r="71" ht="14.55" customHeight="1">
      <c r="A71" s="107"/>
      <c r="B71" s="108"/>
      <c r="C71" t="s" s="109">
        <v>114</v>
      </c>
      <c r="D71" s="110"/>
      <c r="E71" s="111"/>
      <c r="F71" s="113"/>
      <c r="G71" s="252"/>
      <c r="H71" s="114"/>
      <c r="I71" t="s" s="275">
        <v>57</v>
      </c>
      <c r="J71" s="276">
        <f>IF(OR(I70="TO",I70="TU",I70="TO1",I70="TU1",I70="TO2",I70="TU2"),J70,IF(OR(I70="AH1",I70="AH2"),IF(OR(I71="AH1",I71="AH2"),-J70,IF(OR(I71="EH1",I71="EH2"),-J70+0.5,"")),IF(OR(I70="EH1",I70="EH2"),IF(OR(I71="AH1",I71="AH2"),-J70+0.5,IF(OR(I71="EH1",I71="EH2"),-J70+1,"")),IF(AND(OR(I70="DNB1",I70="DNB2"),OR(I71="AH1",I71="AH2")),0,IF(AND(I70="Not ScoreBoth",OR(I71="TO1",I71="TO2")),0.5,"")))))</f>
        <v>0</v>
      </c>
      <c r="K71" t="s" s="117">
        <v>44</v>
      </c>
      <c r="L71" s="277">
        <v>2.09</v>
      </c>
      <c r="M71" s="278"/>
      <c r="N71" s="120"/>
      <c r="O71" s="121">
        <f>IF(OR(AE70="",AE71=""),"",ROUND(IF(L72&gt;0,IF(M71&gt;0,M71,IF(M70&gt;0,IF(N70=TRUE,ROUND((M70*AE71)/AE70,0),(M70*AE71)/AE70),IF(M71&gt;0,ROUND(M71,IF(N70=0,2,IF(N70=0.1,1,0))),IF(M72&gt;0,ROUND(O72*AE71/AE72,IF(N70=0,2,IF(N70=0.1,1,0))),0)))),IF(M71&gt;0,M71,ROUND((M70*AE71)/AE70,IF(N70=0,2,IF(N70=0.1,1,0))))),2))</f>
        <v>63.94</v>
      </c>
      <c r="P71" s="122">
        <f>IF(OR(L71="",O71=""),"",IF($C71="1/2W",O71/2+O71/2*L71,IF($C71="1/2L",O71/2,IF(I71="Lay",((O71*(L71/(L71-1)))-O71)*(1-_xlfn.XLOOKUP(K71,'Janeiro 2023 - Valor Real'!A3:A15,'Janeiro 2023 - Valor Real'!C3:C15,0))+O71,(O71*L71-O71)*(1-_xlfn.XLOOKUP(K71,'Janeiro 2023 - Valor Real'!A3:A15,'Janeiro 2023 - Valor Real'!C3:C15,0))+O71))))</f>
        <v>133.6346</v>
      </c>
      <c r="Q71" s="279">
        <v>4</v>
      </c>
      <c r="R71" s="280">
        <v>0</v>
      </c>
      <c r="S71" s="125"/>
      <c r="T71" s="126"/>
      <c r="U71" s="126"/>
      <c r="V71" s="224"/>
      <c r="W71" s="126"/>
      <c r="X71" s="127"/>
      <c r="Y71" s="128"/>
      <c r="Z71" s="129"/>
      <c r="AA71" s="129"/>
      <c r="AB71" s="129"/>
      <c r="AC71" s="129"/>
      <c r="AD71" s="130"/>
      <c r="AE71" s="131">
        <f>IF(L71="","",IF(L72&gt;0,(SUM(((L70-1)*(1-_xlfn.XLOOKUP(K70,'Janeiro 2023 - Valor Real'!A3:A15,'Janeiro 2023 - Valor Real'!C3:C15,0))+1),((L71-1)*(1-_xlfn.XLOOKUP(K71,'Janeiro 2023 - Valor Real'!A3:A15,'Janeiro 2023 - Valor Real'!C3:C15,0))+1),((L72-1)*(1-_xlfn.XLOOKUP(K72,'Janeiro 2023 - Valor Real'!A3:A15,'Janeiro 2023 - Valor Real'!C3:C15,0))+1))/((L71-1)*(1-_xlfn.XLOOKUP(K71,'Janeiro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Real'!C3:C15,0))+1))/((L70-1)*(1-_xlfn.XLOOKUP(K70,'Janeiro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Real'!C3:C15,0))+1))/((L71-1)*(1-_xlfn.XLOOKUP(K71,'Janeiro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Real'!C3:C15,0))+1))/((L72-1)*(1-_xlfn.XLOOKUP(K72,'Janeiro 2023 - Valor Real'!A3:A15,'Janeiro 2023 - Valor Real'!C3:C15,0))+1)),IF(I71="Lay",IF(I70="Lay",((L70/(L70-1)-1)*(1-_xlfn.XLOOKUP(K70,'Janeiro 2023 - Valor Real'!A3:A15,'Janeiro 2023 - Valor Real'!C3:C15,0))+1)/(((L70/(L70-1)-1)*(1-_xlfn.XLOOKUP(K70,'Janeiro 2023 - Valor Real'!A3:A15,'Janeiro 2023 - Valor Real'!C3:C15,0))+1)+((L71/(L71-1)-1)*(1-_xlfn.XLOOKUP(K71,'Janeiro 2023 - Valor Real'!A3:A15,'Janeiro 2023 - Valor Real'!C3:C15,0))+1)),((L70-1)*(1-_xlfn.XLOOKUP(K70,'Janeiro 2023 - Valor Real'!A3:A15,'Janeiro 2023 - Valor Real'!C3:C15,0))+1)/(((L70-1)*(1-_xlfn.XLOOKUP(K70,'Janeiro 2023 - Valor Real'!A3:A15,'Janeiro 2023 - Valor Real'!C3:C15,0))+1)+((L71/(L71-1)-1)*(1-_xlfn.XLOOKUP(K71,'Janeiro 2023 - Valor Real'!A3:A15,'Janeiro 2023 - Valor Real'!C3:C15,0))+1))),IF(I70="Lay",((L70/(L70-1)-1)*(1-_xlfn.XLOOKUP(K70,'Janeiro 2023 - Valor Real'!A3:A15,'Janeiro 2023 - Valor Real'!C3:C15,0))+1)/((((L70/(L70-1)-1)*(1-_xlfn.XLOOKUP(K70,'Janeiro 2023 - Valor Real'!A3:A15,'Janeiro 2023 - Valor Real'!C3:C15,0))+1))+((L71-1)*(1-_xlfn.XLOOKUP(K71,'Janeiro 2023 - Valor Real'!A3:A15,'Janeiro 2023 - Valor Real'!C3:C15,0))+1)),((L70-1)*(1-_xlfn.XLOOKUP(K70,'Janeiro 2023 - Valor Real'!A3:A15,'Janeiro 2023 - Valor Real'!C3:C15,0))+1)/(((L70-1)*(1-_xlfn.XLOOKUP(K70,'Janeiro 2023 - Valor Real'!A3:A15,'Janeiro 2023 - Valor Real'!C3:C15,0))+1)+((L71-1)*(1-_xlfn.XLOOKUP(K71,'Janeiro 2023 - Valor Real'!A3:A15,'Janeiro 2023 - Valor Real'!C3:C15,0))+1))))))</f>
        <v>0.501193317422434</v>
      </c>
      <c r="AF71" s="132">
        <f>IF($K71=AF$3,ROUND(IF(OR($C71="W",$C71="1/2W",$C71="1/2L"),$P71-$O71,IF($C71="X",0,-$O71)),2),0)</f>
        <v>0</v>
      </c>
      <c r="AG71" s="133">
        <f>IF($K71=AG$3,ROUND(IF(OR($C71="W",$C71="1/2W",$C71="1/2L"),$P71-$O71,IF($C71="X",0,-$O71)),2),0)</f>
        <v>0</v>
      </c>
      <c r="AH71" s="133">
        <f>IF($K71=AH$3,ROUND(IF(OR($C71="W",$C71="1/2W",$C71="1/2L"),$P71-$O71,IF($C71="X",0,-$O71)),2),0)</f>
        <v>0</v>
      </c>
      <c r="AI71" s="133">
        <f>IF($K71=AI$3,ROUND(IF(OR($C71="W",$C71="1/2W",$C71="1/2L"),$P71-$O71,IF($C71="X",0,-$O71)),2),0)</f>
        <v>0</v>
      </c>
      <c r="AJ71" s="133">
        <f>IF($K71=AJ$3,ROUND(IF(OR($C71="W",$C71="1/2W",$C71="1/2L"),$P71-$O71,IF($C71="X",0,-$O71)),2),0)</f>
        <v>0</v>
      </c>
      <c r="AK71" s="133">
        <f>IF($K71=AK$3,ROUND(IF(OR($C71="W",$C71="1/2W",$C71="1/2L"),$P71-$O71,IF($C71="X",0,-$O71)),2),0)</f>
        <v>0</v>
      </c>
      <c r="AL71" s="133">
        <f>IF($K71=AL$3,ROUND(IF(OR($C71="W",$C71="1/2W",$C71="1/2L"),$P71-$O71,IF($C71="X",0,-$O71)),2),0)</f>
        <v>0</v>
      </c>
      <c r="AM71" s="133">
        <f>IF($K71=AM$3,ROUND(IF(OR($C71="W",$C71="1/2W",$C71="1/2L"),$P71-$O71,IF($C71="X",0,-$O71)),2),0)</f>
        <v>0</v>
      </c>
      <c r="AN71" s="133">
        <f>IF($K71=AN$3,ROUND(IF(OR($C71="W",$C71="1/2W",$C71="1/2L"),$P71-$O71,IF($C71="X",0,-$O71)),2),0)</f>
        <v>0</v>
      </c>
      <c r="AO71" s="133">
        <f>IF($K71=AO$3,ROUND(IF(OR($C71="W",$C71="1/2W",$C71="1/2L"),$P71-$O71,IF($C71="X",0,-$O71)),2),0)</f>
        <v>0</v>
      </c>
      <c r="AP71" s="133">
        <f>IF($K71=AP$3,ROUND(IF(OR($C71="W",$C71="1/2W",$C71="1/2L"),$P71-$O71,IF($C71="X",0,-$O71)),2),0)</f>
        <v>0</v>
      </c>
      <c r="AQ71" s="133">
        <f>IF($K71=AQ$3,ROUND(IF(OR($C71="W",$C71="1/2W",$C71="1/2L"),$P71-$O71,IF($C71="X",0,-$O71)),2),0)</f>
        <v>0</v>
      </c>
      <c r="AR71" s="134">
        <f>IF($K71=AR$3,ROUND(IF(OR($C71="W",$C71="1/2W",$C71="1/2L"),$P71-$O71,IF($C71="X",0,-$O71)),2),0)</f>
        <v>0</v>
      </c>
      <c r="AS71" s="132">
        <f>IF(AND($B70=" ",$K71=AS$3),$O71,0)</f>
        <v>0</v>
      </c>
      <c r="AT71" s="133">
        <f>IF(AND($B70=" ",K71=AT$3),$O71,0)</f>
        <v>0</v>
      </c>
      <c r="AU71" s="133">
        <f>IF(AND($B70=" ",$K71=AU$3),$O71,0)</f>
        <v>0</v>
      </c>
      <c r="AV71" s="133">
        <f>IF(AND($B70=" ",$K71=AV$3),$O71,0)</f>
        <v>0</v>
      </c>
      <c r="AW71" s="133">
        <f>IF(AND($B70=" ",$K71=AW$3),$O71,0)</f>
        <v>0</v>
      </c>
      <c r="AX71" s="133">
        <f>IF(AND($B70=" ",$K71=AX$3),$O71,0)</f>
        <v>0</v>
      </c>
      <c r="AY71" s="135">
        <f>IF(AND($B70=" ",$K71=AY$3),$O71,0)</f>
        <v>0</v>
      </c>
      <c r="AZ71" s="136">
        <f>IF(AND($B70=" ",$K71=AZ$3),$O71,0)</f>
        <v>0</v>
      </c>
      <c r="BA71" s="136">
        <f>IF(AND($B70=" ",$K71=BA$3),$O71,0)</f>
        <v>0</v>
      </c>
      <c r="BB71" s="136">
        <f>IF(AND($B70=" ",$K71=BB$3),$O71,0)</f>
        <v>0</v>
      </c>
      <c r="BC71" s="137">
        <f>IF(AND($B70=" ",$K71=BC$3),$O71,0)</f>
        <v>0</v>
      </c>
      <c r="BD71" s="133">
        <f>IF(AND($B70=" ",$K71=BD$3),$O71,0)</f>
        <v>0</v>
      </c>
      <c r="BE71" s="134">
        <f>IF(AND($B70=" ",$K71=BE$3),$O71,0)</f>
        <v>0</v>
      </c>
      <c r="BF71" s="132">
        <f>IF($K71=BF$3,IF($C71="X",0,$O71),0)</f>
        <v>0</v>
      </c>
      <c r="BG71" s="281">
        <f>IF($K71=BG$3,IF($C71="X",0,$O71),0)</f>
        <v>0</v>
      </c>
      <c r="BH71" s="133">
        <f>IF($K71=BH$3,IF($C71="X",0,$O71),0)</f>
        <v>0</v>
      </c>
      <c r="BI71" s="133">
        <f>IF($K71=BI$3,IF($C71="X",0,$O71),0)</f>
        <v>0</v>
      </c>
      <c r="BJ71" s="133">
        <f>IF($K71=BJ$3,IF($C71="X",0,$O71),0)</f>
        <v>0</v>
      </c>
      <c r="BK71" s="133">
        <f>IF($K71=BK$3,IF($C71="X",0,$O71),0)</f>
        <v>0</v>
      </c>
      <c r="BL71" s="133">
        <f>IF($K71=BL$3,IF($C71="X",0,$O71),0)</f>
        <v>0</v>
      </c>
      <c r="BM71" s="135">
        <f>IF($K71=BM$3,IF($C71="X",0,$O71),0)</f>
        <v>0</v>
      </c>
      <c r="BN71" s="136">
        <f>IF($K71=BN$3,IF($C71="X",0,$O71),0)</f>
        <v>0</v>
      </c>
      <c r="BO71" s="136">
        <f>IF($K71=BO$3,IF($C71="X",0,$O71),0)</f>
        <v>0</v>
      </c>
      <c r="BP71" s="136">
        <f>IF($K71=BP$3,IF($C71="X",0,$O71),0)</f>
        <v>0</v>
      </c>
      <c r="BQ71" s="137">
        <f>IF($K71=BQ$3,IF($C71="X",0,$O71),0)</f>
        <v>0</v>
      </c>
      <c r="BR71" s="134">
        <f>IF($K71=BR$3,IF($C71="X",0,$O71),0)</f>
        <v>0</v>
      </c>
      <c r="BS71" s="282"/>
      <c r="BT71" s="283"/>
      <c r="BU71" s="140"/>
      <c r="BV71" s="283"/>
      <c r="BW71" s="140"/>
      <c r="BX71" s="140"/>
      <c r="BY71" s="140"/>
      <c r="BZ71" s="283"/>
      <c r="CA71" s="140"/>
      <c r="CB71" s="140"/>
      <c r="CC71" s="140"/>
      <c r="CD71" s="141"/>
      <c r="CE71" s="142"/>
      <c r="CF71" s="284">
        <f>IF(CF$3=$K71,IF($C71="W",1,IF($C71="1/2W",0.5,0)),0)</f>
        <v>0</v>
      </c>
      <c r="CG71" s="285">
        <f>IF(CF$3=$K71,IF($C71="L",1,IF($C71="1/2L",0.5,0)),0)</f>
        <v>0</v>
      </c>
      <c r="CH71" s="285">
        <f>IF(CH$3=$K71,IF($C71="W",1,IF($C71="1/2W",0.5,0)),0)</f>
        <v>0</v>
      </c>
      <c r="CI71" s="285">
        <f>IF(CH$3=$K71,IF($C71="L",1,IF($C71="1/2L",0.5,0)),0)</f>
        <v>0</v>
      </c>
      <c r="CJ71" s="285">
        <f>IF(CJ$3=$K71,IF($C71="W",1,IF($C71="1/2W",0.5,0)),0)</f>
        <v>0</v>
      </c>
      <c r="CK71" s="285">
        <f>IF(CJ$3=$K71,IF($C71="L",1,IF($C71="1/2L",0.5,0)),0)</f>
        <v>0</v>
      </c>
      <c r="CL71" s="285">
        <f>IF(CL$3=$K71,IF($C71="W",1,IF($C71="1/2W",0.5,0)),0)</f>
        <v>0</v>
      </c>
      <c r="CM71" s="285">
        <f>IF(CL$3=$K71,IF($C71="L",1,IF($C71="1/2L",0.5,0)),0)</f>
        <v>0</v>
      </c>
      <c r="CN71" s="285">
        <f>IF(CN$3=$K71,IF($C71="W",1,IF($C71="1/2W",0.5,0)),0)</f>
        <v>0</v>
      </c>
      <c r="CO71" s="285">
        <f>IF(CN$3=$K71,IF($C71="L",1,IF($C71="1/2L",0.5,0)),0)</f>
        <v>0</v>
      </c>
      <c r="CP71" s="285">
        <f>IF(CP$3=$K71,IF($C71="W",1,IF($C71="1/2W",0.5,0)),0)</f>
        <v>0</v>
      </c>
      <c r="CQ71" s="285">
        <f>IF(CP$3=$K71,IF($C71="L",1,IF($C71="1/2L",0.5,0)),0)</f>
        <v>0</v>
      </c>
      <c r="CR71" s="285">
        <f>IF(CR$3=$K71,IF($C71="W",1,IF($C71="1/2W",0.5,0)),0)</f>
        <v>0</v>
      </c>
      <c r="CS71" s="285">
        <f>IF(CR$3=$K71,IF($C71="L",1,IF($C71="1/2L",0.5,0)),0)</f>
        <v>0</v>
      </c>
      <c r="CT71" s="145">
        <f>IF(CT$3=$K71,IF($C71="W",1,IF($C71="1/2W",0.5,0)),0)</f>
        <v>0</v>
      </c>
      <c r="CU71" s="146">
        <f>IF(CT$3=$K71,IF($C71="L",1,IF($C71="1/2L",0.5,0)),0)</f>
        <v>0</v>
      </c>
      <c r="CV71" s="146">
        <f>IF(CV$3=$K71,IF($C71="W",1,IF($C71="1/2W",0.5,0)),0)</f>
        <v>0</v>
      </c>
      <c r="CW71" s="146">
        <f>IF(CV$3=$K71,IF($C71="L",1,IF($C71="1/2L",0.5,0)),0)</f>
        <v>0</v>
      </c>
      <c r="CX71" s="146">
        <f>IF(CX$3=$K71,IF($C71="W",1,IF($C71="1/2W",0.5,0)),0)</f>
        <v>0</v>
      </c>
      <c r="CY71" s="146">
        <f>IF(CX$3=$K71,IF($C71="L",1,IF($C71="1/2L",0.5,0)),0)</f>
        <v>0</v>
      </c>
      <c r="CZ71" s="146">
        <f>IF(CZ$3=$K71,IF($C71="W",1,IF($C71="1/2W",0.5,0)),0)</f>
        <v>0</v>
      </c>
      <c r="DA71" s="146">
        <f>IF(CZ$3=$K71,IF($C71="L",1,IF($C71="1/2L",0.5,0)),0)</f>
        <v>0</v>
      </c>
      <c r="DB71" s="146">
        <f>IF(DB$3=$K71,IF($C71="W",1,IF($C71="1/2W",0.5,0)),0)</f>
        <v>0</v>
      </c>
      <c r="DC71" s="146">
        <f>IF(DB$3=$K71,IF($C71="L",1,IF($C71="1/2L",0.5,0)),0)</f>
        <v>0</v>
      </c>
      <c r="DD71" s="146">
        <f>IF(DD$3=$K71,IF($C71="W",1,IF($C71="1/2W",0.5,0)),0)</f>
        <v>0</v>
      </c>
      <c r="DE71" s="147">
        <f>IF(DD$3=$K71,IF($C71="L",1,IF($C71="1/2L",0.5,0)),0)</f>
        <v>0</v>
      </c>
      <c r="DF71" s="143">
        <f>IF(AND(L71&lt;DF$3,$C71="W"),1+DF70,DF70)</f>
        <v>5</v>
      </c>
      <c r="DG71" s="133">
        <f>IF(DF71&gt;DF70,L71+DG70,DG70)</f>
        <v>6.558</v>
      </c>
      <c r="DH71" s="146">
        <f>IF(AND(L71&gt;DH$3,$C71="W"),1+DH70,0+DH70)</f>
        <v>1</v>
      </c>
      <c r="DI71" s="133">
        <f>IF(DH71&gt;DH70,L71+DI70,DI70)</f>
        <v>4.33</v>
      </c>
      <c r="DJ71" t="s" s="304">
        <f>IF($D70="","",$D70)</f>
        <v>101</v>
      </c>
      <c r="DK71" s="286"/>
    </row>
    <row r="72" ht="14.55" customHeight="1">
      <c r="A72" s="149"/>
      <c r="B72" s="150"/>
      <c r="C72" t="s" s="151">
        <v>58</v>
      </c>
      <c r="D72" s="152"/>
      <c r="E72" s="153"/>
      <c r="F72" s="155"/>
      <c r="G72" s="252"/>
      <c r="H72" s="156"/>
      <c r="I72" s="287"/>
      <c r="J72" s="288"/>
      <c r="K72" s="156"/>
      <c r="L72" s="289"/>
      <c r="M72" s="290"/>
      <c r="N72" s="161"/>
      <c r="O72" t="s" s="162">
        <f>IF(OR(AE70="",AE71=""),"",IF(L72&gt;0,ROUND(IF(M72&gt;0,M72,IF(M70&gt;0,ROUND((M70*AE72)/AE70,IF(N70=0,2,IF(N70=0.1,1,0))),IF(M71&gt;0,ROUND((M71*AE72)/AE71,IF(N70=0,2,IF(N70=0.1,1,0))),IF(M72&gt;0,M72,0)))),2),""))</f>
      </c>
      <c r="P72" t="s" s="163">
        <f>IF(I71="Lay",O71*(L71/(L71-1))-O71,IF(I70="Lay",O70*(L70/(L70-1))-O70,IF(OR(L72="",O72=""),"",IF($C72="1/2W",O72/2+O72/2*L72,IF($C72="1/2L",O72/2,(O72*L72-O72)*(1-_xlfn.XLOOKUP(K72,'Janeiro 2023 - Valor Real'!A3:A15,'Janeiro 2023 - Valor Real'!C3:C15,0))+O72)))))</f>
      </c>
      <c r="Q72" t="s" s="154"/>
      <c r="R72" t="s" s="163"/>
      <c r="S72" s="166"/>
      <c r="T72" s="155"/>
      <c r="U72" s="155"/>
      <c r="V72" s="166"/>
      <c r="W72" s="155"/>
      <c r="X72" s="167"/>
      <c r="Y72" s="128"/>
      <c r="Z72" s="129"/>
      <c r="AA72" s="129"/>
      <c r="AB72" s="129"/>
      <c r="AC72" s="129"/>
      <c r="AD72" s="168"/>
      <c r="AE72" t="s" s="169">
        <f>IF(L72="","",(SUM(((L70-1)*(1-_xlfn.XLOOKUP(K70,'Janeiro 2023 - Valor Real'!A3:A15,'Janeiro 2023 - Valor Real'!C3:C15,0))+1),((L71-1)*(1-_xlfn.XLOOKUP(K71,'Janeiro 2023 - Valor Real'!A3:A15,'Janeiro 2023 - Valor Real'!C3:C15,0))+1),((L72-1)*(1-_xlfn.XLOOKUP(K72,'Janeiro 2023 - Valor Real'!A3:A15,'Janeiro 2023 - Valor Real'!C3:C15,0))+1))/((L72-1)*(1-_xlfn.XLOOKUP(K72,'Janeiro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Real'!C3:C15,0))+1))/((L70-1)*(1-_xlfn.XLOOKUP(K70,'Janeiro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Real'!C3:C15,0))+1))/((L71-1)*(1-_xlfn.XLOOKUP(K71,'Janeiro 2023 - Valor Real'!A3:A15,'Janeiro 2023 - Valor Real'!C3:C15,0))+1)+SUM(((L70-1)*(1-_xlfn.XLOOKUP(K70,'Janeiro 2023 - Valor Real'!A3:A15,'Janeiro 2023 - Valor Real'!C3:C15,0))+1),((L71-1)*(1-_xlfn.XLOOKUP(K71,'Janeiro 2023 - Valor Real'!A3:A15,'Janeiro 2023 - Valor Real'!C3:C15,0))+1),((L72-1)*(1-_xlfn.XLOOKUP(K72,'Janeiro 2023 - Valor Real'!A3:A15,'Janeiro 2023 - Valor Real'!C3:C15,0))+1))/((L72-1)*(1-_xlfn.XLOOKUP(K72,'Janeiro 2023 - Valor Real'!A3:A15,'Janeiro 2023 - Valor Real'!C3:C15,0))+1)))</f>
      </c>
      <c r="AF72" s="132">
        <f>IF($K72=AF$3,ROUND(IF(OR($C72="W",$C72="1/2W",$C72="1/2L"),$P72-$O72,IF($C72="X",0,-$O72)),2),0)</f>
        <v>0</v>
      </c>
      <c r="AG72" s="133">
        <f>IF($K72=AG$3,ROUND(IF(OR($C72="W",$C72="1/2W",$C72="1/2L"),$P72-$O72,IF($C72="X",0,-$O72)),2),0)</f>
        <v>0</v>
      </c>
      <c r="AH72" s="133">
        <f>IF($K72=AH$3,ROUND(IF(OR($C72="W",$C72="1/2W",$C72="1/2L"),$P72-$O72,IF($C72="X",0,-$O72)),2),0)</f>
        <v>0</v>
      </c>
      <c r="AI72" s="133">
        <f>IF($K72=AI$3,ROUND(IF(OR($C72="W",$C72="1/2W",$C72="1/2L"),$P72-$O72,IF($C72="X",0,-$O72)),2),0)</f>
        <v>0</v>
      </c>
      <c r="AJ72" s="133">
        <f>IF($K72=AJ$3,ROUND(IF(OR($C72="W",$C72="1/2W",$C72="1/2L"),$P72-$O72,IF($C72="X",0,-$O72)),2),0)</f>
        <v>0</v>
      </c>
      <c r="AK72" s="133">
        <f>IF($K72=AK$3,ROUND(IF(OR($C72="W",$C72="1/2W",$C72="1/2L"),$P72-$O72,IF($C72="X",0,-$O72)),2),0)</f>
        <v>0</v>
      </c>
      <c r="AL72" s="133">
        <f>IF($K72=AL$3,ROUND(IF(OR($C72="W",$C72="1/2W",$C72="1/2L"),$P72-$O72,IF($C72="X",0,-$O72)),2),0)</f>
        <v>0</v>
      </c>
      <c r="AM72" s="133">
        <f>IF($K72=AM$3,ROUND(IF(OR($C72="W",$C72="1/2W",$C72="1/2L"),$P72-$O72,IF($C72="X",0,-$O72)),2),0)</f>
        <v>0</v>
      </c>
      <c r="AN72" s="133">
        <f>IF($K72=AN$3,ROUND(IF(OR($C72="W",$C72="1/2W",$C72="1/2L"),$P72-$O72,IF($C72="X",0,-$O72)),2),0)</f>
        <v>0</v>
      </c>
      <c r="AO72" s="133">
        <f>IF($K72=AO$3,ROUND(IF(OR($C72="W",$C72="1/2W",$C72="1/2L"),$P72-$O72,IF($C72="X",0,-$O72)),2),0)</f>
        <v>0</v>
      </c>
      <c r="AP72" s="133">
        <f>IF($K72=AP$3,ROUND(IF(OR($C72="W",$C72="1/2W",$C72="1/2L"),$P72-$O72,IF($C72="X",0,-$O72)),2),0)</f>
        <v>0</v>
      </c>
      <c r="AQ72" s="133">
        <f>IF($K72=AQ$3,ROUND(IF(OR($C72="W",$C72="1/2W",$C72="1/2L"),$P72-$O72,IF($C72="X",0,-$O72)),2),0)</f>
        <v>0</v>
      </c>
      <c r="AR72" s="134">
        <f>IF($K72=AR$3,ROUND(IF(OR($C72="W",$C72="1/2W",$C72="1/2L"),$P72-$O72,IF($C72="X",0,-$O72)),2),0)</f>
        <v>0</v>
      </c>
      <c r="AS72" s="132">
        <f>IF(AND($B70=" ",$K72=AS$3),$O72,0)</f>
        <v>0</v>
      </c>
      <c r="AT72" s="133">
        <f>IF(AND($B70=" ",K72=AT$3),$O72,0)</f>
        <v>0</v>
      </c>
      <c r="AU72" s="133">
        <f>IF(AND($B70=" ",$K72=AU$3),$O72,0)</f>
        <v>0</v>
      </c>
      <c r="AV72" s="133">
        <f>IF(AND($B70=" ",$K72=AV$3),$O72,0)</f>
        <v>0</v>
      </c>
      <c r="AW72" s="133">
        <f>IF(AND($B70=" ",$K72=AW$3),$O72,0)</f>
        <v>0</v>
      </c>
      <c r="AX72" s="133">
        <f>IF(AND($B70=" ",$K72=AX$3),$O72,0)</f>
        <v>0</v>
      </c>
      <c r="AY72" s="135">
        <f>IF(AND($B70=" ",$K72=AY$3),$O72,0)</f>
        <v>0</v>
      </c>
      <c r="AZ72" s="136">
        <f>IF(AND($B70=" ",$K72=AZ$3),$O72,0)</f>
        <v>0</v>
      </c>
      <c r="BA72" s="136">
        <f>IF(AND($B70=" ",$K72=BA$3),$O72,0)</f>
        <v>0</v>
      </c>
      <c r="BB72" s="136">
        <f>IF(AND($B70=" ",$K72=BB$3),$O72,0)</f>
        <v>0</v>
      </c>
      <c r="BC72" s="137">
        <f>IF(AND($B70=" ",$K72=BC$3),$O72,0)</f>
        <v>0</v>
      </c>
      <c r="BD72" s="133">
        <f>IF(AND($B70=" ",$K72=BD$3),$O72,0)</f>
        <v>0</v>
      </c>
      <c r="BE72" s="134">
        <f>IF(AND($B70=" ",$K72=BE$3),$O72,0)</f>
        <v>0</v>
      </c>
      <c r="BF72" s="132">
        <f>IF($K72=BF$3,IF($C72="X",0,$O72),0)</f>
        <v>0</v>
      </c>
      <c r="BG72" s="281">
        <f>IF($K72=BG$3,IF($C72="X",0,$O72),0)</f>
        <v>0</v>
      </c>
      <c r="BH72" s="133">
        <f>IF($K72=BH$3,IF($C72="X",0,$O72),0)</f>
        <v>0</v>
      </c>
      <c r="BI72" s="133">
        <f>IF($K72=BI$3,IF($C72="X",0,$O72),0)</f>
        <v>0</v>
      </c>
      <c r="BJ72" s="133">
        <f>IF($K72=BJ$3,IF($C72="X",0,$O72),0)</f>
        <v>0</v>
      </c>
      <c r="BK72" s="133">
        <f>IF($K72=BK$3,IF($C72="X",0,$O72),0)</f>
        <v>0</v>
      </c>
      <c r="BL72" s="133">
        <f>IF($K72=BL$3,IF($C72="X",0,$O72),0)</f>
        <v>0</v>
      </c>
      <c r="BM72" s="135">
        <f>IF($K72=BM$3,IF($C72="X",0,$O72),0)</f>
        <v>0</v>
      </c>
      <c r="BN72" s="136">
        <f>IF($K72=BN$3,IF($C72="X",0,$O72),0)</f>
        <v>0</v>
      </c>
      <c r="BO72" s="136">
        <f>IF($K72=BO$3,IF($C72="X",0,$O72),0)</f>
        <v>0</v>
      </c>
      <c r="BP72" s="136">
        <f>IF($K72=BP$3,IF($C72="X",0,$O72),0)</f>
        <v>0</v>
      </c>
      <c r="BQ72" s="137">
        <f>IF($K72=BQ$3,IF($C72="X",0,$O72),0)</f>
        <v>0</v>
      </c>
      <c r="BR72" s="134">
        <f>IF($K72=BR$3,IF($C72="X",0,$O72),0)</f>
        <v>0</v>
      </c>
      <c r="BS72" s="282"/>
      <c r="BT72" s="283"/>
      <c r="BU72" s="140"/>
      <c r="BV72" s="283"/>
      <c r="BW72" s="140"/>
      <c r="BX72" s="140"/>
      <c r="BY72" s="140"/>
      <c r="BZ72" s="283"/>
      <c r="CA72" s="140"/>
      <c r="CB72" s="140"/>
      <c r="CC72" s="140"/>
      <c r="CD72" s="141"/>
      <c r="CE72" s="142"/>
      <c r="CF72" s="284">
        <f>IF(CF$3=$K72,IF($C72="W",1,IF($C72="1/2W",0.5,0)),0)</f>
        <v>0</v>
      </c>
      <c r="CG72" s="285">
        <f>IF(CF$3=$K72,IF($C72="L",1,IF($C72="1/2L",0.5,0)),0)</f>
        <v>0</v>
      </c>
      <c r="CH72" s="285">
        <f>IF(CH$3=$K72,IF($C72="W",1,IF($C72="1/2W",0.5,0)),0)</f>
        <v>0</v>
      </c>
      <c r="CI72" s="285">
        <f>IF(CH$3=$K72,IF($C72="L",1,IF($C72="1/2L",0.5,0)),0)</f>
        <v>0</v>
      </c>
      <c r="CJ72" s="285">
        <f>IF(CJ$3=$K72,IF($C72="W",1,IF($C72="1/2W",0.5,0)),0)</f>
        <v>0</v>
      </c>
      <c r="CK72" s="285">
        <f>IF(CJ$3=$K72,IF($C72="L",1,IF($C72="1/2L",0.5,0)),0)</f>
        <v>0</v>
      </c>
      <c r="CL72" s="285">
        <f>IF(CL$3=$K72,IF($C72="W",1,IF($C72="1/2W",0.5,0)),0)</f>
        <v>0</v>
      </c>
      <c r="CM72" s="285">
        <f>IF(CL$3=$K72,IF($C72="L",1,IF($C72="1/2L",0.5,0)),0)</f>
        <v>0</v>
      </c>
      <c r="CN72" s="285">
        <f>IF(CN$3=$K72,IF($C72="W",1,IF($C72="1/2W",0.5,0)),0)</f>
        <v>0</v>
      </c>
      <c r="CO72" s="285">
        <f>IF(CN$3=$K72,IF($C72="L",1,IF($C72="1/2L",0.5,0)),0)</f>
        <v>0</v>
      </c>
      <c r="CP72" s="285">
        <f>IF(CP$3=$K72,IF($C72="W",1,IF($C72="1/2W",0.5,0)),0)</f>
        <v>0</v>
      </c>
      <c r="CQ72" s="285">
        <f>IF(CP$3=$K72,IF($C72="L",1,IF($C72="1/2L",0.5,0)),0)</f>
        <v>0</v>
      </c>
      <c r="CR72" s="285">
        <f>IF(CR$3=$K72,IF($C72="W",1,IF($C72="1/2W",0.5,0)),0)</f>
        <v>0</v>
      </c>
      <c r="CS72" s="285">
        <f>IF(CR$3=$K72,IF($C72="L",1,IF($C72="1/2L",0.5,0)),0)</f>
        <v>0</v>
      </c>
      <c r="CT72" s="145">
        <f>IF(CT$3=$K72,IF($C72="W",1,IF($C72="1/2W",0.5,0)),0)</f>
        <v>0</v>
      </c>
      <c r="CU72" s="146">
        <f>IF(CT$3=$K72,IF($C72="L",1,IF($C72="1/2L",0.5,0)),0)</f>
        <v>0</v>
      </c>
      <c r="CV72" s="146">
        <f>IF(CV$3=$K72,IF($C72="W",1,IF($C72="1/2W",0.5,0)),0)</f>
        <v>0</v>
      </c>
      <c r="CW72" s="146">
        <f>IF(CV$3=$K72,IF($C72="L",1,IF($C72="1/2L",0.5,0)),0)</f>
        <v>0</v>
      </c>
      <c r="CX72" s="146">
        <f>IF(CX$3=$K72,IF($C72="W",1,IF($C72="1/2W",0.5,0)),0)</f>
        <v>0</v>
      </c>
      <c r="CY72" s="146">
        <f>IF(CX$3=$K72,IF($C72="L",1,IF($C72="1/2L",0.5,0)),0)</f>
        <v>0</v>
      </c>
      <c r="CZ72" s="146">
        <f>IF(CZ$3=$K72,IF($C72="W",1,IF($C72="1/2W",0.5,0)),0)</f>
        <v>0</v>
      </c>
      <c r="DA72" s="146">
        <f>IF(CZ$3=$K72,IF($C72="L",1,IF($C72="1/2L",0.5,0)),0)</f>
        <v>0</v>
      </c>
      <c r="DB72" s="146">
        <f>IF(DB$3=$K72,IF($C72="W",1,IF($C72="1/2W",0.5,0)),0)</f>
        <v>0</v>
      </c>
      <c r="DC72" s="146">
        <f>IF(DB$3=$K72,IF($C72="L",1,IF($C72="1/2L",0.5,0)),0)</f>
        <v>0</v>
      </c>
      <c r="DD72" s="146">
        <f>IF(DD$3=$K72,IF($C72="W",1,IF($C72="1/2W",0.5,0)),0)</f>
        <v>0</v>
      </c>
      <c r="DE72" s="147">
        <f>IF(DD$3=$K72,IF($C72="L",1,IF($C72="1/2L",0.5,0)),0)</f>
        <v>0</v>
      </c>
      <c r="DF72" s="143">
        <f>IF(AND(L72&lt;DF$3,$C72="W"),1+DF71,DF71)</f>
        <v>5</v>
      </c>
      <c r="DG72" s="133">
        <f>IF(DF72&gt;DF71,L72+DG71,DG71)</f>
        <v>6.558</v>
      </c>
      <c r="DH72" s="146">
        <f>IF(AND(L72&gt;DH$3,$C72="W"),1+DH71,0+DH71)</f>
        <v>1</v>
      </c>
      <c r="DI72" s="133">
        <f>IF(DH72&gt;DH71,L72+DI71,DI71)</f>
        <v>4.33</v>
      </c>
      <c r="DJ72" t="s" s="304">
        <f>IF($D70="","",$D70)</f>
        <v>101</v>
      </c>
      <c r="DK72" s="286"/>
    </row>
    <row r="73" ht="14.55" customHeight="1">
      <c r="A73" s="171">
        <f>$A70+1</f>
        <v>24</v>
      </c>
      <c r="B73" t="s" s="172">
        <v>50</v>
      </c>
      <c r="C73" t="s" s="173">
        <v>51</v>
      </c>
      <c r="D73" t="s" s="305">
        <f>IF(G73="","",$D70)</f>
        <v>101</v>
      </c>
      <c r="E73" t="s" s="175">
        <v>118</v>
      </c>
      <c r="F73" t="s" s="176">
        <f>IF(G73="","",IF(OR(AND($C73&lt;&gt;" ",$C74=" "),AND($C74&lt;&gt;" ",$C73=" "),AND(L75&gt;0,OR(AND($C75&lt;&gt;" ",OR($C73=" ",$C74=" ")),AND($C75=" ",OR($C73&lt;&gt;" ",$C74&lt;&gt;" "))))),IF(SUM(F$4:F72)=0,1,LARGE(F$4:F72,1)+1),IF(MONTH(G73)=MONTH(TODAY()),IF(AND(DAY(G73)&lt;DAY(TODAY()),$B73=" "),IF(SUM(F$4:F72)=0,1,LARGE(F$4:F72,1)+1),IF($B73=" ",IF(AND(DAY(G73)=DAY(TODAY()),HOUR(G73)&lt;=HOUR(NOW())+1),IF(AND(HOUR(G73)+2&lt;=HOUR(NOW()),DAY(G73)&lt;=DAY(TODAY()),MINUTE(G73)&lt;=MINUTE(NOW())),IF(SUM(F$4:F72)=0,1,LARGE(F$4:F72,1)+1),IF(OR(MINUTE(G73)&lt;=MINUTE(NOW()),HOUR(G73)&lt;=HOUR(NOW())),"!!!","")),""),"")),"")))</f>
      </c>
      <c r="G73" s="177">
        <v>44943.375</v>
      </c>
      <c r="H73" t="s" s="178">
        <v>119</v>
      </c>
      <c r="I73" t="s" s="179">
        <v>60</v>
      </c>
      <c r="J73" s="180"/>
      <c r="K73" t="s" s="181">
        <v>38</v>
      </c>
      <c r="L73" s="182">
        <v>2.35</v>
      </c>
      <c r="M73" s="183">
        <v>16.1</v>
      </c>
      <c r="N73" s="184">
        <v>0</v>
      </c>
      <c r="O73" s="185">
        <f>IF(OR(AE73="",AE74=""),"",ROUND(IF(L75&gt;0,IF(M73&gt;0,M73,IF(M74&gt;0,ROUND((M74*AE73)/AE74,IF(N73=0,2,IF(N73=0.1,1,0))),ROUND((M75*AE73)/AE75,IF(N73=0,2,IF(N73=0.1,1,0))))),IF(M73&gt;0,M73,ROUND((M74*AE73)/AE74,IF(N73=0,2,IF(N73=0.1,1,0))))),2))</f>
        <v>16.1</v>
      </c>
      <c r="P73" s="186">
        <f>IF(OR(L73="",O73=""),"",IF($C73="1/2W",O73/2+O73/2*L73,IF($C73="1/2L",O73/2,IF(I73="Lay",(O73*(L73/(L73-1))-O73)*(1-_xlfn.XLOOKUP(K73,'Janeiro 2023 - Valor Real'!A3:A15,'Janeiro 2023 - Valor Real'!C3:C15,0))+O73,(O73*L73-O73)*(1-_xlfn.XLOOKUP(K73,'Janeiro 2023 - Valor Real'!A3:A15,'Janeiro 2023 - Valor Real'!C3:C15,0))+O73))))</f>
        <v>37.835</v>
      </c>
      <c r="Q73" s="187">
        <v>2</v>
      </c>
      <c r="R73" s="188">
        <v>0</v>
      </c>
      <c r="S73" s="189">
        <f>IF($B73="Anulado",0,ROUND(IF(OR($B73="LOSS",$B73="OK"),IF(OR($C73="W",$C73="1/2W",$C73="1/2L"),P73-O73,IF($C73="L",-O73,0))+IF(OR($C74="W",$C74="1/2W",$C74="1/2L"),P74-O74,IF($C74="L",-O74,0))+IF(OR($C75="W",$C75="1/2W",$C75="1/2L"),P75-O75,IF($C75="L",-O75,0)),IF(AND(OR($C73="W",$C73="1/2W",$C73="1/2L"),C74="W"),P73+P74-SUM(O73:O75)+_xlfn.XLOOKUP("X",C73:C75,O73:O75,0),IF(AND(C73=TRUE,C75="W"),P73+P75-SUM(O73:O75),IF(AND(C74="W",C75="W"),P74+P75-SUM(O73:O75)+_xlfn.XLOOKUP("X",C73:C75,O73:O75,0),IF(L75&gt;0,IF(OR($C73="W",$C73="1/2W",$C73="1/2L"),P73-SUM(O73:O75)+_xlfn.XLOOKUP("X",C73:C75,O73:O75,0),IF(OR($C73="W",$C73="1/2W",$C73="1/2L"),P74-SUM(O73:O75)+_xlfn.XLOOKUP("X",C73:C75,O73:O75,0),IF(OR($C73="W",$C73="1/2W",$C73="1/2L"),P75-SUM(O73:O75)+_xlfn.XLOOKUP("X",C73:C75,O73:O75,0),IF(SUM(P73:P75)/3-SUM(O73:O75)+_xlfn.XLOOKUP("X",C73:C75,O73:O75,0)&gt;0,SUM(P73:P75)/3-SUM(O73:O75)+_xlfn.XLOOKUP("X",C73:C75,O73:O75,0),LARGE(P73:P75,1)-SUM(O73:O75))))),IF(OR($C73="W",$C73="1/2W",$C73="1/2L"),P73-SUM(O73:O74)+_xlfn.XLOOKUP("X",C73:C75,O73:O75,0),IF(OR($C73="W",$C73="1/2W",$C73="1/2L"),P74-SUM(O73:O74)+_xlfn.XLOOKUP("X",C73:C75,O73:O75,0),SUM(P73:P74)/2-SUM(O73:O74)+_xlfn.XLOOKUP("X",C73:C75,O73:O75,0)))))))),2))</f>
        <v>1.16</v>
      </c>
      <c r="T73" s="190">
        <f>IF(S73=0,0,S73/SUM(O73:O75))</f>
        <v>0.0315046170559479</v>
      </c>
      <c r="U73" s="191">
        <f>IF($D73=$D70,IF(OR($B73="LOSS",$B73="OK",$B73="Anulada"),S73,0)+U70,IF(OR($B73="LOSS",$B73="OK",$B73="Anulada"),S73,0))</f>
        <v>11.71</v>
      </c>
      <c r="V73" s="191">
        <f>IF($D73="",0,IF($D73=$D70,IF($B73=" ",IF(I75="",IF(OR(AND(I73="DNB1",I74="DNB2"),AND(OR(I73="DNB1",I73="DNB2"),J74=0),AND(OR(I74="DNB1",I74="DNB2"),J73=0),AND(I73="DNB2",I74="DNB1"),AND(IF(J73=0,(J73+1)/ROUND(J73+1,0),J73/ROUND(J73,0))=1,IF(J74=0,(J74+1)/ROUND(IF(J74="",0,J74)+1,0),IF(J74="",0,J74)/ROUND(IF(J74="",1,J74),0))=1,OR(J73&lt;&gt;""),J74&lt;&gt;"")),0,IF(S73&lt;0,IF(I75="",SMALL(P73:P74,1)-SUM(O73:O74),0),SMALL(P73:P74,1)-SUM(O73:O74))),IF(S73&lt;0,IF(I75="",SMALL(P73:P75,1)-SUM(O73:O75),0),LARGE(P73:P75,1)-SUM(O73:O75))),S73)+V70,IF(I75="",IF(OR(AND(I73="DNB1",I74="DNB2"),AND(OR(I73="DNB1",I73="DNB2"),J74=0),AND(OR(I74="DNB1",I74="DNB2"),J73=0),AND(I73="DNB2",I74="DNB1"),AND(IF(J73=0,(J73+1)/ROUND(J73+1,0),J73/ROUND(J73,0))=1,IF(J74=0,(IF(J74="",0,J74)+1)/ROUND(IF(J74="",0,J74)+1,0),IF(J74="",0,J74)/ROUND(IF(J74="",0,J74)+1,0))=1,OR(J73&lt;&gt;""),J74&lt;&gt;"")),0,IF(S73&lt;0,IF(I75="",SMALL(P73:P74,1)-SUM(O73:O74),0),SMALL(P73:P75,1)-SUM(O73:O75))),IF(S73&lt;0,IF(I75="",SMALL(P73:P75,1)-SUM(O73:O75),0),LARGE(P73:P75,1)-SUM(O73:O75)))))</f>
        <v>11.712</v>
      </c>
      <c r="W73" s="191">
        <f>IF($D73=$D70,IF(S73&lt;0,IF(I75="",S73,0),S73)+W70,S73)</f>
        <v>11.71</v>
      </c>
      <c r="X73" t="s" s="192">
        <f>IF(OR(SUM(R73:R75)=0,V73=W73),ROUND(IF(W73=0,0,W73/Y73)*100,2)&amp;"%",ROUND(IF(V73=0,0,V73/Y73)*100,2)&amp;"% a "&amp;ROUND(IF(W73=0,0,W73/Y73)*100,2)&amp;"%")</f>
        <v>120</v>
      </c>
      <c r="Y73" s="193">
        <f>IF($D73=$D70,Y70+SUM(O73:O75),SUM(O73:O75))</f>
        <v>361.81</v>
      </c>
      <c r="Z73" s="191">
        <f>IF($B73=" ",SUM(O73:O75),0)+Z70</f>
        <v>0</v>
      </c>
      <c r="AA73" s="191">
        <f>IF(G73="","",IF($B73="Anulado",LARGE(P73:P75,1)-SUM(O73:O75)+AA70,AA70))</f>
        <v>6.064</v>
      </c>
      <c r="AB73" s="191">
        <f>IF($D73="","",AB70+S73)</f>
        <v>89.81</v>
      </c>
      <c r="AC73" s="194">
        <f>IF($D73="","",IF($B73=" ",IF(DAY(G73)=DAY(TODAY()),1+AC70,0+AC70),0+AC70))</f>
        <v>0</v>
      </c>
      <c r="AD73" s="195">
        <f>(((L74/(L74-1)-1)*(1-_xlfn.XLOOKUP(K74,'Janeiro 2023 - Valor Real'!A3:A15,'Janeiro 2023 - Valor Real'!C3:C15,0))+1))/(((L73-1)*(1-_xlfn.XLOOKUP(K73,'Janeiro 2023 - Valor Real'!A3:A15,'Janeiro 2023 - Valor Real'!C3:C15,0))+1)+((L74/(L74-1)-1)*(1-_xlfn.XLOOKUP(K74,'Janeiro 2023 - Valor Real'!A3:A15,'Janeiro 2023 - Valor Real'!C3:C15,0))+1))</f>
        <v>0.483570985740856</v>
      </c>
      <c r="AE73" s="196">
        <f>IF(L73="","",IF(L75&gt;0,(SUM(((L73-1)*(1-_xlfn.XLOOKUP(K73,'Janeiro 2023 - Valor Real'!A3:A15,'Janeiro 2023 - Valor Real'!C3:C15,0))+1),((L74-1)*(1-_xlfn.XLOOKUP(K74,'Janeiro 2023 - Valor Real'!A3:A15,'Janeiro 2023 - Valor Real'!C3:C15,0))+1),((L75-1)*(1-_xlfn.XLOOKUP(K75,'Janeiro 2023 - Valor Real'!A3:A15,'Janeiro 2023 - Valor Real'!C3:C15,0))+1))/((L73-1)*(1-_xlfn.XLOOKUP(K73,'Janeiro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Real'!C3:C15,0))+1))/((L73-1)*(1-_xlfn.XLOOKUP(K73,'Janeiro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Real'!C3:C15,0))+1))/((L74-1)*(1-_xlfn.XLOOKUP(K74,'Janeiro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Real'!C3:C15,0))+1))/((L75-1)*(1-_xlfn.XLOOKUP(K75,'Janeiro 2023 - Valor Real'!A3:A15,'Janeiro 2023 - Valor Real'!C3:C15,0))+1)),IF(I73="Lay",IF(I74="Lay",((L74/(L74-1)-1)*(1-_xlfn.XLOOKUP(K74,'Janeiro 2023 - Valor Real'!A3:A15,'Janeiro 2023 - Valor Real'!C3:C15,0))+1)/(((L74/(L74-1)-1)*(1-_xlfn.XLOOKUP(K74,'Janeiro 2023 - Valor Real'!A3:A15,'Janeiro 2023 - Valor Real'!C3:C15,0))+1)+((L73/(L73-1)-1)*(1-_xlfn.XLOOKUP(K73,'Janeiro 2023 - Valor Real'!A3:A15,'Janeiro 2023 - Valor Real'!C3:C15,0))+1)),((L74-1)*(1-_xlfn.XLOOKUP(K74,'Janeiro 2023 - Valor Real'!A3:A15,'Janeiro 2023 - Valor Real'!C3:C15,0))+1)/(((L74-1)*(1-_xlfn.XLOOKUP(K74,'Janeiro 2023 - Valor Real'!A3:A15,'Janeiro 2023 - Valor Real'!C3:C15,0))+1)+((L73/(L73-1)-1)*(1-_xlfn.XLOOKUP(K73,'Janeiro 2023 - Valor Real'!A3:A15,'Janeiro 2023 - Valor Real'!C3:C15,0))+1))),IF(I74="Lay",(((L74/(L74-1)-1)*(1-_xlfn.XLOOKUP(K74,'Janeiro 2023 - Valor Real'!A3:A15,'Janeiro 2023 - Valor Real'!C3:C15,0))+1))/(((L73-1)*(1-_xlfn.XLOOKUP(K73,'Janeiro 2023 - Valor Real'!A3:A15,'Janeiro 2023 - Valor Real'!C3:C15,0))+1)+((L74/(L74-1)-1)*(1-_xlfn.XLOOKUP(K74,'Janeiro 2023 - Valor Real'!A3:A15,'Janeiro 2023 - Valor Real'!C3:C15,0))+1)),((L74-1)*(1-_xlfn.XLOOKUP(K74,'Janeiro 2023 - Valor Real'!A3:A15,'Janeiro 2023 - Valor Real'!C3:C15,0))+1)/(((L74-1)*(1-_xlfn.XLOOKUP(K74,'Janeiro 2023 - Valor Real'!A3:A15,'Janeiro 2023 - Valor Real'!C3:C15,0))+1)+((L73-1)*(1-_xlfn.XLOOKUP(K73,'Janeiro 2023 - Valor Real'!A3:A15,'Janeiro 2023 - Valor Real'!C3:C15,0))+1))))))</f>
        <v>0.438202247191011</v>
      </c>
      <c r="AF73" s="197">
        <f>IF($K73=AF$3,ROUND(IF(OR($C73="W",$C73="1/2W",$C73="1/2L"),$P73-$O73,IF($C73="X",0,-$O73)),2),0)</f>
        <v>0</v>
      </c>
      <c r="AG73" s="198">
        <f>IF($K73=AG$3,ROUND(IF(OR($C73="W",$C73="1/2W",$C73="1/2L"),$P73-$O73,IF($C73="X",0,-$O73)),2),0)</f>
        <v>-16.1</v>
      </c>
      <c r="AH73" s="198">
        <f>IF($K73=AH$3,ROUND(IF(OR($C73="W",$C73="1/2W",$C73="1/2L"),$P73-$O73,IF($C73="X",0,-$O73)),2),0)</f>
        <v>0</v>
      </c>
      <c r="AI73" s="198">
        <f>IF($K73=AI$3,ROUND(IF(OR($C73="W",$C73="1/2W",$C73="1/2L"),$P73-$O73,IF($C73="X",0,-$O73)),2),0)</f>
        <v>0</v>
      </c>
      <c r="AJ73" s="198">
        <f>IF($K73=AJ$3,ROUND(IF(OR($C73="W",$C73="1/2W",$C73="1/2L"),$P73-$O73,IF($C73="X",0,-$O73)),2),0)</f>
        <v>0</v>
      </c>
      <c r="AK73" s="198">
        <f>IF($K73=AK$3,ROUND(IF(OR($C73="W",$C73="1/2W",$C73="1/2L"),$P73-$O73,IF($C73="X",0,-$O73)),2),0)</f>
        <v>0</v>
      </c>
      <c r="AL73" s="198">
        <f>IF($K73=AL$3,ROUND(IF(OR($C73="W",$C73="1/2W",$C73="1/2L"),$P73-$O73,IF($C73="X",0,-$O73)),2),0)</f>
        <v>0</v>
      </c>
      <c r="AM73" s="198">
        <f>IF($K73=AM$3,ROUND(IF(OR($C73="W",$C73="1/2W",$C73="1/2L"),$P73-$O73,IF($C73="X",0,-$O73)),2),0)</f>
        <v>0</v>
      </c>
      <c r="AN73" s="198">
        <f>IF($K73=AN$3,ROUND(IF(OR($C73="W",$C73="1/2W",$C73="1/2L"),$P73-$O73,IF($C73="X",0,-$O73)),2),0)</f>
        <v>0</v>
      </c>
      <c r="AO73" s="198">
        <f>IF($K73=AO$3,ROUND(IF(OR($C73="W",$C73="1/2W",$C73="1/2L"),$P73-$O73,IF($C73="X",0,-$O73)),2),0)</f>
        <v>0</v>
      </c>
      <c r="AP73" s="198">
        <f>IF($K73=AP$3,ROUND(IF(OR($C73="W",$C73="1/2W",$C73="1/2L"),$P73-$O73,IF($C73="X",0,-$O73)),2),0)</f>
        <v>0</v>
      </c>
      <c r="AQ73" s="198">
        <f>IF($K73=AQ$3,ROUND(IF(OR($C73="W",$C73="1/2W",$C73="1/2L"),$P73-$O73,IF($C73="X",0,-$O73)),2),0)</f>
        <v>0</v>
      </c>
      <c r="AR73" s="199">
        <f>IF($K73=AR$3,ROUND(IF(OR($C73="W",$C73="1/2W",$C73="1/2L"),$P73-$O73,IF($C73="X",0,-$O73)),2),0)</f>
        <v>0</v>
      </c>
      <c r="AS73" s="197">
        <f>IF(AND($B73=" ",$K73=AS$3),$O73,0)</f>
        <v>0</v>
      </c>
      <c r="AT73" s="198">
        <f>IF(AND($B73=" ",$K73=AT$3),$O73,0)</f>
        <v>0</v>
      </c>
      <c r="AU73" s="198">
        <f>IF(AND($B73=" ",$K73=AU$3),$O73,0)</f>
        <v>0</v>
      </c>
      <c r="AV73" s="198">
        <f>IF(AND($B73=" ",$K73=AV$3),$O73,0)</f>
        <v>0</v>
      </c>
      <c r="AW73" s="198">
        <f>IF(AND($B73=" ",$K73=AW$3),$O73,0)</f>
        <v>0</v>
      </c>
      <c r="AX73" s="198">
        <f>IF(AND($B73=" ",$K73=AX$3),$O73,0)</f>
        <v>0</v>
      </c>
      <c r="AY73" s="200">
        <f>IF(AND($B73=" ",$K73=AY$3),$O73,0)</f>
        <v>0</v>
      </c>
      <c r="AZ73" s="201">
        <f>IF(AND($B73=" ",$K73=AZ$3),$O73,0)</f>
        <v>0</v>
      </c>
      <c r="BA73" s="201">
        <f>IF(AND($B73=" ",$K73=BA$3),$O73,0)</f>
        <v>0</v>
      </c>
      <c r="BB73" s="201">
        <f>IF(AND($B73=" ",$K73=BB$3),$O73,0)</f>
        <v>0</v>
      </c>
      <c r="BC73" s="202">
        <f>IF(AND($B73=" ",$K73=BC$3),$O73,0)</f>
        <v>0</v>
      </c>
      <c r="BD73" s="198">
        <f>IF(AND($B73=" ",$K73=BD$3),$O73,0)</f>
        <v>0</v>
      </c>
      <c r="BE73" s="199">
        <f>IF(AND($B73=" ",$K73=BE$3),$O73,0)</f>
        <v>0</v>
      </c>
      <c r="BF73" s="203">
        <f>IF($K73=BF$3,IF($C73="X",0,$O73),0)</f>
        <v>0</v>
      </c>
      <c r="BG73" s="198">
        <f>IF($K73=BG$3,IF($C73="X",0,$O73),0)</f>
        <v>16.1</v>
      </c>
      <c r="BH73" s="198">
        <f>IF($K73=BH$3,IF($C73="X",0,$O73),0)</f>
        <v>0</v>
      </c>
      <c r="BI73" s="198">
        <f>IF($K73=BI$3,IF($C73="X",0,$O73),0)</f>
        <v>0</v>
      </c>
      <c r="BJ73" s="198">
        <f>IF($K73=BJ$3,IF($C73="X",0,$O73),0)</f>
        <v>0</v>
      </c>
      <c r="BK73" s="198">
        <f>IF($K73=BK$3,IF($C73="X",0,$O73),0)</f>
        <v>0</v>
      </c>
      <c r="BL73" s="198">
        <f>IF($K73=BL$3,IF($C73="X",0,$O73),0)</f>
        <v>0</v>
      </c>
      <c r="BM73" s="200">
        <f>IF($K73=BM$3,IF($C73="X",0,$O73),0)</f>
        <v>0</v>
      </c>
      <c r="BN73" s="201">
        <f>IF($K73=BN$3,IF($C73="X",0,$O73),0)</f>
        <v>0</v>
      </c>
      <c r="BO73" s="201">
        <f>IF($K73=BO$3,IF($C73="X",0,$O73),0)</f>
        <v>0</v>
      </c>
      <c r="BP73" s="201">
        <f>IF($K73=BP$3,IF($C73="X",0,$O73),0)</f>
        <v>0</v>
      </c>
      <c r="BQ73" s="202">
        <f>IF($K73=BQ$3,IF($C73="X",0,$O73),0)</f>
        <v>0</v>
      </c>
      <c r="BR73" s="199">
        <f>IF($K73=BR$3,IF($C73="X",0,$O73),0)</f>
        <v>0</v>
      </c>
      <c r="BS73" s="204">
        <f>IF($B73="LOSS",IF(AND($K73=BS$3,$C73="L"),-$O73,0)+IF(AND($K74=BS$3,$C74="L"),-$O74,0)+IF(AND($K75=BS$3,$C75="L"),-$O75,0),IF(OR(AND($K73=BS$3,OR($C73="W",$C73="1/2W")),AND($K74=BS$3,OR($C74="W",$C74="1/2W")),AND($K75=BS$3,OR($C75="W",$C75="1/2W"))),$S73,0))</f>
        <v>0</v>
      </c>
      <c r="BT73" s="201">
        <f>IF($B73="LOSS",IF(AND($K73=BT$3,$C73="L"),-$O73,0)+IF(AND($K74=BT$3,$C74="L"),-$O74,0)+IF(AND($K74=BT$3,$C75="L"),-$O75,0),IF(OR(AND($K74=BT$3,OR($C73="W",$C73="1/2W")),AND($K74=BT$3,OR($C74="W",$C74="1/2W")),AND($K74=BT$3,OR($C75="W",$C75="1/2W"))),$S73,0))</f>
        <v>0</v>
      </c>
      <c r="BU73" s="201">
        <f>IF($B73="LOSS",IF(AND($K73=BU$3,$C73="L"),-$O73,0)+IF(AND($K74=BU$3,$C74="L"),-$O74,0)+IF(AND($K74=BU$3,$C75="L"),-$O75,0),IF(OR(AND($K74=BU$3,OR($C73="W",$C73="1/2W")),AND($K74=BU$3,OR($C74="W",$C74="1/2W")),AND($K74=BU$3,OR($C75="W",$C75="1/2W"))),$S73,0))</f>
        <v>0</v>
      </c>
      <c r="BV73" s="201">
        <f>IF($B73="LOSS",IF(AND($K73=BV$3,$C73="L"),-$O73,0)+IF(AND($K74=BV$3,$C74="L"),-$O74,0)+IF(AND($K75=BV$3,$C75="L"),-$O75,0),IF(OR(AND($K73=BV$3,OR($C73="W",$C73="1/2W")),AND($K74=BV$3,OR($C74="W",$C74="1/2W")),AND($K75=BV$3,OR($C75="W",$C75="1/2W"))),$S73,0))</f>
        <v>0</v>
      </c>
      <c r="BW73" s="201">
        <f>IF($B73="LOSS",IF(AND($K73=BW$3,$C73="L"),-$O73,0)+IF(AND($K74=BW$3,$C74="L"),-$O74,0)+IF(AND($K75=BW$3,$C75="L"),-$O75,0),IF(OR(AND($K73=BW$3,OR($C73="W",$C73="1/2W")),AND($K74=BW$3,OR($C74="W",$C74="1/2W")),AND($K75=BW$3,OR($C75="W",$C75="1/2W"))),$S73,0))</f>
        <v>0</v>
      </c>
      <c r="BX73" s="201">
        <f>IF($B73="LOSS",IF(AND($K73=BX$3,$C73="L"),-$O73,0)+IF(AND($K74=BX$3,$C74="L"),-$O74,0)+IF(AND($K75=BX$3,$C75="L"),-$O75,0),IF(OR(AND($K73=BX$3,OR($C73="W",$C73="1/2W")),AND($K74=BX$3,OR($C74="W",$C74="1/2W")),AND($K75=BX$3,OR($C75="W",$C75="1/2W"))),$S73,0))</f>
        <v>0</v>
      </c>
      <c r="BY73" s="201">
        <f>IF($B73="LOSS",IF(AND($K73=BY$3,$C73="L"),-$O73,0)+IF(AND($K74=BY$3,$C74="L"),-$O74,0)+IF(AND($K75=BY$3,$C75="L"),-$O75,0),IF(OR(AND($K73=BY$3,OR($C73="W",$C73="1/2W")),AND($K74=BY$3,OR($C74="W",$C74="1/2W")),AND($K75=BY$3,OR($C75="W",$C75="1/2W"))),$S73,0))</f>
        <v>0</v>
      </c>
      <c r="BZ73" s="205">
        <f>IF($B73="LOSS",IF(AND($K73=BZ$3,$C73="L"),-$O73,0)+IF(AND($K74=BZ$3,$C74="L"),-$O74,0)+IF(AND($K75=BZ$3,$C75="L"),-$O75,0),IF(OR(AND($K73=BZ$3,OR($C73="W",$C73="1/2W")),AND($K74=BZ$3,OR($C74="W",$C74="1/2W")),AND($K75=BZ$3,OR($C75="W",$C75="1/2W"))),$S73,0))</f>
        <v>1.16</v>
      </c>
      <c r="CA73" s="205">
        <f>IF($B73="LOSS",IF(AND($K73=CA$3,$C73="L"),-$O73,0)+IF(AND($K74=CA$3,$C74="L"),-$O74,0)+IF(AND($K75=CA$3,$C75="L"),-$O75,0),IF(OR(AND($K73=CA$3,OR($C73="W",$C73="1/2W")),AND($K74=CA$3,OR($C74="W",$C74="1/2W")),AND($K75=CA$3,OR($C75="W",$C75="1/2W"))),$S73,0))</f>
        <v>0</v>
      </c>
      <c r="CB73" s="205">
        <f>IF($B73="LOSS",IF(AND($K73=CB$3,$C73="L"),-$O73,0)+IF(AND($K74=CB$3,$C74="L"),-$O74,0)+IF(AND($K75=CB$3,$C75="L"),-$O75,0),IF(OR(AND($K73=CB$3,OR($C73="W",$C73="1/2W")),AND($K74=CB$3,OR($C74="W",$C74="1/2W")),AND($K75=CB$3,OR($C75="W",$C75="1/2W"))),$S73,0))</f>
        <v>0</v>
      </c>
      <c r="CC73" s="205">
        <f>IF($B73="LOSS",IF(AND($K73=CC$3,$C73="L"),-$O73,0)+IF(AND($K74=CC$3,$C74="L"),-$O74,0)+IF(AND($K75=CC$3,$C75="L"),-$O75,0),IF(OR(AND($K73=CC$3,OR($C73="W",$C73="1/2W")),AND($K74=CC$3,OR($C74="W",$C74="1/2W")),AND($K75=CC$3,OR($C75="W",$C75="1/2W"))),$S73,0))</f>
        <v>0</v>
      </c>
      <c r="CD73" s="202">
        <f>IF($B73="LOSS",IF(AND($K73=CD$3,$C73="L"),-$O73,0)+IF(AND($K74=CD$3,$C74="L"),-$O74,0)+IF(AND($K75=CD$3,$C75="L"),-$O75,0),IF(OR(AND($K73=CD$3,OR($C73="W",$C73="1/2W")),AND($K74=CD$3,OR($C74="W",$C74="1/2W")),AND($K75=CD$3,OR($C75="W",$C75="1/2W"))),$S73,0))</f>
        <v>0</v>
      </c>
      <c r="CE73" s="199">
        <f>IF($B73="LOSS",IF(AND($K73=CE$3,$C73="L"),-$O73,0)+IF(AND($K74=CE$3,$C74="L"),-$O74,0)+IF(AND($K75=CE$3,$C75="L"),-$O75,0),IF(OR(AND($K73=CE$3,OR($C73="W",$C73="1/2W")),AND($K74=CE$3,OR($C74="W",$C74="1/2W")),AND($K75=CE$3,OR($C75="W",$C75="1/2W"))),$S73,0))</f>
        <v>0</v>
      </c>
      <c r="CF73" s="206">
        <f>IF(CF$3=$K73,IF($C73="W",1,IF($C73="1/2W",0.5,0)),0)</f>
        <v>0</v>
      </c>
      <c r="CG73" s="207">
        <f>IF(CF$3=$K73,IF($C73="L",1,IF($C73="1/2L",0.5,0)),0)</f>
        <v>0</v>
      </c>
      <c r="CH73" s="207">
        <f>IF(CH$3=$K73,IF($C73="W",1,IF($C73="1/2W",0.5,0)),0)</f>
        <v>0</v>
      </c>
      <c r="CI73" s="207">
        <f>IF(CH$3=$K73,IF($C73="L",1,IF($C73="1/2L",0.5,0)),0)</f>
        <v>1</v>
      </c>
      <c r="CJ73" s="207">
        <f>IF(CJ$3=$K73,IF($C73="W",1,IF($C73="1/2W",0.5,0)),0)</f>
        <v>0</v>
      </c>
      <c r="CK73" s="207">
        <f>IF(CJ$3=$K73,IF($C73="L",1,IF($C73="1/2L",0.5,0)),0)</f>
        <v>0</v>
      </c>
      <c r="CL73" s="207">
        <f>IF(CL$3=$K73,IF($C73="W",1,IF($C73="1/2W",0.5,0)),0)</f>
        <v>0</v>
      </c>
      <c r="CM73" s="207">
        <f>IF(CL$3=$K73,IF($C73="L",1,IF($C73="1/2L",0.5,0)),0)</f>
        <v>0</v>
      </c>
      <c r="CN73" s="207">
        <f>IF(CN$3=$K73,IF($C73="W",1,IF($C73="1/2W",0.5,0)),0)</f>
        <v>0</v>
      </c>
      <c r="CO73" s="207">
        <f>IF(CN$3=$K73,IF($C73="L",1,IF($C73="1/2L",0.5,0)),0)</f>
        <v>0</v>
      </c>
      <c r="CP73" s="207">
        <f>IF(CP$3=$K73,IF($C73="W",1,IF($C73="1/2W",0.5,0)),0)</f>
        <v>0</v>
      </c>
      <c r="CQ73" s="207">
        <f>IF(CP$3=$K73,IF($C73="L",1,IF($C73="1/2L",0.5,0)),0)</f>
        <v>0</v>
      </c>
      <c r="CR73" s="207">
        <f>IF(CR$3=$K73,IF($C73="W",1,IF($C73="1/2W",0.5,0)),0)</f>
        <v>0</v>
      </c>
      <c r="CS73" s="207">
        <f>IF(CR$3=$K73,IF($C73="L",1,IF($C73="1/2L",0.5,0)),0)</f>
        <v>0</v>
      </c>
      <c r="CT73" s="208">
        <f>IF(CT$3=$K73,IF($C73="W",1,IF($C73="1/2W",0.5,0)),0)</f>
        <v>0</v>
      </c>
      <c r="CU73" s="209">
        <f>IF(CT$3=$K73,IF($C73="L",1,IF($C73="1/2L",0.5,0)),0)</f>
        <v>0</v>
      </c>
      <c r="CV73" s="209">
        <f>IF(CV$3=$K73,IF($C73="W",1,IF($C73="1/2W",0.5,0)),0)</f>
        <v>0</v>
      </c>
      <c r="CW73" s="209">
        <f>IF(CV$3=$K73,IF($C73="L",1,IF($C73="1/2L",0.5,0)),0)</f>
        <v>0</v>
      </c>
      <c r="CX73" s="209">
        <f>IF(CX$3=$K73,IF($C73="W",1,IF($C73="1/2W",0.5,0)),0)</f>
        <v>0</v>
      </c>
      <c r="CY73" s="209">
        <f>IF(CX$3=$K73,IF($C73="L",1,IF($C73="1/2L",0.5,0)),0)</f>
        <v>0</v>
      </c>
      <c r="CZ73" s="209">
        <f>IF(CZ$3=$K73,IF($C73="W",1,IF($C73="1/2W",0.5,0)),0)</f>
        <v>0</v>
      </c>
      <c r="DA73" s="209">
        <f>IF(CZ$3=$K73,IF($C73="L",1,IF($C73="1/2L",0.5,0)),0)</f>
        <v>0</v>
      </c>
      <c r="DB73" s="209">
        <f>IF(DB$3=$K73,IF($C73="W",1,IF($C73="1/2W",0.5,0)),0)</f>
        <v>0</v>
      </c>
      <c r="DC73" s="209">
        <f>IF(DB$3=$K73,IF($C73="L",1,IF($C73="1/2L",0.5,0)),0)</f>
        <v>0</v>
      </c>
      <c r="DD73" s="209">
        <f>IF(DD$3=$K73,IF($C73="W",1,IF($C73="1/2W",0.5,0)),0)</f>
        <v>0</v>
      </c>
      <c r="DE73" s="210">
        <f>IF(DD$3=$K73,IF($C73="L",1,IF($C73="1/2L",0.5,0)),0)</f>
        <v>0</v>
      </c>
      <c r="DF73" s="211">
        <f>IF(AND(L73&lt;DF$3,$C73="W"),1+DF72,DF72)</f>
        <v>5</v>
      </c>
      <c r="DG73" s="198">
        <f>IF(DF73&gt;DF72,L73+DG72,DG72)</f>
        <v>6.558</v>
      </c>
      <c r="DH73" s="209">
        <f>IF(AND(L73&gt;DH$3,$C73="W"),1+DH72,0+DH72)</f>
        <v>1</v>
      </c>
      <c r="DI73" s="198">
        <f>IF(DH73&gt;DH72,L73+DI72,DI72)</f>
        <v>4.33</v>
      </c>
      <c r="DJ73" t="s" s="306">
        <f>IF($D73="","",$D73)</f>
        <v>101</v>
      </c>
      <c r="DK73" s="209">
        <f>IF(AND($B73=" ",$D73&lt;&gt;""),1,0)</f>
        <v>0</v>
      </c>
    </row>
    <row r="74" ht="14.55" customHeight="1">
      <c r="A74" s="107"/>
      <c r="B74" s="108"/>
      <c r="C74" t="s" s="213">
        <v>56</v>
      </c>
      <c r="D74" s="110"/>
      <c r="E74" s="111"/>
      <c r="F74" s="113"/>
      <c r="G74" s="214"/>
      <c r="H74" s="114"/>
      <c r="I74" t="s" s="215">
        <v>57</v>
      </c>
      <c r="J74" s="296">
        <f>IF(OR(I73="TO",I73="TU",I73="TO1",I73="TU1",I73="TO2",I73="TU2"),J73,IF(OR(I73="AH1",I73="AH2"),IF(OR(I74="AH1",I74="AH2"),-J73,IF(OR(I74="EH1",I74="EH2"),-J73+0.5,"")),IF(OR(I73="EH1",I73="EH2"),IF(OR(I74="AH1",I74="AH2"),-J73+0.5,IF(OR(I74="EH1",I74="EH2"),-J73+1,"")),IF(AND(OR(I73="DNB1",I73="DNB2"),OR(I74="AH1",I74="AH2")),0,IF(AND(I73="Not ScoreBoth",OR(I74="TO1",I74="TO2")),0.5,"")))))</f>
        <v>0</v>
      </c>
      <c r="K74" t="s" s="217">
        <v>44</v>
      </c>
      <c r="L74" s="218">
        <v>1.833</v>
      </c>
      <c r="M74" s="219">
        <v>20.72</v>
      </c>
      <c r="N74" s="120"/>
      <c r="O74" s="220">
        <f>IF(OR(AE73="",AE74=""),"",ROUND(IF(L75&gt;0,IF(M74&gt;0,M74,IF(M73&gt;0,IF(N73=TRUE,ROUND((M73*AE74)/AE73,0),(M73*AE74)/AE73),IF(M74&gt;0,ROUND(M74,IF(N73=0,2,IF(N73=0.1,1,0))),IF(M75&gt;0,ROUND(O75*AE74/AE75,IF(N73=0,2,IF(N73=0.1,1,0))),0)))),IF(M74&gt;0,M74,ROUND((M73*AE74)/AE73,IF(N73=0,2,IF(N73=0.1,1,0))))),2))</f>
        <v>20.72</v>
      </c>
      <c r="P74" s="221">
        <f>IF(OR(L74="",O74=""),"",IF($C74="1/2W",O74/2+O74/2*L74,IF($C74="1/2L",O74/2,IF(I74="Lay",((O74*(L74/(L74-1)))-O74)*(1-_xlfn.XLOOKUP(K74,'Janeiro 2023 - Valor Real'!A3:A15,'Janeiro 2023 - Valor Real'!C3:C15,0))+O74,(O74*L74-O74)*(1-_xlfn.XLOOKUP(K74,'Janeiro 2023 - Valor Real'!A3:A15,'Janeiro 2023 - Valor Real'!C3:C15,0))+O74))))</f>
        <v>37.97976</v>
      </c>
      <c r="Q74" s="222">
        <v>5</v>
      </c>
      <c r="R74" s="223">
        <v>0</v>
      </c>
      <c r="S74" s="125"/>
      <c r="T74" s="126"/>
      <c r="U74" s="126"/>
      <c r="V74" s="224"/>
      <c r="W74" s="126"/>
      <c r="X74" s="127"/>
      <c r="Y74" s="128"/>
      <c r="Z74" s="129"/>
      <c r="AA74" s="129"/>
      <c r="AB74" s="129"/>
      <c r="AC74" s="129"/>
      <c r="AD74" s="225">
        <f>(((L74/(L74-1)-1)*(1-_xlfn.XLOOKUP(K74,'Janeiro 2023 - Valor Real'!A3:A15,'Janeiro 2023 - Valor Real'!C3:C15,0))+1))</f>
        <v>2.20048019207683</v>
      </c>
      <c r="AE74" s="226">
        <f>IF(L74="","",IF(L75&gt;0,(SUM(((L73-1)*(1-_xlfn.XLOOKUP(K73,'Janeiro 2023 - Valor Real'!A3:A15,'Janeiro 2023 - Valor Real'!C3:C15,0))+1),((L74-1)*(1-_xlfn.XLOOKUP(K74,'Janeiro 2023 - Valor Real'!A3:A15,'Janeiro 2023 - Valor Real'!C3:C15,0))+1),((L75-1)*(1-_xlfn.XLOOKUP(K75,'Janeiro 2023 - Valor Real'!A3:A15,'Janeiro 2023 - Valor Real'!C3:C15,0))+1))/((L74-1)*(1-_xlfn.XLOOKUP(K74,'Janeiro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Real'!C3:C15,0))+1))/((L73-1)*(1-_xlfn.XLOOKUP(K73,'Janeiro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Real'!C3:C15,0))+1))/((L74-1)*(1-_xlfn.XLOOKUP(K74,'Janeiro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Real'!C3:C15,0))+1))/((L75-1)*(1-_xlfn.XLOOKUP(K75,'Janeiro 2023 - Valor Real'!A3:A15,'Janeiro 2023 - Valor Real'!C3:C15,0))+1)),IF(I74="Lay",IF(I73="Lay",((L73/(L73-1)-1)*(1-_xlfn.XLOOKUP(K73,'Janeiro 2023 - Valor Real'!A3:A15,'Janeiro 2023 - Valor Real'!C3:C15,0))+1)/(((L73/(L73-1)-1)*(1-_xlfn.XLOOKUP(K73,'Janeiro 2023 - Valor Real'!A3:A15,'Janeiro 2023 - Valor Real'!C3:C15,0))+1)+((L74/(L74-1)-1)*(1-_xlfn.XLOOKUP(K74,'Janeiro 2023 - Valor Real'!A3:A15,'Janeiro 2023 - Valor Real'!C3:C15,0))+1)),((L73-1)*(1-_xlfn.XLOOKUP(K73,'Janeiro 2023 - Valor Real'!A3:A15,'Janeiro 2023 - Valor Real'!C3:C15,0))+1)/(((L73-1)*(1-_xlfn.XLOOKUP(K73,'Janeiro 2023 - Valor Real'!A3:A15,'Janeiro 2023 - Valor Real'!C3:C15,0))+1)+((L74/(L74-1)-1)*(1-_xlfn.XLOOKUP(K74,'Janeiro 2023 - Valor Real'!A3:A15,'Janeiro 2023 - Valor Real'!C3:C15,0))+1))),IF(I73="Lay",((L73/(L73-1)-1)*(1-_xlfn.XLOOKUP(K73,'Janeiro 2023 - Valor Real'!A3:A15,'Janeiro 2023 - Valor Real'!C3:C15,0))+1)/((((L73/(L73-1)-1)*(1-_xlfn.XLOOKUP(K73,'Janeiro 2023 - Valor Real'!A3:A15,'Janeiro 2023 - Valor Real'!C3:C15,0))+1))+((L74-1)*(1-_xlfn.XLOOKUP(K74,'Janeiro 2023 - Valor Real'!A3:A15,'Janeiro 2023 - Valor Real'!C3:C15,0))+1)),((L73-1)*(1-_xlfn.XLOOKUP(K73,'Janeiro 2023 - Valor Real'!A3:A15,'Janeiro 2023 - Valor Real'!C3:C15,0))+1)/(((L73-1)*(1-_xlfn.XLOOKUP(K73,'Janeiro 2023 - Valor Real'!A3:A15,'Janeiro 2023 - Valor Real'!C3:C15,0))+1)+((L74-1)*(1-_xlfn.XLOOKUP(K74,'Janeiro 2023 - Valor Real'!A3:A15,'Janeiro 2023 - Valor Real'!C3:C15,0))+1))))))</f>
        <v>0.561797752808989</v>
      </c>
      <c r="AF74" s="197">
        <f>IF($K74=AF$3,ROUND(IF(OR($C74="W",$C74="1/2W",$C74="1/2L"),$P74-$O74,IF($C74="X",0,-$O74)),2),0)</f>
        <v>0</v>
      </c>
      <c r="AG74" s="198">
        <f>IF($K74=AG$3,ROUND(IF(OR($C74="W",$C74="1/2W",$C74="1/2L"),$P74-$O74,IF($C74="X",0,-$O74)),2),0)</f>
        <v>0</v>
      </c>
      <c r="AH74" s="198">
        <f>IF($K74=AH$3,ROUND(IF(OR($C74="W",$C74="1/2W",$C74="1/2L"),$P74-$O74,IF($C74="X",0,-$O74)),2),0)</f>
        <v>0</v>
      </c>
      <c r="AI74" s="198">
        <f>IF($K74=AI$3,ROUND(IF(OR($C74="W",$C74="1/2W",$C74="1/2L"),$P74-$O74,IF($C74="X",0,-$O74)),2),0)</f>
        <v>0</v>
      </c>
      <c r="AJ74" s="198">
        <f>IF($K74=AJ$3,ROUND(IF(OR($C74="W",$C74="1/2W",$C74="1/2L"),$P74-$O74,IF($C74="X",0,-$O74)),2),0)</f>
        <v>0</v>
      </c>
      <c r="AK74" s="198">
        <f>IF($K74=AK$3,ROUND(IF(OR($C74="W",$C74="1/2W",$C74="1/2L"),$P74-$O74,IF($C74="X",0,-$O74)),2),0)</f>
        <v>0</v>
      </c>
      <c r="AL74" s="198">
        <f>IF($K74=AL$3,ROUND(IF(OR($C74="W",$C74="1/2W",$C74="1/2L"),$P74-$O74,IF($C74="X",0,-$O74)),2),0)</f>
        <v>0</v>
      </c>
      <c r="AM74" s="198">
        <f>IF($K74=AM$3,ROUND(IF(OR($C74="W",$C74="1/2W",$C74="1/2L"),$P74-$O74,IF($C74="X",0,-$O74)),2),0)</f>
        <v>17.26</v>
      </c>
      <c r="AN74" s="198">
        <f>IF($K74=AN$3,ROUND(IF(OR($C74="W",$C74="1/2W",$C74="1/2L"),$P74-$O74,IF($C74="X",0,-$O74)),2),0)</f>
        <v>0</v>
      </c>
      <c r="AO74" s="198">
        <f>IF($K74=AO$3,ROUND(IF(OR($C74="W",$C74="1/2W",$C74="1/2L"),$P74-$O74,IF($C74="X",0,-$O74)),2),0)</f>
        <v>0</v>
      </c>
      <c r="AP74" s="198">
        <f>IF($K74=AP$3,ROUND(IF(OR($C74="W",$C74="1/2W",$C74="1/2L"),$P74-$O74,IF($C74="X",0,-$O74)),2),0)</f>
        <v>0</v>
      </c>
      <c r="AQ74" s="198">
        <f>IF($K74=AQ$3,ROUND(IF(OR($C74="W",$C74="1/2W",$C74="1/2L"),$P74-$O74,IF($C74="X",0,-$O74)),2),0)</f>
        <v>0</v>
      </c>
      <c r="AR74" s="199">
        <f>IF($K74=AR$3,ROUND(IF(OR($C74="W",$C74="1/2W",$C74="1/2L"),$P74-$O74,IF($C74="X",0,-$O74)),2),0)</f>
        <v>0</v>
      </c>
      <c r="AS74" s="197">
        <f>IF(AND($B73=" ",$K74=AS$3),$O74,0)</f>
        <v>0</v>
      </c>
      <c r="AT74" s="198">
        <f>IF(AND($B73=" ",K74=AT$3),$O74,0)</f>
        <v>0</v>
      </c>
      <c r="AU74" s="198">
        <f>IF(AND($B73=" ",$K74=AU$3),$O74,0)</f>
        <v>0</v>
      </c>
      <c r="AV74" s="198">
        <f>IF(AND($B73=" ",$K74=AV$3),$O74,0)</f>
        <v>0</v>
      </c>
      <c r="AW74" s="198">
        <f>IF(AND($B73=" ",$K74=AW$3),$O74,0)</f>
        <v>0</v>
      </c>
      <c r="AX74" s="198">
        <f>IF(AND($B73=" ",$K74=AX$3),$O74,0)</f>
        <v>0</v>
      </c>
      <c r="AY74" s="200">
        <f>IF(AND($B73=" ",$K74=AY$3),$O74,0)</f>
        <v>0</v>
      </c>
      <c r="AZ74" s="201">
        <f>IF(AND($B73=" ",$K74=AZ$3),$O74,0)</f>
        <v>0</v>
      </c>
      <c r="BA74" s="201">
        <f>IF(AND($B73=" ",$K74=BA$3),$O74,0)</f>
        <v>0</v>
      </c>
      <c r="BB74" s="201">
        <f>IF(AND($B73=" ",$K74=BB$3),$O74,0)</f>
        <v>0</v>
      </c>
      <c r="BC74" s="202">
        <f>IF(AND($B73=" ",$K74=BC$3),$O74,0)</f>
        <v>0</v>
      </c>
      <c r="BD74" s="198">
        <f>IF(AND($B73=" ",$K74=BD$3),$O74,0)</f>
        <v>0</v>
      </c>
      <c r="BE74" s="199">
        <f>IF(AND($B73=" ",$K74=BE$3),$O74,0)</f>
        <v>0</v>
      </c>
      <c r="BF74" s="197">
        <f>IF($K74=BF$3,IF($C74="X",0,$O74),0)</f>
        <v>0</v>
      </c>
      <c r="BG74" s="198">
        <f>IF($K74=BG$3,IF($C74="X",0,$O74),0)</f>
        <v>0</v>
      </c>
      <c r="BH74" s="198">
        <f>IF($K74=BH$3,IF($C74="X",0,$O74),0)</f>
        <v>0</v>
      </c>
      <c r="BI74" s="198">
        <f>IF($K74=BI$3,IF($C74="X",0,$O74),0)</f>
        <v>0</v>
      </c>
      <c r="BJ74" s="198">
        <f>IF($K74=BJ$3,IF($C74="X",0,$O74),0)</f>
        <v>0</v>
      </c>
      <c r="BK74" s="198">
        <f>IF($K74=BK$3,IF($C74="X",0,$O74),0)</f>
        <v>0</v>
      </c>
      <c r="BL74" s="198">
        <f>IF($K74=BL$3,IF($C74="X",0,$O74),0)</f>
        <v>0</v>
      </c>
      <c r="BM74" s="227">
        <f>IF($K74=BM$3,IF($C74="X",0,$O74),0)</f>
        <v>20.72</v>
      </c>
      <c r="BN74" s="205">
        <f>IF($K74=BN$3,IF($C74="X",0,$O74),0)</f>
        <v>0</v>
      </c>
      <c r="BO74" s="205">
        <f>IF($K74=BO$3,IF($C74="X",0,$O74),0)</f>
        <v>0</v>
      </c>
      <c r="BP74" s="205">
        <f>IF($K74=BP$3,IF($C74="X",0,$O74),0)</f>
        <v>0</v>
      </c>
      <c r="BQ74" s="202">
        <f>IF($K74=BQ$3,IF($C74="X",0,$O74),0)</f>
        <v>0</v>
      </c>
      <c r="BR74" s="199">
        <f>IF($K74=BR$3,IF($C74="X",0,$O74),0)</f>
        <v>0</v>
      </c>
      <c r="BS74" s="228"/>
      <c r="BT74" s="229"/>
      <c r="BU74" s="140"/>
      <c r="BV74" s="229"/>
      <c r="BW74" s="140"/>
      <c r="BX74" s="140"/>
      <c r="BY74" s="140"/>
      <c r="BZ74" s="229"/>
      <c r="CA74" s="140"/>
      <c r="CB74" s="140"/>
      <c r="CC74" s="140"/>
      <c r="CD74" s="141"/>
      <c r="CE74" s="142"/>
      <c r="CF74" s="230">
        <f>IF(CF$3=$K74,IF($C74="W",1,IF($C74="1/2W",0.5,0)),0)</f>
        <v>0</v>
      </c>
      <c r="CG74" s="231">
        <f>IF(CF$3=$K74,IF($C74="L",1,IF($C74="1/2L",0.5,0)),0)</f>
        <v>0</v>
      </c>
      <c r="CH74" s="231">
        <f>IF(CH$3=$K74,IF($C74="W",1,IF($C74="1/2W",0.5,0)),0)</f>
        <v>0</v>
      </c>
      <c r="CI74" s="231">
        <f>IF(CH$3=$K74,IF($C74="L",1,IF($C74="1/2L",0.5,0)),0)</f>
        <v>0</v>
      </c>
      <c r="CJ74" s="231">
        <f>IF(CJ$3=$K74,IF($C74="W",1,IF($C74="1/2W",0.5,0)),0)</f>
        <v>0</v>
      </c>
      <c r="CK74" s="231">
        <f>IF(CJ$3=$K74,IF($C74="L",1,IF($C74="1/2L",0.5,0)),0)</f>
        <v>0</v>
      </c>
      <c r="CL74" s="231">
        <f>IF(CL$3=$K74,IF($C74="W",1,IF($C74="1/2W",0.5,0)),0)</f>
        <v>0</v>
      </c>
      <c r="CM74" s="231">
        <f>IF(CL$3=$K74,IF($C74="L",1,IF($C74="1/2L",0.5,0)),0)</f>
        <v>0</v>
      </c>
      <c r="CN74" s="231">
        <f>IF(CN$3=$K74,IF($C74="W",1,IF($C74="1/2W",0.5,0)),0)</f>
        <v>0</v>
      </c>
      <c r="CO74" s="231">
        <f>IF(CN$3=$K74,IF($C74="L",1,IF($C74="1/2L",0.5,0)),0)</f>
        <v>0</v>
      </c>
      <c r="CP74" s="231">
        <f>IF(CP$3=$K74,IF($C74="W",1,IF($C74="1/2W",0.5,0)),0)</f>
        <v>0</v>
      </c>
      <c r="CQ74" s="231">
        <f>IF(CP$3=$K74,IF($C74="L",1,IF($C74="1/2L",0.5,0)),0)</f>
        <v>0</v>
      </c>
      <c r="CR74" s="231">
        <f>IF(CR$3=$K74,IF($C74="W",1,IF($C74="1/2W",0.5,0)),0)</f>
        <v>0</v>
      </c>
      <c r="CS74" s="231">
        <f>IF(CR$3=$K74,IF($C74="L",1,IF($C74="1/2L",0.5,0)),0)</f>
        <v>0</v>
      </c>
      <c r="CT74" s="208">
        <f>IF(CT$3=$K74,IF($C74="W",1,IF($C74="1/2W",0.5,0)),0)</f>
        <v>1</v>
      </c>
      <c r="CU74" s="209">
        <f>IF(CT$3=$K74,IF($C74="L",1,IF($C74="1/2L",0.5,0)),0)</f>
        <v>0</v>
      </c>
      <c r="CV74" s="209">
        <f>IF(CV$3=$K74,IF($C74="W",1,IF($C74="1/2W",0.5,0)),0)</f>
        <v>0</v>
      </c>
      <c r="CW74" s="209">
        <f>IF(CV$3=$K74,IF($C74="L",1,IF($C74="1/2L",0.5,0)),0)</f>
        <v>0</v>
      </c>
      <c r="CX74" s="209">
        <f>IF(CX$3=$K74,IF($C74="W",1,IF($C74="1/2W",0.5,0)),0)</f>
        <v>0</v>
      </c>
      <c r="CY74" s="209">
        <f>IF(CX$3=$K74,IF($C74="L",1,IF($C74="1/2L",0.5,0)),0)</f>
        <v>0</v>
      </c>
      <c r="CZ74" s="209">
        <f>IF(CZ$3=$K74,IF($C74="W",1,IF($C74="1/2W",0.5,0)),0)</f>
        <v>0</v>
      </c>
      <c r="DA74" s="209">
        <f>IF(CZ$3=$K74,IF($C74="L",1,IF($C74="1/2L",0.5,0)),0)</f>
        <v>0</v>
      </c>
      <c r="DB74" s="209">
        <f>IF(DB$3=$K74,IF($C74="W",1,IF($C74="1/2W",0.5,0)),0)</f>
        <v>0</v>
      </c>
      <c r="DC74" s="209">
        <f>IF(DB$3=$K74,IF($C74="L",1,IF($C74="1/2L",0.5,0)),0)</f>
        <v>0</v>
      </c>
      <c r="DD74" s="209">
        <f>IF(DD$3=$K74,IF($C74="W",1,IF($C74="1/2W",0.5,0)),0)</f>
        <v>0</v>
      </c>
      <c r="DE74" s="210">
        <f>IF(DD$3=$K74,IF($C74="L",1,IF($C74="1/2L",0.5,0)),0)</f>
        <v>0</v>
      </c>
      <c r="DF74" s="211">
        <f>IF(AND(L74&lt;DF$3,$C74="W"),1+DF73,DF73)</f>
        <v>5</v>
      </c>
      <c r="DG74" s="198">
        <f>IF(DF74&gt;DF73,L74+DG73,DG73)</f>
        <v>6.558</v>
      </c>
      <c r="DH74" s="209">
        <f>IF(AND(L74&gt;DH$3,$C74="W"),1+DH73,0+DH73)</f>
        <v>1</v>
      </c>
      <c r="DI74" s="198">
        <f>IF(DH74&gt;DH73,L74+DI73,DI73)</f>
        <v>4.33</v>
      </c>
      <c r="DJ74" t="s" s="306">
        <f>IF($D73="","",$D73)</f>
        <v>101</v>
      </c>
      <c r="DK74" s="232"/>
    </row>
    <row r="75" ht="14.55" customHeight="1">
      <c r="A75" s="149"/>
      <c r="B75" s="150"/>
      <c r="C75" t="s" s="233">
        <v>58</v>
      </c>
      <c r="D75" s="152"/>
      <c r="E75" s="153"/>
      <c r="F75" s="155"/>
      <c r="G75" s="234"/>
      <c r="H75" s="156"/>
      <c r="I75" s="235"/>
      <c r="J75" s="236"/>
      <c r="K75" s="237"/>
      <c r="L75" s="238"/>
      <c r="M75" s="239"/>
      <c r="N75" s="161"/>
      <c r="O75" t="s" s="240">
        <f>IF(OR(AE73="",AE74=""),"",IF(L75&gt;0,ROUND(IF(M75&gt;0,M75,IF(M73&gt;0,ROUND((M73*AE75)/AE73,IF(N73=0,2,IF(N73=0.1,1,0))),IF(M74&gt;0,ROUND((M74*AE75)/AE74,IF(N73=0,2,IF(N73=0.1,1,0))),IF(M75&gt;0,M75,0)))),2),""))</f>
      </c>
      <c r="P75" t="s" s="241">
        <f>IF(I74="Lay",O74*(L74/(L74-1))-O74,IF(I73="Lay",O73*(L73/(L73-1))-O73,IF(OR(L75="",O75=""),"",IF($C75="1/2W",O75/2+O75/2*L75,IF($C75="1/2L",O75/2,(O75*L75-O75)*(1-_xlfn.XLOOKUP(K75,'Janeiro 2023 - Valor Real'!A3:A15,'Janeiro 2023 - Valor Real'!C3:C15,0))+O75)))))</f>
      </c>
      <c r="Q75" t="s" s="242"/>
      <c r="R75" t="s" s="243"/>
      <c r="S75" s="166"/>
      <c r="T75" s="155"/>
      <c r="U75" s="155"/>
      <c r="V75" s="166"/>
      <c r="W75" s="155"/>
      <c r="X75" s="167"/>
      <c r="Y75" s="128"/>
      <c r="Z75" s="129"/>
      <c r="AA75" s="129"/>
      <c r="AB75" s="129"/>
      <c r="AC75" s="129"/>
      <c r="AD75" s="244">
        <f>((L74/(L74-1)-1))</f>
        <v>1.20048019207683</v>
      </c>
      <c r="AE75" t="s" s="245">
        <f>IF(L75="","",(SUM(((L73-1)*(1-_xlfn.XLOOKUP(K73,'Janeiro 2023 - Valor Real'!A3:A15,'Janeiro 2023 - Valor Real'!C3:C15,0))+1),((L74-1)*(1-_xlfn.XLOOKUP(K74,'Janeiro 2023 - Valor Real'!A3:A15,'Janeiro 2023 - Valor Real'!C3:C15,0))+1),((L75-1)*(1-_xlfn.XLOOKUP(K75,'Janeiro 2023 - Valor Real'!A3:A15,'Janeiro 2023 - Valor Real'!C3:C15,0))+1))/((L75-1)*(1-_xlfn.XLOOKUP(K75,'Janeiro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Real'!C3:C15,0))+1))/((L73-1)*(1-_xlfn.XLOOKUP(K73,'Janeiro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Real'!C3:C15,0))+1))/((L74-1)*(1-_xlfn.XLOOKUP(K74,'Janeiro 2023 - Valor Real'!A3:A15,'Janeiro 2023 - Valor Real'!C3:C15,0))+1)+SUM(((L73-1)*(1-_xlfn.XLOOKUP(K73,'Janeiro 2023 - Valor Real'!A3:A15,'Janeiro 2023 - Valor Real'!C3:C15,0))+1),((L74-1)*(1-_xlfn.XLOOKUP(K74,'Janeiro 2023 - Valor Real'!A3:A15,'Janeiro 2023 - Valor Real'!C3:C15,0))+1),((L75-1)*(1-_xlfn.XLOOKUP(K75,'Janeiro 2023 - Valor Real'!A3:A15,'Janeiro 2023 - Valor Real'!C3:C15,0))+1))/((L75-1)*(1-_xlfn.XLOOKUP(K75,'Janeiro 2023 - Valor Real'!A3:A15,'Janeiro 2023 - Valor Real'!C3:C15,0))+1)))</f>
      </c>
      <c r="AF75" s="197">
        <f>IF($K75=AF$3,ROUND(IF(OR($C75="W",$C75="1/2W",$C75="1/2L"),$P75-$O75,IF($C75="X",0,-$O75)),2),0)</f>
        <v>0</v>
      </c>
      <c r="AG75" s="198">
        <f>IF($K75=AG$3,ROUND(IF(OR($C75="W",$C75="1/2W",$C75="1/2L"),$P75-$O75,IF($C75="X",0,-$O75)),2),0)</f>
        <v>0</v>
      </c>
      <c r="AH75" s="198">
        <f>IF($K75=AH$3,ROUND(IF(OR($C75="W",$C75="1/2W",$C75="1/2L"),$P75-$O75,IF($C75="X",0,-$O75)),2),0)</f>
        <v>0</v>
      </c>
      <c r="AI75" s="198">
        <f>IF($K75=AI$3,ROUND(IF(OR($C75="W",$C75="1/2W",$C75="1/2L"),$P75-$O75,IF($C75="X",0,-$O75)),2),0)</f>
        <v>0</v>
      </c>
      <c r="AJ75" s="198">
        <f>IF($K75=AJ$3,ROUND(IF(OR($C75="W",$C75="1/2W",$C75="1/2L"),$P75-$O75,IF($C75="X",0,-$O75)),2),0)</f>
        <v>0</v>
      </c>
      <c r="AK75" s="198">
        <f>IF($K75=AK$3,ROUND(IF(OR($C75="W",$C75="1/2W",$C75="1/2L"),$P75-$O75,IF($C75="X",0,-$O75)),2),0)</f>
        <v>0</v>
      </c>
      <c r="AL75" s="198">
        <f>IF($K75=AL$3,ROUND(IF(OR($C75="W",$C75="1/2W",$C75="1/2L"),$P75-$O75,IF($C75="X",0,-$O75)),2),0)</f>
        <v>0</v>
      </c>
      <c r="AM75" s="198">
        <f>IF($K75=AM$3,ROUND(IF(OR($C75="W",$C75="1/2W",$C75="1/2L"),$P75-$O75,IF($C75="X",0,-$O75)),2),0)</f>
        <v>0</v>
      </c>
      <c r="AN75" s="198">
        <f>IF($K75=AN$3,ROUND(IF(OR($C75="W",$C75="1/2W",$C75="1/2L"),$P75-$O75,IF($C75="X",0,-$O75)),2),0)</f>
        <v>0</v>
      </c>
      <c r="AO75" s="198">
        <f>IF($K75=AO$3,ROUND(IF(OR($C75="W",$C75="1/2W",$C75="1/2L"),$P75-$O75,IF($C75="X",0,-$O75)),2),0)</f>
        <v>0</v>
      </c>
      <c r="AP75" s="198">
        <f>IF($K75=AP$3,ROUND(IF(OR($C75="W",$C75="1/2W",$C75="1/2L"),$P75-$O75,IF($C75="X",0,-$O75)),2),0)</f>
        <v>0</v>
      </c>
      <c r="AQ75" s="198">
        <f>IF($K75=AQ$3,ROUND(IF(OR($C75="W",$C75="1/2W",$C75="1/2L"),$P75-$O75,IF($C75="X",0,-$O75)),2),0)</f>
        <v>0</v>
      </c>
      <c r="AR75" s="199">
        <f>IF($K75=AR$3,ROUND(IF(OR($C75="W",$C75="1/2W",$C75="1/2L"),$P75-$O75,IF($C75="X",0,-$O75)),2),0)</f>
        <v>0</v>
      </c>
      <c r="AS75" s="197">
        <f>IF(AND($B73=" ",$K75=AS$3),$O75,0)</f>
        <v>0</v>
      </c>
      <c r="AT75" s="198">
        <f>IF(AND($B73=" ",K75=AT$3),$O75,0)</f>
        <v>0</v>
      </c>
      <c r="AU75" s="198">
        <f>IF(AND($B73=" ",$K75=AU$3),$O75,0)</f>
        <v>0</v>
      </c>
      <c r="AV75" s="198">
        <f>IF(AND($B73=" ",$K75=AV$3),$O75,0)</f>
        <v>0</v>
      </c>
      <c r="AW75" s="198">
        <f>IF(AND($B73=" ",$K75=AW$3),$O75,0)</f>
        <v>0</v>
      </c>
      <c r="AX75" s="198">
        <f>IF(AND($B73=" ",$K75=AX$3),$O75,0)</f>
        <v>0</v>
      </c>
      <c r="AY75" s="200">
        <f>IF(AND($B73=" ",$K75=AY$3),$O75,0)</f>
        <v>0</v>
      </c>
      <c r="AZ75" s="201">
        <f>IF(AND($B73=" ",$K75=AZ$3),$O75,0)</f>
        <v>0</v>
      </c>
      <c r="BA75" s="201">
        <f>IF(AND($B73=" ",$K75=BA$3),$O75,0)</f>
        <v>0</v>
      </c>
      <c r="BB75" s="201">
        <f>IF(AND($B73=" ",$K75=BB$3),$O75,0)</f>
        <v>0</v>
      </c>
      <c r="BC75" s="202">
        <f>IF(AND($B73=" ",$K75=BC$3),$O75,0)</f>
        <v>0</v>
      </c>
      <c r="BD75" s="198">
        <f>IF(AND($B73=" ",$K75=BD$3),$O75,0)</f>
        <v>0</v>
      </c>
      <c r="BE75" s="199">
        <f>IF(AND($B73=" ",$K75=BE$3),$O75,0)</f>
        <v>0</v>
      </c>
      <c r="BF75" s="197">
        <f>IF($K75=BF$3,IF($C75="X",0,$O75),0)</f>
        <v>0</v>
      </c>
      <c r="BG75" s="198">
        <f>IF($K75=BG$3,IF($C75="X",0,$O75),0)</f>
        <v>0</v>
      </c>
      <c r="BH75" s="198">
        <f>IF($K75=BH$3,IF($C75="X",0,$O75),0)</f>
        <v>0</v>
      </c>
      <c r="BI75" s="198">
        <f>IF($K75=BI$3,IF($C75="X",0,$O75),0)</f>
        <v>0</v>
      </c>
      <c r="BJ75" s="198">
        <f>IF($K75=BJ$3,IF($C75="X",0,$O75),0)</f>
        <v>0</v>
      </c>
      <c r="BK75" s="198">
        <f>IF($K75=BK$3,IF($C75="X",0,$O75),0)</f>
        <v>0</v>
      </c>
      <c r="BL75" s="198">
        <f>IF($K75=BL$3,IF($C75="X",0,$O75),0)</f>
        <v>0</v>
      </c>
      <c r="BM75" s="200">
        <f>IF($K75=BM$3,IF($C75="X",0,$O75),0)</f>
        <v>0</v>
      </c>
      <c r="BN75" s="201">
        <f>IF($K75=BN$3,IF($C75="X",0,$O75),0)</f>
        <v>0</v>
      </c>
      <c r="BO75" s="201">
        <f>IF($K75=BO$3,IF($C75="X",0,$O75),0)</f>
        <v>0</v>
      </c>
      <c r="BP75" s="201">
        <f>IF($K75=BP$3,IF($C75="X",0,$O75),0)</f>
        <v>0</v>
      </c>
      <c r="BQ75" s="202">
        <f>IF($K75=BQ$3,IF($C75="X",0,$O75),0)</f>
        <v>0</v>
      </c>
      <c r="BR75" s="199">
        <f>IF($K75=BR$3,IF($C75="X",0,$O75),0)</f>
        <v>0</v>
      </c>
      <c r="BS75" s="228"/>
      <c r="BT75" s="229"/>
      <c r="BU75" s="140"/>
      <c r="BV75" s="229"/>
      <c r="BW75" s="140"/>
      <c r="BX75" s="140"/>
      <c r="BY75" s="140"/>
      <c r="BZ75" s="229"/>
      <c r="CA75" s="140"/>
      <c r="CB75" s="140"/>
      <c r="CC75" s="140"/>
      <c r="CD75" s="141"/>
      <c r="CE75" s="142"/>
      <c r="CF75" s="230">
        <f>IF(CF$3=$K75,IF($C75="W",1,IF($C75="1/2W",0.5,0)),0)</f>
        <v>0</v>
      </c>
      <c r="CG75" s="231">
        <f>IF(CF$3=$K75,IF($C75="L",1,IF($C75="1/2L",0.5,0)),0)</f>
        <v>0</v>
      </c>
      <c r="CH75" s="231">
        <f>IF(CH$3=$K75,IF($C75="W",1,IF($C75="1/2W",0.5,0)),0)</f>
        <v>0</v>
      </c>
      <c r="CI75" s="231">
        <f>IF(CH$3=$K75,IF($C75="L",1,IF($C75="1/2L",0.5,0)),0)</f>
        <v>0</v>
      </c>
      <c r="CJ75" s="231">
        <f>IF(CJ$3=$K75,IF($C75="W",1,IF($C75="1/2W",0.5,0)),0)</f>
        <v>0</v>
      </c>
      <c r="CK75" s="231">
        <f>IF(CJ$3=$K75,IF($C75="L",1,IF($C75="1/2L",0.5,0)),0)</f>
        <v>0</v>
      </c>
      <c r="CL75" s="231">
        <f>IF(CL$3=$K75,IF($C75="W",1,IF($C75="1/2W",0.5,0)),0)</f>
        <v>0</v>
      </c>
      <c r="CM75" s="231">
        <f>IF(CL$3=$K75,IF($C75="L",1,IF($C75="1/2L",0.5,0)),0)</f>
        <v>0</v>
      </c>
      <c r="CN75" s="231">
        <f>IF(CN$3=$K75,IF($C75="W",1,IF($C75="1/2W",0.5,0)),0)</f>
        <v>0</v>
      </c>
      <c r="CO75" s="231">
        <f>IF(CN$3=$K75,IF($C75="L",1,IF($C75="1/2L",0.5,0)),0)</f>
        <v>0</v>
      </c>
      <c r="CP75" s="231">
        <f>IF(CP$3=$K75,IF($C75="W",1,IF($C75="1/2W",0.5,0)),0)</f>
        <v>0</v>
      </c>
      <c r="CQ75" s="231">
        <f>IF(CP$3=$K75,IF($C75="L",1,IF($C75="1/2L",0.5,0)),0)</f>
        <v>0</v>
      </c>
      <c r="CR75" s="231">
        <f>IF(CR$3=$K75,IF($C75="W",1,IF($C75="1/2W",0.5,0)),0)</f>
        <v>0</v>
      </c>
      <c r="CS75" s="231">
        <f>IF(CR$3=$K75,IF($C75="L",1,IF($C75="1/2L",0.5,0)),0)</f>
        <v>0</v>
      </c>
      <c r="CT75" s="208">
        <f>IF(CT$3=$K75,IF($C75="W",1,IF($C75="1/2W",0.5,0)),0)</f>
        <v>0</v>
      </c>
      <c r="CU75" s="209">
        <f>IF(CT$3=$K75,IF($C75="L",1,IF($C75="1/2L",0.5,0)),0)</f>
        <v>0</v>
      </c>
      <c r="CV75" s="209">
        <f>IF(CV$3=$K75,IF($C75="W",1,IF($C75="1/2W",0.5,0)),0)</f>
        <v>0</v>
      </c>
      <c r="CW75" s="209">
        <f>IF(CV$3=$K75,IF($C75="L",1,IF($C75="1/2L",0.5,0)),0)</f>
        <v>0</v>
      </c>
      <c r="CX75" s="209">
        <f>IF(CX$3=$K75,IF($C75="W",1,IF($C75="1/2W",0.5,0)),0)</f>
        <v>0</v>
      </c>
      <c r="CY75" s="209">
        <f>IF(CX$3=$K75,IF($C75="L",1,IF($C75="1/2L",0.5,0)),0)</f>
        <v>0</v>
      </c>
      <c r="CZ75" s="209">
        <f>IF(CZ$3=$K75,IF($C75="W",1,IF($C75="1/2W",0.5,0)),0)</f>
        <v>0</v>
      </c>
      <c r="DA75" s="209">
        <f>IF(CZ$3=$K75,IF($C75="L",1,IF($C75="1/2L",0.5,0)),0)</f>
        <v>0</v>
      </c>
      <c r="DB75" s="209">
        <f>IF(DB$3=$K75,IF($C75="W",1,IF($C75="1/2W",0.5,0)),0)</f>
        <v>0</v>
      </c>
      <c r="DC75" s="209">
        <f>IF(DB$3=$K75,IF($C75="L",1,IF($C75="1/2L",0.5,0)),0)</f>
        <v>0</v>
      </c>
      <c r="DD75" s="209">
        <f>IF(DD$3=$K75,IF($C75="W",1,IF($C75="1/2W",0.5,0)),0)</f>
        <v>0</v>
      </c>
      <c r="DE75" s="210">
        <f>IF(DD$3=$K75,IF($C75="L",1,IF($C75="1/2L",0.5,0)),0)</f>
        <v>0</v>
      </c>
      <c r="DF75" s="211">
        <f>IF(AND(L75&lt;DF$3,$C75="W"),1+DF74,DF74)</f>
        <v>5</v>
      </c>
      <c r="DG75" s="198">
        <f>IF(DF75&gt;DF74,L75+DG74,DG74)</f>
        <v>6.558</v>
      </c>
      <c r="DH75" s="209">
        <f>IF(AND(L75&gt;DH$3,$C75="W"),1+DH74,0+DH74)</f>
        <v>1</v>
      </c>
      <c r="DI75" s="198">
        <f>IF(DH75&gt;DH74,L75+DI74,DI74)</f>
        <v>4.33</v>
      </c>
      <c r="DJ75" t="s" s="306">
        <f>IF($D73="","",$D73)</f>
        <v>101</v>
      </c>
      <c r="DK75" s="232"/>
    </row>
    <row r="76" ht="14.55" customHeight="1">
      <c r="A76" s="246">
        <f>$A73+1</f>
        <v>25</v>
      </c>
      <c r="B76" t="s" s="247">
        <v>50</v>
      </c>
      <c r="C76" t="s" s="248">
        <v>56</v>
      </c>
      <c r="D76" t="s" s="303">
        <f>IF(G76="","",$D73)</f>
        <v>101</v>
      </c>
      <c r="E76" t="s" s="250">
        <v>121</v>
      </c>
      <c r="F76" t="s" s="251">
        <f>IF(G76="","",IF(OR(AND($C76&lt;&gt;" ",$C77=" "),AND($C77&lt;&gt;" ",$C76=" "),AND(L78&gt;0,OR(AND($C78&lt;&gt;" ",OR($C76=" ",$C77=" ")),AND($C78=" ",OR($C76&lt;&gt;" ",$C77&lt;&gt;" "))))),IF(SUM(F$4:F75)=0,1,LARGE(F$4:F75,1)+1),IF(MONTH(G76)=MONTH(TODAY()),IF(AND(DAY(G76)&lt;DAY(TODAY()),$B76=" "),IF(SUM(F$4:F75)=0,1,LARGE(F$4:F75,1)+1),IF($B76=" ",IF(AND(DAY(G76)=DAY(TODAY()),HOUR(G76)&lt;=HOUR(NOW())+1),IF(AND(HOUR(G76)+2&lt;=HOUR(NOW()),DAY(G76)&lt;=DAY(TODAY()),MINUTE(G76)&lt;=MINUTE(NOW())),IF(SUM(F$4:F75)=0,1,LARGE(F$4:F75,1)+1),IF(OR(MINUTE(G76)&lt;=MINUTE(NOW()),HOUR(G76)&lt;=HOUR(NOW())),"!!!","")),""),"")),"")))</f>
      </c>
      <c r="G76" s="252">
        <v>44943.333333333336</v>
      </c>
      <c r="H76" t="s" s="253">
        <v>122</v>
      </c>
      <c r="I76" t="s" s="254">
        <v>57</v>
      </c>
      <c r="J76" s="255">
        <v>1.5</v>
      </c>
      <c r="K76" t="s" s="256">
        <v>40</v>
      </c>
      <c r="L76" s="257">
        <v>2.85</v>
      </c>
      <c r="M76" s="258">
        <v>5.51</v>
      </c>
      <c r="N76" s="259">
        <v>0.1</v>
      </c>
      <c r="O76" s="260">
        <f>IF(OR(AE76="",AE77=""),"",ROUND(IF(L78&gt;0,IF(M76&gt;0,M76,IF(M77&gt;0,ROUND((M77*AE76)/AE77,IF(N76=0,2,IF(N76=0.1,1,0))),ROUND((M78*AE76)/AE78,IF(N76=0,2,IF(N76=0.1,1,0))))),IF(M76&gt;0,M76,ROUND((M77*AE76)/AE77,IF(N76=0,2,IF(N76=0.1,1,0))))),2))</f>
        <v>5.51</v>
      </c>
      <c r="P76" s="261">
        <f>IF(OR(L76="",O76=""),"",IF($C76="1/2W",O76/2+O76/2*L76,IF($C76="1/2L",O76/2,IF(I76="Lay",(O76*(L76/(L76-1))-O76)*(1-_xlfn.XLOOKUP(K76,'Janeiro 2023 - Valor Real'!A3:A15,'Janeiro 2023 - Valor Real'!C3:C15,0))+O76,(O76*L76-O76)*(1-_xlfn.XLOOKUP(K76,'Janeiro 2023 - Valor Real'!A3:A15,'Janeiro 2023 - Valor Real'!C3:C15,0))+O76))))</f>
        <v>15.7035</v>
      </c>
      <c r="Q76" s="262">
        <v>2</v>
      </c>
      <c r="R76" s="263">
        <v>0</v>
      </c>
      <c r="S76" s="264">
        <f>IF($B76="Anulado",0,ROUND(IF(OR($B76="LOSS",$B76="OK"),IF(OR($C76="W",$C76="1/2W",$C76="1/2L"),P76-O76,IF($C76="L",-O76,0))+IF(OR($C77="W",$C77="1/2W",$C77="1/2L"),P77-O77,IF($C77="L",-O77,0))+IF(OR($C78="W",$C78="1/2W",$C78="1/2L"),P78-O78,IF($C78="L",-O78,0)),IF(AND(OR($C76="W",$C76="1/2W",$C76="1/2L"),C77="W"),P76+P77-SUM(O76:O78)+_xlfn.XLOOKUP("X",C76:C78,O76:O78,0),IF(AND(C76=TRUE,C78="W"),P76+P78-SUM(O76:O78),IF(AND(C77="W",C78="W"),P77+P78-SUM(O76:O78)+_xlfn.XLOOKUP("X",C76:C78,O76:O78,0),IF(L78&gt;0,IF(OR($C76="W",$C76="1/2W",$C76="1/2L"),P76-SUM(O76:O78)+_xlfn.XLOOKUP("X",C76:C78,O76:O78,0),IF(OR($C76="W",$C76="1/2W",$C76="1/2L"),P77-SUM(O76:O78)+_xlfn.XLOOKUP("X",C76:C78,O76:O78,0),IF(OR($C76="W",$C76="1/2W",$C76="1/2L"),P78-SUM(O76:O78)+_xlfn.XLOOKUP("X",C76:C78,O76:O78,0),IF(SUM(P76:P78)/3-SUM(O76:O78)+_xlfn.XLOOKUP("X",C76:C78,O76:O78,0)&gt;0,SUM(P76:P78)/3-SUM(O76:O78)+_xlfn.XLOOKUP("X",C76:C78,O76:O78,0),LARGE(P76:P78,1)-SUM(O76:O78))))),IF(OR($C76="W",$C76="1/2W",$C76="1/2L"),P76-SUM(O76:O77)+_xlfn.XLOOKUP("X",C76:C78,O76:O78,0),IF(OR($C76="W",$C76="1/2W",$C76="1/2L"),P77-SUM(O76:O77)+_xlfn.XLOOKUP("X",C76:C78,O76:O78,0),SUM(P76:P77)/2-SUM(O76:O77)+_xlfn.XLOOKUP("X",C76:C78,O76:O78,0)))))))),2))</f>
        <v>0.99</v>
      </c>
      <c r="T76" s="265">
        <f>IF(S76=0,0,S76/SUM(O76:O78))</f>
        <v>0.0673011556764106</v>
      </c>
      <c r="U76" s="266">
        <f>IF($D76=$D73,IF(OR($B76="LOSS",$B76="OK",$B76="Anulada"),S76,0)+U73,IF(OR($B76="LOSS",$B76="OK",$B76="Anulada"),S76,0))</f>
        <v>12.7</v>
      </c>
      <c r="V76" s="266">
        <f>IF($D76="",0,IF($D76=$D73,IF($B76=" ",IF(I78="",IF(OR(AND(I76="DNB1",I77="DNB2"),AND(OR(I76="DNB1",I76="DNB2"),J77=0),AND(OR(I77="DNB1",I77="DNB2"),J76=0),AND(I76="DNB2",I77="DNB1"),AND(IF(J76=0,(J76+1)/ROUND(J76+1,0),J76/ROUND(J76,0))=1,IF(J77=0,(J77+1)/ROUND(IF(J77="",0,J77)+1,0),IF(J77="",0,J77)/ROUND(IF(J77="",1,J77),0))=1,OR(J76&lt;&gt;""),J77&lt;&gt;"")),0,IF(S76&lt;0,IF(I78="",SMALL(P76:P77,1)-SUM(O76:O77),0),SMALL(P76:P77,1)-SUM(O76:O77))),IF(S76&lt;0,IF(I78="",SMALL(P76:P78,1)-SUM(O76:O78),0),LARGE(P76:P78,1)-SUM(O76:O78))),S76)+V73,IF(I78="",IF(OR(AND(I76="DNB1",I77="DNB2"),AND(OR(I76="DNB1",I76="DNB2"),J77=0),AND(OR(I77="DNB1",I77="DNB2"),J76=0),AND(I76="DNB2",I77="DNB1"),AND(IF(J76=0,(J76+1)/ROUND(J76+1,0),J76/ROUND(J76,0))=1,IF(J77=0,(IF(J77="",0,J77)+1)/ROUND(IF(J77="",0,J77)+1,0),IF(J77="",0,J77)/ROUND(IF(J77="",0,J77)+1,0))=1,OR(J76&lt;&gt;""),J77&lt;&gt;"")),0,IF(S76&lt;0,IF(I78="",SMALL(P76:P77,1)-SUM(O76:O77),0),SMALL(P76:P78,1)-SUM(O76:O78))),IF(S76&lt;0,IF(I78="",SMALL(P76:P78,1)-SUM(O76:O78),0),LARGE(P76:P78,1)-SUM(O76:O78)))))</f>
        <v>12.702</v>
      </c>
      <c r="W76" s="266">
        <f>IF($D76=$D73,IF(S76&lt;0,IF(I78="",S76,0),S76)+W73,S76)</f>
        <v>12.7</v>
      </c>
      <c r="X76" t="s" s="267">
        <f>IF(OR(SUM(R76:R78)=0,V76=W76),ROUND(IF(W76=0,0,W76/Y76)*100,2)&amp;"%",ROUND(IF(V76=0,0,V76/Y76)*100,2)&amp;"% a "&amp;ROUND(IF(W76=0,0,W76/Y76)*100,2)&amp;"%")</f>
        <v>123</v>
      </c>
      <c r="Y76" s="268">
        <f>IF($D76=$D73,Y73+SUM(O76:O78),SUM(O76:O78))</f>
        <v>376.52</v>
      </c>
      <c r="Z76" s="266">
        <f>IF($B76=" ",SUM(O76:O78),0)+Z73</f>
        <v>0</v>
      </c>
      <c r="AA76" s="266">
        <f>IF(G76="","",IF($B76="Anulado",LARGE(P76:P78,1)-SUM(O76:O78)+AA73,AA73))</f>
        <v>6.064</v>
      </c>
      <c r="AB76" s="266">
        <f>IF($D76="","",AB73+S76)</f>
        <v>90.8</v>
      </c>
      <c r="AC76" s="269">
        <f>IF($D76="","",IF($B76=" ",IF(DAY(G76)=DAY(TODAY()),1+AC73,0+AC73),0+AC73))</f>
        <v>0</v>
      </c>
      <c r="AD76" s="270">
        <f>(1-_xlfn.XLOOKUP(K74,'Janeiro 2023 - Valor Real'!A3:A15,'Janeiro 2023 - Valor Real'!C3:C15,0))+1</f>
        <v>2</v>
      </c>
      <c r="AE76" s="271">
        <f>IF(L76="","",IF(L78&gt;0,(SUM(((L76-1)*(1-_xlfn.XLOOKUP(K76,'Janeiro 2023 - Valor Real'!A3:A15,'Janeiro 2023 - Valor Real'!C3:C15,0))+1),((L77-1)*(1-_xlfn.XLOOKUP(K77,'Janeiro 2023 - Valor Real'!A3:A15,'Janeiro 2023 - Valor Real'!C3:C15,0))+1),((L78-1)*(1-_xlfn.XLOOKUP(K78,'Janeiro 2023 - Valor Real'!A3:A15,'Janeiro 2023 - Valor Real'!C3:C15,0))+1))/((L76-1)*(1-_xlfn.XLOOKUP(K76,'Janeiro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Real'!C3:C15,0))+1))/((L76-1)*(1-_xlfn.XLOOKUP(K76,'Janeiro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Real'!C3:C15,0))+1))/((L77-1)*(1-_xlfn.XLOOKUP(K77,'Janeiro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Real'!C3:C15,0))+1))/((L78-1)*(1-_xlfn.XLOOKUP(K78,'Janeiro 2023 - Valor Real'!A3:A15,'Janeiro 2023 - Valor Real'!C3:C15,0))+1)),IF(I76="Lay",IF(I77="Lay",((L77/(L77-1)-1)*(1-_xlfn.XLOOKUP(K77,'Janeiro 2023 - Valor Real'!A3:A15,'Janeiro 2023 - Valor Real'!C3:C15,0))+1)/(((L77/(L77-1)-1)*(1-_xlfn.XLOOKUP(K77,'Janeiro 2023 - Valor Real'!A3:A15,'Janeiro 2023 - Valor Real'!C3:C15,0))+1)+((L76/(L76-1)-1)*(1-_xlfn.XLOOKUP(K76,'Janeiro 2023 - Valor Real'!A3:A15,'Janeiro 2023 - Valor Real'!C3:C15,0))+1)),((L77-1)*(1-_xlfn.XLOOKUP(K77,'Janeiro 2023 - Valor Real'!A3:A15,'Janeiro 2023 - Valor Real'!C3:C15,0))+1)/(((L77-1)*(1-_xlfn.XLOOKUP(K77,'Janeiro 2023 - Valor Real'!A3:A15,'Janeiro 2023 - Valor Real'!C3:C15,0))+1)+((L76/(L76-1)-1)*(1-_xlfn.XLOOKUP(K76,'Janeiro 2023 - Valor Real'!A3:A15,'Janeiro 2023 - Valor Real'!C3:C15,0))+1))),IF(I77="Lay",(((L77/(L77-1)-1)*(1-_xlfn.XLOOKUP(K77,'Janeiro 2023 - Valor Real'!A3:A15,'Janeiro 2023 - Valor Real'!C3:C15,0))+1))/(((L76-1)*(1-_xlfn.XLOOKUP(K76,'Janeiro 2023 - Valor Real'!A3:A15,'Janeiro 2023 - Valor Real'!C3:C15,0))+1)+((L77/(L77-1)-1)*(1-_xlfn.XLOOKUP(K77,'Janeiro 2023 - Valor Real'!A3:A15,'Janeiro 2023 - Valor Real'!C3:C15,0))+1)),((L77-1)*(1-_xlfn.XLOOKUP(K77,'Janeiro 2023 - Valor Real'!A3:A15,'Janeiro 2023 - Valor Real'!C3:C15,0))+1)/(((L77-1)*(1-_xlfn.XLOOKUP(K77,'Janeiro 2023 - Valor Real'!A3:A15,'Janeiro 2023 - Valor Real'!C3:C15,0))+1)+((L76-1)*(1-_xlfn.XLOOKUP(K76,'Janeiro 2023 - Valor Real'!A3:A15,'Janeiro 2023 - Valor Real'!C3:C15,0))+1))))))</f>
        <v>0.375082226022892</v>
      </c>
      <c r="AF76" s="132">
        <f>IF($K76=AF$3,ROUND(IF(OR($C76="W",$C76="1/2W",$C76="1/2L"),$P76-$O76,IF($C76="X",0,-$O76)),2),0)</f>
        <v>0</v>
      </c>
      <c r="AG76" s="133">
        <f>IF($K76=AG$3,ROUND(IF(OR($C76="W",$C76="1/2W",$C76="1/2L"),$P76-$O76,IF($C76="X",0,-$O76)),2),0)</f>
        <v>0</v>
      </c>
      <c r="AH76" s="133">
        <f>IF($K76=AH$3,ROUND(IF(OR($C76="W",$C76="1/2W",$C76="1/2L"),$P76-$O76,IF($C76="X",0,-$O76)),2),0)</f>
        <v>0</v>
      </c>
      <c r="AI76" s="133">
        <f>IF($K76=AI$3,ROUND(IF(OR($C76="W",$C76="1/2W",$C76="1/2L"),$P76-$O76,IF($C76="X",0,-$O76)),2),0)</f>
        <v>10.19</v>
      </c>
      <c r="AJ76" s="133">
        <f>IF($K76=AJ$3,ROUND(IF(OR($C76="W",$C76="1/2W",$C76="1/2L"),$P76-$O76,IF($C76="X",0,-$O76)),2),0)</f>
        <v>0</v>
      </c>
      <c r="AK76" s="133">
        <f>IF($K76=AK$3,ROUND(IF(OR($C76="W",$C76="1/2W",$C76="1/2L"),$P76-$O76,IF($C76="X",0,-$O76)),2),0)</f>
        <v>0</v>
      </c>
      <c r="AL76" s="133">
        <f>IF($K76=AL$3,ROUND(IF(OR($C76="W",$C76="1/2W",$C76="1/2L"),$P76-$O76,IF($C76="X",0,-$O76)),2),0)</f>
        <v>0</v>
      </c>
      <c r="AM76" s="133">
        <f>IF($K76=AM$3,ROUND(IF(OR($C76="W",$C76="1/2W",$C76="1/2L"),$P76-$O76,IF($C76="X",0,-$O76)),2),0)</f>
        <v>0</v>
      </c>
      <c r="AN76" s="133">
        <f>IF($K76=AN$3,ROUND(IF(OR($C76="W",$C76="1/2W",$C76="1/2L"),$P76-$O76,IF($C76="X",0,-$O76)),2),0)</f>
        <v>0</v>
      </c>
      <c r="AO76" s="133">
        <f>IF($K76=AO$3,ROUND(IF(OR($C76="W",$C76="1/2W",$C76="1/2L"),$P76-$O76,IF($C76="X",0,-$O76)),2),0)</f>
        <v>0</v>
      </c>
      <c r="AP76" s="133">
        <f>IF($K76=AP$3,ROUND(IF(OR($C76="W",$C76="1/2W",$C76="1/2L"),$P76-$O76,IF($C76="X",0,-$O76)),2),0)</f>
        <v>0</v>
      </c>
      <c r="AQ76" s="133">
        <f>IF($K76=AQ$3,ROUND(IF(OR($C76="W",$C76="1/2W",$C76="1/2L"),$P76-$O76,IF($C76="X",0,-$O76)),2),0)</f>
        <v>0</v>
      </c>
      <c r="AR76" s="134">
        <f>IF($K76=AR$3,ROUND(IF(OR($C76="W",$C76="1/2W",$C76="1/2L"),$P76-$O76,IF($C76="X",0,-$O76)),2),0)</f>
        <v>0</v>
      </c>
      <c r="AS76" s="132">
        <f>IF(AND($B76=" ",$K76=AS$3),$O76,0)</f>
        <v>0</v>
      </c>
      <c r="AT76" s="133">
        <f>IF(AND($B76=" ",$K76=AT$3),$O76,0)</f>
        <v>0</v>
      </c>
      <c r="AU76" s="133">
        <f>IF(AND($B76=" ",$K76=AU$3),$O76,0)</f>
        <v>0</v>
      </c>
      <c r="AV76" s="133">
        <f>IF(AND($B76=" ",$K76=AV$3),$O76,0)</f>
        <v>0</v>
      </c>
      <c r="AW76" s="133">
        <f>IF(AND($B76=" ",$K76=AW$3),$O76,0)</f>
        <v>0</v>
      </c>
      <c r="AX76" s="133">
        <f>IF(AND($B76=" ",$K76=AX$3),$O76,0)</f>
        <v>0</v>
      </c>
      <c r="AY76" s="135">
        <f>IF(AND($B76=" ",$K76=AY$3),$O76,0)</f>
        <v>0</v>
      </c>
      <c r="AZ76" s="136">
        <f>IF(AND($B76=" ",$K76=AZ$3),$O76,0)</f>
        <v>0</v>
      </c>
      <c r="BA76" s="136">
        <f>IF(AND($B76=" ",$K76=BA$3),$O76,0)</f>
        <v>0</v>
      </c>
      <c r="BB76" s="136">
        <f>IF(AND($B76=" ",$K76=BB$3),$O76,0)</f>
        <v>0</v>
      </c>
      <c r="BC76" s="137">
        <f>IF(AND($B76=" ",$K76=BC$3),$O76,0)</f>
        <v>0</v>
      </c>
      <c r="BD76" s="133">
        <f>IF(AND($B76=" ",$K76=BD$3),$O76,0)</f>
        <v>0</v>
      </c>
      <c r="BE76" s="134">
        <f>IF(AND($B76=" ",$K76=BE$3),$O76,0)</f>
        <v>0</v>
      </c>
      <c r="BF76" s="132">
        <f>IF($K76=BF$3,IF($C76="X",0,$O76),0)</f>
        <v>0</v>
      </c>
      <c r="BG76" s="133">
        <f>IF($K76=BG$3,IF($C76="X",0,$O76),0)</f>
        <v>0</v>
      </c>
      <c r="BH76" s="133">
        <f>IF($K76=BH$3,IF($C76="X",0,$O76),0)</f>
        <v>0</v>
      </c>
      <c r="BI76" s="133">
        <f>IF($K76=BI$3,IF($C76="X",0,$O76),0)</f>
        <v>5.51</v>
      </c>
      <c r="BJ76" s="133">
        <f>IF($K76=BJ$3,IF($C76="X",0,$O76),0)</f>
        <v>0</v>
      </c>
      <c r="BK76" s="133">
        <f>IF($K76=BK$3,IF($C76="X",0,$O76),0)</f>
        <v>0</v>
      </c>
      <c r="BL76" s="133">
        <f>IF($K76=BL$3,IF($C76="X",0,$O76),0)</f>
        <v>0</v>
      </c>
      <c r="BM76" s="135">
        <f>IF($K76=BM$3,IF($C76="X",0,$O76),0)</f>
        <v>0</v>
      </c>
      <c r="BN76" s="136">
        <f>IF($K76=BN$3,IF($C76="X",0,$O76),0)</f>
        <v>0</v>
      </c>
      <c r="BO76" s="136">
        <f>IF($K76=BO$3,IF($C76="X",0,$O76),0)</f>
        <v>0</v>
      </c>
      <c r="BP76" s="136">
        <f>IF($K76=BP$3,IF($C76="X",0,$O76),0)</f>
        <v>0</v>
      </c>
      <c r="BQ76" s="137">
        <f>IF($K76=BQ$3,IF($C76="X",0,$O76),0)</f>
        <v>0</v>
      </c>
      <c r="BR76" s="134">
        <f>IF($K76=BR$3,IF($C76="X",0,$O76),0)</f>
        <v>0</v>
      </c>
      <c r="BS76" s="170">
        <f>IF($B76="LOSS",IF(AND($K76=BS$3,$C76="L"),-$O76,0)+IF(AND($K77=BS$3,$C77="L"),-$O77,0)+IF(AND($K78=BS$3,$C78="L"),-$O78,0),IF(OR(AND($K76=BS$3,OR($C76="W",$C76="1/2W")),AND($K77=BS$3,OR($C77="W",$C77="1/2W")),AND($K78=BS$3,OR($C78="W",$C78="1/2W"))),$S76,0))</f>
        <v>0</v>
      </c>
      <c r="BT76" s="272">
        <f>IF($B76="LOSS",IF(AND($K76=BT$3,$C76="L"),-$O76,0)+IF(AND($K77=BT$3,$C77="L"),-$O77,0)+IF(AND($K77=BT$3,$C78="L"),-$O78,0),IF(OR(AND($K77=BT$3,OR($C76="W",$C76="1/2W")),AND($K77=BT$3,OR($C77="W",$C77="1/2W")),AND($K77=BT$3,OR($C78="W",$C78="1/2W"))),$S76,0))</f>
        <v>0</v>
      </c>
      <c r="BU76" s="136">
        <f>IF($B76="LOSS",IF(AND($K76=BU$3,$C76="L"),-$O76,0)+IF(AND($K77=BU$3,$C77="L"),-$O77,0)+IF(AND($K77=BU$3,$C78="L"),-$O78,0),IF(OR(AND($K77=BU$3,OR($C76="W",$C76="1/2W")),AND($K77=BU$3,OR($C77="W",$C77="1/2W")),AND($K77=BU$3,OR($C78="W",$C78="1/2W"))),$S76,0))</f>
        <v>0.99</v>
      </c>
      <c r="BV76" s="136">
        <f>IF($B76="LOSS",IF(AND($K76=BV$3,$C76="L"),-$O76,0)+IF(AND($K77=BV$3,$C77="L"),-$O77,0)+IF(AND($K78=BV$3,$C78="L"),-$O78,0),IF(OR(AND($K76=BV$3,OR($C76="W",$C76="1/2W")),AND($K77=BV$3,OR($C77="W",$C77="1/2W")),AND($K78=BV$3,OR($C78="W",$C78="1/2W"))),$S76,0))</f>
        <v>0.99</v>
      </c>
      <c r="BW76" s="136">
        <f>IF($B76="LOSS",IF(AND($K76=BW$3,$C76="L"),-$O76,0)+IF(AND($K77=BW$3,$C77="L"),-$O77,0)+IF(AND($K78=BW$3,$C78="L"),-$O78,0),IF(OR(AND($K76=BW$3,OR($C76="W",$C76="1/2W")),AND($K77=BW$3,OR($C77="W",$C77="1/2W")),AND($K78=BW$3,OR($C78="W",$C78="1/2W"))),$S76,0))</f>
        <v>0</v>
      </c>
      <c r="BX76" s="136">
        <f>IF($B76="LOSS",IF(AND($K76=BX$3,$C76="L"),-$O76,0)+IF(AND($K77=BX$3,$C77="L"),-$O77,0)+IF(AND($K78=BX$3,$C78="L"),-$O78,0),IF(OR(AND($K76=BX$3,OR($C76="W",$C76="1/2W")),AND($K77=BX$3,OR($C77="W",$C77="1/2W")),AND($K78=BX$3,OR($C78="W",$C78="1/2W"))),$S76,0))</f>
        <v>0</v>
      </c>
      <c r="BY76" s="136">
        <f>IF($B76="LOSS",IF(AND($K76=BY$3,$C76="L"),-$O76,0)+IF(AND($K77=BY$3,$C77="L"),-$O77,0)+IF(AND($K78=BY$3,$C78="L"),-$O78,0),IF(OR(AND($K76=BY$3,OR($C76="W",$C76="1/2W")),AND($K77=BY$3,OR($C77="W",$C77="1/2W")),AND($K78=BY$3,OR($C78="W",$C78="1/2W"))),$S76,0))</f>
        <v>0</v>
      </c>
      <c r="BZ76" s="136">
        <f>IF($B76="LOSS",IF(AND($K76=BZ$3,$C76="L"),-$O76,0)+IF(AND($K77=BZ$3,$C77="L"),-$O77,0)+IF(AND($K78=BZ$3,$C78="L"),-$O78,0),IF(OR(AND($K76=BZ$3,OR($C76="W",$C76="1/2W")),AND($K77=BZ$3,OR($C77="W",$C77="1/2W")),AND($K78=BZ$3,OR($C78="W",$C78="1/2W"))),$S76,0))</f>
        <v>0</v>
      </c>
      <c r="CA76" s="136">
        <f>IF($B76="LOSS",IF(AND($K76=CA$3,$C76="L"),-$O76,0)+IF(AND($K77=CA$3,$C77="L"),-$O77,0)+IF(AND($K78=CA$3,$C78="L"),-$O78,0),IF(OR(AND($K76=CA$3,OR($C76="W",$C76="1/2W")),AND($K77=CA$3,OR($C77="W",$C77="1/2W")),AND($K78=CA$3,OR($C78="W",$C78="1/2W"))),$S76,0))</f>
        <v>0</v>
      </c>
      <c r="CB76" s="136">
        <f>IF($B76="LOSS",IF(AND($K76=CB$3,$C76="L"),-$O76,0)+IF(AND($K77=CB$3,$C77="L"),-$O77,0)+IF(AND($K78=CB$3,$C78="L"),-$O78,0),IF(OR(AND($K76=CB$3,OR($C76="W",$C76="1/2W")),AND($K77=CB$3,OR($C77="W",$C77="1/2W")),AND($K78=CB$3,OR($C78="W",$C78="1/2W"))),$S76,0))</f>
        <v>0</v>
      </c>
      <c r="CC76" s="136">
        <f>IF($B76="LOSS",IF(AND($K76=CC$3,$C76="L"),-$O76,0)+IF(AND($K77=CC$3,$C77="L"),-$O77,0)+IF(AND($K78=CC$3,$C78="L"),-$O78,0),IF(OR(AND($K76=CC$3,OR($C76="W",$C76="1/2W")),AND($K77=CC$3,OR($C77="W",$C77="1/2W")),AND($K78=CC$3,OR($C78="W",$C78="1/2W"))),$S76,0))</f>
        <v>0</v>
      </c>
      <c r="CD76" s="137">
        <f>IF($B76="LOSS",IF(AND($K76=CD$3,$C76="L"),-$O76,0)+IF(AND($K77=CD$3,$C77="L"),-$O77,0)+IF(AND($K78=CD$3,$C78="L"),-$O78,0),IF(OR(AND($K76=CD$3,OR($C76="W",$C76="1/2W")),AND($K77=CD$3,OR($C77="W",$C77="1/2W")),AND($K78=CD$3,OR($C78="W",$C78="1/2W"))),$S76,0))</f>
        <v>0</v>
      </c>
      <c r="CE76" s="134">
        <f>IF($B76="LOSS",IF(AND($K76=CE$3,$C76="L"),-$O76,0)+IF(AND($K77=CE$3,$C77="L"),-$O77,0)+IF(AND($K78=CE$3,$C78="L"),-$O78,0),IF(OR(AND($K76=CE$3,OR($C76="W",$C76="1/2W")),AND($K77=CE$3,OR($C77="W",$C77="1/2W")),AND($K78=CE$3,OR($C78="W",$C78="1/2W"))),$S76,0))</f>
        <v>0</v>
      </c>
      <c r="CF76" s="273">
        <f>IF(CF$3=$K76,IF($C76="W",1,IF($C76="1/2W",0.5,0)),0)</f>
        <v>0</v>
      </c>
      <c r="CG76" s="274">
        <f>IF(CF$3=$K76,IF($C76="L",1,IF($C76="1/2L",0.5,0)),0)</f>
        <v>0</v>
      </c>
      <c r="CH76" s="274">
        <f>IF(CH$3=$K76,IF($C76="W",1,IF($C76="1/2W",0.5,0)),0)</f>
        <v>0</v>
      </c>
      <c r="CI76" s="274">
        <f>IF(CH$3=$K76,IF($C76="L",1,IF($C76="1/2L",0.5,0)),0)</f>
        <v>0</v>
      </c>
      <c r="CJ76" s="274">
        <f>IF(CJ$3=$K76,IF($C76="W",1,IF($C76="1/2W",0.5,0)),0)</f>
        <v>0</v>
      </c>
      <c r="CK76" s="274">
        <f>IF(CJ$3=$K76,IF($C76="L",1,IF($C76="1/2L",0.5,0)),0)</f>
        <v>0</v>
      </c>
      <c r="CL76" s="274">
        <f>IF(CL$3=$K76,IF($C76="W",1,IF($C76="1/2W",0.5,0)),0)</f>
        <v>1</v>
      </c>
      <c r="CM76" s="274">
        <f>IF(CL$3=$K76,IF($C76="L",1,IF($C76="1/2L",0.5,0)),0)</f>
        <v>0</v>
      </c>
      <c r="CN76" s="274">
        <f>IF(CN$3=$K76,IF($C76="W",1,IF($C76="1/2W",0.5,0)),0)</f>
        <v>0</v>
      </c>
      <c r="CO76" s="274">
        <f>IF(CN$3=$K76,IF($C76="L",1,IF($C76="1/2L",0.5,0)),0)</f>
        <v>0</v>
      </c>
      <c r="CP76" s="274">
        <f>IF(CP$3=$K76,IF($C76="W",1,IF($C76="1/2W",0.5,0)),0)</f>
        <v>0</v>
      </c>
      <c r="CQ76" s="274">
        <f>IF(CP$3=$K76,IF($C76="L",1,IF($C76="1/2L",0.5,0)),0)</f>
        <v>0</v>
      </c>
      <c r="CR76" s="274">
        <f>IF(CR$3=$K76,IF($C76="W",1,IF($C76="1/2W",0.5,0)),0)</f>
        <v>0</v>
      </c>
      <c r="CS76" s="274">
        <f>IF(CR$3=$K76,IF($C76="L",1,IF($C76="1/2L",0.5,0)),0)</f>
        <v>0</v>
      </c>
      <c r="CT76" s="145">
        <f>IF(CT$3=$K76,IF($C76="W",1,IF($C76="1/2W",0.5,0)),0)</f>
        <v>0</v>
      </c>
      <c r="CU76" s="146">
        <f>IF(CT$3=$K76,IF($C76="L",1,IF($C76="1/2L",0.5,0)),0)</f>
        <v>0</v>
      </c>
      <c r="CV76" s="146">
        <f>IF(CV$3=$K76,IF($C76="W",1,IF($C76="1/2W",0.5,0)),0)</f>
        <v>0</v>
      </c>
      <c r="CW76" s="146">
        <f>IF(CV$3=$K76,IF($C76="L",1,IF($C76="1/2L",0.5,0)),0)</f>
        <v>0</v>
      </c>
      <c r="CX76" s="146">
        <f>IF(CX$3=$K76,IF($C76="W",1,IF($C76="1/2W",0.5,0)),0)</f>
        <v>0</v>
      </c>
      <c r="CY76" s="146">
        <f>IF(CX$3=$K76,IF($C76="L",1,IF($C76="1/2L",0.5,0)),0)</f>
        <v>0</v>
      </c>
      <c r="CZ76" s="146">
        <f>IF(CZ$3=$K76,IF($C76="W",1,IF($C76="1/2W",0.5,0)),0)</f>
        <v>0</v>
      </c>
      <c r="DA76" s="146">
        <f>IF(CZ$3=$K76,IF($C76="L",1,IF($C76="1/2L",0.5,0)),0)</f>
        <v>0</v>
      </c>
      <c r="DB76" s="146">
        <f>IF(DB$3=$K76,IF($C76="W",1,IF($C76="1/2W",0.5,0)),0)</f>
        <v>0</v>
      </c>
      <c r="DC76" s="146">
        <f>IF(DB$3=$K76,IF($C76="L",1,IF($C76="1/2L",0.5,0)),0)</f>
        <v>0</v>
      </c>
      <c r="DD76" s="146">
        <f>IF(DD$3=$K76,IF($C76="W",1,IF($C76="1/2W",0.5,0)),0)</f>
        <v>0</v>
      </c>
      <c r="DE76" s="147">
        <f>IF(DD$3=$K76,IF($C76="L",1,IF($C76="1/2L",0.5,0)),0)</f>
        <v>0</v>
      </c>
      <c r="DF76" s="143">
        <f>IF(AND(L76&lt;DF$3,$C76="W"),1+DF75,DF75)</f>
        <v>5</v>
      </c>
      <c r="DG76" s="133">
        <f>IF(DF76&gt;DF75,L76+DG75,DG75)</f>
        <v>6.558</v>
      </c>
      <c r="DH76" s="146">
        <f>IF(AND(L76&gt;DH$3,$C76="W"),1+DH75,0+DH75)</f>
        <v>1</v>
      </c>
      <c r="DI76" s="133">
        <f>IF(DH76&gt;DH75,L76+DI75,DI75)</f>
        <v>4.33</v>
      </c>
      <c r="DJ76" t="s" s="304">
        <f>IF($D76="","",$D76)</f>
        <v>101</v>
      </c>
      <c r="DK76" s="146">
        <f>IF(AND($B76=" ",$D76&lt;&gt;""),1,0)</f>
        <v>0</v>
      </c>
    </row>
    <row r="77" ht="14.55" customHeight="1">
      <c r="A77" s="107"/>
      <c r="B77" s="108"/>
      <c r="C77" t="s" s="109">
        <v>51</v>
      </c>
      <c r="D77" s="110"/>
      <c r="E77" s="111"/>
      <c r="F77" s="113"/>
      <c r="G77" s="252"/>
      <c r="H77" s="114"/>
      <c r="I77" t="s" s="275">
        <v>54</v>
      </c>
      <c r="J77" s="276">
        <f>IF(OR(I76="TO",I76="TU",I76="TO1",I76="TU1",I76="TO2",I76="TU2"),J76,IF(OR(I76="AH1",I76="AH2"),IF(OR(I77="AH1",I77="AH2"),-J76,IF(OR(I77="EH1",I77="EH2"),-J76+0.5,"")),IF(OR(I76="EH1",I76="EH2"),IF(OR(I77="AH1",I77="AH2"),-J76+0.5,IF(OR(I77="EH1",I77="EH2"),-J76+1,"")),IF(AND(OR(I76="DNB1",I76="DNB2"),OR(I77="AH1",I77="AH2")),0,IF(AND(I76="Not ScoreBoth",OR(I77="TO1",I77="TO2")),0.5,"")))))</f>
        <v>-1.5</v>
      </c>
      <c r="K77" t="s" s="117">
        <v>39</v>
      </c>
      <c r="L77" s="277">
        <v>1.76</v>
      </c>
      <c r="M77" s="278"/>
      <c r="N77" s="120"/>
      <c r="O77" s="121">
        <f>IF(OR(AE76="",AE77=""),"",ROUND(IF(L78&gt;0,IF(M77&gt;0,M77,IF(M76&gt;0,IF(N76=TRUE,ROUND((M76*AE77)/AE76,0),(M76*AE77)/AE76),IF(M77&gt;0,ROUND(M77,IF(N76=0,2,IF(N76=0.1,1,0))),IF(M78&gt;0,ROUND(O78*AE77/AE78,IF(N76=0,2,IF(N76=0.1,1,0))),0)))),IF(M77&gt;0,M77,ROUND((M76*AE77)/AE76,IF(N76=0,2,IF(N76=0.1,1,0))))),2))</f>
        <v>9.199999999999999</v>
      </c>
      <c r="P77" s="122">
        <f>IF(OR(L77="",O77=""),"",IF($C77="1/2W",O77/2+O77/2*L77,IF($C77="1/2L",O77/2,IF(I77="Lay",((O77*(L77/(L77-1)))-O77)*(1-_xlfn.XLOOKUP(K77,'Janeiro 2023 - Valor Real'!A3:A15,'Janeiro 2023 - Valor Real'!C3:C15,0))+O77,(O77*L77-O77)*(1-_xlfn.XLOOKUP(K77,'Janeiro 2023 - Valor Real'!A3:A15,'Janeiro 2023 - Valor Real'!C3:C15,0))+O77))))</f>
        <v>15.73752</v>
      </c>
      <c r="Q77" s="279">
        <v>1</v>
      </c>
      <c r="R77" s="280">
        <v>0</v>
      </c>
      <c r="S77" s="125"/>
      <c r="T77" s="126"/>
      <c r="U77" s="126"/>
      <c r="V77" s="224"/>
      <c r="W77" s="126"/>
      <c r="X77" s="127"/>
      <c r="Y77" s="128"/>
      <c r="Z77" s="129"/>
      <c r="AA77" s="129"/>
      <c r="AB77" s="129"/>
      <c r="AC77" s="129"/>
      <c r="AD77" s="130"/>
      <c r="AE77" s="131">
        <f>IF(L77="","",IF(L78&gt;0,(SUM(((L76-1)*(1-_xlfn.XLOOKUP(K76,'Janeiro 2023 - Valor Real'!A3:A15,'Janeiro 2023 - Valor Real'!C3:C15,0))+1),((L77-1)*(1-_xlfn.XLOOKUP(K77,'Janeiro 2023 - Valor Real'!A3:A15,'Janeiro 2023 - Valor Real'!C3:C15,0))+1),((L78-1)*(1-_xlfn.XLOOKUP(K78,'Janeiro 2023 - Valor Real'!A3:A15,'Janeiro 2023 - Valor Real'!C3:C15,0))+1))/((L77-1)*(1-_xlfn.XLOOKUP(K77,'Janeiro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Real'!C3:C15,0))+1))/((L76-1)*(1-_xlfn.XLOOKUP(K76,'Janeiro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Real'!C3:C15,0))+1))/((L77-1)*(1-_xlfn.XLOOKUP(K77,'Janeiro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Real'!C3:C15,0))+1))/((L78-1)*(1-_xlfn.XLOOKUP(K78,'Janeiro 2023 - Valor Real'!A3:A15,'Janeiro 2023 - Valor Real'!C3:C15,0))+1)),IF(I77="Lay",IF(I76="Lay",((L76/(L76-1)-1)*(1-_xlfn.XLOOKUP(K76,'Janeiro 2023 - Valor Real'!A3:A15,'Janeiro 2023 - Valor Real'!C3:C15,0))+1)/(((L76/(L76-1)-1)*(1-_xlfn.XLOOKUP(K76,'Janeiro 2023 - Valor Real'!A3:A15,'Janeiro 2023 - Valor Real'!C3:C15,0))+1)+((L77/(L77-1)-1)*(1-_xlfn.XLOOKUP(K77,'Janeiro 2023 - Valor Real'!A3:A15,'Janeiro 2023 - Valor Real'!C3:C15,0))+1)),((L76-1)*(1-_xlfn.XLOOKUP(K76,'Janeiro 2023 - Valor Real'!A3:A15,'Janeiro 2023 - Valor Real'!C3:C15,0))+1)/(((L76-1)*(1-_xlfn.XLOOKUP(K76,'Janeiro 2023 - Valor Real'!A3:A15,'Janeiro 2023 - Valor Real'!C3:C15,0))+1)+((L77/(L77-1)-1)*(1-_xlfn.XLOOKUP(K77,'Janeiro 2023 - Valor Real'!A3:A15,'Janeiro 2023 - Valor Real'!C3:C15,0))+1))),IF(I76="Lay",((L76/(L76-1)-1)*(1-_xlfn.XLOOKUP(K76,'Janeiro 2023 - Valor Real'!A3:A15,'Janeiro 2023 - Valor Real'!C3:C15,0))+1)/((((L76/(L76-1)-1)*(1-_xlfn.XLOOKUP(K76,'Janeiro 2023 - Valor Real'!A3:A15,'Janeiro 2023 - Valor Real'!C3:C15,0))+1))+((L77-1)*(1-_xlfn.XLOOKUP(K77,'Janeiro 2023 - Valor Real'!A3:A15,'Janeiro 2023 - Valor Real'!C3:C15,0))+1)),((L76-1)*(1-_xlfn.XLOOKUP(K76,'Janeiro 2023 - Valor Real'!A3:A15,'Janeiro 2023 - Valor Real'!C3:C15,0))+1)/(((L76-1)*(1-_xlfn.XLOOKUP(K76,'Janeiro 2023 - Valor Real'!A3:A15,'Janeiro 2023 - Valor Real'!C3:C15,0))+1)+((L77-1)*(1-_xlfn.XLOOKUP(K77,'Janeiro 2023 - Valor Real'!A3:A15,'Janeiro 2023 - Valor Real'!C3:C15,0))+1))))))</f>
        <v>0.624917773977108</v>
      </c>
      <c r="AF77" s="132">
        <f>IF($K77=AF$3,ROUND(IF(OR($C77="W",$C77="1/2W",$C77="1/2L"),$P77-$O77,IF($C77="X",0,-$O77)),2),0)</f>
        <v>0</v>
      </c>
      <c r="AG77" s="133">
        <f>IF($K77=AG$3,ROUND(IF(OR($C77="W",$C77="1/2W",$C77="1/2L"),$P77-$O77,IF($C77="X",0,-$O77)),2),0)</f>
        <v>0</v>
      </c>
      <c r="AH77" s="133">
        <f>IF($K77=AH$3,ROUND(IF(OR($C77="W",$C77="1/2W",$C77="1/2L"),$P77-$O77,IF($C77="X",0,-$O77)),2),0)</f>
        <v>-9.199999999999999</v>
      </c>
      <c r="AI77" s="133">
        <f>IF($K77=AI$3,ROUND(IF(OR($C77="W",$C77="1/2W",$C77="1/2L"),$P77-$O77,IF($C77="X",0,-$O77)),2),0)</f>
        <v>0</v>
      </c>
      <c r="AJ77" s="133">
        <f>IF($K77=AJ$3,ROUND(IF(OR($C77="W",$C77="1/2W",$C77="1/2L"),$P77-$O77,IF($C77="X",0,-$O77)),2),0)</f>
        <v>0</v>
      </c>
      <c r="AK77" s="133">
        <f>IF($K77=AK$3,ROUND(IF(OR($C77="W",$C77="1/2W",$C77="1/2L"),$P77-$O77,IF($C77="X",0,-$O77)),2),0)</f>
        <v>0</v>
      </c>
      <c r="AL77" s="133">
        <f>IF($K77=AL$3,ROUND(IF(OR($C77="W",$C77="1/2W",$C77="1/2L"),$P77-$O77,IF($C77="X",0,-$O77)),2),0)</f>
        <v>0</v>
      </c>
      <c r="AM77" s="133">
        <f>IF($K77=AM$3,ROUND(IF(OR($C77="W",$C77="1/2W",$C77="1/2L"),$P77-$O77,IF($C77="X",0,-$O77)),2),0)</f>
        <v>0</v>
      </c>
      <c r="AN77" s="133">
        <f>IF($K77=AN$3,ROUND(IF(OR($C77="W",$C77="1/2W",$C77="1/2L"),$P77-$O77,IF($C77="X",0,-$O77)),2),0)</f>
        <v>0</v>
      </c>
      <c r="AO77" s="133">
        <f>IF($K77=AO$3,ROUND(IF(OR($C77="W",$C77="1/2W",$C77="1/2L"),$P77-$O77,IF($C77="X",0,-$O77)),2),0)</f>
        <v>0</v>
      </c>
      <c r="AP77" s="133">
        <f>IF($K77=AP$3,ROUND(IF(OR($C77="W",$C77="1/2W",$C77="1/2L"),$P77-$O77,IF($C77="X",0,-$O77)),2),0)</f>
        <v>0</v>
      </c>
      <c r="AQ77" s="133">
        <f>IF($K77=AQ$3,ROUND(IF(OR($C77="W",$C77="1/2W",$C77="1/2L"),$P77-$O77,IF($C77="X",0,-$O77)),2),0)</f>
        <v>0</v>
      </c>
      <c r="AR77" s="134">
        <f>IF($K77=AR$3,ROUND(IF(OR($C77="W",$C77="1/2W",$C77="1/2L"),$P77-$O77,IF($C77="X",0,-$O77)),2),0)</f>
        <v>0</v>
      </c>
      <c r="AS77" s="132">
        <f>IF(AND($B76=" ",$K77=AS$3),$O77,0)</f>
        <v>0</v>
      </c>
      <c r="AT77" s="133">
        <f>IF(AND($B76=" ",K77=AT$3),$O77,0)</f>
        <v>0</v>
      </c>
      <c r="AU77" s="133">
        <f>IF(AND($B76=" ",$K77=AU$3),$O77,0)</f>
        <v>0</v>
      </c>
      <c r="AV77" s="133">
        <f>IF(AND($B76=" ",$K77=AV$3),$O77,0)</f>
        <v>0</v>
      </c>
      <c r="AW77" s="133">
        <f>IF(AND($B76=" ",$K77=AW$3),$O77,0)</f>
        <v>0</v>
      </c>
      <c r="AX77" s="133">
        <f>IF(AND($B76=" ",$K77=AX$3),$O77,0)</f>
        <v>0</v>
      </c>
      <c r="AY77" s="135">
        <f>IF(AND($B76=" ",$K77=AY$3),$O77,0)</f>
        <v>0</v>
      </c>
      <c r="AZ77" s="136">
        <f>IF(AND($B76=" ",$K77=AZ$3),$O77,0)</f>
        <v>0</v>
      </c>
      <c r="BA77" s="136">
        <f>IF(AND($B76=" ",$K77=BA$3),$O77,0)</f>
        <v>0</v>
      </c>
      <c r="BB77" s="136">
        <f>IF(AND($B76=" ",$K77=BB$3),$O77,0)</f>
        <v>0</v>
      </c>
      <c r="BC77" s="137">
        <f>IF(AND($B76=" ",$K77=BC$3),$O77,0)</f>
        <v>0</v>
      </c>
      <c r="BD77" s="133">
        <f>IF(AND($B76=" ",$K77=BD$3),$O77,0)</f>
        <v>0</v>
      </c>
      <c r="BE77" s="134">
        <f>IF(AND($B76=" ",$K77=BE$3),$O77,0)</f>
        <v>0</v>
      </c>
      <c r="BF77" s="132">
        <f>IF($K77=BF$3,IF($C77="X",0,$O77),0)</f>
        <v>0</v>
      </c>
      <c r="BG77" s="281">
        <f>IF($K77=BG$3,IF($C77="X",0,$O77),0)</f>
        <v>0</v>
      </c>
      <c r="BH77" s="133">
        <f>IF($K77=BH$3,IF($C77="X",0,$O77),0)</f>
        <v>9.199999999999999</v>
      </c>
      <c r="BI77" s="133">
        <f>IF($K77=BI$3,IF($C77="X",0,$O77),0)</f>
        <v>0</v>
      </c>
      <c r="BJ77" s="133">
        <f>IF($K77=BJ$3,IF($C77="X",0,$O77),0)</f>
        <v>0</v>
      </c>
      <c r="BK77" s="133">
        <f>IF($K77=BK$3,IF($C77="X",0,$O77),0)</f>
        <v>0</v>
      </c>
      <c r="BL77" s="133">
        <f>IF($K77=BL$3,IF($C77="X",0,$O77),0)</f>
        <v>0</v>
      </c>
      <c r="BM77" s="135">
        <f>IF($K77=BM$3,IF($C77="X",0,$O77),0)</f>
        <v>0</v>
      </c>
      <c r="BN77" s="136">
        <f>IF($K77=BN$3,IF($C77="X",0,$O77),0)</f>
        <v>0</v>
      </c>
      <c r="BO77" s="136">
        <f>IF($K77=BO$3,IF($C77="X",0,$O77),0)</f>
        <v>0</v>
      </c>
      <c r="BP77" s="136">
        <f>IF($K77=BP$3,IF($C77="X",0,$O77),0)</f>
        <v>0</v>
      </c>
      <c r="BQ77" s="137">
        <f>IF($K77=BQ$3,IF($C77="X",0,$O77),0)</f>
        <v>0</v>
      </c>
      <c r="BR77" s="134">
        <f>IF($K77=BR$3,IF($C77="X",0,$O77),0)</f>
        <v>0</v>
      </c>
      <c r="BS77" s="282"/>
      <c r="BT77" s="283"/>
      <c r="BU77" s="140"/>
      <c r="BV77" s="283"/>
      <c r="BW77" s="140"/>
      <c r="BX77" s="140"/>
      <c r="BY77" s="140"/>
      <c r="BZ77" s="283"/>
      <c r="CA77" s="140"/>
      <c r="CB77" s="140"/>
      <c r="CC77" s="140"/>
      <c r="CD77" s="141"/>
      <c r="CE77" s="142"/>
      <c r="CF77" s="284">
        <f>IF(CF$3=$K77,IF($C77="W",1,IF($C77="1/2W",0.5,0)),0)</f>
        <v>0</v>
      </c>
      <c r="CG77" s="285">
        <f>IF(CF$3=$K77,IF($C77="L",1,IF($C77="1/2L",0.5,0)),0)</f>
        <v>0</v>
      </c>
      <c r="CH77" s="285">
        <f>IF(CH$3=$K77,IF($C77="W",1,IF($C77="1/2W",0.5,0)),0)</f>
        <v>0</v>
      </c>
      <c r="CI77" s="285">
        <f>IF(CH$3=$K77,IF($C77="L",1,IF($C77="1/2L",0.5,0)),0)</f>
        <v>0</v>
      </c>
      <c r="CJ77" s="285">
        <f>IF(CJ$3=$K77,IF($C77="W",1,IF($C77="1/2W",0.5,0)),0)</f>
        <v>0</v>
      </c>
      <c r="CK77" s="285">
        <f>IF(CJ$3=$K77,IF($C77="L",1,IF($C77="1/2L",0.5,0)),0)</f>
        <v>1</v>
      </c>
      <c r="CL77" s="285">
        <f>IF(CL$3=$K77,IF($C77="W",1,IF($C77="1/2W",0.5,0)),0)</f>
        <v>0</v>
      </c>
      <c r="CM77" s="285">
        <f>IF(CL$3=$K77,IF($C77="L",1,IF($C77="1/2L",0.5,0)),0)</f>
        <v>0</v>
      </c>
      <c r="CN77" s="285">
        <f>IF(CN$3=$K77,IF($C77="W",1,IF($C77="1/2W",0.5,0)),0)</f>
        <v>0</v>
      </c>
      <c r="CO77" s="285">
        <f>IF(CN$3=$K77,IF($C77="L",1,IF($C77="1/2L",0.5,0)),0)</f>
        <v>0</v>
      </c>
      <c r="CP77" s="285">
        <f>IF(CP$3=$K77,IF($C77="W",1,IF($C77="1/2W",0.5,0)),0)</f>
        <v>0</v>
      </c>
      <c r="CQ77" s="285">
        <f>IF(CP$3=$K77,IF($C77="L",1,IF($C77="1/2L",0.5,0)),0)</f>
        <v>0</v>
      </c>
      <c r="CR77" s="285">
        <f>IF(CR$3=$K77,IF($C77="W",1,IF($C77="1/2W",0.5,0)),0)</f>
        <v>0</v>
      </c>
      <c r="CS77" s="285">
        <f>IF(CR$3=$K77,IF($C77="L",1,IF($C77="1/2L",0.5,0)),0)</f>
        <v>0</v>
      </c>
      <c r="CT77" s="145">
        <f>IF(CT$3=$K77,IF($C77="W",1,IF($C77="1/2W",0.5,0)),0)</f>
        <v>0</v>
      </c>
      <c r="CU77" s="146">
        <f>IF(CT$3=$K77,IF($C77="L",1,IF($C77="1/2L",0.5,0)),0)</f>
        <v>0</v>
      </c>
      <c r="CV77" s="146">
        <f>IF(CV$3=$K77,IF($C77="W",1,IF($C77="1/2W",0.5,0)),0)</f>
        <v>0</v>
      </c>
      <c r="CW77" s="146">
        <f>IF(CV$3=$K77,IF($C77="L",1,IF($C77="1/2L",0.5,0)),0)</f>
        <v>0</v>
      </c>
      <c r="CX77" s="146">
        <f>IF(CX$3=$K77,IF($C77="W",1,IF($C77="1/2W",0.5,0)),0)</f>
        <v>0</v>
      </c>
      <c r="CY77" s="146">
        <f>IF(CX$3=$K77,IF($C77="L",1,IF($C77="1/2L",0.5,0)),0)</f>
        <v>0</v>
      </c>
      <c r="CZ77" s="146">
        <f>IF(CZ$3=$K77,IF($C77="W",1,IF($C77="1/2W",0.5,0)),0)</f>
        <v>0</v>
      </c>
      <c r="DA77" s="146">
        <f>IF(CZ$3=$K77,IF($C77="L",1,IF($C77="1/2L",0.5,0)),0)</f>
        <v>0</v>
      </c>
      <c r="DB77" s="146">
        <f>IF(DB$3=$K77,IF($C77="W",1,IF($C77="1/2W",0.5,0)),0)</f>
        <v>0</v>
      </c>
      <c r="DC77" s="146">
        <f>IF(DB$3=$K77,IF($C77="L",1,IF($C77="1/2L",0.5,0)),0)</f>
        <v>0</v>
      </c>
      <c r="DD77" s="146">
        <f>IF(DD$3=$K77,IF($C77="W",1,IF($C77="1/2W",0.5,0)),0)</f>
        <v>0</v>
      </c>
      <c r="DE77" s="147">
        <f>IF(DD$3=$K77,IF($C77="L",1,IF($C77="1/2L",0.5,0)),0)</f>
        <v>0</v>
      </c>
      <c r="DF77" s="143">
        <f>IF(AND(L77&lt;DF$3,$C77="W"),1+DF76,DF76)</f>
        <v>5</v>
      </c>
      <c r="DG77" s="133">
        <f>IF(DF77&gt;DF76,L77+DG76,DG76)</f>
        <v>6.558</v>
      </c>
      <c r="DH77" s="146">
        <f>IF(AND(L77&gt;DH$3,$C77="W"),1+DH76,0+DH76)</f>
        <v>1</v>
      </c>
      <c r="DI77" s="133">
        <f>IF(DH77&gt;DH76,L77+DI76,DI76)</f>
        <v>4.33</v>
      </c>
      <c r="DJ77" t="s" s="304">
        <f>IF($D76="","",$D76)</f>
        <v>101</v>
      </c>
      <c r="DK77" s="286"/>
    </row>
    <row r="78" ht="14.55" customHeight="1">
      <c r="A78" s="149"/>
      <c r="B78" s="150"/>
      <c r="C78" t="s" s="151">
        <v>58</v>
      </c>
      <c r="D78" s="152"/>
      <c r="E78" s="153"/>
      <c r="F78" s="155"/>
      <c r="G78" s="252"/>
      <c r="H78" s="156"/>
      <c r="I78" s="287"/>
      <c r="J78" s="288"/>
      <c r="K78" s="156"/>
      <c r="L78" s="289"/>
      <c r="M78" s="290"/>
      <c r="N78" s="161"/>
      <c r="O78" t="s" s="162">
        <f>IF(OR(AE76="",AE77=""),"",IF(L78&gt;0,ROUND(IF(M78&gt;0,M78,IF(M76&gt;0,ROUND((M76*AE78)/AE76,IF(N76=0,2,IF(N76=0.1,1,0))),IF(M77&gt;0,ROUND((M77*AE78)/AE77,IF(N76=0,2,IF(N76=0.1,1,0))),IF(M78&gt;0,M78,0)))),2),""))</f>
      </c>
      <c r="P78" t="s" s="163">
        <f>IF(I77="Lay",O77*(L77/(L77-1))-O77,IF(I76="Lay",O76*(L76/(L76-1))-O76,IF(OR(L78="",O78=""),"",IF($C78="1/2W",O78/2+O78/2*L78,IF($C78="1/2L",O78/2,(O78*L78-O78)*(1-_xlfn.XLOOKUP(K78,'Janeiro 2023 - Valor Real'!A3:A15,'Janeiro 2023 - Valor Real'!C3:C15,0))+O78)))))</f>
      </c>
      <c r="Q78" t="s" s="154"/>
      <c r="R78" t="s" s="163"/>
      <c r="S78" s="166"/>
      <c r="T78" s="155"/>
      <c r="U78" s="155"/>
      <c r="V78" s="166"/>
      <c r="W78" s="155"/>
      <c r="X78" s="167"/>
      <c r="Y78" s="128"/>
      <c r="Z78" s="129"/>
      <c r="AA78" s="129"/>
      <c r="AB78" s="129"/>
      <c r="AC78" s="129"/>
      <c r="AD78" s="168"/>
      <c r="AE78" t="s" s="169">
        <f>IF(L78="","",(SUM(((L76-1)*(1-_xlfn.XLOOKUP(K76,'Janeiro 2023 - Valor Real'!A3:A15,'Janeiro 2023 - Valor Real'!C3:C15,0))+1),((L77-1)*(1-_xlfn.XLOOKUP(K77,'Janeiro 2023 - Valor Real'!A3:A15,'Janeiro 2023 - Valor Real'!C3:C15,0))+1),((L78-1)*(1-_xlfn.XLOOKUP(K78,'Janeiro 2023 - Valor Real'!A3:A15,'Janeiro 2023 - Valor Real'!C3:C15,0))+1))/((L78-1)*(1-_xlfn.XLOOKUP(K78,'Janeiro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Real'!C3:C15,0))+1))/((L76-1)*(1-_xlfn.XLOOKUP(K76,'Janeiro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Real'!C3:C15,0))+1))/((L77-1)*(1-_xlfn.XLOOKUP(K77,'Janeiro 2023 - Valor Real'!A3:A15,'Janeiro 2023 - Valor Real'!C3:C15,0))+1)+SUM(((L76-1)*(1-_xlfn.XLOOKUP(K76,'Janeiro 2023 - Valor Real'!A3:A15,'Janeiro 2023 - Valor Real'!C3:C15,0))+1),((L77-1)*(1-_xlfn.XLOOKUP(K77,'Janeiro 2023 - Valor Real'!A3:A15,'Janeiro 2023 - Valor Real'!C3:C15,0))+1),((L78-1)*(1-_xlfn.XLOOKUP(K78,'Janeiro 2023 - Valor Real'!A3:A15,'Janeiro 2023 - Valor Real'!C3:C15,0))+1))/((L78-1)*(1-_xlfn.XLOOKUP(K78,'Janeiro 2023 - Valor Real'!A3:A15,'Janeiro 2023 - Valor Real'!C3:C15,0))+1)))</f>
      </c>
      <c r="AF78" s="132">
        <f>IF($K78=AF$3,ROUND(IF(OR($C78="W",$C78="1/2W",$C78="1/2L"),$P78-$O78,IF($C78="X",0,-$O78)),2),0)</f>
        <v>0</v>
      </c>
      <c r="AG78" s="133">
        <f>IF($K78=AG$3,ROUND(IF(OR($C78="W",$C78="1/2W",$C78="1/2L"),$P78-$O78,IF($C78="X",0,-$O78)),2),0)</f>
        <v>0</v>
      </c>
      <c r="AH78" s="133">
        <f>IF($K78=AH$3,ROUND(IF(OR($C78="W",$C78="1/2W",$C78="1/2L"),$P78-$O78,IF($C78="X",0,-$O78)),2),0)</f>
        <v>0</v>
      </c>
      <c r="AI78" s="133">
        <f>IF($K78=AI$3,ROUND(IF(OR($C78="W",$C78="1/2W",$C78="1/2L"),$P78-$O78,IF($C78="X",0,-$O78)),2),0)</f>
        <v>0</v>
      </c>
      <c r="AJ78" s="133">
        <f>IF($K78=AJ$3,ROUND(IF(OR($C78="W",$C78="1/2W",$C78="1/2L"),$P78-$O78,IF($C78="X",0,-$O78)),2),0)</f>
        <v>0</v>
      </c>
      <c r="AK78" s="133">
        <f>IF($K78=AK$3,ROUND(IF(OR($C78="W",$C78="1/2W",$C78="1/2L"),$P78-$O78,IF($C78="X",0,-$O78)),2),0)</f>
        <v>0</v>
      </c>
      <c r="AL78" s="133">
        <f>IF($K78=AL$3,ROUND(IF(OR($C78="W",$C78="1/2W",$C78="1/2L"),$P78-$O78,IF($C78="X",0,-$O78)),2),0)</f>
        <v>0</v>
      </c>
      <c r="AM78" s="133">
        <f>IF($K78=AM$3,ROUND(IF(OR($C78="W",$C78="1/2W",$C78="1/2L"),$P78-$O78,IF($C78="X",0,-$O78)),2),0)</f>
        <v>0</v>
      </c>
      <c r="AN78" s="133">
        <f>IF($K78=AN$3,ROUND(IF(OR($C78="W",$C78="1/2W",$C78="1/2L"),$P78-$O78,IF($C78="X",0,-$O78)),2),0)</f>
        <v>0</v>
      </c>
      <c r="AO78" s="133">
        <f>IF($K78=AO$3,ROUND(IF(OR($C78="W",$C78="1/2W",$C78="1/2L"),$P78-$O78,IF($C78="X",0,-$O78)),2),0)</f>
        <v>0</v>
      </c>
      <c r="AP78" s="133">
        <f>IF($K78=AP$3,ROUND(IF(OR($C78="W",$C78="1/2W",$C78="1/2L"),$P78-$O78,IF($C78="X",0,-$O78)),2),0)</f>
        <v>0</v>
      </c>
      <c r="AQ78" s="133">
        <f>IF($K78=AQ$3,ROUND(IF(OR($C78="W",$C78="1/2W",$C78="1/2L"),$P78-$O78,IF($C78="X",0,-$O78)),2),0)</f>
        <v>0</v>
      </c>
      <c r="AR78" s="134">
        <f>IF($K78=AR$3,ROUND(IF(OR($C78="W",$C78="1/2W",$C78="1/2L"),$P78-$O78,IF($C78="X",0,-$O78)),2),0)</f>
        <v>0</v>
      </c>
      <c r="AS78" s="132">
        <f>IF(AND($B76=" ",$K78=AS$3),$O78,0)</f>
        <v>0</v>
      </c>
      <c r="AT78" s="133">
        <f>IF(AND($B76=" ",K78=AT$3),$O78,0)</f>
        <v>0</v>
      </c>
      <c r="AU78" s="133">
        <f>IF(AND($B76=" ",$K78=AU$3),$O78,0)</f>
        <v>0</v>
      </c>
      <c r="AV78" s="133">
        <f>IF(AND($B76=" ",$K78=AV$3),$O78,0)</f>
        <v>0</v>
      </c>
      <c r="AW78" s="133">
        <f>IF(AND($B76=" ",$K78=AW$3),$O78,0)</f>
        <v>0</v>
      </c>
      <c r="AX78" s="133">
        <f>IF(AND($B76=" ",$K78=AX$3),$O78,0)</f>
        <v>0</v>
      </c>
      <c r="AY78" s="135">
        <f>IF(AND($B76=" ",$K78=AY$3),$O78,0)</f>
        <v>0</v>
      </c>
      <c r="AZ78" s="136">
        <f>IF(AND($B76=" ",$K78=AZ$3),$O78,0)</f>
        <v>0</v>
      </c>
      <c r="BA78" s="136">
        <f>IF(AND($B76=" ",$K78=BA$3),$O78,0)</f>
        <v>0</v>
      </c>
      <c r="BB78" s="136">
        <f>IF(AND($B76=" ",$K78=BB$3),$O78,0)</f>
        <v>0</v>
      </c>
      <c r="BC78" s="137">
        <f>IF(AND($B76=" ",$K78=BC$3),$O78,0)</f>
        <v>0</v>
      </c>
      <c r="BD78" s="133">
        <f>IF(AND($B76=" ",$K78=BD$3),$O78,0)</f>
        <v>0</v>
      </c>
      <c r="BE78" s="134">
        <f>IF(AND($B76=" ",$K78=BE$3),$O78,0)</f>
        <v>0</v>
      </c>
      <c r="BF78" s="132">
        <f>IF($K78=BF$3,IF($C78="X",0,$O78),0)</f>
        <v>0</v>
      </c>
      <c r="BG78" s="281">
        <f>IF($K78=BG$3,IF($C78="X",0,$O78),0)</f>
        <v>0</v>
      </c>
      <c r="BH78" s="133">
        <f>IF($K78=BH$3,IF($C78="X",0,$O78),0)</f>
        <v>0</v>
      </c>
      <c r="BI78" s="133">
        <f>IF($K78=BI$3,IF($C78="X",0,$O78),0)</f>
        <v>0</v>
      </c>
      <c r="BJ78" s="133">
        <f>IF($K78=BJ$3,IF($C78="X",0,$O78),0)</f>
        <v>0</v>
      </c>
      <c r="BK78" s="133">
        <f>IF($K78=BK$3,IF($C78="X",0,$O78),0)</f>
        <v>0</v>
      </c>
      <c r="BL78" s="133">
        <f>IF($K78=BL$3,IF($C78="X",0,$O78),0)</f>
        <v>0</v>
      </c>
      <c r="BM78" s="135">
        <f>IF($K78=BM$3,IF($C78="X",0,$O78),0)</f>
        <v>0</v>
      </c>
      <c r="BN78" s="136">
        <f>IF($K78=BN$3,IF($C78="X",0,$O78),0)</f>
        <v>0</v>
      </c>
      <c r="BO78" s="136">
        <f>IF($K78=BO$3,IF($C78="X",0,$O78),0)</f>
        <v>0</v>
      </c>
      <c r="BP78" s="136">
        <f>IF($K78=BP$3,IF($C78="X",0,$O78),0)</f>
        <v>0</v>
      </c>
      <c r="BQ78" s="137">
        <f>IF($K78=BQ$3,IF($C78="X",0,$O78),0)</f>
        <v>0</v>
      </c>
      <c r="BR78" s="134">
        <f>IF($K78=BR$3,IF($C78="X",0,$O78),0)</f>
        <v>0</v>
      </c>
      <c r="BS78" s="282"/>
      <c r="BT78" s="283"/>
      <c r="BU78" s="140"/>
      <c r="BV78" s="283"/>
      <c r="BW78" s="140"/>
      <c r="BX78" s="140"/>
      <c r="BY78" s="140"/>
      <c r="BZ78" s="283"/>
      <c r="CA78" s="140"/>
      <c r="CB78" s="140"/>
      <c r="CC78" s="140"/>
      <c r="CD78" s="141"/>
      <c r="CE78" s="142"/>
      <c r="CF78" s="284">
        <f>IF(CF$3=$K78,IF($C78="W",1,IF($C78="1/2W",0.5,0)),0)</f>
        <v>0</v>
      </c>
      <c r="CG78" s="285">
        <f>IF(CF$3=$K78,IF($C78="L",1,IF($C78="1/2L",0.5,0)),0)</f>
        <v>0</v>
      </c>
      <c r="CH78" s="285">
        <f>IF(CH$3=$K78,IF($C78="W",1,IF($C78="1/2W",0.5,0)),0)</f>
        <v>0</v>
      </c>
      <c r="CI78" s="285">
        <f>IF(CH$3=$K78,IF($C78="L",1,IF($C78="1/2L",0.5,0)),0)</f>
        <v>0</v>
      </c>
      <c r="CJ78" s="285">
        <f>IF(CJ$3=$K78,IF($C78="W",1,IF($C78="1/2W",0.5,0)),0)</f>
        <v>0</v>
      </c>
      <c r="CK78" s="285">
        <f>IF(CJ$3=$K78,IF($C78="L",1,IF($C78="1/2L",0.5,0)),0)</f>
        <v>0</v>
      </c>
      <c r="CL78" s="285">
        <f>IF(CL$3=$K78,IF($C78="W",1,IF($C78="1/2W",0.5,0)),0)</f>
        <v>0</v>
      </c>
      <c r="CM78" s="285">
        <f>IF(CL$3=$K78,IF($C78="L",1,IF($C78="1/2L",0.5,0)),0)</f>
        <v>0</v>
      </c>
      <c r="CN78" s="285">
        <f>IF(CN$3=$K78,IF($C78="W",1,IF($C78="1/2W",0.5,0)),0)</f>
        <v>0</v>
      </c>
      <c r="CO78" s="285">
        <f>IF(CN$3=$K78,IF($C78="L",1,IF($C78="1/2L",0.5,0)),0)</f>
        <v>0</v>
      </c>
      <c r="CP78" s="285">
        <f>IF(CP$3=$K78,IF($C78="W",1,IF($C78="1/2W",0.5,0)),0)</f>
        <v>0</v>
      </c>
      <c r="CQ78" s="285">
        <f>IF(CP$3=$K78,IF($C78="L",1,IF($C78="1/2L",0.5,0)),0)</f>
        <v>0</v>
      </c>
      <c r="CR78" s="285">
        <f>IF(CR$3=$K78,IF($C78="W",1,IF($C78="1/2W",0.5,0)),0)</f>
        <v>0</v>
      </c>
      <c r="CS78" s="285">
        <f>IF(CR$3=$K78,IF($C78="L",1,IF($C78="1/2L",0.5,0)),0)</f>
        <v>0</v>
      </c>
      <c r="CT78" s="145">
        <f>IF(CT$3=$K78,IF($C78="W",1,IF($C78="1/2W",0.5,0)),0)</f>
        <v>0</v>
      </c>
      <c r="CU78" s="146">
        <f>IF(CT$3=$K78,IF($C78="L",1,IF($C78="1/2L",0.5,0)),0)</f>
        <v>0</v>
      </c>
      <c r="CV78" s="146">
        <f>IF(CV$3=$K78,IF($C78="W",1,IF($C78="1/2W",0.5,0)),0)</f>
        <v>0</v>
      </c>
      <c r="CW78" s="146">
        <f>IF(CV$3=$K78,IF($C78="L",1,IF($C78="1/2L",0.5,0)),0)</f>
        <v>0</v>
      </c>
      <c r="CX78" s="146">
        <f>IF(CX$3=$K78,IF($C78="W",1,IF($C78="1/2W",0.5,0)),0)</f>
        <v>0</v>
      </c>
      <c r="CY78" s="146">
        <f>IF(CX$3=$K78,IF($C78="L",1,IF($C78="1/2L",0.5,0)),0)</f>
        <v>0</v>
      </c>
      <c r="CZ78" s="146">
        <f>IF(CZ$3=$K78,IF($C78="W",1,IF($C78="1/2W",0.5,0)),0)</f>
        <v>0</v>
      </c>
      <c r="DA78" s="146">
        <f>IF(CZ$3=$K78,IF($C78="L",1,IF($C78="1/2L",0.5,0)),0)</f>
        <v>0</v>
      </c>
      <c r="DB78" s="146">
        <f>IF(DB$3=$K78,IF($C78="W",1,IF($C78="1/2W",0.5,0)),0)</f>
        <v>0</v>
      </c>
      <c r="DC78" s="146">
        <f>IF(DB$3=$K78,IF($C78="L",1,IF($C78="1/2L",0.5,0)),0)</f>
        <v>0</v>
      </c>
      <c r="DD78" s="146">
        <f>IF(DD$3=$K78,IF($C78="W",1,IF($C78="1/2W",0.5,0)),0)</f>
        <v>0</v>
      </c>
      <c r="DE78" s="147">
        <f>IF(DD$3=$K78,IF($C78="L",1,IF($C78="1/2L",0.5,0)),0)</f>
        <v>0</v>
      </c>
      <c r="DF78" s="143">
        <f>IF(AND(L78&lt;DF$3,$C78="W"),1+DF77,DF77)</f>
        <v>5</v>
      </c>
      <c r="DG78" s="133">
        <f>IF(DF78&gt;DF77,L78+DG77,DG77)</f>
        <v>6.558</v>
      </c>
      <c r="DH78" s="146">
        <f>IF(AND(L78&gt;DH$3,$C78="W"),1+DH77,0+DH77)</f>
        <v>1</v>
      </c>
      <c r="DI78" s="133">
        <f>IF(DH78&gt;DH77,L78+DI77,DI77)</f>
        <v>4.33</v>
      </c>
      <c r="DJ78" t="s" s="304">
        <f>IF($D76="","",$D76)</f>
        <v>101</v>
      </c>
      <c r="DK78" s="286"/>
    </row>
    <row r="79" ht="14.55" customHeight="1">
      <c r="A79" s="171">
        <f>$A76+1</f>
        <v>26</v>
      </c>
      <c r="B79" t="s" s="172">
        <v>50</v>
      </c>
      <c r="C79" t="s" s="173">
        <v>51</v>
      </c>
      <c r="D79" t="s" s="305">
        <f>IF(G79="","",$D76)</f>
        <v>101</v>
      </c>
      <c r="E79" t="s" s="175">
        <v>124</v>
      </c>
      <c r="F79" t="s" s="176">
        <f>IF(G79="","",IF(OR(AND($C79&lt;&gt;" ",$C80=" "),AND($C80&lt;&gt;" ",$C79=" "),AND(L81&gt;0,OR(AND($C81&lt;&gt;" ",OR($C79=" ",$C80=" ")),AND($C81=" ",OR($C79&lt;&gt;" ",$C80&lt;&gt;" "))))),IF(SUM(F$4:F78)=0,1,LARGE(F$4:F78,1)+1),IF(MONTH(G79)=MONTH(TODAY()),IF(AND(DAY(G79)&lt;DAY(TODAY()),$B79=" "),IF(SUM(F$4:F78)=0,1,LARGE(F$4:F78,1)+1),IF($B79=" ",IF(AND(DAY(G79)=DAY(TODAY()),HOUR(G79)&lt;=HOUR(NOW())+1),IF(AND(HOUR(G79)+2&lt;=HOUR(NOW()),DAY(G79)&lt;=DAY(TODAY()),MINUTE(G79)&lt;=MINUTE(NOW())),IF(SUM(F$4:F78)=0,1,LARGE(F$4:F78,1)+1),IF(OR(MINUTE(G79)&lt;=MINUTE(NOW()),HOUR(G79)&lt;=HOUR(NOW())),"!!!","")),""),"")),"")))</f>
      </c>
      <c r="G79" s="177">
        <v>44943.708333333336</v>
      </c>
      <c r="H79" t="s" s="178">
        <v>125</v>
      </c>
      <c r="I79" t="s" s="179">
        <v>65</v>
      </c>
      <c r="J79" s="291">
        <v>9.5</v>
      </c>
      <c r="K79" t="s" s="181">
        <v>38</v>
      </c>
      <c r="L79" s="182">
        <v>2.2</v>
      </c>
      <c r="M79" s="183"/>
      <c r="N79" s="184">
        <v>0</v>
      </c>
      <c r="O79" s="185">
        <f>IF(OR(AE79="",AE80=""),"",ROUND(IF(L81&gt;0,IF(M79&gt;0,M79,IF(M80&gt;0,ROUND((M80*AE79)/AE80,IF(N79=0,2,IF(N79=0.1,1,0))),ROUND((M81*AE79)/AE81,IF(N79=0,2,IF(N79=0.1,1,0))))),IF(M79&gt;0,M79,ROUND((M80*AE79)/AE80,IF(N79=0,2,IF(N79=0.1,1,0))))),2))</f>
        <v>12.27</v>
      </c>
      <c r="P79" s="186">
        <f>IF(OR(L79="",O79=""),"",IF($C79="1/2W",O79/2+O79/2*L79,IF($C79="1/2L",O79/2,IF(I79="Lay",(O79*(L79/(L79-1))-O79)*(1-_xlfn.XLOOKUP(K79,'Janeiro 2023 - Valor Real'!A3:A15,'Janeiro 2023 - Valor Real'!C3:C15,0))+O79,(O79*L79-O79)*(1-_xlfn.XLOOKUP(K79,'Janeiro 2023 - Valor Real'!A3:A15,'Janeiro 2023 - Valor Real'!C3:C15,0))+O79))))</f>
        <v>26.994</v>
      </c>
      <c r="Q79" s="187">
        <v>3</v>
      </c>
      <c r="R79" s="188">
        <v>0</v>
      </c>
      <c r="S79" s="189">
        <f>IF($B79="Anulado",0,ROUND(IF(OR($B79="LOSS",$B79="OK"),IF(OR($C79="W",$C79="1/2W",$C79="1/2L"),P79-O79,IF($C79="L",-O79,0))+IF(OR($C80="W",$C80="1/2W",$C80="1/2L"),P80-O80,IF($C80="L",-O80,0))+IF(OR($C81="W",$C81="1/2W",$C81="1/2L"),P81-O81,IF($C81="L",-O81,0)),IF(AND(OR($C79="W",$C79="1/2W",$C79="1/2L"),C80="W"),P79+P80-SUM(O79:O81)+_xlfn.XLOOKUP("X",C79:C81,O79:O81,0),IF(AND(C79=TRUE,C81="W"),P79+P81-SUM(O79:O81),IF(AND(C80="W",C81="W"),P80+P81-SUM(O79:O81)+_xlfn.XLOOKUP("X",C79:C81,O79:O81,0),IF(L81&gt;0,IF(OR($C79="W",$C79="1/2W",$C79="1/2L"),P79-SUM(O79:O81)+_xlfn.XLOOKUP("X",C79:C81,O79:O81,0),IF(OR($C79="W",$C79="1/2W",$C79="1/2L"),P80-SUM(O79:O81)+_xlfn.XLOOKUP("X",C79:C81,O79:O81,0),IF(OR($C79="W",$C79="1/2W",$C79="1/2L"),P81-SUM(O79:O81)+_xlfn.XLOOKUP("X",C79:C81,O79:O81,0),IF(SUM(P79:P81)/3-SUM(O79:O81)+_xlfn.XLOOKUP("X",C79:C81,O79:O81,0)&gt;0,SUM(P79:P81)/3-SUM(O79:O81)+_xlfn.XLOOKUP("X",C79:C81,O79:O81,0),LARGE(P79:P81,1)-SUM(O79:O81))))),IF(OR($C79="W",$C79="1/2W",$C79="1/2L"),P79-SUM(O79:O80)+_xlfn.XLOOKUP("X",C79:C81,O79:O81,0),IF(OR($C79="W",$C79="1/2W",$C79="1/2L"),P80-SUM(O79:O80)+_xlfn.XLOOKUP("X",C79:C81,O79:O81,0),SUM(P79:P80)/2-SUM(O79:O80)+_xlfn.XLOOKUP("X",C79:C81,O79:O81,0)))))))),2))</f>
        <v>1.23</v>
      </c>
      <c r="T79" s="190">
        <f>IF(S79=0,0,S79/SUM(O79:O81))</f>
        <v>0.0477299185098952</v>
      </c>
      <c r="U79" s="191">
        <f>IF($D79=$D76,IF(OR($B79="LOSS",$B79="OK",$B79="Anulada"),S79,0)+U76,IF(OR($B79="LOSS",$B79="OK",$B79="Anulada"),S79,0))</f>
        <v>13.93</v>
      </c>
      <c r="V79" s="191">
        <f>IF($D79="",0,IF($D79=$D76,IF($B79=" ",IF(I81="",IF(OR(AND(I79="DNB1",I80="DNB2"),AND(OR(I79="DNB1",I79="DNB2"),J80=0),AND(OR(I80="DNB1",I80="DNB2"),J79=0),AND(I79="DNB2",I80="DNB1"),AND(IF(J79=0,(J79+1)/ROUND(J79+1,0),J79/ROUND(J79,0))=1,IF(J80=0,(J80+1)/ROUND(IF(J80="",0,J80)+1,0),IF(J80="",0,J80)/ROUND(IF(J80="",1,J80),0))=1,OR(J79&lt;&gt;""),J80&lt;&gt;"")),0,IF(S79&lt;0,IF(I81="",SMALL(P79:P80,1)-SUM(O79:O80),0),SMALL(P79:P80,1)-SUM(O79:O80))),IF(S79&lt;0,IF(I81="",SMALL(P79:P81,1)-SUM(O79:O81),0),LARGE(P79:P81,1)-SUM(O79:O81))),S79)+V76,IF(I81="",IF(OR(AND(I79="DNB1",I80="DNB2"),AND(OR(I79="DNB1",I79="DNB2"),J80=0),AND(OR(I80="DNB1",I80="DNB2"),J79=0),AND(I79="DNB2",I80="DNB1"),AND(IF(J79=0,(J79+1)/ROUND(J79+1,0),J79/ROUND(J79,0))=1,IF(J80=0,(IF(J80="",0,J80)+1)/ROUND(IF(J80="",0,J80)+1,0),IF(J80="",0,J80)/ROUND(IF(J80="",0,J80)+1,0))=1,OR(J79&lt;&gt;""),J80&lt;&gt;"")),0,IF(S79&lt;0,IF(I81="",SMALL(P79:P80,1)-SUM(O79:O80),0),SMALL(P79:P81,1)-SUM(O79:O81))),IF(S79&lt;0,IF(I81="",SMALL(P79:P81,1)-SUM(O79:O81),0),LARGE(P79:P81,1)-SUM(O79:O81)))))</f>
        <v>13.932</v>
      </c>
      <c r="W79" s="191">
        <f>IF($D79=$D76,IF(S79&lt;0,IF(I81="",S79,0),S79)+W76,S79)</f>
        <v>13.93</v>
      </c>
      <c r="X79" t="s" s="192">
        <f>IF(OR(SUM(R79:R81)=0,V79=W79),ROUND(IF(W79=0,0,W79/Y79)*100,2)&amp;"%",ROUND(IF(V79=0,0,V79/Y79)*100,2)&amp;"% a "&amp;ROUND(IF(W79=0,0,W79/Y79)*100,2)&amp;"%")</f>
        <v>126</v>
      </c>
      <c r="Y79" s="193">
        <f>IF($D79=$D76,Y76+SUM(O79:O81),SUM(O79:O81))</f>
        <v>402.29</v>
      </c>
      <c r="Z79" s="191">
        <f>IF($B79=" ",SUM(O79:O81),0)+Z76</f>
        <v>0</v>
      </c>
      <c r="AA79" s="191">
        <f>IF(G79="","",IF($B79="Anulado",LARGE(P79:P81,1)-SUM(O79:O81)+AA76,AA76))</f>
        <v>6.064</v>
      </c>
      <c r="AB79" s="191">
        <f>IF($D79="","",AB76+S79)</f>
        <v>92.03</v>
      </c>
      <c r="AC79" s="194">
        <f>IF($D79="","",IF($B79=" ",IF(DAY(G79)=DAY(TODAY()),1+AC76,0+AC76),0+AC76))</f>
        <v>0</v>
      </c>
      <c r="AD79" s="195">
        <f>(((L80/(L80-1)-1)*(1-_xlfn.XLOOKUP(K80,'Janeiro 2023 - Valor Real'!A3:A15,'Janeiro 2023 - Valor Real'!C3:C15,0))+1))/(((L79-1)*(1-_xlfn.XLOOKUP(K79,'Janeiro 2023 - Valor Real'!A3:A15,'Janeiro 2023 - Valor Real'!C3:C15,0))+1)+((L80/(L80-1)-1)*(1-_xlfn.XLOOKUP(K80,'Janeiro 2023 - Valor Real'!A3:A15,'Janeiro 2023 - Valor Real'!C3:C15,0))+1))</f>
        <v>0.476190476190476</v>
      </c>
      <c r="AE79" s="196">
        <f>IF(L79="","",IF(L81&gt;0,(SUM(((L79-1)*(1-_xlfn.XLOOKUP(K79,'Janeiro 2023 - Valor Real'!A3:A15,'Janeiro 2023 - Valor Real'!C3:C15,0))+1),((L80-1)*(1-_xlfn.XLOOKUP(K80,'Janeiro 2023 - Valor Real'!A3:A15,'Janeiro 2023 - Valor Real'!C3:C15,0))+1),((L81-1)*(1-_xlfn.XLOOKUP(K81,'Janeiro 2023 - Valor Real'!A3:A15,'Janeiro 2023 - Valor Real'!C3:C15,0))+1))/((L79-1)*(1-_xlfn.XLOOKUP(K79,'Janeiro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Real'!C3:C15,0))+1))/((L79-1)*(1-_xlfn.XLOOKUP(K79,'Janeiro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Real'!C3:C15,0))+1))/((L80-1)*(1-_xlfn.XLOOKUP(K80,'Janeiro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Real'!C3:C15,0))+1))/((L81-1)*(1-_xlfn.XLOOKUP(K81,'Janeiro 2023 - Valor Real'!A3:A15,'Janeiro 2023 - Valor Real'!C3:C15,0))+1)),IF(I79="Lay",IF(I80="Lay",((L80/(L80-1)-1)*(1-_xlfn.XLOOKUP(K80,'Janeiro 2023 - Valor Real'!A3:A15,'Janeiro 2023 - Valor Real'!C3:C15,0))+1)/(((L80/(L80-1)-1)*(1-_xlfn.XLOOKUP(K80,'Janeiro 2023 - Valor Real'!A3:A15,'Janeiro 2023 - Valor Real'!C3:C15,0))+1)+((L79/(L79-1)-1)*(1-_xlfn.XLOOKUP(K79,'Janeiro 2023 - Valor Real'!A3:A15,'Janeiro 2023 - Valor Real'!C3:C15,0))+1)),((L80-1)*(1-_xlfn.XLOOKUP(K80,'Janeiro 2023 - Valor Real'!A3:A15,'Janeiro 2023 - Valor Real'!C3:C15,0))+1)/(((L80-1)*(1-_xlfn.XLOOKUP(K80,'Janeiro 2023 - Valor Real'!A3:A15,'Janeiro 2023 - Valor Real'!C3:C15,0))+1)+((L79/(L79-1)-1)*(1-_xlfn.XLOOKUP(K79,'Janeiro 2023 - Valor Real'!A3:A15,'Janeiro 2023 - Valor Real'!C3:C15,0))+1))),IF(I80="Lay",(((L80/(L80-1)-1)*(1-_xlfn.XLOOKUP(K80,'Janeiro 2023 - Valor Real'!A3:A15,'Janeiro 2023 - Valor Real'!C3:C15,0))+1))/(((L79-1)*(1-_xlfn.XLOOKUP(K79,'Janeiro 2023 - Valor Real'!A3:A15,'Janeiro 2023 - Valor Real'!C3:C15,0))+1)+((L80/(L80-1)-1)*(1-_xlfn.XLOOKUP(K80,'Janeiro 2023 - Valor Real'!A3:A15,'Janeiro 2023 - Valor Real'!C3:C15,0))+1)),((L80-1)*(1-_xlfn.XLOOKUP(K80,'Janeiro 2023 - Valor Real'!A3:A15,'Janeiro 2023 - Valor Real'!C3:C15,0))+1)/(((L80-1)*(1-_xlfn.XLOOKUP(K80,'Janeiro 2023 - Valor Real'!A3:A15,'Janeiro 2023 - Valor Real'!C3:C15,0))+1)+((L79-1)*(1-_xlfn.XLOOKUP(K79,'Janeiro 2023 - Valor Real'!A3:A15,'Janeiro 2023 - Valor Real'!C3:C15,0))+1))))))</f>
        <v>0.476190476190476</v>
      </c>
      <c r="AF79" s="197">
        <f>IF($K79=AF$3,ROUND(IF(OR($C79="W",$C79="1/2W",$C79="1/2L"),$P79-$O79,IF($C79="X",0,-$O79)),2),0)</f>
        <v>0</v>
      </c>
      <c r="AG79" s="198">
        <f>IF($K79=AG$3,ROUND(IF(OR($C79="W",$C79="1/2W",$C79="1/2L"),$P79-$O79,IF($C79="X",0,-$O79)),2),0)</f>
        <v>-12.27</v>
      </c>
      <c r="AH79" s="198">
        <f>IF($K79=AH$3,ROUND(IF(OR($C79="W",$C79="1/2W",$C79="1/2L"),$P79-$O79,IF($C79="X",0,-$O79)),2),0)</f>
        <v>0</v>
      </c>
      <c r="AI79" s="198">
        <f>IF($K79=AI$3,ROUND(IF(OR($C79="W",$C79="1/2W",$C79="1/2L"),$P79-$O79,IF($C79="X",0,-$O79)),2),0)</f>
        <v>0</v>
      </c>
      <c r="AJ79" s="198">
        <f>IF($K79=AJ$3,ROUND(IF(OR($C79="W",$C79="1/2W",$C79="1/2L"),$P79-$O79,IF($C79="X",0,-$O79)),2),0)</f>
        <v>0</v>
      </c>
      <c r="AK79" s="198">
        <f>IF($K79=AK$3,ROUND(IF(OR($C79="W",$C79="1/2W",$C79="1/2L"),$P79-$O79,IF($C79="X",0,-$O79)),2),0)</f>
        <v>0</v>
      </c>
      <c r="AL79" s="198">
        <f>IF($K79=AL$3,ROUND(IF(OR($C79="W",$C79="1/2W",$C79="1/2L"),$P79-$O79,IF($C79="X",0,-$O79)),2),0)</f>
        <v>0</v>
      </c>
      <c r="AM79" s="198">
        <f>IF($K79=AM$3,ROUND(IF(OR($C79="W",$C79="1/2W",$C79="1/2L"),$P79-$O79,IF($C79="X",0,-$O79)),2),0)</f>
        <v>0</v>
      </c>
      <c r="AN79" s="198">
        <f>IF($K79=AN$3,ROUND(IF(OR($C79="W",$C79="1/2W",$C79="1/2L"),$P79-$O79,IF($C79="X",0,-$O79)),2),0)</f>
        <v>0</v>
      </c>
      <c r="AO79" s="198">
        <f>IF($K79=AO$3,ROUND(IF(OR($C79="W",$C79="1/2W",$C79="1/2L"),$P79-$O79,IF($C79="X",0,-$O79)),2),0)</f>
        <v>0</v>
      </c>
      <c r="AP79" s="198">
        <f>IF($K79=AP$3,ROUND(IF(OR($C79="W",$C79="1/2W",$C79="1/2L"),$P79-$O79,IF($C79="X",0,-$O79)),2),0)</f>
        <v>0</v>
      </c>
      <c r="AQ79" s="198">
        <f>IF($K79=AQ$3,ROUND(IF(OR($C79="W",$C79="1/2W",$C79="1/2L"),$P79-$O79,IF($C79="X",0,-$O79)),2),0)</f>
        <v>0</v>
      </c>
      <c r="AR79" s="199">
        <f>IF($K79=AR$3,ROUND(IF(OR($C79="W",$C79="1/2W",$C79="1/2L"),$P79-$O79,IF($C79="X",0,-$O79)),2),0)</f>
        <v>0</v>
      </c>
      <c r="AS79" s="197">
        <f>IF(AND($B79=" ",$K79=AS$3),$O79,0)</f>
        <v>0</v>
      </c>
      <c r="AT79" s="198">
        <f>IF(AND($B79=" ",$K79=AT$3),$O79,0)</f>
        <v>0</v>
      </c>
      <c r="AU79" s="198">
        <f>IF(AND($B79=" ",$K79=AU$3),$O79,0)</f>
        <v>0</v>
      </c>
      <c r="AV79" s="198">
        <f>IF(AND($B79=" ",$K79=AV$3),$O79,0)</f>
        <v>0</v>
      </c>
      <c r="AW79" s="198">
        <f>IF(AND($B79=" ",$K79=AW$3),$O79,0)</f>
        <v>0</v>
      </c>
      <c r="AX79" s="198">
        <f>IF(AND($B79=" ",$K79=AX$3),$O79,0)</f>
        <v>0</v>
      </c>
      <c r="AY79" s="200">
        <f>IF(AND($B79=" ",$K79=AY$3),$O79,0)</f>
        <v>0</v>
      </c>
      <c r="AZ79" s="201">
        <f>IF(AND($B79=" ",$K79=AZ$3),$O79,0)</f>
        <v>0</v>
      </c>
      <c r="BA79" s="201">
        <f>IF(AND($B79=" ",$K79=BA$3),$O79,0)</f>
        <v>0</v>
      </c>
      <c r="BB79" s="201">
        <f>IF(AND($B79=" ",$K79=BB$3),$O79,0)</f>
        <v>0</v>
      </c>
      <c r="BC79" s="202">
        <f>IF(AND($B79=" ",$K79=BC$3),$O79,0)</f>
        <v>0</v>
      </c>
      <c r="BD79" s="198">
        <f>IF(AND($B79=" ",$K79=BD$3),$O79,0)</f>
        <v>0</v>
      </c>
      <c r="BE79" s="199">
        <f>IF(AND($B79=" ",$K79=BE$3),$O79,0)</f>
        <v>0</v>
      </c>
      <c r="BF79" s="203">
        <f>IF($K79=BF$3,IF($C79="X",0,$O79),0)</f>
        <v>0</v>
      </c>
      <c r="BG79" s="198">
        <f>IF($K79=BG$3,IF($C79="X",0,$O79),0)</f>
        <v>12.27</v>
      </c>
      <c r="BH79" s="198">
        <f>IF($K79=BH$3,IF($C79="X",0,$O79),0)</f>
        <v>0</v>
      </c>
      <c r="BI79" s="198">
        <f>IF($K79=BI$3,IF($C79="X",0,$O79),0)</f>
        <v>0</v>
      </c>
      <c r="BJ79" s="198">
        <f>IF($K79=BJ$3,IF($C79="X",0,$O79),0)</f>
        <v>0</v>
      </c>
      <c r="BK79" s="198">
        <f>IF($K79=BK$3,IF($C79="X",0,$O79),0)</f>
        <v>0</v>
      </c>
      <c r="BL79" s="198">
        <f>IF($K79=BL$3,IF($C79="X",0,$O79),0)</f>
        <v>0</v>
      </c>
      <c r="BM79" s="200">
        <f>IF($K79=BM$3,IF($C79="X",0,$O79),0)</f>
        <v>0</v>
      </c>
      <c r="BN79" s="201">
        <f>IF($K79=BN$3,IF($C79="X",0,$O79),0)</f>
        <v>0</v>
      </c>
      <c r="BO79" s="201">
        <f>IF($K79=BO$3,IF($C79="X",0,$O79),0)</f>
        <v>0</v>
      </c>
      <c r="BP79" s="201">
        <f>IF($K79=BP$3,IF($C79="X",0,$O79),0)</f>
        <v>0</v>
      </c>
      <c r="BQ79" s="202">
        <f>IF($K79=BQ$3,IF($C79="X",0,$O79),0)</f>
        <v>0</v>
      </c>
      <c r="BR79" s="199">
        <f>IF($K79=BR$3,IF($C79="X",0,$O79),0)</f>
        <v>0</v>
      </c>
      <c r="BS79" s="204">
        <f>IF($B79="LOSS",IF(AND($K79=BS$3,$C79="L"),-$O79,0)+IF(AND($K80=BS$3,$C80="L"),-$O80,0)+IF(AND($K81=BS$3,$C81="L"),-$O81,0),IF(OR(AND($K79=BS$3,OR($C79="W",$C79="1/2W")),AND($K80=BS$3,OR($C80="W",$C80="1/2W")),AND($K81=BS$3,OR($C81="W",$C81="1/2W"))),$S79,0))</f>
        <v>0</v>
      </c>
      <c r="BT79" s="201">
        <f>IF($B79="LOSS",IF(AND($K79=BT$3,$C79="L"),-$O79,0)+IF(AND($K80=BT$3,$C80="L"),-$O80,0)+IF(AND($K80=BT$3,$C81="L"),-$O81,0),IF(OR(AND($K80=BT$3,OR($C79="W",$C79="1/2W")),AND($K80=BT$3,OR($C80="W",$C80="1/2W")),AND($K80=BT$3,OR($C81="W",$C81="1/2W"))),$S79,0))</f>
        <v>0</v>
      </c>
      <c r="BU79" s="201">
        <f>IF($B79="LOSS",IF(AND($K79=BU$3,$C79="L"),-$O79,0)+IF(AND($K80=BU$3,$C80="L"),-$O80,0)+IF(AND($K80=BU$3,$C81="L"),-$O81,0),IF(OR(AND($K80=BU$3,OR($C79="W",$C79="1/2W")),AND($K80=BU$3,OR($C80="W",$C80="1/2W")),AND($K80=BU$3,OR($C81="W",$C81="1/2W"))),$S79,0))</f>
        <v>0</v>
      </c>
      <c r="BV79" s="201">
        <f>IF($B79="LOSS",IF(AND($K79=BV$3,$C79="L"),-$O79,0)+IF(AND($K80=BV$3,$C80="L"),-$O80,0)+IF(AND($K81=BV$3,$C81="L"),-$O81,0),IF(OR(AND($K79=BV$3,OR($C79="W",$C79="1/2W")),AND($K80=BV$3,OR($C80="W",$C80="1/2W")),AND($K81=BV$3,OR($C81="W",$C81="1/2W"))),$S79,0))</f>
        <v>0</v>
      </c>
      <c r="BW79" s="201">
        <f>IF($B79="LOSS",IF(AND($K79=BW$3,$C79="L"),-$O79,0)+IF(AND($K80=BW$3,$C80="L"),-$O80,0)+IF(AND($K81=BW$3,$C81="L"),-$O81,0),IF(OR(AND($K79=BW$3,OR($C79="W",$C79="1/2W")),AND($K80=BW$3,OR($C80="W",$C80="1/2W")),AND($K81=BW$3,OR($C81="W",$C81="1/2W"))),$S79,0))</f>
        <v>1.23</v>
      </c>
      <c r="BX79" s="201">
        <f>IF($B79="LOSS",IF(AND($K79=BX$3,$C79="L"),-$O79,0)+IF(AND($K80=BX$3,$C80="L"),-$O80,0)+IF(AND($K81=BX$3,$C81="L"),-$O81,0),IF(OR(AND($K79=BX$3,OR($C79="W",$C79="1/2W")),AND($K80=BX$3,OR($C80="W",$C80="1/2W")),AND($K81=BX$3,OR($C81="W",$C81="1/2W"))),$S79,0))</f>
        <v>0</v>
      </c>
      <c r="BY79" s="201">
        <f>IF($B79="LOSS",IF(AND($K79=BY$3,$C79="L"),-$O79,0)+IF(AND($K80=BY$3,$C80="L"),-$O80,0)+IF(AND($K81=BY$3,$C81="L"),-$O81,0),IF(OR(AND($K79=BY$3,OR($C79="W",$C79="1/2W")),AND($K80=BY$3,OR($C80="W",$C80="1/2W")),AND($K81=BY$3,OR($C81="W",$C81="1/2W"))),$S79,0))</f>
        <v>0</v>
      </c>
      <c r="BZ79" s="205">
        <f>IF($B79="LOSS",IF(AND($K79=BZ$3,$C79="L"),-$O79,0)+IF(AND($K80=BZ$3,$C80="L"),-$O80,0)+IF(AND($K81=BZ$3,$C81="L"),-$O81,0),IF(OR(AND($K79=BZ$3,OR($C79="W",$C79="1/2W")),AND($K80=BZ$3,OR($C80="W",$C80="1/2W")),AND($K81=BZ$3,OR($C81="W",$C81="1/2W"))),$S79,0))</f>
        <v>0</v>
      </c>
      <c r="CA79" s="205">
        <f>IF($B79="LOSS",IF(AND($K79=CA$3,$C79="L"),-$O79,0)+IF(AND($K80=CA$3,$C80="L"),-$O80,0)+IF(AND($K81=CA$3,$C81="L"),-$O81,0),IF(OR(AND($K79=CA$3,OR($C79="W",$C79="1/2W")),AND($K80=CA$3,OR($C80="W",$C80="1/2W")),AND($K81=CA$3,OR($C81="W",$C81="1/2W"))),$S79,0))</f>
        <v>0</v>
      </c>
      <c r="CB79" s="205">
        <f>IF($B79="LOSS",IF(AND($K79=CB$3,$C79="L"),-$O79,0)+IF(AND($K80=CB$3,$C80="L"),-$O80,0)+IF(AND($K81=CB$3,$C81="L"),-$O81,0),IF(OR(AND($K79=CB$3,OR($C79="W",$C79="1/2W")),AND($K80=CB$3,OR($C80="W",$C80="1/2W")),AND($K81=CB$3,OR($C81="W",$C81="1/2W"))),$S79,0))</f>
        <v>0</v>
      </c>
      <c r="CC79" s="205">
        <f>IF($B79="LOSS",IF(AND($K79=CC$3,$C79="L"),-$O79,0)+IF(AND($K80=CC$3,$C80="L"),-$O80,0)+IF(AND($K81=CC$3,$C81="L"),-$O81,0),IF(OR(AND($K79=CC$3,OR($C79="W",$C79="1/2W")),AND($K80=CC$3,OR($C80="W",$C80="1/2W")),AND($K81=CC$3,OR($C81="W",$C81="1/2W"))),$S79,0))</f>
        <v>0</v>
      </c>
      <c r="CD79" s="202">
        <f>IF($B79="LOSS",IF(AND($K79=CD$3,$C79="L"),-$O79,0)+IF(AND($K80=CD$3,$C80="L"),-$O80,0)+IF(AND($K81=CD$3,$C81="L"),-$O81,0),IF(OR(AND($K79=CD$3,OR($C79="W",$C79="1/2W")),AND($K80=CD$3,OR($C80="W",$C80="1/2W")),AND($K81=CD$3,OR($C81="W",$C81="1/2W"))),$S79,0))</f>
        <v>0</v>
      </c>
      <c r="CE79" s="199">
        <f>IF($B79="LOSS",IF(AND($K79=CE$3,$C79="L"),-$O79,0)+IF(AND($K80=CE$3,$C80="L"),-$O80,0)+IF(AND($K81=CE$3,$C81="L"),-$O81,0),IF(OR(AND($K79=CE$3,OR($C79="W",$C79="1/2W")),AND($K80=CE$3,OR($C80="W",$C80="1/2W")),AND($K81=CE$3,OR($C81="W",$C81="1/2W"))),$S79,0))</f>
        <v>0</v>
      </c>
      <c r="CF79" s="206">
        <f>IF(CF$3=$K79,IF($C79="W",1,IF($C79="1/2W",0.5,0)),0)</f>
        <v>0</v>
      </c>
      <c r="CG79" s="207">
        <f>IF(CF$3=$K79,IF($C79="L",1,IF($C79="1/2L",0.5,0)),0)</f>
        <v>0</v>
      </c>
      <c r="CH79" s="207">
        <f>IF(CH$3=$K79,IF($C79="W",1,IF($C79="1/2W",0.5,0)),0)</f>
        <v>0</v>
      </c>
      <c r="CI79" s="207">
        <f>IF(CH$3=$K79,IF($C79="L",1,IF($C79="1/2L",0.5,0)),0)</f>
        <v>1</v>
      </c>
      <c r="CJ79" s="207">
        <f>IF(CJ$3=$K79,IF($C79="W",1,IF($C79="1/2W",0.5,0)),0)</f>
        <v>0</v>
      </c>
      <c r="CK79" s="207">
        <f>IF(CJ$3=$K79,IF($C79="L",1,IF($C79="1/2L",0.5,0)),0)</f>
        <v>0</v>
      </c>
      <c r="CL79" s="207">
        <f>IF(CL$3=$K79,IF($C79="W",1,IF($C79="1/2W",0.5,0)),0)</f>
        <v>0</v>
      </c>
      <c r="CM79" s="207">
        <f>IF(CL$3=$K79,IF($C79="L",1,IF($C79="1/2L",0.5,0)),0)</f>
        <v>0</v>
      </c>
      <c r="CN79" s="207">
        <f>IF(CN$3=$K79,IF($C79="W",1,IF($C79="1/2W",0.5,0)),0)</f>
        <v>0</v>
      </c>
      <c r="CO79" s="207">
        <f>IF(CN$3=$K79,IF($C79="L",1,IF($C79="1/2L",0.5,0)),0)</f>
        <v>0</v>
      </c>
      <c r="CP79" s="207">
        <f>IF(CP$3=$K79,IF($C79="W",1,IF($C79="1/2W",0.5,0)),0)</f>
        <v>0</v>
      </c>
      <c r="CQ79" s="207">
        <f>IF(CP$3=$K79,IF($C79="L",1,IF($C79="1/2L",0.5,0)),0)</f>
        <v>0</v>
      </c>
      <c r="CR79" s="207">
        <f>IF(CR$3=$K79,IF($C79="W",1,IF($C79="1/2W",0.5,0)),0)</f>
        <v>0</v>
      </c>
      <c r="CS79" s="207">
        <f>IF(CR$3=$K79,IF($C79="L",1,IF($C79="1/2L",0.5,0)),0)</f>
        <v>0</v>
      </c>
      <c r="CT79" s="208">
        <f>IF(CT$3=$K79,IF($C79="W",1,IF($C79="1/2W",0.5,0)),0)</f>
        <v>0</v>
      </c>
      <c r="CU79" s="209">
        <f>IF(CT$3=$K79,IF($C79="L",1,IF($C79="1/2L",0.5,0)),0)</f>
        <v>0</v>
      </c>
      <c r="CV79" s="209">
        <f>IF(CV$3=$K79,IF($C79="W",1,IF($C79="1/2W",0.5,0)),0)</f>
        <v>0</v>
      </c>
      <c r="CW79" s="209">
        <f>IF(CV$3=$K79,IF($C79="L",1,IF($C79="1/2L",0.5,0)),0)</f>
        <v>0</v>
      </c>
      <c r="CX79" s="209">
        <f>IF(CX$3=$K79,IF($C79="W",1,IF($C79="1/2W",0.5,0)),0)</f>
        <v>0</v>
      </c>
      <c r="CY79" s="209">
        <f>IF(CX$3=$K79,IF($C79="L",1,IF($C79="1/2L",0.5,0)),0)</f>
        <v>0</v>
      </c>
      <c r="CZ79" s="209">
        <f>IF(CZ$3=$K79,IF($C79="W",1,IF($C79="1/2W",0.5,0)),0)</f>
        <v>0</v>
      </c>
      <c r="DA79" s="209">
        <f>IF(CZ$3=$K79,IF($C79="L",1,IF($C79="1/2L",0.5,0)),0)</f>
        <v>0</v>
      </c>
      <c r="DB79" s="209">
        <f>IF(DB$3=$K79,IF($C79="W",1,IF($C79="1/2W",0.5,0)),0)</f>
        <v>0</v>
      </c>
      <c r="DC79" s="209">
        <f>IF(DB$3=$K79,IF($C79="L",1,IF($C79="1/2L",0.5,0)),0)</f>
        <v>0</v>
      </c>
      <c r="DD79" s="209">
        <f>IF(DD$3=$K79,IF($C79="W",1,IF($C79="1/2W",0.5,0)),0)</f>
        <v>0</v>
      </c>
      <c r="DE79" s="210">
        <f>IF(DD$3=$K79,IF($C79="L",1,IF($C79="1/2L",0.5,0)),0)</f>
        <v>0</v>
      </c>
      <c r="DF79" s="211">
        <f>IF(AND(L79&lt;DF$3,$C79="W"),1+DF78,DF78)</f>
        <v>5</v>
      </c>
      <c r="DG79" s="198">
        <f>IF(DF79&gt;DF78,L79+DG78,DG78)</f>
        <v>6.558</v>
      </c>
      <c r="DH79" s="209">
        <f>IF(AND(L79&gt;DH$3,$C79="W"),1+DH78,0+DH78)</f>
        <v>1</v>
      </c>
      <c r="DI79" s="198">
        <f>IF(DH79&gt;DH78,L79+DI78,DI78)</f>
        <v>4.33</v>
      </c>
      <c r="DJ79" t="s" s="306">
        <f>IF($D79="","",$D79)</f>
        <v>101</v>
      </c>
      <c r="DK79" s="209">
        <f>IF(AND($B79=" ",$D79&lt;&gt;""),1,0)</f>
        <v>0</v>
      </c>
    </row>
    <row r="80" ht="14.55" customHeight="1">
      <c r="A80" s="107"/>
      <c r="B80" s="108"/>
      <c r="C80" t="s" s="213">
        <v>56</v>
      </c>
      <c r="D80" s="110"/>
      <c r="E80" s="111"/>
      <c r="F80" s="112"/>
      <c r="G80" s="214"/>
      <c r="H80" s="114"/>
      <c r="I80" t="s" s="215">
        <v>67</v>
      </c>
      <c r="J80" s="296">
        <f>IF(OR(I79="TO",I79="TU",I79="TO1",I79="TU1",I79="TO2",I79="TU2"),J79,IF(OR(I79="AH1",I79="AH2"),IF(OR(I80="AH1",I80="AH2"),-J79,IF(OR(I80="EH1",I80="EH2"),-J79+0.5,"")),IF(OR(I79="EH1",I79="EH2"),IF(OR(I80="AH1",I80="AH2"),-J79+0.5,IF(OR(I80="EH1",I80="EH2"),-J79+1,"")),IF(AND(OR(I79="DNB1",I79="DNB2"),OR(I80="AH1",I80="AH2")),0,IF(AND(I79="Not ScoreBoth",OR(I80="TO1",I80="TO2")),0.5,"")))))</f>
        <v>9.5</v>
      </c>
      <c r="K80" t="s" s="217">
        <v>41</v>
      </c>
      <c r="L80" s="218">
        <v>2</v>
      </c>
      <c r="M80" s="219">
        <v>13.5</v>
      </c>
      <c r="N80" s="120"/>
      <c r="O80" s="220">
        <f>IF(OR(AE79="",AE80=""),"",ROUND(IF(L81&gt;0,IF(M80&gt;0,M80,IF(M79&gt;0,IF(N79=TRUE,ROUND((M79*AE80)/AE79,0),(M79*AE80)/AE79),IF(M80&gt;0,ROUND(M80,IF(N79=0,2,IF(N79=0.1,1,0))),IF(M81&gt;0,ROUND(O81*AE80/AE81,IF(N79=0,2,IF(N79=0.1,1,0))),0)))),IF(M80&gt;0,M80,ROUND((M79*AE80)/AE79,IF(N79=0,2,IF(N79=0.1,1,0))))),2))</f>
        <v>13.5</v>
      </c>
      <c r="P80" s="221">
        <f>IF(OR(L80="",O80=""),"",IF($C80="1/2W",O80/2+O80/2*L80,IF($C80="1/2L",O80/2,IF(I80="Lay",((O80*(L80/(L80-1)))-O80)*(1-_xlfn.XLOOKUP(K80,'Janeiro 2023 - Valor Real'!A3:A15,'Janeiro 2023 - Valor Real'!C3:C15,0))+O80,(O80*L80-O80)*(1-_xlfn.XLOOKUP(K80,'Janeiro 2023 - Valor Real'!A3:A15,'Janeiro 2023 - Valor Real'!C3:C15,0))+O80))))</f>
        <v>27</v>
      </c>
      <c r="Q80" s="222">
        <v>4</v>
      </c>
      <c r="R80" s="223">
        <v>0</v>
      </c>
      <c r="S80" s="125"/>
      <c r="T80" s="126"/>
      <c r="U80" s="126"/>
      <c r="V80" s="224"/>
      <c r="W80" s="126"/>
      <c r="X80" s="127"/>
      <c r="Y80" s="128"/>
      <c r="Z80" s="129"/>
      <c r="AA80" s="129"/>
      <c r="AB80" s="129"/>
      <c r="AC80" s="129"/>
      <c r="AD80" s="225">
        <f>(((L80/(L80-1)-1)*(1-_xlfn.XLOOKUP(K80,'Janeiro 2023 - Valor Real'!A3:A15,'Janeiro 2023 - Valor Real'!C3:C15,0))+1))</f>
        <v>2</v>
      </c>
      <c r="AE80" s="226">
        <f>IF(L80="","",IF(L81&gt;0,(SUM(((L79-1)*(1-_xlfn.XLOOKUP(K79,'Janeiro 2023 - Valor Real'!A3:A15,'Janeiro 2023 - Valor Real'!C3:C15,0))+1),((L80-1)*(1-_xlfn.XLOOKUP(K80,'Janeiro 2023 - Valor Real'!A3:A15,'Janeiro 2023 - Valor Real'!C3:C15,0))+1),((L81-1)*(1-_xlfn.XLOOKUP(K81,'Janeiro 2023 - Valor Real'!A3:A15,'Janeiro 2023 - Valor Real'!C3:C15,0))+1))/((L80-1)*(1-_xlfn.XLOOKUP(K80,'Janeiro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Real'!C3:C15,0))+1))/((L79-1)*(1-_xlfn.XLOOKUP(K79,'Janeiro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Real'!C3:C15,0))+1))/((L80-1)*(1-_xlfn.XLOOKUP(K80,'Janeiro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Real'!C3:C15,0))+1))/((L81-1)*(1-_xlfn.XLOOKUP(K81,'Janeiro 2023 - Valor Real'!A3:A15,'Janeiro 2023 - Valor Real'!C3:C15,0))+1)),IF(I80="Lay",IF(I79="Lay",((L79/(L79-1)-1)*(1-_xlfn.XLOOKUP(K79,'Janeiro 2023 - Valor Real'!A3:A15,'Janeiro 2023 - Valor Real'!C3:C15,0))+1)/(((L79/(L79-1)-1)*(1-_xlfn.XLOOKUP(K79,'Janeiro 2023 - Valor Real'!A3:A15,'Janeiro 2023 - Valor Real'!C3:C15,0))+1)+((L80/(L80-1)-1)*(1-_xlfn.XLOOKUP(K80,'Janeiro 2023 - Valor Real'!A3:A15,'Janeiro 2023 - Valor Real'!C3:C15,0))+1)),((L79-1)*(1-_xlfn.XLOOKUP(K79,'Janeiro 2023 - Valor Real'!A3:A15,'Janeiro 2023 - Valor Real'!C3:C15,0))+1)/(((L79-1)*(1-_xlfn.XLOOKUP(K79,'Janeiro 2023 - Valor Real'!A3:A15,'Janeiro 2023 - Valor Real'!C3:C15,0))+1)+((L80/(L80-1)-1)*(1-_xlfn.XLOOKUP(K80,'Janeiro 2023 - Valor Real'!A3:A15,'Janeiro 2023 - Valor Real'!C3:C15,0))+1))),IF(I79="Lay",((L79/(L79-1)-1)*(1-_xlfn.XLOOKUP(K79,'Janeiro 2023 - Valor Real'!A3:A15,'Janeiro 2023 - Valor Real'!C3:C15,0))+1)/((((L79/(L79-1)-1)*(1-_xlfn.XLOOKUP(K79,'Janeiro 2023 - Valor Real'!A3:A15,'Janeiro 2023 - Valor Real'!C3:C15,0))+1))+((L80-1)*(1-_xlfn.XLOOKUP(K80,'Janeiro 2023 - Valor Real'!A3:A15,'Janeiro 2023 - Valor Real'!C3:C15,0))+1)),((L79-1)*(1-_xlfn.XLOOKUP(K79,'Janeiro 2023 - Valor Real'!A3:A15,'Janeiro 2023 - Valor Real'!C3:C15,0))+1)/(((L79-1)*(1-_xlfn.XLOOKUP(K79,'Janeiro 2023 - Valor Real'!A3:A15,'Janeiro 2023 - Valor Real'!C3:C15,0))+1)+((L80-1)*(1-_xlfn.XLOOKUP(K80,'Janeiro 2023 - Valor Real'!A3:A15,'Janeiro 2023 - Valor Real'!C3:C15,0))+1))))))</f>
        <v>0.5238095238095239</v>
      </c>
      <c r="AF80" s="197">
        <f>IF($K80=AF$3,ROUND(IF(OR($C80="W",$C80="1/2W",$C80="1/2L"),$P80-$O80,IF($C80="X",0,-$O80)),2),0)</f>
        <v>0</v>
      </c>
      <c r="AG80" s="198">
        <f>IF($K80=AG$3,ROUND(IF(OR($C80="W",$C80="1/2W",$C80="1/2L"),$P80-$O80,IF($C80="X",0,-$O80)),2),0)</f>
        <v>0</v>
      </c>
      <c r="AH80" s="198">
        <f>IF($K80=AH$3,ROUND(IF(OR($C80="W",$C80="1/2W",$C80="1/2L"),$P80-$O80,IF($C80="X",0,-$O80)),2),0)</f>
        <v>0</v>
      </c>
      <c r="AI80" s="198">
        <f>IF($K80=AI$3,ROUND(IF(OR($C80="W",$C80="1/2W",$C80="1/2L"),$P80-$O80,IF($C80="X",0,-$O80)),2),0)</f>
        <v>0</v>
      </c>
      <c r="AJ80" s="198">
        <f>IF($K80=AJ$3,ROUND(IF(OR($C80="W",$C80="1/2W",$C80="1/2L"),$P80-$O80,IF($C80="X",0,-$O80)),2),0)</f>
        <v>13.5</v>
      </c>
      <c r="AK80" s="198">
        <f>IF($K80=AK$3,ROUND(IF(OR($C80="W",$C80="1/2W",$C80="1/2L"),$P80-$O80,IF($C80="X",0,-$O80)),2),0)</f>
        <v>0</v>
      </c>
      <c r="AL80" s="198">
        <f>IF($K80=AL$3,ROUND(IF(OR($C80="W",$C80="1/2W",$C80="1/2L"),$P80-$O80,IF($C80="X",0,-$O80)),2),0)</f>
        <v>0</v>
      </c>
      <c r="AM80" s="198">
        <f>IF($K80=AM$3,ROUND(IF(OR($C80="W",$C80="1/2W",$C80="1/2L"),$P80-$O80,IF($C80="X",0,-$O80)),2),0)</f>
        <v>0</v>
      </c>
      <c r="AN80" s="198">
        <f>IF($K80=AN$3,ROUND(IF(OR($C80="W",$C80="1/2W",$C80="1/2L"),$P80-$O80,IF($C80="X",0,-$O80)),2),0)</f>
        <v>0</v>
      </c>
      <c r="AO80" s="198">
        <f>IF($K80=AO$3,ROUND(IF(OR($C80="W",$C80="1/2W",$C80="1/2L"),$P80-$O80,IF($C80="X",0,-$O80)),2),0)</f>
        <v>0</v>
      </c>
      <c r="AP80" s="198">
        <f>IF($K80=AP$3,ROUND(IF(OR($C80="W",$C80="1/2W",$C80="1/2L"),$P80-$O80,IF($C80="X",0,-$O80)),2),0)</f>
        <v>0</v>
      </c>
      <c r="AQ80" s="198">
        <f>IF($K80=AQ$3,ROUND(IF(OR($C80="W",$C80="1/2W",$C80="1/2L"),$P80-$O80,IF($C80="X",0,-$O80)),2),0)</f>
        <v>0</v>
      </c>
      <c r="AR80" s="199">
        <f>IF($K80=AR$3,ROUND(IF(OR($C80="W",$C80="1/2W",$C80="1/2L"),$P80-$O80,IF($C80="X",0,-$O80)),2),0)</f>
        <v>0</v>
      </c>
      <c r="AS80" s="197">
        <f>IF(AND($B79=" ",$K80=AS$3),$O80,0)</f>
        <v>0</v>
      </c>
      <c r="AT80" s="198">
        <f>IF(AND($B79=" ",K80=AT$3),$O80,0)</f>
        <v>0</v>
      </c>
      <c r="AU80" s="198">
        <f>IF(AND($B79=" ",$K80=AU$3),$O80,0)</f>
        <v>0</v>
      </c>
      <c r="AV80" s="198">
        <f>IF(AND($B79=" ",$K80=AV$3),$O80,0)</f>
        <v>0</v>
      </c>
      <c r="AW80" s="198">
        <f>IF(AND($B79=" ",$K80=AW$3),$O80,0)</f>
        <v>0</v>
      </c>
      <c r="AX80" s="198">
        <f>IF(AND($B79=" ",$K80=AX$3),$O80,0)</f>
        <v>0</v>
      </c>
      <c r="AY80" s="200">
        <f>IF(AND($B79=" ",$K80=AY$3),$O80,0)</f>
        <v>0</v>
      </c>
      <c r="AZ80" s="201">
        <f>IF(AND($B79=" ",$K80=AZ$3),$O80,0)</f>
        <v>0</v>
      </c>
      <c r="BA80" s="201">
        <f>IF(AND($B79=" ",$K80=BA$3),$O80,0)</f>
        <v>0</v>
      </c>
      <c r="BB80" s="201">
        <f>IF(AND($B79=" ",$K80=BB$3),$O80,0)</f>
        <v>0</v>
      </c>
      <c r="BC80" s="202">
        <f>IF(AND($B79=" ",$K80=BC$3),$O80,0)</f>
        <v>0</v>
      </c>
      <c r="BD80" s="198">
        <f>IF(AND($B79=" ",$K80=BD$3),$O80,0)</f>
        <v>0</v>
      </c>
      <c r="BE80" s="199">
        <f>IF(AND($B79=" ",$K80=BE$3),$O80,0)</f>
        <v>0</v>
      </c>
      <c r="BF80" s="197">
        <f>IF($K80=BF$3,IF($C80="X",0,$O80),0)</f>
        <v>0</v>
      </c>
      <c r="BG80" s="198">
        <f>IF($K80=BG$3,IF($C80="X",0,$O80),0)</f>
        <v>0</v>
      </c>
      <c r="BH80" s="198">
        <f>IF($K80=BH$3,IF($C80="X",0,$O80),0)</f>
        <v>0</v>
      </c>
      <c r="BI80" s="198">
        <f>IF($K80=BI$3,IF($C80="X",0,$O80),0)</f>
        <v>0</v>
      </c>
      <c r="BJ80" s="198">
        <f>IF($K80=BJ$3,IF($C80="X",0,$O80),0)</f>
        <v>13.5</v>
      </c>
      <c r="BK80" s="198">
        <f>IF($K80=BK$3,IF($C80="X",0,$O80),0)</f>
        <v>0</v>
      </c>
      <c r="BL80" s="198">
        <f>IF($K80=BL$3,IF($C80="X",0,$O80),0)</f>
        <v>0</v>
      </c>
      <c r="BM80" s="227">
        <f>IF($K80=BM$3,IF($C80="X",0,$O80),0)</f>
        <v>0</v>
      </c>
      <c r="BN80" s="205">
        <f>IF($K80=BN$3,IF($C80="X",0,$O80),0)</f>
        <v>0</v>
      </c>
      <c r="BO80" s="205">
        <f>IF($K80=BO$3,IF($C80="X",0,$O80),0)</f>
        <v>0</v>
      </c>
      <c r="BP80" s="205">
        <f>IF($K80=BP$3,IF($C80="X",0,$O80),0)</f>
        <v>0</v>
      </c>
      <c r="BQ80" s="202">
        <f>IF($K80=BQ$3,IF($C80="X",0,$O80),0)</f>
        <v>0</v>
      </c>
      <c r="BR80" s="199">
        <f>IF($K80=BR$3,IF($C80="X",0,$O80),0)</f>
        <v>0</v>
      </c>
      <c r="BS80" s="228"/>
      <c r="BT80" s="229"/>
      <c r="BU80" s="140"/>
      <c r="BV80" s="229"/>
      <c r="BW80" s="140"/>
      <c r="BX80" s="140"/>
      <c r="BY80" s="140"/>
      <c r="BZ80" s="229"/>
      <c r="CA80" s="140"/>
      <c r="CB80" s="140"/>
      <c r="CC80" s="140"/>
      <c r="CD80" s="141"/>
      <c r="CE80" s="142"/>
      <c r="CF80" s="230">
        <f>IF(CF$3=$K80,IF($C80="W",1,IF($C80="1/2W",0.5,0)),0)</f>
        <v>0</v>
      </c>
      <c r="CG80" s="231">
        <f>IF(CF$3=$K80,IF($C80="L",1,IF($C80="1/2L",0.5,0)),0)</f>
        <v>0</v>
      </c>
      <c r="CH80" s="231">
        <f>IF(CH$3=$K80,IF($C80="W",1,IF($C80="1/2W",0.5,0)),0)</f>
        <v>0</v>
      </c>
      <c r="CI80" s="231">
        <f>IF(CH$3=$K80,IF($C80="L",1,IF($C80="1/2L",0.5,0)),0)</f>
        <v>0</v>
      </c>
      <c r="CJ80" s="231">
        <f>IF(CJ$3=$K80,IF($C80="W",1,IF($C80="1/2W",0.5,0)),0)</f>
        <v>0</v>
      </c>
      <c r="CK80" s="231">
        <f>IF(CJ$3=$K80,IF($C80="L",1,IF($C80="1/2L",0.5,0)),0)</f>
        <v>0</v>
      </c>
      <c r="CL80" s="231">
        <f>IF(CL$3=$K80,IF($C80="W",1,IF($C80="1/2W",0.5,0)),0)</f>
        <v>0</v>
      </c>
      <c r="CM80" s="231">
        <f>IF(CL$3=$K80,IF($C80="L",1,IF($C80="1/2L",0.5,0)),0)</f>
        <v>0</v>
      </c>
      <c r="CN80" s="231">
        <f>IF(CN$3=$K80,IF($C80="W",1,IF($C80="1/2W",0.5,0)),0)</f>
        <v>1</v>
      </c>
      <c r="CO80" s="231">
        <f>IF(CN$3=$K80,IF($C80="L",1,IF($C80="1/2L",0.5,0)),0)</f>
        <v>0</v>
      </c>
      <c r="CP80" s="231">
        <f>IF(CP$3=$K80,IF($C80="W",1,IF($C80="1/2W",0.5,0)),0)</f>
        <v>0</v>
      </c>
      <c r="CQ80" s="231">
        <f>IF(CP$3=$K80,IF($C80="L",1,IF($C80="1/2L",0.5,0)),0)</f>
        <v>0</v>
      </c>
      <c r="CR80" s="231">
        <f>IF(CR$3=$K80,IF($C80="W",1,IF($C80="1/2W",0.5,0)),0)</f>
        <v>0</v>
      </c>
      <c r="CS80" s="231">
        <f>IF(CR$3=$K80,IF($C80="L",1,IF($C80="1/2L",0.5,0)),0)</f>
        <v>0</v>
      </c>
      <c r="CT80" s="208">
        <f>IF(CT$3=$K80,IF($C80="W",1,IF($C80="1/2W",0.5,0)),0)</f>
        <v>0</v>
      </c>
      <c r="CU80" s="209">
        <f>IF(CT$3=$K80,IF($C80="L",1,IF($C80="1/2L",0.5,0)),0)</f>
        <v>0</v>
      </c>
      <c r="CV80" s="209">
        <f>IF(CV$3=$K80,IF($C80="W",1,IF($C80="1/2W",0.5,0)),0)</f>
        <v>0</v>
      </c>
      <c r="CW80" s="209">
        <f>IF(CV$3=$K80,IF($C80="L",1,IF($C80="1/2L",0.5,0)),0)</f>
        <v>0</v>
      </c>
      <c r="CX80" s="209">
        <f>IF(CX$3=$K80,IF($C80="W",1,IF($C80="1/2W",0.5,0)),0)</f>
        <v>0</v>
      </c>
      <c r="CY80" s="209">
        <f>IF(CX$3=$K80,IF($C80="L",1,IF($C80="1/2L",0.5,0)),0)</f>
        <v>0</v>
      </c>
      <c r="CZ80" s="209">
        <f>IF(CZ$3=$K80,IF($C80="W",1,IF($C80="1/2W",0.5,0)),0)</f>
        <v>0</v>
      </c>
      <c r="DA80" s="209">
        <f>IF(CZ$3=$K80,IF($C80="L",1,IF($C80="1/2L",0.5,0)),0)</f>
        <v>0</v>
      </c>
      <c r="DB80" s="209">
        <f>IF(DB$3=$K80,IF($C80="W",1,IF($C80="1/2W",0.5,0)),0)</f>
        <v>0</v>
      </c>
      <c r="DC80" s="209">
        <f>IF(DB$3=$K80,IF($C80="L",1,IF($C80="1/2L",0.5,0)),0)</f>
        <v>0</v>
      </c>
      <c r="DD80" s="209">
        <f>IF(DD$3=$K80,IF($C80="W",1,IF($C80="1/2W",0.5,0)),0)</f>
        <v>0</v>
      </c>
      <c r="DE80" s="210">
        <f>IF(DD$3=$K80,IF($C80="L",1,IF($C80="1/2L",0.5,0)),0)</f>
        <v>0</v>
      </c>
      <c r="DF80" s="211">
        <f>IF(AND(L80&lt;DF$3,$C80="W"),1+DF79,DF79)</f>
        <v>5</v>
      </c>
      <c r="DG80" s="198">
        <f>IF(DF80&gt;DF79,L80+DG79,DG79)</f>
        <v>6.558</v>
      </c>
      <c r="DH80" s="209">
        <f>IF(AND(L80&gt;DH$3,$C80="W"),1+DH79,0+DH79)</f>
        <v>1</v>
      </c>
      <c r="DI80" s="198">
        <f>IF(DH80&gt;DH79,L80+DI79,DI79)</f>
        <v>4.33</v>
      </c>
      <c r="DJ80" t="s" s="306">
        <f>IF($D79="","",$D79)</f>
        <v>101</v>
      </c>
      <c r="DK80" s="232"/>
    </row>
    <row r="81" ht="14.55" customHeight="1">
      <c r="A81" s="149"/>
      <c r="B81" s="150"/>
      <c r="C81" t="s" s="233">
        <v>58</v>
      </c>
      <c r="D81" s="152"/>
      <c r="E81" s="153"/>
      <c r="F81" s="154"/>
      <c r="G81" s="234"/>
      <c r="H81" s="307"/>
      <c r="I81" s="235"/>
      <c r="J81" s="236"/>
      <c r="K81" s="237"/>
      <c r="L81" s="238"/>
      <c r="M81" s="239"/>
      <c r="N81" s="161"/>
      <c r="O81" t="s" s="240">
        <f>IF(OR(AE79="",AE80=""),"",IF(L81&gt;0,ROUND(IF(M81&gt;0,M81,IF(M79&gt;0,ROUND((M79*AE81)/AE79,IF(N79=0,2,IF(N79=0.1,1,0))),IF(M80&gt;0,ROUND((M80*AE81)/AE80,IF(N79=0,2,IF(N79=0.1,1,0))),IF(M81&gt;0,M81,0)))),2),""))</f>
      </c>
      <c r="P81" t="s" s="241">
        <f>IF(I80="Lay",O80*(L80/(L80-1))-O80,IF(I79="Lay",O79*(L79/(L79-1))-O79,IF(OR(L81="",O81=""),"",IF($C81="1/2W",O81/2+O81/2*L81,IF($C81="1/2L",O81/2,(O81*L81-O81)*(1-_xlfn.XLOOKUP(K81,'Janeiro 2023 - Valor Real'!A3:A15,'Janeiro 2023 - Valor Real'!C3:C15,0))+O81)))))</f>
      </c>
      <c r="Q81" t="s" s="242"/>
      <c r="R81" t="s" s="243"/>
      <c r="S81" s="166"/>
      <c r="T81" s="155"/>
      <c r="U81" s="155"/>
      <c r="V81" s="166"/>
      <c r="W81" s="155"/>
      <c r="X81" s="167"/>
      <c r="Y81" s="128"/>
      <c r="Z81" s="129"/>
      <c r="AA81" s="129"/>
      <c r="AB81" s="129"/>
      <c r="AC81" s="129"/>
      <c r="AD81" s="244">
        <f>((L80/(L80-1)-1))</f>
        <v>1</v>
      </c>
      <c r="AE81" t="s" s="245">
        <f>IF(L81="","",(SUM(((L79-1)*(1-_xlfn.XLOOKUP(K79,'Janeiro 2023 - Valor Real'!A3:A15,'Janeiro 2023 - Valor Real'!C3:C15,0))+1),((L80-1)*(1-_xlfn.XLOOKUP(K80,'Janeiro 2023 - Valor Real'!A3:A15,'Janeiro 2023 - Valor Real'!C3:C15,0))+1),((L81-1)*(1-_xlfn.XLOOKUP(K81,'Janeiro 2023 - Valor Real'!A3:A15,'Janeiro 2023 - Valor Real'!C3:C15,0))+1))/((L81-1)*(1-_xlfn.XLOOKUP(K81,'Janeiro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Real'!C3:C15,0))+1))/((L79-1)*(1-_xlfn.XLOOKUP(K79,'Janeiro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Real'!C3:C15,0))+1))/((L80-1)*(1-_xlfn.XLOOKUP(K80,'Janeiro 2023 - Valor Real'!A3:A15,'Janeiro 2023 - Valor Real'!C3:C15,0))+1)+SUM(((L79-1)*(1-_xlfn.XLOOKUP(K79,'Janeiro 2023 - Valor Real'!A3:A15,'Janeiro 2023 - Valor Real'!C3:C15,0))+1),((L80-1)*(1-_xlfn.XLOOKUP(K80,'Janeiro 2023 - Valor Real'!A3:A15,'Janeiro 2023 - Valor Real'!C3:C15,0))+1),((L81-1)*(1-_xlfn.XLOOKUP(K81,'Janeiro 2023 - Valor Real'!A3:A15,'Janeiro 2023 - Valor Real'!C3:C15,0))+1))/((L81-1)*(1-_xlfn.XLOOKUP(K81,'Janeiro 2023 - Valor Real'!A3:A15,'Janeiro 2023 - Valor Real'!C3:C15,0))+1)))</f>
      </c>
      <c r="AF81" s="197">
        <f>IF($K81=AF$3,ROUND(IF(OR($C81="W",$C81="1/2W",$C81="1/2L"),$P81-$O81,IF($C81="X",0,-$O81)),2),0)</f>
        <v>0</v>
      </c>
      <c r="AG81" s="198">
        <f>IF($K81=AG$3,ROUND(IF(OR($C81="W",$C81="1/2W",$C81="1/2L"),$P81-$O81,IF($C81="X",0,-$O81)),2),0)</f>
        <v>0</v>
      </c>
      <c r="AH81" s="198">
        <f>IF($K81=AH$3,ROUND(IF(OR($C81="W",$C81="1/2W",$C81="1/2L"),$P81-$O81,IF($C81="X",0,-$O81)),2),0)</f>
        <v>0</v>
      </c>
      <c r="AI81" s="198">
        <f>IF($K81=AI$3,ROUND(IF(OR($C81="W",$C81="1/2W",$C81="1/2L"),$P81-$O81,IF($C81="X",0,-$O81)),2),0)</f>
        <v>0</v>
      </c>
      <c r="AJ81" s="198">
        <f>IF($K81=AJ$3,ROUND(IF(OR($C81="W",$C81="1/2W",$C81="1/2L"),$P81-$O81,IF($C81="X",0,-$O81)),2),0)</f>
        <v>0</v>
      </c>
      <c r="AK81" s="198">
        <f>IF($K81=AK$3,ROUND(IF(OR($C81="W",$C81="1/2W",$C81="1/2L"),$P81-$O81,IF($C81="X",0,-$O81)),2),0)</f>
        <v>0</v>
      </c>
      <c r="AL81" s="198">
        <f>IF($K81=AL$3,ROUND(IF(OR($C81="W",$C81="1/2W",$C81="1/2L"),$P81-$O81,IF($C81="X",0,-$O81)),2),0)</f>
        <v>0</v>
      </c>
      <c r="AM81" s="198">
        <f>IF($K81=AM$3,ROUND(IF(OR($C81="W",$C81="1/2W",$C81="1/2L"),$P81-$O81,IF($C81="X",0,-$O81)),2),0)</f>
        <v>0</v>
      </c>
      <c r="AN81" s="198">
        <f>IF($K81=AN$3,ROUND(IF(OR($C81="W",$C81="1/2W",$C81="1/2L"),$P81-$O81,IF($C81="X",0,-$O81)),2),0)</f>
        <v>0</v>
      </c>
      <c r="AO81" s="198">
        <f>IF($K81=AO$3,ROUND(IF(OR($C81="W",$C81="1/2W",$C81="1/2L"),$P81-$O81,IF($C81="X",0,-$O81)),2),0)</f>
        <v>0</v>
      </c>
      <c r="AP81" s="198">
        <f>IF($K81=AP$3,ROUND(IF(OR($C81="W",$C81="1/2W",$C81="1/2L"),$P81-$O81,IF($C81="X",0,-$O81)),2),0)</f>
        <v>0</v>
      </c>
      <c r="AQ81" s="198">
        <f>IF($K81=AQ$3,ROUND(IF(OR($C81="W",$C81="1/2W",$C81="1/2L"),$P81-$O81,IF($C81="X",0,-$O81)),2),0)</f>
        <v>0</v>
      </c>
      <c r="AR81" s="199">
        <f>IF($K81=AR$3,ROUND(IF(OR($C81="W",$C81="1/2W",$C81="1/2L"),$P81-$O81,IF($C81="X",0,-$O81)),2),0)</f>
        <v>0</v>
      </c>
      <c r="AS81" s="197">
        <f>IF(AND($B79=" ",$K81=AS$3),$O81,0)</f>
        <v>0</v>
      </c>
      <c r="AT81" s="198">
        <f>IF(AND($B79=" ",K81=AT$3),$O81,0)</f>
        <v>0</v>
      </c>
      <c r="AU81" s="198">
        <f>IF(AND($B79=" ",$K81=AU$3),$O81,0)</f>
        <v>0</v>
      </c>
      <c r="AV81" s="198">
        <f>IF(AND($B79=" ",$K81=AV$3),$O81,0)</f>
        <v>0</v>
      </c>
      <c r="AW81" s="198">
        <f>IF(AND($B79=" ",$K81=AW$3),$O81,0)</f>
        <v>0</v>
      </c>
      <c r="AX81" s="198">
        <f>IF(AND($B79=" ",$K81=AX$3),$O81,0)</f>
        <v>0</v>
      </c>
      <c r="AY81" s="200">
        <f>IF(AND($B79=" ",$K81=AY$3),$O81,0)</f>
        <v>0</v>
      </c>
      <c r="AZ81" s="201">
        <f>IF(AND($B79=" ",$K81=AZ$3),$O81,0)</f>
        <v>0</v>
      </c>
      <c r="BA81" s="201">
        <f>IF(AND($B79=" ",$K81=BA$3),$O81,0)</f>
        <v>0</v>
      </c>
      <c r="BB81" s="201">
        <f>IF(AND($B79=" ",$K81=BB$3),$O81,0)</f>
        <v>0</v>
      </c>
      <c r="BC81" s="202">
        <f>IF(AND($B79=" ",$K81=BC$3),$O81,0)</f>
        <v>0</v>
      </c>
      <c r="BD81" s="198">
        <f>IF(AND($B79=" ",$K81=BD$3),$O81,0)</f>
        <v>0</v>
      </c>
      <c r="BE81" s="199">
        <f>IF(AND($B79=" ",$K81=BE$3),$O81,0)</f>
        <v>0</v>
      </c>
      <c r="BF81" s="197">
        <f>IF($K81=BF$3,IF($C81="X",0,$O81),0)</f>
        <v>0</v>
      </c>
      <c r="BG81" s="198">
        <f>IF($K81=BG$3,IF($C81="X",0,$O81),0)</f>
        <v>0</v>
      </c>
      <c r="BH81" s="198">
        <f>IF($K81=BH$3,IF($C81="X",0,$O81),0)</f>
        <v>0</v>
      </c>
      <c r="BI81" s="198">
        <f>IF($K81=BI$3,IF($C81="X",0,$O81),0)</f>
        <v>0</v>
      </c>
      <c r="BJ81" s="198">
        <f>IF($K81=BJ$3,IF($C81="X",0,$O81),0)</f>
        <v>0</v>
      </c>
      <c r="BK81" s="198">
        <f>IF($K81=BK$3,IF($C81="X",0,$O81),0)</f>
        <v>0</v>
      </c>
      <c r="BL81" s="198">
        <f>IF($K81=BL$3,IF($C81="X",0,$O81),0)</f>
        <v>0</v>
      </c>
      <c r="BM81" s="200">
        <f>IF($K81=BM$3,IF($C81="X",0,$O81),0)</f>
        <v>0</v>
      </c>
      <c r="BN81" s="201">
        <f>IF($K81=BN$3,IF($C81="X",0,$O81),0)</f>
        <v>0</v>
      </c>
      <c r="BO81" s="201">
        <f>IF($K81=BO$3,IF($C81="X",0,$O81),0)</f>
        <v>0</v>
      </c>
      <c r="BP81" s="201">
        <f>IF($K81=BP$3,IF($C81="X",0,$O81),0)</f>
        <v>0</v>
      </c>
      <c r="BQ81" s="202">
        <f>IF($K81=BQ$3,IF($C81="X",0,$O81),0)</f>
        <v>0</v>
      </c>
      <c r="BR81" s="199">
        <f>IF($K81=BR$3,IF($C81="X",0,$O81),0)</f>
        <v>0</v>
      </c>
      <c r="BS81" s="228"/>
      <c r="BT81" s="229"/>
      <c r="BU81" s="140"/>
      <c r="BV81" s="229"/>
      <c r="BW81" s="140"/>
      <c r="BX81" s="140"/>
      <c r="BY81" s="140"/>
      <c r="BZ81" s="229"/>
      <c r="CA81" s="140"/>
      <c r="CB81" s="140"/>
      <c r="CC81" s="140"/>
      <c r="CD81" s="141"/>
      <c r="CE81" s="142"/>
      <c r="CF81" s="230">
        <f>IF(CF$3=$K81,IF($C81="W",1,IF($C81="1/2W",0.5,0)),0)</f>
        <v>0</v>
      </c>
      <c r="CG81" s="231">
        <f>IF(CF$3=$K81,IF($C81="L",1,IF($C81="1/2L",0.5,0)),0)</f>
        <v>0</v>
      </c>
      <c r="CH81" s="231">
        <f>IF(CH$3=$K81,IF($C81="W",1,IF($C81="1/2W",0.5,0)),0)</f>
        <v>0</v>
      </c>
      <c r="CI81" s="231">
        <f>IF(CH$3=$K81,IF($C81="L",1,IF($C81="1/2L",0.5,0)),0)</f>
        <v>0</v>
      </c>
      <c r="CJ81" s="231">
        <f>IF(CJ$3=$K81,IF($C81="W",1,IF($C81="1/2W",0.5,0)),0)</f>
        <v>0</v>
      </c>
      <c r="CK81" s="231">
        <f>IF(CJ$3=$K81,IF($C81="L",1,IF($C81="1/2L",0.5,0)),0)</f>
        <v>0</v>
      </c>
      <c r="CL81" s="231">
        <f>IF(CL$3=$K81,IF($C81="W",1,IF($C81="1/2W",0.5,0)),0)</f>
        <v>0</v>
      </c>
      <c r="CM81" s="231">
        <f>IF(CL$3=$K81,IF($C81="L",1,IF($C81="1/2L",0.5,0)),0)</f>
        <v>0</v>
      </c>
      <c r="CN81" s="231">
        <f>IF(CN$3=$K81,IF($C81="W",1,IF($C81="1/2W",0.5,0)),0)</f>
        <v>0</v>
      </c>
      <c r="CO81" s="231">
        <f>IF(CN$3=$K81,IF($C81="L",1,IF($C81="1/2L",0.5,0)),0)</f>
        <v>0</v>
      </c>
      <c r="CP81" s="231">
        <f>IF(CP$3=$K81,IF($C81="W",1,IF($C81="1/2W",0.5,0)),0)</f>
        <v>0</v>
      </c>
      <c r="CQ81" s="231">
        <f>IF(CP$3=$K81,IF($C81="L",1,IF($C81="1/2L",0.5,0)),0)</f>
        <v>0</v>
      </c>
      <c r="CR81" s="231">
        <f>IF(CR$3=$K81,IF($C81="W",1,IF($C81="1/2W",0.5,0)),0)</f>
        <v>0</v>
      </c>
      <c r="CS81" s="231">
        <f>IF(CR$3=$K81,IF($C81="L",1,IF($C81="1/2L",0.5,0)),0)</f>
        <v>0</v>
      </c>
      <c r="CT81" s="208">
        <f>IF(CT$3=$K81,IF($C81="W",1,IF($C81="1/2W",0.5,0)),0)</f>
        <v>0</v>
      </c>
      <c r="CU81" s="209">
        <f>IF(CT$3=$K81,IF($C81="L",1,IF($C81="1/2L",0.5,0)),0)</f>
        <v>0</v>
      </c>
      <c r="CV81" s="209">
        <f>IF(CV$3=$K81,IF($C81="W",1,IF($C81="1/2W",0.5,0)),0)</f>
        <v>0</v>
      </c>
      <c r="CW81" s="209">
        <f>IF(CV$3=$K81,IF($C81="L",1,IF($C81="1/2L",0.5,0)),0)</f>
        <v>0</v>
      </c>
      <c r="CX81" s="209">
        <f>IF(CX$3=$K81,IF($C81="W",1,IF($C81="1/2W",0.5,0)),0)</f>
        <v>0</v>
      </c>
      <c r="CY81" s="209">
        <f>IF(CX$3=$K81,IF($C81="L",1,IF($C81="1/2L",0.5,0)),0)</f>
        <v>0</v>
      </c>
      <c r="CZ81" s="209">
        <f>IF(CZ$3=$K81,IF($C81="W",1,IF($C81="1/2W",0.5,0)),0)</f>
        <v>0</v>
      </c>
      <c r="DA81" s="209">
        <f>IF(CZ$3=$K81,IF($C81="L",1,IF($C81="1/2L",0.5,0)),0)</f>
        <v>0</v>
      </c>
      <c r="DB81" s="209">
        <f>IF(DB$3=$K81,IF($C81="W",1,IF($C81="1/2W",0.5,0)),0)</f>
        <v>0</v>
      </c>
      <c r="DC81" s="209">
        <f>IF(DB$3=$K81,IF($C81="L",1,IF($C81="1/2L",0.5,0)),0)</f>
        <v>0</v>
      </c>
      <c r="DD81" s="209">
        <f>IF(DD$3=$K81,IF($C81="W",1,IF($C81="1/2W",0.5,0)),0)</f>
        <v>0</v>
      </c>
      <c r="DE81" s="210">
        <f>IF(DD$3=$K81,IF($C81="L",1,IF($C81="1/2L",0.5,0)),0)</f>
        <v>0</v>
      </c>
      <c r="DF81" s="211">
        <f>IF(AND(L81&lt;DF$3,$C81="W"),1+DF80,DF80)</f>
        <v>5</v>
      </c>
      <c r="DG81" s="198">
        <f>IF(DF81&gt;DF80,L81+DG80,DG80)</f>
        <v>6.558</v>
      </c>
      <c r="DH81" s="209">
        <f>IF(AND(L81&gt;DH$3,$C81="W"),1+DH80,0+DH80)</f>
        <v>1</v>
      </c>
      <c r="DI81" s="198">
        <f>IF(DH81&gt;DH80,L81+DI80,DI80)</f>
        <v>4.33</v>
      </c>
      <c r="DJ81" t="s" s="306">
        <f>IF($D79="","",$D79)</f>
        <v>101</v>
      </c>
      <c r="DK81" s="232"/>
    </row>
    <row r="82" ht="14.55" customHeight="1">
      <c r="A82" s="246">
        <f>$A79+1</f>
        <v>27</v>
      </c>
      <c r="B82" t="s" s="247">
        <f>IF(AND(_xlfn.XLOOKUP(H82,H$4:H81,G$4:G81,0)=G82,_xlfn.XLOOKUP("TempoBet",K82:K84,L82:L84,0)&gt;0),"X",IF(OR(C82="W",C83="W",C84="W",C82="1/2W",C83="1/2W",C84="1/2W",C82="1/2L",C83="1/2L",C84="1/2L"),"OK",IF(OR(C82="L",C83="L",C84="L"),"LOSS",IF(OR(C82="X",C83="X",C84="X"),"Anulado"," "))))</f>
        <v>50</v>
      </c>
      <c r="C82" t="s" s="248">
        <v>51</v>
      </c>
      <c r="D82" t="s" s="303">
        <f>IF(G82="","",$D79)</f>
        <v>101</v>
      </c>
      <c r="E82" t="s" s="250">
        <f>IF(G82=""," ","– "&amp;COUNTIF(D$4:D84,$D82))</f>
        <v>127</v>
      </c>
      <c r="F82" t="s" s="251">
        <f>IF(G82="","",IF(OR(AND($C82&lt;&gt;" ",$C83=" "),AND($C83&lt;&gt;" ",$C82=" "),AND(L84&gt;0,OR(AND($C84&lt;&gt;" ",OR($C82=" ",$C83=" ")),AND($C84=" ",OR($C82&lt;&gt;" ",$C83&lt;&gt;" "))))),IF(SUM(F$4:F81)=0,1,LARGE(F$4:F81,1)+1),IF(MONTH(G82)=MONTH(TODAY()),IF(AND(DAY(G82)&lt;DAY(TODAY()),$B82=" "),IF(SUM(F$4:F81)=0,1,LARGE(F$4:F81,1)+1),IF($B82=" ",IF(AND(DAY(G82)=DAY(TODAY()),HOUR(G82)&lt;=HOUR(NOW())+1),IF(AND(HOUR(G82)+2&lt;=HOUR(NOW()),DAY(G82)&lt;=DAY(TODAY()),MINUTE(G82)&lt;=MINUTE(NOW())),IF(SUM(F$4:F81)=0,1,LARGE(F$4:F81,1)+1),IF(OR(MINUTE(G82)&lt;=MINUTE(NOW()),HOUR(G82)&lt;=HOUR(NOW())),"!!!","")),""),"")),"")))</f>
      </c>
      <c r="G82" s="252">
        <v>44945.416666666664</v>
      </c>
      <c r="H82" t="s" s="308">
        <v>128</v>
      </c>
      <c r="I82" t="s" s="254">
        <v>62</v>
      </c>
      <c r="J82" s="293"/>
      <c r="K82" t="s" s="256">
        <v>37</v>
      </c>
      <c r="L82" s="257">
        <v>3.75</v>
      </c>
      <c r="M82" s="258">
        <v>12.5</v>
      </c>
      <c r="N82" s="259">
        <v>0</v>
      </c>
      <c r="O82" s="260">
        <f>IF(OR(AE82="",AE83=""),"",ROUND(IF(L84&gt;0,IF(M82&gt;0,M82,IF(M83&gt;0,ROUND((M83*AE82)/AE83,IF(N82=0,2,IF(N82=0.1,1,0))),ROUND((M84*AE82)/AE84,IF(N82=0,2,IF(N82=0.1,1,0))))),IF(M82&gt;0,M82,ROUND((M83*AE82)/AE83,IF(N82=0,2,IF(N82=0.1,1,0))))),2))</f>
        <v>12.5</v>
      </c>
      <c r="P82" s="261">
        <f>IF(OR(L82="",O82=""),"",IF($C82="1/2W",O82/2+O82/2*L82,IF($C82="1/2L",O82/2,IF(I82="Lay",(O82*(L82/(L82-1))-O82)*(1-_xlfn.XLOOKUP(K82,'Janeiro 2023 - Valor Real'!A3:A15,'Janeiro 2023 - Valor Real'!C3:C15,0))+O82,(O82*L82-O82)*(1-_xlfn.XLOOKUP(K82,'Janeiro 2023 - Valor Real'!A3:A15,'Janeiro 2023 - Valor Real'!C3:C15,0))+O82))))</f>
        <v>46.875</v>
      </c>
      <c r="Q82" s="262">
        <f>IF(K82="","",IF(_xlfn.XLOOKUP(K82,K$4:K81,DJ$4:DJ81,0,,-1)=DJ82,_xlfn.XLOOKUP(K82,K$4:K81,Q$4:Q81,1,,-1)+1,1))</f>
        <v>4</v>
      </c>
      <c r="R82" s="263">
        <f>IF(K82="","",_xlfn.XLOOKUP(K82,K$4:K81,R$4:R81,0,,-1)+IF($C82=" ",1,0))</f>
        <v>0</v>
      </c>
      <c r="S82" s="264">
        <f>IF($B82="Anulado",0,ROUND(IF(OR($B82="LOSS",$B82="OK"),IF(OR($C82="W",$C82="1/2W",$C82="1/2L"),P82-O82,IF($C82="L",-O82,0))+IF(OR($C83="W",$C83="1/2W",$C83="1/2L"),P83-O83,IF($C83="L",-O83,0))+IF(OR($C84="W",$C84="1/2W",$C84="1/2L"),P84-O84,IF($C84="L",-O84,0)),IF(AND(OR($C82="W",$C82="1/2W",$C82="1/2L"),C83="W"),P82+P83-SUM(O82:O84)+_xlfn.XLOOKUP("X",C82:C84,O82:O84,0),IF(AND(C82=TRUE,C84="W"),P82+P84-SUM(O82:O84),IF(AND(C83="W",C84="W"),P83+P84-SUM(O82:O84)+_xlfn.XLOOKUP("X",C82:C84,O82:O84,0),IF(L84&gt;0,IF(OR($C82="W",$C82="1/2W",$C82="1/2L"),P82-SUM(O82:O84)+_xlfn.XLOOKUP("X",C82:C84,O82:O84,0),IF(OR($C82="W",$C82="1/2W",$C82="1/2L"),P83-SUM(O82:O84)+_xlfn.XLOOKUP("X",C82:C84,O82:O84,0),IF(OR($C82="W",$C82="1/2W",$C82="1/2L"),P84-SUM(O82:O84)+_xlfn.XLOOKUP("X",C82:C84,O82:O84,0),IF(SUM(P82:P84)/3-SUM(O82:O84)+_xlfn.XLOOKUP("X",C82:C84,O82:O84,0)&gt;0,SUM(P82:P84)/3-SUM(O82:O84)+_xlfn.XLOOKUP("X",C82:C84,O82:O84,0),LARGE(P82:P84,1)-SUM(O82:O84))))),IF(OR($C82="W",$C82="1/2W",$C82="1/2L"),P82-SUM(O82:O83)+_xlfn.XLOOKUP("X",C82:C84,O82:O84,0),IF(OR($C82="W",$C82="1/2W",$C82="1/2L"),P83-SUM(O82:O83)+_xlfn.XLOOKUP("X",C82:C84,O82:O84,0),SUM(P82:P83)/2-SUM(O82:O83)+_xlfn.XLOOKUP("X",C82:C84,O82:O84,0)))))))),2))</f>
        <v>1.84</v>
      </c>
      <c r="T82" s="265">
        <f>IF(S82=0,0,S82/SUM(O82:O84))</f>
        <v>0.0407982261640798</v>
      </c>
      <c r="U82" s="266">
        <f>IF($D82=$D79,IF(OR($B82="LOSS",$B82="OK",$B82="Anulada"),S82,0)+U79,IF(OR($B82="LOSS",$B82="OK",$B82="Anulada"),S82,0))</f>
        <v>15.77</v>
      </c>
      <c r="V82" s="266">
        <f>IF($D82="",0,IF($D82=$D79,IF($B82=" ",IF(I84="",IF(OR(AND(I82="DNB1",I83="DNB2"),AND(OR(I82="DNB1",I82="DNB2"),J83=0),AND(OR(I83="DNB1",I83="DNB2"),J82=0),AND(I82="DNB2",I83="DNB1"),AND(IF(J82=0,(J82+1)/ROUND(J82+1,0),J82/ROUND(J82,0))=1,IF(J83=0,(J83+1)/ROUND(IF(J83="",0,J83)+1,0),IF(J83="",0,J83)/ROUND(IF(J83="",1,J83),0))=1,OR(J82&lt;&gt;""),J83&lt;&gt;"")),0,IF(S82&lt;0,IF(I84="",SMALL(P82:P83,1)-SUM(O82:O83),0),SMALL(P82:P83,1)-SUM(O82:O83))),IF(S82&lt;0,IF(I84="",SMALL(P82:P84,1)-SUM(O82:O84),0),LARGE(P82:P84,1)-SUM(O82:O84))),S82)+V79,IF(I84="",IF(OR(AND(I82="DNB1",I83="DNB2"),AND(OR(I82="DNB1",I82="DNB2"),J83=0),AND(OR(I83="DNB1",I83="DNB2"),J82=0),AND(I82="DNB2",I83="DNB1"),AND(IF(J82=0,(J82+1)/ROUND(J82+1,0),J82/ROUND(J82,0))=1,IF(J83=0,(IF(J83="",0,J83)+1)/ROUND(IF(J83="",0,J83)+1,0),IF(J83="",0,J83)/ROUND(IF(J83="",0,J83)+1,0))=1,OR(J82&lt;&gt;""),J83&lt;&gt;"")),0,IF(S82&lt;0,IF(I84="",SMALL(P82:P83,1)-SUM(O82:O83),0),SMALL(P82:P84,1)-SUM(O82:O84))),IF(S82&lt;0,IF(I84="",SMALL(P82:P84,1)-SUM(O82:O84),0),LARGE(P82:P84,1)-SUM(O82:O84)))))</f>
        <v>15.772</v>
      </c>
      <c r="W82" s="266">
        <f>IF($D82=$D79,IF(S82&lt;0,IF(I84="",S82,0),S82)+W79,S82)</f>
        <v>15.77</v>
      </c>
      <c r="X82" t="s" s="267">
        <f>IF(OR(SUM(R82:R84)=0,V82=W82),ROUND(IF(W82=0,0,W82/Y82)*100,2)&amp;"%",ROUND(IF(V82=0,0,V82/Y82)*100,2)&amp;"% a "&amp;ROUND(IF(W82=0,0,W82/Y82)*100,2)&amp;"%")</f>
        <v>129</v>
      </c>
      <c r="Y82" s="268">
        <f>IF($D82=$D79,Y79+SUM(O82:O84),SUM(O82:O84))</f>
        <v>447.39</v>
      </c>
      <c r="Z82" s="266">
        <f>IF($B82=" ",SUM(O82:O84),0)+Z79</f>
        <v>0</v>
      </c>
      <c r="AA82" s="266">
        <f>IF(G82="","",IF($B82="Anulado",LARGE(P82:P84,1)-SUM(O82:O84)+AA79,AA79))</f>
        <v>6.064</v>
      </c>
      <c r="AB82" s="266">
        <f>IF($D82="","",AB79+S82)</f>
        <v>93.87</v>
      </c>
      <c r="AC82" s="269">
        <f>IF($D82="","",IF($B82=" ",IF(DAY(G82)=DAY(TODAY()),1+AC79,0+AC79),0+AC79))</f>
        <v>0</v>
      </c>
      <c r="AD82" s="270">
        <f>(1-_xlfn.XLOOKUP(K80,'Janeiro 2023 - Valor Real'!A3:A15,'Janeiro 2023 - Valor Real'!C3:C15,0))+1</f>
        <v>2</v>
      </c>
      <c r="AE82" s="271">
        <f>IF(L82="","",IF(L84&gt;0,(SUM(((L82-1)*(1-_xlfn.XLOOKUP(K82,'Janeiro 2023 - Valor Real'!A3:A15,'Janeiro 2023 - Valor Real'!C3:C15,0))+1),((L83-1)*(1-_xlfn.XLOOKUP(K83,'Janeiro 2023 - Valor Real'!A3:A15,'Janeiro 2023 - Valor Real'!C3:C15,0))+1),((L84-1)*(1-_xlfn.XLOOKUP(K84,'Janeiro 2023 - Valor Real'!A3:A15,'Janeiro 2023 - Valor Real'!C3:C15,0))+1))/((L82-1)*(1-_xlfn.XLOOKUP(K82,'Janeiro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Real'!C3:C15,0))+1))/((L82-1)*(1-_xlfn.XLOOKUP(K82,'Janeiro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Real'!C3:C15,0))+1))/((L83-1)*(1-_xlfn.XLOOKUP(K83,'Janeiro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Real'!C3:C15,0))+1))/((L84-1)*(1-_xlfn.XLOOKUP(K84,'Janeiro 2023 - Valor Real'!A3:A15,'Janeiro 2023 - Valor Real'!C3:C15,0))+1)),IF(I82="Lay",IF(I83="Lay",((L83/(L83-1)-1)*(1-_xlfn.XLOOKUP(K83,'Janeiro 2023 - Valor Real'!A3:A15,'Janeiro 2023 - Valor Real'!C3:C15,0))+1)/(((L83/(L83-1)-1)*(1-_xlfn.XLOOKUP(K83,'Janeiro 2023 - Valor Real'!A3:A15,'Janeiro 2023 - Valor Real'!C3:C15,0))+1)+((L82/(L82-1)-1)*(1-_xlfn.XLOOKUP(K82,'Janeiro 2023 - Valor Real'!A3:A15,'Janeiro 2023 - Valor Real'!C3:C15,0))+1)),((L83-1)*(1-_xlfn.XLOOKUP(K83,'Janeiro 2023 - Valor Real'!A3:A15,'Janeiro 2023 - Valor Real'!C3:C15,0))+1)/(((L83-1)*(1-_xlfn.XLOOKUP(K83,'Janeiro 2023 - Valor Real'!A3:A15,'Janeiro 2023 - Valor Real'!C3:C15,0))+1)+((L82/(L82-1)-1)*(1-_xlfn.XLOOKUP(K82,'Janeiro 2023 - Valor Real'!A3:A15,'Janeiro 2023 - Valor Real'!C3:C15,0))+1))),IF(I83="Lay",(((L83/(L83-1)-1)*(1-_xlfn.XLOOKUP(K83,'Janeiro 2023 - Valor Real'!A3:A15,'Janeiro 2023 - Valor Real'!C3:C15,0))+1))/(((L82-1)*(1-_xlfn.XLOOKUP(K82,'Janeiro 2023 - Valor Real'!A3:A15,'Janeiro 2023 - Valor Real'!C3:C15,0))+1)+((L83/(L83-1)-1)*(1-_xlfn.XLOOKUP(K83,'Janeiro 2023 - Valor Real'!A3:A15,'Janeiro 2023 - Valor Real'!C3:C15,0))+1)),((L83-1)*(1-_xlfn.XLOOKUP(K83,'Janeiro 2023 - Valor Real'!A3:A15,'Janeiro 2023 - Valor Real'!C3:C15,0))+1)/(((L83-1)*(1-_xlfn.XLOOKUP(K83,'Janeiro 2023 - Valor Real'!A3:A15,'Janeiro 2023 - Valor Real'!C3:C15,0))+1)+((L82-1)*(1-_xlfn.XLOOKUP(K82,'Janeiro 2023 - Valor Real'!A3:A15,'Janeiro 2023 - Valor Real'!C3:C15,0))+1))))))</f>
        <v>0.277456647398844</v>
      </c>
      <c r="AF82" s="132">
        <f>IF($K82=AF$3,ROUND(IF(OR($C82="W",$C82="1/2W",$C82="1/2L"),$P82-$O82,IF($C82="X",0,-$O82)),2),0)</f>
        <v>-12.5</v>
      </c>
      <c r="AG82" s="133">
        <f>IF($K82=AG$3,ROUND(IF(OR($C82="W",$C82="1/2W",$C82="1/2L"),$P82-$O82,IF($C82="X",0,-$O82)),2),0)</f>
        <v>0</v>
      </c>
      <c r="AH82" s="133">
        <f>IF($K82=AH$3,ROUND(IF(OR($C82="W",$C82="1/2W",$C82="1/2L"),$P82-$O82,IF($C82="X",0,-$O82)),2),0)</f>
        <v>0</v>
      </c>
      <c r="AI82" s="133">
        <f>IF($K82=AI$3,ROUND(IF(OR($C82="W",$C82="1/2W",$C82="1/2L"),$P82-$O82,IF($C82="X",0,-$O82)),2),0)</f>
        <v>0</v>
      </c>
      <c r="AJ82" s="133">
        <f>IF($K82=AJ$3,ROUND(IF(OR($C82="W",$C82="1/2W",$C82="1/2L"),$P82-$O82,IF($C82="X",0,-$O82)),2),0)</f>
        <v>0</v>
      </c>
      <c r="AK82" s="133">
        <f>IF($K82=AK$3,ROUND(IF(OR($C82="W",$C82="1/2W",$C82="1/2L"),$P82-$O82,IF($C82="X",0,-$O82)),2),0)</f>
        <v>0</v>
      </c>
      <c r="AL82" s="133">
        <f>IF($K82=AL$3,ROUND(IF(OR($C82="W",$C82="1/2W",$C82="1/2L"),$P82-$O82,IF($C82="X",0,-$O82)),2),0)</f>
        <v>0</v>
      </c>
      <c r="AM82" s="133">
        <f>IF($K82=AM$3,ROUND(IF(OR($C82="W",$C82="1/2W",$C82="1/2L"),$P82-$O82,IF($C82="X",0,-$O82)),2),0)</f>
        <v>0</v>
      </c>
      <c r="AN82" s="133">
        <f>IF($K82=AN$3,ROUND(IF(OR($C82="W",$C82="1/2W",$C82="1/2L"),$P82-$O82,IF($C82="X",0,-$O82)),2),0)</f>
        <v>0</v>
      </c>
      <c r="AO82" s="133">
        <f>IF($K82=AO$3,ROUND(IF(OR($C82="W",$C82="1/2W",$C82="1/2L"),$P82-$O82,IF($C82="X",0,-$O82)),2),0)</f>
        <v>0</v>
      </c>
      <c r="AP82" s="133">
        <f>IF($K82=AP$3,ROUND(IF(OR($C82="W",$C82="1/2W",$C82="1/2L"),$P82-$O82,IF($C82="X",0,-$O82)),2),0)</f>
        <v>0</v>
      </c>
      <c r="AQ82" s="133">
        <f>IF($K82=AQ$3,ROUND(IF(OR($C82="W",$C82="1/2W",$C82="1/2L"),$P82-$O82,IF($C82="X",0,-$O82)),2),0)</f>
        <v>0</v>
      </c>
      <c r="AR82" s="134">
        <f>IF($K82=AR$3,ROUND(IF(OR($C82="W",$C82="1/2W",$C82="1/2L"),$P82-$O82,IF($C82="X",0,-$O82)),2),0)</f>
        <v>0</v>
      </c>
      <c r="AS82" s="132">
        <f>IF(AND($B82=" ",$K82=AS$3),$O82,0)</f>
        <v>0</v>
      </c>
      <c r="AT82" s="133">
        <f>IF(AND($B82=" ",$K82=AT$3),$O82,0)</f>
        <v>0</v>
      </c>
      <c r="AU82" s="133">
        <f>IF(AND($B82=" ",$K82=AU$3),$O82,0)</f>
        <v>0</v>
      </c>
      <c r="AV82" s="133">
        <f>IF(AND($B82=" ",$K82=AV$3),$O82,0)</f>
        <v>0</v>
      </c>
      <c r="AW82" s="133">
        <f>IF(AND($B82=" ",$K82=AW$3),$O82,0)</f>
        <v>0</v>
      </c>
      <c r="AX82" s="133">
        <f>IF(AND($B82=" ",$K82=AX$3),$O82,0)</f>
        <v>0</v>
      </c>
      <c r="AY82" s="135">
        <f>IF(AND($B82=" ",$K82=AY$3),$O82,0)</f>
        <v>0</v>
      </c>
      <c r="AZ82" s="136">
        <f>IF(AND($B82=" ",$K82=AZ$3),$O82,0)</f>
        <v>0</v>
      </c>
      <c r="BA82" s="136">
        <f>IF(AND($B82=" ",$K82=BA$3),$O82,0)</f>
        <v>0</v>
      </c>
      <c r="BB82" s="136">
        <f>IF(AND($B82=" ",$K82=BB$3),$O82,0)</f>
        <v>0</v>
      </c>
      <c r="BC82" s="137">
        <f>IF(AND($B82=" ",$K82=BC$3),$O82,0)</f>
        <v>0</v>
      </c>
      <c r="BD82" s="133">
        <f>IF(AND($B82=" ",$K82=BD$3),$O82,0)</f>
        <v>0</v>
      </c>
      <c r="BE82" s="134">
        <f>IF(AND($B82=" ",$K82=BE$3),$O82,0)</f>
        <v>0</v>
      </c>
      <c r="BF82" s="132">
        <f>IF($K82=BF$3,IF($C82="X",0,$O82),0)</f>
        <v>12.5</v>
      </c>
      <c r="BG82" s="133">
        <f>IF($K82=BG$3,IF($C82="X",0,$O82),0)</f>
        <v>0</v>
      </c>
      <c r="BH82" s="133">
        <f>IF($K82=BH$3,IF($C82="X",0,$O82),0)</f>
        <v>0</v>
      </c>
      <c r="BI82" s="133">
        <f>IF($K82=BI$3,IF($C82="X",0,$O82),0)</f>
        <v>0</v>
      </c>
      <c r="BJ82" s="133">
        <f>IF($K82=BJ$3,IF($C82="X",0,$O82),0)</f>
        <v>0</v>
      </c>
      <c r="BK82" s="133">
        <f>IF($K82=BK$3,IF($C82="X",0,$O82),0)</f>
        <v>0</v>
      </c>
      <c r="BL82" s="133">
        <f>IF($K82=BL$3,IF($C82="X",0,$O82),0)</f>
        <v>0</v>
      </c>
      <c r="BM82" s="135">
        <f>IF($K82=BM$3,IF($C82="X",0,$O82),0)</f>
        <v>0</v>
      </c>
      <c r="BN82" s="136">
        <f>IF($K82=BN$3,IF($C82="X",0,$O82),0)</f>
        <v>0</v>
      </c>
      <c r="BO82" s="136">
        <f>IF($K82=BO$3,IF($C82="X",0,$O82),0)</f>
        <v>0</v>
      </c>
      <c r="BP82" s="136">
        <f>IF($K82=BP$3,IF($C82="X",0,$O82),0)</f>
        <v>0</v>
      </c>
      <c r="BQ82" s="137">
        <f>IF($K82=BQ$3,IF($C82="X",0,$O82),0)</f>
        <v>0</v>
      </c>
      <c r="BR82" s="134">
        <f>IF($K82=BR$3,IF($C82="X",0,$O82),0)</f>
        <v>0</v>
      </c>
      <c r="BS82" s="170">
        <f>IF($B82="LOSS",IF(AND($K82=BS$3,$C82="L"),-$O82,0)+IF(AND($K83=BS$3,$C83="L"),-$O83,0)+IF(AND($K84=BS$3,$C84="L"),-$O84,0),IF(OR(AND($K82=BS$3,OR($C82="W",$C82="1/2W")),AND($K83=BS$3,OR($C83="W",$C83="1/2W")),AND($K84=BS$3,OR($C84="W",$C84="1/2W"))),$S82,0))</f>
        <v>0</v>
      </c>
      <c r="BT82" s="272">
        <f>IF($B82="LOSS",IF(AND($K82=BT$3,$C82="L"),-$O82,0)+IF(AND($K83=BT$3,$C83="L"),-$O83,0)+IF(AND($K83=BT$3,$C84="L"),-$O84,0),IF(OR(AND($K83=BT$3,OR($C82="W",$C82="1/2W")),AND($K83=BT$3,OR($C83="W",$C83="1/2W")),AND($K83=BT$3,OR($C84="W",$C84="1/2W"))),$S82,0))</f>
        <v>1.84</v>
      </c>
      <c r="BU82" s="136">
        <f>IF($B82="LOSS",IF(AND($K82=BU$3,$C82="L"),-$O82,0)+IF(AND($K83=BU$3,$C83="L"),-$O83,0)+IF(AND($K83=BU$3,$C84="L"),-$O84,0),IF(OR(AND($K83=BU$3,OR($C82="W",$C82="1/2W")),AND($K83=BU$3,OR($C83="W",$C83="1/2W")),AND($K83=BU$3,OR($C84="W",$C84="1/2W"))),$S82,0))</f>
        <v>0</v>
      </c>
      <c r="BV82" s="136">
        <f>IF($B82="LOSS",IF(AND($K82=BV$3,$C82="L"),-$O82,0)+IF(AND($K83=BV$3,$C83="L"),-$O83,0)+IF(AND($K84=BV$3,$C84="L"),-$O84,0),IF(OR(AND($K82=BV$3,OR($C82="W",$C82="1/2W")),AND($K83=BV$3,OR($C83="W",$C83="1/2W")),AND($K84=BV$3,OR($C84="W",$C84="1/2W"))),$S82,0))</f>
        <v>0</v>
      </c>
      <c r="BW82" s="136">
        <f>IF($B82="LOSS",IF(AND($K82=BW$3,$C82="L"),-$O82,0)+IF(AND($K83=BW$3,$C83="L"),-$O83,0)+IF(AND($K84=BW$3,$C84="L"),-$O84,0),IF(OR(AND($K82=BW$3,OR($C82="W",$C82="1/2W")),AND($K83=BW$3,OR($C83="W",$C83="1/2W")),AND($K84=BW$3,OR($C84="W",$C84="1/2W"))),$S82,0))</f>
        <v>0</v>
      </c>
      <c r="BX82" s="136">
        <f>IF($B82="LOSS",IF(AND($K82=BX$3,$C82="L"),-$O82,0)+IF(AND($K83=BX$3,$C83="L"),-$O83,0)+IF(AND($K84=BX$3,$C84="L"),-$O84,0),IF(OR(AND($K82=BX$3,OR($C82="W",$C82="1/2W")),AND($K83=BX$3,OR($C83="W",$C83="1/2W")),AND($K84=BX$3,OR($C84="W",$C84="1/2W"))),$S82,0))</f>
        <v>0</v>
      </c>
      <c r="BY82" s="136">
        <f>IF($B82="LOSS",IF(AND($K82=BY$3,$C82="L"),-$O82,0)+IF(AND($K83=BY$3,$C83="L"),-$O83,0)+IF(AND($K84=BY$3,$C84="L"),-$O84,0),IF(OR(AND($K82=BY$3,OR($C82="W",$C82="1/2W")),AND($K83=BY$3,OR($C83="W",$C83="1/2W")),AND($K84=BY$3,OR($C84="W",$C84="1/2W"))),$S82,0))</f>
        <v>0</v>
      </c>
      <c r="BZ82" s="136">
        <f>IF($B82="LOSS",IF(AND($K82=BZ$3,$C82="L"),-$O82,0)+IF(AND($K83=BZ$3,$C83="L"),-$O83,0)+IF(AND($K84=BZ$3,$C84="L"),-$O84,0),IF(OR(AND($K82=BZ$3,OR($C82="W",$C82="1/2W")),AND($K83=BZ$3,OR($C83="W",$C83="1/2W")),AND($K84=BZ$3,OR($C84="W",$C84="1/2W"))),$S82,0))</f>
        <v>0</v>
      </c>
      <c r="CA82" s="136">
        <f>IF($B82="LOSS",IF(AND($K82=CA$3,$C82="L"),-$O82,0)+IF(AND($K83=CA$3,$C83="L"),-$O83,0)+IF(AND($K84=CA$3,$C84="L"),-$O84,0),IF(OR(AND($K82=CA$3,OR($C82="W",$C82="1/2W")),AND($K83=CA$3,OR($C83="W",$C83="1/2W")),AND($K84=CA$3,OR($C84="W",$C84="1/2W"))),$S82,0))</f>
        <v>0</v>
      </c>
      <c r="CB82" s="136">
        <f>IF($B82="LOSS",IF(AND($K82=CB$3,$C82="L"),-$O82,0)+IF(AND($K83=CB$3,$C83="L"),-$O83,0)+IF(AND($K84=CB$3,$C84="L"),-$O84,0),IF(OR(AND($K82=CB$3,OR($C82="W",$C82="1/2W")),AND($K83=CB$3,OR($C83="W",$C83="1/2W")),AND($K84=CB$3,OR($C84="W",$C84="1/2W"))),$S82,0))</f>
        <v>0</v>
      </c>
      <c r="CC82" s="136">
        <f>IF($B82="LOSS",IF(AND($K82=CC$3,$C82="L"),-$O82,0)+IF(AND($K83=CC$3,$C83="L"),-$O83,0)+IF(AND($K84=CC$3,$C84="L"),-$O84,0),IF(OR(AND($K82=CC$3,OR($C82="W",$C82="1/2W")),AND($K83=CC$3,OR($C83="W",$C83="1/2W")),AND($K84=CC$3,OR($C84="W",$C84="1/2W"))),$S82,0))</f>
        <v>0</v>
      </c>
      <c r="CD82" s="137">
        <f>IF($B82="LOSS",IF(AND($K82=CD$3,$C82="L"),-$O82,0)+IF(AND($K83=CD$3,$C83="L"),-$O83,0)+IF(AND($K84=CD$3,$C84="L"),-$O84,0),IF(OR(AND($K82=CD$3,OR($C82="W",$C82="1/2W")),AND($K83=CD$3,OR($C83="W",$C83="1/2W")),AND($K84=CD$3,OR($C84="W",$C84="1/2W"))),$S82,0))</f>
        <v>0</v>
      </c>
      <c r="CE82" s="134">
        <f>IF($B82="LOSS",IF(AND($K82=CE$3,$C82="L"),-$O82,0)+IF(AND($K83=CE$3,$C83="L"),-$O83,0)+IF(AND($K84=CE$3,$C84="L"),-$O84,0),IF(OR(AND($K82=CE$3,OR($C82="W",$C82="1/2W")),AND($K83=CE$3,OR($C83="W",$C83="1/2W")),AND($K84=CE$3,OR($C84="W",$C84="1/2W"))),$S82,0))</f>
        <v>0</v>
      </c>
      <c r="CF82" s="273">
        <f>IF(CF$3=$K82,IF($C82="W",1,IF($C82="1/2W",0.5,0)),0)</f>
        <v>0</v>
      </c>
      <c r="CG82" s="274">
        <f>IF(CF$3=$K82,IF($C82="L",1,IF($C82="1/2L",0.5,0)),0)</f>
        <v>1</v>
      </c>
      <c r="CH82" s="274">
        <f>IF(CH$3=$K82,IF($C82="W",1,IF($C82="1/2W",0.5,0)),0)</f>
        <v>0</v>
      </c>
      <c r="CI82" s="274">
        <f>IF(CH$3=$K82,IF($C82="L",1,IF($C82="1/2L",0.5,0)),0)</f>
        <v>0</v>
      </c>
      <c r="CJ82" s="274">
        <f>IF(CJ$3=$K82,IF($C82="W",1,IF($C82="1/2W",0.5,0)),0)</f>
        <v>0</v>
      </c>
      <c r="CK82" s="274">
        <f>IF(CJ$3=$K82,IF($C82="L",1,IF($C82="1/2L",0.5,0)),0)</f>
        <v>0</v>
      </c>
      <c r="CL82" s="274">
        <f>IF(CL$3=$K82,IF($C82="W",1,IF($C82="1/2W",0.5,0)),0)</f>
        <v>0</v>
      </c>
      <c r="CM82" s="274">
        <f>IF(CL$3=$K82,IF($C82="L",1,IF($C82="1/2L",0.5,0)),0)</f>
        <v>0</v>
      </c>
      <c r="CN82" s="274">
        <f>IF(CN$3=$K82,IF($C82="W",1,IF($C82="1/2W",0.5,0)),0)</f>
        <v>0</v>
      </c>
      <c r="CO82" s="274">
        <f>IF(CN$3=$K82,IF($C82="L",1,IF($C82="1/2L",0.5,0)),0)</f>
        <v>0</v>
      </c>
      <c r="CP82" s="274">
        <f>IF(CP$3=$K82,IF($C82="W",1,IF($C82="1/2W",0.5,0)),0)</f>
        <v>0</v>
      </c>
      <c r="CQ82" s="274">
        <f>IF(CP$3=$K82,IF($C82="L",1,IF($C82="1/2L",0.5,0)),0)</f>
        <v>0</v>
      </c>
      <c r="CR82" s="274">
        <f>IF(CR$3=$K82,IF($C82="W",1,IF($C82="1/2W",0.5,0)),0)</f>
        <v>0</v>
      </c>
      <c r="CS82" s="274">
        <f>IF(CR$3=$K82,IF($C82="L",1,IF($C82="1/2L",0.5,0)),0)</f>
        <v>0</v>
      </c>
      <c r="CT82" s="145">
        <f>IF(CT$3=$K82,IF($C82="W",1,IF($C82="1/2W",0.5,0)),0)</f>
        <v>0</v>
      </c>
      <c r="CU82" s="146">
        <f>IF(CT$3=$K82,IF($C82="L",1,IF($C82="1/2L",0.5,0)),0)</f>
        <v>0</v>
      </c>
      <c r="CV82" s="146">
        <f>IF(CV$3=$K82,IF($C82="W",1,IF($C82="1/2W",0.5,0)),0)</f>
        <v>0</v>
      </c>
      <c r="CW82" s="146">
        <f>IF(CV$3=$K82,IF($C82="L",1,IF($C82="1/2L",0.5,0)),0)</f>
        <v>0</v>
      </c>
      <c r="CX82" s="146">
        <f>IF(CX$3=$K82,IF($C82="W",1,IF($C82="1/2W",0.5,0)),0)</f>
        <v>0</v>
      </c>
      <c r="CY82" s="146">
        <f>IF(CX$3=$K82,IF($C82="L",1,IF($C82="1/2L",0.5,0)),0)</f>
        <v>0</v>
      </c>
      <c r="CZ82" s="146">
        <f>IF(CZ$3=$K82,IF($C82="W",1,IF($C82="1/2W",0.5,0)),0)</f>
        <v>0</v>
      </c>
      <c r="DA82" s="146">
        <f>IF(CZ$3=$K82,IF($C82="L",1,IF($C82="1/2L",0.5,0)),0)</f>
        <v>0</v>
      </c>
      <c r="DB82" s="146">
        <f>IF(DB$3=$K82,IF($C82="W",1,IF($C82="1/2W",0.5,0)),0)</f>
        <v>0</v>
      </c>
      <c r="DC82" s="146">
        <f>IF(DB$3=$K82,IF($C82="L",1,IF($C82="1/2L",0.5,0)),0)</f>
        <v>0</v>
      </c>
      <c r="DD82" s="146">
        <f>IF(DD$3=$K82,IF($C82="W",1,IF($C82="1/2W",0.5,0)),0)</f>
        <v>0</v>
      </c>
      <c r="DE82" s="147">
        <f>IF(DD$3=$K82,IF($C82="L",1,IF($C82="1/2L",0.5,0)),0)</f>
        <v>0</v>
      </c>
      <c r="DF82" s="143">
        <f>IF(AND(L82&lt;DF$3,$C82="W"),1+DF81,DF81)</f>
        <v>5</v>
      </c>
      <c r="DG82" s="133">
        <f>IF(DF82&gt;DF81,L82+DG81,DG81)</f>
        <v>6.558</v>
      </c>
      <c r="DH82" s="146">
        <f>IF(AND(L82&gt;DH$3,$C82="W"),1+DH81,0+DH81)</f>
        <v>1</v>
      </c>
      <c r="DI82" s="133">
        <f>IF(DH82&gt;DH81,L82+DI81,DI81)</f>
        <v>4.33</v>
      </c>
      <c r="DJ82" t="s" s="304">
        <f>IF($D82="","",$D82)</f>
        <v>101</v>
      </c>
      <c r="DK82" s="146">
        <f>IF(AND($B82=" ",$D82&lt;&gt;""),1,0)</f>
        <v>0</v>
      </c>
    </row>
    <row r="83" ht="14.55" customHeight="1">
      <c r="A83" s="107"/>
      <c r="B83" s="108"/>
      <c r="C83" t="s" s="109">
        <v>56</v>
      </c>
      <c r="D83" s="110"/>
      <c r="E83" s="111"/>
      <c r="F83" s="113"/>
      <c r="G83" s="252"/>
      <c r="H83" s="114"/>
      <c r="I83" t="s" s="275">
        <v>60</v>
      </c>
      <c r="J83" t="s" s="295">
        <f>IF(OR(I82="TO",I82="TU",I82="TO1",I82="TU1",I82="TO2",I82="TU2"),J82,IF(OR(I82="AH1",I82="AH2"),IF(OR(I83="AH1",I83="AH2"),-J82,IF(OR(I83="EH1",I83="EH2"),-J82+0.5,"")),IF(OR(I82="EH1",I82="EH2"),IF(OR(I83="AH1",I83="AH2"),-J82+0.5,IF(OR(I83="EH1",I83="EH2"),-J82+1,"")),IF(AND(OR(I82="DNB1",I82="DNB2"),OR(I83="AH1",I83="AH2")),0,IF(AND(I82="Not ScoreBoth",OR(I83="TO1",I83="TO2")),0.5,"")))))</f>
      </c>
      <c r="K83" t="s" s="117">
        <v>38</v>
      </c>
      <c r="L83" s="277">
        <v>1.44</v>
      </c>
      <c r="M83" s="278">
        <v>32.6</v>
      </c>
      <c r="N83" s="120"/>
      <c r="O83" s="121">
        <f>IF(OR(AE82="",AE83=""),"",ROUND(IF(L84&gt;0,IF(M83&gt;0,M83,IF(M82&gt;0,IF(N82=TRUE,ROUND((M82*AE83)/AE82,0),(M82*AE83)/AE82),IF(M83&gt;0,ROUND(M83,IF(N82=0,2,IF(N82=0.1,1,0))),IF(M84&gt;0,ROUND(O84*AE83/AE84,IF(N82=0,2,IF(N82=0.1,1,0))),0)))),IF(M83&gt;0,M83,ROUND((M82*AE83)/AE82,IF(N82=0,2,IF(N82=0.1,1,0))))),2))</f>
        <v>32.6</v>
      </c>
      <c r="P83" s="122">
        <f>IF(OR(L83="",O83=""),"",IF($C83="1/2W",O83/2+O83/2*L83,IF($C83="1/2L",O83/2,IF(I83="Lay",((O83*(L83/(L83-1)))-O83)*(1-_xlfn.XLOOKUP(K83,'Janeiro 2023 - Valor Real'!A3:A15,'Janeiro 2023 - Valor Real'!C3:C15,0))+O83,(O83*L83-O83)*(1-_xlfn.XLOOKUP(K83,'Janeiro 2023 - Valor Real'!A3:A15,'Janeiro 2023 - Valor Real'!C3:C15,0))+O83))))</f>
        <v>46.944</v>
      </c>
      <c r="Q83" s="279">
        <f>IF(K83="","",IF(_xlfn.XLOOKUP(K83,K$4:K82,DJ$4:DJ82,0,,-1)=DJ83,_xlfn.XLOOKUP(K83,K$4:K82,Q$4:Q82,1,,-1)+1,1))</f>
        <v>4</v>
      </c>
      <c r="R83" s="280">
        <f>IF(K83="","",_xlfn.XLOOKUP(K83,K$4:K82,R$4:R82,0,,-1)+IF($C83=" ",1,0))</f>
        <v>0</v>
      </c>
      <c r="S83" s="125"/>
      <c r="T83" s="126"/>
      <c r="U83" s="126"/>
      <c r="V83" s="224"/>
      <c r="W83" s="126"/>
      <c r="X83" s="127"/>
      <c r="Y83" s="128"/>
      <c r="Z83" s="129"/>
      <c r="AA83" s="129"/>
      <c r="AB83" s="129"/>
      <c r="AC83" s="129"/>
      <c r="AD83" s="130"/>
      <c r="AE83" s="131">
        <f>IF(L83="","",IF(L84&gt;0,(SUM(((L82-1)*(1-_xlfn.XLOOKUP(K82,'Janeiro 2023 - Valor Real'!A3:A15,'Janeiro 2023 - Valor Real'!C3:C15,0))+1),((L83-1)*(1-_xlfn.XLOOKUP(K83,'Janeiro 2023 - Valor Real'!A3:A15,'Janeiro 2023 - Valor Real'!C3:C15,0))+1),((L84-1)*(1-_xlfn.XLOOKUP(K84,'Janeiro 2023 - Valor Real'!A3:A15,'Janeiro 2023 - Valor Real'!C3:C15,0))+1))/((L83-1)*(1-_xlfn.XLOOKUP(K83,'Janeiro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Real'!C3:C15,0))+1))/((L82-1)*(1-_xlfn.XLOOKUP(K82,'Janeiro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Real'!C3:C15,0))+1))/((L83-1)*(1-_xlfn.XLOOKUP(K83,'Janeiro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Real'!C3:C15,0))+1))/((L84-1)*(1-_xlfn.XLOOKUP(K84,'Janeiro 2023 - Valor Real'!A3:A15,'Janeiro 2023 - Valor Real'!C3:C15,0))+1)),IF(I83="Lay",IF(I82="Lay",((L82/(L82-1)-1)*(1-_xlfn.XLOOKUP(K82,'Janeiro 2023 - Valor Real'!A3:A15,'Janeiro 2023 - Valor Real'!C3:C15,0))+1)/(((L82/(L82-1)-1)*(1-_xlfn.XLOOKUP(K82,'Janeiro 2023 - Valor Real'!A3:A15,'Janeiro 2023 - Valor Real'!C3:C15,0))+1)+((L83/(L83-1)-1)*(1-_xlfn.XLOOKUP(K83,'Janeiro 2023 - Valor Real'!A3:A15,'Janeiro 2023 - Valor Real'!C3:C15,0))+1)),((L82-1)*(1-_xlfn.XLOOKUP(K82,'Janeiro 2023 - Valor Real'!A3:A15,'Janeiro 2023 - Valor Real'!C3:C15,0))+1)/(((L82-1)*(1-_xlfn.XLOOKUP(K82,'Janeiro 2023 - Valor Real'!A3:A15,'Janeiro 2023 - Valor Real'!C3:C15,0))+1)+((L83/(L83-1)-1)*(1-_xlfn.XLOOKUP(K83,'Janeiro 2023 - Valor Real'!A3:A15,'Janeiro 2023 - Valor Real'!C3:C15,0))+1))),IF(I82="Lay",((L82/(L82-1)-1)*(1-_xlfn.XLOOKUP(K82,'Janeiro 2023 - Valor Real'!A3:A15,'Janeiro 2023 - Valor Real'!C3:C15,0))+1)/((((L82/(L82-1)-1)*(1-_xlfn.XLOOKUP(K82,'Janeiro 2023 - Valor Real'!A3:A15,'Janeiro 2023 - Valor Real'!C3:C15,0))+1))+((L83-1)*(1-_xlfn.XLOOKUP(K83,'Janeiro 2023 - Valor Real'!A3:A15,'Janeiro 2023 - Valor Real'!C3:C15,0))+1)),((L82-1)*(1-_xlfn.XLOOKUP(K82,'Janeiro 2023 - Valor Real'!A3:A15,'Janeiro 2023 - Valor Real'!C3:C15,0))+1)/(((L82-1)*(1-_xlfn.XLOOKUP(K82,'Janeiro 2023 - Valor Real'!A3:A15,'Janeiro 2023 - Valor Real'!C3:C15,0))+1)+((L83-1)*(1-_xlfn.XLOOKUP(K83,'Janeiro 2023 - Valor Real'!A3:A15,'Janeiro 2023 - Valor Real'!C3:C15,0))+1))))))</f>
        <v>0.722543352601156</v>
      </c>
      <c r="AF83" s="132">
        <f>IF($K83=AF$3,ROUND(IF(OR($C83="W",$C83="1/2W",$C83="1/2L"),$P83-$O83,IF($C83="X",0,-$O83)),2),0)</f>
        <v>0</v>
      </c>
      <c r="AG83" s="133">
        <f>IF($K83=AG$3,ROUND(IF(OR($C83="W",$C83="1/2W",$C83="1/2L"),$P83-$O83,IF($C83="X",0,-$O83)),2),0)</f>
        <v>14.34</v>
      </c>
      <c r="AH83" s="133">
        <f>IF($K83=AH$3,ROUND(IF(OR($C83="W",$C83="1/2W",$C83="1/2L"),$P83-$O83,IF($C83="X",0,-$O83)),2),0)</f>
        <v>0</v>
      </c>
      <c r="AI83" s="133">
        <f>IF($K83=AI$3,ROUND(IF(OR($C83="W",$C83="1/2W",$C83="1/2L"),$P83-$O83,IF($C83="X",0,-$O83)),2),0)</f>
        <v>0</v>
      </c>
      <c r="AJ83" s="133">
        <f>IF($K83=AJ$3,ROUND(IF(OR($C83="W",$C83="1/2W",$C83="1/2L"),$P83-$O83,IF($C83="X",0,-$O83)),2),0)</f>
        <v>0</v>
      </c>
      <c r="AK83" s="133">
        <f>IF($K83=AK$3,ROUND(IF(OR($C83="W",$C83="1/2W",$C83="1/2L"),$P83-$O83,IF($C83="X",0,-$O83)),2),0)</f>
        <v>0</v>
      </c>
      <c r="AL83" s="133">
        <f>IF($K83=AL$3,ROUND(IF(OR($C83="W",$C83="1/2W",$C83="1/2L"),$P83-$O83,IF($C83="X",0,-$O83)),2),0)</f>
        <v>0</v>
      </c>
      <c r="AM83" s="133">
        <f>IF($K83=AM$3,ROUND(IF(OR($C83="W",$C83="1/2W",$C83="1/2L"),$P83-$O83,IF($C83="X",0,-$O83)),2),0)</f>
        <v>0</v>
      </c>
      <c r="AN83" s="133">
        <f>IF($K83=AN$3,ROUND(IF(OR($C83="W",$C83="1/2W",$C83="1/2L"),$P83-$O83,IF($C83="X",0,-$O83)),2),0)</f>
        <v>0</v>
      </c>
      <c r="AO83" s="133">
        <f>IF($K83=AO$3,ROUND(IF(OR($C83="W",$C83="1/2W",$C83="1/2L"),$P83-$O83,IF($C83="X",0,-$O83)),2),0)</f>
        <v>0</v>
      </c>
      <c r="AP83" s="133">
        <f>IF($K83=AP$3,ROUND(IF(OR($C83="W",$C83="1/2W",$C83="1/2L"),$P83-$O83,IF($C83="X",0,-$O83)),2),0)</f>
        <v>0</v>
      </c>
      <c r="AQ83" s="133">
        <f>IF($K83=AQ$3,ROUND(IF(OR($C83="W",$C83="1/2W",$C83="1/2L"),$P83-$O83,IF($C83="X",0,-$O83)),2),0)</f>
        <v>0</v>
      </c>
      <c r="AR83" s="134">
        <f>IF($K83=AR$3,ROUND(IF(OR($C83="W",$C83="1/2W",$C83="1/2L"),$P83-$O83,IF($C83="X",0,-$O83)),2),0)</f>
        <v>0</v>
      </c>
      <c r="AS83" s="132">
        <f>IF(AND($B82=" ",$K83=AS$3),$O83,0)</f>
        <v>0</v>
      </c>
      <c r="AT83" s="133">
        <f>IF(AND($B82=" ",K83=AT$3),$O83,0)</f>
        <v>0</v>
      </c>
      <c r="AU83" s="133">
        <f>IF(AND($B82=" ",$K83=AU$3),$O83,0)</f>
        <v>0</v>
      </c>
      <c r="AV83" s="133">
        <f>IF(AND($B82=" ",$K83=AV$3),$O83,0)</f>
        <v>0</v>
      </c>
      <c r="AW83" s="133">
        <f>IF(AND($B82=" ",$K83=AW$3),$O83,0)</f>
        <v>0</v>
      </c>
      <c r="AX83" s="133">
        <f>IF(AND($B82=" ",$K83=AX$3),$O83,0)</f>
        <v>0</v>
      </c>
      <c r="AY83" s="135">
        <f>IF(AND($B82=" ",$K83=AY$3),$O83,0)</f>
        <v>0</v>
      </c>
      <c r="AZ83" s="136">
        <f>IF(AND($B82=" ",$K83=AZ$3),$O83,0)</f>
        <v>0</v>
      </c>
      <c r="BA83" s="136">
        <f>IF(AND($B82=" ",$K83=BA$3),$O83,0)</f>
        <v>0</v>
      </c>
      <c r="BB83" s="136">
        <f>IF(AND($B82=" ",$K83=BB$3),$O83,0)</f>
        <v>0</v>
      </c>
      <c r="BC83" s="137">
        <f>IF(AND($B82=" ",$K83=BC$3),$O83,0)</f>
        <v>0</v>
      </c>
      <c r="BD83" s="133">
        <f>IF(AND($B82=" ",$K83=BD$3),$O83,0)</f>
        <v>0</v>
      </c>
      <c r="BE83" s="134">
        <f>IF(AND($B82=" ",$K83=BE$3),$O83,0)</f>
        <v>0</v>
      </c>
      <c r="BF83" s="132">
        <f>IF($K83=BF$3,IF($C83="X",0,$O83),0)</f>
        <v>0</v>
      </c>
      <c r="BG83" s="281">
        <f>IF($K83=BG$3,IF($C83="X",0,$O83),0)</f>
        <v>32.6</v>
      </c>
      <c r="BH83" s="133">
        <f>IF($K83=BH$3,IF($C83="X",0,$O83),0)</f>
        <v>0</v>
      </c>
      <c r="BI83" s="133">
        <f>IF($K83=BI$3,IF($C83="X",0,$O83),0)</f>
        <v>0</v>
      </c>
      <c r="BJ83" s="133">
        <f>IF($K83=BJ$3,IF($C83="X",0,$O83),0)</f>
        <v>0</v>
      </c>
      <c r="BK83" s="133">
        <f>IF($K83=BK$3,IF($C83="X",0,$O83),0)</f>
        <v>0</v>
      </c>
      <c r="BL83" s="133">
        <f>IF($K83=BL$3,IF($C83="X",0,$O83),0)</f>
        <v>0</v>
      </c>
      <c r="BM83" s="135">
        <f>IF($K83=BM$3,IF($C83="X",0,$O83),0)</f>
        <v>0</v>
      </c>
      <c r="BN83" s="136">
        <f>IF($K83=BN$3,IF($C83="X",0,$O83),0)</f>
        <v>0</v>
      </c>
      <c r="BO83" s="136">
        <f>IF($K83=BO$3,IF($C83="X",0,$O83),0)</f>
        <v>0</v>
      </c>
      <c r="BP83" s="136">
        <f>IF($K83=BP$3,IF($C83="X",0,$O83),0)</f>
        <v>0</v>
      </c>
      <c r="BQ83" s="137">
        <f>IF($K83=BQ$3,IF($C83="X",0,$O83),0)</f>
        <v>0</v>
      </c>
      <c r="BR83" s="134">
        <f>IF($K83=BR$3,IF($C83="X",0,$O83),0)</f>
        <v>0</v>
      </c>
      <c r="BS83" s="282"/>
      <c r="BT83" s="283"/>
      <c r="BU83" s="140"/>
      <c r="BV83" s="283"/>
      <c r="BW83" s="140"/>
      <c r="BX83" s="140"/>
      <c r="BY83" s="140"/>
      <c r="BZ83" s="283"/>
      <c r="CA83" s="140"/>
      <c r="CB83" s="140"/>
      <c r="CC83" s="140"/>
      <c r="CD83" s="141"/>
      <c r="CE83" s="142"/>
      <c r="CF83" s="284">
        <f>IF(CF$3=$K83,IF($C83="W",1,IF($C83="1/2W",0.5,0)),0)</f>
        <v>0</v>
      </c>
      <c r="CG83" s="285">
        <f>IF(CF$3=$K83,IF($C83="L",1,IF($C83="1/2L",0.5,0)),0)</f>
        <v>0</v>
      </c>
      <c r="CH83" s="285">
        <f>IF(CH$3=$K83,IF($C83="W",1,IF($C83="1/2W",0.5,0)),0)</f>
        <v>1</v>
      </c>
      <c r="CI83" s="285">
        <f>IF(CH$3=$K83,IF($C83="L",1,IF($C83="1/2L",0.5,0)),0)</f>
        <v>0</v>
      </c>
      <c r="CJ83" s="285">
        <f>IF(CJ$3=$K83,IF($C83="W",1,IF($C83="1/2W",0.5,0)),0)</f>
        <v>0</v>
      </c>
      <c r="CK83" s="285">
        <f>IF(CJ$3=$K83,IF($C83="L",1,IF($C83="1/2L",0.5,0)),0)</f>
        <v>0</v>
      </c>
      <c r="CL83" s="285">
        <f>IF(CL$3=$K83,IF($C83="W",1,IF($C83="1/2W",0.5,0)),0)</f>
        <v>0</v>
      </c>
      <c r="CM83" s="285">
        <f>IF(CL$3=$K83,IF($C83="L",1,IF($C83="1/2L",0.5,0)),0)</f>
        <v>0</v>
      </c>
      <c r="CN83" s="285">
        <f>IF(CN$3=$K83,IF($C83="W",1,IF($C83="1/2W",0.5,0)),0)</f>
        <v>0</v>
      </c>
      <c r="CO83" s="285">
        <f>IF(CN$3=$K83,IF($C83="L",1,IF($C83="1/2L",0.5,0)),0)</f>
        <v>0</v>
      </c>
      <c r="CP83" s="285">
        <f>IF(CP$3=$K83,IF($C83="W",1,IF($C83="1/2W",0.5,0)),0)</f>
        <v>0</v>
      </c>
      <c r="CQ83" s="285">
        <f>IF(CP$3=$K83,IF($C83="L",1,IF($C83="1/2L",0.5,0)),0)</f>
        <v>0</v>
      </c>
      <c r="CR83" s="285">
        <f>IF(CR$3=$K83,IF($C83="W",1,IF($C83="1/2W",0.5,0)),0)</f>
        <v>0</v>
      </c>
      <c r="CS83" s="285">
        <f>IF(CR$3=$K83,IF($C83="L",1,IF($C83="1/2L",0.5,0)),0)</f>
        <v>0</v>
      </c>
      <c r="CT83" s="145">
        <f>IF(CT$3=$K83,IF($C83="W",1,IF($C83="1/2W",0.5,0)),0)</f>
        <v>0</v>
      </c>
      <c r="CU83" s="146">
        <f>IF(CT$3=$K83,IF($C83="L",1,IF($C83="1/2L",0.5,0)),0)</f>
        <v>0</v>
      </c>
      <c r="CV83" s="146">
        <f>IF(CV$3=$K83,IF($C83="W",1,IF($C83="1/2W",0.5,0)),0)</f>
        <v>0</v>
      </c>
      <c r="CW83" s="146">
        <f>IF(CV$3=$K83,IF($C83="L",1,IF($C83="1/2L",0.5,0)),0)</f>
        <v>0</v>
      </c>
      <c r="CX83" s="146">
        <f>IF(CX$3=$K83,IF($C83="W",1,IF($C83="1/2W",0.5,0)),0)</f>
        <v>0</v>
      </c>
      <c r="CY83" s="146">
        <f>IF(CX$3=$K83,IF($C83="L",1,IF($C83="1/2L",0.5,0)),0)</f>
        <v>0</v>
      </c>
      <c r="CZ83" s="146">
        <f>IF(CZ$3=$K83,IF($C83="W",1,IF($C83="1/2W",0.5,0)),0)</f>
        <v>0</v>
      </c>
      <c r="DA83" s="146">
        <f>IF(CZ$3=$K83,IF($C83="L",1,IF($C83="1/2L",0.5,0)),0)</f>
        <v>0</v>
      </c>
      <c r="DB83" s="146">
        <f>IF(DB$3=$K83,IF($C83="W",1,IF($C83="1/2W",0.5,0)),0)</f>
        <v>0</v>
      </c>
      <c r="DC83" s="146">
        <f>IF(DB$3=$K83,IF($C83="L",1,IF($C83="1/2L",0.5,0)),0)</f>
        <v>0</v>
      </c>
      <c r="DD83" s="146">
        <f>IF(DD$3=$K83,IF($C83="W",1,IF($C83="1/2W",0.5,0)),0)</f>
        <v>0</v>
      </c>
      <c r="DE83" s="147">
        <f>IF(DD$3=$K83,IF($C83="L",1,IF($C83="1/2L",0.5,0)),0)</f>
        <v>0</v>
      </c>
      <c r="DF83" s="143">
        <f>IF(AND(L83&lt;DF$3,$C83="W"),1+DF82,DF82)</f>
        <v>6</v>
      </c>
      <c r="DG83" s="133">
        <f>IF(DF83&gt;DF82,L83+DG82,DG82)</f>
        <v>7.998</v>
      </c>
      <c r="DH83" s="146">
        <f>IF(AND(L83&gt;DH$3,$C83="W"),1+DH82,0+DH82)</f>
        <v>1</v>
      </c>
      <c r="DI83" s="133">
        <f>IF(DH83&gt;DH82,L83+DI82,DI82)</f>
        <v>4.33</v>
      </c>
      <c r="DJ83" t="s" s="304">
        <f>IF($D82="","",$D82)</f>
        <v>101</v>
      </c>
      <c r="DK83" s="286"/>
    </row>
    <row r="84" ht="14.55" customHeight="1">
      <c r="A84" s="149"/>
      <c r="B84" s="150"/>
      <c r="C84" t="s" s="151">
        <v>58</v>
      </c>
      <c r="D84" s="152"/>
      <c r="E84" s="153"/>
      <c r="F84" s="155"/>
      <c r="G84" s="252"/>
      <c r="H84" s="156"/>
      <c r="I84" s="287"/>
      <c r="J84" s="288"/>
      <c r="K84" s="156"/>
      <c r="L84" s="289"/>
      <c r="M84" s="290"/>
      <c r="N84" s="161"/>
      <c r="O84" t="s" s="162">
        <f>IF(OR(AE82="",AE83=""),"",IF(L84&gt;0,ROUND(IF(M84&gt;0,M84,IF(M82&gt;0,ROUND((M82*AE84)/AE82,IF(N82=0,2,IF(N82=0.1,1,0))),IF(M83&gt;0,ROUND((M83*AE84)/AE83,IF(N82=0,2,IF(N82=0.1,1,0))),IF(M84&gt;0,M84,0)))),2),""))</f>
      </c>
      <c r="P84" t="s" s="163">
        <f>IF(I83="Lay",O83*(L83/(L83-1))-O83,IF(I82="Lay",O82*(L82/(L82-1))-O82,IF(OR(L84="",O84=""),"",IF($C84="1/2W",O84/2+O84/2*L84,IF($C84="1/2L",O84/2,(O84*L84-O84)*(1-_xlfn.XLOOKUP(K84,'Janeiro 2023 - Valor Real'!A3:A15,'Janeiro 2023 - Valor Real'!C3:C15,0))+O84)))))</f>
      </c>
      <c r="Q84" t="s" s="154">
        <f>IF(K84="","",IF(_xlfn.XLOOKUP(K84,K$4:K83,DJ$4:DJ83,0,,-1)=DJ84,_xlfn.XLOOKUP(K84,K$4:K83,Q$4:Q83,1,,-1)+1,1))</f>
      </c>
      <c r="R84" t="s" s="163">
        <f>IF(K84="","",_xlfn.XLOOKUP(K84,K$4:K83,R$4:R83,0,,-1)+IF($C84=" ",1,0))</f>
      </c>
      <c r="S84" s="166"/>
      <c r="T84" s="155"/>
      <c r="U84" s="155"/>
      <c r="V84" s="166"/>
      <c r="W84" s="155"/>
      <c r="X84" s="167"/>
      <c r="Y84" s="128"/>
      <c r="Z84" s="129"/>
      <c r="AA84" s="129"/>
      <c r="AB84" s="129"/>
      <c r="AC84" s="129"/>
      <c r="AD84" s="168"/>
      <c r="AE84" t="s" s="169">
        <f>IF(L84="","",(SUM(((L82-1)*(1-_xlfn.XLOOKUP(K82,'Janeiro 2023 - Valor Real'!A3:A15,'Janeiro 2023 - Valor Real'!C3:C15,0))+1),((L83-1)*(1-_xlfn.XLOOKUP(K83,'Janeiro 2023 - Valor Real'!A3:A15,'Janeiro 2023 - Valor Real'!C3:C15,0))+1),((L84-1)*(1-_xlfn.XLOOKUP(K84,'Janeiro 2023 - Valor Real'!A3:A15,'Janeiro 2023 - Valor Real'!C3:C15,0))+1))/((L84-1)*(1-_xlfn.XLOOKUP(K84,'Janeiro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Real'!C3:C15,0))+1))/((L82-1)*(1-_xlfn.XLOOKUP(K82,'Janeiro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Real'!C3:C15,0))+1))/((L83-1)*(1-_xlfn.XLOOKUP(K83,'Janeiro 2023 - Valor Real'!A3:A15,'Janeiro 2023 - Valor Real'!C3:C15,0))+1)+SUM(((L82-1)*(1-_xlfn.XLOOKUP(K82,'Janeiro 2023 - Valor Real'!A3:A15,'Janeiro 2023 - Valor Real'!C3:C15,0))+1),((L83-1)*(1-_xlfn.XLOOKUP(K83,'Janeiro 2023 - Valor Real'!A3:A15,'Janeiro 2023 - Valor Real'!C3:C15,0))+1),((L84-1)*(1-_xlfn.XLOOKUP(K84,'Janeiro 2023 - Valor Real'!A3:A15,'Janeiro 2023 - Valor Real'!C3:C15,0))+1))/((L84-1)*(1-_xlfn.XLOOKUP(K84,'Janeiro 2023 - Valor Real'!A3:A15,'Janeiro 2023 - Valor Real'!C3:C15,0))+1)))</f>
      </c>
      <c r="AF84" s="132">
        <f>IF($K84=AF$3,ROUND(IF(OR($C84="W",$C84="1/2W",$C84="1/2L"),$P84-$O84,IF($C84="X",0,-$O84)),2),0)</f>
        <v>0</v>
      </c>
      <c r="AG84" s="133">
        <f>IF($K84=AG$3,ROUND(IF(OR($C84="W",$C84="1/2W",$C84="1/2L"),$P84-$O84,IF($C84="X",0,-$O84)),2),0)</f>
        <v>0</v>
      </c>
      <c r="AH84" s="133">
        <f>IF($K84=AH$3,ROUND(IF(OR($C84="W",$C84="1/2W",$C84="1/2L"),$P84-$O84,IF($C84="X",0,-$O84)),2),0)</f>
        <v>0</v>
      </c>
      <c r="AI84" s="133">
        <f>IF($K84=AI$3,ROUND(IF(OR($C84="W",$C84="1/2W",$C84="1/2L"),$P84-$O84,IF($C84="X",0,-$O84)),2),0)</f>
        <v>0</v>
      </c>
      <c r="AJ84" s="133">
        <f>IF($K84=AJ$3,ROUND(IF(OR($C84="W",$C84="1/2W",$C84="1/2L"),$P84-$O84,IF($C84="X",0,-$O84)),2),0)</f>
        <v>0</v>
      </c>
      <c r="AK84" s="133">
        <f>IF($K84=AK$3,ROUND(IF(OR($C84="W",$C84="1/2W",$C84="1/2L"),$P84-$O84,IF($C84="X",0,-$O84)),2),0)</f>
        <v>0</v>
      </c>
      <c r="AL84" s="133">
        <f>IF($K84=AL$3,ROUND(IF(OR($C84="W",$C84="1/2W",$C84="1/2L"),$P84-$O84,IF($C84="X",0,-$O84)),2),0)</f>
        <v>0</v>
      </c>
      <c r="AM84" s="133">
        <f>IF($K84=AM$3,ROUND(IF(OR($C84="W",$C84="1/2W",$C84="1/2L"),$P84-$O84,IF($C84="X",0,-$O84)),2),0)</f>
        <v>0</v>
      </c>
      <c r="AN84" s="133">
        <f>IF($K84=AN$3,ROUND(IF(OR($C84="W",$C84="1/2W",$C84="1/2L"),$P84-$O84,IF($C84="X",0,-$O84)),2),0)</f>
        <v>0</v>
      </c>
      <c r="AO84" s="133">
        <f>IF($K84=AO$3,ROUND(IF(OR($C84="W",$C84="1/2W",$C84="1/2L"),$P84-$O84,IF($C84="X",0,-$O84)),2),0)</f>
        <v>0</v>
      </c>
      <c r="AP84" s="133">
        <f>IF($K84=AP$3,ROUND(IF(OR($C84="W",$C84="1/2W",$C84="1/2L"),$P84-$O84,IF($C84="X",0,-$O84)),2),0)</f>
        <v>0</v>
      </c>
      <c r="AQ84" s="133">
        <f>IF($K84=AQ$3,ROUND(IF(OR($C84="W",$C84="1/2W",$C84="1/2L"),$P84-$O84,IF($C84="X",0,-$O84)),2),0)</f>
        <v>0</v>
      </c>
      <c r="AR84" s="134">
        <f>IF($K84=AR$3,ROUND(IF(OR($C84="W",$C84="1/2W",$C84="1/2L"),$P84-$O84,IF($C84="X",0,-$O84)),2),0)</f>
        <v>0</v>
      </c>
      <c r="AS84" s="132">
        <f>IF(AND($B82=" ",$K84=AS$3),$O84,0)</f>
        <v>0</v>
      </c>
      <c r="AT84" s="133">
        <f>IF(AND($B82=" ",K84=AT$3),$O84,0)</f>
        <v>0</v>
      </c>
      <c r="AU84" s="133">
        <f>IF(AND($B82=" ",$K84=AU$3),$O84,0)</f>
        <v>0</v>
      </c>
      <c r="AV84" s="133">
        <f>IF(AND($B82=" ",$K84=AV$3),$O84,0)</f>
        <v>0</v>
      </c>
      <c r="AW84" s="133">
        <f>IF(AND($B82=" ",$K84=AW$3),$O84,0)</f>
        <v>0</v>
      </c>
      <c r="AX84" s="133">
        <f>IF(AND($B82=" ",$K84=AX$3),$O84,0)</f>
        <v>0</v>
      </c>
      <c r="AY84" s="135">
        <f>IF(AND($B82=" ",$K84=AY$3),$O84,0)</f>
        <v>0</v>
      </c>
      <c r="AZ84" s="136">
        <f>IF(AND($B82=" ",$K84=AZ$3),$O84,0)</f>
        <v>0</v>
      </c>
      <c r="BA84" s="136">
        <f>IF(AND($B82=" ",$K84=BA$3),$O84,0)</f>
        <v>0</v>
      </c>
      <c r="BB84" s="136">
        <f>IF(AND($B82=" ",$K84=BB$3),$O84,0)</f>
        <v>0</v>
      </c>
      <c r="BC84" s="137">
        <f>IF(AND($B82=" ",$K84=BC$3),$O84,0)</f>
        <v>0</v>
      </c>
      <c r="BD84" s="133">
        <f>IF(AND($B82=" ",$K84=BD$3),$O84,0)</f>
        <v>0</v>
      </c>
      <c r="BE84" s="134">
        <f>IF(AND($B82=" ",$K84=BE$3),$O84,0)</f>
        <v>0</v>
      </c>
      <c r="BF84" s="132">
        <f>IF($K84=BF$3,IF($C84="X",0,$O84),0)</f>
        <v>0</v>
      </c>
      <c r="BG84" s="281">
        <f>IF($K84=BG$3,IF($C84="X",0,$O84),0)</f>
        <v>0</v>
      </c>
      <c r="BH84" s="133">
        <f>IF($K84=BH$3,IF($C84="X",0,$O84),0)</f>
        <v>0</v>
      </c>
      <c r="BI84" s="133">
        <f>IF($K84=BI$3,IF($C84="X",0,$O84),0)</f>
        <v>0</v>
      </c>
      <c r="BJ84" s="133">
        <f>IF($K84=BJ$3,IF($C84="X",0,$O84),0)</f>
        <v>0</v>
      </c>
      <c r="BK84" s="133">
        <f>IF($K84=BK$3,IF($C84="X",0,$O84),0)</f>
        <v>0</v>
      </c>
      <c r="BL84" s="133">
        <f>IF($K84=BL$3,IF($C84="X",0,$O84),0)</f>
        <v>0</v>
      </c>
      <c r="BM84" s="135">
        <f>IF($K84=BM$3,IF($C84="X",0,$O84),0)</f>
        <v>0</v>
      </c>
      <c r="BN84" s="136">
        <f>IF($K84=BN$3,IF($C84="X",0,$O84),0)</f>
        <v>0</v>
      </c>
      <c r="BO84" s="136">
        <f>IF($K84=BO$3,IF($C84="X",0,$O84),0)</f>
        <v>0</v>
      </c>
      <c r="BP84" s="136">
        <f>IF($K84=BP$3,IF($C84="X",0,$O84),0)</f>
        <v>0</v>
      </c>
      <c r="BQ84" s="137">
        <f>IF($K84=BQ$3,IF($C84="X",0,$O84),0)</f>
        <v>0</v>
      </c>
      <c r="BR84" s="134">
        <f>IF($K84=BR$3,IF($C84="X",0,$O84),0)</f>
        <v>0</v>
      </c>
      <c r="BS84" s="282"/>
      <c r="BT84" s="283"/>
      <c r="BU84" s="140"/>
      <c r="BV84" s="283"/>
      <c r="BW84" s="140"/>
      <c r="BX84" s="140"/>
      <c r="BY84" s="140"/>
      <c r="BZ84" s="283"/>
      <c r="CA84" s="140"/>
      <c r="CB84" s="140"/>
      <c r="CC84" s="140"/>
      <c r="CD84" s="141"/>
      <c r="CE84" s="142"/>
      <c r="CF84" s="284">
        <f>IF(CF$3=$K84,IF($C84="W",1,IF($C84="1/2W",0.5,0)),0)</f>
        <v>0</v>
      </c>
      <c r="CG84" s="285">
        <f>IF(CF$3=$K84,IF($C84="L",1,IF($C84="1/2L",0.5,0)),0)</f>
        <v>0</v>
      </c>
      <c r="CH84" s="285">
        <f>IF(CH$3=$K84,IF($C84="W",1,IF($C84="1/2W",0.5,0)),0)</f>
        <v>0</v>
      </c>
      <c r="CI84" s="285">
        <f>IF(CH$3=$K84,IF($C84="L",1,IF($C84="1/2L",0.5,0)),0)</f>
        <v>0</v>
      </c>
      <c r="CJ84" s="285">
        <f>IF(CJ$3=$K84,IF($C84="W",1,IF($C84="1/2W",0.5,0)),0)</f>
        <v>0</v>
      </c>
      <c r="CK84" s="285">
        <f>IF(CJ$3=$K84,IF($C84="L",1,IF($C84="1/2L",0.5,0)),0)</f>
        <v>0</v>
      </c>
      <c r="CL84" s="285">
        <f>IF(CL$3=$K84,IF($C84="W",1,IF($C84="1/2W",0.5,0)),0)</f>
        <v>0</v>
      </c>
      <c r="CM84" s="285">
        <f>IF(CL$3=$K84,IF($C84="L",1,IF($C84="1/2L",0.5,0)),0)</f>
        <v>0</v>
      </c>
      <c r="CN84" s="285">
        <f>IF(CN$3=$K84,IF($C84="W",1,IF($C84="1/2W",0.5,0)),0)</f>
        <v>0</v>
      </c>
      <c r="CO84" s="285">
        <f>IF(CN$3=$K84,IF($C84="L",1,IF($C84="1/2L",0.5,0)),0)</f>
        <v>0</v>
      </c>
      <c r="CP84" s="285">
        <f>IF(CP$3=$K84,IF($C84="W",1,IF($C84="1/2W",0.5,0)),0)</f>
        <v>0</v>
      </c>
      <c r="CQ84" s="285">
        <f>IF(CP$3=$K84,IF($C84="L",1,IF($C84="1/2L",0.5,0)),0)</f>
        <v>0</v>
      </c>
      <c r="CR84" s="285">
        <f>IF(CR$3=$K84,IF($C84="W",1,IF($C84="1/2W",0.5,0)),0)</f>
        <v>0</v>
      </c>
      <c r="CS84" s="285">
        <f>IF(CR$3=$K84,IF($C84="L",1,IF($C84="1/2L",0.5,0)),0)</f>
        <v>0</v>
      </c>
      <c r="CT84" s="145">
        <f>IF(CT$3=$K84,IF($C84="W",1,IF($C84="1/2W",0.5,0)),0)</f>
        <v>0</v>
      </c>
      <c r="CU84" s="146">
        <f>IF(CT$3=$K84,IF($C84="L",1,IF($C84="1/2L",0.5,0)),0)</f>
        <v>0</v>
      </c>
      <c r="CV84" s="146">
        <f>IF(CV$3=$K84,IF($C84="W",1,IF($C84="1/2W",0.5,0)),0)</f>
        <v>0</v>
      </c>
      <c r="CW84" s="146">
        <f>IF(CV$3=$K84,IF($C84="L",1,IF($C84="1/2L",0.5,0)),0)</f>
        <v>0</v>
      </c>
      <c r="CX84" s="146">
        <f>IF(CX$3=$K84,IF($C84="W",1,IF($C84="1/2W",0.5,0)),0)</f>
        <v>0</v>
      </c>
      <c r="CY84" s="146">
        <f>IF(CX$3=$K84,IF($C84="L",1,IF($C84="1/2L",0.5,0)),0)</f>
        <v>0</v>
      </c>
      <c r="CZ84" s="146">
        <f>IF(CZ$3=$K84,IF($C84="W",1,IF($C84="1/2W",0.5,0)),0)</f>
        <v>0</v>
      </c>
      <c r="DA84" s="146">
        <f>IF(CZ$3=$K84,IF($C84="L",1,IF($C84="1/2L",0.5,0)),0)</f>
        <v>0</v>
      </c>
      <c r="DB84" s="146">
        <f>IF(DB$3=$K84,IF($C84="W",1,IF($C84="1/2W",0.5,0)),0)</f>
        <v>0</v>
      </c>
      <c r="DC84" s="146">
        <f>IF(DB$3=$K84,IF($C84="L",1,IF($C84="1/2L",0.5,0)),0)</f>
        <v>0</v>
      </c>
      <c r="DD84" s="146">
        <f>IF(DD$3=$K84,IF($C84="W",1,IF($C84="1/2W",0.5,0)),0)</f>
        <v>0</v>
      </c>
      <c r="DE84" s="147">
        <f>IF(DD$3=$K84,IF($C84="L",1,IF($C84="1/2L",0.5,0)),0)</f>
        <v>0</v>
      </c>
      <c r="DF84" s="143">
        <f>IF(AND(L84&lt;DF$3,$C84="W"),1+DF83,DF83)</f>
        <v>6</v>
      </c>
      <c r="DG84" s="133">
        <f>IF(DF84&gt;DF83,L84+DG83,DG83)</f>
        <v>7.998</v>
      </c>
      <c r="DH84" s="146">
        <f>IF(AND(L84&gt;DH$3,$C84="W"),1+DH83,0+DH83)</f>
        <v>1</v>
      </c>
      <c r="DI84" s="133">
        <f>IF(DH84&gt;DH83,L84+DI83,DI83)</f>
        <v>4.33</v>
      </c>
      <c r="DJ84" t="s" s="304">
        <f>IF($D82="","",$D82)</f>
        <v>101</v>
      </c>
      <c r="DK84" s="286"/>
    </row>
    <row r="85" ht="14.55" customHeight="1">
      <c r="A85" s="171">
        <f>$A82+1</f>
        <v>28</v>
      </c>
      <c r="B85" t="s" s="172">
        <f>IF(AND(_xlfn.XLOOKUP(H85,H$4:H84,G$4:G84,0)=G85,_xlfn.XLOOKUP("TempoBet",K85:K87,L85:L87,0)&gt;0),"X",IF(OR(C85="W",C86="W",C87="W",C85="1/2W",C86="1/2W",C87="1/2W",C85="1/2L",C86="1/2L",C87="1/2L"),"OK",IF(OR(C85="L",C86="L",C87="L"),"LOSS",IF(OR(C85="X",C86="X",C87="X"),"Anulado"," "))))</f>
        <v>24</v>
      </c>
      <c r="C85" t="s" s="173">
        <v>114</v>
      </c>
      <c r="D85" t="s" s="305">
        <f>IF(G85="","",$D82)</f>
        <v>101</v>
      </c>
      <c r="E85" t="s" s="175">
        <f>IF(G85=""," ","– "&amp;COUNTIF(D$4:D87,$D85))</f>
        <v>130</v>
      </c>
      <c r="F85" t="s" s="176">
        <f>IF(G85="","",IF(OR(AND($C85&lt;&gt;" ",$C86=" "),AND($C86&lt;&gt;" ",$C85=" "),AND(L87&gt;0,OR(AND($C87&lt;&gt;" ",OR($C85=" ",$C86=" ")),AND($C87=" ",OR($C85&lt;&gt;" ",$C86&lt;&gt;" "))))),IF(SUM(F$4:F84)=0,1,LARGE(F$4:F84,1)+1),IF(MONTH(G85)=MONTH(TODAY()),IF(AND(DAY(G85)&lt;DAY(TODAY()),$B85=" "),IF(SUM(F$4:F84)=0,1,LARGE(F$4:F84,1)+1),IF($B85=" ",IF(AND(DAY(G85)=DAY(TODAY()),HOUR(G85)&lt;=HOUR(NOW())+1),IF(AND(HOUR(G85)+2&lt;=HOUR(NOW()),DAY(G85)&lt;=DAY(TODAY()),MINUTE(G85)&lt;=MINUTE(NOW())),IF(SUM(F$4:F84)=0,1,LARGE(F$4:F84,1)+1),IF(OR(MINUTE(G85)&lt;=MINUTE(NOW()),HOUR(G85)&lt;=HOUR(NOW())),"!!!","")),""),"")),"")))</f>
      </c>
      <c r="G85" s="177">
        <v>44943.954861111109</v>
      </c>
      <c r="H85" t="s" s="178">
        <v>131</v>
      </c>
      <c r="I85" t="s" s="179">
        <v>65</v>
      </c>
      <c r="J85" s="291">
        <v>25.5</v>
      </c>
      <c r="K85" t="s" s="181">
        <v>41</v>
      </c>
      <c r="L85" s="182">
        <v>2.35</v>
      </c>
      <c r="M85" s="183">
        <v>8.33</v>
      </c>
      <c r="N85" s="184">
        <v>0</v>
      </c>
      <c r="O85" s="185">
        <f>IF(OR(AE85="",AE86=""),"",ROUND(IF(L87&gt;0,IF(M85&gt;0,M85,IF(M86&gt;0,ROUND((M86*AE85)/AE86,IF(N85=0,2,IF(N85=0.1,1,0))),ROUND((M87*AE85)/AE87,IF(N85=0,2,IF(N85=0.1,1,0))))),IF(M85&gt;0,M85,ROUND((M86*AE85)/AE86,IF(N85=0,2,IF(N85=0.1,1,0))))),2))</f>
        <v>8.33</v>
      </c>
      <c r="P85" s="186">
        <f>IF(OR(L85="",O85=""),"",IF($C85="1/2W",O85/2+O85/2*L85,IF($C85="1/2L",O85/2,IF(I85="Lay",(O85*(L85/(L85-1))-O85)*(1-_xlfn.XLOOKUP(K85,'Janeiro 2023 - Valor Real'!A3:A15,'Janeiro 2023 - Valor Real'!C3:C15,0))+O85,(O85*L85-O85)*(1-_xlfn.XLOOKUP(K85,'Janeiro 2023 - Valor Real'!A3:A15,'Janeiro 2023 - Valor Real'!C3:C15,0))+O85))))</f>
        <v>19.5755</v>
      </c>
      <c r="Q85" s="187">
        <f>IF(K85="","",IF(_xlfn.XLOOKUP(K85,K$4:K84,DJ$4:DJ84,0,,-1)=DJ85,_xlfn.XLOOKUP(K85,K$4:K84,Q$4:Q84,1,,-1)+1,1))</f>
        <v>5</v>
      </c>
      <c r="R85" s="188">
        <f>IF(K85="","",_xlfn.XLOOKUP(K85,K$4:K84,R$4:R84,0,,-1)+IF($C85=" ",1,0))</f>
        <v>0</v>
      </c>
      <c r="S85" s="189">
        <f>IF($B85="Anulado",0,ROUND(IF(OR($B85="LOSS",$B85="OK"),IF(OR($C85="W",$C85="1/2W",$C85="1/2L"),P85-O85,IF($C85="L",-O85,0))+IF(OR($C86="W",$C86="1/2W",$C86="1/2L"),P86-O86,IF($C86="L",-O86,0))+IF(OR($C87="W",$C87="1/2W",$C87="1/2L"),P87-O87,IF($C87="L",-O87,0)),IF(AND(OR($C85="W",$C85="1/2W",$C85="1/2L"),C86="W"),P85+P86-SUM(O85:O87)+_xlfn.XLOOKUP("X",C85:C87,O85:O87,0),IF(AND(C85=TRUE,C87="W"),P85+P87-SUM(O85:O87),IF(AND(C86="W",C87="W"),P86+P87-SUM(O85:O87)+_xlfn.XLOOKUP("X",C85:C87,O85:O87,0),IF(L87&gt;0,IF(OR($C85="W",$C85="1/2W",$C85="1/2L"),P85-SUM(O85:O87)+_xlfn.XLOOKUP("X",C85:C87,O85:O87,0),IF(OR($C85="W",$C85="1/2W",$C85="1/2L"),P86-SUM(O85:O87)+_xlfn.XLOOKUP("X",C85:C87,O85:O87,0),IF(OR($C85="W",$C85="1/2W",$C85="1/2L"),P87-SUM(O85:O87)+_xlfn.XLOOKUP("X",C85:C87,O85:O87,0),IF(SUM(P85:P87)/3-SUM(O85:O87)+_xlfn.XLOOKUP("X",C85:C87,O85:O87,0)&gt;0,SUM(P85:P87)/3-SUM(O85:O87)+_xlfn.XLOOKUP("X",C85:C87,O85:O87,0),LARGE(P85:P87,1)-SUM(O85:O87))))),IF(OR($C85="W",$C85="1/2W",$C85="1/2L"),P85-SUM(O85:O86)+_xlfn.XLOOKUP("X",C85:C87,O85:O87,0),IF(OR($C85="W",$C85="1/2W",$C85="1/2L"),P86-SUM(O85:O86)+_xlfn.XLOOKUP("X",C85:C87,O85:O87,0),SUM(P85:P86)/2-SUM(O85:O86)+_xlfn.XLOOKUP("X",C85:C87,O85:O87,0)))))))),2))</f>
        <v>0</v>
      </c>
      <c r="T85" s="190">
        <f>IF(S85=0,0,S85/SUM(O85:O87))</f>
        <v>0</v>
      </c>
      <c r="U85" s="191">
        <f>IF($D85=$D82,IF(OR($B85="LOSS",$B85="OK",$B85="Anulada"),S85,0)+U82,IF(OR($B85="LOSS",$B85="OK",$B85="Anulada"),S85,0))</f>
        <v>15.77</v>
      </c>
      <c r="V85" s="191">
        <f>IF($D85="",0,IF($D85=$D82,IF($B85=" ",IF(I87="",IF(OR(AND(I85="DNB1",I86="DNB2"),AND(OR(I85="DNB1",I85="DNB2"),J86=0),AND(OR(I86="DNB1",I86="DNB2"),J85=0),AND(I85="DNB2",I86="DNB1"),AND(IF(J85=0,(J85+1)/ROUND(J85+1,0),J85/ROUND(J85,0))=1,IF(J86=0,(J86+1)/ROUND(IF(J86="",0,J86)+1,0),IF(J86="",0,J86)/ROUND(IF(J86="",1,J86),0))=1,OR(J85&lt;&gt;""),J86&lt;&gt;"")),0,IF(S85&lt;0,IF(I87="",SMALL(P85:P86,1)-SUM(O85:O86),0),SMALL(P85:P86,1)-SUM(O85:O86))),IF(S85&lt;0,IF(I87="",SMALL(P85:P87,1)-SUM(O85:O87),0),LARGE(P85:P87,1)-SUM(O85:O87))),S85)+V82,IF(I87="",IF(OR(AND(I85="DNB1",I86="DNB2"),AND(OR(I85="DNB1",I85="DNB2"),J86=0),AND(OR(I86="DNB1",I86="DNB2"),J85=0),AND(I85="DNB2",I86="DNB1"),AND(IF(J85=0,(J85+1)/ROUND(J85+1,0),J85/ROUND(J85,0))=1,IF(J86=0,(IF(J86="",0,J86)+1)/ROUND(IF(J86="",0,J86)+1,0),IF(J86="",0,J86)/ROUND(IF(J86="",0,J86)+1,0))=1,OR(J85&lt;&gt;""),J86&lt;&gt;"")),0,IF(S85&lt;0,IF(I87="",SMALL(P85:P86,1)-SUM(O85:O86),0),SMALL(P85:P87,1)-SUM(O85:O87))),IF(S85&lt;0,IF(I87="",SMALL(P85:P87,1)-SUM(O85:O87),0),LARGE(P85:P87,1)-SUM(O85:O87)))))</f>
        <v>15.772</v>
      </c>
      <c r="W85" s="191">
        <f>IF($D85=$D82,IF(S85&lt;0,IF(I87="",S85,0),S85)+W82,S85)</f>
        <v>15.77</v>
      </c>
      <c r="X85" t="s" s="192">
        <f>IF(OR(SUM(R85:R87)=0,V85=W85),ROUND(IF(W85=0,0,W85/Y85)*100,2)&amp;"%",ROUND(IF(V85=0,0,V85/Y85)*100,2)&amp;"% a "&amp;ROUND(IF(W85=0,0,W85/Y85)*100,2)&amp;"%")</f>
        <v>132</v>
      </c>
      <c r="Y85" s="193">
        <f>IF($D85=$D82,Y82+SUM(O85:O87),SUM(O85:O87))</f>
        <v>465.09</v>
      </c>
      <c r="Z85" s="191">
        <f>IF($B85=" ",SUM(O85:O87),0)+Z82</f>
        <v>0</v>
      </c>
      <c r="AA85" s="191">
        <f>IF(G85="","",IF($B85="Anulado",LARGE(P85:P87,1)-SUM(O85:O87)+AA82,AA82))</f>
        <v>7.9473</v>
      </c>
      <c r="AB85" s="191">
        <f>IF($D85="","",AB82+S85)</f>
        <v>93.87</v>
      </c>
      <c r="AC85" s="194">
        <f>IF($D85="","",IF($B85=" ",IF(DAY(G85)=DAY(TODAY()),1+AC82,0+AC82),0+AC82))</f>
        <v>0</v>
      </c>
      <c r="AD85" s="195">
        <f>(((L86/(L86-1)-1)*(1-_xlfn.XLOOKUP(K86,'Janeiro 2023 - Valor Real'!A3:A15,'Janeiro 2023 - Valor Real'!C3:C15,0))+1))/(((L85-1)*(1-_xlfn.XLOOKUP(K85,'Janeiro 2023 - Valor Real'!A3:A15,'Janeiro 2023 - Valor Real'!C3:C15,0))+1)+((L86/(L86-1)-1)*(1-_xlfn.XLOOKUP(K86,'Janeiro 2023 - Valor Real'!A3:A15,'Janeiro 2023 - Valor Real'!C3:C15,0))+1))</f>
        <v>0.449317424486725</v>
      </c>
      <c r="AE85" s="196">
        <f>IF(L85="","",IF(L87&gt;0,(SUM(((L85-1)*(1-_xlfn.XLOOKUP(K85,'Janeiro 2023 - Valor Real'!A3:A15,'Janeiro 2023 - Valor Real'!C3:C15,0))+1),((L86-1)*(1-_xlfn.XLOOKUP(K86,'Janeiro 2023 - Valor Real'!A3:A15,'Janeiro 2023 - Valor Real'!C3:C15,0))+1),((L87-1)*(1-_xlfn.XLOOKUP(K87,'Janeiro 2023 - Valor Real'!A3:A15,'Janeiro 2023 - Valor Real'!C3:C15,0))+1))/((L85-1)*(1-_xlfn.XLOOKUP(K85,'Janeiro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Real'!C3:C15,0))+1))/((L85-1)*(1-_xlfn.XLOOKUP(K85,'Janeiro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Real'!C3:C15,0))+1))/((L86-1)*(1-_xlfn.XLOOKUP(K86,'Janeiro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Real'!C3:C15,0))+1))/((L87-1)*(1-_xlfn.XLOOKUP(K87,'Janeiro 2023 - Valor Real'!A3:A15,'Janeiro 2023 - Valor Real'!C3:C15,0))+1)),IF(I85="Lay",IF(I86="Lay",((L86/(L86-1)-1)*(1-_xlfn.XLOOKUP(K86,'Janeiro 2023 - Valor Real'!A3:A15,'Janeiro 2023 - Valor Real'!C3:C15,0))+1)/(((L86/(L86-1)-1)*(1-_xlfn.XLOOKUP(K86,'Janeiro 2023 - Valor Real'!A3:A15,'Janeiro 2023 - Valor Real'!C3:C15,0))+1)+((L85/(L85-1)-1)*(1-_xlfn.XLOOKUP(K85,'Janeiro 2023 - Valor Real'!A3:A15,'Janeiro 2023 - Valor Real'!C3:C15,0))+1)),((L86-1)*(1-_xlfn.XLOOKUP(K86,'Janeiro 2023 - Valor Real'!A3:A15,'Janeiro 2023 - Valor Real'!C3:C15,0))+1)/(((L86-1)*(1-_xlfn.XLOOKUP(K86,'Janeiro 2023 - Valor Real'!A3:A15,'Janeiro 2023 - Valor Real'!C3:C15,0))+1)+((L85/(L85-1)-1)*(1-_xlfn.XLOOKUP(K85,'Janeiro 2023 - Valor Real'!A3:A15,'Janeiro 2023 - Valor Real'!C3:C15,0))+1))),IF(I86="Lay",(((L86/(L86-1)-1)*(1-_xlfn.XLOOKUP(K86,'Janeiro 2023 - Valor Real'!A3:A15,'Janeiro 2023 - Valor Real'!C3:C15,0))+1))/(((L85-1)*(1-_xlfn.XLOOKUP(K85,'Janeiro 2023 - Valor Real'!A3:A15,'Janeiro 2023 - Valor Real'!C3:C15,0))+1)+((L86/(L86-1)-1)*(1-_xlfn.XLOOKUP(K86,'Janeiro 2023 - Valor Real'!A3:A15,'Janeiro 2023 - Valor Real'!C3:C15,0))+1)),((L86-1)*(1-_xlfn.XLOOKUP(K86,'Janeiro 2023 - Valor Real'!A3:A15,'Janeiro 2023 - Valor Real'!C3:C15,0))+1)/(((L86-1)*(1-_xlfn.XLOOKUP(K86,'Janeiro 2023 - Valor Real'!A3:A15,'Janeiro 2023 - Valor Real'!C3:C15,0))+1)+((L85-1)*(1-_xlfn.XLOOKUP(K85,'Janeiro 2023 - Valor Real'!A3:A15,'Janeiro 2023 - Valor Real'!C3:C15,0))+1))))))</f>
        <v>0.470720720720721</v>
      </c>
      <c r="AF85" s="197">
        <f>IF($K85=AF$3,ROUND(IF(OR($C85="W",$C85="1/2W",$C85="1/2L"),$P85-$O85,IF($C85="X",0,-$O85)),2),0)</f>
        <v>0</v>
      </c>
      <c r="AG85" s="198">
        <f>IF($K85=AG$3,ROUND(IF(OR($C85="W",$C85="1/2W",$C85="1/2L"),$P85-$O85,IF($C85="X",0,-$O85)),2),0)</f>
        <v>0</v>
      </c>
      <c r="AH85" s="198">
        <f>IF($K85=AH$3,ROUND(IF(OR($C85="W",$C85="1/2W",$C85="1/2L"),$P85-$O85,IF($C85="X",0,-$O85)),2),0)</f>
        <v>0</v>
      </c>
      <c r="AI85" s="198">
        <f>IF($K85=AI$3,ROUND(IF(OR($C85="W",$C85="1/2W",$C85="1/2L"),$P85-$O85,IF($C85="X",0,-$O85)),2),0)</f>
        <v>0</v>
      </c>
      <c r="AJ85" s="198">
        <f>IF($K85=AJ$3,ROUND(IF(OR($C85="W",$C85="1/2W",$C85="1/2L"),$P85-$O85,IF($C85="X",0,-$O85)),2),0)</f>
        <v>0</v>
      </c>
      <c r="AK85" s="198">
        <f>IF($K85=AK$3,ROUND(IF(OR($C85="W",$C85="1/2W",$C85="1/2L"),$P85-$O85,IF($C85="X",0,-$O85)),2),0)</f>
        <v>0</v>
      </c>
      <c r="AL85" s="198">
        <f>IF($K85=AL$3,ROUND(IF(OR($C85="W",$C85="1/2W",$C85="1/2L"),$P85-$O85,IF($C85="X",0,-$O85)),2),0)</f>
        <v>0</v>
      </c>
      <c r="AM85" s="198">
        <f>IF($K85=AM$3,ROUND(IF(OR($C85="W",$C85="1/2W",$C85="1/2L"),$P85-$O85,IF($C85="X",0,-$O85)),2),0)</f>
        <v>0</v>
      </c>
      <c r="AN85" s="198">
        <f>IF($K85=AN$3,ROUND(IF(OR($C85="W",$C85="1/2W",$C85="1/2L"),$P85-$O85,IF($C85="X",0,-$O85)),2),0)</f>
        <v>0</v>
      </c>
      <c r="AO85" s="198">
        <f>IF($K85=AO$3,ROUND(IF(OR($C85="W",$C85="1/2W",$C85="1/2L"),$P85-$O85,IF($C85="X",0,-$O85)),2),0)</f>
        <v>0</v>
      </c>
      <c r="AP85" s="198">
        <f>IF($K85=AP$3,ROUND(IF(OR($C85="W",$C85="1/2W",$C85="1/2L"),$P85-$O85,IF($C85="X",0,-$O85)),2),0)</f>
        <v>0</v>
      </c>
      <c r="AQ85" s="198">
        <f>IF($K85=AQ$3,ROUND(IF(OR($C85="W",$C85="1/2W",$C85="1/2L"),$P85-$O85,IF($C85="X",0,-$O85)),2),0)</f>
        <v>0</v>
      </c>
      <c r="AR85" s="199">
        <f>IF($K85=AR$3,ROUND(IF(OR($C85="W",$C85="1/2W",$C85="1/2L"),$P85-$O85,IF($C85="X",0,-$O85)),2),0)</f>
        <v>0</v>
      </c>
      <c r="AS85" s="197">
        <f>IF(AND($B85=" ",$K85=AS$3),$O85,0)</f>
        <v>0</v>
      </c>
      <c r="AT85" s="198">
        <f>IF(AND($B85=" ",$K85=AT$3),$O85,0)</f>
        <v>0</v>
      </c>
      <c r="AU85" s="198">
        <f>IF(AND($B85=" ",$K85=AU$3),$O85,0)</f>
        <v>0</v>
      </c>
      <c r="AV85" s="198">
        <f>IF(AND($B85=" ",$K85=AV$3),$O85,0)</f>
        <v>0</v>
      </c>
      <c r="AW85" s="198">
        <f>IF(AND($B85=" ",$K85=AW$3),$O85,0)</f>
        <v>0</v>
      </c>
      <c r="AX85" s="198">
        <f>IF(AND($B85=" ",$K85=AX$3),$O85,0)</f>
        <v>0</v>
      </c>
      <c r="AY85" s="200">
        <f>IF(AND($B85=" ",$K85=AY$3),$O85,0)</f>
        <v>0</v>
      </c>
      <c r="AZ85" s="201">
        <f>IF(AND($B85=" ",$K85=AZ$3),$O85,0)</f>
        <v>0</v>
      </c>
      <c r="BA85" s="201">
        <f>IF(AND($B85=" ",$K85=BA$3),$O85,0)</f>
        <v>0</v>
      </c>
      <c r="BB85" s="201">
        <f>IF(AND($B85=" ",$K85=BB$3),$O85,0)</f>
        <v>0</v>
      </c>
      <c r="BC85" s="202">
        <f>IF(AND($B85=" ",$K85=BC$3),$O85,0)</f>
        <v>0</v>
      </c>
      <c r="BD85" s="198">
        <f>IF(AND($B85=" ",$K85=BD$3),$O85,0)</f>
        <v>0</v>
      </c>
      <c r="BE85" s="199">
        <f>IF(AND($B85=" ",$K85=BE$3),$O85,0)</f>
        <v>0</v>
      </c>
      <c r="BF85" s="203">
        <f>IF($K85=BF$3,IF($C85="X",0,$O85),0)</f>
        <v>0</v>
      </c>
      <c r="BG85" s="198">
        <f>IF($K85=BG$3,IF($C85="X",0,$O85),0)</f>
        <v>0</v>
      </c>
      <c r="BH85" s="198">
        <f>IF($K85=BH$3,IF($C85="X",0,$O85),0)</f>
        <v>0</v>
      </c>
      <c r="BI85" s="198">
        <f>IF($K85=BI$3,IF($C85="X",0,$O85),0)</f>
        <v>0</v>
      </c>
      <c r="BJ85" s="198">
        <f>IF($K85=BJ$3,IF($C85="X",0,$O85),0)</f>
        <v>0</v>
      </c>
      <c r="BK85" s="198">
        <f>IF($K85=BK$3,IF($C85="X",0,$O85),0)</f>
        <v>0</v>
      </c>
      <c r="BL85" s="198">
        <f>IF($K85=BL$3,IF($C85="X",0,$O85),0)</f>
        <v>0</v>
      </c>
      <c r="BM85" s="200">
        <f>IF($K85=BM$3,IF($C85="X",0,$O85),0)</f>
        <v>0</v>
      </c>
      <c r="BN85" s="201">
        <f>IF($K85=BN$3,IF($C85="X",0,$O85),0)</f>
        <v>0</v>
      </c>
      <c r="BO85" s="201">
        <f>IF($K85=BO$3,IF($C85="X",0,$O85),0)</f>
        <v>0</v>
      </c>
      <c r="BP85" s="201">
        <f>IF($K85=BP$3,IF($C85="X",0,$O85),0)</f>
        <v>0</v>
      </c>
      <c r="BQ85" s="202">
        <f>IF($K85=BQ$3,IF($C85="X",0,$O85),0)</f>
        <v>0</v>
      </c>
      <c r="BR85" s="199">
        <f>IF($K85=BR$3,IF($C85="X",0,$O85),0)</f>
        <v>0</v>
      </c>
      <c r="BS85" s="204">
        <f>IF($B85="LOSS",IF(AND($K85=BS$3,$C85="L"),-$O85,0)+IF(AND($K86=BS$3,$C86="L"),-$O86,0)+IF(AND($K87=BS$3,$C87="L"),-$O87,0),IF(OR(AND($K85=BS$3,OR($C85="W",$C85="1/2W")),AND($K86=BS$3,OR($C86="W",$C86="1/2W")),AND($K87=BS$3,OR($C87="W",$C87="1/2W"))),$S85,0))</f>
        <v>0</v>
      </c>
      <c r="BT85" s="201">
        <f>IF($B85="LOSS",IF(AND($K85=BT$3,$C85="L"),-$O85,0)+IF(AND($K86=BT$3,$C86="L"),-$O86,0)+IF(AND($K86=BT$3,$C87="L"),-$O87,0),IF(OR(AND($K86=BT$3,OR($C85="W",$C85="1/2W")),AND($K86=BT$3,OR($C86="W",$C86="1/2W")),AND($K86=BT$3,OR($C87="W",$C87="1/2W"))),$S85,0))</f>
        <v>0</v>
      </c>
      <c r="BU85" s="201">
        <f>IF($B85="LOSS",IF(AND($K85=BU$3,$C85="L"),-$O85,0)+IF(AND($K86=BU$3,$C86="L"),-$O86,0)+IF(AND($K86=BU$3,$C87="L"),-$O87,0),IF(OR(AND($K86=BU$3,OR($C85="W",$C85="1/2W")),AND($K86=BU$3,OR($C86="W",$C86="1/2W")),AND($K86=BU$3,OR($C87="W",$C87="1/2W"))),$S85,0))</f>
        <v>0</v>
      </c>
      <c r="BV85" s="201">
        <f>IF($B85="LOSS",IF(AND($K85=BV$3,$C85="L"),-$O85,0)+IF(AND($K86=BV$3,$C86="L"),-$O86,0)+IF(AND($K87=BV$3,$C87="L"),-$O87,0),IF(OR(AND($K85=BV$3,OR($C85="W",$C85="1/2W")),AND($K86=BV$3,OR($C86="W",$C86="1/2W")),AND($K87=BV$3,OR($C87="W",$C87="1/2W"))),$S85,0))</f>
        <v>0</v>
      </c>
      <c r="BW85" s="201">
        <f>IF($B85="LOSS",IF(AND($K85=BW$3,$C85="L"),-$O85,0)+IF(AND($K86=BW$3,$C86="L"),-$O86,0)+IF(AND($K87=BW$3,$C87="L"),-$O87,0),IF(OR(AND($K85=BW$3,OR($C85="W",$C85="1/2W")),AND($K86=BW$3,OR($C86="W",$C86="1/2W")),AND($K87=BW$3,OR($C87="W",$C87="1/2W"))),$S85,0))</f>
        <v>0</v>
      </c>
      <c r="BX85" s="201">
        <f>IF($B85="LOSS",IF(AND($K85=BX$3,$C85="L"),-$O85,0)+IF(AND($K86=BX$3,$C86="L"),-$O86,0)+IF(AND($K87=BX$3,$C87="L"),-$O87,0),IF(OR(AND($K85=BX$3,OR($C85="W",$C85="1/2W")),AND($K86=BX$3,OR($C86="W",$C86="1/2W")),AND($K87=BX$3,OR($C87="W",$C87="1/2W"))),$S85,0))</f>
        <v>0</v>
      </c>
      <c r="BY85" s="201">
        <f>IF($B85="LOSS",IF(AND($K85=BY$3,$C85="L"),-$O85,0)+IF(AND($K86=BY$3,$C86="L"),-$O86,0)+IF(AND($K87=BY$3,$C87="L"),-$O87,0),IF(OR(AND($K85=BY$3,OR($C85="W",$C85="1/2W")),AND($K86=BY$3,OR($C86="W",$C86="1/2W")),AND($K87=BY$3,OR($C87="W",$C87="1/2W"))),$S85,0))</f>
        <v>0</v>
      </c>
      <c r="BZ85" s="205">
        <f>IF($B85="LOSS",IF(AND($K85=BZ$3,$C85="L"),-$O85,0)+IF(AND($K86=BZ$3,$C86="L"),-$O86,0)+IF(AND($K87=BZ$3,$C87="L"),-$O87,0),IF(OR(AND($K85=BZ$3,OR($C85="W",$C85="1/2W")),AND($K86=BZ$3,OR($C86="W",$C86="1/2W")),AND($K87=BZ$3,OR($C87="W",$C87="1/2W"))),$S85,0))</f>
        <v>0</v>
      </c>
      <c r="CA85" s="205">
        <f>IF($B85="LOSS",IF(AND($K85=CA$3,$C85="L"),-$O85,0)+IF(AND($K86=CA$3,$C86="L"),-$O86,0)+IF(AND($K87=CA$3,$C87="L"),-$O87,0),IF(OR(AND($K85=CA$3,OR($C85="W",$C85="1/2W")),AND($K86=CA$3,OR($C86="W",$C86="1/2W")),AND($K87=CA$3,OR($C87="W",$C87="1/2W"))),$S85,0))</f>
        <v>0</v>
      </c>
      <c r="CB85" s="205">
        <f>IF($B85="LOSS",IF(AND($K85=CB$3,$C85="L"),-$O85,0)+IF(AND($K86=CB$3,$C86="L"),-$O86,0)+IF(AND($K87=CB$3,$C87="L"),-$O87,0),IF(OR(AND($K85=CB$3,OR($C85="W",$C85="1/2W")),AND($K86=CB$3,OR($C86="W",$C86="1/2W")),AND($K87=CB$3,OR($C87="W",$C87="1/2W"))),$S85,0))</f>
        <v>0</v>
      </c>
      <c r="CC85" s="205">
        <f>IF($B85="LOSS",IF(AND($K85=CC$3,$C85="L"),-$O85,0)+IF(AND($K86=CC$3,$C86="L"),-$O86,0)+IF(AND($K87=CC$3,$C87="L"),-$O87,0),IF(OR(AND($K85=CC$3,OR($C85="W",$C85="1/2W")),AND($K86=CC$3,OR($C86="W",$C86="1/2W")),AND($K87=CC$3,OR($C87="W",$C87="1/2W"))),$S85,0))</f>
        <v>0</v>
      </c>
      <c r="CD85" s="202">
        <f>IF($B85="LOSS",IF(AND($K85=CD$3,$C85="L"),-$O85,0)+IF(AND($K86=CD$3,$C86="L"),-$O86,0)+IF(AND($K87=CD$3,$C87="L"),-$O87,0),IF(OR(AND($K85=CD$3,OR($C85="W",$C85="1/2W")),AND($K86=CD$3,OR($C86="W",$C86="1/2W")),AND($K87=CD$3,OR($C87="W",$C87="1/2W"))),$S85,0))</f>
        <v>0</v>
      </c>
      <c r="CE85" s="199">
        <f>IF($B85="LOSS",IF(AND($K85=CE$3,$C85="L"),-$O85,0)+IF(AND($K86=CE$3,$C86="L"),-$O86,0)+IF(AND($K87=CE$3,$C87="L"),-$O87,0),IF(OR(AND($K85=CE$3,OR($C85="W",$C85="1/2W")),AND($K86=CE$3,OR($C86="W",$C86="1/2W")),AND($K87=CE$3,OR($C87="W",$C87="1/2W"))),$S85,0))</f>
        <v>0</v>
      </c>
      <c r="CF85" s="206">
        <f>IF(CF$3=$K85,IF($C85="W",1,IF($C85="1/2W",0.5,0)),0)</f>
        <v>0</v>
      </c>
      <c r="CG85" s="207">
        <f>IF(CF$3=$K85,IF($C85="L",1,IF($C85="1/2L",0.5,0)),0)</f>
        <v>0</v>
      </c>
      <c r="CH85" s="207">
        <f>IF(CH$3=$K85,IF($C85="W",1,IF($C85="1/2W",0.5,0)),0)</f>
        <v>0</v>
      </c>
      <c r="CI85" s="207">
        <f>IF(CH$3=$K85,IF($C85="L",1,IF($C85="1/2L",0.5,0)),0)</f>
        <v>0</v>
      </c>
      <c r="CJ85" s="207">
        <f>IF(CJ$3=$K85,IF($C85="W",1,IF($C85="1/2W",0.5,0)),0)</f>
        <v>0</v>
      </c>
      <c r="CK85" s="207">
        <f>IF(CJ$3=$K85,IF($C85="L",1,IF($C85="1/2L",0.5,0)),0)</f>
        <v>0</v>
      </c>
      <c r="CL85" s="207">
        <f>IF(CL$3=$K85,IF($C85="W",1,IF($C85="1/2W",0.5,0)),0)</f>
        <v>0</v>
      </c>
      <c r="CM85" s="207">
        <f>IF(CL$3=$K85,IF($C85="L",1,IF($C85="1/2L",0.5,0)),0)</f>
        <v>0</v>
      </c>
      <c r="CN85" s="207">
        <f>IF(CN$3=$K85,IF($C85="W",1,IF($C85="1/2W",0.5,0)),0)</f>
        <v>0</v>
      </c>
      <c r="CO85" s="207">
        <f>IF(CN$3=$K85,IF($C85="L",1,IF($C85="1/2L",0.5,0)),0)</f>
        <v>0</v>
      </c>
      <c r="CP85" s="207">
        <f>IF(CP$3=$K85,IF($C85="W",1,IF($C85="1/2W",0.5,0)),0)</f>
        <v>0</v>
      </c>
      <c r="CQ85" s="207">
        <f>IF(CP$3=$K85,IF($C85="L",1,IF($C85="1/2L",0.5,0)),0)</f>
        <v>0</v>
      </c>
      <c r="CR85" s="207">
        <f>IF(CR$3=$K85,IF($C85="W",1,IF($C85="1/2W",0.5,0)),0)</f>
        <v>0</v>
      </c>
      <c r="CS85" s="207">
        <f>IF(CR$3=$K85,IF($C85="L",1,IF($C85="1/2L",0.5,0)),0)</f>
        <v>0</v>
      </c>
      <c r="CT85" s="208">
        <f>IF(CT$3=$K85,IF($C85="W",1,IF($C85="1/2W",0.5,0)),0)</f>
        <v>0</v>
      </c>
      <c r="CU85" s="209">
        <f>IF(CT$3=$K85,IF($C85="L",1,IF($C85="1/2L",0.5,0)),0)</f>
        <v>0</v>
      </c>
      <c r="CV85" s="209">
        <f>IF(CV$3=$K85,IF($C85="W",1,IF($C85="1/2W",0.5,0)),0)</f>
        <v>0</v>
      </c>
      <c r="CW85" s="209">
        <f>IF(CV$3=$K85,IF($C85="L",1,IF($C85="1/2L",0.5,0)),0)</f>
        <v>0</v>
      </c>
      <c r="CX85" s="209">
        <f>IF(CX$3=$K85,IF($C85="W",1,IF($C85="1/2W",0.5,0)),0)</f>
        <v>0</v>
      </c>
      <c r="CY85" s="209">
        <f>IF(CX$3=$K85,IF($C85="L",1,IF($C85="1/2L",0.5,0)),0)</f>
        <v>0</v>
      </c>
      <c r="CZ85" s="209">
        <f>IF(CZ$3=$K85,IF($C85="W",1,IF($C85="1/2W",0.5,0)),0)</f>
        <v>0</v>
      </c>
      <c r="DA85" s="209">
        <f>IF(CZ$3=$K85,IF($C85="L",1,IF($C85="1/2L",0.5,0)),0)</f>
        <v>0</v>
      </c>
      <c r="DB85" s="209">
        <f>IF(DB$3=$K85,IF($C85="W",1,IF($C85="1/2W",0.5,0)),0)</f>
        <v>0</v>
      </c>
      <c r="DC85" s="209">
        <f>IF(DB$3=$K85,IF($C85="L",1,IF($C85="1/2L",0.5,0)),0)</f>
        <v>0</v>
      </c>
      <c r="DD85" s="209">
        <f>IF(DD$3=$K85,IF($C85="W",1,IF($C85="1/2W",0.5,0)),0)</f>
        <v>0</v>
      </c>
      <c r="DE85" s="210">
        <f>IF(DD$3=$K85,IF($C85="L",1,IF($C85="1/2L",0.5,0)),0)</f>
        <v>0</v>
      </c>
      <c r="DF85" s="211">
        <f>IF(AND(L85&lt;DF$3,$C85="W"),1+DF84,DF84)</f>
        <v>6</v>
      </c>
      <c r="DG85" s="198">
        <f>IF(DF85&gt;DF84,L85+DG84,DG84)</f>
        <v>7.998</v>
      </c>
      <c r="DH85" s="209">
        <f>IF(AND(L85&gt;DH$3,$C85="W"),1+DH84,0+DH84)</f>
        <v>1</v>
      </c>
      <c r="DI85" s="198">
        <f>IF(DH85&gt;DH84,L85+DI84,DI84)</f>
        <v>4.33</v>
      </c>
      <c r="DJ85" t="s" s="306">
        <f>IF($D85="","",$D85)</f>
        <v>101</v>
      </c>
      <c r="DK85" s="209">
        <f>IF(AND($B85=" ",$D85&lt;&gt;""),1,0)</f>
        <v>0</v>
      </c>
    </row>
    <row r="86" ht="14.55" customHeight="1">
      <c r="A86" s="107"/>
      <c r="B86" s="108"/>
      <c r="C86" t="s" s="213">
        <v>114</v>
      </c>
      <c r="D86" s="110"/>
      <c r="E86" s="111"/>
      <c r="F86" s="113"/>
      <c r="G86" s="214"/>
      <c r="H86" s="114"/>
      <c r="I86" t="s" s="215">
        <v>67</v>
      </c>
      <c r="J86" s="296">
        <f>IF(OR(I85="TO",I85="TU",I85="TO1",I85="TU1",I85="TO2",I85="TU2"),J85,IF(OR(I85="AH1",I85="AH2"),IF(OR(I86="AH1",I86="AH2"),-J85,IF(OR(I86="EH1",I86="EH2"),-J85+0.5,"")),IF(OR(I85="EH1",I85="EH2"),IF(OR(I86="AH1",I86="AH2"),-J85+0.5,IF(OR(I86="EH1",I86="EH2"),-J85+1,"")),IF(AND(OR(I85="DNB1",I85="DNB2"),OR(I86="AH1",I86="AH2")),0,IF(AND(I85="Not ScoreBoth",OR(I86="TO1",I86="TO2")),0.5,"")))))</f>
        <v>25.5</v>
      </c>
      <c r="K86" t="s" s="217">
        <v>44</v>
      </c>
      <c r="L86" s="218">
        <v>2.09</v>
      </c>
      <c r="M86" s="219"/>
      <c r="N86" s="120"/>
      <c r="O86" s="220">
        <f>IF(OR(AE85="",AE86=""),"",ROUND(IF(L87&gt;0,IF(M86&gt;0,M86,IF(M85&gt;0,IF(N85=TRUE,ROUND((M85*AE86)/AE85,0),(M85*AE86)/AE85),IF(M86&gt;0,ROUND(M86,IF(N85=0,2,IF(N85=0.1,1,0))),IF(M87&gt;0,ROUND(O87*AE86/AE87,IF(N85=0,2,IF(N85=0.1,1,0))),0)))),IF(M86&gt;0,M86,ROUND((M85*AE86)/AE85,IF(N85=0,2,IF(N85=0.1,1,0))))),2))</f>
        <v>9.369999999999999</v>
      </c>
      <c r="P86" s="221">
        <f>IF(OR(L86="",O86=""),"",IF($C86="1/2W",O86/2+O86/2*L86,IF($C86="1/2L",O86/2,IF(I86="Lay",((O86*(L86/(L86-1)))-O86)*(1-_xlfn.XLOOKUP(K86,'Janeiro 2023 - Valor Real'!A3:A15,'Janeiro 2023 - Valor Real'!C3:C15,0))+O86,(O86*L86-O86)*(1-_xlfn.XLOOKUP(K86,'Janeiro 2023 - Valor Real'!A3:A15,'Janeiro 2023 - Valor Real'!C3:C15,0))+O86))))</f>
        <v>19.5833</v>
      </c>
      <c r="Q86" s="222">
        <f>IF(K86="","",IF(_xlfn.XLOOKUP(K86,K$4:K85,DJ$4:DJ85,0,,-1)=DJ86,_xlfn.XLOOKUP(K86,K$4:K85,Q$4:Q85,1,,-1)+1,1))</f>
        <v>6</v>
      </c>
      <c r="R86" s="223">
        <f>IF(K86="","",_xlfn.XLOOKUP(K86,K$4:K85,R$4:R85,0,,-1)+IF($C86=" ",1,0))</f>
        <v>0</v>
      </c>
      <c r="S86" s="125"/>
      <c r="T86" s="126"/>
      <c r="U86" s="126"/>
      <c r="V86" s="224"/>
      <c r="W86" s="126"/>
      <c r="X86" s="127"/>
      <c r="Y86" s="128"/>
      <c r="Z86" s="129"/>
      <c r="AA86" s="129"/>
      <c r="AB86" s="129"/>
      <c r="AC86" s="129"/>
      <c r="AD86" s="225">
        <f>(((L86/(L86-1)-1)*(1-_xlfn.XLOOKUP(K86,'Janeiro 2023 - Valor Real'!A3:A15,'Janeiro 2023 - Valor Real'!C3:C15,0))+1))</f>
        <v>1.91743119266055</v>
      </c>
      <c r="AE86" s="226">
        <f>IF(L86="","",IF(L87&gt;0,(SUM(((L85-1)*(1-_xlfn.XLOOKUP(K85,'Janeiro 2023 - Valor Real'!A3:A15,'Janeiro 2023 - Valor Real'!C3:C15,0))+1),((L86-1)*(1-_xlfn.XLOOKUP(K86,'Janeiro 2023 - Valor Real'!A3:A15,'Janeiro 2023 - Valor Real'!C3:C15,0))+1),((L87-1)*(1-_xlfn.XLOOKUP(K87,'Janeiro 2023 - Valor Real'!A3:A15,'Janeiro 2023 - Valor Real'!C3:C15,0))+1))/((L86-1)*(1-_xlfn.XLOOKUP(K86,'Janeiro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Real'!C3:C15,0))+1))/((L85-1)*(1-_xlfn.XLOOKUP(K85,'Janeiro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Real'!C3:C15,0))+1))/((L86-1)*(1-_xlfn.XLOOKUP(K86,'Janeiro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Real'!C3:C15,0))+1))/((L87-1)*(1-_xlfn.XLOOKUP(K87,'Janeiro 2023 - Valor Real'!A3:A15,'Janeiro 2023 - Valor Real'!C3:C15,0))+1)),IF(I86="Lay",IF(I85="Lay",((L85/(L85-1)-1)*(1-_xlfn.XLOOKUP(K85,'Janeiro 2023 - Valor Real'!A3:A15,'Janeiro 2023 - Valor Real'!C3:C15,0))+1)/(((L85/(L85-1)-1)*(1-_xlfn.XLOOKUP(K85,'Janeiro 2023 - Valor Real'!A3:A15,'Janeiro 2023 - Valor Real'!C3:C15,0))+1)+((L86/(L86-1)-1)*(1-_xlfn.XLOOKUP(K86,'Janeiro 2023 - Valor Real'!A3:A15,'Janeiro 2023 - Valor Real'!C3:C15,0))+1)),((L85-1)*(1-_xlfn.XLOOKUP(K85,'Janeiro 2023 - Valor Real'!A3:A15,'Janeiro 2023 - Valor Real'!C3:C15,0))+1)/(((L85-1)*(1-_xlfn.XLOOKUP(K85,'Janeiro 2023 - Valor Real'!A3:A15,'Janeiro 2023 - Valor Real'!C3:C15,0))+1)+((L86/(L86-1)-1)*(1-_xlfn.XLOOKUP(K86,'Janeiro 2023 - Valor Real'!A3:A15,'Janeiro 2023 - Valor Real'!C3:C15,0))+1))),IF(I85="Lay",((L85/(L85-1)-1)*(1-_xlfn.XLOOKUP(K85,'Janeiro 2023 - Valor Real'!A3:A15,'Janeiro 2023 - Valor Real'!C3:C15,0))+1)/((((L85/(L85-1)-1)*(1-_xlfn.XLOOKUP(K85,'Janeiro 2023 - Valor Real'!A3:A15,'Janeiro 2023 - Valor Real'!C3:C15,0))+1))+((L86-1)*(1-_xlfn.XLOOKUP(K86,'Janeiro 2023 - Valor Real'!A3:A15,'Janeiro 2023 - Valor Real'!C3:C15,0))+1)),((L85-1)*(1-_xlfn.XLOOKUP(K85,'Janeiro 2023 - Valor Real'!A3:A15,'Janeiro 2023 - Valor Real'!C3:C15,0))+1)/(((L85-1)*(1-_xlfn.XLOOKUP(K85,'Janeiro 2023 - Valor Real'!A3:A15,'Janeiro 2023 - Valor Real'!C3:C15,0))+1)+((L86-1)*(1-_xlfn.XLOOKUP(K86,'Janeiro 2023 - Valor Real'!A3:A15,'Janeiro 2023 - Valor Real'!C3:C15,0))+1))))))</f>
        <v>0.529279279279279</v>
      </c>
      <c r="AF86" s="197">
        <f>IF($K86=AF$3,ROUND(IF(OR($C86="W",$C86="1/2W",$C86="1/2L"),$P86-$O86,IF($C86="X",0,-$O86)),2),0)</f>
        <v>0</v>
      </c>
      <c r="AG86" s="198">
        <f>IF($K86=AG$3,ROUND(IF(OR($C86="W",$C86="1/2W",$C86="1/2L"),$P86-$O86,IF($C86="X",0,-$O86)),2),0)</f>
        <v>0</v>
      </c>
      <c r="AH86" s="198">
        <f>IF($K86=AH$3,ROUND(IF(OR($C86="W",$C86="1/2W",$C86="1/2L"),$P86-$O86,IF($C86="X",0,-$O86)),2),0)</f>
        <v>0</v>
      </c>
      <c r="AI86" s="198">
        <f>IF($K86=AI$3,ROUND(IF(OR($C86="W",$C86="1/2W",$C86="1/2L"),$P86-$O86,IF($C86="X",0,-$O86)),2),0)</f>
        <v>0</v>
      </c>
      <c r="AJ86" s="198">
        <f>IF($K86=AJ$3,ROUND(IF(OR($C86="W",$C86="1/2W",$C86="1/2L"),$P86-$O86,IF($C86="X",0,-$O86)),2),0)</f>
        <v>0</v>
      </c>
      <c r="AK86" s="198">
        <f>IF($K86=AK$3,ROUND(IF(OR($C86="W",$C86="1/2W",$C86="1/2L"),$P86-$O86,IF($C86="X",0,-$O86)),2),0)</f>
        <v>0</v>
      </c>
      <c r="AL86" s="198">
        <f>IF($K86=AL$3,ROUND(IF(OR($C86="W",$C86="1/2W",$C86="1/2L"),$P86-$O86,IF($C86="X",0,-$O86)),2),0)</f>
        <v>0</v>
      </c>
      <c r="AM86" s="198">
        <f>IF($K86=AM$3,ROUND(IF(OR($C86="W",$C86="1/2W",$C86="1/2L"),$P86-$O86,IF($C86="X",0,-$O86)),2),0)</f>
        <v>0</v>
      </c>
      <c r="AN86" s="198">
        <f>IF($K86=AN$3,ROUND(IF(OR($C86="W",$C86="1/2W",$C86="1/2L"),$P86-$O86,IF($C86="X",0,-$O86)),2),0)</f>
        <v>0</v>
      </c>
      <c r="AO86" s="198">
        <f>IF($K86=AO$3,ROUND(IF(OR($C86="W",$C86="1/2W",$C86="1/2L"),$P86-$O86,IF($C86="X",0,-$O86)),2),0)</f>
        <v>0</v>
      </c>
      <c r="AP86" s="198">
        <f>IF($K86=AP$3,ROUND(IF(OR($C86="W",$C86="1/2W",$C86="1/2L"),$P86-$O86,IF($C86="X",0,-$O86)),2),0)</f>
        <v>0</v>
      </c>
      <c r="AQ86" s="198">
        <f>IF($K86=AQ$3,ROUND(IF(OR($C86="W",$C86="1/2W",$C86="1/2L"),$P86-$O86,IF($C86="X",0,-$O86)),2),0)</f>
        <v>0</v>
      </c>
      <c r="AR86" s="199">
        <f>IF($K86=AR$3,ROUND(IF(OR($C86="W",$C86="1/2W",$C86="1/2L"),$P86-$O86,IF($C86="X",0,-$O86)),2),0)</f>
        <v>0</v>
      </c>
      <c r="AS86" s="197">
        <f>IF(AND($B85=" ",$K86=AS$3),$O86,0)</f>
        <v>0</v>
      </c>
      <c r="AT86" s="198">
        <f>IF(AND($B85=" ",K86=AT$3),$O86,0)</f>
        <v>0</v>
      </c>
      <c r="AU86" s="198">
        <f>IF(AND($B85=" ",$K86=AU$3),$O86,0)</f>
        <v>0</v>
      </c>
      <c r="AV86" s="198">
        <f>IF(AND($B85=" ",$K86=AV$3),$O86,0)</f>
        <v>0</v>
      </c>
      <c r="AW86" s="198">
        <f>IF(AND($B85=" ",$K86=AW$3),$O86,0)</f>
        <v>0</v>
      </c>
      <c r="AX86" s="198">
        <f>IF(AND($B85=" ",$K86=AX$3),$O86,0)</f>
        <v>0</v>
      </c>
      <c r="AY86" s="200">
        <f>IF(AND($B85=" ",$K86=AY$3),$O86,0)</f>
        <v>0</v>
      </c>
      <c r="AZ86" s="201">
        <f>IF(AND($B85=" ",$K86=AZ$3),$O86,0)</f>
        <v>0</v>
      </c>
      <c r="BA86" s="201">
        <f>IF(AND($B85=" ",$K86=BA$3),$O86,0)</f>
        <v>0</v>
      </c>
      <c r="BB86" s="201">
        <f>IF(AND($B85=" ",$K86=BB$3),$O86,0)</f>
        <v>0</v>
      </c>
      <c r="BC86" s="202">
        <f>IF(AND($B85=" ",$K86=BC$3),$O86,0)</f>
        <v>0</v>
      </c>
      <c r="BD86" s="198">
        <f>IF(AND($B85=" ",$K86=BD$3),$O86,0)</f>
        <v>0</v>
      </c>
      <c r="BE86" s="199">
        <f>IF(AND($B85=" ",$K86=BE$3),$O86,0)</f>
        <v>0</v>
      </c>
      <c r="BF86" s="197">
        <f>IF($K86=BF$3,IF($C86="X",0,$O86),0)</f>
        <v>0</v>
      </c>
      <c r="BG86" s="198">
        <f>IF($K86=BG$3,IF($C86="X",0,$O86),0)</f>
        <v>0</v>
      </c>
      <c r="BH86" s="198">
        <f>IF($K86=BH$3,IF($C86="X",0,$O86),0)</f>
        <v>0</v>
      </c>
      <c r="BI86" s="198">
        <f>IF($K86=BI$3,IF($C86="X",0,$O86),0)</f>
        <v>0</v>
      </c>
      <c r="BJ86" s="198">
        <f>IF($K86=BJ$3,IF($C86="X",0,$O86),0)</f>
        <v>0</v>
      </c>
      <c r="BK86" s="198">
        <f>IF($K86=BK$3,IF($C86="X",0,$O86),0)</f>
        <v>0</v>
      </c>
      <c r="BL86" s="198">
        <f>IF($K86=BL$3,IF($C86="X",0,$O86),0)</f>
        <v>0</v>
      </c>
      <c r="BM86" s="227">
        <f>IF($K86=BM$3,IF($C86="X",0,$O86),0)</f>
        <v>0</v>
      </c>
      <c r="BN86" s="205">
        <f>IF($K86=BN$3,IF($C86="X",0,$O86),0)</f>
        <v>0</v>
      </c>
      <c r="BO86" s="205">
        <f>IF($K86=BO$3,IF($C86="X",0,$O86),0)</f>
        <v>0</v>
      </c>
      <c r="BP86" s="205">
        <f>IF($K86=BP$3,IF($C86="X",0,$O86),0)</f>
        <v>0</v>
      </c>
      <c r="BQ86" s="202">
        <f>IF($K86=BQ$3,IF($C86="X",0,$O86),0)</f>
        <v>0</v>
      </c>
      <c r="BR86" s="199">
        <f>IF($K86=BR$3,IF($C86="X",0,$O86),0)</f>
        <v>0</v>
      </c>
      <c r="BS86" s="228"/>
      <c r="BT86" s="229"/>
      <c r="BU86" s="140"/>
      <c r="BV86" s="229"/>
      <c r="BW86" s="140"/>
      <c r="BX86" s="140"/>
      <c r="BY86" s="140"/>
      <c r="BZ86" s="229"/>
      <c r="CA86" s="140"/>
      <c r="CB86" s="140"/>
      <c r="CC86" s="140"/>
      <c r="CD86" s="141"/>
      <c r="CE86" s="142"/>
      <c r="CF86" s="230">
        <f>IF(CF$3=$K86,IF($C86="W",1,IF($C86="1/2W",0.5,0)),0)</f>
        <v>0</v>
      </c>
      <c r="CG86" s="231">
        <f>IF(CF$3=$K86,IF($C86="L",1,IF($C86="1/2L",0.5,0)),0)</f>
        <v>0</v>
      </c>
      <c r="CH86" s="231">
        <f>IF(CH$3=$K86,IF($C86="W",1,IF($C86="1/2W",0.5,0)),0)</f>
        <v>0</v>
      </c>
      <c r="CI86" s="231">
        <f>IF(CH$3=$K86,IF($C86="L",1,IF($C86="1/2L",0.5,0)),0)</f>
        <v>0</v>
      </c>
      <c r="CJ86" s="231">
        <f>IF(CJ$3=$K86,IF($C86="W",1,IF($C86="1/2W",0.5,0)),0)</f>
        <v>0</v>
      </c>
      <c r="CK86" s="231">
        <f>IF(CJ$3=$K86,IF($C86="L",1,IF($C86="1/2L",0.5,0)),0)</f>
        <v>0</v>
      </c>
      <c r="CL86" s="231">
        <f>IF(CL$3=$K86,IF($C86="W",1,IF($C86="1/2W",0.5,0)),0)</f>
        <v>0</v>
      </c>
      <c r="CM86" s="231">
        <f>IF(CL$3=$K86,IF($C86="L",1,IF($C86="1/2L",0.5,0)),0)</f>
        <v>0</v>
      </c>
      <c r="CN86" s="231">
        <f>IF(CN$3=$K86,IF($C86="W",1,IF($C86="1/2W",0.5,0)),0)</f>
        <v>0</v>
      </c>
      <c r="CO86" s="231">
        <f>IF(CN$3=$K86,IF($C86="L",1,IF($C86="1/2L",0.5,0)),0)</f>
        <v>0</v>
      </c>
      <c r="CP86" s="231">
        <f>IF(CP$3=$K86,IF($C86="W",1,IF($C86="1/2W",0.5,0)),0)</f>
        <v>0</v>
      </c>
      <c r="CQ86" s="231">
        <f>IF(CP$3=$K86,IF($C86="L",1,IF($C86="1/2L",0.5,0)),0)</f>
        <v>0</v>
      </c>
      <c r="CR86" s="231">
        <f>IF(CR$3=$K86,IF($C86="W",1,IF($C86="1/2W",0.5,0)),0)</f>
        <v>0</v>
      </c>
      <c r="CS86" s="231">
        <f>IF(CR$3=$K86,IF($C86="L",1,IF($C86="1/2L",0.5,0)),0)</f>
        <v>0</v>
      </c>
      <c r="CT86" s="208">
        <f>IF(CT$3=$K86,IF($C86="W",1,IF($C86="1/2W",0.5,0)),0)</f>
        <v>0</v>
      </c>
      <c r="CU86" s="209">
        <f>IF(CT$3=$K86,IF($C86="L",1,IF($C86="1/2L",0.5,0)),0)</f>
        <v>0</v>
      </c>
      <c r="CV86" s="209">
        <f>IF(CV$3=$K86,IF($C86="W",1,IF($C86="1/2W",0.5,0)),0)</f>
        <v>0</v>
      </c>
      <c r="CW86" s="209">
        <f>IF(CV$3=$K86,IF($C86="L",1,IF($C86="1/2L",0.5,0)),0)</f>
        <v>0</v>
      </c>
      <c r="CX86" s="209">
        <f>IF(CX$3=$K86,IF($C86="W",1,IF($C86="1/2W",0.5,0)),0)</f>
        <v>0</v>
      </c>
      <c r="CY86" s="209">
        <f>IF(CX$3=$K86,IF($C86="L",1,IF($C86="1/2L",0.5,0)),0)</f>
        <v>0</v>
      </c>
      <c r="CZ86" s="209">
        <f>IF(CZ$3=$K86,IF($C86="W",1,IF($C86="1/2W",0.5,0)),0)</f>
        <v>0</v>
      </c>
      <c r="DA86" s="209">
        <f>IF(CZ$3=$K86,IF($C86="L",1,IF($C86="1/2L",0.5,0)),0)</f>
        <v>0</v>
      </c>
      <c r="DB86" s="209">
        <f>IF(DB$3=$K86,IF($C86="W",1,IF($C86="1/2W",0.5,0)),0)</f>
        <v>0</v>
      </c>
      <c r="DC86" s="209">
        <f>IF(DB$3=$K86,IF($C86="L",1,IF($C86="1/2L",0.5,0)),0)</f>
        <v>0</v>
      </c>
      <c r="DD86" s="209">
        <f>IF(DD$3=$K86,IF($C86="W",1,IF($C86="1/2W",0.5,0)),0)</f>
        <v>0</v>
      </c>
      <c r="DE86" s="210">
        <f>IF(DD$3=$K86,IF($C86="L",1,IF($C86="1/2L",0.5,0)),0)</f>
        <v>0</v>
      </c>
      <c r="DF86" s="211">
        <f>IF(AND(L86&lt;DF$3,$C86="W"),1+DF85,DF85)</f>
        <v>6</v>
      </c>
      <c r="DG86" s="198">
        <f>IF(DF86&gt;DF85,L86+DG85,DG85)</f>
        <v>7.998</v>
      </c>
      <c r="DH86" s="209">
        <f>IF(AND(L86&gt;DH$3,$C86="W"),1+DH85,0+DH85)</f>
        <v>1</v>
      </c>
      <c r="DI86" s="198">
        <f>IF(DH86&gt;DH85,L86+DI85,DI85)</f>
        <v>4.33</v>
      </c>
      <c r="DJ86" t="s" s="306">
        <f>IF($D85="","",$D85)</f>
        <v>101</v>
      </c>
      <c r="DK86" s="232"/>
    </row>
    <row r="87" ht="14.55" customHeight="1">
      <c r="A87" s="149"/>
      <c r="B87" s="150"/>
      <c r="C87" t="s" s="233">
        <v>58</v>
      </c>
      <c r="D87" s="152"/>
      <c r="E87" s="153"/>
      <c r="F87" s="155"/>
      <c r="G87" s="234"/>
      <c r="H87" s="156"/>
      <c r="I87" s="235"/>
      <c r="J87" s="236"/>
      <c r="K87" s="237"/>
      <c r="L87" s="238"/>
      <c r="M87" s="239"/>
      <c r="N87" s="161"/>
      <c r="O87" t="s" s="240">
        <f>IF(OR(AE85="",AE86=""),"",IF(L87&gt;0,ROUND(IF(M87&gt;0,M87,IF(M85&gt;0,ROUND((M85*AE87)/AE85,IF(N85=0,2,IF(N85=0.1,1,0))),IF(M86&gt;0,ROUND((M86*AE87)/AE86,IF(N85=0,2,IF(N85=0.1,1,0))),IF(M87&gt;0,M87,0)))),2),""))</f>
      </c>
      <c r="P87" t="s" s="241">
        <f>IF(I86="Lay",O86*(L86/(L86-1))-O86,IF(I85="Lay",O85*(L85/(L85-1))-O85,IF(OR(L87="",O87=""),"",IF($C87="1/2W",O87/2+O87/2*L87,IF($C87="1/2L",O87/2,(O87*L87-O87)*(1-_xlfn.XLOOKUP(K87,'Janeiro 2023 - Valor Real'!A3:A15,'Janeiro 2023 - Valor Real'!C3:C15,0))+O87)))))</f>
      </c>
      <c r="Q87" t="s" s="242">
        <f>IF(K87="","",IF(_xlfn.XLOOKUP(K87,K$4:K86,DJ$4:DJ86,0,,-1)=DJ87,_xlfn.XLOOKUP(K87,K$4:K86,Q$4:Q86,1,,-1)+1,1))</f>
      </c>
      <c r="R87" t="s" s="243">
        <f>IF(K87="","",_xlfn.XLOOKUP(K87,K$4:K86,R$4:R86,0,,-1)+IF($C87=" ",1,0))</f>
      </c>
      <c r="S87" s="166"/>
      <c r="T87" s="155"/>
      <c r="U87" s="155"/>
      <c r="V87" s="166"/>
      <c r="W87" s="155"/>
      <c r="X87" s="167"/>
      <c r="Y87" s="128"/>
      <c r="Z87" s="129"/>
      <c r="AA87" s="129"/>
      <c r="AB87" s="129"/>
      <c r="AC87" s="129"/>
      <c r="AD87" s="244">
        <f>((L86/(L86-1)-1))</f>
        <v>0.91743119266055</v>
      </c>
      <c r="AE87" t="s" s="245">
        <f>IF(L87="","",(SUM(((L85-1)*(1-_xlfn.XLOOKUP(K85,'Janeiro 2023 - Valor Real'!A3:A15,'Janeiro 2023 - Valor Real'!C3:C15,0))+1),((L86-1)*(1-_xlfn.XLOOKUP(K86,'Janeiro 2023 - Valor Real'!A3:A15,'Janeiro 2023 - Valor Real'!C3:C15,0))+1),((L87-1)*(1-_xlfn.XLOOKUP(K87,'Janeiro 2023 - Valor Real'!A3:A15,'Janeiro 2023 - Valor Real'!C3:C15,0))+1))/((L87-1)*(1-_xlfn.XLOOKUP(K87,'Janeiro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Real'!C3:C15,0))+1))/((L85-1)*(1-_xlfn.XLOOKUP(K85,'Janeiro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Real'!C3:C15,0))+1))/((L86-1)*(1-_xlfn.XLOOKUP(K86,'Janeiro 2023 - Valor Real'!A3:A15,'Janeiro 2023 - Valor Real'!C3:C15,0))+1)+SUM(((L85-1)*(1-_xlfn.XLOOKUP(K85,'Janeiro 2023 - Valor Real'!A3:A15,'Janeiro 2023 - Valor Real'!C3:C15,0))+1),((L86-1)*(1-_xlfn.XLOOKUP(K86,'Janeiro 2023 - Valor Real'!A3:A15,'Janeiro 2023 - Valor Real'!C3:C15,0))+1),((L87-1)*(1-_xlfn.XLOOKUP(K87,'Janeiro 2023 - Valor Real'!A3:A15,'Janeiro 2023 - Valor Real'!C3:C15,0))+1))/((L87-1)*(1-_xlfn.XLOOKUP(K87,'Janeiro 2023 - Valor Real'!A3:A15,'Janeiro 2023 - Valor Real'!C3:C15,0))+1)))</f>
      </c>
      <c r="AF87" s="197">
        <f>IF($K87=AF$3,ROUND(IF(OR($C87="W",$C87="1/2W",$C87="1/2L"),$P87-$O87,IF($C87="X",0,-$O87)),2),0)</f>
        <v>0</v>
      </c>
      <c r="AG87" s="198">
        <f>IF($K87=AG$3,ROUND(IF(OR($C87="W",$C87="1/2W",$C87="1/2L"),$P87-$O87,IF($C87="X",0,-$O87)),2),0)</f>
        <v>0</v>
      </c>
      <c r="AH87" s="198">
        <f>IF($K87=AH$3,ROUND(IF(OR($C87="W",$C87="1/2W",$C87="1/2L"),$P87-$O87,IF($C87="X",0,-$O87)),2),0)</f>
        <v>0</v>
      </c>
      <c r="AI87" s="198">
        <f>IF($K87=AI$3,ROUND(IF(OR($C87="W",$C87="1/2W",$C87="1/2L"),$P87-$O87,IF($C87="X",0,-$O87)),2),0)</f>
        <v>0</v>
      </c>
      <c r="AJ87" s="198">
        <f>IF($K87=AJ$3,ROUND(IF(OR($C87="W",$C87="1/2W",$C87="1/2L"),$P87-$O87,IF($C87="X",0,-$O87)),2),0)</f>
        <v>0</v>
      </c>
      <c r="AK87" s="198">
        <f>IF($K87=AK$3,ROUND(IF(OR($C87="W",$C87="1/2W",$C87="1/2L"),$P87-$O87,IF($C87="X",0,-$O87)),2),0)</f>
        <v>0</v>
      </c>
      <c r="AL87" s="198">
        <f>IF($K87=AL$3,ROUND(IF(OR($C87="W",$C87="1/2W",$C87="1/2L"),$P87-$O87,IF($C87="X",0,-$O87)),2),0)</f>
        <v>0</v>
      </c>
      <c r="AM87" s="198">
        <f>IF($K87=AM$3,ROUND(IF(OR($C87="W",$C87="1/2W",$C87="1/2L"),$P87-$O87,IF($C87="X",0,-$O87)),2),0)</f>
        <v>0</v>
      </c>
      <c r="AN87" s="198">
        <f>IF($K87=AN$3,ROUND(IF(OR($C87="W",$C87="1/2W",$C87="1/2L"),$P87-$O87,IF($C87="X",0,-$O87)),2),0)</f>
        <v>0</v>
      </c>
      <c r="AO87" s="198">
        <f>IF($K87=AO$3,ROUND(IF(OR($C87="W",$C87="1/2W",$C87="1/2L"),$P87-$O87,IF($C87="X",0,-$O87)),2),0)</f>
        <v>0</v>
      </c>
      <c r="AP87" s="198">
        <f>IF($K87=AP$3,ROUND(IF(OR($C87="W",$C87="1/2W",$C87="1/2L"),$P87-$O87,IF($C87="X",0,-$O87)),2),0)</f>
        <v>0</v>
      </c>
      <c r="AQ87" s="198">
        <f>IF($K87=AQ$3,ROUND(IF(OR($C87="W",$C87="1/2W",$C87="1/2L"),$P87-$O87,IF($C87="X",0,-$O87)),2),0)</f>
        <v>0</v>
      </c>
      <c r="AR87" s="199">
        <f>IF($K87=AR$3,ROUND(IF(OR($C87="W",$C87="1/2W",$C87="1/2L"),$P87-$O87,IF($C87="X",0,-$O87)),2),0)</f>
        <v>0</v>
      </c>
      <c r="AS87" s="197">
        <f>IF(AND($B85=" ",$K87=AS$3),$O87,0)</f>
        <v>0</v>
      </c>
      <c r="AT87" s="198">
        <f>IF(AND($B85=" ",K87=AT$3),$O87,0)</f>
        <v>0</v>
      </c>
      <c r="AU87" s="198">
        <f>IF(AND($B85=" ",$K87=AU$3),$O87,0)</f>
        <v>0</v>
      </c>
      <c r="AV87" s="198">
        <f>IF(AND($B85=" ",$K87=AV$3),$O87,0)</f>
        <v>0</v>
      </c>
      <c r="AW87" s="198">
        <f>IF(AND($B85=" ",$K87=AW$3),$O87,0)</f>
        <v>0</v>
      </c>
      <c r="AX87" s="198">
        <f>IF(AND($B85=" ",$K87=AX$3),$O87,0)</f>
        <v>0</v>
      </c>
      <c r="AY87" s="200">
        <f>IF(AND($B85=" ",$K87=AY$3),$O87,0)</f>
        <v>0</v>
      </c>
      <c r="AZ87" s="201">
        <f>IF(AND($B85=" ",$K87=AZ$3),$O87,0)</f>
        <v>0</v>
      </c>
      <c r="BA87" s="201">
        <f>IF(AND($B85=" ",$K87=BA$3),$O87,0)</f>
        <v>0</v>
      </c>
      <c r="BB87" s="201">
        <f>IF(AND($B85=" ",$K87=BB$3),$O87,0)</f>
        <v>0</v>
      </c>
      <c r="BC87" s="202">
        <f>IF(AND($B85=" ",$K87=BC$3),$O87,0)</f>
        <v>0</v>
      </c>
      <c r="BD87" s="198">
        <f>IF(AND($B85=" ",$K87=BD$3),$O87,0)</f>
        <v>0</v>
      </c>
      <c r="BE87" s="199">
        <f>IF(AND($B85=" ",$K87=BE$3),$O87,0)</f>
        <v>0</v>
      </c>
      <c r="BF87" s="197">
        <f>IF($K87=BF$3,IF($C87="X",0,$O87),0)</f>
        <v>0</v>
      </c>
      <c r="BG87" s="198">
        <f>IF($K87=BG$3,IF($C87="X",0,$O87),0)</f>
        <v>0</v>
      </c>
      <c r="BH87" s="198">
        <f>IF($K87=BH$3,IF($C87="X",0,$O87),0)</f>
        <v>0</v>
      </c>
      <c r="BI87" s="198">
        <f>IF($K87=BI$3,IF($C87="X",0,$O87),0)</f>
        <v>0</v>
      </c>
      <c r="BJ87" s="198">
        <f>IF($K87=BJ$3,IF($C87="X",0,$O87),0)</f>
        <v>0</v>
      </c>
      <c r="BK87" s="198">
        <f>IF($K87=BK$3,IF($C87="X",0,$O87),0)</f>
        <v>0</v>
      </c>
      <c r="BL87" s="198">
        <f>IF($K87=BL$3,IF($C87="X",0,$O87),0)</f>
        <v>0</v>
      </c>
      <c r="BM87" s="200">
        <f>IF($K87=BM$3,IF($C87="X",0,$O87),0)</f>
        <v>0</v>
      </c>
      <c r="BN87" s="201">
        <f>IF($K87=BN$3,IF($C87="X",0,$O87),0)</f>
        <v>0</v>
      </c>
      <c r="BO87" s="201">
        <f>IF($K87=BO$3,IF($C87="X",0,$O87),0)</f>
        <v>0</v>
      </c>
      <c r="BP87" s="201">
        <f>IF($K87=BP$3,IF($C87="X",0,$O87),0)</f>
        <v>0</v>
      </c>
      <c r="BQ87" s="202">
        <f>IF($K87=BQ$3,IF($C87="X",0,$O87),0)</f>
        <v>0</v>
      </c>
      <c r="BR87" s="199">
        <f>IF($K87=BR$3,IF($C87="X",0,$O87),0)</f>
        <v>0</v>
      </c>
      <c r="BS87" s="228"/>
      <c r="BT87" s="229"/>
      <c r="BU87" s="140"/>
      <c r="BV87" s="229"/>
      <c r="BW87" s="140"/>
      <c r="BX87" s="140"/>
      <c r="BY87" s="140"/>
      <c r="BZ87" s="229"/>
      <c r="CA87" s="140"/>
      <c r="CB87" s="140"/>
      <c r="CC87" s="140"/>
      <c r="CD87" s="141"/>
      <c r="CE87" s="142"/>
      <c r="CF87" s="230">
        <f>IF(CF$3=$K87,IF($C87="W",1,IF($C87="1/2W",0.5,0)),0)</f>
        <v>0</v>
      </c>
      <c r="CG87" s="231">
        <f>IF(CF$3=$K87,IF($C87="L",1,IF($C87="1/2L",0.5,0)),0)</f>
        <v>0</v>
      </c>
      <c r="CH87" s="231">
        <f>IF(CH$3=$K87,IF($C87="W",1,IF($C87="1/2W",0.5,0)),0)</f>
        <v>0</v>
      </c>
      <c r="CI87" s="231">
        <f>IF(CH$3=$K87,IF($C87="L",1,IF($C87="1/2L",0.5,0)),0)</f>
        <v>0</v>
      </c>
      <c r="CJ87" s="231">
        <f>IF(CJ$3=$K87,IF($C87="W",1,IF($C87="1/2W",0.5,0)),0)</f>
        <v>0</v>
      </c>
      <c r="CK87" s="231">
        <f>IF(CJ$3=$K87,IF($C87="L",1,IF($C87="1/2L",0.5,0)),0)</f>
        <v>0</v>
      </c>
      <c r="CL87" s="231">
        <f>IF(CL$3=$K87,IF($C87="W",1,IF($C87="1/2W",0.5,0)),0)</f>
        <v>0</v>
      </c>
      <c r="CM87" s="231">
        <f>IF(CL$3=$K87,IF($C87="L",1,IF($C87="1/2L",0.5,0)),0)</f>
        <v>0</v>
      </c>
      <c r="CN87" s="231">
        <f>IF(CN$3=$K87,IF($C87="W",1,IF($C87="1/2W",0.5,0)),0)</f>
        <v>0</v>
      </c>
      <c r="CO87" s="231">
        <f>IF(CN$3=$K87,IF($C87="L",1,IF($C87="1/2L",0.5,0)),0)</f>
        <v>0</v>
      </c>
      <c r="CP87" s="231">
        <f>IF(CP$3=$K87,IF($C87="W",1,IF($C87="1/2W",0.5,0)),0)</f>
        <v>0</v>
      </c>
      <c r="CQ87" s="231">
        <f>IF(CP$3=$K87,IF($C87="L",1,IF($C87="1/2L",0.5,0)),0)</f>
        <v>0</v>
      </c>
      <c r="CR87" s="231">
        <f>IF(CR$3=$K87,IF($C87="W",1,IF($C87="1/2W",0.5,0)),0)</f>
        <v>0</v>
      </c>
      <c r="CS87" s="231">
        <f>IF(CR$3=$K87,IF($C87="L",1,IF($C87="1/2L",0.5,0)),0)</f>
        <v>0</v>
      </c>
      <c r="CT87" s="208">
        <f>IF(CT$3=$K87,IF($C87="W",1,IF($C87="1/2W",0.5,0)),0)</f>
        <v>0</v>
      </c>
      <c r="CU87" s="209">
        <f>IF(CT$3=$K87,IF($C87="L",1,IF($C87="1/2L",0.5,0)),0)</f>
        <v>0</v>
      </c>
      <c r="CV87" s="209">
        <f>IF(CV$3=$K87,IF($C87="W",1,IF($C87="1/2W",0.5,0)),0)</f>
        <v>0</v>
      </c>
      <c r="CW87" s="209">
        <f>IF(CV$3=$K87,IF($C87="L",1,IF($C87="1/2L",0.5,0)),0)</f>
        <v>0</v>
      </c>
      <c r="CX87" s="209">
        <f>IF(CX$3=$K87,IF($C87="W",1,IF($C87="1/2W",0.5,0)),0)</f>
        <v>0</v>
      </c>
      <c r="CY87" s="209">
        <f>IF(CX$3=$K87,IF($C87="L",1,IF($C87="1/2L",0.5,0)),0)</f>
        <v>0</v>
      </c>
      <c r="CZ87" s="209">
        <f>IF(CZ$3=$K87,IF($C87="W",1,IF($C87="1/2W",0.5,0)),0)</f>
        <v>0</v>
      </c>
      <c r="DA87" s="209">
        <f>IF(CZ$3=$K87,IF($C87="L",1,IF($C87="1/2L",0.5,0)),0)</f>
        <v>0</v>
      </c>
      <c r="DB87" s="209">
        <f>IF(DB$3=$K87,IF($C87="W",1,IF($C87="1/2W",0.5,0)),0)</f>
        <v>0</v>
      </c>
      <c r="DC87" s="209">
        <f>IF(DB$3=$K87,IF($C87="L",1,IF($C87="1/2L",0.5,0)),0)</f>
        <v>0</v>
      </c>
      <c r="DD87" s="209">
        <f>IF(DD$3=$K87,IF($C87="W",1,IF($C87="1/2W",0.5,0)),0)</f>
        <v>0</v>
      </c>
      <c r="DE87" s="210">
        <f>IF(DD$3=$K87,IF($C87="L",1,IF($C87="1/2L",0.5,0)),0)</f>
        <v>0</v>
      </c>
      <c r="DF87" s="211">
        <f>IF(AND(L87&lt;DF$3,$C87="W"),1+DF86,DF86)</f>
        <v>6</v>
      </c>
      <c r="DG87" s="198">
        <f>IF(DF87&gt;DF86,L87+DG86,DG86)</f>
        <v>7.998</v>
      </c>
      <c r="DH87" s="209">
        <f>IF(AND(L87&gt;DH$3,$C87="W"),1+DH86,0+DH86)</f>
        <v>1</v>
      </c>
      <c r="DI87" s="198">
        <f>IF(DH87&gt;DH86,L87+DI86,DI86)</f>
        <v>4.33</v>
      </c>
      <c r="DJ87" t="s" s="306">
        <f>IF($D85="","",$D85)</f>
        <v>101</v>
      </c>
      <c r="DK87" s="232"/>
    </row>
    <row r="88" ht="14.55" customHeight="1">
      <c r="A88" s="246">
        <f>$A85+1</f>
        <v>29</v>
      </c>
      <c r="B88" t="s" s="247">
        <v>24</v>
      </c>
      <c r="C88" t="s" s="248">
        <v>114</v>
      </c>
      <c r="D88" t="s" s="303">
        <f>IF(G88="","",$D85)</f>
        <v>101</v>
      </c>
      <c r="E88" t="s" s="250">
        <v>133</v>
      </c>
      <c r="F88" t="s" s="251">
        <f>IF(G88="","",IF(OR(AND($C88&lt;&gt;" ",$C89=" "),AND($C89&lt;&gt;" ",$C88=" "),AND(L90&gt;0,OR(AND($C90&lt;&gt;" ",OR($C88=" ",$C89=" ")),AND($C90=" ",OR($C88&lt;&gt;" ",$C89&lt;&gt;" "))))),IF(SUM(F$4:F87)=0,1,LARGE(F$4:F87,1)+1),IF(MONTH(G88)=MONTH(TODAY()),IF(AND(DAY(G88)&lt;DAY(TODAY()),$B88=" "),IF(SUM(F$4:F87)=0,1,LARGE(F$4:F87,1)+1),IF($B88=" ",IF(AND(DAY(G88)=DAY(TODAY()),HOUR(G88)&lt;=HOUR(NOW())+1),IF(AND(HOUR(G88)+2&lt;=HOUR(NOW()),DAY(G88)&lt;=DAY(TODAY()),MINUTE(G88)&lt;=MINUTE(NOW())),IF(SUM(F$4:F87)=0,1,LARGE(F$4:F87,1)+1),IF(OR(MINUTE(G88)&lt;=MINUTE(NOW()),HOUR(G88)&lt;=HOUR(NOW())),"!!!","")),""),"")),"")))</f>
      </c>
      <c r="G88" s="252">
        <f>IF(H88="","",_xlfn.XLOOKUP(H88,H$4:H87,G$4:G87,""))</f>
        <v>44943.954861111109</v>
      </c>
      <c r="H88" t="s" s="253">
        <v>131</v>
      </c>
      <c r="I88" t="s" s="254">
        <v>65</v>
      </c>
      <c r="J88" s="255">
        <v>25.5</v>
      </c>
      <c r="K88" t="s" s="256">
        <v>41</v>
      </c>
      <c r="L88" s="257">
        <v>2.35</v>
      </c>
      <c r="M88" s="258">
        <v>8.33</v>
      </c>
      <c r="N88" s="259">
        <v>0</v>
      </c>
      <c r="O88" s="260">
        <f>IF(OR(AE88="",AE89=""),"",ROUND(IF(L90&gt;0,IF(M88&gt;0,M88,IF(M89&gt;0,ROUND((M89*AE88)/AE89,IF(N88=0,2,IF(N88=0.1,1,0))),ROUND((M90*AE88)/AE90,IF(N88=0,2,IF(N88=0.1,1,0))))),IF(M88&gt;0,M88,ROUND((M89*AE88)/AE89,IF(N88=0,2,IF(N88=0.1,1,0))))),2))</f>
        <v>8.33</v>
      </c>
      <c r="P88" s="261">
        <f>IF(OR(L88="",O88=""),"",IF($C88="1/2W",O88/2+O88/2*L88,IF($C88="1/2L",O88/2,IF(I88="Lay",(O88*(L88/(L88-1))-O88)*(1-_xlfn.XLOOKUP(K88,'Janeiro 2023 - Valor Real'!A3:A15,'Janeiro 2023 - Valor Real'!C3:C15,0))+O88,(O88*L88-O88)*(1-_xlfn.XLOOKUP(K88,'Janeiro 2023 - Valor Real'!A3:A15,'Janeiro 2023 - Valor Real'!C3:C15,0))+O88))))</f>
        <v>19.5755</v>
      </c>
      <c r="Q88" s="262">
        <v>6</v>
      </c>
      <c r="R88" s="263">
        <v>0</v>
      </c>
      <c r="S88" s="264">
        <f>IF($B88="Anulado",0,ROUND(IF(OR($B88="LOSS",$B88="OK"),IF(OR($C88="W",$C88="1/2W",$C88="1/2L"),P88-O88,IF($C88="L",-O88,0))+IF(OR($C89="W",$C89="1/2W",$C89="1/2L"),P89-O89,IF($C89="L",-O89,0))+IF(OR($C90="W",$C90="1/2W",$C90="1/2L"),P90-O90,IF($C90="L",-O90,0)),IF(AND(OR($C88="W",$C88="1/2W",$C88="1/2L"),C89="W"),P88+P89-SUM(O88:O90)+_xlfn.XLOOKUP("X",C88:C90,O88:O90,0),IF(AND(C88=TRUE,C90="W"),P88+P90-SUM(O88:O90),IF(AND(C89="W",C90="W"),P89+P90-SUM(O88:O90)+_xlfn.XLOOKUP("X",C88:C90,O88:O90,0),IF(L90&gt;0,IF(OR($C88="W",$C88="1/2W",$C88="1/2L"),P88-SUM(O88:O90)+_xlfn.XLOOKUP("X",C88:C90,O88:O90,0),IF(OR($C88="W",$C88="1/2W",$C88="1/2L"),P89-SUM(O88:O90)+_xlfn.XLOOKUP("X",C88:C90,O88:O90,0),IF(OR($C88="W",$C88="1/2W",$C88="1/2L"),P90-SUM(O88:O90)+_xlfn.XLOOKUP("X",C88:C90,O88:O90,0),IF(SUM(P88:P90)/3-SUM(O88:O90)+_xlfn.XLOOKUP("X",C88:C90,O88:O90,0)&gt;0,SUM(P88:P90)/3-SUM(O88:O90)+_xlfn.XLOOKUP("X",C88:C90,O88:O90,0),LARGE(P88:P90,1)-SUM(O88:O90))))),IF(OR($C88="W",$C88="1/2W",$C88="1/2L"),P88-SUM(O88:O89)+_xlfn.XLOOKUP("X",C88:C90,O88:O90,0),IF(OR($C88="W",$C88="1/2W",$C88="1/2L"),P89-SUM(O88:O89)+_xlfn.XLOOKUP("X",C88:C90,O88:O90,0),SUM(P88:P89)/2-SUM(O88:O89)+_xlfn.XLOOKUP("X",C88:C90,O88:O90,0)))))))),2))</f>
        <v>0</v>
      </c>
      <c r="T88" s="265">
        <f>IF(S88=0,0,S88/SUM(O88:O90))</f>
        <v>0</v>
      </c>
      <c r="U88" s="266">
        <f>IF($D88=$D85,IF(OR($B88="LOSS",$B88="OK",$B88="Anulada"),S88,0)+U85,IF(OR($B88="LOSS",$B88="OK",$B88="Anulada"),S88,0))</f>
        <v>15.77</v>
      </c>
      <c r="V88" s="266">
        <f>IF($D88="",0,IF($D88=$D85,IF($B88=" ",IF(I90="",IF(OR(AND(I88="DNB1",I89="DNB2"),AND(OR(I88="DNB1",I88="DNB2"),J89=0),AND(OR(I89="DNB1",I89="DNB2"),J88=0),AND(I88="DNB2",I89="DNB1"),AND(IF(J88=0,(J88+1)/ROUND(J88+1,0),J88/ROUND(J88,0))=1,IF(J89=0,(J89+1)/ROUND(IF(J89="",0,J89)+1,0),IF(J89="",0,J89)/ROUND(IF(J89="",1,J89),0))=1,OR(J88&lt;&gt;""),J89&lt;&gt;"")),0,IF(S88&lt;0,IF(I90="",SMALL(P88:P89,1)-SUM(O88:O89),0),SMALL(P88:P89,1)-SUM(O88:O89))),IF(S88&lt;0,IF(I90="",SMALL(P88:P90,1)-SUM(O88:O90),0),LARGE(P88:P90,1)-SUM(O88:O90))),S88)+V85,IF(I90="",IF(OR(AND(I88="DNB1",I89="DNB2"),AND(OR(I88="DNB1",I88="DNB2"),J89=0),AND(OR(I89="DNB1",I89="DNB2"),J88=0),AND(I88="DNB2",I89="DNB1"),AND(IF(J88=0,(J88+1)/ROUND(J88+1,0),J88/ROUND(J88,0))=1,IF(J89=0,(IF(J89="",0,J89)+1)/ROUND(IF(J89="",0,J89)+1,0),IF(J89="",0,J89)/ROUND(IF(J89="",0,J89)+1,0))=1,OR(J88&lt;&gt;""),J89&lt;&gt;"")),0,IF(S88&lt;0,IF(I90="",SMALL(P88:P89,1)-SUM(O88:O89),0),SMALL(P88:P90,1)-SUM(O88:O90))),IF(S88&lt;0,IF(I90="",SMALL(P88:P90,1)-SUM(O88:O90),0),LARGE(P88:P90,1)-SUM(O88:O90)))))</f>
        <v>15.772</v>
      </c>
      <c r="W88" s="266">
        <f>IF($D88=$D85,IF(S88&lt;0,IF(I90="",S88,0),S88)+W85,S88)</f>
        <v>15.77</v>
      </c>
      <c r="X88" t="s" s="267">
        <f>IF(OR(SUM(R88:R90)=0,V88=W88),ROUND(IF(W88=0,0,W88/Y88)*100,2)&amp;"%",ROUND(IF(V88=0,0,V88/Y88)*100,2)&amp;"% a "&amp;ROUND(IF(W88=0,0,W88/Y88)*100,2)&amp;"%")</f>
        <v>134</v>
      </c>
      <c r="Y88" s="268">
        <f>IF($D88=$D85,Y85+SUM(O88:O90),SUM(O88:O90))</f>
        <v>483.11</v>
      </c>
      <c r="Z88" s="266">
        <f>IF($B88=" ",SUM(O88:O90),0)+Z85</f>
        <v>0</v>
      </c>
      <c r="AA88" s="266">
        <f>IF(G88="","",IF($B88="Anulado",LARGE(P88:P90,1)-SUM(O88:O90)+AA85,AA85))</f>
        <v>9.502800000000001</v>
      </c>
      <c r="AB88" s="266">
        <f>IF($D88="","",AB85+S88)</f>
        <v>93.87</v>
      </c>
      <c r="AC88" s="269">
        <f>IF($D88="","",IF($B88=" ",IF(DAY(G88)=DAY(TODAY()),1+AC85,0+AC85),0+AC85))</f>
        <v>0</v>
      </c>
      <c r="AD88" s="270">
        <f>(1-_xlfn.XLOOKUP(K86,'Janeiro 2023 - Valor Real'!A3:A15,'Janeiro 2023 - Valor Real'!C3:C15,0))+1</f>
        <v>2</v>
      </c>
      <c r="AE88" s="271">
        <f>IF(L88="","",IF(L90&gt;0,(SUM(((L88-1)*(1-_xlfn.XLOOKUP(K88,'Janeiro 2023 - Valor Real'!A3:A15,'Janeiro 2023 - Valor Real'!C3:C15,0))+1),((L89-1)*(1-_xlfn.XLOOKUP(K89,'Janeiro 2023 - Valor Real'!A3:A15,'Janeiro 2023 - Valor Real'!C3:C15,0))+1),((L90-1)*(1-_xlfn.XLOOKUP(K90,'Janeiro 2023 - Valor Real'!A3:A15,'Janeiro 2023 - Valor Real'!C3:C15,0))+1))/((L88-1)*(1-_xlfn.XLOOKUP(K88,'Janeiro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Real'!C3:C15,0))+1))/((L88-1)*(1-_xlfn.XLOOKUP(K88,'Janeiro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Real'!C3:C15,0))+1))/((L89-1)*(1-_xlfn.XLOOKUP(K89,'Janeiro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Real'!C3:C15,0))+1))/((L90-1)*(1-_xlfn.XLOOKUP(K90,'Janeiro 2023 - Valor Real'!A3:A15,'Janeiro 2023 - Valor Real'!C3:C15,0))+1)),IF(I88="Lay",IF(I89="Lay",((L89/(L89-1)-1)*(1-_xlfn.XLOOKUP(K89,'Janeiro 2023 - Valor Real'!A3:A15,'Janeiro 2023 - Valor Real'!C3:C15,0))+1)/(((L89/(L89-1)-1)*(1-_xlfn.XLOOKUP(K89,'Janeiro 2023 - Valor Real'!A3:A15,'Janeiro 2023 - Valor Real'!C3:C15,0))+1)+((L88/(L88-1)-1)*(1-_xlfn.XLOOKUP(K88,'Janeiro 2023 - Valor Real'!A3:A15,'Janeiro 2023 - Valor Real'!C3:C15,0))+1)),((L89-1)*(1-_xlfn.XLOOKUP(K89,'Janeiro 2023 - Valor Real'!A3:A15,'Janeiro 2023 - Valor Real'!C3:C15,0))+1)/(((L89-1)*(1-_xlfn.XLOOKUP(K89,'Janeiro 2023 - Valor Real'!A3:A15,'Janeiro 2023 - Valor Real'!C3:C15,0))+1)+((L88/(L88-1)-1)*(1-_xlfn.XLOOKUP(K88,'Janeiro 2023 - Valor Real'!A3:A15,'Janeiro 2023 - Valor Real'!C3:C15,0))+1))),IF(I89="Lay",(((L89/(L89-1)-1)*(1-_xlfn.XLOOKUP(K89,'Janeiro 2023 - Valor Real'!A3:A15,'Janeiro 2023 - Valor Real'!C3:C15,0))+1))/(((L88-1)*(1-_xlfn.XLOOKUP(K88,'Janeiro 2023 - Valor Real'!A3:A15,'Janeiro 2023 - Valor Real'!C3:C15,0))+1)+((L89/(L89-1)-1)*(1-_xlfn.XLOOKUP(K89,'Janeiro 2023 - Valor Real'!A3:A15,'Janeiro 2023 - Valor Real'!C3:C15,0))+1)),((L89-1)*(1-_xlfn.XLOOKUP(K89,'Janeiro 2023 - Valor Real'!A3:A15,'Janeiro 2023 - Valor Real'!C3:C15,0))+1)/(((L89-1)*(1-_xlfn.XLOOKUP(K89,'Janeiro 2023 - Valor Real'!A3:A15,'Janeiro 2023 - Valor Real'!C3:C15,0))+1)+((L88-1)*(1-_xlfn.XLOOKUP(K88,'Janeiro 2023 - Valor Real'!A3:A15,'Janeiro 2023 - Valor Real'!C3:C15,0))+1))))))</f>
        <v>0.462242562929062</v>
      </c>
      <c r="AF88" s="132">
        <f>IF($K88=AF$3,ROUND(IF(OR($C88="W",$C88="1/2W",$C88="1/2L"),$P88-$O88,IF($C88="X",0,-$O88)),2),0)</f>
        <v>0</v>
      </c>
      <c r="AG88" s="133">
        <f>IF($K88=AG$3,ROUND(IF(OR($C88="W",$C88="1/2W",$C88="1/2L"),$P88-$O88,IF($C88="X",0,-$O88)),2),0)</f>
        <v>0</v>
      </c>
      <c r="AH88" s="133">
        <f>IF($K88=AH$3,ROUND(IF(OR($C88="W",$C88="1/2W",$C88="1/2L"),$P88-$O88,IF($C88="X",0,-$O88)),2),0)</f>
        <v>0</v>
      </c>
      <c r="AI88" s="133">
        <f>IF($K88=AI$3,ROUND(IF(OR($C88="W",$C88="1/2W",$C88="1/2L"),$P88-$O88,IF($C88="X",0,-$O88)),2),0)</f>
        <v>0</v>
      </c>
      <c r="AJ88" s="133">
        <f>IF($K88=AJ$3,ROUND(IF(OR($C88="W",$C88="1/2W",$C88="1/2L"),$P88-$O88,IF($C88="X",0,-$O88)),2),0)</f>
        <v>0</v>
      </c>
      <c r="AK88" s="133">
        <f>IF($K88=AK$3,ROUND(IF(OR($C88="W",$C88="1/2W",$C88="1/2L"),$P88-$O88,IF($C88="X",0,-$O88)),2),0)</f>
        <v>0</v>
      </c>
      <c r="AL88" s="133">
        <f>IF($K88=AL$3,ROUND(IF(OR($C88="W",$C88="1/2W",$C88="1/2L"),$P88-$O88,IF($C88="X",0,-$O88)),2),0)</f>
        <v>0</v>
      </c>
      <c r="AM88" s="133">
        <f>IF($K88=AM$3,ROUND(IF(OR($C88="W",$C88="1/2W",$C88="1/2L"),$P88-$O88,IF($C88="X",0,-$O88)),2),0)</f>
        <v>0</v>
      </c>
      <c r="AN88" s="133">
        <f>IF($K88=AN$3,ROUND(IF(OR($C88="W",$C88="1/2W",$C88="1/2L"),$P88-$O88,IF($C88="X",0,-$O88)),2),0)</f>
        <v>0</v>
      </c>
      <c r="AO88" s="133">
        <f>IF($K88=AO$3,ROUND(IF(OR($C88="W",$C88="1/2W",$C88="1/2L"),$P88-$O88,IF($C88="X",0,-$O88)),2),0)</f>
        <v>0</v>
      </c>
      <c r="AP88" s="133">
        <f>IF($K88=AP$3,ROUND(IF(OR($C88="W",$C88="1/2W",$C88="1/2L"),$P88-$O88,IF($C88="X",0,-$O88)),2),0)</f>
        <v>0</v>
      </c>
      <c r="AQ88" s="133">
        <f>IF($K88=AQ$3,ROUND(IF(OR($C88="W",$C88="1/2W",$C88="1/2L"),$P88-$O88,IF($C88="X",0,-$O88)),2),0)</f>
        <v>0</v>
      </c>
      <c r="AR88" s="134">
        <f>IF($K88=AR$3,ROUND(IF(OR($C88="W",$C88="1/2W",$C88="1/2L"),$P88-$O88,IF($C88="X",0,-$O88)),2),0)</f>
        <v>0</v>
      </c>
      <c r="AS88" s="132">
        <f>IF(AND($B88=" ",$K88=AS$3),$O88,0)</f>
        <v>0</v>
      </c>
      <c r="AT88" s="133">
        <f>IF(AND($B88=" ",$K88=AT$3),$O88,0)</f>
        <v>0</v>
      </c>
      <c r="AU88" s="133">
        <f>IF(AND($B88=" ",$K88=AU$3),$O88,0)</f>
        <v>0</v>
      </c>
      <c r="AV88" s="133">
        <f>IF(AND($B88=" ",$K88=AV$3),$O88,0)</f>
        <v>0</v>
      </c>
      <c r="AW88" s="133">
        <f>IF(AND($B88=" ",$K88=AW$3),$O88,0)</f>
        <v>0</v>
      </c>
      <c r="AX88" s="133">
        <f>IF(AND($B88=" ",$K88=AX$3),$O88,0)</f>
        <v>0</v>
      </c>
      <c r="AY88" s="135">
        <f>IF(AND($B88=" ",$K88=AY$3),$O88,0)</f>
        <v>0</v>
      </c>
      <c r="AZ88" s="136">
        <f>IF(AND($B88=" ",$K88=AZ$3),$O88,0)</f>
        <v>0</v>
      </c>
      <c r="BA88" s="136">
        <f>IF(AND($B88=" ",$K88=BA$3),$O88,0)</f>
        <v>0</v>
      </c>
      <c r="BB88" s="136">
        <f>IF(AND($B88=" ",$K88=BB$3),$O88,0)</f>
        <v>0</v>
      </c>
      <c r="BC88" s="137">
        <f>IF(AND($B88=" ",$K88=BC$3),$O88,0)</f>
        <v>0</v>
      </c>
      <c r="BD88" s="133">
        <f>IF(AND($B88=" ",$K88=BD$3),$O88,0)</f>
        <v>0</v>
      </c>
      <c r="BE88" s="134">
        <f>IF(AND($B88=" ",$K88=BE$3),$O88,0)</f>
        <v>0</v>
      </c>
      <c r="BF88" s="132">
        <f>IF($K88=BF$3,IF($C88="X",0,$O88),0)</f>
        <v>0</v>
      </c>
      <c r="BG88" s="133">
        <f>IF($K88=BG$3,IF($C88="X",0,$O88),0)</f>
        <v>0</v>
      </c>
      <c r="BH88" s="133">
        <f>IF($K88=BH$3,IF($C88="X",0,$O88),0)</f>
        <v>0</v>
      </c>
      <c r="BI88" s="133">
        <f>IF($K88=BI$3,IF($C88="X",0,$O88),0)</f>
        <v>0</v>
      </c>
      <c r="BJ88" s="133">
        <f>IF($K88=BJ$3,IF($C88="X",0,$O88),0)</f>
        <v>0</v>
      </c>
      <c r="BK88" s="133">
        <f>IF($K88=BK$3,IF($C88="X",0,$O88),0)</f>
        <v>0</v>
      </c>
      <c r="BL88" s="133">
        <f>IF($K88=BL$3,IF($C88="X",0,$O88),0)</f>
        <v>0</v>
      </c>
      <c r="BM88" s="135">
        <f>IF($K88=BM$3,IF($C88="X",0,$O88),0)</f>
        <v>0</v>
      </c>
      <c r="BN88" s="136">
        <f>IF($K88=BN$3,IF($C88="X",0,$O88),0)</f>
        <v>0</v>
      </c>
      <c r="BO88" s="136">
        <f>IF($K88=BO$3,IF($C88="X",0,$O88),0)</f>
        <v>0</v>
      </c>
      <c r="BP88" s="136">
        <f>IF($K88=BP$3,IF($C88="X",0,$O88),0)</f>
        <v>0</v>
      </c>
      <c r="BQ88" s="137">
        <f>IF($K88=BQ$3,IF($C88="X",0,$O88),0)</f>
        <v>0</v>
      </c>
      <c r="BR88" s="134">
        <f>IF($K88=BR$3,IF($C88="X",0,$O88),0)</f>
        <v>0</v>
      </c>
      <c r="BS88" s="170">
        <f>IF($B88="LOSS",IF(AND($K88=BS$3,$C88="L"),-$O88,0)+IF(AND($K89=BS$3,$C89="L"),-$O89,0)+IF(AND($K90=BS$3,$C90="L"),-$O90,0),IF(OR(AND($K88=BS$3,OR($C88="W",$C88="1/2W")),AND($K89=BS$3,OR($C89="W",$C89="1/2W")),AND($K90=BS$3,OR($C90="W",$C90="1/2W"))),$S88,0))</f>
        <v>0</v>
      </c>
      <c r="BT88" s="272">
        <f>IF($B88="LOSS",IF(AND($K88=BT$3,$C88="L"),-$O88,0)+IF(AND($K89=BT$3,$C89="L"),-$O89,0)+IF(AND($K89=BT$3,$C90="L"),-$O90,0),IF(OR(AND($K89=BT$3,OR($C88="W",$C88="1/2W")),AND($K89=BT$3,OR($C89="W",$C89="1/2W")),AND($K89=BT$3,OR($C90="W",$C90="1/2W"))),$S88,0))</f>
        <v>0</v>
      </c>
      <c r="BU88" s="136">
        <f>IF($B88="LOSS",IF(AND($K88=BU$3,$C88="L"),-$O88,0)+IF(AND($K89=BU$3,$C89="L"),-$O89,0)+IF(AND($K89=BU$3,$C90="L"),-$O90,0),IF(OR(AND($K89=BU$3,OR($C88="W",$C88="1/2W")),AND($K89=BU$3,OR($C89="W",$C89="1/2W")),AND($K89=BU$3,OR($C90="W",$C90="1/2W"))),$S88,0))</f>
        <v>0</v>
      </c>
      <c r="BV88" s="136">
        <f>IF($B88="LOSS",IF(AND($K88=BV$3,$C88="L"),-$O88,0)+IF(AND($K89=BV$3,$C89="L"),-$O89,0)+IF(AND($K90=BV$3,$C90="L"),-$O90,0),IF(OR(AND($K88=BV$3,OR($C88="W",$C88="1/2W")),AND($K89=BV$3,OR($C89="W",$C89="1/2W")),AND($K90=BV$3,OR($C90="W",$C90="1/2W"))),$S88,0))</f>
        <v>0</v>
      </c>
      <c r="BW88" s="136">
        <f>IF($B88="LOSS",IF(AND($K88=BW$3,$C88="L"),-$O88,0)+IF(AND($K89=BW$3,$C89="L"),-$O89,0)+IF(AND($K90=BW$3,$C90="L"),-$O90,0),IF(OR(AND($K88=BW$3,OR($C88="W",$C88="1/2W")),AND($K89=BW$3,OR($C89="W",$C89="1/2W")),AND($K90=BW$3,OR($C90="W",$C90="1/2W"))),$S88,0))</f>
        <v>0</v>
      </c>
      <c r="BX88" s="136">
        <f>IF($B88="LOSS",IF(AND($K88=BX$3,$C88="L"),-$O88,0)+IF(AND($K89=BX$3,$C89="L"),-$O89,0)+IF(AND($K90=BX$3,$C90="L"),-$O90,0),IF(OR(AND($K88=BX$3,OR($C88="W",$C88="1/2W")),AND($K89=BX$3,OR($C89="W",$C89="1/2W")),AND($K90=BX$3,OR($C90="W",$C90="1/2W"))),$S88,0))</f>
        <v>0</v>
      </c>
      <c r="BY88" s="136">
        <f>IF($B88="LOSS",IF(AND($K88=BY$3,$C88="L"),-$O88,0)+IF(AND($K89=BY$3,$C89="L"),-$O89,0)+IF(AND($K90=BY$3,$C90="L"),-$O90,0),IF(OR(AND($K88=BY$3,OR($C88="W",$C88="1/2W")),AND($K89=BY$3,OR($C89="W",$C89="1/2W")),AND($K90=BY$3,OR($C90="W",$C90="1/2W"))),$S88,0))</f>
        <v>0</v>
      </c>
      <c r="BZ88" s="136">
        <f>IF($B88="LOSS",IF(AND($K88=BZ$3,$C88="L"),-$O88,0)+IF(AND($K89=BZ$3,$C89="L"),-$O89,0)+IF(AND($K90=BZ$3,$C90="L"),-$O90,0),IF(OR(AND($K88=BZ$3,OR($C88="W",$C88="1/2W")),AND($K89=BZ$3,OR($C89="W",$C89="1/2W")),AND($K90=BZ$3,OR($C90="W",$C90="1/2W"))),$S88,0))</f>
        <v>0</v>
      </c>
      <c r="CA88" s="136">
        <f>IF($B88="LOSS",IF(AND($K88=CA$3,$C88="L"),-$O88,0)+IF(AND($K89=CA$3,$C89="L"),-$O89,0)+IF(AND($K90=CA$3,$C90="L"),-$O90,0),IF(OR(AND($K88=CA$3,OR($C88="W",$C88="1/2W")),AND($K89=CA$3,OR($C89="W",$C89="1/2W")),AND($K90=CA$3,OR($C90="W",$C90="1/2W"))),$S88,0))</f>
        <v>0</v>
      </c>
      <c r="CB88" s="136">
        <f>IF($B88="LOSS",IF(AND($K88=CB$3,$C88="L"),-$O88,0)+IF(AND($K89=CB$3,$C89="L"),-$O89,0)+IF(AND($K90=CB$3,$C90="L"),-$O90,0),IF(OR(AND($K88=CB$3,OR($C88="W",$C88="1/2W")),AND($K89=CB$3,OR($C89="W",$C89="1/2W")),AND($K90=CB$3,OR($C90="W",$C90="1/2W"))),$S88,0))</f>
        <v>0</v>
      </c>
      <c r="CC88" s="136">
        <f>IF($B88="LOSS",IF(AND($K88=CC$3,$C88="L"),-$O88,0)+IF(AND($K89=CC$3,$C89="L"),-$O89,0)+IF(AND($K90=CC$3,$C90="L"),-$O90,0),IF(OR(AND($K88=CC$3,OR($C88="W",$C88="1/2W")),AND($K89=CC$3,OR($C89="W",$C89="1/2W")),AND($K90=CC$3,OR($C90="W",$C90="1/2W"))),$S88,0))</f>
        <v>0</v>
      </c>
      <c r="CD88" s="137">
        <f>IF($B88="LOSS",IF(AND($K88=CD$3,$C88="L"),-$O88,0)+IF(AND($K89=CD$3,$C89="L"),-$O89,0)+IF(AND($K90=CD$3,$C90="L"),-$O90,0),IF(OR(AND($K88=CD$3,OR($C88="W",$C88="1/2W")),AND($K89=CD$3,OR($C89="W",$C89="1/2W")),AND($K90=CD$3,OR($C90="W",$C90="1/2W"))),$S88,0))</f>
        <v>0</v>
      </c>
      <c r="CE88" s="134">
        <f>IF($B88="LOSS",IF(AND($K88=CE$3,$C88="L"),-$O88,0)+IF(AND($K89=CE$3,$C89="L"),-$O89,0)+IF(AND($K90=CE$3,$C90="L"),-$O90,0),IF(OR(AND($K88=CE$3,OR($C88="W",$C88="1/2W")),AND($K89=CE$3,OR($C89="W",$C89="1/2W")),AND($K90=CE$3,OR($C90="W",$C90="1/2W"))),$S88,0))</f>
        <v>0</v>
      </c>
      <c r="CF88" s="273">
        <f>IF(CF$3=$K88,IF($C88="W",1,IF($C88="1/2W",0.5,0)),0)</f>
        <v>0</v>
      </c>
      <c r="CG88" s="274">
        <f>IF(CF$3=$K88,IF($C88="L",1,IF($C88="1/2L",0.5,0)),0)</f>
        <v>0</v>
      </c>
      <c r="CH88" s="274">
        <f>IF(CH$3=$K88,IF($C88="W",1,IF($C88="1/2W",0.5,0)),0)</f>
        <v>0</v>
      </c>
      <c r="CI88" s="274">
        <f>IF(CH$3=$K88,IF($C88="L",1,IF($C88="1/2L",0.5,0)),0)</f>
        <v>0</v>
      </c>
      <c r="CJ88" s="274">
        <f>IF(CJ$3=$K88,IF($C88="W",1,IF($C88="1/2W",0.5,0)),0)</f>
        <v>0</v>
      </c>
      <c r="CK88" s="274">
        <f>IF(CJ$3=$K88,IF($C88="L",1,IF($C88="1/2L",0.5,0)),0)</f>
        <v>0</v>
      </c>
      <c r="CL88" s="274">
        <f>IF(CL$3=$K88,IF($C88="W",1,IF($C88="1/2W",0.5,0)),0)</f>
        <v>0</v>
      </c>
      <c r="CM88" s="274">
        <f>IF(CL$3=$K88,IF($C88="L",1,IF($C88="1/2L",0.5,0)),0)</f>
        <v>0</v>
      </c>
      <c r="CN88" s="274">
        <f>IF(CN$3=$K88,IF($C88="W",1,IF($C88="1/2W",0.5,0)),0)</f>
        <v>0</v>
      </c>
      <c r="CO88" s="274">
        <f>IF(CN$3=$K88,IF($C88="L",1,IF($C88="1/2L",0.5,0)),0)</f>
        <v>0</v>
      </c>
      <c r="CP88" s="274">
        <f>IF(CP$3=$K88,IF($C88="W",1,IF($C88="1/2W",0.5,0)),0)</f>
        <v>0</v>
      </c>
      <c r="CQ88" s="274">
        <f>IF(CP$3=$K88,IF($C88="L",1,IF($C88="1/2L",0.5,0)),0)</f>
        <v>0</v>
      </c>
      <c r="CR88" s="274">
        <f>IF(CR$3=$K88,IF($C88="W",1,IF($C88="1/2W",0.5,0)),0)</f>
        <v>0</v>
      </c>
      <c r="CS88" s="274">
        <f>IF(CR$3=$K88,IF($C88="L",1,IF($C88="1/2L",0.5,0)),0)</f>
        <v>0</v>
      </c>
      <c r="CT88" s="145">
        <f>IF(CT$3=$K88,IF($C88="W",1,IF($C88="1/2W",0.5,0)),0)</f>
        <v>0</v>
      </c>
      <c r="CU88" s="146">
        <f>IF(CT$3=$K88,IF($C88="L",1,IF($C88="1/2L",0.5,0)),0)</f>
        <v>0</v>
      </c>
      <c r="CV88" s="146">
        <f>IF(CV$3=$K88,IF($C88="W",1,IF($C88="1/2W",0.5,0)),0)</f>
        <v>0</v>
      </c>
      <c r="CW88" s="146">
        <f>IF(CV$3=$K88,IF($C88="L",1,IF($C88="1/2L",0.5,0)),0)</f>
        <v>0</v>
      </c>
      <c r="CX88" s="146">
        <f>IF(CX$3=$K88,IF($C88="W",1,IF($C88="1/2W",0.5,0)),0)</f>
        <v>0</v>
      </c>
      <c r="CY88" s="146">
        <f>IF(CX$3=$K88,IF($C88="L",1,IF($C88="1/2L",0.5,0)),0)</f>
        <v>0</v>
      </c>
      <c r="CZ88" s="146">
        <f>IF(CZ$3=$K88,IF($C88="W",1,IF($C88="1/2W",0.5,0)),0)</f>
        <v>0</v>
      </c>
      <c r="DA88" s="146">
        <f>IF(CZ$3=$K88,IF($C88="L",1,IF($C88="1/2L",0.5,0)),0)</f>
        <v>0</v>
      </c>
      <c r="DB88" s="146">
        <f>IF(DB$3=$K88,IF($C88="W",1,IF($C88="1/2W",0.5,0)),0)</f>
        <v>0</v>
      </c>
      <c r="DC88" s="146">
        <f>IF(DB$3=$K88,IF($C88="L",1,IF($C88="1/2L",0.5,0)),0)</f>
        <v>0</v>
      </c>
      <c r="DD88" s="146">
        <f>IF(DD$3=$K88,IF($C88="W",1,IF($C88="1/2W",0.5,0)),0)</f>
        <v>0</v>
      </c>
      <c r="DE88" s="147">
        <f>IF(DD$3=$K88,IF($C88="L",1,IF($C88="1/2L",0.5,0)),0)</f>
        <v>0</v>
      </c>
      <c r="DF88" s="143">
        <f>IF(AND(L88&lt;DF$3,$C88="W"),1+DF87,DF87)</f>
        <v>6</v>
      </c>
      <c r="DG88" s="133">
        <f>IF(DF88&gt;DF87,L88+DG87,DG87)</f>
        <v>7.998</v>
      </c>
      <c r="DH88" s="146">
        <f>IF(AND(L88&gt;DH$3,$C88="W"),1+DH87,0+DH87)</f>
        <v>1</v>
      </c>
      <c r="DI88" s="133">
        <f>IF(DH88&gt;DH87,L88+DI87,DI87)</f>
        <v>4.33</v>
      </c>
      <c r="DJ88" t="s" s="304">
        <f>IF($D88="","",$D88)</f>
        <v>101</v>
      </c>
      <c r="DK88" s="146">
        <f>IF(AND($B88=" ",$D88&lt;&gt;""),1,0)</f>
        <v>0</v>
      </c>
    </row>
    <row r="89" ht="14.55" customHeight="1">
      <c r="A89" s="107"/>
      <c r="B89" s="108"/>
      <c r="C89" t="s" s="109">
        <v>114</v>
      </c>
      <c r="D89" s="110"/>
      <c r="E89" s="111"/>
      <c r="F89" s="113"/>
      <c r="G89" s="252"/>
      <c r="H89" s="114"/>
      <c r="I89" t="s" s="275">
        <v>67</v>
      </c>
      <c r="J89" s="276">
        <f>IF(OR(I88="TO",I88="TU",I88="TO1",I88="TU1",I88="TO2",I88="TU2"),J88,IF(OR(I88="AH1",I88="AH2"),IF(OR(I89="AH1",I89="AH2"),-J88,IF(OR(I89="EH1",I89="EH2"),-J88+0.5,"")),IF(OR(I88="EH1",I88="EH2"),IF(OR(I89="AH1",I89="AH2"),-J88+0.5,IF(OR(I89="EH1",I89="EH2"),-J88+1,"")),IF(AND(OR(I88="DNB1",I88="DNB2"),OR(I89="AH1",I89="AH2")),0,IF(AND(I88="Not ScoreBoth",OR(I89="TO1",I89="TO2")),0.5,"")))))</f>
        <v>25.5</v>
      </c>
      <c r="K89" t="s" s="117">
        <v>44</v>
      </c>
      <c r="L89" s="277">
        <v>2.02</v>
      </c>
      <c r="M89" s="278"/>
      <c r="N89" s="120"/>
      <c r="O89" s="121">
        <f>IF(OR(AE88="",AE89=""),"",ROUND(IF(L90&gt;0,IF(M89&gt;0,M89,IF(M88&gt;0,IF(N88=TRUE,ROUND((M88*AE89)/AE88,0),(M88*AE89)/AE88),IF(M89&gt;0,ROUND(M89,IF(N88=0,2,IF(N88=0.1,1,0))),IF(M90&gt;0,ROUND(O90*AE89/AE90,IF(N88=0,2,IF(N88=0.1,1,0))),0)))),IF(M89&gt;0,M89,ROUND((M88*AE89)/AE88,IF(N88=0,2,IF(N88=0.1,1,0))))),2))</f>
        <v>9.69</v>
      </c>
      <c r="P89" s="122">
        <f>IF(OR(L89="",O89=""),"",IF($C89="1/2W",O89/2+O89/2*L89,IF($C89="1/2L",O89/2,IF(I89="Lay",((O89*(L89/(L89-1)))-O89)*(1-_xlfn.XLOOKUP(K89,'Janeiro 2023 - Valor Real'!A3:A15,'Janeiro 2023 - Valor Real'!C3:C15,0))+O89,(O89*L89-O89)*(1-_xlfn.XLOOKUP(K89,'Janeiro 2023 - Valor Real'!A3:A15,'Janeiro 2023 - Valor Real'!C3:C15,0))+O89))))</f>
        <v>19.5738</v>
      </c>
      <c r="Q89" s="279">
        <v>7</v>
      </c>
      <c r="R89" s="280">
        <v>0</v>
      </c>
      <c r="S89" s="125"/>
      <c r="T89" s="126"/>
      <c r="U89" s="126"/>
      <c r="V89" s="224"/>
      <c r="W89" s="126"/>
      <c r="X89" s="127"/>
      <c r="Y89" s="128"/>
      <c r="Z89" s="129"/>
      <c r="AA89" s="129"/>
      <c r="AB89" s="129"/>
      <c r="AC89" s="129"/>
      <c r="AD89" s="130"/>
      <c r="AE89" s="131">
        <f>IF(L89="","",IF(L90&gt;0,(SUM(((L88-1)*(1-_xlfn.XLOOKUP(K88,'Janeiro 2023 - Valor Real'!A3:A15,'Janeiro 2023 - Valor Real'!C3:C15,0))+1),((L89-1)*(1-_xlfn.XLOOKUP(K89,'Janeiro 2023 - Valor Real'!A3:A15,'Janeiro 2023 - Valor Real'!C3:C15,0))+1),((L90-1)*(1-_xlfn.XLOOKUP(K90,'Janeiro 2023 - Valor Real'!A3:A15,'Janeiro 2023 - Valor Real'!C3:C15,0))+1))/((L89-1)*(1-_xlfn.XLOOKUP(K89,'Janeiro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Real'!C3:C15,0))+1))/((L88-1)*(1-_xlfn.XLOOKUP(K88,'Janeiro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Real'!C3:C15,0))+1))/((L89-1)*(1-_xlfn.XLOOKUP(K89,'Janeiro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Real'!C3:C15,0))+1))/((L90-1)*(1-_xlfn.XLOOKUP(K90,'Janeiro 2023 - Valor Real'!A3:A15,'Janeiro 2023 - Valor Real'!C3:C15,0))+1)),IF(I89="Lay",IF(I88="Lay",((L88/(L88-1)-1)*(1-_xlfn.XLOOKUP(K88,'Janeiro 2023 - Valor Real'!A3:A15,'Janeiro 2023 - Valor Real'!C3:C15,0))+1)/(((L88/(L88-1)-1)*(1-_xlfn.XLOOKUP(K88,'Janeiro 2023 - Valor Real'!A3:A15,'Janeiro 2023 - Valor Real'!C3:C15,0))+1)+((L89/(L89-1)-1)*(1-_xlfn.XLOOKUP(K89,'Janeiro 2023 - Valor Real'!A3:A15,'Janeiro 2023 - Valor Real'!C3:C15,0))+1)),((L88-1)*(1-_xlfn.XLOOKUP(K88,'Janeiro 2023 - Valor Real'!A3:A15,'Janeiro 2023 - Valor Real'!C3:C15,0))+1)/(((L88-1)*(1-_xlfn.XLOOKUP(K88,'Janeiro 2023 - Valor Real'!A3:A15,'Janeiro 2023 - Valor Real'!C3:C15,0))+1)+((L89/(L89-1)-1)*(1-_xlfn.XLOOKUP(K89,'Janeiro 2023 - Valor Real'!A3:A15,'Janeiro 2023 - Valor Real'!C3:C15,0))+1))),IF(I88="Lay",((L88/(L88-1)-1)*(1-_xlfn.XLOOKUP(K88,'Janeiro 2023 - Valor Real'!A3:A15,'Janeiro 2023 - Valor Real'!C3:C15,0))+1)/((((L88/(L88-1)-1)*(1-_xlfn.XLOOKUP(K88,'Janeiro 2023 - Valor Real'!A3:A15,'Janeiro 2023 - Valor Real'!C3:C15,0))+1))+((L89-1)*(1-_xlfn.XLOOKUP(K89,'Janeiro 2023 - Valor Real'!A3:A15,'Janeiro 2023 - Valor Real'!C3:C15,0))+1)),((L88-1)*(1-_xlfn.XLOOKUP(K88,'Janeiro 2023 - Valor Real'!A3:A15,'Janeiro 2023 - Valor Real'!C3:C15,0))+1)/(((L88-1)*(1-_xlfn.XLOOKUP(K88,'Janeiro 2023 - Valor Real'!A3:A15,'Janeiro 2023 - Valor Real'!C3:C15,0))+1)+((L89-1)*(1-_xlfn.XLOOKUP(K89,'Janeiro 2023 - Valor Real'!A3:A15,'Janeiro 2023 - Valor Real'!C3:C15,0))+1))))))</f>
        <v>0.537757437070938</v>
      </c>
      <c r="AF89" s="132">
        <f>IF($K89=AF$3,ROUND(IF(OR($C89="W",$C89="1/2W",$C89="1/2L"),$P89-$O89,IF($C89="X",0,-$O89)),2),0)</f>
        <v>0</v>
      </c>
      <c r="AG89" s="133">
        <f>IF($K89=AG$3,ROUND(IF(OR($C89="W",$C89="1/2W",$C89="1/2L"),$P89-$O89,IF($C89="X",0,-$O89)),2),0)</f>
        <v>0</v>
      </c>
      <c r="AH89" s="133">
        <f>IF($K89=AH$3,ROUND(IF(OR($C89="W",$C89="1/2W",$C89="1/2L"),$P89-$O89,IF($C89="X",0,-$O89)),2),0)</f>
        <v>0</v>
      </c>
      <c r="AI89" s="133">
        <f>IF($K89=AI$3,ROUND(IF(OR($C89="W",$C89="1/2W",$C89="1/2L"),$P89-$O89,IF($C89="X",0,-$O89)),2),0)</f>
        <v>0</v>
      </c>
      <c r="AJ89" s="133">
        <f>IF($K89=AJ$3,ROUND(IF(OR($C89="W",$C89="1/2W",$C89="1/2L"),$P89-$O89,IF($C89="X",0,-$O89)),2),0)</f>
        <v>0</v>
      </c>
      <c r="AK89" s="133">
        <f>IF($K89=AK$3,ROUND(IF(OR($C89="W",$C89="1/2W",$C89="1/2L"),$P89-$O89,IF($C89="X",0,-$O89)),2),0)</f>
        <v>0</v>
      </c>
      <c r="AL89" s="133">
        <f>IF($K89=AL$3,ROUND(IF(OR($C89="W",$C89="1/2W",$C89="1/2L"),$P89-$O89,IF($C89="X",0,-$O89)),2),0)</f>
        <v>0</v>
      </c>
      <c r="AM89" s="133">
        <f>IF($K89=AM$3,ROUND(IF(OR($C89="W",$C89="1/2W",$C89="1/2L"),$P89-$O89,IF($C89="X",0,-$O89)),2),0)</f>
        <v>0</v>
      </c>
      <c r="AN89" s="133">
        <f>IF($K89=AN$3,ROUND(IF(OR($C89="W",$C89="1/2W",$C89="1/2L"),$P89-$O89,IF($C89="X",0,-$O89)),2),0)</f>
        <v>0</v>
      </c>
      <c r="AO89" s="133">
        <f>IF($K89=AO$3,ROUND(IF(OR($C89="W",$C89="1/2W",$C89="1/2L"),$P89-$O89,IF($C89="X",0,-$O89)),2),0)</f>
        <v>0</v>
      </c>
      <c r="AP89" s="133">
        <f>IF($K89=AP$3,ROUND(IF(OR($C89="W",$C89="1/2W",$C89="1/2L"),$P89-$O89,IF($C89="X",0,-$O89)),2),0)</f>
        <v>0</v>
      </c>
      <c r="AQ89" s="133">
        <f>IF($K89=AQ$3,ROUND(IF(OR($C89="W",$C89="1/2W",$C89="1/2L"),$P89-$O89,IF($C89="X",0,-$O89)),2),0)</f>
        <v>0</v>
      </c>
      <c r="AR89" s="134">
        <f>IF($K89=AR$3,ROUND(IF(OR($C89="W",$C89="1/2W",$C89="1/2L"),$P89-$O89,IF($C89="X",0,-$O89)),2),0)</f>
        <v>0</v>
      </c>
      <c r="AS89" s="132">
        <f>IF(AND($B88=" ",$K89=AS$3),$O89,0)</f>
        <v>0</v>
      </c>
      <c r="AT89" s="133">
        <f>IF(AND($B88=" ",K89=AT$3),$O89,0)</f>
        <v>0</v>
      </c>
      <c r="AU89" s="133">
        <f>IF(AND($B88=" ",$K89=AU$3),$O89,0)</f>
        <v>0</v>
      </c>
      <c r="AV89" s="133">
        <f>IF(AND($B88=" ",$K89=AV$3),$O89,0)</f>
        <v>0</v>
      </c>
      <c r="AW89" s="133">
        <f>IF(AND($B88=" ",$K89=AW$3),$O89,0)</f>
        <v>0</v>
      </c>
      <c r="AX89" s="133">
        <f>IF(AND($B88=" ",$K89=AX$3),$O89,0)</f>
        <v>0</v>
      </c>
      <c r="AY89" s="135">
        <f>IF(AND($B88=" ",$K89=AY$3),$O89,0)</f>
        <v>0</v>
      </c>
      <c r="AZ89" s="136">
        <f>IF(AND($B88=" ",$K89=AZ$3),$O89,0)</f>
        <v>0</v>
      </c>
      <c r="BA89" s="136">
        <f>IF(AND($B88=" ",$K89=BA$3),$O89,0)</f>
        <v>0</v>
      </c>
      <c r="BB89" s="136">
        <f>IF(AND($B88=" ",$K89=BB$3),$O89,0)</f>
        <v>0</v>
      </c>
      <c r="BC89" s="137">
        <f>IF(AND($B88=" ",$K89=BC$3),$O89,0)</f>
        <v>0</v>
      </c>
      <c r="BD89" s="133">
        <f>IF(AND($B88=" ",$K89=BD$3),$O89,0)</f>
        <v>0</v>
      </c>
      <c r="BE89" s="134">
        <f>IF(AND($B88=" ",$K89=BE$3),$O89,0)</f>
        <v>0</v>
      </c>
      <c r="BF89" s="132">
        <f>IF($K89=BF$3,IF($C89="X",0,$O89),0)</f>
        <v>0</v>
      </c>
      <c r="BG89" s="281">
        <f>IF($K89=BG$3,IF($C89="X",0,$O89),0)</f>
        <v>0</v>
      </c>
      <c r="BH89" s="133">
        <f>IF($K89=BH$3,IF($C89="X",0,$O89),0)</f>
        <v>0</v>
      </c>
      <c r="BI89" s="133">
        <f>IF($K89=BI$3,IF($C89="X",0,$O89),0)</f>
        <v>0</v>
      </c>
      <c r="BJ89" s="133">
        <f>IF($K89=BJ$3,IF($C89="X",0,$O89),0)</f>
        <v>0</v>
      </c>
      <c r="BK89" s="133">
        <f>IF($K89=BK$3,IF($C89="X",0,$O89),0)</f>
        <v>0</v>
      </c>
      <c r="BL89" s="133">
        <f>IF($K89=BL$3,IF($C89="X",0,$O89),0)</f>
        <v>0</v>
      </c>
      <c r="BM89" s="135">
        <f>IF($K89=BM$3,IF($C89="X",0,$O89),0)</f>
        <v>0</v>
      </c>
      <c r="BN89" s="136">
        <f>IF($K89=BN$3,IF($C89="X",0,$O89),0)</f>
        <v>0</v>
      </c>
      <c r="BO89" s="136">
        <f>IF($K89=BO$3,IF($C89="X",0,$O89),0)</f>
        <v>0</v>
      </c>
      <c r="BP89" s="136">
        <f>IF($K89=BP$3,IF($C89="X",0,$O89),0)</f>
        <v>0</v>
      </c>
      <c r="BQ89" s="137">
        <f>IF($K89=BQ$3,IF($C89="X",0,$O89),0)</f>
        <v>0</v>
      </c>
      <c r="BR89" s="134">
        <f>IF($K89=BR$3,IF($C89="X",0,$O89),0)</f>
        <v>0</v>
      </c>
      <c r="BS89" s="282"/>
      <c r="BT89" s="283"/>
      <c r="BU89" s="140"/>
      <c r="BV89" s="283"/>
      <c r="BW89" s="140"/>
      <c r="BX89" s="140"/>
      <c r="BY89" s="140"/>
      <c r="BZ89" s="283"/>
      <c r="CA89" s="140"/>
      <c r="CB89" s="140"/>
      <c r="CC89" s="140"/>
      <c r="CD89" s="141"/>
      <c r="CE89" s="142"/>
      <c r="CF89" s="284">
        <f>IF(CF$3=$K89,IF($C89="W",1,IF($C89="1/2W",0.5,0)),0)</f>
        <v>0</v>
      </c>
      <c r="CG89" s="285">
        <f>IF(CF$3=$K89,IF($C89="L",1,IF($C89="1/2L",0.5,0)),0)</f>
        <v>0</v>
      </c>
      <c r="CH89" s="285">
        <f>IF(CH$3=$K89,IF($C89="W",1,IF($C89="1/2W",0.5,0)),0)</f>
        <v>0</v>
      </c>
      <c r="CI89" s="285">
        <f>IF(CH$3=$K89,IF($C89="L",1,IF($C89="1/2L",0.5,0)),0)</f>
        <v>0</v>
      </c>
      <c r="CJ89" s="285">
        <f>IF(CJ$3=$K89,IF($C89="W",1,IF($C89="1/2W",0.5,0)),0)</f>
        <v>0</v>
      </c>
      <c r="CK89" s="285">
        <f>IF(CJ$3=$K89,IF($C89="L",1,IF($C89="1/2L",0.5,0)),0)</f>
        <v>0</v>
      </c>
      <c r="CL89" s="285">
        <f>IF(CL$3=$K89,IF($C89="W",1,IF($C89="1/2W",0.5,0)),0)</f>
        <v>0</v>
      </c>
      <c r="CM89" s="285">
        <f>IF(CL$3=$K89,IF($C89="L",1,IF($C89="1/2L",0.5,0)),0)</f>
        <v>0</v>
      </c>
      <c r="CN89" s="285">
        <f>IF(CN$3=$K89,IF($C89="W",1,IF($C89="1/2W",0.5,0)),0)</f>
        <v>0</v>
      </c>
      <c r="CO89" s="285">
        <f>IF(CN$3=$K89,IF($C89="L",1,IF($C89="1/2L",0.5,0)),0)</f>
        <v>0</v>
      </c>
      <c r="CP89" s="285">
        <f>IF(CP$3=$K89,IF($C89="W",1,IF($C89="1/2W",0.5,0)),0)</f>
        <v>0</v>
      </c>
      <c r="CQ89" s="285">
        <f>IF(CP$3=$K89,IF($C89="L",1,IF($C89="1/2L",0.5,0)),0)</f>
        <v>0</v>
      </c>
      <c r="CR89" s="285">
        <f>IF(CR$3=$K89,IF($C89="W",1,IF($C89="1/2W",0.5,0)),0)</f>
        <v>0</v>
      </c>
      <c r="CS89" s="285">
        <f>IF(CR$3=$K89,IF($C89="L",1,IF($C89="1/2L",0.5,0)),0)</f>
        <v>0</v>
      </c>
      <c r="CT89" s="145">
        <f>IF(CT$3=$K89,IF($C89="W",1,IF($C89="1/2W",0.5,0)),0)</f>
        <v>0</v>
      </c>
      <c r="CU89" s="146">
        <f>IF(CT$3=$K89,IF($C89="L",1,IF($C89="1/2L",0.5,0)),0)</f>
        <v>0</v>
      </c>
      <c r="CV89" s="146">
        <f>IF(CV$3=$K89,IF($C89="W",1,IF($C89="1/2W",0.5,0)),0)</f>
        <v>0</v>
      </c>
      <c r="CW89" s="146">
        <f>IF(CV$3=$K89,IF($C89="L",1,IF($C89="1/2L",0.5,0)),0)</f>
        <v>0</v>
      </c>
      <c r="CX89" s="146">
        <f>IF(CX$3=$K89,IF($C89="W",1,IF($C89="1/2W",0.5,0)),0)</f>
        <v>0</v>
      </c>
      <c r="CY89" s="146">
        <f>IF(CX$3=$K89,IF($C89="L",1,IF($C89="1/2L",0.5,0)),0)</f>
        <v>0</v>
      </c>
      <c r="CZ89" s="146">
        <f>IF(CZ$3=$K89,IF($C89="W",1,IF($C89="1/2W",0.5,0)),0)</f>
        <v>0</v>
      </c>
      <c r="DA89" s="146">
        <f>IF(CZ$3=$K89,IF($C89="L",1,IF($C89="1/2L",0.5,0)),0)</f>
        <v>0</v>
      </c>
      <c r="DB89" s="146">
        <f>IF(DB$3=$K89,IF($C89="W",1,IF($C89="1/2W",0.5,0)),0)</f>
        <v>0</v>
      </c>
      <c r="DC89" s="146">
        <f>IF(DB$3=$K89,IF($C89="L",1,IF($C89="1/2L",0.5,0)),0)</f>
        <v>0</v>
      </c>
      <c r="DD89" s="146">
        <f>IF(DD$3=$K89,IF($C89="W",1,IF($C89="1/2W",0.5,0)),0)</f>
        <v>0</v>
      </c>
      <c r="DE89" s="147">
        <f>IF(DD$3=$K89,IF($C89="L",1,IF($C89="1/2L",0.5,0)),0)</f>
        <v>0</v>
      </c>
      <c r="DF89" s="143">
        <f>IF(AND(L89&lt;DF$3,$C89="W"),1+DF88,DF88)</f>
        <v>6</v>
      </c>
      <c r="DG89" s="133">
        <f>IF(DF89&gt;DF88,L89+DG88,DG88)</f>
        <v>7.998</v>
      </c>
      <c r="DH89" s="146">
        <f>IF(AND(L89&gt;DH$3,$C89="W"),1+DH88,0+DH88)</f>
        <v>1</v>
      </c>
      <c r="DI89" s="133">
        <f>IF(DH89&gt;DH88,L89+DI88,DI88)</f>
        <v>4.33</v>
      </c>
      <c r="DJ89" t="s" s="304">
        <f>IF($D88="","",$D88)</f>
        <v>101</v>
      </c>
      <c r="DK89" s="286"/>
    </row>
    <row r="90" ht="14.55" customHeight="1">
      <c r="A90" s="149"/>
      <c r="B90" s="150"/>
      <c r="C90" t="s" s="151">
        <v>58</v>
      </c>
      <c r="D90" s="152"/>
      <c r="E90" s="153"/>
      <c r="F90" s="155"/>
      <c r="G90" s="252"/>
      <c r="H90" s="156"/>
      <c r="I90" s="287"/>
      <c r="J90" s="288"/>
      <c r="K90" s="156"/>
      <c r="L90" s="289"/>
      <c r="M90" s="290"/>
      <c r="N90" s="161"/>
      <c r="O90" t="s" s="162">
        <f>IF(OR(AE88="",AE89=""),"",IF(L90&gt;0,ROUND(IF(M90&gt;0,M90,IF(M88&gt;0,ROUND((M88*AE90)/AE88,IF(N88=0,2,IF(N88=0.1,1,0))),IF(M89&gt;0,ROUND((M89*AE90)/AE89,IF(N88=0,2,IF(N88=0.1,1,0))),IF(M90&gt;0,M90,0)))),2),""))</f>
      </c>
      <c r="P90" t="s" s="163">
        <f>IF(I89="Lay",O89*(L89/(L89-1))-O89,IF(I88="Lay",O88*(L88/(L88-1))-O88,IF(OR(L90="",O90=""),"",IF($C90="1/2W",O90/2+O90/2*L90,IF($C90="1/2L",O90/2,(O90*L90-O90)*(1-_xlfn.XLOOKUP(K90,'Janeiro 2023 - Valor Real'!A3:A15,'Janeiro 2023 - Valor Real'!C3:C15,0))+O90)))))</f>
      </c>
      <c r="Q90" t="s" s="154"/>
      <c r="R90" t="s" s="163"/>
      <c r="S90" s="166"/>
      <c r="T90" s="155"/>
      <c r="U90" s="155"/>
      <c r="V90" s="166"/>
      <c r="W90" s="155"/>
      <c r="X90" s="167"/>
      <c r="Y90" s="128"/>
      <c r="Z90" s="129"/>
      <c r="AA90" s="129"/>
      <c r="AB90" s="129"/>
      <c r="AC90" s="129"/>
      <c r="AD90" s="168"/>
      <c r="AE90" t="s" s="169">
        <f>IF(L90="","",(SUM(((L88-1)*(1-_xlfn.XLOOKUP(K88,'Janeiro 2023 - Valor Real'!A3:A15,'Janeiro 2023 - Valor Real'!C3:C15,0))+1),((L89-1)*(1-_xlfn.XLOOKUP(K89,'Janeiro 2023 - Valor Real'!A3:A15,'Janeiro 2023 - Valor Real'!C3:C15,0))+1),((L90-1)*(1-_xlfn.XLOOKUP(K90,'Janeiro 2023 - Valor Real'!A3:A15,'Janeiro 2023 - Valor Real'!C3:C15,0))+1))/((L90-1)*(1-_xlfn.XLOOKUP(K90,'Janeiro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Real'!C3:C15,0))+1))/((L88-1)*(1-_xlfn.XLOOKUP(K88,'Janeiro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Real'!C3:C15,0))+1))/((L89-1)*(1-_xlfn.XLOOKUP(K89,'Janeiro 2023 - Valor Real'!A3:A15,'Janeiro 2023 - Valor Real'!C3:C15,0))+1)+SUM(((L88-1)*(1-_xlfn.XLOOKUP(K88,'Janeiro 2023 - Valor Real'!A3:A15,'Janeiro 2023 - Valor Real'!C3:C15,0))+1),((L89-1)*(1-_xlfn.XLOOKUP(K89,'Janeiro 2023 - Valor Real'!A3:A15,'Janeiro 2023 - Valor Real'!C3:C15,0))+1),((L90-1)*(1-_xlfn.XLOOKUP(K90,'Janeiro 2023 - Valor Real'!A3:A15,'Janeiro 2023 - Valor Real'!C3:C15,0))+1))/((L90-1)*(1-_xlfn.XLOOKUP(K90,'Janeiro 2023 - Valor Real'!A3:A15,'Janeiro 2023 - Valor Real'!C3:C15,0))+1)))</f>
      </c>
      <c r="AF90" s="132">
        <f>IF($K90=AF$3,ROUND(IF(OR($C90="W",$C90="1/2W",$C90="1/2L"),$P90-$O90,IF($C90="X",0,-$O90)),2),0)</f>
        <v>0</v>
      </c>
      <c r="AG90" s="133">
        <f>IF($K90=AG$3,ROUND(IF(OR($C90="W",$C90="1/2W",$C90="1/2L"),$P90-$O90,IF($C90="X",0,-$O90)),2),0)</f>
        <v>0</v>
      </c>
      <c r="AH90" s="133">
        <f>IF($K90=AH$3,ROUND(IF(OR($C90="W",$C90="1/2W",$C90="1/2L"),$P90-$O90,IF($C90="X",0,-$O90)),2),0)</f>
        <v>0</v>
      </c>
      <c r="AI90" s="133">
        <f>IF($K90=AI$3,ROUND(IF(OR($C90="W",$C90="1/2W",$C90="1/2L"),$P90-$O90,IF($C90="X",0,-$O90)),2),0)</f>
        <v>0</v>
      </c>
      <c r="AJ90" s="133">
        <f>IF($K90=AJ$3,ROUND(IF(OR($C90="W",$C90="1/2W",$C90="1/2L"),$P90-$O90,IF($C90="X",0,-$O90)),2),0)</f>
        <v>0</v>
      </c>
      <c r="AK90" s="133">
        <f>IF($K90=AK$3,ROUND(IF(OR($C90="W",$C90="1/2W",$C90="1/2L"),$P90-$O90,IF($C90="X",0,-$O90)),2),0)</f>
        <v>0</v>
      </c>
      <c r="AL90" s="133">
        <f>IF($K90=AL$3,ROUND(IF(OR($C90="W",$C90="1/2W",$C90="1/2L"),$P90-$O90,IF($C90="X",0,-$O90)),2),0)</f>
        <v>0</v>
      </c>
      <c r="AM90" s="133">
        <f>IF($K90=AM$3,ROUND(IF(OR($C90="W",$C90="1/2W",$C90="1/2L"),$P90-$O90,IF($C90="X",0,-$O90)),2),0)</f>
        <v>0</v>
      </c>
      <c r="AN90" s="133">
        <f>IF($K90=AN$3,ROUND(IF(OR($C90="W",$C90="1/2W",$C90="1/2L"),$P90-$O90,IF($C90="X",0,-$O90)),2),0)</f>
        <v>0</v>
      </c>
      <c r="AO90" s="133">
        <f>IF($K90=AO$3,ROUND(IF(OR($C90="W",$C90="1/2W",$C90="1/2L"),$P90-$O90,IF($C90="X",0,-$O90)),2),0)</f>
        <v>0</v>
      </c>
      <c r="AP90" s="133">
        <f>IF($K90=AP$3,ROUND(IF(OR($C90="W",$C90="1/2W",$C90="1/2L"),$P90-$O90,IF($C90="X",0,-$O90)),2),0)</f>
        <v>0</v>
      </c>
      <c r="AQ90" s="133">
        <f>IF($K90=AQ$3,ROUND(IF(OR($C90="W",$C90="1/2W",$C90="1/2L"),$P90-$O90,IF($C90="X",0,-$O90)),2),0)</f>
        <v>0</v>
      </c>
      <c r="AR90" s="134">
        <f>IF($K90=AR$3,ROUND(IF(OR($C90="W",$C90="1/2W",$C90="1/2L"),$P90-$O90,IF($C90="X",0,-$O90)),2),0)</f>
        <v>0</v>
      </c>
      <c r="AS90" s="132">
        <f>IF(AND($B88=" ",$K90=AS$3),$O90,0)</f>
        <v>0</v>
      </c>
      <c r="AT90" s="133">
        <f>IF(AND($B88=" ",K90=AT$3),$O90,0)</f>
        <v>0</v>
      </c>
      <c r="AU90" s="133">
        <f>IF(AND($B88=" ",$K90=AU$3),$O90,0)</f>
        <v>0</v>
      </c>
      <c r="AV90" s="133">
        <f>IF(AND($B88=" ",$K90=AV$3),$O90,0)</f>
        <v>0</v>
      </c>
      <c r="AW90" s="133">
        <f>IF(AND($B88=" ",$K90=AW$3),$O90,0)</f>
        <v>0</v>
      </c>
      <c r="AX90" s="133">
        <f>IF(AND($B88=" ",$K90=AX$3),$O90,0)</f>
        <v>0</v>
      </c>
      <c r="AY90" s="135">
        <f>IF(AND($B88=" ",$K90=AY$3),$O90,0)</f>
        <v>0</v>
      </c>
      <c r="AZ90" s="136">
        <f>IF(AND($B88=" ",$K90=AZ$3),$O90,0)</f>
        <v>0</v>
      </c>
      <c r="BA90" s="136">
        <f>IF(AND($B88=" ",$K90=BA$3),$O90,0)</f>
        <v>0</v>
      </c>
      <c r="BB90" s="136">
        <f>IF(AND($B88=" ",$K90=BB$3),$O90,0)</f>
        <v>0</v>
      </c>
      <c r="BC90" s="137">
        <f>IF(AND($B88=" ",$K90=BC$3),$O90,0)</f>
        <v>0</v>
      </c>
      <c r="BD90" s="133">
        <f>IF(AND($B88=" ",$K90=BD$3),$O90,0)</f>
        <v>0</v>
      </c>
      <c r="BE90" s="134">
        <f>IF(AND($B88=" ",$K90=BE$3),$O90,0)</f>
        <v>0</v>
      </c>
      <c r="BF90" s="132">
        <f>IF($K90=BF$3,IF($C90="X",0,$O90),0)</f>
        <v>0</v>
      </c>
      <c r="BG90" s="281">
        <f>IF($K90=BG$3,IF($C90="X",0,$O90),0)</f>
        <v>0</v>
      </c>
      <c r="BH90" s="133">
        <f>IF($K90=BH$3,IF($C90="X",0,$O90),0)</f>
        <v>0</v>
      </c>
      <c r="BI90" s="133">
        <f>IF($K90=BI$3,IF($C90="X",0,$O90),0)</f>
        <v>0</v>
      </c>
      <c r="BJ90" s="133">
        <f>IF($K90=BJ$3,IF($C90="X",0,$O90),0)</f>
        <v>0</v>
      </c>
      <c r="BK90" s="133">
        <f>IF($K90=BK$3,IF($C90="X",0,$O90),0)</f>
        <v>0</v>
      </c>
      <c r="BL90" s="133">
        <f>IF($K90=BL$3,IF($C90="X",0,$O90),0)</f>
        <v>0</v>
      </c>
      <c r="BM90" s="135">
        <f>IF($K90=BM$3,IF($C90="X",0,$O90),0)</f>
        <v>0</v>
      </c>
      <c r="BN90" s="136">
        <f>IF($K90=BN$3,IF($C90="X",0,$O90),0)</f>
        <v>0</v>
      </c>
      <c r="BO90" s="136">
        <f>IF($K90=BO$3,IF($C90="X",0,$O90),0)</f>
        <v>0</v>
      </c>
      <c r="BP90" s="136">
        <f>IF($K90=BP$3,IF($C90="X",0,$O90),0)</f>
        <v>0</v>
      </c>
      <c r="BQ90" s="137">
        <f>IF($K90=BQ$3,IF($C90="X",0,$O90),0)</f>
        <v>0</v>
      </c>
      <c r="BR90" s="134">
        <f>IF($K90=BR$3,IF($C90="X",0,$O90),0)</f>
        <v>0</v>
      </c>
      <c r="BS90" s="282"/>
      <c r="BT90" s="283"/>
      <c r="BU90" s="140"/>
      <c r="BV90" s="283"/>
      <c r="BW90" s="140"/>
      <c r="BX90" s="140"/>
      <c r="BY90" s="140"/>
      <c r="BZ90" s="283"/>
      <c r="CA90" s="140"/>
      <c r="CB90" s="140"/>
      <c r="CC90" s="140"/>
      <c r="CD90" s="141"/>
      <c r="CE90" s="142"/>
      <c r="CF90" s="284">
        <f>IF(CF$3=$K90,IF($C90="W",1,IF($C90="1/2W",0.5,0)),0)</f>
        <v>0</v>
      </c>
      <c r="CG90" s="285">
        <f>IF(CF$3=$K90,IF($C90="L",1,IF($C90="1/2L",0.5,0)),0)</f>
        <v>0</v>
      </c>
      <c r="CH90" s="285">
        <f>IF(CH$3=$K90,IF($C90="W",1,IF($C90="1/2W",0.5,0)),0)</f>
        <v>0</v>
      </c>
      <c r="CI90" s="285">
        <f>IF(CH$3=$K90,IF($C90="L",1,IF($C90="1/2L",0.5,0)),0)</f>
        <v>0</v>
      </c>
      <c r="CJ90" s="285">
        <f>IF(CJ$3=$K90,IF($C90="W",1,IF($C90="1/2W",0.5,0)),0)</f>
        <v>0</v>
      </c>
      <c r="CK90" s="285">
        <f>IF(CJ$3=$K90,IF($C90="L",1,IF($C90="1/2L",0.5,0)),0)</f>
        <v>0</v>
      </c>
      <c r="CL90" s="285">
        <f>IF(CL$3=$K90,IF($C90="W",1,IF($C90="1/2W",0.5,0)),0)</f>
        <v>0</v>
      </c>
      <c r="CM90" s="285">
        <f>IF(CL$3=$K90,IF($C90="L",1,IF($C90="1/2L",0.5,0)),0)</f>
        <v>0</v>
      </c>
      <c r="CN90" s="285">
        <f>IF(CN$3=$K90,IF($C90="W",1,IF($C90="1/2W",0.5,0)),0)</f>
        <v>0</v>
      </c>
      <c r="CO90" s="285">
        <f>IF(CN$3=$K90,IF($C90="L",1,IF($C90="1/2L",0.5,0)),0)</f>
        <v>0</v>
      </c>
      <c r="CP90" s="285">
        <f>IF(CP$3=$K90,IF($C90="W",1,IF($C90="1/2W",0.5,0)),0)</f>
        <v>0</v>
      </c>
      <c r="CQ90" s="285">
        <f>IF(CP$3=$K90,IF($C90="L",1,IF($C90="1/2L",0.5,0)),0)</f>
        <v>0</v>
      </c>
      <c r="CR90" s="285">
        <f>IF(CR$3=$K90,IF($C90="W",1,IF($C90="1/2W",0.5,0)),0)</f>
        <v>0</v>
      </c>
      <c r="CS90" s="285">
        <f>IF(CR$3=$K90,IF($C90="L",1,IF($C90="1/2L",0.5,0)),0)</f>
        <v>0</v>
      </c>
      <c r="CT90" s="145">
        <f>IF(CT$3=$K90,IF($C90="W",1,IF($C90="1/2W",0.5,0)),0)</f>
        <v>0</v>
      </c>
      <c r="CU90" s="146">
        <f>IF(CT$3=$K90,IF($C90="L",1,IF($C90="1/2L",0.5,0)),0)</f>
        <v>0</v>
      </c>
      <c r="CV90" s="146">
        <f>IF(CV$3=$K90,IF($C90="W",1,IF($C90="1/2W",0.5,0)),0)</f>
        <v>0</v>
      </c>
      <c r="CW90" s="146">
        <f>IF(CV$3=$K90,IF($C90="L",1,IF($C90="1/2L",0.5,0)),0)</f>
        <v>0</v>
      </c>
      <c r="CX90" s="146">
        <f>IF(CX$3=$K90,IF($C90="W",1,IF($C90="1/2W",0.5,0)),0)</f>
        <v>0</v>
      </c>
      <c r="CY90" s="146">
        <f>IF(CX$3=$K90,IF($C90="L",1,IF($C90="1/2L",0.5,0)),0)</f>
        <v>0</v>
      </c>
      <c r="CZ90" s="146">
        <f>IF(CZ$3=$K90,IF($C90="W",1,IF($C90="1/2W",0.5,0)),0)</f>
        <v>0</v>
      </c>
      <c r="DA90" s="146">
        <f>IF(CZ$3=$K90,IF($C90="L",1,IF($C90="1/2L",0.5,0)),0)</f>
        <v>0</v>
      </c>
      <c r="DB90" s="146">
        <f>IF(DB$3=$K90,IF($C90="W",1,IF($C90="1/2W",0.5,0)),0)</f>
        <v>0</v>
      </c>
      <c r="DC90" s="146">
        <f>IF(DB$3=$K90,IF($C90="L",1,IF($C90="1/2L",0.5,0)),0)</f>
        <v>0</v>
      </c>
      <c r="DD90" s="146">
        <f>IF(DD$3=$K90,IF($C90="W",1,IF($C90="1/2W",0.5,0)),0)</f>
        <v>0</v>
      </c>
      <c r="DE90" s="147">
        <f>IF(DD$3=$K90,IF($C90="L",1,IF($C90="1/2L",0.5,0)),0)</f>
        <v>0</v>
      </c>
      <c r="DF90" s="143">
        <f>IF(AND(L90&lt;DF$3,$C90="W"),1+DF89,DF89)</f>
        <v>6</v>
      </c>
      <c r="DG90" s="133">
        <f>IF(DF90&gt;DF89,L90+DG89,DG89)</f>
        <v>7.998</v>
      </c>
      <c r="DH90" s="146">
        <f>IF(AND(L90&gt;DH$3,$C90="W"),1+DH89,0+DH89)</f>
        <v>1</v>
      </c>
      <c r="DI90" s="133">
        <f>IF(DH90&gt;DH89,L90+DI89,DI89)</f>
        <v>4.33</v>
      </c>
      <c r="DJ90" t="s" s="304">
        <f>IF($D88="","",$D88)</f>
        <v>101</v>
      </c>
      <c r="DK90" s="286"/>
    </row>
    <row r="91" ht="14.55" customHeight="1">
      <c r="A91" s="171">
        <f>$A88+1</f>
        <v>30</v>
      </c>
      <c r="B91" t="s" s="172">
        <f>IF(AND(_xlfn.XLOOKUP(H91,H$4:H90,G$4:G90,0)=G91,_xlfn.XLOOKUP("TempoBet",K91:K93,L91:L93,0)&gt;0),"X",IF(OR(C91="W",C92="W",C93="W",C91="1/2W",C92="1/2W",C93="1/2W",C91="1/2L",C92="1/2L",C93="1/2L"),"OK",IF(OR(C91="L",C92="L",C93="L"),"LOSS",IF(OR(C91="X",C92="X",C93="X"),"Anulado"," "))))</f>
        <v>24</v>
      </c>
      <c r="C91" t="s" s="173">
        <v>114</v>
      </c>
      <c r="D91" t="s" s="305">
        <f>IF(G91="","",$D88)</f>
        <v>101</v>
      </c>
      <c r="E91" t="s" s="175">
        <f>IF(G91=""," ","– "&amp;COUNTIF(D$4:D93,$D91))</f>
        <v>135</v>
      </c>
      <c r="F91" t="s" s="176">
        <f>IF(G91="","",IF(OR(AND($C91&lt;&gt;" ",$C92=" "),AND($C92&lt;&gt;" ",$C91=" "),AND(L93&gt;0,OR(AND($C93&lt;&gt;" ",OR($C91=" ",$C92=" ")),AND($C93=" ",OR($C91&lt;&gt;" ",$C92&lt;&gt;" "))))),IF(SUM(F$4:F90)=0,1,LARGE(F$4:F90,1)+1),IF(MONTH(G91)=MONTH(TODAY()),IF(AND(DAY(G91)&lt;DAY(TODAY()),$B91=" "),IF(SUM(F$4:F90)=0,1,LARGE(F$4:F90,1)+1),IF($B91=" ",IF(AND(DAY(G91)=DAY(TODAY()),HOUR(G91)&lt;=HOUR(NOW())+1),IF(AND(HOUR(G91)+2&lt;=HOUR(NOW()),DAY(G91)&lt;=DAY(TODAY()),MINUTE(G91)&lt;=MINUTE(NOW())),IF(SUM(F$4:F90)=0,1,LARGE(F$4:F90,1)+1),IF(OR(MINUTE(G91)&lt;=MINUTE(NOW()),HOUR(G91)&lt;=HOUR(NOW())),"!!!","")),""),"")),"")))</f>
      </c>
      <c r="G91" s="177">
        <v>44944.666666666664</v>
      </c>
      <c r="H91" t="s" s="178">
        <v>136</v>
      </c>
      <c r="I91" t="s" s="179">
        <v>60</v>
      </c>
      <c r="J91" s="180"/>
      <c r="K91" t="s" s="181">
        <v>38</v>
      </c>
      <c r="L91" s="182">
        <v>2.1</v>
      </c>
      <c r="M91" s="183">
        <v>19</v>
      </c>
      <c r="N91" s="184">
        <v>0</v>
      </c>
      <c r="O91" s="185">
        <f>IF(OR(AE91="",AE92=""),"",ROUND(IF(L93&gt;0,IF(M91&gt;0,M91,IF(M92&gt;0,ROUND((M92*AE91)/AE92,IF(N91=0,2,IF(N91=0.1,1,0))),ROUND((M93*AE91)/AE93,IF(N91=0,2,IF(N91=0.1,1,0))))),IF(M91&gt;0,M91,ROUND((M92*AE91)/AE92,IF(N91=0,2,IF(N91=0.1,1,0))))),2))</f>
        <v>19</v>
      </c>
      <c r="P91" s="186">
        <f>IF(OR(L91="",O91=""),"",IF($C91="1/2W",O91/2+O91/2*L91,IF($C91="1/2L",O91/2,IF(I91="Lay",(O91*(L91/(L91-1))-O91)*(1-_xlfn.XLOOKUP(K91,'Janeiro 2023 - Valor Real'!A3:A15,'Janeiro 2023 - Valor Real'!C3:C15,0))+O91,(O91*L91-O91)*(1-_xlfn.XLOOKUP(K91,'Janeiro 2023 - Valor Real'!A3:A15,'Janeiro 2023 - Valor Real'!C3:C15,0))+O91))))</f>
        <v>39.9</v>
      </c>
      <c r="Q91" s="187">
        <f>IF(K91="","",IF(_xlfn.XLOOKUP(K91,K$4:K90,DJ$4:DJ90,0,,-1)=DJ91,_xlfn.XLOOKUP(K91,K$4:K90,Q$4:Q90,1,,-1)+1,1))</f>
        <v>5</v>
      </c>
      <c r="R91" s="188">
        <f>IF(K91="","",_xlfn.XLOOKUP(K91,K$4:K90,R$4:R90,0,,-1)+IF($C91=" ",1,0))</f>
        <v>0</v>
      </c>
      <c r="S91" s="189">
        <f>IF($B91="Anulado",0,ROUND(IF(OR($B91="LOSS",$B91="OK"),IF(OR($C91="W",$C91="1/2W",$C91="1/2L"),P91-O91,IF($C91="L",-O91,0))+IF(OR($C92="W",$C92="1/2W",$C92="1/2L"),P92-O92,IF($C92="L",-O92,0))+IF(OR($C93="W",$C93="1/2W",$C93="1/2L"),P93-O93,IF($C93="L",-O93,0)),IF(AND(OR($C91="W",$C91="1/2W",$C91="1/2L"),C92="W"),P91+P92-SUM(O91:O93)+_xlfn.XLOOKUP("X",C91:C93,O91:O93,0),IF(AND(C91=TRUE,C93="W"),P91+P93-SUM(O91:O93),IF(AND(C92="W",C93="W"),P92+P93-SUM(O91:O93)+_xlfn.XLOOKUP("X",C91:C93,O91:O93,0),IF(L93&gt;0,IF(OR($C91="W",$C91="1/2W",$C91="1/2L"),P91-SUM(O91:O93)+_xlfn.XLOOKUP("X",C91:C93,O91:O93,0),IF(OR($C91="W",$C91="1/2W",$C91="1/2L"),P92-SUM(O91:O93)+_xlfn.XLOOKUP("X",C91:C93,O91:O93,0),IF(OR($C91="W",$C91="1/2W",$C91="1/2L"),P93-SUM(O91:O93)+_xlfn.XLOOKUP("X",C91:C93,O91:O93,0),IF(SUM(P91:P93)/3-SUM(O91:O93)+_xlfn.XLOOKUP("X",C91:C93,O91:O93,0)&gt;0,SUM(P91:P93)/3-SUM(O91:O93)+_xlfn.XLOOKUP("X",C91:C93,O91:O93,0),LARGE(P91:P93,1)-SUM(O91:O93))))),IF(OR($C91="W",$C91="1/2W",$C91="1/2L"),P91-SUM(O91:O92)+_xlfn.XLOOKUP("X",C91:C93,O91:O93,0),IF(OR($C91="W",$C91="1/2W",$C91="1/2L"),P92-SUM(O91:O92)+_xlfn.XLOOKUP("X",C91:C93,O91:O93,0),SUM(P91:P92)/2-SUM(O91:O92)+_xlfn.XLOOKUP("X",C91:C93,O91:O93,0)))))))),2))</f>
        <v>0</v>
      </c>
      <c r="T91" s="190">
        <f>IF(S91=0,0,S91/SUM(O91:O93))</f>
        <v>0</v>
      </c>
      <c r="U91" s="191">
        <f>IF($D91=$D88,IF(OR($B91="LOSS",$B91="OK",$B91="Anulada"),S91,0)+U88,IF(OR($B91="LOSS",$B91="OK",$B91="Anulada"),S91,0))</f>
        <v>15.77</v>
      </c>
      <c r="V91" s="191">
        <f>IF($D91="",0,IF($D91=$D88,IF($B91=" ",IF(I93="",IF(OR(AND(I91="DNB1",I92="DNB2"),AND(OR(I91="DNB1",I91="DNB2"),J92=0),AND(OR(I92="DNB1",I92="DNB2"),J91=0),AND(I91="DNB2",I92="DNB1"),AND(IF(J91=0,(J91+1)/ROUND(J91+1,0),J91/ROUND(J91,0))=1,IF(J92=0,(J92+1)/ROUND(IF(J92="",0,J92)+1,0),IF(J92="",0,J92)/ROUND(IF(J92="",1,J92),0))=1,OR(J91&lt;&gt;""),J92&lt;&gt;"")),0,IF(S91&lt;0,IF(I93="",SMALL(P91:P92,1)-SUM(O91:O92),0),SMALL(P91:P92,1)-SUM(O91:O92))),IF(S91&lt;0,IF(I93="",SMALL(P91:P93,1)-SUM(O91:O93),0),LARGE(P91:P93,1)-SUM(O91:O93))),S91)+V88,IF(I93="",IF(OR(AND(I91="DNB1",I92="DNB2"),AND(OR(I91="DNB1",I91="DNB2"),J92=0),AND(OR(I92="DNB1",I92="DNB2"),J91=0),AND(I91="DNB2",I92="DNB1"),AND(IF(J91=0,(J91+1)/ROUND(J91+1,0),J91/ROUND(J91,0))=1,IF(J92=0,(IF(J92="",0,J92)+1)/ROUND(IF(J92="",0,J92)+1,0),IF(J92="",0,J92)/ROUND(IF(J92="",0,J92)+1,0))=1,OR(J91&lt;&gt;""),J92&lt;&gt;"")),0,IF(S91&lt;0,IF(I93="",SMALL(P91:P92,1)-SUM(O91:O92),0),SMALL(P91:P93,1)-SUM(O91:O93))),IF(S91&lt;0,IF(I93="",SMALL(P91:P93,1)-SUM(O91:O93),0),LARGE(P91:P93,1)-SUM(O91:O93)))))</f>
        <v>15.772</v>
      </c>
      <c r="W91" s="191">
        <f>IF($D91=$D88,IF(S91&lt;0,IF(I93="",S91,0),S91)+W88,S91)</f>
        <v>15.77</v>
      </c>
      <c r="X91" t="s" s="192">
        <f>IF(OR(SUM(R91:R93)=0,V91=W91),ROUND(IF(W91=0,0,W91/Y91)*100,2)&amp;"%",ROUND(IF(V91=0,0,V91/Y91)*100,2)&amp;"% a "&amp;ROUND(IF(W91=0,0,W91/Y91)*100,2)&amp;"%")</f>
        <v>137</v>
      </c>
      <c r="Y91" s="193">
        <f>IF($D91=$D88,Y88+SUM(O91:O93),SUM(O91:O93))</f>
        <v>521.11</v>
      </c>
      <c r="Z91" s="191">
        <f>IF($B91=" ",SUM(O91:O93),0)+Z88</f>
        <v>0</v>
      </c>
      <c r="AA91" s="191">
        <f>IF(G91="","",IF($B91="Anulado",LARGE(P91:P93,1)-SUM(O91:O93)+AA88,AA88))</f>
        <v>11.4028</v>
      </c>
      <c r="AB91" s="191">
        <f>IF($D91="","",AB88+S91)</f>
        <v>93.87</v>
      </c>
      <c r="AC91" s="194">
        <f>IF($D91="","",IF($B91=" ",IF(DAY(G91)=DAY(TODAY()),1+AC88,0+AC88),0+AC88))</f>
        <v>0</v>
      </c>
      <c r="AD91" s="195">
        <f>(((L92/(L92-1)-1)*(1-_xlfn.XLOOKUP(K92,'Janeiro 2023 - Valor Real'!A3:A15,'Janeiro 2023 - Valor Real'!C3:C15,0))+1))/(((L91-1)*(1-_xlfn.XLOOKUP(K91,'Janeiro 2023 - Valor Real'!A3:A15,'Janeiro 2023 - Valor Real'!C3:C15,0))+1)+((L92/(L92-1)-1)*(1-_xlfn.XLOOKUP(K92,'Janeiro 2023 - Valor Real'!A3:A15,'Janeiro 2023 - Valor Real'!C3:C15,0))+1))</f>
        <v>0.476190476190476</v>
      </c>
      <c r="AE91" s="196">
        <f>IF(L91="","",IF(L93&gt;0,(SUM(((L91-1)*(1-_xlfn.XLOOKUP(K91,'Janeiro 2023 - Valor Real'!A3:A15,'Janeiro 2023 - Valor Real'!C3:C15,0))+1),((L92-1)*(1-_xlfn.XLOOKUP(K92,'Janeiro 2023 - Valor Real'!A3:A15,'Janeiro 2023 - Valor Real'!C3:C15,0))+1),((L93-1)*(1-_xlfn.XLOOKUP(K93,'Janeiro 2023 - Valor Real'!A3:A15,'Janeiro 2023 - Valor Real'!C3:C15,0))+1))/((L91-1)*(1-_xlfn.XLOOKUP(K91,'Janeiro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Real'!C3:C15,0))+1))/((L91-1)*(1-_xlfn.XLOOKUP(K91,'Janeiro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Real'!C3:C15,0))+1))/((L92-1)*(1-_xlfn.XLOOKUP(K92,'Janeiro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Real'!C3:C15,0))+1))/((L93-1)*(1-_xlfn.XLOOKUP(K93,'Janeiro 2023 - Valor Real'!A3:A15,'Janeiro 2023 - Valor Real'!C3:C15,0))+1)),IF(I91="Lay",IF(I92="Lay",((L92/(L92-1)-1)*(1-_xlfn.XLOOKUP(K92,'Janeiro 2023 - Valor Real'!A3:A15,'Janeiro 2023 - Valor Real'!C3:C15,0))+1)/(((L92/(L92-1)-1)*(1-_xlfn.XLOOKUP(K92,'Janeiro 2023 - Valor Real'!A3:A15,'Janeiro 2023 - Valor Real'!C3:C15,0))+1)+((L91/(L91-1)-1)*(1-_xlfn.XLOOKUP(K91,'Janeiro 2023 - Valor Real'!A3:A15,'Janeiro 2023 - Valor Real'!C3:C15,0))+1)),((L92-1)*(1-_xlfn.XLOOKUP(K92,'Janeiro 2023 - Valor Real'!A3:A15,'Janeiro 2023 - Valor Real'!C3:C15,0))+1)/(((L92-1)*(1-_xlfn.XLOOKUP(K92,'Janeiro 2023 - Valor Real'!A3:A15,'Janeiro 2023 - Valor Real'!C3:C15,0))+1)+((L91/(L91-1)-1)*(1-_xlfn.XLOOKUP(K91,'Janeiro 2023 - Valor Real'!A3:A15,'Janeiro 2023 - Valor Real'!C3:C15,0))+1))),IF(I92="Lay",(((L92/(L92-1)-1)*(1-_xlfn.XLOOKUP(K92,'Janeiro 2023 - Valor Real'!A3:A15,'Janeiro 2023 - Valor Real'!C3:C15,0))+1))/(((L91-1)*(1-_xlfn.XLOOKUP(K91,'Janeiro 2023 - Valor Real'!A3:A15,'Janeiro 2023 - Valor Real'!C3:C15,0))+1)+((L92/(L92-1)-1)*(1-_xlfn.XLOOKUP(K92,'Janeiro 2023 - Valor Real'!A3:A15,'Janeiro 2023 - Valor Real'!C3:C15,0))+1)),((L92-1)*(1-_xlfn.XLOOKUP(K92,'Janeiro 2023 - Valor Real'!A3:A15,'Janeiro 2023 - Valor Real'!C3:C15,0))+1)/(((L92-1)*(1-_xlfn.XLOOKUP(K92,'Janeiro 2023 - Valor Real'!A3:A15,'Janeiro 2023 - Valor Real'!C3:C15,0))+1)+((L91-1)*(1-_xlfn.XLOOKUP(K91,'Janeiro 2023 - Valor Real'!A3:A15,'Janeiro 2023 - Valor Real'!C3:C15,0))+1))))))</f>
        <v>0.5</v>
      </c>
      <c r="AF91" s="197">
        <f>IF($K91=AF$3,ROUND(IF(OR($C91="W",$C91="1/2W",$C91="1/2L"),$P91-$O91,IF($C91="X",0,-$O91)),2),0)</f>
        <v>0</v>
      </c>
      <c r="AG91" s="198">
        <f>IF($K91=AG$3,ROUND(IF(OR($C91="W",$C91="1/2W",$C91="1/2L"),$P91-$O91,IF($C91="X",0,-$O91)),2),0)</f>
        <v>0</v>
      </c>
      <c r="AH91" s="198">
        <f>IF($K91=AH$3,ROUND(IF(OR($C91="W",$C91="1/2W",$C91="1/2L"),$P91-$O91,IF($C91="X",0,-$O91)),2),0)</f>
        <v>0</v>
      </c>
      <c r="AI91" s="198">
        <f>IF($K91=AI$3,ROUND(IF(OR($C91="W",$C91="1/2W",$C91="1/2L"),$P91-$O91,IF($C91="X",0,-$O91)),2),0)</f>
        <v>0</v>
      </c>
      <c r="AJ91" s="198">
        <f>IF($K91=AJ$3,ROUND(IF(OR($C91="W",$C91="1/2W",$C91="1/2L"),$P91-$O91,IF($C91="X",0,-$O91)),2),0)</f>
        <v>0</v>
      </c>
      <c r="AK91" s="198">
        <f>IF($K91=AK$3,ROUND(IF(OR($C91="W",$C91="1/2W",$C91="1/2L"),$P91-$O91,IF($C91="X",0,-$O91)),2),0)</f>
        <v>0</v>
      </c>
      <c r="AL91" s="198">
        <f>IF($K91=AL$3,ROUND(IF(OR($C91="W",$C91="1/2W",$C91="1/2L"),$P91-$O91,IF($C91="X",0,-$O91)),2),0)</f>
        <v>0</v>
      </c>
      <c r="AM91" s="198">
        <f>IF($K91=AM$3,ROUND(IF(OR($C91="W",$C91="1/2W",$C91="1/2L"),$P91-$O91,IF($C91="X",0,-$O91)),2),0)</f>
        <v>0</v>
      </c>
      <c r="AN91" s="198">
        <f>IF($K91=AN$3,ROUND(IF(OR($C91="W",$C91="1/2W",$C91="1/2L"),$P91-$O91,IF($C91="X",0,-$O91)),2),0)</f>
        <v>0</v>
      </c>
      <c r="AO91" s="198">
        <f>IF($K91=AO$3,ROUND(IF(OR($C91="W",$C91="1/2W",$C91="1/2L"),$P91-$O91,IF($C91="X",0,-$O91)),2),0)</f>
        <v>0</v>
      </c>
      <c r="AP91" s="198">
        <f>IF($K91=AP$3,ROUND(IF(OR($C91="W",$C91="1/2W",$C91="1/2L"),$P91-$O91,IF($C91="X",0,-$O91)),2),0)</f>
        <v>0</v>
      </c>
      <c r="AQ91" s="198">
        <f>IF($K91=AQ$3,ROUND(IF(OR($C91="W",$C91="1/2W",$C91="1/2L"),$P91-$O91,IF($C91="X",0,-$O91)),2),0)</f>
        <v>0</v>
      </c>
      <c r="AR91" s="199">
        <f>IF($K91=AR$3,ROUND(IF(OR($C91="W",$C91="1/2W",$C91="1/2L"),$P91-$O91,IF($C91="X",0,-$O91)),2),0)</f>
        <v>0</v>
      </c>
      <c r="AS91" s="197">
        <f>IF(AND($B91=" ",$K91=AS$3),$O91,0)</f>
        <v>0</v>
      </c>
      <c r="AT91" s="198">
        <f>IF(AND($B91=" ",$K91=AT$3),$O91,0)</f>
        <v>0</v>
      </c>
      <c r="AU91" s="198">
        <f>IF(AND($B91=" ",$K91=AU$3),$O91,0)</f>
        <v>0</v>
      </c>
      <c r="AV91" s="198">
        <f>IF(AND($B91=" ",$K91=AV$3),$O91,0)</f>
        <v>0</v>
      </c>
      <c r="AW91" s="198">
        <f>IF(AND($B91=" ",$K91=AW$3),$O91,0)</f>
        <v>0</v>
      </c>
      <c r="AX91" s="198">
        <f>IF(AND($B91=" ",$K91=AX$3),$O91,0)</f>
        <v>0</v>
      </c>
      <c r="AY91" s="200">
        <f>IF(AND($B91=" ",$K91=AY$3),$O91,0)</f>
        <v>0</v>
      </c>
      <c r="AZ91" s="201">
        <f>IF(AND($B91=" ",$K91=AZ$3),$O91,0)</f>
        <v>0</v>
      </c>
      <c r="BA91" s="201">
        <f>IF(AND($B91=" ",$K91=BA$3),$O91,0)</f>
        <v>0</v>
      </c>
      <c r="BB91" s="201">
        <f>IF(AND($B91=" ",$K91=BB$3),$O91,0)</f>
        <v>0</v>
      </c>
      <c r="BC91" s="202">
        <f>IF(AND($B91=" ",$K91=BC$3),$O91,0)</f>
        <v>0</v>
      </c>
      <c r="BD91" s="198">
        <f>IF(AND($B91=" ",$K91=BD$3),$O91,0)</f>
        <v>0</v>
      </c>
      <c r="BE91" s="199">
        <f>IF(AND($B91=" ",$K91=BE$3),$O91,0)</f>
        <v>0</v>
      </c>
      <c r="BF91" s="203">
        <f>IF($K91=BF$3,IF($C91="X",0,$O91),0)</f>
        <v>0</v>
      </c>
      <c r="BG91" s="198">
        <f>IF($K91=BG$3,IF($C91="X",0,$O91),0)</f>
        <v>0</v>
      </c>
      <c r="BH91" s="198">
        <f>IF($K91=BH$3,IF($C91="X",0,$O91),0)</f>
        <v>0</v>
      </c>
      <c r="BI91" s="198">
        <f>IF($K91=BI$3,IF($C91="X",0,$O91),0)</f>
        <v>0</v>
      </c>
      <c r="BJ91" s="198">
        <f>IF($K91=BJ$3,IF($C91="X",0,$O91),0)</f>
        <v>0</v>
      </c>
      <c r="BK91" s="198">
        <f>IF($K91=BK$3,IF($C91="X",0,$O91),0)</f>
        <v>0</v>
      </c>
      <c r="BL91" s="198">
        <f>IF($K91=BL$3,IF($C91="X",0,$O91),0)</f>
        <v>0</v>
      </c>
      <c r="BM91" s="200">
        <f>IF($K91=BM$3,IF($C91="X",0,$O91),0)</f>
        <v>0</v>
      </c>
      <c r="BN91" s="201">
        <f>IF($K91=BN$3,IF($C91="X",0,$O91),0)</f>
        <v>0</v>
      </c>
      <c r="BO91" s="201">
        <f>IF($K91=BO$3,IF($C91="X",0,$O91),0)</f>
        <v>0</v>
      </c>
      <c r="BP91" s="201">
        <f>IF($K91=BP$3,IF($C91="X",0,$O91),0)</f>
        <v>0</v>
      </c>
      <c r="BQ91" s="202">
        <f>IF($K91=BQ$3,IF($C91="X",0,$O91),0)</f>
        <v>0</v>
      </c>
      <c r="BR91" s="199">
        <f>IF($K91=BR$3,IF($C91="X",0,$O91),0)</f>
        <v>0</v>
      </c>
      <c r="BS91" s="204">
        <f>IF($B91="LOSS",IF(AND($K91=BS$3,$C91="L"),-$O91,0)+IF(AND($K92=BS$3,$C92="L"),-$O92,0)+IF(AND($K93=BS$3,$C93="L"),-$O93,0),IF(OR(AND($K91=BS$3,OR($C91="W",$C91="1/2W")),AND($K92=BS$3,OR($C92="W",$C92="1/2W")),AND($K93=BS$3,OR($C93="W",$C93="1/2W"))),$S91,0))</f>
        <v>0</v>
      </c>
      <c r="BT91" s="201">
        <f>IF($B91="LOSS",IF(AND($K91=BT$3,$C91="L"),-$O91,0)+IF(AND($K92=BT$3,$C92="L"),-$O92,0)+IF(AND($K92=BT$3,$C93="L"),-$O93,0),IF(OR(AND($K92=BT$3,OR($C91="W",$C91="1/2W")),AND($K92=BT$3,OR($C92="W",$C92="1/2W")),AND($K92=BT$3,OR($C93="W",$C93="1/2W"))),$S91,0))</f>
        <v>0</v>
      </c>
      <c r="BU91" s="201">
        <f>IF($B91="LOSS",IF(AND($K91=BU$3,$C91="L"),-$O91,0)+IF(AND($K92=BU$3,$C92="L"),-$O92,0)+IF(AND($K92=BU$3,$C93="L"),-$O93,0),IF(OR(AND($K92=BU$3,OR($C91="W",$C91="1/2W")),AND($K92=BU$3,OR($C92="W",$C92="1/2W")),AND($K92=BU$3,OR($C93="W",$C93="1/2W"))),$S91,0))</f>
        <v>0</v>
      </c>
      <c r="BV91" s="201">
        <f>IF($B91="LOSS",IF(AND($K91=BV$3,$C91="L"),-$O91,0)+IF(AND($K92=BV$3,$C92="L"),-$O92,0)+IF(AND($K93=BV$3,$C93="L"),-$O93,0),IF(OR(AND($K91=BV$3,OR($C91="W",$C91="1/2W")),AND($K92=BV$3,OR($C92="W",$C92="1/2W")),AND($K93=BV$3,OR($C93="W",$C93="1/2W"))),$S91,0))</f>
        <v>0</v>
      </c>
      <c r="BW91" s="201">
        <f>IF($B91="LOSS",IF(AND($K91=BW$3,$C91="L"),-$O91,0)+IF(AND($K92=BW$3,$C92="L"),-$O92,0)+IF(AND($K93=BW$3,$C93="L"),-$O93,0),IF(OR(AND($K91=BW$3,OR($C91="W",$C91="1/2W")),AND($K92=BW$3,OR($C92="W",$C92="1/2W")),AND($K93=BW$3,OR($C93="W",$C93="1/2W"))),$S91,0))</f>
        <v>0</v>
      </c>
      <c r="BX91" s="201">
        <f>IF($B91="LOSS",IF(AND($K91=BX$3,$C91="L"),-$O91,0)+IF(AND($K92=BX$3,$C92="L"),-$O92,0)+IF(AND($K93=BX$3,$C93="L"),-$O93,0),IF(OR(AND($K91=BX$3,OR($C91="W",$C91="1/2W")),AND($K92=BX$3,OR($C92="W",$C92="1/2W")),AND($K93=BX$3,OR($C93="W",$C93="1/2W"))),$S91,0))</f>
        <v>0</v>
      </c>
      <c r="BY91" s="201">
        <f>IF($B91="LOSS",IF(AND($K91=BY$3,$C91="L"),-$O91,0)+IF(AND($K92=BY$3,$C92="L"),-$O92,0)+IF(AND($K93=BY$3,$C93="L"),-$O93,0),IF(OR(AND($K91=BY$3,OR($C91="W",$C91="1/2W")),AND($K92=BY$3,OR($C92="W",$C92="1/2W")),AND($K93=BY$3,OR($C93="W",$C93="1/2W"))),$S91,0))</f>
        <v>0</v>
      </c>
      <c r="BZ91" s="205">
        <f>IF($B91="LOSS",IF(AND($K91=BZ$3,$C91="L"),-$O91,0)+IF(AND($K92=BZ$3,$C92="L"),-$O92,0)+IF(AND($K93=BZ$3,$C93="L"),-$O93,0),IF(OR(AND($K91=BZ$3,OR($C91="W",$C91="1/2W")),AND($K92=BZ$3,OR($C92="W",$C92="1/2W")),AND($K93=BZ$3,OR($C93="W",$C93="1/2W"))),$S91,0))</f>
        <v>0</v>
      </c>
      <c r="CA91" s="205">
        <f>IF($B91="LOSS",IF(AND($K91=CA$3,$C91="L"),-$O91,0)+IF(AND($K92=CA$3,$C92="L"),-$O92,0)+IF(AND($K93=CA$3,$C93="L"),-$O93,0),IF(OR(AND($K91=CA$3,OR($C91="W",$C91="1/2W")),AND($K92=CA$3,OR($C92="W",$C92="1/2W")),AND($K93=CA$3,OR($C93="W",$C93="1/2W"))),$S91,0))</f>
        <v>0</v>
      </c>
      <c r="CB91" s="205">
        <f>IF($B91="LOSS",IF(AND($K91=CB$3,$C91="L"),-$O91,0)+IF(AND($K92=CB$3,$C92="L"),-$O92,0)+IF(AND($K93=CB$3,$C93="L"),-$O93,0),IF(OR(AND($K91=CB$3,OR($C91="W",$C91="1/2W")),AND($K92=CB$3,OR($C92="W",$C92="1/2W")),AND($K93=CB$3,OR($C93="W",$C93="1/2W"))),$S91,0))</f>
        <v>0</v>
      </c>
      <c r="CC91" s="205">
        <f>IF($B91="LOSS",IF(AND($K91=CC$3,$C91="L"),-$O91,0)+IF(AND($K92=CC$3,$C92="L"),-$O92,0)+IF(AND($K93=CC$3,$C93="L"),-$O93,0),IF(OR(AND($K91=CC$3,OR($C91="W",$C91="1/2W")),AND($K92=CC$3,OR($C92="W",$C92="1/2W")),AND($K93=CC$3,OR($C93="W",$C93="1/2W"))),$S91,0))</f>
        <v>0</v>
      </c>
      <c r="CD91" s="202">
        <f>IF($B91="LOSS",IF(AND($K91=CD$3,$C91="L"),-$O91,0)+IF(AND($K92=CD$3,$C92="L"),-$O92,0)+IF(AND($K93=CD$3,$C93="L"),-$O93,0),IF(OR(AND($K91=CD$3,OR($C91="W",$C91="1/2W")),AND($K92=CD$3,OR($C92="W",$C92="1/2W")),AND($K93=CD$3,OR($C93="W",$C93="1/2W"))),$S91,0))</f>
        <v>0</v>
      </c>
      <c r="CE91" s="199">
        <f>IF($B91="LOSS",IF(AND($K91=CE$3,$C91="L"),-$O91,0)+IF(AND($K92=CE$3,$C92="L"),-$O92,0)+IF(AND($K93=CE$3,$C93="L"),-$O93,0),IF(OR(AND($K91=CE$3,OR($C91="W",$C91="1/2W")),AND($K92=CE$3,OR($C92="W",$C92="1/2W")),AND($K93=CE$3,OR($C93="W",$C93="1/2W"))),$S91,0))</f>
        <v>0</v>
      </c>
      <c r="CF91" s="206">
        <f>IF(CF$3=$K91,IF($C91="W",1,IF($C91="1/2W",0.5,0)),0)</f>
        <v>0</v>
      </c>
      <c r="CG91" s="207">
        <f>IF(CF$3=$K91,IF($C91="L",1,IF($C91="1/2L",0.5,0)),0)</f>
        <v>0</v>
      </c>
      <c r="CH91" s="207">
        <f>IF(CH$3=$K91,IF($C91="W",1,IF($C91="1/2W",0.5,0)),0)</f>
        <v>0</v>
      </c>
      <c r="CI91" s="207">
        <f>IF(CH$3=$K91,IF($C91="L",1,IF($C91="1/2L",0.5,0)),0)</f>
        <v>0</v>
      </c>
      <c r="CJ91" s="207">
        <f>IF(CJ$3=$K91,IF($C91="W",1,IF($C91="1/2W",0.5,0)),0)</f>
        <v>0</v>
      </c>
      <c r="CK91" s="207">
        <f>IF(CJ$3=$K91,IF($C91="L",1,IF($C91="1/2L",0.5,0)),0)</f>
        <v>0</v>
      </c>
      <c r="CL91" s="207">
        <f>IF(CL$3=$K91,IF($C91="W",1,IF($C91="1/2W",0.5,0)),0)</f>
        <v>0</v>
      </c>
      <c r="CM91" s="207">
        <f>IF(CL$3=$K91,IF($C91="L",1,IF($C91="1/2L",0.5,0)),0)</f>
        <v>0</v>
      </c>
      <c r="CN91" s="207">
        <f>IF(CN$3=$K91,IF($C91="W",1,IF($C91="1/2W",0.5,0)),0)</f>
        <v>0</v>
      </c>
      <c r="CO91" s="207">
        <f>IF(CN$3=$K91,IF($C91="L",1,IF($C91="1/2L",0.5,0)),0)</f>
        <v>0</v>
      </c>
      <c r="CP91" s="207">
        <f>IF(CP$3=$K91,IF($C91="W",1,IF($C91="1/2W",0.5,0)),0)</f>
        <v>0</v>
      </c>
      <c r="CQ91" s="207">
        <f>IF(CP$3=$K91,IF($C91="L",1,IF($C91="1/2L",0.5,0)),0)</f>
        <v>0</v>
      </c>
      <c r="CR91" s="207">
        <f>IF(CR$3=$K91,IF($C91="W",1,IF($C91="1/2W",0.5,0)),0)</f>
        <v>0</v>
      </c>
      <c r="CS91" s="207">
        <f>IF(CR$3=$K91,IF($C91="L",1,IF($C91="1/2L",0.5,0)),0)</f>
        <v>0</v>
      </c>
      <c r="CT91" s="208">
        <f>IF(CT$3=$K91,IF($C91="W",1,IF($C91="1/2W",0.5,0)),0)</f>
        <v>0</v>
      </c>
      <c r="CU91" s="209">
        <f>IF(CT$3=$K91,IF($C91="L",1,IF($C91="1/2L",0.5,0)),0)</f>
        <v>0</v>
      </c>
      <c r="CV91" s="209">
        <f>IF(CV$3=$K91,IF($C91="W",1,IF($C91="1/2W",0.5,0)),0)</f>
        <v>0</v>
      </c>
      <c r="CW91" s="209">
        <f>IF(CV$3=$K91,IF($C91="L",1,IF($C91="1/2L",0.5,0)),0)</f>
        <v>0</v>
      </c>
      <c r="CX91" s="209">
        <f>IF(CX$3=$K91,IF($C91="W",1,IF($C91="1/2W",0.5,0)),0)</f>
        <v>0</v>
      </c>
      <c r="CY91" s="209">
        <f>IF(CX$3=$K91,IF($C91="L",1,IF($C91="1/2L",0.5,0)),0)</f>
        <v>0</v>
      </c>
      <c r="CZ91" s="209">
        <f>IF(CZ$3=$K91,IF($C91="W",1,IF($C91="1/2W",0.5,0)),0)</f>
        <v>0</v>
      </c>
      <c r="DA91" s="209">
        <f>IF(CZ$3=$K91,IF($C91="L",1,IF($C91="1/2L",0.5,0)),0)</f>
        <v>0</v>
      </c>
      <c r="DB91" s="209">
        <f>IF(DB$3=$K91,IF($C91="W",1,IF($C91="1/2W",0.5,0)),0)</f>
        <v>0</v>
      </c>
      <c r="DC91" s="209">
        <f>IF(DB$3=$K91,IF($C91="L",1,IF($C91="1/2L",0.5,0)),0)</f>
        <v>0</v>
      </c>
      <c r="DD91" s="209">
        <f>IF(DD$3=$K91,IF($C91="W",1,IF($C91="1/2W",0.5,0)),0)</f>
        <v>0</v>
      </c>
      <c r="DE91" s="210">
        <f>IF(DD$3=$K91,IF($C91="L",1,IF($C91="1/2L",0.5,0)),0)</f>
        <v>0</v>
      </c>
      <c r="DF91" s="211">
        <f>IF(AND(L91&lt;DF$3,$C91="W"),1+DF90,DF90)</f>
        <v>6</v>
      </c>
      <c r="DG91" s="198">
        <f>IF(DF91&gt;DF90,L91+DG90,DG90)</f>
        <v>7.998</v>
      </c>
      <c r="DH91" s="209">
        <f>IF(AND(L91&gt;DH$3,$C91="W"),1+DH90,0+DH90)</f>
        <v>1</v>
      </c>
      <c r="DI91" s="198">
        <f>IF(DH91&gt;DH90,L91+DI90,DI90)</f>
        <v>4.33</v>
      </c>
      <c r="DJ91" t="s" s="306">
        <f>IF($D91="","",$D91)</f>
        <v>101</v>
      </c>
      <c r="DK91" s="209">
        <f>IF(AND($B91=" ",$D91&lt;&gt;""),1,0)</f>
        <v>0</v>
      </c>
    </row>
    <row r="92" ht="14.55" customHeight="1">
      <c r="A92" s="107"/>
      <c r="B92" s="108"/>
      <c r="C92" t="s" s="213">
        <v>114</v>
      </c>
      <c r="D92" s="110"/>
      <c r="E92" s="111"/>
      <c r="F92" s="113"/>
      <c r="G92" s="214"/>
      <c r="H92" s="114"/>
      <c r="I92" t="s" s="215">
        <v>62</v>
      </c>
      <c r="J92" t="s" s="216">
        <f>IF(OR(I91="TO",I91="TU",I91="TO1",I91="TU1",I91="TO2",I91="TU2"),J91,IF(OR(I91="AH1",I91="AH2"),IF(OR(I92="AH1",I92="AH2"),-J91,IF(OR(I92="EH1",I92="EH2"),-J91+0.5,"")),IF(OR(I91="EH1",I91="EH2"),IF(OR(I92="AH1",I92="AH2"),-J91+0.5,IF(OR(I92="EH1",I92="EH2"),-J91+1,"")),IF(AND(OR(I91="DNB1",I91="DNB2"),OR(I92="AH1",I92="AH2")),0,IF(AND(I91="Not ScoreBoth",OR(I92="TO1",I92="TO2")),0.5,"")))))</f>
      </c>
      <c r="K92" t="s" s="217">
        <v>37</v>
      </c>
      <c r="L92" s="218">
        <v>2.1</v>
      </c>
      <c r="M92" s="219"/>
      <c r="N92" s="120"/>
      <c r="O92" s="220">
        <f>IF(OR(AE91="",AE92=""),"",ROUND(IF(L93&gt;0,IF(M92&gt;0,M92,IF(M91&gt;0,IF(N91=TRUE,ROUND((M91*AE92)/AE91,0),(M91*AE92)/AE91),IF(M92&gt;0,ROUND(M92,IF(N91=0,2,IF(N91=0.1,1,0))),IF(M93&gt;0,ROUND(O93*AE92/AE93,IF(N91=0,2,IF(N91=0.1,1,0))),0)))),IF(M92&gt;0,M92,ROUND((M91*AE92)/AE91,IF(N91=0,2,IF(N91=0.1,1,0))))),2))</f>
        <v>19</v>
      </c>
      <c r="P92" s="221">
        <f>IF(OR(L92="",O92=""),"",IF($C92="1/2W",O92/2+O92/2*L92,IF($C92="1/2L",O92/2,IF(I92="Lay",((O92*(L92/(L92-1)))-O92)*(1-_xlfn.XLOOKUP(K92,'Janeiro 2023 - Valor Real'!A3:A15,'Janeiro 2023 - Valor Real'!C3:C15,0))+O92,(O92*L92-O92)*(1-_xlfn.XLOOKUP(K92,'Janeiro 2023 - Valor Real'!A3:A15,'Janeiro 2023 - Valor Real'!C3:C15,0))+O92))))</f>
        <v>39.9</v>
      </c>
      <c r="Q92" s="222">
        <f>IF(K92="","",IF(_xlfn.XLOOKUP(K92,K$4:K91,DJ$4:DJ91,0,,-1)=DJ92,_xlfn.XLOOKUP(K92,K$4:K91,Q$4:Q91,1,,-1)+1,1))</f>
        <v>5</v>
      </c>
      <c r="R92" s="223">
        <f>IF(K92="","",_xlfn.XLOOKUP(K92,K$4:K91,R$4:R91,0,,-1)+IF($C92=" ",1,0))</f>
        <v>0</v>
      </c>
      <c r="S92" s="125"/>
      <c r="T92" s="126"/>
      <c r="U92" s="126"/>
      <c r="V92" s="224"/>
      <c r="W92" s="126"/>
      <c r="X92" s="127"/>
      <c r="Y92" s="128"/>
      <c r="Z92" s="129"/>
      <c r="AA92" s="129"/>
      <c r="AB92" s="129"/>
      <c r="AC92" s="129"/>
      <c r="AD92" s="225">
        <f>(((L92/(L92-1)-1)*(1-_xlfn.XLOOKUP(K92,'Janeiro 2023 - Valor Real'!A3:A15,'Janeiro 2023 - Valor Real'!C3:C15,0))+1))</f>
        <v>1.90909090909091</v>
      </c>
      <c r="AE92" s="226">
        <f>IF(L92="","",IF(L93&gt;0,(SUM(((L91-1)*(1-_xlfn.XLOOKUP(K91,'Janeiro 2023 - Valor Real'!A3:A15,'Janeiro 2023 - Valor Real'!C3:C15,0))+1),((L92-1)*(1-_xlfn.XLOOKUP(K92,'Janeiro 2023 - Valor Real'!A3:A15,'Janeiro 2023 - Valor Real'!C3:C15,0))+1),((L93-1)*(1-_xlfn.XLOOKUP(K93,'Janeiro 2023 - Valor Real'!A3:A15,'Janeiro 2023 - Valor Real'!C3:C15,0))+1))/((L92-1)*(1-_xlfn.XLOOKUP(K92,'Janeiro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Real'!C3:C15,0))+1))/((L91-1)*(1-_xlfn.XLOOKUP(K91,'Janeiro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Real'!C3:C15,0))+1))/((L92-1)*(1-_xlfn.XLOOKUP(K92,'Janeiro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Real'!C3:C15,0))+1))/((L93-1)*(1-_xlfn.XLOOKUP(K93,'Janeiro 2023 - Valor Real'!A3:A15,'Janeiro 2023 - Valor Real'!C3:C15,0))+1)),IF(I92="Lay",IF(I91="Lay",((L91/(L91-1)-1)*(1-_xlfn.XLOOKUP(K91,'Janeiro 2023 - Valor Real'!A3:A15,'Janeiro 2023 - Valor Real'!C3:C15,0))+1)/(((L91/(L91-1)-1)*(1-_xlfn.XLOOKUP(K91,'Janeiro 2023 - Valor Real'!A3:A15,'Janeiro 2023 - Valor Real'!C3:C15,0))+1)+((L92/(L92-1)-1)*(1-_xlfn.XLOOKUP(K92,'Janeiro 2023 - Valor Real'!A3:A15,'Janeiro 2023 - Valor Real'!C3:C15,0))+1)),((L91-1)*(1-_xlfn.XLOOKUP(K91,'Janeiro 2023 - Valor Real'!A3:A15,'Janeiro 2023 - Valor Real'!C3:C15,0))+1)/(((L91-1)*(1-_xlfn.XLOOKUP(K91,'Janeiro 2023 - Valor Real'!A3:A15,'Janeiro 2023 - Valor Real'!C3:C15,0))+1)+((L92/(L92-1)-1)*(1-_xlfn.XLOOKUP(K92,'Janeiro 2023 - Valor Real'!A3:A15,'Janeiro 2023 - Valor Real'!C3:C15,0))+1))),IF(I91="Lay",((L91/(L91-1)-1)*(1-_xlfn.XLOOKUP(K91,'Janeiro 2023 - Valor Real'!A3:A15,'Janeiro 2023 - Valor Real'!C3:C15,0))+1)/((((L91/(L91-1)-1)*(1-_xlfn.XLOOKUP(K91,'Janeiro 2023 - Valor Real'!A3:A15,'Janeiro 2023 - Valor Real'!C3:C15,0))+1))+((L92-1)*(1-_xlfn.XLOOKUP(K92,'Janeiro 2023 - Valor Real'!A3:A15,'Janeiro 2023 - Valor Real'!C3:C15,0))+1)),((L91-1)*(1-_xlfn.XLOOKUP(K91,'Janeiro 2023 - Valor Real'!A3:A15,'Janeiro 2023 - Valor Real'!C3:C15,0))+1)/(((L91-1)*(1-_xlfn.XLOOKUP(K91,'Janeiro 2023 - Valor Real'!A3:A15,'Janeiro 2023 - Valor Real'!C3:C15,0))+1)+((L92-1)*(1-_xlfn.XLOOKUP(K92,'Janeiro 2023 - Valor Real'!A3:A15,'Janeiro 2023 - Valor Real'!C3:C15,0))+1))))))</f>
        <v>0.5</v>
      </c>
      <c r="AF92" s="197">
        <f>IF($K92=AF$3,ROUND(IF(OR($C92="W",$C92="1/2W",$C92="1/2L"),$P92-$O92,IF($C92="X",0,-$O92)),2),0)</f>
        <v>0</v>
      </c>
      <c r="AG92" s="198">
        <f>IF($K92=AG$3,ROUND(IF(OR($C92="W",$C92="1/2W",$C92="1/2L"),$P92-$O92,IF($C92="X",0,-$O92)),2),0)</f>
        <v>0</v>
      </c>
      <c r="AH92" s="198">
        <f>IF($K92=AH$3,ROUND(IF(OR($C92="W",$C92="1/2W",$C92="1/2L"),$P92-$O92,IF($C92="X",0,-$O92)),2),0)</f>
        <v>0</v>
      </c>
      <c r="AI92" s="198">
        <f>IF($K92=AI$3,ROUND(IF(OR($C92="W",$C92="1/2W",$C92="1/2L"),$P92-$O92,IF($C92="X",0,-$O92)),2),0)</f>
        <v>0</v>
      </c>
      <c r="AJ92" s="198">
        <f>IF($K92=AJ$3,ROUND(IF(OR($C92="W",$C92="1/2W",$C92="1/2L"),$P92-$O92,IF($C92="X",0,-$O92)),2),0)</f>
        <v>0</v>
      </c>
      <c r="AK92" s="198">
        <f>IF($K92=AK$3,ROUND(IF(OR($C92="W",$C92="1/2W",$C92="1/2L"),$P92-$O92,IF($C92="X",0,-$O92)),2),0)</f>
        <v>0</v>
      </c>
      <c r="AL92" s="198">
        <f>IF($K92=AL$3,ROUND(IF(OR($C92="W",$C92="1/2W",$C92="1/2L"),$P92-$O92,IF($C92="X",0,-$O92)),2),0)</f>
        <v>0</v>
      </c>
      <c r="AM92" s="198">
        <f>IF($K92=AM$3,ROUND(IF(OR($C92="W",$C92="1/2W",$C92="1/2L"),$P92-$O92,IF($C92="X",0,-$O92)),2),0)</f>
        <v>0</v>
      </c>
      <c r="AN92" s="198">
        <f>IF($K92=AN$3,ROUND(IF(OR($C92="W",$C92="1/2W",$C92="1/2L"),$P92-$O92,IF($C92="X",0,-$O92)),2),0)</f>
        <v>0</v>
      </c>
      <c r="AO92" s="198">
        <f>IF($K92=AO$3,ROUND(IF(OR($C92="W",$C92="1/2W",$C92="1/2L"),$P92-$O92,IF($C92="X",0,-$O92)),2),0)</f>
        <v>0</v>
      </c>
      <c r="AP92" s="198">
        <f>IF($K92=AP$3,ROUND(IF(OR($C92="W",$C92="1/2W",$C92="1/2L"),$P92-$O92,IF($C92="X",0,-$O92)),2),0)</f>
        <v>0</v>
      </c>
      <c r="AQ92" s="198">
        <f>IF($K92=AQ$3,ROUND(IF(OR($C92="W",$C92="1/2W",$C92="1/2L"),$P92-$O92,IF($C92="X",0,-$O92)),2),0)</f>
        <v>0</v>
      </c>
      <c r="AR92" s="199">
        <f>IF($K92=AR$3,ROUND(IF(OR($C92="W",$C92="1/2W",$C92="1/2L"),$P92-$O92,IF($C92="X",0,-$O92)),2),0)</f>
        <v>0</v>
      </c>
      <c r="AS92" s="197">
        <f>IF(AND($B91=" ",$K92=AS$3),$O92,0)</f>
        <v>0</v>
      </c>
      <c r="AT92" s="198">
        <f>IF(AND($B91=" ",K92=AT$3),$O92,0)</f>
        <v>0</v>
      </c>
      <c r="AU92" s="198">
        <f>IF(AND($B91=" ",$K92=AU$3),$O92,0)</f>
        <v>0</v>
      </c>
      <c r="AV92" s="198">
        <f>IF(AND($B91=" ",$K92=AV$3),$O92,0)</f>
        <v>0</v>
      </c>
      <c r="AW92" s="198">
        <f>IF(AND($B91=" ",$K92=AW$3),$O92,0)</f>
        <v>0</v>
      </c>
      <c r="AX92" s="198">
        <f>IF(AND($B91=" ",$K92=AX$3),$O92,0)</f>
        <v>0</v>
      </c>
      <c r="AY92" s="200">
        <f>IF(AND($B91=" ",$K92=AY$3),$O92,0)</f>
        <v>0</v>
      </c>
      <c r="AZ92" s="201">
        <f>IF(AND($B91=" ",$K92=AZ$3),$O92,0)</f>
        <v>0</v>
      </c>
      <c r="BA92" s="201">
        <f>IF(AND($B91=" ",$K92=BA$3),$O92,0)</f>
        <v>0</v>
      </c>
      <c r="BB92" s="201">
        <f>IF(AND($B91=" ",$K92=BB$3),$O92,0)</f>
        <v>0</v>
      </c>
      <c r="BC92" s="202">
        <f>IF(AND($B91=" ",$K92=BC$3),$O92,0)</f>
        <v>0</v>
      </c>
      <c r="BD92" s="198">
        <f>IF(AND($B91=" ",$K92=BD$3),$O92,0)</f>
        <v>0</v>
      </c>
      <c r="BE92" s="199">
        <f>IF(AND($B91=" ",$K92=BE$3),$O92,0)</f>
        <v>0</v>
      </c>
      <c r="BF92" s="197">
        <f>IF($K92=BF$3,IF($C92="X",0,$O92),0)</f>
        <v>0</v>
      </c>
      <c r="BG92" s="198">
        <f>IF($K92=BG$3,IF($C92="X",0,$O92),0)</f>
        <v>0</v>
      </c>
      <c r="BH92" s="198">
        <f>IF($K92=BH$3,IF($C92="X",0,$O92),0)</f>
        <v>0</v>
      </c>
      <c r="BI92" s="198">
        <f>IF($K92=BI$3,IF($C92="X",0,$O92),0)</f>
        <v>0</v>
      </c>
      <c r="BJ92" s="198">
        <f>IF($K92=BJ$3,IF($C92="X",0,$O92),0)</f>
        <v>0</v>
      </c>
      <c r="BK92" s="198">
        <f>IF($K92=BK$3,IF($C92="X",0,$O92),0)</f>
        <v>0</v>
      </c>
      <c r="BL92" s="198">
        <f>IF($K92=BL$3,IF($C92="X",0,$O92),0)</f>
        <v>0</v>
      </c>
      <c r="BM92" s="227">
        <f>IF($K92=BM$3,IF($C92="X",0,$O92),0)</f>
        <v>0</v>
      </c>
      <c r="BN92" s="205">
        <f>IF($K92=BN$3,IF($C92="X",0,$O92),0)</f>
        <v>0</v>
      </c>
      <c r="BO92" s="205">
        <f>IF($K92=BO$3,IF($C92="X",0,$O92),0)</f>
        <v>0</v>
      </c>
      <c r="BP92" s="205">
        <f>IF($K92=BP$3,IF($C92="X",0,$O92),0)</f>
        <v>0</v>
      </c>
      <c r="BQ92" s="202">
        <f>IF($K92=BQ$3,IF($C92="X",0,$O92),0)</f>
        <v>0</v>
      </c>
      <c r="BR92" s="199">
        <f>IF($K92=BR$3,IF($C92="X",0,$O92),0)</f>
        <v>0</v>
      </c>
      <c r="BS92" s="228"/>
      <c r="BT92" s="229"/>
      <c r="BU92" s="140"/>
      <c r="BV92" s="229"/>
      <c r="BW92" s="140"/>
      <c r="BX92" s="140"/>
      <c r="BY92" s="140"/>
      <c r="BZ92" s="229"/>
      <c r="CA92" s="140"/>
      <c r="CB92" s="140"/>
      <c r="CC92" s="140"/>
      <c r="CD92" s="141"/>
      <c r="CE92" s="142"/>
      <c r="CF92" s="230">
        <f>IF(CF$3=$K92,IF($C92="W",1,IF($C92="1/2W",0.5,0)),0)</f>
        <v>0</v>
      </c>
      <c r="CG92" s="231">
        <f>IF(CF$3=$K92,IF($C92="L",1,IF($C92="1/2L",0.5,0)),0)</f>
        <v>0</v>
      </c>
      <c r="CH92" s="231">
        <f>IF(CH$3=$K92,IF($C92="W",1,IF($C92="1/2W",0.5,0)),0)</f>
        <v>0</v>
      </c>
      <c r="CI92" s="231">
        <f>IF(CH$3=$K92,IF($C92="L",1,IF($C92="1/2L",0.5,0)),0)</f>
        <v>0</v>
      </c>
      <c r="CJ92" s="231">
        <f>IF(CJ$3=$K92,IF($C92="W",1,IF($C92="1/2W",0.5,0)),0)</f>
        <v>0</v>
      </c>
      <c r="CK92" s="231">
        <f>IF(CJ$3=$K92,IF($C92="L",1,IF($C92="1/2L",0.5,0)),0)</f>
        <v>0</v>
      </c>
      <c r="CL92" s="231">
        <f>IF(CL$3=$K92,IF($C92="W",1,IF($C92="1/2W",0.5,0)),0)</f>
        <v>0</v>
      </c>
      <c r="CM92" s="231">
        <f>IF(CL$3=$K92,IF($C92="L",1,IF($C92="1/2L",0.5,0)),0)</f>
        <v>0</v>
      </c>
      <c r="CN92" s="231">
        <f>IF(CN$3=$K92,IF($C92="W",1,IF($C92="1/2W",0.5,0)),0)</f>
        <v>0</v>
      </c>
      <c r="CO92" s="231">
        <f>IF(CN$3=$K92,IF($C92="L",1,IF($C92="1/2L",0.5,0)),0)</f>
        <v>0</v>
      </c>
      <c r="CP92" s="231">
        <f>IF(CP$3=$K92,IF($C92="W",1,IF($C92="1/2W",0.5,0)),0)</f>
        <v>0</v>
      </c>
      <c r="CQ92" s="231">
        <f>IF(CP$3=$K92,IF($C92="L",1,IF($C92="1/2L",0.5,0)),0)</f>
        <v>0</v>
      </c>
      <c r="CR92" s="231">
        <f>IF(CR$3=$K92,IF($C92="W",1,IF($C92="1/2W",0.5,0)),0)</f>
        <v>0</v>
      </c>
      <c r="CS92" s="231">
        <f>IF(CR$3=$K92,IF($C92="L",1,IF($C92="1/2L",0.5,0)),0)</f>
        <v>0</v>
      </c>
      <c r="CT92" s="208">
        <f>IF(CT$3=$K92,IF($C92="W",1,IF($C92="1/2W",0.5,0)),0)</f>
        <v>0</v>
      </c>
      <c r="CU92" s="209">
        <f>IF(CT$3=$K92,IF($C92="L",1,IF($C92="1/2L",0.5,0)),0)</f>
        <v>0</v>
      </c>
      <c r="CV92" s="209">
        <f>IF(CV$3=$K92,IF($C92="W",1,IF($C92="1/2W",0.5,0)),0)</f>
        <v>0</v>
      </c>
      <c r="CW92" s="209">
        <f>IF(CV$3=$K92,IF($C92="L",1,IF($C92="1/2L",0.5,0)),0)</f>
        <v>0</v>
      </c>
      <c r="CX92" s="209">
        <f>IF(CX$3=$K92,IF($C92="W",1,IF($C92="1/2W",0.5,0)),0)</f>
        <v>0</v>
      </c>
      <c r="CY92" s="209">
        <f>IF(CX$3=$K92,IF($C92="L",1,IF($C92="1/2L",0.5,0)),0)</f>
        <v>0</v>
      </c>
      <c r="CZ92" s="209">
        <f>IF(CZ$3=$K92,IF($C92="W",1,IF($C92="1/2W",0.5,0)),0)</f>
        <v>0</v>
      </c>
      <c r="DA92" s="209">
        <f>IF(CZ$3=$K92,IF($C92="L",1,IF($C92="1/2L",0.5,0)),0)</f>
        <v>0</v>
      </c>
      <c r="DB92" s="209">
        <f>IF(DB$3=$K92,IF($C92="W",1,IF($C92="1/2W",0.5,0)),0)</f>
        <v>0</v>
      </c>
      <c r="DC92" s="209">
        <f>IF(DB$3=$K92,IF($C92="L",1,IF($C92="1/2L",0.5,0)),0)</f>
        <v>0</v>
      </c>
      <c r="DD92" s="209">
        <f>IF(DD$3=$K92,IF($C92="W",1,IF($C92="1/2W",0.5,0)),0)</f>
        <v>0</v>
      </c>
      <c r="DE92" s="210">
        <f>IF(DD$3=$K92,IF($C92="L",1,IF($C92="1/2L",0.5,0)),0)</f>
        <v>0</v>
      </c>
      <c r="DF92" s="211">
        <f>IF(AND(L92&lt;DF$3,$C92="W"),1+DF91,DF91)</f>
        <v>6</v>
      </c>
      <c r="DG92" s="198">
        <f>IF(DF92&gt;DF91,L92+DG91,DG91)</f>
        <v>7.998</v>
      </c>
      <c r="DH92" s="209">
        <f>IF(AND(L92&gt;DH$3,$C92="W"),1+DH91,0+DH91)</f>
        <v>1</v>
      </c>
      <c r="DI92" s="198">
        <f>IF(DH92&gt;DH91,L92+DI91,DI91)</f>
        <v>4.33</v>
      </c>
      <c r="DJ92" t="s" s="306">
        <f>IF($D91="","",$D91)</f>
        <v>101</v>
      </c>
      <c r="DK92" s="232"/>
    </row>
    <row r="93" ht="14.55" customHeight="1">
      <c r="A93" s="149"/>
      <c r="B93" s="150"/>
      <c r="C93" t="s" s="233">
        <v>58</v>
      </c>
      <c r="D93" s="152"/>
      <c r="E93" s="153"/>
      <c r="F93" s="155"/>
      <c r="G93" s="234"/>
      <c r="H93" s="156"/>
      <c r="I93" s="235"/>
      <c r="J93" s="236"/>
      <c r="K93" s="237"/>
      <c r="L93" s="238"/>
      <c r="M93" s="239"/>
      <c r="N93" s="161"/>
      <c r="O93" t="s" s="240">
        <f>IF(OR(AE91="",AE92=""),"",IF(L93&gt;0,ROUND(IF(M93&gt;0,M93,IF(M91&gt;0,ROUND((M91*AE93)/AE91,IF(N91=0,2,IF(N91=0.1,1,0))),IF(M92&gt;0,ROUND((M92*AE93)/AE92,IF(N91=0,2,IF(N91=0.1,1,0))),IF(M93&gt;0,M93,0)))),2),""))</f>
      </c>
      <c r="P93" t="s" s="241">
        <f>IF(I92="Lay",O92*(L92/(L92-1))-O92,IF(I91="Lay",O91*(L91/(L91-1))-O91,IF(OR(L93="",O93=""),"",IF($C93="1/2W",O93/2+O93/2*L93,IF($C93="1/2L",O93/2,(O93*L93-O93)*(1-_xlfn.XLOOKUP(K93,'Janeiro 2023 - Valor Real'!A3:A15,'Janeiro 2023 - Valor Real'!C3:C15,0))+O93)))))</f>
      </c>
      <c r="Q93" t="s" s="242">
        <f>IF(K93="","",IF(_xlfn.XLOOKUP(K93,K$4:K92,DJ$4:DJ92,0,,-1)=DJ93,_xlfn.XLOOKUP(K93,K$4:K92,Q$4:Q92,1,,-1)+1,1))</f>
      </c>
      <c r="R93" t="s" s="243">
        <f>IF(K93="","",_xlfn.XLOOKUP(K93,K$4:K92,R$4:R92,0,,-1)+IF($C93=" ",1,0))</f>
      </c>
      <c r="S93" s="166"/>
      <c r="T93" s="155"/>
      <c r="U93" s="155"/>
      <c r="V93" s="166"/>
      <c r="W93" s="155"/>
      <c r="X93" s="167"/>
      <c r="Y93" s="128"/>
      <c r="Z93" s="129"/>
      <c r="AA93" s="129"/>
      <c r="AB93" s="129"/>
      <c r="AC93" s="129"/>
      <c r="AD93" s="244">
        <f>((L92/(L92-1)-1))</f>
        <v>0.9090909090909089</v>
      </c>
      <c r="AE93" t="s" s="245">
        <f>IF(L93="","",(SUM(((L91-1)*(1-_xlfn.XLOOKUP(K91,'Janeiro 2023 - Valor Real'!A3:A15,'Janeiro 2023 - Valor Real'!C3:C15,0))+1),((L92-1)*(1-_xlfn.XLOOKUP(K92,'Janeiro 2023 - Valor Real'!A3:A15,'Janeiro 2023 - Valor Real'!C3:C15,0))+1),((L93-1)*(1-_xlfn.XLOOKUP(K93,'Janeiro 2023 - Valor Real'!A3:A15,'Janeiro 2023 - Valor Real'!C3:C15,0))+1))/((L93-1)*(1-_xlfn.XLOOKUP(K93,'Janeiro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Real'!C3:C15,0))+1))/((L91-1)*(1-_xlfn.XLOOKUP(K91,'Janeiro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Real'!C3:C15,0))+1))/((L92-1)*(1-_xlfn.XLOOKUP(K92,'Janeiro 2023 - Valor Real'!A3:A15,'Janeiro 2023 - Valor Real'!C3:C15,0))+1)+SUM(((L91-1)*(1-_xlfn.XLOOKUP(K91,'Janeiro 2023 - Valor Real'!A3:A15,'Janeiro 2023 - Valor Real'!C3:C15,0))+1),((L92-1)*(1-_xlfn.XLOOKUP(K92,'Janeiro 2023 - Valor Real'!A3:A15,'Janeiro 2023 - Valor Real'!C3:C15,0))+1),((L93-1)*(1-_xlfn.XLOOKUP(K93,'Janeiro 2023 - Valor Real'!A3:A15,'Janeiro 2023 - Valor Real'!C3:C15,0))+1))/((L93-1)*(1-_xlfn.XLOOKUP(K93,'Janeiro 2023 - Valor Real'!A3:A15,'Janeiro 2023 - Valor Real'!C3:C15,0))+1)))</f>
      </c>
      <c r="AF93" s="197">
        <f>IF($K93=AF$3,ROUND(IF(OR($C93="W",$C93="1/2W",$C93="1/2L"),$P93-$O93,IF($C93="X",0,-$O93)),2),0)</f>
        <v>0</v>
      </c>
      <c r="AG93" s="198">
        <f>IF($K93=AG$3,ROUND(IF(OR($C93="W",$C93="1/2W",$C93="1/2L"),$P93-$O93,IF($C93="X",0,-$O93)),2),0)</f>
        <v>0</v>
      </c>
      <c r="AH93" s="198">
        <f>IF($K93=AH$3,ROUND(IF(OR($C93="W",$C93="1/2W",$C93="1/2L"),$P93-$O93,IF($C93="X",0,-$O93)),2),0)</f>
        <v>0</v>
      </c>
      <c r="AI93" s="198">
        <f>IF($K93=AI$3,ROUND(IF(OR($C93="W",$C93="1/2W",$C93="1/2L"),$P93-$O93,IF($C93="X",0,-$O93)),2),0)</f>
        <v>0</v>
      </c>
      <c r="AJ93" s="198">
        <f>IF($K93=AJ$3,ROUND(IF(OR($C93="W",$C93="1/2W",$C93="1/2L"),$P93-$O93,IF($C93="X",0,-$O93)),2),0)</f>
        <v>0</v>
      </c>
      <c r="AK93" s="198">
        <f>IF($K93=AK$3,ROUND(IF(OR($C93="W",$C93="1/2W",$C93="1/2L"),$P93-$O93,IF($C93="X",0,-$O93)),2),0)</f>
        <v>0</v>
      </c>
      <c r="AL93" s="198">
        <f>IF($K93=AL$3,ROUND(IF(OR($C93="W",$C93="1/2W",$C93="1/2L"),$P93-$O93,IF($C93="X",0,-$O93)),2),0)</f>
        <v>0</v>
      </c>
      <c r="AM93" s="198">
        <f>IF($K93=AM$3,ROUND(IF(OR($C93="W",$C93="1/2W",$C93="1/2L"),$P93-$O93,IF($C93="X",0,-$O93)),2),0)</f>
        <v>0</v>
      </c>
      <c r="AN93" s="198">
        <f>IF($K93=AN$3,ROUND(IF(OR($C93="W",$C93="1/2W",$C93="1/2L"),$P93-$O93,IF($C93="X",0,-$O93)),2),0)</f>
        <v>0</v>
      </c>
      <c r="AO93" s="198">
        <f>IF($K93=AO$3,ROUND(IF(OR($C93="W",$C93="1/2W",$C93="1/2L"),$P93-$O93,IF($C93="X",0,-$O93)),2),0)</f>
        <v>0</v>
      </c>
      <c r="AP93" s="198">
        <f>IF($K93=AP$3,ROUND(IF(OR($C93="W",$C93="1/2W",$C93="1/2L"),$P93-$O93,IF($C93="X",0,-$O93)),2),0)</f>
        <v>0</v>
      </c>
      <c r="AQ93" s="198">
        <f>IF($K93=AQ$3,ROUND(IF(OR($C93="W",$C93="1/2W",$C93="1/2L"),$P93-$O93,IF($C93="X",0,-$O93)),2),0)</f>
        <v>0</v>
      </c>
      <c r="AR93" s="199">
        <f>IF($K93=AR$3,ROUND(IF(OR($C93="W",$C93="1/2W",$C93="1/2L"),$P93-$O93,IF($C93="X",0,-$O93)),2),0)</f>
        <v>0</v>
      </c>
      <c r="AS93" s="197">
        <f>IF(AND($B91=" ",$K93=AS$3),$O93,0)</f>
        <v>0</v>
      </c>
      <c r="AT93" s="198">
        <f>IF(AND($B91=" ",K93=AT$3),$O93,0)</f>
        <v>0</v>
      </c>
      <c r="AU93" s="198">
        <f>IF(AND($B91=" ",$K93=AU$3),$O93,0)</f>
        <v>0</v>
      </c>
      <c r="AV93" s="198">
        <f>IF(AND($B91=" ",$K93=AV$3),$O93,0)</f>
        <v>0</v>
      </c>
      <c r="AW93" s="198">
        <f>IF(AND($B91=" ",$K93=AW$3),$O93,0)</f>
        <v>0</v>
      </c>
      <c r="AX93" s="198">
        <f>IF(AND($B91=" ",$K93=AX$3),$O93,0)</f>
        <v>0</v>
      </c>
      <c r="AY93" s="200">
        <f>IF(AND($B91=" ",$K93=AY$3),$O93,0)</f>
        <v>0</v>
      </c>
      <c r="AZ93" s="201">
        <f>IF(AND($B91=" ",$K93=AZ$3),$O93,0)</f>
        <v>0</v>
      </c>
      <c r="BA93" s="201">
        <f>IF(AND($B91=" ",$K93=BA$3),$O93,0)</f>
        <v>0</v>
      </c>
      <c r="BB93" s="201">
        <f>IF(AND($B91=" ",$K93=BB$3),$O93,0)</f>
        <v>0</v>
      </c>
      <c r="BC93" s="202">
        <f>IF(AND($B91=" ",$K93=BC$3),$O93,0)</f>
        <v>0</v>
      </c>
      <c r="BD93" s="198">
        <f>IF(AND($B91=" ",$K93=BD$3),$O93,0)</f>
        <v>0</v>
      </c>
      <c r="BE93" s="199">
        <f>IF(AND($B91=" ",$K93=BE$3),$O93,0)</f>
        <v>0</v>
      </c>
      <c r="BF93" s="197">
        <f>IF($K93=BF$3,IF($C93="X",0,$O93),0)</f>
        <v>0</v>
      </c>
      <c r="BG93" s="198">
        <f>IF($K93=BG$3,IF($C93="X",0,$O93),0)</f>
        <v>0</v>
      </c>
      <c r="BH93" s="198">
        <f>IF($K93=BH$3,IF($C93="X",0,$O93),0)</f>
        <v>0</v>
      </c>
      <c r="BI93" s="198">
        <f>IF($K93=BI$3,IF($C93="X",0,$O93),0)</f>
        <v>0</v>
      </c>
      <c r="BJ93" s="198">
        <f>IF($K93=BJ$3,IF($C93="X",0,$O93),0)</f>
        <v>0</v>
      </c>
      <c r="BK93" s="198">
        <f>IF($K93=BK$3,IF($C93="X",0,$O93),0)</f>
        <v>0</v>
      </c>
      <c r="BL93" s="198">
        <f>IF($K93=BL$3,IF($C93="X",0,$O93),0)</f>
        <v>0</v>
      </c>
      <c r="BM93" s="200">
        <f>IF($K93=BM$3,IF($C93="X",0,$O93),0)</f>
        <v>0</v>
      </c>
      <c r="BN93" s="201">
        <f>IF($K93=BN$3,IF($C93="X",0,$O93),0)</f>
        <v>0</v>
      </c>
      <c r="BO93" s="201">
        <f>IF($K93=BO$3,IF($C93="X",0,$O93),0)</f>
        <v>0</v>
      </c>
      <c r="BP93" s="201">
        <f>IF($K93=BP$3,IF($C93="X",0,$O93),0)</f>
        <v>0</v>
      </c>
      <c r="BQ93" s="202">
        <f>IF($K93=BQ$3,IF($C93="X",0,$O93),0)</f>
        <v>0</v>
      </c>
      <c r="BR93" s="199">
        <f>IF($K93=BR$3,IF($C93="X",0,$O93),0)</f>
        <v>0</v>
      </c>
      <c r="BS93" s="228"/>
      <c r="BT93" s="229"/>
      <c r="BU93" s="140"/>
      <c r="BV93" s="229"/>
      <c r="BW93" s="140"/>
      <c r="BX93" s="140"/>
      <c r="BY93" s="140"/>
      <c r="BZ93" s="229"/>
      <c r="CA93" s="140"/>
      <c r="CB93" s="140"/>
      <c r="CC93" s="140"/>
      <c r="CD93" s="141"/>
      <c r="CE93" s="142"/>
      <c r="CF93" s="230">
        <f>IF(CF$3=$K93,IF($C93="W",1,IF($C93="1/2W",0.5,0)),0)</f>
        <v>0</v>
      </c>
      <c r="CG93" s="231">
        <f>IF(CF$3=$K93,IF($C93="L",1,IF($C93="1/2L",0.5,0)),0)</f>
        <v>0</v>
      </c>
      <c r="CH93" s="231">
        <f>IF(CH$3=$K93,IF($C93="W",1,IF($C93="1/2W",0.5,0)),0)</f>
        <v>0</v>
      </c>
      <c r="CI93" s="231">
        <f>IF(CH$3=$K93,IF($C93="L",1,IF($C93="1/2L",0.5,0)),0)</f>
        <v>0</v>
      </c>
      <c r="CJ93" s="231">
        <f>IF(CJ$3=$K93,IF($C93="W",1,IF($C93="1/2W",0.5,0)),0)</f>
        <v>0</v>
      </c>
      <c r="CK93" s="231">
        <f>IF(CJ$3=$K93,IF($C93="L",1,IF($C93="1/2L",0.5,0)),0)</f>
        <v>0</v>
      </c>
      <c r="CL93" s="231">
        <f>IF(CL$3=$K93,IF($C93="W",1,IF($C93="1/2W",0.5,0)),0)</f>
        <v>0</v>
      </c>
      <c r="CM93" s="231">
        <f>IF(CL$3=$K93,IF($C93="L",1,IF($C93="1/2L",0.5,0)),0)</f>
        <v>0</v>
      </c>
      <c r="CN93" s="231">
        <f>IF(CN$3=$K93,IF($C93="W",1,IF($C93="1/2W",0.5,0)),0)</f>
        <v>0</v>
      </c>
      <c r="CO93" s="231">
        <f>IF(CN$3=$K93,IF($C93="L",1,IF($C93="1/2L",0.5,0)),0)</f>
        <v>0</v>
      </c>
      <c r="CP93" s="231">
        <f>IF(CP$3=$K93,IF($C93="W",1,IF($C93="1/2W",0.5,0)),0)</f>
        <v>0</v>
      </c>
      <c r="CQ93" s="231">
        <f>IF(CP$3=$K93,IF($C93="L",1,IF($C93="1/2L",0.5,0)),0)</f>
        <v>0</v>
      </c>
      <c r="CR93" s="231">
        <f>IF(CR$3=$K93,IF($C93="W",1,IF($C93="1/2W",0.5,0)),0)</f>
        <v>0</v>
      </c>
      <c r="CS93" s="231">
        <f>IF(CR$3=$K93,IF($C93="L",1,IF($C93="1/2L",0.5,0)),0)</f>
        <v>0</v>
      </c>
      <c r="CT93" s="208">
        <f>IF(CT$3=$K93,IF($C93="W",1,IF($C93="1/2W",0.5,0)),0)</f>
        <v>0</v>
      </c>
      <c r="CU93" s="209">
        <f>IF(CT$3=$K93,IF($C93="L",1,IF($C93="1/2L",0.5,0)),0)</f>
        <v>0</v>
      </c>
      <c r="CV93" s="209">
        <f>IF(CV$3=$K93,IF($C93="W",1,IF($C93="1/2W",0.5,0)),0)</f>
        <v>0</v>
      </c>
      <c r="CW93" s="209">
        <f>IF(CV$3=$K93,IF($C93="L",1,IF($C93="1/2L",0.5,0)),0)</f>
        <v>0</v>
      </c>
      <c r="CX93" s="209">
        <f>IF(CX$3=$K93,IF($C93="W",1,IF($C93="1/2W",0.5,0)),0)</f>
        <v>0</v>
      </c>
      <c r="CY93" s="209">
        <f>IF(CX$3=$K93,IF($C93="L",1,IF($C93="1/2L",0.5,0)),0)</f>
        <v>0</v>
      </c>
      <c r="CZ93" s="209">
        <f>IF(CZ$3=$K93,IF($C93="W",1,IF($C93="1/2W",0.5,0)),0)</f>
        <v>0</v>
      </c>
      <c r="DA93" s="209">
        <f>IF(CZ$3=$K93,IF($C93="L",1,IF($C93="1/2L",0.5,0)),0)</f>
        <v>0</v>
      </c>
      <c r="DB93" s="209">
        <f>IF(DB$3=$K93,IF($C93="W",1,IF($C93="1/2W",0.5,0)),0)</f>
        <v>0</v>
      </c>
      <c r="DC93" s="209">
        <f>IF(DB$3=$K93,IF($C93="L",1,IF($C93="1/2L",0.5,0)),0)</f>
        <v>0</v>
      </c>
      <c r="DD93" s="209">
        <f>IF(DD$3=$K93,IF($C93="W",1,IF($C93="1/2W",0.5,0)),0)</f>
        <v>0</v>
      </c>
      <c r="DE93" s="210">
        <f>IF(DD$3=$K93,IF($C93="L",1,IF($C93="1/2L",0.5,0)),0)</f>
        <v>0</v>
      </c>
      <c r="DF93" s="211">
        <f>IF(AND(L93&lt;DF$3,$C93="W"),1+DF92,DF92)</f>
        <v>6</v>
      </c>
      <c r="DG93" s="198">
        <f>IF(DF93&gt;DF92,L93+DG92,DG92)</f>
        <v>7.998</v>
      </c>
      <c r="DH93" s="209">
        <f>IF(AND(L93&gt;DH$3,$C93="W"),1+DH92,0+DH92)</f>
        <v>1</v>
      </c>
      <c r="DI93" s="198">
        <f>IF(DH93&gt;DH92,L93+DI92,DI92)</f>
        <v>4.33</v>
      </c>
      <c r="DJ93" t="s" s="306">
        <f>IF($D91="","",$D91)</f>
        <v>101</v>
      </c>
      <c r="DK93" s="232"/>
    </row>
    <row r="94" ht="14.55" customHeight="1">
      <c r="A94" s="246">
        <f>$A91+1</f>
        <v>31</v>
      </c>
      <c r="B94" t="s" s="247">
        <v>50</v>
      </c>
      <c r="C94" t="s" s="248">
        <v>51</v>
      </c>
      <c r="D94" t="s" s="303">
        <f>IF(G94="","",$D91)</f>
        <v>101</v>
      </c>
      <c r="E94" t="s" s="250">
        <v>93</v>
      </c>
      <c r="F94" t="s" s="251">
        <f>IF(G94="","",IF(OR(AND($C94&lt;&gt;" ",$C95=" "),AND($C95&lt;&gt;" ",$C94=" "),AND(L96&gt;0,OR(AND($C96&lt;&gt;" ",OR($C94=" ",$C95=" ")),AND($C96=" ",OR($C94&lt;&gt;" ",$C95&lt;&gt;" "))))),IF(SUM(F$4:F93)=0,1,LARGE(F$4:F93,1)+1),IF(MONTH(G94)=MONTH(TODAY()),IF(AND(DAY(G94)&lt;DAY(TODAY()),$B94=" "),IF(SUM(F$4:F93)=0,1,LARGE(F$4:F93,1)+1),IF($B94=" ",IF(AND(DAY(G94)=DAY(TODAY()),HOUR(G94)&lt;=HOUR(NOW())+1),IF(AND(HOUR(G94)+2&lt;=HOUR(NOW()),DAY(G94)&lt;=DAY(TODAY()),MINUTE(G94)&lt;=MINUTE(NOW())),IF(SUM(F$4:F93)=0,1,LARGE(F$4:F93,1)+1),IF(OR(MINUTE(G94)&lt;=MINUTE(NOW()),HOUR(G94)&lt;=HOUR(NOW())),"!!!","")),""),"")),"")))</f>
      </c>
      <c r="G94" s="252">
        <v>44944.697916666664</v>
      </c>
      <c r="H94" t="s" s="253">
        <v>138</v>
      </c>
      <c r="I94" t="s" s="254">
        <v>65</v>
      </c>
      <c r="J94" s="255">
        <v>2.5</v>
      </c>
      <c r="K94" t="s" s="256">
        <v>37</v>
      </c>
      <c r="L94" s="257">
        <v>1.833</v>
      </c>
      <c r="M94" s="258"/>
      <c r="N94" s="259">
        <v>0</v>
      </c>
      <c r="O94" s="260">
        <f>IF(OR(AE94="",AE95=""),"",ROUND(IF(L96&gt;0,IF(M94&gt;0,M94,IF(M95&gt;0,ROUND((M95*AE94)/AE95,IF(N94=0,2,IF(N94=0.1,1,0))),ROUND((M96*AE94)/AE96,IF(N94=0,2,IF(N94=0.1,1,0))))),IF(M94&gt;0,M94,ROUND((M95*AE94)/AE95,IF(N94=0,2,IF(N94=0.1,1,0))))),2))</f>
        <v>7.1</v>
      </c>
      <c r="P94" s="261">
        <f>IF(OR(L94="",O94=""),"",IF($C94="1/2W",O94/2+O94/2*L94,IF($C94="1/2L",O94/2,IF(I94="Lay",(O94*(L94/(L94-1))-O94)*(1-_xlfn.XLOOKUP(K94,'Janeiro 2023 - Valor Real'!A3:A15,'Janeiro 2023 - Valor Real'!C3:C15,0))+O94,(O94*L94-O94)*(1-_xlfn.XLOOKUP(K94,'Janeiro 2023 - Valor Real'!A3:A15,'Janeiro 2023 - Valor Real'!C3:C15,0))+O94))))</f>
        <v>13.0143</v>
      </c>
      <c r="Q94" s="262">
        <v>6</v>
      </c>
      <c r="R94" s="263">
        <v>0</v>
      </c>
      <c r="S94" s="264">
        <f>IF($B94="Anulado",0,ROUND(IF(OR($B94="LOSS",$B94="OK"),IF(OR($C94="W",$C94="1/2W",$C94="1/2L"),P94-O94,IF($C94="L",-O94,0))+IF(OR($C95="W",$C95="1/2W",$C95="1/2L"),P95-O95,IF($C95="L",-O95,0))+IF(OR($C96="W",$C96="1/2W",$C96="1/2L"),P96-O96,IF($C96="L",-O96,0)),IF(AND(OR($C94="W",$C94="1/2W",$C94="1/2L"),C95="W"),P94+P95-SUM(O94:O96)+_xlfn.XLOOKUP("X",C94:C96,O94:O96,0),IF(AND(C94=TRUE,C96="W"),P94+P96-SUM(O94:O96),IF(AND(C95="W",C96="W"),P95+P96-SUM(O94:O96)+_xlfn.XLOOKUP("X",C94:C96,O94:O96,0),IF(L96&gt;0,IF(OR($C94="W",$C94="1/2W",$C94="1/2L"),P94-SUM(O94:O96)+_xlfn.XLOOKUP("X",C94:C96,O94:O96,0),IF(OR($C94="W",$C94="1/2W",$C94="1/2L"),P95-SUM(O94:O96)+_xlfn.XLOOKUP("X",C94:C96,O94:O96,0),IF(OR($C94="W",$C94="1/2W",$C94="1/2L"),P96-SUM(O94:O96)+_xlfn.XLOOKUP("X",C94:C96,O94:O96,0),IF(SUM(P94:P96)/3-SUM(O94:O96)+_xlfn.XLOOKUP("X",C94:C96,O94:O96,0)&gt;0,SUM(P94:P96)/3-SUM(O94:O96)+_xlfn.XLOOKUP("X",C94:C96,O94:O96,0),LARGE(P94:P96,1)-SUM(O94:O96))))),IF(OR($C94="W",$C94="1/2W",$C94="1/2L"),P94-SUM(O94:O95)+_xlfn.XLOOKUP("X",C94:C96,O94:O96,0),IF(OR($C94="W",$C94="1/2W",$C94="1/2L"),P95-SUM(O94:O95)+_xlfn.XLOOKUP("X",C94:C96,O94:O96,0),SUM(P94:P95)/2-SUM(O94:O95)+_xlfn.XLOOKUP("X",C94:C96,O94:O96,0)))))))),2))</f>
        <v>1.58</v>
      </c>
      <c r="T94" s="265">
        <f>IF(S94=0,0,S94/SUM(O94:O96))</f>
        <v>0.138111888111888</v>
      </c>
      <c r="U94" s="266">
        <f>IF($D94=$D91,IF(OR($B94="LOSS",$B94="OK",$B94="Anulada"),S94,0)+U91,IF(OR($B94="LOSS",$B94="OK",$B94="Anulada"),S94,0))</f>
        <v>17.35</v>
      </c>
      <c r="V94" s="266">
        <f>IF($D94="",0,IF($D94=$D91,IF($B94=" ",IF(I96="",IF(OR(AND(I94="DNB1",I95="DNB2"),AND(OR(I94="DNB1",I94="DNB2"),J95=0),AND(OR(I95="DNB1",I95="DNB2"),J94=0),AND(I94="DNB2",I95="DNB1"),AND(IF(J94=0,(J94+1)/ROUND(J94+1,0),J94/ROUND(J94,0))=1,IF(J95=0,(J95+1)/ROUND(IF(J95="",0,J95)+1,0),IF(J95="",0,J95)/ROUND(IF(J95="",1,J95),0))=1,OR(J94&lt;&gt;""),J95&lt;&gt;"")),0,IF(S94&lt;0,IF(I96="",SMALL(P94:P95,1)-SUM(O94:O95),0),SMALL(P94:P95,1)-SUM(O94:O95))),IF(S94&lt;0,IF(I96="",SMALL(P94:P96,1)-SUM(O94:O96),0),LARGE(P94:P96,1)-SUM(O94:O96))),S94)+V91,IF(I96="",IF(OR(AND(I94="DNB1",I95="DNB2"),AND(OR(I94="DNB1",I94="DNB2"),J95=0),AND(OR(I95="DNB1",I95="DNB2"),J94=0),AND(I94="DNB2",I95="DNB1"),AND(IF(J94=0,(J94+1)/ROUND(J94+1,0),J94/ROUND(J94,0))=1,IF(J95=0,(IF(J95="",0,J95)+1)/ROUND(IF(J95="",0,J95)+1,0),IF(J95="",0,J95)/ROUND(IF(J95="",0,J95)+1,0))=1,OR(J94&lt;&gt;""),J95&lt;&gt;"")),0,IF(S94&lt;0,IF(I96="",SMALL(P94:P95,1)-SUM(O94:O95),0),SMALL(P94:P96,1)-SUM(O94:O96))),IF(S94&lt;0,IF(I96="",SMALL(P94:P96,1)-SUM(O94:O96),0),LARGE(P94:P96,1)-SUM(O94:O96)))))</f>
        <v>17.352</v>
      </c>
      <c r="W94" s="266">
        <f>IF($D94=$D91,IF(S94&lt;0,IF(I96="",S94,0),S94)+W91,S94)</f>
        <v>17.35</v>
      </c>
      <c r="X94" t="s" s="267">
        <f>IF(OR(SUM(R94:R96)=0,V94=W94),ROUND(IF(W94=0,0,W94/Y94)*100,2)&amp;"%",ROUND(IF(V94=0,0,V94/Y94)*100,2)&amp;"% a "&amp;ROUND(IF(W94=0,0,W94/Y94)*100,2)&amp;"%")</f>
        <v>134</v>
      </c>
      <c r="Y94" s="268">
        <f>IF($D94=$D91,Y91+SUM(O94:O96),SUM(O94:O96))</f>
        <v>532.55</v>
      </c>
      <c r="Z94" s="266">
        <f>IF($B94=" ",SUM(O94:O96),0)+Z91</f>
        <v>0</v>
      </c>
      <c r="AA94" s="266">
        <f>IF(G94="","",IF($B94="Anulado",LARGE(P94:P96,1)-SUM(O94:O96)+AA91,AA91))</f>
        <v>11.4028</v>
      </c>
      <c r="AB94" s="266">
        <f>IF($D94="","",AB91+S94)</f>
        <v>95.45</v>
      </c>
      <c r="AC94" s="269">
        <f>IF($D94="","",IF($B94=" ",IF(DAY(G94)=DAY(TODAY()),1+AC91,0+AC91),0+AC91))</f>
        <v>0</v>
      </c>
      <c r="AD94" s="270">
        <f>(1-_xlfn.XLOOKUP(K92,'Janeiro 2023 - Valor Real'!A3:A15,'Janeiro 2023 - Valor Real'!C3:C15,0))+1</f>
        <v>2</v>
      </c>
      <c r="AE94" s="271">
        <f>IF(L94="","",IF(L96&gt;0,(SUM(((L94-1)*(1-_xlfn.XLOOKUP(K94,'Janeiro 2023 - Valor Real'!A3:A15,'Janeiro 2023 - Valor Real'!C3:C15,0))+1),((L95-1)*(1-_xlfn.XLOOKUP(K95,'Janeiro 2023 - Valor Real'!A3:A15,'Janeiro 2023 - Valor Real'!C3:C15,0))+1),((L96-1)*(1-_xlfn.XLOOKUP(K96,'Janeiro 2023 - Valor Real'!A3:A15,'Janeiro 2023 - Valor Real'!C3:C15,0))+1))/((L94-1)*(1-_xlfn.XLOOKUP(K94,'Janeiro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Real'!C3:C15,0))+1))/((L94-1)*(1-_xlfn.XLOOKUP(K94,'Janeiro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Real'!C3:C15,0))+1))/((L95-1)*(1-_xlfn.XLOOKUP(K95,'Janeiro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Real'!C3:C15,0))+1))/((L96-1)*(1-_xlfn.XLOOKUP(K96,'Janeiro 2023 - Valor Real'!A3:A15,'Janeiro 2023 - Valor Real'!C3:C15,0))+1)),IF(I94="Lay",IF(I95="Lay",((L95/(L95-1)-1)*(1-_xlfn.XLOOKUP(K95,'Janeiro 2023 - Valor Real'!A3:A15,'Janeiro 2023 - Valor Real'!C3:C15,0))+1)/(((L95/(L95-1)-1)*(1-_xlfn.XLOOKUP(K95,'Janeiro 2023 - Valor Real'!A3:A15,'Janeiro 2023 - Valor Real'!C3:C15,0))+1)+((L94/(L94-1)-1)*(1-_xlfn.XLOOKUP(K94,'Janeiro 2023 - Valor Real'!A3:A15,'Janeiro 2023 - Valor Real'!C3:C15,0))+1)),((L95-1)*(1-_xlfn.XLOOKUP(K95,'Janeiro 2023 - Valor Real'!A3:A15,'Janeiro 2023 - Valor Real'!C3:C15,0))+1)/(((L95-1)*(1-_xlfn.XLOOKUP(K95,'Janeiro 2023 - Valor Real'!A3:A15,'Janeiro 2023 - Valor Real'!C3:C15,0))+1)+((L94/(L94-1)-1)*(1-_xlfn.XLOOKUP(K94,'Janeiro 2023 - Valor Real'!A3:A15,'Janeiro 2023 - Valor Real'!C3:C15,0))+1))),IF(I95="Lay",(((L95/(L95-1)-1)*(1-_xlfn.XLOOKUP(K95,'Janeiro 2023 - Valor Real'!A3:A15,'Janeiro 2023 - Valor Real'!C3:C15,0))+1))/(((L94-1)*(1-_xlfn.XLOOKUP(K94,'Janeiro 2023 - Valor Real'!A3:A15,'Janeiro 2023 - Valor Real'!C3:C15,0))+1)+((L95/(L95-1)-1)*(1-_xlfn.XLOOKUP(K95,'Janeiro 2023 - Valor Real'!A3:A15,'Janeiro 2023 - Valor Real'!C3:C15,0))+1)),((L95-1)*(1-_xlfn.XLOOKUP(K95,'Janeiro 2023 - Valor Real'!A3:A15,'Janeiro 2023 - Valor Real'!C3:C15,0))+1)/(((L95-1)*(1-_xlfn.XLOOKUP(K95,'Janeiro 2023 - Valor Real'!A3:A15,'Janeiro 2023 - Valor Real'!C3:C15,0))+1)+((L94-1)*(1-_xlfn.XLOOKUP(K94,'Janeiro 2023 - Valor Real'!A3:A15,'Janeiro 2023 - Valor Real'!C3:C15,0))+1))))))</f>
        <v>0.620732464307883</v>
      </c>
      <c r="AF94" s="132">
        <f>IF($K94=AF$3,ROUND(IF(OR($C94="W",$C94="1/2W",$C94="1/2L"),$P94-$O94,IF($C94="X",0,-$O94)),2),0)</f>
        <v>-7.1</v>
      </c>
      <c r="AG94" s="133">
        <f>IF($K94=AG$3,ROUND(IF(OR($C94="W",$C94="1/2W",$C94="1/2L"),$P94-$O94,IF($C94="X",0,-$O94)),2),0)</f>
        <v>0</v>
      </c>
      <c r="AH94" s="133">
        <f>IF($K94=AH$3,ROUND(IF(OR($C94="W",$C94="1/2W",$C94="1/2L"),$P94-$O94,IF($C94="X",0,-$O94)),2),0)</f>
        <v>0</v>
      </c>
      <c r="AI94" s="133">
        <f>IF($K94=AI$3,ROUND(IF(OR($C94="W",$C94="1/2W",$C94="1/2L"),$P94-$O94,IF($C94="X",0,-$O94)),2),0)</f>
        <v>0</v>
      </c>
      <c r="AJ94" s="133">
        <f>IF($K94=AJ$3,ROUND(IF(OR($C94="W",$C94="1/2W",$C94="1/2L"),$P94-$O94,IF($C94="X",0,-$O94)),2),0)</f>
        <v>0</v>
      </c>
      <c r="AK94" s="133">
        <f>IF($K94=AK$3,ROUND(IF(OR($C94="W",$C94="1/2W",$C94="1/2L"),$P94-$O94,IF($C94="X",0,-$O94)),2),0)</f>
        <v>0</v>
      </c>
      <c r="AL94" s="133">
        <f>IF($K94=AL$3,ROUND(IF(OR($C94="W",$C94="1/2W",$C94="1/2L"),$P94-$O94,IF($C94="X",0,-$O94)),2),0)</f>
        <v>0</v>
      </c>
      <c r="AM94" s="133">
        <f>IF($K94=AM$3,ROUND(IF(OR($C94="W",$C94="1/2W",$C94="1/2L"),$P94-$O94,IF($C94="X",0,-$O94)),2),0)</f>
        <v>0</v>
      </c>
      <c r="AN94" s="133">
        <f>IF($K94=AN$3,ROUND(IF(OR($C94="W",$C94="1/2W",$C94="1/2L"),$P94-$O94,IF($C94="X",0,-$O94)),2),0)</f>
        <v>0</v>
      </c>
      <c r="AO94" s="133">
        <f>IF($K94=AO$3,ROUND(IF(OR($C94="W",$C94="1/2W",$C94="1/2L"),$P94-$O94,IF($C94="X",0,-$O94)),2),0)</f>
        <v>0</v>
      </c>
      <c r="AP94" s="133">
        <f>IF($K94=AP$3,ROUND(IF(OR($C94="W",$C94="1/2W",$C94="1/2L"),$P94-$O94,IF($C94="X",0,-$O94)),2),0)</f>
        <v>0</v>
      </c>
      <c r="AQ94" s="133">
        <f>IF($K94=AQ$3,ROUND(IF(OR($C94="W",$C94="1/2W",$C94="1/2L"),$P94-$O94,IF($C94="X",0,-$O94)),2),0)</f>
        <v>0</v>
      </c>
      <c r="AR94" s="134">
        <f>IF($K94=AR$3,ROUND(IF(OR($C94="W",$C94="1/2W",$C94="1/2L"),$P94-$O94,IF($C94="X",0,-$O94)),2),0)</f>
        <v>0</v>
      </c>
      <c r="AS94" s="132">
        <f>IF(AND($B94=" ",$K94=AS$3),$O94,0)</f>
        <v>0</v>
      </c>
      <c r="AT94" s="133">
        <f>IF(AND($B94=" ",$K94=AT$3),$O94,0)</f>
        <v>0</v>
      </c>
      <c r="AU94" s="133">
        <f>IF(AND($B94=" ",$K94=AU$3),$O94,0)</f>
        <v>0</v>
      </c>
      <c r="AV94" s="133">
        <f>IF(AND($B94=" ",$K94=AV$3),$O94,0)</f>
        <v>0</v>
      </c>
      <c r="AW94" s="133">
        <f>IF(AND($B94=" ",$K94=AW$3),$O94,0)</f>
        <v>0</v>
      </c>
      <c r="AX94" s="133">
        <f>IF(AND($B94=" ",$K94=AX$3),$O94,0)</f>
        <v>0</v>
      </c>
      <c r="AY94" s="135">
        <f>IF(AND($B94=" ",$K94=AY$3),$O94,0)</f>
        <v>0</v>
      </c>
      <c r="AZ94" s="136">
        <f>IF(AND($B94=" ",$K94=AZ$3),$O94,0)</f>
        <v>0</v>
      </c>
      <c r="BA94" s="136">
        <f>IF(AND($B94=" ",$K94=BA$3),$O94,0)</f>
        <v>0</v>
      </c>
      <c r="BB94" s="136">
        <f>IF(AND($B94=" ",$K94=BB$3),$O94,0)</f>
        <v>0</v>
      </c>
      <c r="BC94" s="137">
        <f>IF(AND($B94=" ",$K94=BC$3),$O94,0)</f>
        <v>0</v>
      </c>
      <c r="BD94" s="133">
        <f>IF(AND($B94=" ",$K94=BD$3),$O94,0)</f>
        <v>0</v>
      </c>
      <c r="BE94" s="134">
        <f>IF(AND($B94=" ",$K94=BE$3),$O94,0)</f>
        <v>0</v>
      </c>
      <c r="BF94" s="132">
        <f>IF($K94=BF$3,IF($C94="X",0,$O94),0)</f>
        <v>7.1</v>
      </c>
      <c r="BG94" s="133">
        <f>IF($K94=BG$3,IF($C94="X",0,$O94),0)</f>
        <v>0</v>
      </c>
      <c r="BH94" s="133">
        <f>IF($K94=BH$3,IF($C94="X",0,$O94),0)</f>
        <v>0</v>
      </c>
      <c r="BI94" s="133">
        <f>IF($K94=BI$3,IF($C94="X",0,$O94),0)</f>
        <v>0</v>
      </c>
      <c r="BJ94" s="133">
        <f>IF($K94=BJ$3,IF($C94="X",0,$O94),0)</f>
        <v>0</v>
      </c>
      <c r="BK94" s="133">
        <f>IF($K94=BK$3,IF($C94="X",0,$O94),0)</f>
        <v>0</v>
      </c>
      <c r="BL94" s="133">
        <f>IF($K94=BL$3,IF($C94="X",0,$O94),0)</f>
        <v>0</v>
      </c>
      <c r="BM94" s="135">
        <f>IF($K94=BM$3,IF($C94="X",0,$O94),0)</f>
        <v>0</v>
      </c>
      <c r="BN94" s="136">
        <f>IF($K94=BN$3,IF($C94="X",0,$O94),0)</f>
        <v>0</v>
      </c>
      <c r="BO94" s="136">
        <f>IF($K94=BO$3,IF($C94="X",0,$O94),0)</f>
        <v>0</v>
      </c>
      <c r="BP94" s="136">
        <f>IF($K94=BP$3,IF($C94="X",0,$O94),0)</f>
        <v>0</v>
      </c>
      <c r="BQ94" s="137">
        <f>IF($K94=BQ$3,IF($C94="X",0,$O94),0)</f>
        <v>0</v>
      </c>
      <c r="BR94" s="134">
        <f>IF($K94=BR$3,IF($C94="X",0,$O94),0)</f>
        <v>0</v>
      </c>
      <c r="BS94" s="170">
        <f>IF($B94="LOSS",IF(AND($K94=BS$3,$C94="L"),-$O94,0)+IF(AND($K95=BS$3,$C95="L"),-$O95,0)+IF(AND($K96=BS$3,$C96="L"),-$O96,0),IF(OR(AND($K94=BS$3,OR($C94="W",$C94="1/2W")),AND($K95=BS$3,OR($C95="W",$C95="1/2W")),AND($K96=BS$3,OR($C96="W",$C96="1/2W"))),$S94,0))</f>
        <v>0</v>
      </c>
      <c r="BT94" s="272">
        <f>IF($B94="LOSS",IF(AND($K94=BT$3,$C94="L"),-$O94,0)+IF(AND($K95=BT$3,$C95="L"),-$O95,0)+IF(AND($K95=BT$3,$C96="L"),-$O96,0),IF(OR(AND($K95=BT$3,OR($C94="W",$C94="1/2W")),AND($K95=BT$3,OR($C95="W",$C95="1/2W")),AND($K95=BT$3,OR($C96="W",$C96="1/2W"))),$S94,0))</f>
        <v>1.58</v>
      </c>
      <c r="BU94" s="136">
        <f>IF($B94="LOSS",IF(AND($K94=BU$3,$C94="L"),-$O94,0)+IF(AND($K95=BU$3,$C95="L"),-$O95,0)+IF(AND($K95=BU$3,$C96="L"),-$O96,0),IF(OR(AND($K95=BU$3,OR($C94="W",$C94="1/2W")),AND($K95=BU$3,OR($C95="W",$C95="1/2W")),AND($K95=BU$3,OR($C96="W",$C96="1/2W"))),$S94,0))</f>
        <v>0</v>
      </c>
      <c r="BV94" s="136">
        <f>IF($B94="LOSS",IF(AND($K94=BV$3,$C94="L"),-$O94,0)+IF(AND($K95=BV$3,$C95="L"),-$O95,0)+IF(AND($K96=BV$3,$C96="L"),-$O96,0),IF(OR(AND($K94=BV$3,OR($C94="W",$C94="1/2W")),AND($K95=BV$3,OR($C95="W",$C95="1/2W")),AND($K96=BV$3,OR($C96="W",$C96="1/2W"))),$S94,0))</f>
        <v>0</v>
      </c>
      <c r="BW94" s="136">
        <f>IF($B94="LOSS",IF(AND($K94=BW$3,$C94="L"),-$O94,0)+IF(AND($K95=BW$3,$C95="L"),-$O95,0)+IF(AND($K96=BW$3,$C96="L"),-$O96,0),IF(OR(AND($K94=BW$3,OR($C94="W",$C94="1/2W")),AND($K95=BW$3,OR($C95="W",$C95="1/2W")),AND($K96=BW$3,OR($C96="W",$C96="1/2W"))),$S94,0))</f>
        <v>0</v>
      </c>
      <c r="BX94" s="136">
        <f>IF($B94="LOSS",IF(AND($K94=BX$3,$C94="L"),-$O94,0)+IF(AND($K95=BX$3,$C95="L"),-$O95,0)+IF(AND($K96=BX$3,$C96="L"),-$O96,0),IF(OR(AND($K94=BX$3,OR($C94="W",$C94="1/2W")),AND($K95=BX$3,OR($C95="W",$C95="1/2W")),AND($K96=BX$3,OR($C96="W",$C96="1/2W"))),$S94,0))</f>
        <v>0</v>
      </c>
      <c r="BY94" s="136">
        <f>IF($B94="LOSS",IF(AND($K94=BY$3,$C94="L"),-$O94,0)+IF(AND($K95=BY$3,$C95="L"),-$O95,0)+IF(AND($K96=BY$3,$C96="L"),-$O96,0),IF(OR(AND($K94=BY$3,OR($C94="W",$C94="1/2W")),AND($K95=BY$3,OR($C95="W",$C95="1/2W")),AND($K96=BY$3,OR($C96="W",$C96="1/2W"))),$S94,0))</f>
        <v>0</v>
      </c>
      <c r="BZ94" s="136">
        <f>IF($B94="LOSS",IF(AND($K94=BZ$3,$C94="L"),-$O94,0)+IF(AND($K95=BZ$3,$C95="L"),-$O95,0)+IF(AND($K96=BZ$3,$C96="L"),-$O96,0),IF(OR(AND($K94=BZ$3,OR($C94="W",$C94="1/2W")),AND($K95=BZ$3,OR($C95="W",$C95="1/2W")),AND($K96=BZ$3,OR($C96="W",$C96="1/2W"))),$S94,0))</f>
        <v>0</v>
      </c>
      <c r="CA94" s="136">
        <f>IF($B94="LOSS",IF(AND($K94=CA$3,$C94="L"),-$O94,0)+IF(AND($K95=CA$3,$C95="L"),-$O95,0)+IF(AND($K96=CA$3,$C96="L"),-$O96,0),IF(OR(AND($K94=CA$3,OR($C94="W",$C94="1/2W")),AND($K95=CA$3,OR($C95="W",$C95="1/2W")),AND($K96=CA$3,OR($C96="W",$C96="1/2W"))),$S94,0))</f>
        <v>0</v>
      </c>
      <c r="CB94" s="136">
        <f>IF($B94="LOSS",IF(AND($K94=CB$3,$C94="L"),-$O94,0)+IF(AND($K95=CB$3,$C95="L"),-$O95,0)+IF(AND($K96=CB$3,$C96="L"),-$O96,0),IF(OR(AND($K94=CB$3,OR($C94="W",$C94="1/2W")),AND($K95=CB$3,OR($C95="W",$C95="1/2W")),AND($K96=CB$3,OR($C96="W",$C96="1/2W"))),$S94,0))</f>
        <v>0</v>
      </c>
      <c r="CC94" s="136">
        <f>IF($B94="LOSS",IF(AND($K94=CC$3,$C94="L"),-$O94,0)+IF(AND($K95=CC$3,$C95="L"),-$O95,0)+IF(AND($K96=CC$3,$C96="L"),-$O96,0),IF(OR(AND($K94=CC$3,OR($C94="W",$C94="1/2W")),AND($K95=CC$3,OR($C95="W",$C95="1/2W")),AND($K96=CC$3,OR($C96="W",$C96="1/2W"))),$S94,0))</f>
        <v>0</v>
      </c>
      <c r="CD94" s="137">
        <f>IF($B94="LOSS",IF(AND($K94=CD$3,$C94="L"),-$O94,0)+IF(AND($K95=CD$3,$C95="L"),-$O95,0)+IF(AND($K96=CD$3,$C96="L"),-$O96,0),IF(OR(AND($K94=CD$3,OR($C94="W",$C94="1/2W")),AND($K95=CD$3,OR($C95="W",$C95="1/2W")),AND($K96=CD$3,OR($C96="W",$C96="1/2W"))),$S94,0))</f>
        <v>0</v>
      </c>
      <c r="CE94" s="134">
        <f>IF($B94="LOSS",IF(AND($K94=CE$3,$C94="L"),-$O94,0)+IF(AND($K95=CE$3,$C95="L"),-$O95,0)+IF(AND($K96=CE$3,$C96="L"),-$O96,0),IF(OR(AND($K94=CE$3,OR($C94="W",$C94="1/2W")),AND($K95=CE$3,OR($C95="W",$C95="1/2W")),AND($K96=CE$3,OR($C96="W",$C96="1/2W"))),$S94,0))</f>
        <v>0</v>
      </c>
      <c r="CF94" s="273">
        <f>IF(CF$3=$K94,IF($C94="W",1,IF($C94="1/2W",0.5,0)),0)</f>
        <v>0</v>
      </c>
      <c r="CG94" s="274">
        <f>IF(CF$3=$K94,IF($C94="L",1,IF($C94="1/2L",0.5,0)),0)</f>
        <v>1</v>
      </c>
      <c r="CH94" s="274">
        <f>IF(CH$3=$K94,IF($C94="W",1,IF($C94="1/2W",0.5,0)),0)</f>
        <v>0</v>
      </c>
      <c r="CI94" s="274">
        <f>IF(CH$3=$K94,IF($C94="L",1,IF($C94="1/2L",0.5,0)),0)</f>
        <v>0</v>
      </c>
      <c r="CJ94" s="274">
        <f>IF(CJ$3=$K94,IF($C94="W",1,IF($C94="1/2W",0.5,0)),0)</f>
        <v>0</v>
      </c>
      <c r="CK94" s="274">
        <f>IF(CJ$3=$K94,IF($C94="L",1,IF($C94="1/2L",0.5,0)),0)</f>
        <v>0</v>
      </c>
      <c r="CL94" s="274">
        <f>IF(CL$3=$K94,IF($C94="W",1,IF($C94="1/2W",0.5,0)),0)</f>
        <v>0</v>
      </c>
      <c r="CM94" s="274">
        <f>IF(CL$3=$K94,IF($C94="L",1,IF($C94="1/2L",0.5,0)),0)</f>
        <v>0</v>
      </c>
      <c r="CN94" s="274">
        <f>IF(CN$3=$K94,IF($C94="W",1,IF($C94="1/2W",0.5,0)),0)</f>
        <v>0</v>
      </c>
      <c r="CO94" s="274">
        <f>IF(CN$3=$K94,IF($C94="L",1,IF($C94="1/2L",0.5,0)),0)</f>
        <v>0</v>
      </c>
      <c r="CP94" s="274">
        <f>IF(CP$3=$K94,IF($C94="W",1,IF($C94="1/2W",0.5,0)),0)</f>
        <v>0</v>
      </c>
      <c r="CQ94" s="274">
        <f>IF(CP$3=$K94,IF($C94="L",1,IF($C94="1/2L",0.5,0)),0)</f>
        <v>0</v>
      </c>
      <c r="CR94" s="274">
        <f>IF(CR$3=$K94,IF($C94="W",1,IF($C94="1/2W",0.5,0)),0)</f>
        <v>0</v>
      </c>
      <c r="CS94" s="274">
        <f>IF(CR$3=$K94,IF($C94="L",1,IF($C94="1/2L",0.5,0)),0)</f>
        <v>0</v>
      </c>
      <c r="CT94" s="145">
        <f>IF(CT$3=$K94,IF($C94="W",1,IF($C94="1/2W",0.5,0)),0)</f>
        <v>0</v>
      </c>
      <c r="CU94" s="146">
        <f>IF(CT$3=$K94,IF($C94="L",1,IF($C94="1/2L",0.5,0)),0)</f>
        <v>0</v>
      </c>
      <c r="CV94" s="146">
        <f>IF(CV$3=$K94,IF($C94="W",1,IF($C94="1/2W",0.5,0)),0)</f>
        <v>0</v>
      </c>
      <c r="CW94" s="146">
        <f>IF(CV$3=$K94,IF($C94="L",1,IF($C94="1/2L",0.5,0)),0)</f>
        <v>0</v>
      </c>
      <c r="CX94" s="146">
        <f>IF(CX$3=$K94,IF($C94="W",1,IF($C94="1/2W",0.5,0)),0)</f>
        <v>0</v>
      </c>
      <c r="CY94" s="146">
        <f>IF(CX$3=$K94,IF($C94="L",1,IF($C94="1/2L",0.5,0)),0)</f>
        <v>0</v>
      </c>
      <c r="CZ94" s="146">
        <f>IF(CZ$3=$K94,IF($C94="W",1,IF($C94="1/2W",0.5,0)),0)</f>
        <v>0</v>
      </c>
      <c r="DA94" s="146">
        <f>IF(CZ$3=$K94,IF($C94="L",1,IF($C94="1/2L",0.5,0)),0)</f>
        <v>0</v>
      </c>
      <c r="DB94" s="146">
        <f>IF(DB$3=$K94,IF($C94="W",1,IF($C94="1/2W",0.5,0)),0)</f>
        <v>0</v>
      </c>
      <c r="DC94" s="146">
        <f>IF(DB$3=$K94,IF($C94="L",1,IF($C94="1/2L",0.5,0)),0)</f>
        <v>0</v>
      </c>
      <c r="DD94" s="146">
        <f>IF(DD$3=$K94,IF($C94="W",1,IF($C94="1/2W",0.5,0)),0)</f>
        <v>0</v>
      </c>
      <c r="DE94" s="147">
        <f>IF(DD$3=$K94,IF($C94="L",1,IF($C94="1/2L",0.5,0)),0)</f>
        <v>0</v>
      </c>
      <c r="DF94" s="143">
        <f>IF(AND(L94&lt;DF$3,$C94="W"),1+DF93,DF93)</f>
        <v>6</v>
      </c>
      <c r="DG94" s="133">
        <f>IF(DF94&gt;DF93,L94+DG93,DG93)</f>
        <v>7.998</v>
      </c>
      <c r="DH94" s="146">
        <f>IF(AND(L94&gt;DH$3,$C94="W"),1+DH93,0+DH93)</f>
        <v>1</v>
      </c>
      <c r="DI94" s="133">
        <f>IF(DH94&gt;DH93,L94+DI93,DI93)</f>
        <v>4.33</v>
      </c>
      <c r="DJ94" t="s" s="304">
        <f>IF($D94="","",$D94)</f>
        <v>101</v>
      </c>
      <c r="DK94" s="146">
        <f>IF(AND($B94=" ",$D94&lt;&gt;""),1,0)</f>
        <v>0</v>
      </c>
    </row>
    <row r="95" ht="14.55" customHeight="1">
      <c r="A95" s="107"/>
      <c r="B95" s="108"/>
      <c r="C95" t="s" s="109">
        <v>56</v>
      </c>
      <c r="D95" s="110"/>
      <c r="E95" s="111"/>
      <c r="F95" s="113"/>
      <c r="G95" s="252"/>
      <c r="H95" s="114"/>
      <c r="I95" t="s" s="275">
        <v>67</v>
      </c>
      <c r="J95" s="276">
        <f>IF(OR(I94="TO",I94="TU",I94="TO1",I94="TU1",I94="TO2",I94="TU2"),J94,IF(OR(I94="AH1",I94="AH2"),IF(OR(I95="AH1",I95="AH2"),-J94,IF(OR(I95="EH1",I95="EH2"),-J94+0.5,"")),IF(OR(I94="EH1",I94="EH2"),IF(OR(I95="AH1",I95="AH2"),-J94+0.5,IF(OR(I95="EH1",I95="EH2"),-J94+1,"")),IF(AND(OR(I94="DNB1",I94="DNB2"),OR(I95="AH1",I95="AH2")),0,IF(AND(I94="Not ScoreBoth",OR(I95="TO1",I95="TO2")),0.5,"")))))</f>
        <v>2.5</v>
      </c>
      <c r="K95" t="s" s="117">
        <v>38</v>
      </c>
      <c r="L95" s="277">
        <v>3</v>
      </c>
      <c r="M95" s="278">
        <v>4.34</v>
      </c>
      <c r="N95" s="120"/>
      <c r="O95" s="121">
        <f>IF(OR(AE94="",AE95=""),"",ROUND(IF(L96&gt;0,IF(M95&gt;0,M95,IF(M94&gt;0,IF(N94=TRUE,ROUND((M94*AE95)/AE94,0),(M94*AE95)/AE94),IF(M95&gt;0,ROUND(M95,IF(N94=0,2,IF(N94=0.1,1,0))),IF(M96&gt;0,ROUND(O96*AE95/AE96,IF(N94=0,2,IF(N94=0.1,1,0))),0)))),IF(M95&gt;0,M95,ROUND((M94*AE95)/AE94,IF(N94=0,2,IF(N94=0.1,1,0))))),2))</f>
        <v>4.34</v>
      </c>
      <c r="P95" s="122">
        <f>IF(OR(L95="",O95=""),"",IF($C95="1/2W",O95/2+O95/2*L95,IF($C95="1/2L",O95/2,IF(I95="Lay",((O95*(L95/(L95-1)))-O95)*(1-_xlfn.XLOOKUP(K95,'Janeiro 2023 - Valor Real'!A3:A15,'Janeiro 2023 - Valor Real'!C3:C15,0))+O95,(O95*L95-O95)*(1-_xlfn.XLOOKUP(K95,'Janeiro 2023 - Valor Real'!A3:A15,'Janeiro 2023 - Valor Real'!C3:C15,0))+O95))))</f>
        <v>13.02</v>
      </c>
      <c r="Q95" s="279">
        <v>6</v>
      </c>
      <c r="R95" s="280">
        <v>0</v>
      </c>
      <c r="S95" s="125"/>
      <c r="T95" s="126"/>
      <c r="U95" s="126"/>
      <c r="V95" s="224"/>
      <c r="W95" s="126"/>
      <c r="X95" s="127"/>
      <c r="Y95" s="128"/>
      <c r="Z95" s="129"/>
      <c r="AA95" s="129"/>
      <c r="AB95" s="129"/>
      <c r="AC95" s="129"/>
      <c r="AD95" s="130"/>
      <c r="AE95" s="131">
        <f>IF(L95="","",IF(L96&gt;0,(SUM(((L94-1)*(1-_xlfn.XLOOKUP(K94,'Janeiro 2023 - Valor Real'!A3:A15,'Janeiro 2023 - Valor Real'!C3:C15,0))+1),((L95-1)*(1-_xlfn.XLOOKUP(K95,'Janeiro 2023 - Valor Real'!A3:A15,'Janeiro 2023 - Valor Real'!C3:C15,0))+1),((L96-1)*(1-_xlfn.XLOOKUP(K96,'Janeiro 2023 - Valor Real'!A3:A15,'Janeiro 2023 - Valor Real'!C3:C15,0))+1))/((L95-1)*(1-_xlfn.XLOOKUP(K95,'Janeiro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Real'!C3:C15,0))+1))/((L94-1)*(1-_xlfn.XLOOKUP(K94,'Janeiro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Real'!C3:C15,0))+1))/((L95-1)*(1-_xlfn.XLOOKUP(K95,'Janeiro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Real'!C3:C15,0))+1))/((L96-1)*(1-_xlfn.XLOOKUP(K96,'Janeiro 2023 - Valor Real'!A3:A15,'Janeiro 2023 - Valor Real'!C3:C15,0))+1)),IF(I95="Lay",IF(I94="Lay",((L94/(L94-1)-1)*(1-_xlfn.XLOOKUP(K94,'Janeiro 2023 - Valor Real'!A3:A15,'Janeiro 2023 - Valor Real'!C3:C15,0))+1)/(((L94/(L94-1)-1)*(1-_xlfn.XLOOKUP(K94,'Janeiro 2023 - Valor Real'!A3:A15,'Janeiro 2023 - Valor Real'!C3:C15,0))+1)+((L95/(L95-1)-1)*(1-_xlfn.XLOOKUP(K95,'Janeiro 2023 - Valor Real'!A3:A15,'Janeiro 2023 - Valor Real'!C3:C15,0))+1)),((L94-1)*(1-_xlfn.XLOOKUP(K94,'Janeiro 2023 - Valor Real'!A3:A15,'Janeiro 2023 - Valor Real'!C3:C15,0))+1)/(((L94-1)*(1-_xlfn.XLOOKUP(K94,'Janeiro 2023 - Valor Real'!A3:A15,'Janeiro 2023 - Valor Real'!C3:C15,0))+1)+((L95/(L95-1)-1)*(1-_xlfn.XLOOKUP(K95,'Janeiro 2023 - Valor Real'!A3:A15,'Janeiro 2023 - Valor Real'!C3:C15,0))+1))),IF(I94="Lay",((L94/(L94-1)-1)*(1-_xlfn.XLOOKUP(K94,'Janeiro 2023 - Valor Real'!A3:A15,'Janeiro 2023 - Valor Real'!C3:C15,0))+1)/((((L94/(L94-1)-1)*(1-_xlfn.XLOOKUP(K94,'Janeiro 2023 - Valor Real'!A3:A15,'Janeiro 2023 - Valor Real'!C3:C15,0))+1))+((L95-1)*(1-_xlfn.XLOOKUP(K95,'Janeiro 2023 - Valor Real'!A3:A15,'Janeiro 2023 - Valor Real'!C3:C15,0))+1)),((L94-1)*(1-_xlfn.XLOOKUP(K94,'Janeiro 2023 - Valor Real'!A3:A15,'Janeiro 2023 - Valor Real'!C3:C15,0))+1)/(((L94-1)*(1-_xlfn.XLOOKUP(K94,'Janeiro 2023 - Valor Real'!A3:A15,'Janeiro 2023 - Valor Real'!C3:C15,0))+1)+((L95-1)*(1-_xlfn.XLOOKUP(K95,'Janeiro 2023 - Valor Real'!A3:A15,'Janeiro 2023 - Valor Real'!C3:C15,0))+1))))))</f>
        <v>0.379267535692117</v>
      </c>
      <c r="AF95" s="132">
        <f>IF($K95=AF$3,ROUND(IF(OR($C95="W",$C95="1/2W",$C95="1/2L"),$P95-$O95,IF($C95="X",0,-$O95)),2),0)</f>
        <v>0</v>
      </c>
      <c r="AG95" s="133">
        <f>IF($K95=AG$3,ROUND(IF(OR($C95="W",$C95="1/2W",$C95="1/2L"),$P95-$O95,IF($C95="X",0,-$O95)),2),0)</f>
        <v>8.68</v>
      </c>
      <c r="AH95" s="133">
        <f>IF($K95=AH$3,ROUND(IF(OR($C95="W",$C95="1/2W",$C95="1/2L"),$P95-$O95,IF($C95="X",0,-$O95)),2),0)</f>
        <v>0</v>
      </c>
      <c r="AI95" s="133">
        <f>IF($K95=AI$3,ROUND(IF(OR($C95="W",$C95="1/2W",$C95="1/2L"),$P95-$O95,IF($C95="X",0,-$O95)),2),0)</f>
        <v>0</v>
      </c>
      <c r="AJ95" s="133">
        <f>IF($K95=AJ$3,ROUND(IF(OR($C95="W",$C95="1/2W",$C95="1/2L"),$P95-$O95,IF($C95="X",0,-$O95)),2),0)</f>
        <v>0</v>
      </c>
      <c r="AK95" s="133">
        <f>IF($K95=AK$3,ROUND(IF(OR($C95="W",$C95="1/2W",$C95="1/2L"),$P95-$O95,IF($C95="X",0,-$O95)),2),0)</f>
        <v>0</v>
      </c>
      <c r="AL95" s="133">
        <f>IF($K95=AL$3,ROUND(IF(OR($C95="W",$C95="1/2W",$C95="1/2L"),$P95-$O95,IF($C95="X",0,-$O95)),2),0)</f>
        <v>0</v>
      </c>
      <c r="AM95" s="133">
        <f>IF($K95=AM$3,ROUND(IF(OR($C95="W",$C95="1/2W",$C95="1/2L"),$P95-$O95,IF($C95="X",0,-$O95)),2),0)</f>
        <v>0</v>
      </c>
      <c r="AN95" s="133">
        <f>IF($K95=AN$3,ROUND(IF(OR($C95="W",$C95="1/2W",$C95="1/2L"),$P95-$O95,IF($C95="X",0,-$O95)),2),0)</f>
        <v>0</v>
      </c>
      <c r="AO95" s="133">
        <f>IF($K95=AO$3,ROUND(IF(OR($C95="W",$C95="1/2W",$C95="1/2L"),$P95-$O95,IF($C95="X",0,-$O95)),2),0)</f>
        <v>0</v>
      </c>
      <c r="AP95" s="133">
        <f>IF($K95=AP$3,ROUND(IF(OR($C95="W",$C95="1/2W",$C95="1/2L"),$P95-$O95,IF($C95="X",0,-$O95)),2),0)</f>
        <v>0</v>
      </c>
      <c r="AQ95" s="133">
        <f>IF($K95=AQ$3,ROUND(IF(OR($C95="W",$C95="1/2W",$C95="1/2L"),$P95-$O95,IF($C95="X",0,-$O95)),2),0)</f>
        <v>0</v>
      </c>
      <c r="AR95" s="134">
        <f>IF($K95=AR$3,ROUND(IF(OR($C95="W",$C95="1/2W",$C95="1/2L"),$P95-$O95,IF($C95="X",0,-$O95)),2),0)</f>
        <v>0</v>
      </c>
      <c r="AS95" s="132">
        <f>IF(AND($B94=" ",$K95=AS$3),$O95,0)</f>
        <v>0</v>
      </c>
      <c r="AT95" s="133">
        <f>IF(AND($B94=" ",K95=AT$3),$O95,0)</f>
        <v>0</v>
      </c>
      <c r="AU95" s="133">
        <f>IF(AND($B94=" ",$K95=AU$3),$O95,0)</f>
        <v>0</v>
      </c>
      <c r="AV95" s="133">
        <f>IF(AND($B94=" ",$K95=AV$3),$O95,0)</f>
        <v>0</v>
      </c>
      <c r="AW95" s="133">
        <f>IF(AND($B94=" ",$K95=AW$3),$O95,0)</f>
        <v>0</v>
      </c>
      <c r="AX95" s="133">
        <f>IF(AND($B94=" ",$K95=AX$3),$O95,0)</f>
        <v>0</v>
      </c>
      <c r="AY95" s="135">
        <f>IF(AND($B94=" ",$K95=AY$3),$O95,0)</f>
        <v>0</v>
      </c>
      <c r="AZ95" s="136">
        <f>IF(AND($B94=" ",$K95=AZ$3),$O95,0)</f>
        <v>0</v>
      </c>
      <c r="BA95" s="136">
        <f>IF(AND($B94=" ",$K95=BA$3),$O95,0)</f>
        <v>0</v>
      </c>
      <c r="BB95" s="136">
        <f>IF(AND($B94=" ",$K95=BB$3),$O95,0)</f>
        <v>0</v>
      </c>
      <c r="BC95" s="137">
        <f>IF(AND($B94=" ",$K95=BC$3),$O95,0)</f>
        <v>0</v>
      </c>
      <c r="BD95" s="133">
        <f>IF(AND($B94=" ",$K95=BD$3),$O95,0)</f>
        <v>0</v>
      </c>
      <c r="BE95" s="134">
        <f>IF(AND($B94=" ",$K95=BE$3),$O95,0)</f>
        <v>0</v>
      </c>
      <c r="BF95" s="132">
        <f>IF($K95=BF$3,IF($C95="X",0,$O95),0)</f>
        <v>0</v>
      </c>
      <c r="BG95" s="281">
        <f>IF($K95=BG$3,IF($C95="X",0,$O95),0)</f>
        <v>4.34</v>
      </c>
      <c r="BH95" s="133">
        <f>IF($K95=BH$3,IF($C95="X",0,$O95),0)</f>
        <v>0</v>
      </c>
      <c r="BI95" s="133">
        <f>IF($K95=BI$3,IF($C95="X",0,$O95),0)</f>
        <v>0</v>
      </c>
      <c r="BJ95" s="133">
        <f>IF($K95=BJ$3,IF($C95="X",0,$O95),0)</f>
        <v>0</v>
      </c>
      <c r="BK95" s="133">
        <f>IF($K95=BK$3,IF($C95="X",0,$O95),0)</f>
        <v>0</v>
      </c>
      <c r="BL95" s="133">
        <f>IF($K95=BL$3,IF($C95="X",0,$O95),0)</f>
        <v>0</v>
      </c>
      <c r="BM95" s="135">
        <f>IF($K95=BM$3,IF($C95="X",0,$O95),0)</f>
        <v>0</v>
      </c>
      <c r="BN95" s="136">
        <f>IF($K95=BN$3,IF($C95="X",0,$O95),0)</f>
        <v>0</v>
      </c>
      <c r="BO95" s="136">
        <f>IF($K95=BO$3,IF($C95="X",0,$O95),0)</f>
        <v>0</v>
      </c>
      <c r="BP95" s="136">
        <f>IF($K95=BP$3,IF($C95="X",0,$O95),0)</f>
        <v>0</v>
      </c>
      <c r="BQ95" s="137">
        <f>IF($K95=BQ$3,IF($C95="X",0,$O95),0)</f>
        <v>0</v>
      </c>
      <c r="BR95" s="134">
        <f>IF($K95=BR$3,IF($C95="X",0,$O95),0)</f>
        <v>0</v>
      </c>
      <c r="BS95" s="282"/>
      <c r="BT95" s="283"/>
      <c r="BU95" s="140"/>
      <c r="BV95" s="283"/>
      <c r="BW95" s="140"/>
      <c r="BX95" s="140"/>
      <c r="BY95" s="140"/>
      <c r="BZ95" s="283"/>
      <c r="CA95" s="140"/>
      <c r="CB95" s="140"/>
      <c r="CC95" s="140"/>
      <c r="CD95" s="141"/>
      <c r="CE95" s="142"/>
      <c r="CF95" s="284">
        <f>IF(CF$3=$K95,IF($C95="W",1,IF($C95="1/2W",0.5,0)),0)</f>
        <v>0</v>
      </c>
      <c r="CG95" s="285">
        <f>IF(CF$3=$K95,IF($C95="L",1,IF($C95="1/2L",0.5,0)),0)</f>
        <v>0</v>
      </c>
      <c r="CH95" s="285">
        <f>IF(CH$3=$K95,IF($C95="W",1,IF($C95="1/2W",0.5,0)),0)</f>
        <v>1</v>
      </c>
      <c r="CI95" s="285">
        <f>IF(CH$3=$K95,IF($C95="L",1,IF($C95="1/2L",0.5,0)),0)</f>
        <v>0</v>
      </c>
      <c r="CJ95" s="285">
        <f>IF(CJ$3=$K95,IF($C95="W",1,IF($C95="1/2W",0.5,0)),0)</f>
        <v>0</v>
      </c>
      <c r="CK95" s="285">
        <f>IF(CJ$3=$K95,IF($C95="L",1,IF($C95="1/2L",0.5,0)),0)</f>
        <v>0</v>
      </c>
      <c r="CL95" s="285">
        <f>IF(CL$3=$K95,IF($C95="W",1,IF($C95="1/2W",0.5,0)),0)</f>
        <v>0</v>
      </c>
      <c r="CM95" s="285">
        <f>IF(CL$3=$K95,IF($C95="L",1,IF($C95="1/2L",0.5,0)),0)</f>
        <v>0</v>
      </c>
      <c r="CN95" s="285">
        <f>IF(CN$3=$K95,IF($C95="W",1,IF($C95="1/2W",0.5,0)),0)</f>
        <v>0</v>
      </c>
      <c r="CO95" s="285">
        <f>IF(CN$3=$K95,IF($C95="L",1,IF($C95="1/2L",0.5,0)),0)</f>
        <v>0</v>
      </c>
      <c r="CP95" s="285">
        <f>IF(CP$3=$K95,IF($C95="W",1,IF($C95="1/2W",0.5,0)),0)</f>
        <v>0</v>
      </c>
      <c r="CQ95" s="285">
        <f>IF(CP$3=$K95,IF($C95="L",1,IF($C95="1/2L",0.5,0)),0)</f>
        <v>0</v>
      </c>
      <c r="CR95" s="285">
        <f>IF(CR$3=$K95,IF($C95="W",1,IF($C95="1/2W",0.5,0)),0)</f>
        <v>0</v>
      </c>
      <c r="CS95" s="285">
        <f>IF(CR$3=$K95,IF($C95="L",1,IF($C95="1/2L",0.5,0)),0)</f>
        <v>0</v>
      </c>
      <c r="CT95" s="145">
        <f>IF(CT$3=$K95,IF($C95="W",1,IF($C95="1/2W",0.5,0)),0)</f>
        <v>0</v>
      </c>
      <c r="CU95" s="146">
        <f>IF(CT$3=$K95,IF($C95="L",1,IF($C95="1/2L",0.5,0)),0)</f>
        <v>0</v>
      </c>
      <c r="CV95" s="146">
        <f>IF(CV$3=$K95,IF($C95="W",1,IF($C95="1/2W",0.5,0)),0)</f>
        <v>0</v>
      </c>
      <c r="CW95" s="146">
        <f>IF(CV$3=$K95,IF($C95="L",1,IF($C95="1/2L",0.5,0)),0)</f>
        <v>0</v>
      </c>
      <c r="CX95" s="146">
        <f>IF(CX$3=$K95,IF($C95="W",1,IF($C95="1/2W",0.5,0)),0)</f>
        <v>0</v>
      </c>
      <c r="CY95" s="146">
        <f>IF(CX$3=$K95,IF($C95="L",1,IF($C95="1/2L",0.5,0)),0)</f>
        <v>0</v>
      </c>
      <c r="CZ95" s="146">
        <f>IF(CZ$3=$K95,IF($C95="W",1,IF($C95="1/2W",0.5,0)),0)</f>
        <v>0</v>
      </c>
      <c r="DA95" s="146">
        <f>IF(CZ$3=$K95,IF($C95="L",1,IF($C95="1/2L",0.5,0)),0)</f>
        <v>0</v>
      </c>
      <c r="DB95" s="146">
        <f>IF(DB$3=$K95,IF($C95="W",1,IF($C95="1/2W",0.5,0)),0)</f>
        <v>0</v>
      </c>
      <c r="DC95" s="146">
        <f>IF(DB$3=$K95,IF($C95="L",1,IF($C95="1/2L",0.5,0)),0)</f>
        <v>0</v>
      </c>
      <c r="DD95" s="146">
        <f>IF(DD$3=$K95,IF($C95="W",1,IF($C95="1/2W",0.5,0)),0)</f>
        <v>0</v>
      </c>
      <c r="DE95" s="147">
        <f>IF(DD$3=$K95,IF($C95="L",1,IF($C95="1/2L",0.5,0)),0)</f>
        <v>0</v>
      </c>
      <c r="DF95" s="143">
        <f>IF(AND(L95&lt;DF$3,$C95="W"),1+DF94,DF94)</f>
        <v>6</v>
      </c>
      <c r="DG95" s="133">
        <f>IF(DF95&gt;DF94,L95+DG94,DG94)</f>
        <v>7.998</v>
      </c>
      <c r="DH95" s="146">
        <f>IF(AND(L95&gt;DH$3,$C95="W"),1+DH94,0+DH94)</f>
        <v>1</v>
      </c>
      <c r="DI95" s="133">
        <f>IF(DH95&gt;DH94,L95+DI94,DI94)</f>
        <v>4.33</v>
      </c>
      <c r="DJ95" t="s" s="304">
        <f>IF($D94="","",$D94)</f>
        <v>101</v>
      </c>
      <c r="DK95" s="286"/>
    </row>
    <row r="96" ht="14.55" customHeight="1">
      <c r="A96" s="149"/>
      <c r="B96" s="150"/>
      <c r="C96" t="s" s="151">
        <v>58</v>
      </c>
      <c r="D96" s="152"/>
      <c r="E96" s="153"/>
      <c r="F96" s="155"/>
      <c r="G96" s="252"/>
      <c r="H96" s="156"/>
      <c r="I96" s="287"/>
      <c r="J96" s="288"/>
      <c r="K96" s="156"/>
      <c r="L96" s="289"/>
      <c r="M96" s="290"/>
      <c r="N96" s="161"/>
      <c r="O96" t="s" s="162">
        <f>IF(OR(AE94="",AE95=""),"",IF(L96&gt;0,ROUND(IF(M96&gt;0,M96,IF(M94&gt;0,ROUND((M94*AE96)/AE94,IF(N94=0,2,IF(N94=0.1,1,0))),IF(M95&gt;0,ROUND((M95*AE96)/AE95,IF(N94=0,2,IF(N94=0.1,1,0))),IF(M96&gt;0,M96,0)))),2),""))</f>
      </c>
      <c r="P96" t="s" s="163">
        <f>IF(I95="Lay",O95*(L95/(L95-1))-O95,IF(I94="Lay",O94*(L94/(L94-1))-O94,IF(OR(L96="",O96=""),"",IF($C96="1/2W",O96/2+O96/2*L96,IF($C96="1/2L",O96/2,(O96*L96-O96)*(1-_xlfn.XLOOKUP(K96,'Janeiro 2023 - Valor Real'!A3:A15,'Janeiro 2023 - Valor Real'!C3:C15,0))+O96)))))</f>
      </c>
      <c r="Q96" t="s" s="154"/>
      <c r="R96" t="s" s="163"/>
      <c r="S96" s="166"/>
      <c r="T96" s="155"/>
      <c r="U96" s="155"/>
      <c r="V96" s="166"/>
      <c r="W96" s="155"/>
      <c r="X96" s="167"/>
      <c r="Y96" s="128"/>
      <c r="Z96" s="129"/>
      <c r="AA96" s="129"/>
      <c r="AB96" s="129"/>
      <c r="AC96" s="129"/>
      <c r="AD96" s="168"/>
      <c r="AE96" t="s" s="169">
        <f>IF(L96="","",(SUM(((L94-1)*(1-_xlfn.XLOOKUP(K94,'Janeiro 2023 - Valor Real'!A3:A15,'Janeiro 2023 - Valor Real'!C3:C15,0))+1),((L95-1)*(1-_xlfn.XLOOKUP(K95,'Janeiro 2023 - Valor Real'!A3:A15,'Janeiro 2023 - Valor Real'!C3:C15,0))+1),((L96-1)*(1-_xlfn.XLOOKUP(K96,'Janeiro 2023 - Valor Real'!A3:A15,'Janeiro 2023 - Valor Real'!C3:C15,0))+1))/((L96-1)*(1-_xlfn.XLOOKUP(K96,'Janeiro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Real'!C3:C15,0))+1))/((L94-1)*(1-_xlfn.XLOOKUP(K94,'Janeiro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Real'!C3:C15,0))+1))/((L95-1)*(1-_xlfn.XLOOKUP(K95,'Janeiro 2023 - Valor Real'!A3:A15,'Janeiro 2023 - Valor Real'!C3:C15,0))+1)+SUM(((L94-1)*(1-_xlfn.XLOOKUP(K94,'Janeiro 2023 - Valor Real'!A3:A15,'Janeiro 2023 - Valor Real'!C3:C15,0))+1),((L95-1)*(1-_xlfn.XLOOKUP(K95,'Janeiro 2023 - Valor Real'!A3:A15,'Janeiro 2023 - Valor Real'!C3:C15,0))+1),((L96-1)*(1-_xlfn.XLOOKUP(K96,'Janeiro 2023 - Valor Real'!A3:A15,'Janeiro 2023 - Valor Real'!C3:C15,0))+1))/((L96-1)*(1-_xlfn.XLOOKUP(K96,'Janeiro 2023 - Valor Real'!A3:A15,'Janeiro 2023 - Valor Real'!C3:C15,0))+1)))</f>
      </c>
      <c r="AF96" s="132">
        <f>IF($K96=AF$3,ROUND(IF(OR($C96="W",$C96="1/2W",$C96="1/2L"),$P96-$O96,IF($C96="X",0,-$O96)),2),0)</f>
        <v>0</v>
      </c>
      <c r="AG96" s="133">
        <f>IF($K96=AG$3,ROUND(IF(OR($C96="W",$C96="1/2W",$C96="1/2L"),$P96-$O96,IF($C96="X",0,-$O96)),2),0)</f>
        <v>0</v>
      </c>
      <c r="AH96" s="133">
        <f>IF($K96=AH$3,ROUND(IF(OR($C96="W",$C96="1/2W",$C96="1/2L"),$P96-$O96,IF($C96="X",0,-$O96)),2),0)</f>
        <v>0</v>
      </c>
      <c r="AI96" s="133">
        <f>IF($K96=AI$3,ROUND(IF(OR($C96="W",$C96="1/2W",$C96="1/2L"),$P96-$O96,IF($C96="X",0,-$O96)),2),0)</f>
        <v>0</v>
      </c>
      <c r="AJ96" s="133">
        <f>IF($K96=AJ$3,ROUND(IF(OR($C96="W",$C96="1/2W",$C96="1/2L"),$P96-$O96,IF($C96="X",0,-$O96)),2),0)</f>
        <v>0</v>
      </c>
      <c r="AK96" s="133">
        <f>IF($K96=AK$3,ROUND(IF(OR($C96="W",$C96="1/2W",$C96="1/2L"),$P96-$O96,IF($C96="X",0,-$O96)),2),0)</f>
        <v>0</v>
      </c>
      <c r="AL96" s="133">
        <f>IF($K96=AL$3,ROUND(IF(OR($C96="W",$C96="1/2W",$C96="1/2L"),$P96-$O96,IF($C96="X",0,-$O96)),2),0)</f>
        <v>0</v>
      </c>
      <c r="AM96" s="133">
        <f>IF($K96=AM$3,ROUND(IF(OR($C96="W",$C96="1/2W",$C96="1/2L"),$P96-$O96,IF($C96="X",0,-$O96)),2),0)</f>
        <v>0</v>
      </c>
      <c r="AN96" s="133">
        <f>IF($K96=AN$3,ROUND(IF(OR($C96="W",$C96="1/2W",$C96="1/2L"),$P96-$O96,IF($C96="X",0,-$O96)),2),0)</f>
        <v>0</v>
      </c>
      <c r="AO96" s="133">
        <f>IF($K96=AO$3,ROUND(IF(OR($C96="W",$C96="1/2W",$C96="1/2L"),$P96-$O96,IF($C96="X",0,-$O96)),2),0)</f>
        <v>0</v>
      </c>
      <c r="AP96" s="133">
        <f>IF($K96=AP$3,ROUND(IF(OR($C96="W",$C96="1/2W",$C96="1/2L"),$P96-$O96,IF($C96="X",0,-$O96)),2),0)</f>
        <v>0</v>
      </c>
      <c r="AQ96" s="133">
        <f>IF($K96=AQ$3,ROUND(IF(OR($C96="W",$C96="1/2W",$C96="1/2L"),$P96-$O96,IF($C96="X",0,-$O96)),2),0)</f>
        <v>0</v>
      </c>
      <c r="AR96" s="134">
        <f>IF($K96=AR$3,ROUND(IF(OR($C96="W",$C96="1/2W",$C96="1/2L"),$P96-$O96,IF($C96="X",0,-$O96)),2),0)</f>
        <v>0</v>
      </c>
      <c r="AS96" s="132">
        <f>IF(AND($B94=" ",$K96=AS$3),$O96,0)</f>
        <v>0</v>
      </c>
      <c r="AT96" s="133">
        <f>IF(AND($B94=" ",K96=AT$3),$O96,0)</f>
        <v>0</v>
      </c>
      <c r="AU96" s="133">
        <f>IF(AND($B94=" ",$K96=AU$3),$O96,0)</f>
        <v>0</v>
      </c>
      <c r="AV96" s="133">
        <f>IF(AND($B94=" ",$K96=AV$3),$O96,0)</f>
        <v>0</v>
      </c>
      <c r="AW96" s="133">
        <f>IF(AND($B94=" ",$K96=AW$3),$O96,0)</f>
        <v>0</v>
      </c>
      <c r="AX96" s="133">
        <f>IF(AND($B94=" ",$K96=AX$3),$O96,0)</f>
        <v>0</v>
      </c>
      <c r="AY96" s="135">
        <f>IF(AND($B94=" ",$K96=AY$3),$O96,0)</f>
        <v>0</v>
      </c>
      <c r="AZ96" s="136">
        <f>IF(AND($B94=" ",$K96=AZ$3),$O96,0)</f>
        <v>0</v>
      </c>
      <c r="BA96" s="136">
        <f>IF(AND($B94=" ",$K96=BA$3),$O96,0)</f>
        <v>0</v>
      </c>
      <c r="BB96" s="136">
        <f>IF(AND($B94=" ",$K96=BB$3),$O96,0)</f>
        <v>0</v>
      </c>
      <c r="BC96" s="137">
        <f>IF(AND($B94=" ",$K96=BC$3),$O96,0)</f>
        <v>0</v>
      </c>
      <c r="BD96" s="133">
        <f>IF(AND($B94=" ",$K96=BD$3),$O96,0)</f>
        <v>0</v>
      </c>
      <c r="BE96" s="134">
        <f>IF(AND($B94=" ",$K96=BE$3),$O96,0)</f>
        <v>0</v>
      </c>
      <c r="BF96" s="132">
        <f>IF($K96=BF$3,IF($C96="X",0,$O96),0)</f>
        <v>0</v>
      </c>
      <c r="BG96" s="281">
        <f>IF($K96=BG$3,IF($C96="X",0,$O96),0)</f>
        <v>0</v>
      </c>
      <c r="BH96" s="133">
        <f>IF($K96=BH$3,IF($C96="X",0,$O96),0)</f>
        <v>0</v>
      </c>
      <c r="BI96" s="133">
        <f>IF($K96=BI$3,IF($C96="X",0,$O96),0)</f>
        <v>0</v>
      </c>
      <c r="BJ96" s="133">
        <f>IF($K96=BJ$3,IF($C96="X",0,$O96),0)</f>
        <v>0</v>
      </c>
      <c r="BK96" s="133">
        <f>IF($K96=BK$3,IF($C96="X",0,$O96),0)</f>
        <v>0</v>
      </c>
      <c r="BL96" s="133">
        <f>IF($K96=BL$3,IF($C96="X",0,$O96),0)</f>
        <v>0</v>
      </c>
      <c r="BM96" s="135">
        <f>IF($K96=BM$3,IF($C96="X",0,$O96),0)</f>
        <v>0</v>
      </c>
      <c r="BN96" s="136">
        <f>IF($K96=BN$3,IF($C96="X",0,$O96),0)</f>
        <v>0</v>
      </c>
      <c r="BO96" s="136">
        <f>IF($K96=BO$3,IF($C96="X",0,$O96),0)</f>
        <v>0</v>
      </c>
      <c r="BP96" s="136">
        <f>IF($K96=BP$3,IF($C96="X",0,$O96),0)</f>
        <v>0</v>
      </c>
      <c r="BQ96" s="137">
        <f>IF($K96=BQ$3,IF($C96="X",0,$O96),0)</f>
        <v>0</v>
      </c>
      <c r="BR96" s="134">
        <f>IF($K96=BR$3,IF($C96="X",0,$O96),0)</f>
        <v>0</v>
      </c>
      <c r="BS96" s="282"/>
      <c r="BT96" s="283"/>
      <c r="BU96" s="140"/>
      <c r="BV96" s="283"/>
      <c r="BW96" s="140"/>
      <c r="BX96" s="140"/>
      <c r="BY96" s="140"/>
      <c r="BZ96" s="283"/>
      <c r="CA96" s="140"/>
      <c r="CB96" s="140"/>
      <c r="CC96" s="140"/>
      <c r="CD96" s="141"/>
      <c r="CE96" s="142"/>
      <c r="CF96" s="284">
        <f>IF(CF$3=$K96,IF($C96="W",1,IF($C96="1/2W",0.5,0)),0)</f>
        <v>0</v>
      </c>
      <c r="CG96" s="285">
        <f>IF(CF$3=$K96,IF($C96="L",1,IF($C96="1/2L",0.5,0)),0)</f>
        <v>0</v>
      </c>
      <c r="CH96" s="285">
        <f>IF(CH$3=$K96,IF($C96="W",1,IF($C96="1/2W",0.5,0)),0)</f>
        <v>0</v>
      </c>
      <c r="CI96" s="285">
        <f>IF(CH$3=$K96,IF($C96="L",1,IF($C96="1/2L",0.5,0)),0)</f>
        <v>0</v>
      </c>
      <c r="CJ96" s="285">
        <f>IF(CJ$3=$K96,IF($C96="W",1,IF($C96="1/2W",0.5,0)),0)</f>
        <v>0</v>
      </c>
      <c r="CK96" s="285">
        <f>IF(CJ$3=$K96,IF($C96="L",1,IF($C96="1/2L",0.5,0)),0)</f>
        <v>0</v>
      </c>
      <c r="CL96" s="285">
        <f>IF(CL$3=$K96,IF($C96="W",1,IF($C96="1/2W",0.5,0)),0)</f>
        <v>0</v>
      </c>
      <c r="CM96" s="285">
        <f>IF(CL$3=$K96,IF($C96="L",1,IF($C96="1/2L",0.5,0)),0)</f>
        <v>0</v>
      </c>
      <c r="CN96" s="285">
        <f>IF(CN$3=$K96,IF($C96="W",1,IF($C96="1/2W",0.5,0)),0)</f>
        <v>0</v>
      </c>
      <c r="CO96" s="285">
        <f>IF(CN$3=$K96,IF($C96="L",1,IF($C96="1/2L",0.5,0)),0)</f>
        <v>0</v>
      </c>
      <c r="CP96" s="285">
        <f>IF(CP$3=$K96,IF($C96="W",1,IF($C96="1/2W",0.5,0)),0)</f>
        <v>0</v>
      </c>
      <c r="CQ96" s="285">
        <f>IF(CP$3=$K96,IF($C96="L",1,IF($C96="1/2L",0.5,0)),0)</f>
        <v>0</v>
      </c>
      <c r="CR96" s="285">
        <f>IF(CR$3=$K96,IF($C96="W",1,IF($C96="1/2W",0.5,0)),0)</f>
        <v>0</v>
      </c>
      <c r="CS96" s="285">
        <f>IF(CR$3=$K96,IF($C96="L",1,IF($C96="1/2L",0.5,0)),0)</f>
        <v>0</v>
      </c>
      <c r="CT96" s="145">
        <f>IF(CT$3=$K96,IF($C96="W",1,IF($C96="1/2W",0.5,0)),0)</f>
        <v>0</v>
      </c>
      <c r="CU96" s="146">
        <f>IF(CT$3=$K96,IF($C96="L",1,IF($C96="1/2L",0.5,0)),0)</f>
        <v>0</v>
      </c>
      <c r="CV96" s="146">
        <f>IF(CV$3=$K96,IF($C96="W",1,IF($C96="1/2W",0.5,0)),0)</f>
        <v>0</v>
      </c>
      <c r="CW96" s="146">
        <f>IF(CV$3=$K96,IF($C96="L",1,IF($C96="1/2L",0.5,0)),0)</f>
        <v>0</v>
      </c>
      <c r="CX96" s="146">
        <f>IF(CX$3=$K96,IF($C96="W",1,IF($C96="1/2W",0.5,0)),0)</f>
        <v>0</v>
      </c>
      <c r="CY96" s="146">
        <f>IF(CX$3=$K96,IF($C96="L",1,IF($C96="1/2L",0.5,0)),0)</f>
        <v>0</v>
      </c>
      <c r="CZ96" s="146">
        <f>IF(CZ$3=$K96,IF($C96="W",1,IF($C96="1/2W",0.5,0)),0)</f>
        <v>0</v>
      </c>
      <c r="DA96" s="146">
        <f>IF(CZ$3=$K96,IF($C96="L",1,IF($C96="1/2L",0.5,0)),0)</f>
        <v>0</v>
      </c>
      <c r="DB96" s="146">
        <f>IF(DB$3=$K96,IF($C96="W",1,IF($C96="1/2W",0.5,0)),0)</f>
        <v>0</v>
      </c>
      <c r="DC96" s="146">
        <f>IF(DB$3=$K96,IF($C96="L",1,IF($C96="1/2L",0.5,0)),0)</f>
        <v>0</v>
      </c>
      <c r="DD96" s="146">
        <f>IF(DD$3=$K96,IF($C96="W",1,IF($C96="1/2W",0.5,0)),0)</f>
        <v>0</v>
      </c>
      <c r="DE96" s="147">
        <f>IF(DD$3=$K96,IF($C96="L",1,IF($C96="1/2L",0.5,0)),0)</f>
        <v>0</v>
      </c>
      <c r="DF96" s="143">
        <f>IF(AND(L96&lt;DF$3,$C96="W"),1+DF95,DF95)</f>
        <v>6</v>
      </c>
      <c r="DG96" s="133">
        <f>IF(DF96&gt;DF95,L96+DG95,DG95)</f>
        <v>7.998</v>
      </c>
      <c r="DH96" s="146">
        <f>IF(AND(L96&gt;DH$3,$C96="W"),1+DH95,0+DH95)</f>
        <v>1</v>
      </c>
      <c r="DI96" s="133">
        <f>IF(DH96&gt;DH95,L96+DI95,DI95)</f>
        <v>4.33</v>
      </c>
      <c r="DJ96" t="s" s="304">
        <f>IF($D94="","",$D94)</f>
        <v>101</v>
      </c>
      <c r="DK96" s="286"/>
    </row>
    <row r="97" ht="14.55" customHeight="1">
      <c r="A97" s="171">
        <f>$A94+1</f>
        <v>32</v>
      </c>
      <c r="B97" t="s" s="172">
        <f>IF(AND(_xlfn.XLOOKUP(H97,H14:H$84,G14:G$84,0)=G97,_xlfn.XLOOKUP("TempoBet",K97:K99,L97:L99,0)&gt;0),"X",IF(OR(C97="W",C98="W",C99="W",C97="1/2W",C98="1/2W",C99="1/2W",C97="1/2L",C98="1/2L",C99="1/2L"),"OK",IF(OR(C97="L",C98="L",C99="L"),"LOSS",IF(OR(C97="X",C98="X",C99="X"),"Anulado"," "))))</f>
        <v>50</v>
      </c>
      <c r="C97" t="s" s="173">
        <v>51</v>
      </c>
      <c r="D97" t="s" s="305">
        <f>IF(G97="","",$D94)</f>
        <v>101</v>
      </c>
      <c r="E97" t="s" s="175">
        <f>IF(G97=""," ","– "&amp;COUNTIF(D$4:D99,$D97))</f>
        <v>96</v>
      </c>
      <c r="F97" t="s" s="176">
        <f>IF(G97="","",IF(OR(AND($C97&lt;&gt;" ",$C98=" "),AND($C98&lt;&gt;" ",$C97=" "),AND(L99&gt;0,OR(AND($C99&lt;&gt;" ",OR($C97=" ",$C98=" ")),AND($C99=" ",OR($C97&lt;&gt;" ",$C98&lt;&gt;" "))))),IF(SUM(F$4:F96)=0,1,LARGE(F$4:F96,1)+1),IF(MONTH(G97)=MONTH(TODAY()),IF(AND(DAY(G97)&lt;DAY(TODAY()),$B97=" "),IF(SUM(F$4:F96)=0,1,LARGE(F$4:F96,1)+1),IF($B97=" ",IF(AND(DAY(G97)=DAY(TODAY()),HOUR(G97)&lt;=HOUR(NOW())+1),IF(AND(HOUR(G97)+2&lt;=HOUR(NOW()),DAY(G97)&lt;=DAY(TODAY()),MINUTE(G97)&lt;=MINUTE(NOW())),IF(SUM(F$4:F96)=0,1,LARGE(F$4:F96,1)+1),IF(OR(MINUTE(G97)&lt;=MINUTE(NOW()),HOUR(G97)&lt;=HOUR(NOW())),"!!!","")),""),"")),"")))</f>
      </c>
      <c r="G97" s="177">
        <f>IF(H97="","",_xlfn.XLOOKUP(H97,H$4:H96,G$4:G96,""))</f>
        <v>44944.697916666664</v>
      </c>
      <c r="H97" t="s" s="178">
        <v>138</v>
      </c>
      <c r="I97" t="s" s="179">
        <v>139</v>
      </c>
      <c r="J97" s="291">
        <v>4</v>
      </c>
      <c r="K97" t="s" s="181">
        <v>37</v>
      </c>
      <c r="L97" s="182">
        <v>2.1</v>
      </c>
      <c r="M97" s="183"/>
      <c r="N97" s="184">
        <v>0.1</v>
      </c>
      <c r="O97" s="185">
        <f>IF(OR(AE97="",AE98=""),"",ROUND(IF(L99&gt;0,IF(M97&gt;0,M97,IF(M98&gt;0,ROUND((M98*AE97)/AE98,IF(N97=0,2,IF(N97=0.1,1,0))),ROUND((M99*AE97)/AE99,IF(N97=0,2,IF(N97=0.1,1,0))))),IF(M97&gt;0,M97,ROUND((M98*AE97)/AE98,IF(N97=0,2,IF(N97=0.1,1,0))))),2))</f>
        <v>7.6</v>
      </c>
      <c r="P97" s="186">
        <f>IF(OR(L97="",O97=""),"",IF($C97="1/2W",O97/2+O97/2*L97,IF($C97="1/2L",O97/2,IF(I97="Lay",(O97*(L97/(L97-1))-O97)*(1-_xlfn.XLOOKUP(K97,'Janeiro 2023 - Valor Real'!A3:A15,'Janeiro 2023 - Valor Real'!C3:C15,0))+O97,(O97*L97-O97)*(1-_xlfn.XLOOKUP(K97,'Janeiro 2023 - Valor Real'!A3:A15,'Janeiro 2023 - Valor Real'!C3:C15,0))+O97))))</f>
        <v>15.96</v>
      </c>
      <c r="Q97" s="187">
        <f>IF(K97="","",IF(_xlfn.XLOOKUP(K97,K14:K$84,DJ14:DJ$84,0,,-1)=DJ97,_xlfn.XLOOKUP(K97,K14:K$84,Q14:Q$84,1,,-1)+1,1))</f>
        <v>5</v>
      </c>
      <c r="R97" s="188">
        <f>IF(K97="","",_xlfn.XLOOKUP(K97,K14:K$84,R14:R$84,0,,-1)+IF($C97=" ",1,0))</f>
        <v>0</v>
      </c>
      <c r="S97" s="189">
        <f>IF($B97="Anulado",0,ROUND(IF(OR($B97="LOSS",$B97="OK"),IF(OR($C97="W",$C97="1/2W",$C97="1/2L"),P97-O97,IF($C97="L",-O97,0))+IF(OR($C98="W",$C98="1/2W",$C98="1/2L"),P98-O98,IF($C98="L",-O98,0))+IF(OR($C99="W",$C99="1/2W",$C99="1/2L"),P99-O99,IF($C99="L",-O99,0)),IF(AND(OR($C97="W",$C97="1/2W",$C97="1/2L"),C98="W"),P97+P98-SUM(O97:O99)+_xlfn.XLOOKUP("X",C97:C99,O97:O99,0),IF(AND(C97=TRUE,C99="W"),P97+P99-SUM(O97:O99),IF(AND(C98="W",C99="W"),P98+P99-SUM(O97:O99)+_xlfn.XLOOKUP("X",C97:C99,O97:O99,0),IF(L99&gt;0,IF(OR($C97="W",$C97="1/2W",$C97="1/2L"),P97-SUM(O97:O99)+_xlfn.XLOOKUP("X",C97:C99,O97:O99,0),IF(OR($C97="W",$C97="1/2W",$C97="1/2L"),P98-SUM(O97:O99)+_xlfn.XLOOKUP("X",C97:C99,O97:O99,0),IF(OR($C97="W",$C97="1/2W",$C97="1/2L"),P99-SUM(O97:O99)+_xlfn.XLOOKUP("X",C97:C99,O97:O99,0),IF(SUM(P97:P99)/3-SUM(O97:O99)+_xlfn.XLOOKUP("X",C97:C99,O97:O99,0)&gt;0,SUM(P97:P99)/3-SUM(O97:O99)+_xlfn.XLOOKUP("X",C97:C99,O97:O99,0),LARGE(P97:P99,1)-SUM(O97:O99))))),IF(OR($C97="W",$C97="1/2W",$C97="1/2L"),P97-SUM(O97:O98)+_xlfn.XLOOKUP("X",C97:C99,O97:O99,0),IF(OR($C97="W",$C97="1/2W",$C97="1/2L"),P98-SUM(O97:O98)+_xlfn.XLOOKUP("X",C97:C99,O97:O99,0),SUM(P97:P98)/2-SUM(O97:O98)+_xlfn.XLOOKUP("X",C97:C99,O97:O99,0)))))))),2))</f>
        <v>1.09</v>
      </c>
      <c r="T97" s="190">
        <f>IF(S97=0,0,S97/SUM(O97:O99))</f>
        <v>0.07345013477088951</v>
      </c>
      <c r="U97" s="191">
        <f>IF($D97=$D94,IF(OR($B97="LOSS",$B97="OK",$B97="Anulada"),S97,0)+U94,IF(OR($B97="LOSS",$B97="OK",$B97="Anulada"),S97,0))</f>
        <v>18.44</v>
      </c>
      <c r="V97" s="191">
        <f>IF($D97="",0,IF($D97=$D94,IF($B97=" ",IF(I99="",IF(OR(AND(I97="DNB1",I98="DNB2"),AND(OR(I97="DNB1",I97="DNB2"),J98=0),AND(OR(I98="DNB1",I98="DNB2"),J97=0),AND(I97="DNB2",I98="DNB1"),AND(IF(J97=0,(J97+1)/ROUND(J97+1,0),J97/ROUND(J97,0))=1,IF(J98=0,(J98+1)/ROUND(IF(J98="",0,J98)+1,0),IF(J98="",0,J98)/ROUND(IF(J98="",1,J98),0))=1,OR(J97&lt;&gt;""),J98&lt;&gt;"")),0,IF(S97&lt;0,IF(I99="",SMALL(P97:P98,1)-SUM(O97:O98),0),SMALL(P97:P98,1)-SUM(O97:O98))),IF(S97&lt;0,IF(I99="",SMALL(P97:P99,1)-SUM(O97:O99),0),LARGE(P97:P99,1)-SUM(O97:O99))),S97)+V94,IF(I99="",IF(OR(AND(I97="DNB1",I98="DNB2"),AND(OR(I97="DNB1",I97="DNB2"),J98=0),AND(OR(I98="DNB1",I98="DNB2"),J97=0),AND(I97="DNB2",I98="DNB1"),AND(IF(J97=0,(J97+1)/ROUND(J97+1,0),J97/ROUND(J97,0))=1,IF(J98=0,(IF(J98="",0,J98)+1)/ROUND(IF(J98="",0,J98)+1,0),IF(J98="",0,J98)/ROUND(IF(J98="",0,J98)+1,0))=1,OR(J97&lt;&gt;""),J98&lt;&gt;"")),0,IF(S97&lt;0,IF(I99="",SMALL(P97:P98,1)-SUM(O97:O98),0),SMALL(P97:P99,1)-SUM(O97:O99))),IF(S97&lt;0,IF(I99="",SMALL(P97:P99,1)-SUM(O97:O99),0),LARGE(P97:P99,1)-SUM(O97:O99)))))</f>
        <v>18.442</v>
      </c>
      <c r="W97" s="191">
        <f>IF($D97=$D94,IF(S97&lt;0,IF(I99="",S97,0),S97)+W94,S97)</f>
        <v>18.44</v>
      </c>
      <c r="X97" t="s" s="192">
        <f>IF(OR(SUM(R97:R99)=0,V97=W97),ROUND(IF(W97=0,0,W97/Y97)*100,2)&amp;"%",ROUND(IF(V97=0,0,V97/Y97)*100,2)&amp;"% a "&amp;ROUND(IF(W97=0,0,W97/Y97)*100,2)&amp;"%")</f>
        <v>123</v>
      </c>
      <c r="Y97" s="193">
        <f>IF($D97=$D94,Y94+SUM(O97:O99),SUM(O97:O99))</f>
        <v>547.39</v>
      </c>
      <c r="Z97" s="191">
        <f>IF($B97=" ",SUM(O97:O99),0)+Z94</f>
        <v>0</v>
      </c>
      <c r="AA97" s="191">
        <f>IF(G97="","",IF($B97="Anulado",LARGE(P97:P99,1)-SUM(O97:O99)+AA94,AA94))</f>
        <v>11.4028</v>
      </c>
      <c r="AB97" s="191">
        <f>IF($D97="","",AB94+S97)</f>
        <v>96.54000000000001</v>
      </c>
      <c r="AC97" s="194">
        <f>IF($D97="","",IF($B97=" ",IF(DAY(G97)=DAY(TODAY()),1+AC94,0+AC94),0+AC94))</f>
        <v>0</v>
      </c>
      <c r="AD97" s="195">
        <f>(((L98/(L98-1)-1)*(1-_xlfn.XLOOKUP(K98,'Janeiro 2023 - Valor Real'!A3:A15,'Janeiro 2023 - Valor Real'!C3:C15,0))+1))/(((L97-1)*(1-_xlfn.XLOOKUP(K97,'Janeiro 2023 - Valor Real'!A3:A15,'Janeiro 2023 - Valor Real'!C3:C15,0))+1)+((L98/(L98-1)-1)*(1-_xlfn.XLOOKUP(K98,'Janeiro 2023 - Valor Real'!A3:A15,'Janeiro 2023 - Valor Real'!C3:C15,0))+1))</f>
        <v>0.466101694915254</v>
      </c>
      <c r="AE97" s="196">
        <f>IF(L97="","",IF(L99&gt;0,(SUM(((L97-1)*(1-_xlfn.XLOOKUP(K97,'Janeiro 2023 - Valor Real'!A3:A15,'Janeiro 2023 - Valor Real'!C3:C15,0))+1),((L98-1)*(1-_xlfn.XLOOKUP(K98,'Janeiro 2023 - Valor Real'!A3:A15,'Janeiro 2023 - Valor Real'!C3:C15,0))+1),((L99-1)*(1-_xlfn.XLOOKUP(K99,'Janeiro 2023 - Valor Real'!A3:A15,'Janeiro 2023 - Valor Real'!C3:C15,0))+1))/((L97-1)*(1-_xlfn.XLOOKUP(K97,'Janeiro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Real'!C3:C15,0))+1))/((L97-1)*(1-_xlfn.XLOOKUP(K97,'Janeiro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Real'!C3:C15,0))+1))/((L98-1)*(1-_xlfn.XLOOKUP(K98,'Janeiro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Real'!C3:C15,0))+1))/((L99-1)*(1-_xlfn.XLOOKUP(K99,'Janeiro 2023 - Valor Real'!A3:A15,'Janeiro 2023 - Valor Real'!C3:C15,0))+1)),IF(I97="Lay",IF(I98="Lay",((L98/(L98-1)-1)*(1-_xlfn.XLOOKUP(K98,'Janeiro 2023 - Valor Real'!A3:A15,'Janeiro 2023 - Valor Real'!C3:C15,0))+1)/(((L98/(L98-1)-1)*(1-_xlfn.XLOOKUP(K98,'Janeiro 2023 - Valor Real'!A3:A15,'Janeiro 2023 - Valor Real'!C3:C15,0))+1)+((L97/(L97-1)-1)*(1-_xlfn.XLOOKUP(K97,'Janeiro 2023 - Valor Real'!A3:A15,'Janeiro 2023 - Valor Real'!C3:C15,0))+1)),((L98-1)*(1-_xlfn.XLOOKUP(K98,'Janeiro 2023 - Valor Real'!A3:A15,'Janeiro 2023 - Valor Real'!C3:C15,0))+1)/(((L98-1)*(1-_xlfn.XLOOKUP(K98,'Janeiro 2023 - Valor Real'!A3:A15,'Janeiro 2023 - Valor Real'!C3:C15,0))+1)+((L97/(L97-1)-1)*(1-_xlfn.XLOOKUP(K97,'Janeiro 2023 - Valor Real'!A3:A15,'Janeiro 2023 - Valor Real'!C3:C15,0))+1))),IF(I98="Lay",(((L98/(L98-1)-1)*(1-_xlfn.XLOOKUP(K98,'Janeiro 2023 - Valor Real'!A3:A15,'Janeiro 2023 - Valor Real'!C3:C15,0))+1))/(((L97-1)*(1-_xlfn.XLOOKUP(K97,'Janeiro 2023 - Valor Real'!A3:A15,'Janeiro 2023 - Valor Real'!C3:C15,0))+1)+((L98/(L98-1)-1)*(1-_xlfn.XLOOKUP(K98,'Janeiro 2023 - Valor Real'!A3:A15,'Janeiro 2023 - Valor Real'!C3:C15,0))+1)),((L98-1)*(1-_xlfn.XLOOKUP(K98,'Janeiro 2023 - Valor Real'!A3:A15,'Janeiro 2023 - Valor Real'!C3:C15,0))+1)/(((L98-1)*(1-_xlfn.XLOOKUP(K98,'Janeiro 2023 - Valor Real'!A3:A15,'Janeiro 2023 - Valor Real'!C3:C15,0))+1)+((L97-1)*(1-_xlfn.XLOOKUP(K97,'Janeiro 2023 - Valor Real'!A3:A15,'Janeiro 2023 - Valor Real'!C3:C15,0))+1))))))</f>
        <v>0.511627906976744</v>
      </c>
      <c r="AF97" s="197">
        <f>IF($K97=AF$3,ROUND(IF(OR($C97="W",$C97="1/2W",$C97="1/2L"),$P97-$O97,IF($C97="X",0,-$O97)),2),0)</f>
        <v>-7.6</v>
      </c>
      <c r="AG97" s="198">
        <f>IF($K97=AG$3,ROUND(IF(OR($C97="W",$C97="1/2W",$C97="1/2L"),$P97-$O97,IF($C97="X",0,-$O97)),2),0)</f>
        <v>0</v>
      </c>
      <c r="AH97" s="198">
        <f>IF($K97=AH$3,ROUND(IF(OR($C97="W",$C97="1/2W",$C97="1/2L"),$P97-$O97,IF($C97="X",0,-$O97)),2),0)</f>
        <v>0</v>
      </c>
      <c r="AI97" s="198">
        <f>IF($K97=AI$3,ROUND(IF(OR($C97="W",$C97="1/2W",$C97="1/2L"),$P97-$O97,IF($C97="X",0,-$O97)),2),0)</f>
        <v>0</v>
      </c>
      <c r="AJ97" s="198">
        <f>IF($K97=AJ$3,ROUND(IF(OR($C97="W",$C97="1/2W",$C97="1/2L"),$P97-$O97,IF($C97="X",0,-$O97)),2),0)</f>
        <v>0</v>
      </c>
      <c r="AK97" s="198">
        <f>IF($K97=AK$3,ROUND(IF(OR($C97="W",$C97="1/2W",$C97="1/2L"),$P97-$O97,IF($C97="X",0,-$O97)),2),0)</f>
        <v>0</v>
      </c>
      <c r="AL97" s="198">
        <f>IF($K97=AL$3,ROUND(IF(OR($C97="W",$C97="1/2W",$C97="1/2L"),$P97-$O97,IF($C97="X",0,-$O97)),2),0)</f>
        <v>0</v>
      </c>
      <c r="AM97" s="198">
        <f>IF($K97=AM$3,ROUND(IF(OR($C97="W",$C97="1/2W",$C97="1/2L"),$P97-$O97,IF($C97="X",0,-$O97)),2),0)</f>
        <v>0</v>
      </c>
      <c r="AN97" s="198">
        <f>IF($K97=AN$3,ROUND(IF(OR($C97="W",$C97="1/2W",$C97="1/2L"),$P97-$O97,IF($C97="X",0,-$O97)),2),0)</f>
        <v>0</v>
      </c>
      <c r="AO97" s="198">
        <f>IF($K97=AO$3,ROUND(IF(OR($C97="W",$C97="1/2W",$C97="1/2L"),$P97-$O97,IF($C97="X",0,-$O97)),2),0)</f>
        <v>0</v>
      </c>
      <c r="AP97" s="198">
        <f>IF($K97=AP$3,ROUND(IF(OR($C97="W",$C97="1/2W",$C97="1/2L"),$P97-$O97,IF($C97="X",0,-$O97)),2),0)</f>
        <v>0</v>
      </c>
      <c r="AQ97" s="198">
        <f>IF($K97=AQ$3,ROUND(IF(OR($C97="W",$C97="1/2W",$C97="1/2L"),$P97-$O97,IF($C97="X",0,-$O97)),2),0)</f>
        <v>0</v>
      </c>
      <c r="AR97" s="199">
        <f>IF($K97=AR$3,ROUND(IF(OR($C97="W",$C97="1/2W",$C97="1/2L"),$P97-$O97,IF($C97="X",0,-$O97)),2),0)</f>
        <v>0</v>
      </c>
      <c r="AS97" s="197">
        <f>IF(AND($B97=" ",$K97=AS$3),$O97,0)</f>
        <v>0</v>
      </c>
      <c r="AT97" s="198">
        <f>IF(AND($B97=" ",$K97=AT$3),$O97,0)</f>
        <v>0</v>
      </c>
      <c r="AU97" s="198">
        <f>IF(AND($B97=" ",$K97=AU$3),$O97,0)</f>
        <v>0</v>
      </c>
      <c r="AV97" s="198">
        <f>IF(AND($B97=" ",$K97=AV$3),$O97,0)</f>
        <v>0</v>
      </c>
      <c r="AW97" s="198">
        <f>IF(AND($B97=" ",$K97=AW$3),$O97,0)</f>
        <v>0</v>
      </c>
      <c r="AX97" s="198">
        <f>IF(AND($B97=" ",$K97=AX$3),$O97,0)</f>
        <v>0</v>
      </c>
      <c r="AY97" s="200">
        <f>IF(AND($B97=" ",$K97=AY$3),$O97,0)</f>
        <v>0</v>
      </c>
      <c r="AZ97" s="201">
        <f>IF(AND($B97=" ",$K97=AZ$3),$O97,0)</f>
        <v>0</v>
      </c>
      <c r="BA97" s="201">
        <f>IF(AND($B97=" ",$K97=BA$3),$O97,0)</f>
        <v>0</v>
      </c>
      <c r="BB97" s="201">
        <f>IF(AND($B97=" ",$K97=BB$3),$O97,0)</f>
        <v>0</v>
      </c>
      <c r="BC97" s="202">
        <f>IF(AND($B97=" ",$K97=BC$3),$O97,0)</f>
        <v>0</v>
      </c>
      <c r="BD97" s="198">
        <f>IF(AND($B97=" ",$K97=BD$3),$O97,0)</f>
        <v>0</v>
      </c>
      <c r="BE97" s="199">
        <f>IF(AND($B97=" ",$K97=BE$3),$O97,0)</f>
        <v>0</v>
      </c>
      <c r="BF97" s="203">
        <f>IF($K97=BF$3,IF($C97="X",0,$O97),0)</f>
        <v>7.6</v>
      </c>
      <c r="BG97" s="198">
        <f>IF($K97=BG$3,IF($C97="X",0,$O97),0)</f>
        <v>0</v>
      </c>
      <c r="BH97" s="198">
        <f>IF($K97=BH$3,IF($C97="X",0,$O97),0)</f>
        <v>0</v>
      </c>
      <c r="BI97" s="198">
        <f>IF($K97=BI$3,IF($C97="X",0,$O97),0)</f>
        <v>0</v>
      </c>
      <c r="BJ97" s="198">
        <f>IF($K97=BJ$3,IF($C97="X",0,$O97),0)</f>
        <v>0</v>
      </c>
      <c r="BK97" s="198">
        <f>IF($K97=BK$3,IF($C97="X",0,$O97),0)</f>
        <v>0</v>
      </c>
      <c r="BL97" s="198">
        <f>IF($K97=BL$3,IF($C97="X",0,$O97),0)</f>
        <v>0</v>
      </c>
      <c r="BM97" s="200">
        <f>IF($K97=BM$3,IF($C97="X",0,$O97),0)</f>
        <v>0</v>
      </c>
      <c r="BN97" s="201">
        <f>IF($K97=BN$3,IF($C97="X",0,$O97),0)</f>
        <v>0</v>
      </c>
      <c r="BO97" s="201">
        <f>IF($K97=BO$3,IF($C97="X",0,$O97),0)</f>
        <v>0</v>
      </c>
      <c r="BP97" s="201">
        <f>IF($K97=BP$3,IF($C97="X",0,$O97),0)</f>
        <v>0</v>
      </c>
      <c r="BQ97" s="202">
        <f>IF($K97=BQ$3,IF($C97="X",0,$O97),0)</f>
        <v>0</v>
      </c>
      <c r="BR97" s="199">
        <f>IF($K97=BR$3,IF($C97="X",0,$O97),0)</f>
        <v>0</v>
      </c>
      <c r="BS97" s="204">
        <f>IF($B97="LOSS",IF(AND($K97=BS$3,$C97="L"),-$O97,0)+IF(AND($K98=BS$3,$C98="L"),-$O98,0)+IF(AND($K99=BS$3,$C99="L"),-$O99,0),IF(OR(AND($K97=BS$3,OR($C97="W",$C97="1/2W")),AND($K98=BS$3,OR($C98="W",$C98="1/2W")),AND($K99=BS$3,OR($C99="W",$C99="1/2W"))),$S97,0))</f>
        <v>0</v>
      </c>
      <c r="BT97" s="201">
        <f>IF($B97="LOSS",IF(AND($K97=BT$3,$C97="L"),-$O97,0)+IF(AND($K98=BT$3,$C98="L"),-$O98,0)+IF(AND($K98=BT$3,$C99="L"),-$O99,0),IF(OR(AND($K98=BT$3,OR($C97="W",$C97="1/2W")),AND($K98=BT$3,OR($C98="W",$C98="1/2W")),AND($K98=BT$3,OR($C99="W",$C99="1/2W"))),$S97,0))</f>
        <v>1.09</v>
      </c>
      <c r="BU97" s="201">
        <f>IF($B97="LOSS",IF(AND($K97=BU$3,$C97="L"),-$O97,0)+IF(AND($K98=BU$3,$C98="L"),-$O98,0)+IF(AND($K98=BU$3,$C99="L"),-$O99,0),IF(OR(AND($K98=BU$3,OR($C97="W",$C97="1/2W")),AND($K98=BU$3,OR($C98="W",$C98="1/2W")),AND($K98=BU$3,OR($C99="W",$C99="1/2W"))),$S97,0))</f>
        <v>0</v>
      </c>
      <c r="BV97" s="201">
        <f>IF($B97="LOSS",IF(AND($K97=BV$3,$C97="L"),-$O97,0)+IF(AND($K98=BV$3,$C98="L"),-$O98,0)+IF(AND($K99=BV$3,$C99="L"),-$O99,0),IF(OR(AND($K97=BV$3,OR($C97="W",$C97="1/2W")),AND($K98=BV$3,OR($C98="W",$C98="1/2W")),AND($K99=BV$3,OR($C99="W",$C99="1/2W"))),$S97,0))</f>
        <v>0</v>
      </c>
      <c r="BW97" s="201">
        <f>IF($B97="LOSS",IF(AND($K97=BW$3,$C97="L"),-$O97,0)+IF(AND($K98=BW$3,$C98="L"),-$O98,0)+IF(AND($K99=BW$3,$C99="L"),-$O99,0),IF(OR(AND($K97=BW$3,OR($C97="W",$C97="1/2W")),AND($K98=BW$3,OR($C98="W",$C98="1/2W")),AND($K99=BW$3,OR($C99="W",$C99="1/2W"))),$S97,0))</f>
        <v>0</v>
      </c>
      <c r="BX97" s="201">
        <f>IF($B97="LOSS",IF(AND($K97=BX$3,$C97="L"),-$O97,0)+IF(AND($K98=BX$3,$C98="L"),-$O98,0)+IF(AND($K99=BX$3,$C99="L"),-$O99,0),IF(OR(AND($K97=BX$3,OR($C97="W",$C97="1/2W")),AND($K98=BX$3,OR($C98="W",$C98="1/2W")),AND($K99=BX$3,OR($C99="W",$C99="1/2W"))),$S97,0))</f>
        <v>0</v>
      </c>
      <c r="BY97" s="201">
        <f>IF($B97="LOSS",IF(AND($K97=BY$3,$C97="L"),-$O97,0)+IF(AND($K98=BY$3,$C98="L"),-$O98,0)+IF(AND($K99=BY$3,$C99="L"),-$O99,0),IF(OR(AND($K97=BY$3,OR($C97="W",$C97="1/2W")),AND($K98=BY$3,OR($C98="W",$C98="1/2W")),AND($K99=BY$3,OR($C99="W",$C99="1/2W"))),$S97,0))</f>
        <v>0</v>
      </c>
      <c r="BZ97" s="205">
        <f>IF($B97="LOSS",IF(AND($K97=BZ$3,$C97="L"),-$O97,0)+IF(AND($K98=BZ$3,$C98="L"),-$O98,0)+IF(AND($K99=BZ$3,$C99="L"),-$O99,0),IF(OR(AND($K97=BZ$3,OR($C97="W",$C97="1/2W")),AND($K98=BZ$3,OR($C98="W",$C98="1/2W")),AND($K99=BZ$3,OR($C99="W",$C99="1/2W"))),$S97,0))</f>
        <v>0</v>
      </c>
      <c r="CA97" s="205">
        <f>IF($B97="LOSS",IF(AND($K97=CA$3,$C97="L"),-$O97,0)+IF(AND($K98=CA$3,$C98="L"),-$O98,0)+IF(AND($K99=CA$3,$C99="L"),-$O99,0),IF(OR(AND($K97=CA$3,OR($C97="W",$C97="1/2W")),AND($K98=CA$3,OR($C98="W",$C98="1/2W")),AND($K99=CA$3,OR($C99="W",$C99="1/2W"))),$S97,0))</f>
        <v>0</v>
      </c>
      <c r="CB97" s="205">
        <f>IF($B97="LOSS",IF(AND($K97=CB$3,$C97="L"),-$O97,0)+IF(AND($K98=CB$3,$C98="L"),-$O98,0)+IF(AND($K99=CB$3,$C99="L"),-$O99,0),IF(OR(AND($K97=CB$3,OR($C97="W",$C97="1/2W")),AND($K98=CB$3,OR($C98="W",$C98="1/2W")),AND($K99=CB$3,OR($C99="W",$C99="1/2W"))),$S97,0))</f>
        <v>0</v>
      </c>
      <c r="CC97" s="205">
        <f>IF($B97="LOSS",IF(AND($K97=CC$3,$C97="L"),-$O97,0)+IF(AND($K98=CC$3,$C98="L"),-$O98,0)+IF(AND($K99=CC$3,$C99="L"),-$O99,0),IF(OR(AND($K97=CC$3,OR($C97="W",$C97="1/2W")),AND($K98=CC$3,OR($C98="W",$C98="1/2W")),AND($K99=CC$3,OR($C99="W",$C99="1/2W"))),$S97,0))</f>
        <v>0</v>
      </c>
      <c r="CD97" s="202">
        <f>IF($B97="LOSS",IF(AND($K97=CD$3,$C97="L"),-$O97,0)+IF(AND($K98=CD$3,$C98="L"),-$O98,0)+IF(AND($K99=CD$3,$C99="L"),-$O99,0),IF(OR(AND($K97=CD$3,OR($C97="W",$C97="1/2W")),AND($K98=CD$3,OR($C98="W",$C98="1/2W")),AND($K99=CD$3,OR($C99="W",$C99="1/2W"))),$S97,0))</f>
        <v>0</v>
      </c>
      <c r="CE97" s="199">
        <f>IF($B97="LOSS",IF(AND($K97=CE$3,$C97="L"),-$O97,0)+IF(AND($K98=CE$3,$C98="L"),-$O98,0)+IF(AND($K99=CE$3,$C99="L"),-$O99,0),IF(OR(AND($K97=CE$3,OR($C97="W",$C97="1/2W")),AND($K98=CE$3,OR($C98="W",$C98="1/2W")),AND($K99=CE$3,OR($C99="W",$C99="1/2W"))),$S97,0))</f>
        <v>0</v>
      </c>
      <c r="CF97" s="206">
        <f>IF(CF$3=$K97,IF($C97="W",1,IF($C97="1/2W",0.5,0)),0)</f>
        <v>0</v>
      </c>
      <c r="CG97" s="207">
        <f>IF(CF$3=$K97,IF($C97="L",1,IF($C97="1/2L",0.5,0)),0)</f>
        <v>1</v>
      </c>
      <c r="CH97" s="207">
        <f>IF(CH$3=$K97,IF($C97="W",1,IF($C97="1/2W",0.5,0)),0)</f>
        <v>0</v>
      </c>
      <c r="CI97" s="207">
        <f>IF(CH$3=$K97,IF($C97="L",1,IF($C97="1/2L",0.5,0)),0)</f>
        <v>0</v>
      </c>
      <c r="CJ97" s="207">
        <f>IF(CJ$3=$K97,IF($C97="W",1,IF($C97="1/2W",0.5,0)),0)</f>
        <v>0</v>
      </c>
      <c r="CK97" s="207">
        <f>IF(CJ$3=$K97,IF($C97="L",1,IF($C97="1/2L",0.5,0)),0)</f>
        <v>0</v>
      </c>
      <c r="CL97" s="207">
        <f>IF(CL$3=$K97,IF($C97="W",1,IF($C97="1/2W",0.5,0)),0)</f>
        <v>0</v>
      </c>
      <c r="CM97" s="207">
        <f>IF(CL$3=$K97,IF($C97="L",1,IF($C97="1/2L",0.5,0)),0)</f>
        <v>0</v>
      </c>
      <c r="CN97" s="207">
        <f>IF(CN$3=$K97,IF($C97="W",1,IF($C97="1/2W",0.5,0)),0)</f>
        <v>0</v>
      </c>
      <c r="CO97" s="207">
        <f>IF(CN$3=$K97,IF($C97="L",1,IF($C97="1/2L",0.5,0)),0)</f>
        <v>0</v>
      </c>
      <c r="CP97" s="207">
        <f>IF(CP$3=$K97,IF($C97="W",1,IF($C97="1/2W",0.5,0)),0)</f>
        <v>0</v>
      </c>
      <c r="CQ97" s="207">
        <f>IF(CP$3=$K97,IF($C97="L",1,IF($C97="1/2L",0.5,0)),0)</f>
        <v>0</v>
      </c>
      <c r="CR97" s="207">
        <f>IF(CR$3=$K97,IF($C97="W",1,IF($C97="1/2W",0.5,0)),0)</f>
        <v>0</v>
      </c>
      <c r="CS97" s="207">
        <f>IF(CR$3=$K97,IF($C97="L",1,IF($C97="1/2L",0.5,0)),0)</f>
        <v>0</v>
      </c>
      <c r="CT97" s="208">
        <f>IF(CT$3=$K97,IF($C97="W",1,IF($C97="1/2W",0.5,0)),0)</f>
        <v>0</v>
      </c>
      <c r="CU97" s="209">
        <f>IF(CT$3=$K97,IF($C97="L",1,IF($C97="1/2L",0.5,0)),0)</f>
        <v>0</v>
      </c>
      <c r="CV97" s="209">
        <f>IF(CV$3=$K97,IF($C97="W",1,IF($C97="1/2W",0.5,0)),0)</f>
        <v>0</v>
      </c>
      <c r="CW97" s="209">
        <f>IF(CV$3=$K97,IF($C97="L",1,IF($C97="1/2L",0.5,0)),0)</f>
        <v>0</v>
      </c>
      <c r="CX97" s="209">
        <f>IF(CX$3=$K97,IF($C97="W",1,IF($C97="1/2W",0.5,0)),0)</f>
        <v>0</v>
      </c>
      <c r="CY97" s="209">
        <f>IF(CX$3=$K97,IF($C97="L",1,IF($C97="1/2L",0.5,0)),0)</f>
        <v>0</v>
      </c>
      <c r="CZ97" s="209">
        <f>IF(CZ$3=$K97,IF($C97="W",1,IF($C97="1/2W",0.5,0)),0)</f>
        <v>0</v>
      </c>
      <c r="DA97" s="209">
        <f>IF(CZ$3=$K97,IF($C97="L",1,IF($C97="1/2L",0.5,0)),0)</f>
        <v>0</v>
      </c>
      <c r="DB97" s="209">
        <f>IF(DB$3=$K97,IF($C97="W",1,IF($C97="1/2W",0.5,0)),0)</f>
        <v>0</v>
      </c>
      <c r="DC97" s="209">
        <f>IF(DB$3=$K97,IF($C97="L",1,IF($C97="1/2L",0.5,0)),0)</f>
        <v>0</v>
      </c>
      <c r="DD97" s="209">
        <f>IF(DD$3=$K97,IF($C97="W",1,IF($C97="1/2W",0.5,0)),0)</f>
        <v>0</v>
      </c>
      <c r="DE97" s="210">
        <f>IF(DD$3=$K97,IF($C97="L",1,IF($C97="1/2L",0.5,0)),0)</f>
        <v>0</v>
      </c>
      <c r="DF97" s="211">
        <f>IF(AND(L97&lt;DF$3,$C97="W"),1+DF96,DF96)</f>
        <v>6</v>
      </c>
      <c r="DG97" s="198">
        <f>IF(DF97&gt;DF96,L97+DG96,DG96)</f>
        <v>7.998</v>
      </c>
      <c r="DH97" s="209">
        <f>IF(AND(L97&gt;DH$3,$C97="W"),1+DH96,0+DH96)</f>
        <v>1</v>
      </c>
      <c r="DI97" s="198">
        <f>IF(DH97&gt;DH96,L97+DI96,DI96)</f>
        <v>4.33</v>
      </c>
      <c r="DJ97" t="s" s="306">
        <f>IF($D97="","",$D97)</f>
        <v>101</v>
      </c>
      <c r="DK97" s="209">
        <f>IF(AND($B97=" ",$D97&lt;&gt;""),1,0)</f>
        <v>0</v>
      </c>
    </row>
    <row r="98" ht="14.55" customHeight="1">
      <c r="A98" s="107"/>
      <c r="B98" s="108"/>
      <c r="C98" t="s" s="213">
        <v>56</v>
      </c>
      <c r="D98" s="110"/>
      <c r="E98" s="111"/>
      <c r="F98" s="112"/>
      <c r="G98" s="214"/>
      <c r="H98" s="114"/>
      <c r="I98" t="s" s="215">
        <v>140</v>
      </c>
      <c r="J98" s="296">
        <f>IF(OR(I97="TO",I97="TU",I97="TO1",I97="TU1",I97="TO2",I97="TU2"),J97,IF(OR(I97="AH1",I97="AH2"),IF(OR(I98="AH1",I98="AH2"),-J97,IF(OR(I98="EH1",I98="EH2"),-J97+0.5,"")),IF(OR(I97="EH1",I97="EH2"),IF(OR(I98="AH1",I98="AH2"),-J97+0.5,IF(OR(I98="EH1",I98="EH2"),-J97+1,"")),IF(AND(OR(I97="DNB1",I97="DNB2"),OR(I98="AH1",I98="AH2")),0,IF(AND(I97="Not ScoreBoth",OR(I98="TO1",I98="TO2")),0.5,"")))))</f>
        <v>-3</v>
      </c>
      <c r="K98" t="s" s="217">
        <v>38</v>
      </c>
      <c r="L98" s="218">
        <v>2.2</v>
      </c>
      <c r="M98" s="219">
        <v>7.24</v>
      </c>
      <c r="N98" s="120"/>
      <c r="O98" s="220">
        <f>IF(OR(AE97="",AE98=""),"",ROUND(IF(L99&gt;0,IF(M98&gt;0,M98,IF(M97&gt;0,IF(N97=TRUE,ROUND((M97*AE98)/AE97,0),(M97*AE98)/AE97),IF(M98&gt;0,ROUND(M98,IF(N97=0,2,IF(N97=0.1,1,0))),IF(M99&gt;0,ROUND(O99*AE98/AE99,IF(N97=0,2,IF(N97=0.1,1,0))),0)))),IF(M98&gt;0,M98,ROUND((M97*AE98)/AE97,IF(N97=0,2,IF(N97=0.1,1,0))))),2))</f>
        <v>7.24</v>
      </c>
      <c r="P98" s="221">
        <f>IF(OR(L98="",O98=""),"",IF($C98="1/2W",O98/2+O98/2*L98,IF($C98="1/2L",O98/2,IF(I98="Lay",((O98*(L98/(L98-1)))-O98)*(1-_xlfn.XLOOKUP(K98,'Janeiro 2023 - Valor Real'!A3:A15,'Janeiro 2023 - Valor Real'!C3:C15,0))+O98,(O98*L98-O98)*(1-_xlfn.XLOOKUP(K98,'Janeiro 2023 - Valor Real'!A3:A15,'Janeiro 2023 - Valor Real'!C3:C15,0))+O98))))</f>
        <v>15.928</v>
      </c>
      <c r="Q98" s="222">
        <f>IF(K98="","",IF(_xlfn.XLOOKUP(K98,K14:K$85,DJ14:DJ$85,0,,-1)=DJ98,_xlfn.XLOOKUP(K98,K14:K$85,Q14:Q$85,1,,-1)+1,1))</f>
        <v>5</v>
      </c>
      <c r="R98" s="223">
        <f>IF(K98="","",_xlfn.XLOOKUP(K98,K14:K$85,R14:R$85,0,,-1)+IF($C98=" ",1,0))</f>
        <v>0</v>
      </c>
      <c r="S98" s="125"/>
      <c r="T98" s="126"/>
      <c r="U98" s="126"/>
      <c r="V98" s="224"/>
      <c r="W98" s="126"/>
      <c r="X98" s="127"/>
      <c r="Y98" s="128"/>
      <c r="Z98" s="129"/>
      <c r="AA98" s="129"/>
      <c r="AB98" s="129"/>
      <c r="AC98" s="129"/>
      <c r="AD98" s="225">
        <f>(((L98/(L98-1)-1)*(1-_xlfn.XLOOKUP(K98,'Janeiro 2023 - Valor Real'!A3:A15,'Janeiro 2023 - Valor Real'!C3:C15,0))+1))</f>
        <v>1.83333333333333</v>
      </c>
      <c r="AE98" s="226">
        <f>IF(L98="","",IF(L99&gt;0,(SUM(((L97-1)*(1-_xlfn.XLOOKUP(K97,'Janeiro 2023 - Valor Real'!A3:A15,'Janeiro 2023 - Valor Real'!C3:C15,0))+1),((L98-1)*(1-_xlfn.XLOOKUP(K98,'Janeiro 2023 - Valor Real'!A3:A15,'Janeiro 2023 - Valor Real'!C3:C15,0))+1),((L99-1)*(1-_xlfn.XLOOKUP(K99,'Janeiro 2023 - Valor Real'!A3:A15,'Janeiro 2023 - Valor Real'!C3:C15,0))+1))/((L98-1)*(1-_xlfn.XLOOKUP(K98,'Janeiro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Real'!C3:C15,0))+1))/((L97-1)*(1-_xlfn.XLOOKUP(K97,'Janeiro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Real'!C3:C15,0))+1))/((L98-1)*(1-_xlfn.XLOOKUP(K98,'Janeiro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Real'!C3:C15,0))+1))/((L99-1)*(1-_xlfn.XLOOKUP(K99,'Janeiro 2023 - Valor Real'!A3:A15,'Janeiro 2023 - Valor Real'!C3:C15,0))+1)),IF(I98="Lay",IF(I97="Lay",((L97/(L97-1)-1)*(1-_xlfn.XLOOKUP(K97,'Janeiro 2023 - Valor Real'!A3:A15,'Janeiro 2023 - Valor Real'!C3:C15,0))+1)/(((L97/(L97-1)-1)*(1-_xlfn.XLOOKUP(K97,'Janeiro 2023 - Valor Real'!A3:A15,'Janeiro 2023 - Valor Real'!C3:C15,0))+1)+((L98/(L98-1)-1)*(1-_xlfn.XLOOKUP(K98,'Janeiro 2023 - Valor Real'!A3:A15,'Janeiro 2023 - Valor Real'!C3:C15,0))+1)),((L97-1)*(1-_xlfn.XLOOKUP(K97,'Janeiro 2023 - Valor Real'!A3:A15,'Janeiro 2023 - Valor Real'!C3:C15,0))+1)/(((L97-1)*(1-_xlfn.XLOOKUP(K97,'Janeiro 2023 - Valor Real'!A3:A15,'Janeiro 2023 - Valor Real'!C3:C15,0))+1)+((L98/(L98-1)-1)*(1-_xlfn.XLOOKUP(K98,'Janeiro 2023 - Valor Real'!A3:A15,'Janeiro 2023 - Valor Real'!C3:C15,0))+1))),IF(I97="Lay",((L97/(L97-1)-1)*(1-_xlfn.XLOOKUP(K97,'Janeiro 2023 - Valor Real'!A3:A15,'Janeiro 2023 - Valor Real'!C3:C15,0))+1)/((((L97/(L97-1)-1)*(1-_xlfn.XLOOKUP(K97,'Janeiro 2023 - Valor Real'!A3:A15,'Janeiro 2023 - Valor Real'!C3:C15,0))+1))+((L98-1)*(1-_xlfn.XLOOKUP(K98,'Janeiro 2023 - Valor Real'!A3:A15,'Janeiro 2023 - Valor Real'!C3:C15,0))+1)),((L97-1)*(1-_xlfn.XLOOKUP(K97,'Janeiro 2023 - Valor Real'!A3:A15,'Janeiro 2023 - Valor Real'!C3:C15,0))+1)/(((L97-1)*(1-_xlfn.XLOOKUP(K97,'Janeiro 2023 - Valor Real'!A3:A15,'Janeiro 2023 - Valor Real'!C3:C15,0))+1)+((L98-1)*(1-_xlfn.XLOOKUP(K98,'Janeiro 2023 - Valor Real'!A3:A15,'Janeiro 2023 - Valor Real'!C3:C15,0))+1))))))</f>
        <v>0.488372093023256</v>
      </c>
      <c r="AF98" s="197">
        <f>IF($K98=AF$3,ROUND(IF(OR($C98="W",$C98="1/2W",$C98="1/2L"),$P98-$O98,IF($C98="X",0,-$O98)),2),0)</f>
        <v>0</v>
      </c>
      <c r="AG98" s="198">
        <f>IF($K98=AG$3,ROUND(IF(OR($C98="W",$C98="1/2W",$C98="1/2L"),$P98-$O98,IF($C98="X",0,-$O98)),2),0)</f>
        <v>8.69</v>
      </c>
      <c r="AH98" s="198">
        <f>IF($K98=AH$3,ROUND(IF(OR($C98="W",$C98="1/2W",$C98="1/2L"),$P98-$O98,IF($C98="X",0,-$O98)),2),0)</f>
        <v>0</v>
      </c>
      <c r="AI98" s="198">
        <f>IF($K98=AI$3,ROUND(IF(OR($C98="W",$C98="1/2W",$C98="1/2L"),$P98-$O98,IF($C98="X",0,-$O98)),2),0)</f>
        <v>0</v>
      </c>
      <c r="AJ98" s="198">
        <f>IF($K98=AJ$3,ROUND(IF(OR($C98="W",$C98="1/2W",$C98="1/2L"),$P98-$O98,IF($C98="X",0,-$O98)),2),0)</f>
        <v>0</v>
      </c>
      <c r="AK98" s="198">
        <f>IF($K98=AK$3,ROUND(IF(OR($C98="W",$C98="1/2W",$C98="1/2L"),$P98-$O98,IF($C98="X",0,-$O98)),2),0)</f>
        <v>0</v>
      </c>
      <c r="AL98" s="198">
        <f>IF($K98=AL$3,ROUND(IF(OR($C98="W",$C98="1/2W",$C98="1/2L"),$P98-$O98,IF($C98="X",0,-$O98)),2),0)</f>
        <v>0</v>
      </c>
      <c r="AM98" s="198">
        <f>IF($K98=AM$3,ROUND(IF(OR($C98="W",$C98="1/2W",$C98="1/2L"),$P98-$O98,IF($C98="X",0,-$O98)),2),0)</f>
        <v>0</v>
      </c>
      <c r="AN98" s="198">
        <f>IF($K98=AN$3,ROUND(IF(OR($C98="W",$C98="1/2W",$C98="1/2L"),$P98-$O98,IF($C98="X",0,-$O98)),2),0)</f>
        <v>0</v>
      </c>
      <c r="AO98" s="198">
        <f>IF($K98=AO$3,ROUND(IF(OR($C98="W",$C98="1/2W",$C98="1/2L"),$P98-$O98,IF($C98="X",0,-$O98)),2),0)</f>
        <v>0</v>
      </c>
      <c r="AP98" s="198">
        <f>IF($K98=AP$3,ROUND(IF(OR($C98="W",$C98="1/2W",$C98="1/2L"),$P98-$O98,IF($C98="X",0,-$O98)),2),0)</f>
        <v>0</v>
      </c>
      <c r="AQ98" s="198">
        <f>IF($K98=AQ$3,ROUND(IF(OR($C98="W",$C98="1/2W",$C98="1/2L"),$P98-$O98,IF($C98="X",0,-$O98)),2),0)</f>
        <v>0</v>
      </c>
      <c r="AR98" s="199">
        <f>IF($K98=AR$3,ROUND(IF(OR($C98="W",$C98="1/2W",$C98="1/2L"),$P98-$O98,IF($C98="X",0,-$O98)),2),0)</f>
        <v>0</v>
      </c>
      <c r="AS98" s="197">
        <f>IF(AND($B97=" ",$K98=AS$3),$O98,0)</f>
        <v>0</v>
      </c>
      <c r="AT98" s="198">
        <f>IF(AND($B97=" ",K98=AT$3),$O98,0)</f>
        <v>0</v>
      </c>
      <c r="AU98" s="198">
        <f>IF(AND($B97=" ",$K98=AU$3),$O98,0)</f>
        <v>0</v>
      </c>
      <c r="AV98" s="198">
        <f>IF(AND($B97=" ",$K98=AV$3),$O98,0)</f>
        <v>0</v>
      </c>
      <c r="AW98" s="198">
        <f>IF(AND($B97=" ",$K98=AW$3),$O98,0)</f>
        <v>0</v>
      </c>
      <c r="AX98" s="198">
        <f>IF(AND($B97=" ",$K98=AX$3),$O98,0)</f>
        <v>0</v>
      </c>
      <c r="AY98" s="200">
        <f>IF(AND($B97=" ",$K98=AY$3),$O98,0)</f>
        <v>0</v>
      </c>
      <c r="AZ98" s="201">
        <f>IF(AND($B97=" ",$K98=AZ$3),$O98,0)</f>
        <v>0</v>
      </c>
      <c r="BA98" s="201">
        <f>IF(AND($B97=" ",$K98=BA$3),$O98,0)</f>
        <v>0</v>
      </c>
      <c r="BB98" s="201">
        <f>IF(AND($B97=" ",$K98=BB$3),$O98,0)</f>
        <v>0</v>
      </c>
      <c r="BC98" s="202">
        <f>IF(AND($B97=" ",$K98=BC$3),$O98,0)</f>
        <v>0</v>
      </c>
      <c r="BD98" s="198">
        <f>IF(AND($B97=" ",$K98=BD$3),$O98,0)</f>
        <v>0</v>
      </c>
      <c r="BE98" s="199">
        <f>IF(AND($B97=" ",$K98=BE$3),$O98,0)</f>
        <v>0</v>
      </c>
      <c r="BF98" s="197">
        <f>IF($K98=BF$3,IF($C98="X",0,$O98),0)</f>
        <v>0</v>
      </c>
      <c r="BG98" s="198">
        <f>IF($K98=BG$3,IF($C98="X",0,$O98),0)</f>
        <v>7.24</v>
      </c>
      <c r="BH98" s="198">
        <f>IF($K98=BH$3,IF($C98="X",0,$O98),0)</f>
        <v>0</v>
      </c>
      <c r="BI98" s="198">
        <f>IF($K98=BI$3,IF($C98="X",0,$O98),0)</f>
        <v>0</v>
      </c>
      <c r="BJ98" s="198">
        <f>IF($K98=BJ$3,IF($C98="X",0,$O98),0)</f>
        <v>0</v>
      </c>
      <c r="BK98" s="198">
        <f>IF($K98=BK$3,IF($C98="X",0,$O98),0)</f>
        <v>0</v>
      </c>
      <c r="BL98" s="198">
        <f>IF($K98=BL$3,IF($C98="X",0,$O98),0)</f>
        <v>0</v>
      </c>
      <c r="BM98" s="227">
        <f>IF($K98=BM$3,IF($C98="X",0,$O98),0)</f>
        <v>0</v>
      </c>
      <c r="BN98" s="205">
        <f>IF($K98=BN$3,IF($C98="X",0,$O98),0)</f>
        <v>0</v>
      </c>
      <c r="BO98" s="205">
        <f>IF($K98=BO$3,IF($C98="X",0,$O98),0)</f>
        <v>0</v>
      </c>
      <c r="BP98" s="205">
        <f>IF($K98=BP$3,IF($C98="X",0,$O98),0)</f>
        <v>0</v>
      </c>
      <c r="BQ98" s="202">
        <f>IF($K98=BQ$3,IF($C98="X",0,$O98),0)</f>
        <v>0</v>
      </c>
      <c r="BR98" s="199">
        <f>IF($K98=BR$3,IF($C98="X",0,$O98),0)</f>
        <v>0</v>
      </c>
      <c r="BS98" s="228"/>
      <c r="BT98" s="229"/>
      <c r="BU98" s="140"/>
      <c r="BV98" s="229"/>
      <c r="BW98" s="140"/>
      <c r="BX98" s="140"/>
      <c r="BY98" s="140"/>
      <c r="BZ98" s="229"/>
      <c r="CA98" s="140"/>
      <c r="CB98" s="140"/>
      <c r="CC98" s="140"/>
      <c r="CD98" s="141"/>
      <c r="CE98" s="142"/>
      <c r="CF98" s="230">
        <f>IF(CF$3=$K98,IF($C98="W",1,IF($C98="1/2W",0.5,0)),0)</f>
        <v>0</v>
      </c>
      <c r="CG98" s="231">
        <f>IF(CF$3=$K98,IF($C98="L",1,IF($C98="1/2L",0.5,0)),0)</f>
        <v>0</v>
      </c>
      <c r="CH98" s="231">
        <f>IF(CH$3=$K98,IF($C98="W",1,IF($C98="1/2W",0.5,0)),0)</f>
        <v>1</v>
      </c>
      <c r="CI98" s="231">
        <f>IF(CH$3=$K98,IF($C98="L",1,IF($C98="1/2L",0.5,0)),0)</f>
        <v>0</v>
      </c>
      <c r="CJ98" s="231">
        <f>IF(CJ$3=$K98,IF($C98="W",1,IF($C98="1/2W",0.5,0)),0)</f>
        <v>0</v>
      </c>
      <c r="CK98" s="231">
        <f>IF(CJ$3=$K98,IF($C98="L",1,IF($C98="1/2L",0.5,0)),0)</f>
        <v>0</v>
      </c>
      <c r="CL98" s="231">
        <f>IF(CL$3=$K98,IF($C98="W",1,IF($C98="1/2W",0.5,0)),0)</f>
        <v>0</v>
      </c>
      <c r="CM98" s="231">
        <f>IF(CL$3=$K98,IF($C98="L",1,IF($C98="1/2L",0.5,0)),0)</f>
        <v>0</v>
      </c>
      <c r="CN98" s="231">
        <f>IF(CN$3=$K98,IF($C98="W",1,IF($C98="1/2W",0.5,0)),0)</f>
        <v>0</v>
      </c>
      <c r="CO98" s="231">
        <f>IF(CN$3=$K98,IF($C98="L",1,IF($C98="1/2L",0.5,0)),0)</f>
        <v>0</v>
      </c>
      <c r="CP98" s="231">
        <f>IF(CP$3=$K98,IF($C98="W",1,IF($C98="1/2W",0.5,0)),0)</f>
        <v>0</v>
      </c>
      <c r="CQ98" s="231">
        <f>IF(CP$3=$K98,IF($C98="L",1,IF($C98="1/2L",0.5,0)),0)</f>
        <v>0</v>
      </c>
      <c r="CR98" s="231">
        <f>IF(CR$3=$K98,IF($C98="W",1,IF($C98="1/2W",0.5,0)),0)</f>
        <v>0</v>
      </c>
      <c r="CS98" s="231">
        <f>IF(CR$3=$K98,IF($C98="L",1,IF($C98="1/2L",0.5,0)),0)</f>
        <v>0</v>
      </c>
      <c r="CT98" s="208">
        <f>IF(CT$3=$K98,IF($C98="W",1,IF($C98="1/2W",0.5,0)),0)</f>
        <v>0</v>
      </c>
      <c r="CU98" s="209">
        <f>IF(CT$3=$K98,IF($C98="L",1,IF($C98="1/2L",0.5,0)),0)</f>
        <v>0</v>
      </c>
      <c r="CV98" s="209">
        <f>IF(CV$3=$K98,IF($C98="W",1,IF($C98="1/2W",0.5,0)),0)</f>
        <v>0</v>
      </c>
      <c r="CW98" s="209">
        <f>IF(CV$3=$K98,IF($C98="L",1,IF($C98="1/2L",0.5,0)),0)</f>
        <v>0</v>
      </c>
      <c r="CX98" s="209">
        <f>IF(CX$3=$K98,IF($C98="W",1,IF($C98="1/2W",0.5,0)),0)</f>
        <v>0</v>
      </c>
      <c r="CY98" s="209">
        <f>IF(CX$3=$K98,IF($C98="L",1,IF($C98="1/2L",0.5,0)),0)</f>
        <v>0</v>
      </c>
      <c r="CZ98" s="209">
        <f>IF(CZ$3=$K98,IF($C98="W",1,IF($C98="1/2W",0.5,0)),0)</f>
        <v>0</v>
      </c>
      <c r="DA98" s="209">
        <f>IF(CZ$3=$K98,IF($C98="L",1,IF($C98="1/2L",0.5,0)),0)</f>
        <v>0</v>
      </c>
      <c r="DB98" s="209">
        <f>IF(DB$3=$K98,IF($C98="W",1,IF($C98="1/2W",0.5,0)),0)</f>
        <v>0</v>
      </c>
      <c r="DC98" s="209">
        <f>IF(DB$3=$K98,IF($C98="L",1,IF($C98="1/2L",0.5,0)),0)</f>
        <v>0</v>
      </c>
      <c r="DD98" s="209">
        <f>IF(DD$3=$K98,IF($C98="W",1,IF($C98="1/2W",0.5,0)),0)</f>
        <v>0</v>
      </c>
      <c r="DE98" s="210">
        <f>IF(DD$3=$K98,IF($C98="L",1,IF($C98="1/2L",0.5,0)),0)</f>
        <v>0</v>
      </c>
      <c r="DF98" s="211">
        <f>IF(AND(L98&lt;DF$3,$C98="W"),1+DF97,DF97)</f>
        <v>6</v>
      </c>
      <c r="DG98" s="198">
        <f>IF(DF98&gt;DF97,L98+DG97,DG97)</f>
        <v>7.998</v>
      </c>
      <c r="DH98" s="209">
        <f>IF(AND(L98&gt;DH$3,$C98="W"),1+DH97,0+DH97)</f>
        <v>1</v>
      </c>
      <c r="DI98" s="198">
        <f>IF(DH98&gt;DH97,L98+DI97,DI97)</f>
        <v>4.33</v>
      </c>
      <c r="DJ98" t="s" s="306">
        <f>IF($D97="","",$D97)</f>
        <v>101</v>
      </c>
      <c r="DK98" s="232"/>
    </row>
    <row r="99" ht="14.55" customHeight="1">
      <c r="A99" s="149"/>
      <c r="B99" s="150"/>
      <c r="C99" t="s" s="233">
        <v>58</v>
      </c>
      <c r="D99" s="152"/>
      <c r="E99" s="153"/>
      <c r="F99" s="154"/>
      <c r="G99" s="234"/>
      <c r="H99" s="156"/>
      <c r="I99" s="235"/>
      <c r="J99" s="236"/>
      <c r="K99" s="237"/>
      <c r="L99" s="238"/>
      <c r="M99" s="239"/>
      <c r="N99" s="161"/>
      <c r="O99" t="s" s="240">
        <f>IF(OR(AE97="",AE98=""),"",IF(L99&gt;0,ROUND(IF(M99&gt;0,M99,IF(M97&gt;0,ROUND((M97*AE99)/AE97,IF(N97=0,2,IF(N97=0.1,1,0))),IF(M98&gt;0,ROUND((M98*AE99)/AE98,IF(N97=0,2,IF(N97=0.1,1,0))),IF(M99&gt;0,M99,0)))),2),""))</f>
      </c>
      <c r="P99" t="s" s="241">
        <f>IF(I98="Lay",O98*(L98/(L98-1))-O98,IF(I97="Lay",O97*(L97/(L97-1))-O97,IF(OR(L99="",O99=""),"",IF($C99="1/2W",O99/2+O99/2*L99,IF($C99="1/2L",O99/2,(O99*L99-O99)*(1-_xlfn.XLOOKUP(K99,'Janeiro 2023 - Valor Real'!A3:A15,'Janeiro 2023 - Valor Real'!C3:C15,0))+O99)))))</f>
      </c>
      <c r="Q99" t="s" s="242">
        <f>IF(K99="","",IF(_xlfn.XLOOKUP(K99,K14:K$86,DJ14:DJ$86,0,,-1)=DJ99,_xlfn.XLOOKUP(K99,K14:K$86,Q14:Q$86,1,,-1)+1,1))</f>
      </c>
      <c r="R99" t="s" s="243">
        <f>IF(K99="","",_xlfn.XLOOKUP(K99,K14:K$86,R14:R$86,0,,-1)+IF($C99=" ",1,0))</f>
      </c>
      <c r="S99" s="166"/>
      <c r="T99" s="155"/>
      <c r="U99" s="155"/>
      <c r="V99" s="166"/>
      <c r="W99" s="155"/>
      <c r="X99" s="167"/>
      <c r="Y99" s="128"/>
      <c r="Z99" s="129"/>
      <c r="AA99" s="129"/>
      <c r="AB99" s="129"/>
      <c r="AC99" s="129"/>
      <c r="AD99" s="244">
        <f>((L98/(L98-1)-1))</f>
        <v>0.833333333333333</v>
      </c>
      <c r="AE99" t="s" s="245">
        <f>IF(L99="","",(SUM(((L97-1)*(1-_xlfn.XLOOKUP(K97,'Janeiro 2023 - Valor Real'!A3:A15,'Janeiro 2023 - Valor Real'!C3:C15,0))+1),((L98-1)*(1-_xlfn.XLOOKUP(K98,'Janeiro 2023 - Valor Real'!A3:A15,'Janeiro 2023 - Valor Real'!C3:C15,0))+1),((L99-1)*(1-_xlfn.XLOOKUP(K99,'Janeiro 2023 - Valor Real'!A3:A15,'Janeiro 2023 - Valor Real'!C3:C15,0))+1))/((L99-1)*(1-_xlfn.XLOOKUP(K99,'Janeiro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Real'!C3:C15,0))+1))/((L97-1)*(1-_xlfn.XLOOKUP(K97,'Janeiro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Real'!C3:C15,0))+1))/((L98-1)*(1-_xlfn.XLOOKUP(K98,'Janeiro 2023 - Valor Real'!A3:A15,'Janeiro 2023 - Valor Real'!C3:C15,0))+1)+SUM(((L97-1)*(1-_xlfn.XLOOKUP(K97,'Janeiro 2023 - Valor Real'!A3:A15,'Janeiro 2023 - Valor Real'!C3:C15,0))+1),((L98-1)*(1-_xlfn.XLOOKUP(K98,'Janeiro 2023 - Valor Real'!A3:A15,'Janeiro 2023 - Valor Real'!C3:C15,0))+1),((L99-1)*(1-_xlfn.XLOOKUP(K99,'Janeiro 2023 - Valor Real'!A3:A15,'Janeiro 2023 - Valor Real'!C3:C15,0))+1))/((L99-1)*(1-_xlfn.XLOOKUP(K99,'Janeiro 2023 - Valor Real'!A3:A15,'Janeiro 2023 - Valor Real'!C3:C15,0))+1)))</f>
      </c>
      <c r="AF99" s="197">
        <f>IF($K99=AF$3,ROUND(IF(OR($C99="W",$C99="1/2W",$C99="1/2L"),$P99-$O99,IF($C99="X",0,-$O99)),2),0)</f>
        <v>0</v>
      </c>
      <c r="AG99" s="198">
        <f>IF($K99=AG$3,ROUND(IF(OR($C99="W",$C99="1/2W",$C99="1/2L"),$P99-$O99,IF($C99="X",0,-$O99)),2),0)</f>
        <v>0</v>
      </c>
      <c r="AH99" s="198">
        <f>IF($K99=AH$3,ROUND(IF(OR($C99="W",$C99="1/2W",$C99="1/2L"),$P99-$O99,IF($C99="X",0,-$O99)),2),0)</f>
        <v>0</v>
      </c>
      <c r="AI99" s="198">
        <f>IF($K99=AI$3,ROUND(IF(OR($C99="W",$C99="1/2W",$C99="1/2L"),$P99-$O99,IF($C99="X",0,-$O99)),2),0)</f>
        <v>0</v>
      </c>
      <c r="AJ99" s="198">
        <f>IF($K99=AJ$3,ROUND(IF(OR($C99="W",$C99="1/2W",$C99="1/2L"),$P99-$O99,IF($C99="X",0,-$O99)),2),0)</f>
        <v>0</v>
      </c>
      <c r="AK99" s="198">
        <f>IF($K99=AK$3,ROUND(IF(OR($C99="W",$C99="1/2W",$C99="1/2L"),$P99-$O99,IF($C99="X",0,-$O99)),2),0)</f>
        <v>0</v>
      </c>
      <c r="AL99" s="198">
        <f>IF($K99=AL$3,ROUND(IF(OR($C99="W",$C99="1/2W",$C99="1/2L"),$P99-$O99,IF($C99="X",0,-$O99)),2),0)</f>
        <v>0</v>
      </c>
      <c r="AM99" s="198">
        <f>IF($K99=AM$3,ROUND(IF(OR($C99="W",$C99="1/2W",$C99="1/2L"),$P99-$O99,IF($C99="X",0,-$O99)),2),0)</f>
        <v>0</v>
      </c>
      <c r="AN99" s="198">
        <f>IF($K99=AN$3,ROUND(IF(OR($C99="W",$C99="1/2W",$C99="1/2L"),$P99-$O99,IF($C99="X",0,-$O99)),2),0)</f>
        <v>0</v>
      </c>
      <c r="AO99" s="198">
        <f>IF($K99=AO$3,ROUND(IF(OR($C99="W",$C99="1/2W",$C99="1/2L"),$P99-$O99,IF($C99="X",0,-$O99)),2),0)</f>
        <v>0</v>
      </c>
      <c r="AP99" s="198">
        <f>IF($K99=AP$3,ROUND(IF(OR($C99="W",$C99="1/2W",$C99="1/2L"),$P99-$O99,IF($C99="X",0,-$O99)),2),0)</f>
        <v>0</v>
      </c>
      <c r="AQ99" s="198">
        <f>IF($K99=AQ$3,ROUND(IF(OR($C99="W",$C99="1/2W",$C99="1/2L"),$P99-$O99,IF($C99="X",0,-$O99)),2),0)</f>
        <v>0</v>
      </c>
      <c r="AR99" s="199">
        <f>IF($K99=AR$3,ROUND(IF(OR($C99="W",$C99="1/2W",$C99="1/2L"),$P99-$O99,IF($C99="X",0,-$O99)),2),0)</f>
        <v>0</v>
      </c>
      <c r="AS99" s="197">
        <f>IF(AND($B97=" ",$K99=AS$3),$O99,0)</f>
        <v>0</v>
      </c>
      <c r="AT99" s="198">
        <f>IF(AND($B97=" ",K99=AT$3),$O99,0)</f>
        <v>0</v>
      </c>
      <c r="AU99" s="198">
        <f>IF(AND($B97=" ",$K99=AU$3),$O99,0)</f>
        <v>0</v>
      </c>
      <c r="AV99" s="198">
        <f>IF(AND($B97=" ",$K99=AV$3),$O99,0)</f>
        <v>0</v>
      </c>
      <c r="AW99" s="198">
        <f>IF(AND($B97=" ",$K99=AW$3),$O99,0)</f>
        <v>0</v>
      </c>
      <c r="AX99" s="198">
        <f>IF(AND($B97=" ",$K99=AX$3),$O99,0)</f>
        <v>0</v>
      </c>
      <c r="AY99" s="200">
        <f>IF(AND($B97=" ",$K99=AY$3),$O99,0)</f>
        <v>0</v>
      </c>
      <c r="AZ99" s="201">
        <f>IF(AND($B97=" ",$K99=AZ$3),$O99,0)</f>
        <v>0</v>
      </c>
      <c r="BA99" s="201">
        <f>IF(AND($B97=" ",$K99=BA$3),$O99,0)</f>
        <v>0</v>
      </c>
      <c r="BB99" s="201">
        <f>IF(AND($B97=" ",$K99=BB$3),$O99,0)</f>
        <v>0</v>
      </c>
      <c r="BC99" s="202">
        <f>IF(AND($B97=" ",$K99=BC$3),$O99,0)</f>
        <v>0</v>
      </c>
      <c r="BD99" s="198">
        <f>IF(AND($B97=" ",$K99=BD$3),$O99,0)</f>
        <v>0</v>
      </c>
      <c r="BE99" s="199">
        <f>IF(AND($B97=" ",$K99=BE$3),$O99,0)</f>
        <v>0</v>
      </c>
      <c r="BF99" s="197">
        <f>IF($K99=BF$3,IF($C99="X",0,$O99),0)</f>
        <v>0</v>
      </c>
      <c r="BG99" s="198">
        <f>IF($K99=BG$3,IF($C99="X",0,$O99),0)</f>
        <v>0</v>
      </c>
      <c r="BH99" s="198">
        <f>IF($K99=BH$3,IF($C99="X",0,$O99),0)</f>
        <v>0</v>
      </c>
      <c r="BI99" s="198">
        <f>IF($K99=BI$3,IF($C99="X",0,$O99),0)</f>
        <v>0</v>
      </c>
      <c r="BJ99" s="198">
        <f>IF($K99=BJ$3,IF($C99="X",0,$O99),0)</f>
        <v>0</v>
      </c>
      <c r="BK99" s="198">
        <f>IF($K99=BK$3,IF($C99="X",0,$O99),0)</f>
        <v>0</v>
      </c>
      <c r="BL99" s="198">
        <f>IF($K99=BL$3,IF($C99="X",0,$O99),0)</f>
        <v>0</v>
      </c>
      <c r="BM99" s="200">
        <f>IF($K99=BM$3,IF($C99="X",0,$O99),0)</f>
        <v>0</v>
      </c>
      <c r="BN99" s="201">
        <f>IF($K99=BN$3,IF($C99="X",0,$O99),0)</f>
        <v>0</v>
      </c>
      <c r="BO99" s="201">
        <f>IF($K99=BO$3,IF($C99="X",0,$O99),0)</f>
        <v>0</v>
      </c>
      <c r="BP99" s="201">
        <f>IF($K99=BP$3,IF($C99="X",0,$O99),0)</f>
        <v>0</v>
      </c>
      <c r="BQ99" s="202">
        <f>IF($K99=BQ$3,IF($C99="X",0,$O99),0)</f>
        <v>0</v>
      </c>
      <c r="BR99" s="199">
        <f>IF($K99=BR$3,IF($C99="X",0,$O99),0)</f>
        <v>0</v>
      </c>
      <c r="BS99" s="228"/>
      <c r="BT99" s="229"/>
      <c r="BU99" s="140"/>
      <c r="BV99" s="229"/>
      <c r="BW99" s="140"/>
      <c r="BX99" s="140"/>
      <c r="BY99" s="140"/>
      <c r="BZ99" s="229"/>
      <c r="CA99" s="140"/>
      <c r="CB99" s="140"/>
      <c r="CC99" s="140"/>
      <c r="CD99" s="141"/>
      <c r="CE99" s="142"/>
      <c r="CF99" s="230">
        <f>IF(CF$3=$K99,IF($C99="W",1,IF($C99="1/2W",0.5,0)),0)</f>
        <v>0</v>
      </c>
      <c r="CG99" s="231">
        <f>IF(CF$3=$K99,IF($C99="L",1,IF($C99="1/2L",0.5,0)),0)</f>
        <v>0</v>
      </c>
      <c r="CH99" s="231">
        <f>IF(CH$3=$K99,IF($C99="W",1,IF($C99="1/2W",0.5,0)),0)</f>
        <v>0</v>
      </c>
      <c r="CI99" s="231">
        <f>IF(CH$3=$K99,IF($C99="L",1,IF($C99="1/2L",0.5,0)),0)</f>
        <v>0</v>
      </c>
      <c r="CJ99" s="231">
        <f>IF(CJ$3=$K99,IF($C99="W",1,IF($C99="1/2W",0.5,0)),0)</f>
        <v>0</v>
      </c>
      <c r="CK99" s="231">
        <f>IF(CJ$3=$K99,IF($C99="L",1,IF($C99="1/2L",0.5,0)),0)</f>
        <v>0</v>
      </c>
      <c r="CL99" s="231">
        <f>IF(CL$3=$K99,IF($C99="W",1,IF($C99="1/2W",0.5,0)),0)</f>
        <v>0</v>
      </c>
      <c r="CM99" s="231">
        <f>IF(CL$3=$K99,IF($C99="L",1,IF($C99="1/2L",0.5,0)),0)</f>
        <v>0</v>
      </c>
      <c r="CN99" s="231">
        <f>IF(CN$3=$K99,IF($C99="W",1,IF($C99="1/2W",0.5,0)),0)</f>
        <v>0</v>
      </c>
      <c r="CO99" s="231">
        <f>IF(CN$3=$K99,IF($C99="L",1,IF($C99="1/2L",0.5,0)),0)</f>
        <v>0</v>
      </c>
      <c r="CP99" s="231">
        <f>IF(CP$3=$K99,IF($C99="W",1,IF($C99="1/2W",0.5,0)),0)</f>
        <v>0</v>
      </c>
      <c r="CQ99" s="231">
        <f>IF(CP$3=$K99,IF($C99="L",1,IF($C99="1/2L",0.5,0)),0)</f>
        <v>0</v>
      </c>
      <c r="CR99" s="231">
        <f>IF(CR$3=$K99,IF($C99="W",1,IF($C99="1/2W",0.5,0)),0)</f>
        <v>0</v>
      </c>
      <c r="CS99" s="231">
        <f>IF(CR$3=$K99,IF($C99="L",1,IF($C99="1/2L",0.5,0)),0)</f>
        <v>0</v>
      </c>
      <c r="CT99" s="208">
        <f>IF(CT$3=$K99,IF($C99="W",1,IF($C99="1/2W",0.5,0)),0)</f>
        <v>0</v>
      </c>
      <c r="CU99" s="209">
        <f>IF(CT$3=$K99,IF($C99="L",1,IF($C99="1/2L",0.5,0)),0)</f>
        <v>0</v>
      </c>
      <c r="CV99" s="209">
        <f>IF(CV$3=$K99,IF($C99="W",1,IF($C99="1/2W",0.5,0)),0)</f>
        <v>0</v>
      </c>
      <c r="CW99" s="209">
        <f>IF(CV$3=$K99,IF($C99="L",1,IF($C99="1/2L",0.5,0)),0)</f>
        <v>0</v>
      </c>
      <c r="CX99" s="209">
        <f>IF(CX$3=$K99,IF($C99="W",1,IF($C99="1/2W",0.5,0)),0)</f>
        <v>0</v>
      </c>
      <c r="CY99" s="209">
        <f>IF(CX$3=$K99,IF($C99="L",1,IF($C99="1/2L",0.5,0)),0)</f>
        <v>0</v>
      </c>
      <c r="CZ99" s="209">
        <f>IF(CZ$3=$K99,IF($C99="W",1,IF($C99="1/2W",0.5,0)),0)</f>
        <v>0</v>
      </c>
      <c r="DA99" s="209">
        <f>IF(CZ$3=$K99,IF($C99="L",1,IF($C99="1/2L",0.5,0)),0)</f>
        <v>0</v>
      </c>
      <c r="DB99" s="209">
        <f>IF(DB$3=$K99,IF($C99="W",1,IF($C99="1/2W",0.5,0)),0)</f>
        <v>0</v>
      </c>
      <c r="DC99" s="209">
        <f>IF(DB$3=$K99,IF($C99="L",1,IF($C99="1/2L",0.5,0)),0)</f>
        <v>0</v>
      </c>
      <c r="DD99" s="209">
        <f>IF(DD$3=$K99,IF($C99="W",1,IF($C99="1/2W",0.5,0)),0)</f>
        <v>0</v>
      </c>
      <c r="DE99" s="210">
        <f>IF(DD$3=$K99,IF($C99="L",1,IF($C99="1/2L",0.5,0)),0)</f>
        <v>0</v>
      </c>
      <c r="DF99" s="211">
        <f>IF(AND(L99&lt;DF$3,$C99="W"),1+DF98,DF98)</f>
        <v>6</v>
      </c>
      <c r="DG99" s="198">
        <f>IF(DF99&gt;DF98,L99+DG98,DG98)</f>
        <v>7.998</v>
      </c>
      <c r="DH99" s="209">
        <f>IF(AND(L99&gt;DH$3,$C99="W"),1+DH98,0+DH98)</f>
        <v>1</v>
      </c>
      <c r="DI99" s="198">
        <f>IF(DH99&gt;DH98,L99+DI98,DI98)</f>
        <v>4.33</v>
      </c>
      <c r="DJ99" t="s" s="306">
        <f>IF($D97="","",$D97)</f>
        <v>101</v>
      </c>
      <c r="DK99" s="232"/>
    </row>
    <row r="100" ht="14.55" customHeight="1">
      <c r="A100" s="246">
        <f>$A97+1</f>
        <v>33</v>
      </c>
      <c r="B100" t="s" s="247">
        <v>50</v>
      </c>
      <c r="C100" t="s" s="248">
        <v>51</v>
      </c>
      <c r="D100" t="s" s="303">
        <f>IF(G100="","",$D97)</f>
        <v>101</v>
      </c>
      <c r="E100" t="s" s="250">
        <v>141</v>
      </c>
      <c r="F100" t="s" s="251">
        <f>IF(G100="","",IF(OR(AND($C100&lt;&gt;" ",$C101=" "),AND($C101&lt;&gt;" ",$C100=" "),AND(L102&gt;0,OR(AND($C102&lt;&gt;" ",OR($C100=" ",$C101=" ")),AND($C102=" ",OR($C100&lt;&gt;" ",$C101&lt;&gt;" "))))),IF(SUM(F$4:F99)=0,1,LARGE(F$4:F99,1)+1),IF(MONTH(G100)=MONTH(TODAY()),IF(AND(DAY(G100)&lt;DAY(TODAY()),$B100=" "),IF(SUM(F$4:F99)=0,1,LARGE(F$4:F99,1)+1),IF($B100=" ",IF(AND(DAY(G100)=DAY(TODAY()),HOUR(G100)&lt;=HOUR(NOW())+1),IF(AND(HOUR(G100)+2&lt;=HOUR(NOW()),DAY(G100)&lt;=DAY(TODAY()),MINUTE(G100)&lt;=MINUTE(NOW())),IF(SUM(F$4:F99)=0,1,LARGE(F$4:F99,1)+1),IF(OR(MINUTE(G100)&lt;=MINUTE(NOW()),HOUR(G100)&lt;=HOUR(NOW())),"!!!","")),""),"")),"")))</f>
      </c>
      <c r="G100" s="252">
        <f>IF(H100="","",_xlfn.XLOOKUP(H100,H$4:H99,G$4:G99,""))</f>
        <v>44944.697916666664</v>
      </c>
      <c r="H100" t="s" s="253">
        <v>138</v>
      </c>
      <c r="I100" t="s" s="254">
        <v>87</v>
      </c>
      <c r="J100" s="293"/>
      <c r="K100" t="s" s="256">
        <v>48</v>
      </c>
      <c r="L100" s="257">
        <v>6.2</v>
      </c>
      <c r="M100" s="258">
        <v>10.16</v>
      </c>
      <c r="N100" s="259">
        <v>0.1</v>
      </c>
      <c r="O100" s="260">
        <f>IF(OR(AE100="",AE101=""),"",ROUND(IF(L102&gt;0,IF(M100&gt;0,M100,IF(M101&gt;0,ROUND((M101*AE100)/AE101,IF(N100=0,2,IF(N100=0.1,1,0))),ROUND((M102*AE100)/AE102,IF(N100=0,2,IF(N100=0.1,1,0))))),IF(M100&gt;0,M100,ROUND((M101*AE100)/AE101,IF(N100=0,2,IF(N100=0.1,1,0))))),2))</f>
        <v>10.16</v>
      </c>
      <c r="P100" s="261">
        <f>IF(OR(L100="",O100=""),"",IF($C100="1/2W",O100/2+O100/2*L100,IF($C100="1/2L",O100/2,IF(I100="Lay",(O100*(L100/(L100-1))-O100)*(1-_xlfn.XLOOKUP(K100,'Janeiro 2023 - Valor Real'!A3:A15,'Janeiro 2023 - Valor Real'!C3:C15,0))+O100,(O100*L100-O100)*(1-_xlfn.XLOOKUP(K100,'Janeiro 2023 - Valor Real'!A3:A15,'Janeiro 2023 - Valor Real'!C3:C15,0))+O100))))</f>
        <v>62.992</v>
      </c>
      <c r="Q100" s="262">
        <v>3</v>
      </c>
      <c r="R100" s="263">
        <v>0</v>
      </c>
      <c r="S100" s="264">
        <f>IF($B100="Anulado",0,ROUND(IF(OR($B100="LOSS",$B100="OK"),IF(OR($C100="W",$C100="1/2W",$C100="1/2L"),P100-O100,IF($C100="L",-O100,0))+IF(OR($C101="W",$C101="1/2W",$C101="1/2L"),P101-O101,IF($C101="L",-O101,0))+IF(OR($C102="W",$C102="1/2W",$C102="1/2L"),P102-O102,IF($C102="L",-O102,0)),IF(AND(OR($C100="W",$C100="1/2W",$C100="1/2L"),C101="W"),P100+P101-SUM(O100:O102)+_xlfn.XLOOKUP("X",C100:C102,O100:O102,0),IF(AND(C100=TRUE,C102="W"),P100+P102-SUM(O100:O102),IF(AND(C101="W",C102="W"),P101+P102-SUM(O100:O102)+_xlfn.XLOOKUP("X",C100:C102,O100:O102,0),IF(L102&gt;0,IF(OR($C100="W",$C100="1/2W",$C100="1/2L"),P100-SUM(O100:O102)+_xlfn.XLOOKUP("X",C100:C102,O100:O102,0),IF(OR($C100="W",$C100="1/2W",$C100="1/2L"),P101-SUM(O100:O102)+_xlfn.XLOOKUP("X",C100:C102,O100:O102,0),IF(OR($C100="W",$C100="1/2W",$C100="1/2L"),P102-SUM(O100:O102)+_xlfn.XLOOKUP("X",C100:C102,O100:O102,0),IF(SUM(P100:P102)/3-SUM(O100:O102)+_xlfn.XLOOKUP("X",C100:C102,O100:O102,0)&gt;0,SUM(P100:P102)/3-SUM(O100:O102)+_xlfn.XLOOKUP("X",C100:C102,O100:O102,0),LARGE(P100:P102,1)-SUM(O100:O102))))),IF(OR($C100="W",$C100="1/2W",$C100="1/2L"),P100-SUM(O100:O101)+_xlfn.XLOOKUP("X",C100:C102,O100:O102,0),IF(OR($C100="W",$C100="1/2W",$C100="1/2L"),P101-SUM(O100:O101)+_xlfn.XLOOKUP("X",C100:C102,O100:O102,0),SUM(P100:P101)/2-SUM(O100:O101)+_xlfn.XLOOKUP("X",C100:C102,O100:O102,0)))))))),2))</f>
        <v>2.44</v>
      </c>
      <c r="T100" s="265">
        <f>IF(S100=0,0,S100/SUM(O100:O102))</f>
        <v>0.0402906208718626</v>
      </c>
      <c r="U100" s="266">
        <f>IF($D100=$D97,IF(OR($B100="LOSS",$B100="OK",$B100="Anulada"),S100,0)+U97,IF(OR($B100="LOSS",$B100="OK",$B100="Anulada"),S100,0))</f>
        <v>20.88</v>
      </c>
      <c r="V100" s="266">
        <f>IF($D100="",0,IF($D100=$D97,IF($B100=" ",IF(I102="",IF(OR(AND(I100="DNB1",I101="DNB2"),AND(OR(I100="DNB1",I100="DNB2"),J101=0),AND(OR(I101="DNB1",I101="DNB2"),J100=0),AND(I100="DNB2",I101="DNB1"),AND(IF(J100=0,(J100+1)/ROUND(J100+1,0),J100/ROUND(J100,0))=1,IF(J101=0,(J101+1)/ROUND(IF(J101="",0,J101)+1,0),IF(J101="",0,J101)/ROUND(IF(J101="",1,J101),0))=1,OR(J100&lt;&gt;""),J101&lt;&gt;"")),0,IF(S100&lt;0,IF(I102="",SMALL(P100:P101,1)-SUM(O100:O101),0),SMALL(P100:P101,1)-SUM(O100:O101))),IF(S100&lt;0,IF(I102="",SMALL(P100:P102,1)-SUM(O100:O102),0),LARGE(P100:P102,1)-SUM(O100:O102))),S100)+V97,IF(I102="",IF(OR(AND(I100="DNB1",I101="DNB2"),AND(OR(I100="DNB1",I100="DNB2"),J101=0),AND(OR(I101="DNB1",I101="DNB2"),J100=0),AND(I100="DNB2",I101="DNB1"),AND(IF(J100=0,(J100+1)/ROUND(J100+1,0),J100/ROUND(J100,0))=1,IF(J101=0,(IF(J101="",0,J101)+1)/ROUND(IF(J101="",0,J101)+1,0),IF(J101="",0,J101)/ROUND(IF(J101="",0,J101)+1,0))=1,OR(J100&lt;&gt;""),J101&lt;&gt;"")),0,IF(S100&lt;0,IF(I102="",SMALL(P100:P101,1)-SUM(O100:O101),0),SMALL(P100:P102,1)-SUM(O100:O102))),IF(S100&lt;0,IF(I102="",SMALL(P100:P102,1)-SUM(O100:O102),0),LARGE(P100:P102,1)-SUM(O100:O102)))))</f>
        <v>20.882</v>
      </c>
      <c r="W100" s="266">
        <f>IF($D100=$D97,IF(S100&lt;0,IF(I102="",S100,0),S100)+W97,S100)</f>
        <v>20.88</v>
      </c>
      <c r="X100" t="s" s="267">
        <f>IF(OR(SUM(R100:R102)=0,V100=W100),ROUND(IF(W100=0,0,W100/Y100)*100,2)&amp;"%",ROUND(IF(V100=0,0,V100/Y100)*100,2)&amp;"% a "&amp;ROUND(IF(W100=0,0,W100/Y100)*100,2)&amp;"%")</f>
        <v>142</v>
      </c>
      <c r="Y100" s="268">
        <f>IF($D100=$D97,Y97+SUM(O100:O102),SUM(O100:O102))</f>
        <v>607.95</v>
      </c>
      <c r="Z100" s="266">
        <f>IF($B100=" ",SUM(O100:O102),0)+Z97</f>
        <v>0</v>
      </c>
      <c r="AA100" s="266">
        <f>IF(G100="","",IF($B100="Anulado",LARGE(P100:P102,1)-SUM(O100:O102)+AA97,AA97))</f>
        <v>11.4028</v>
      </c>
      <c r="AB100" s="266">
        <f>IF($D100="","",AB97+S100)</f>
        <v>98.98</v>
      </c>
      <c r="AC100" s="269">
        <f>IF($D100="","",IF($B100=" ",IF(DAY(G100)=DAY(TODAY()),1+AC97,0+AC97),0+AC97))</f>
        <v>0</v>
      </c>
      <c r="AD100" s="270">
        <f>(1-_xlfn.XLOOKUP(K98,'Janeiro 2023 - Valor Real'!A3:A15,'Janeiro 2023 - Valor Real'!C3:C15,0))+1</f>
        <v>2</v>
      </c>
      <c r="AE100" s="271">
        <f>IF(L100="","",IF(L102&gt;0,(SUM(((L100-1)*(1-_xlfn.XLOOKUP(K100,'Janeiro 2023 - Valor Real'!A3:A15,'Janeiro 2023 - Valor Real'!C3:C15,0))+1),((L101-1)*(1-_xlfn.XLOOKUP(K101,'Janeiro 2023 - Valor Real'!A3:A15,'Janeiro 2023 - Valor Real'!C3:C15,0))+1),((L102-1)*(1-_xlfn.XLOOKUP(K102,'Janeiro 2023 - Valor Real'!A3:A15,'Janeiro 2023 - Valor Real'!C3:C15,0))+1))/((L100-1)*(1-_xlfn.XLOOKUP(K100,'Janeiro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Real'!C3:C15,0))+1))/((L100-1)*(1-_xlfn.XLOOKUP(K100,'Janeiro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Real'!C3:C15,0))+1))/((L101-1)*(1-_xlfn.XLOOKUP(K101,'Janeiro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Real'!C3:C15,0))+1))/((L102-1)*(1-_xlfn.XLOOKUP(K102,'Janeiro 2023 - Valor Real'!A3:A15,'Janeiro 2023 - Valor Real'!C3:C15,0))+1)),IF(I100="Lay",IF(I101="Lay",((L101/(L101-1)-1)*(1-_xlfn.XLOOKUP(K101,'Janeiro 2023 - Valor Real'!A3:A15,'Janeiro 2023 - Valor Real'!C3:C15,0))+1)/(((L101/(L101-1)-1)*(1-_xlfn.XLOOKUP(K101,'Janeiro 2023 - Valor Real'!A3:A15,'Janeiro 2023 - Valor Real'!C3:C15,0))+1)+((L100/(L100-1)-1)*(1-_xlfn.XLOOKUP(K100,'Janeiro 2023 - Valor Real'!A3:A15,'Janeiro 2023 - Valor Real'!C3:C15,0))+1)),((L101-1)*(1-_xlfn.XLOOKUP(K101,'Janeiro 2023 - Valor Real'!A3:A15,'Janeiro 2023 - Valor Real'!C3:C15,0))+1)/(((L101-1)*(1-_xlfn.XLOOKUP(K101,'Janeiro 2023 - Valor Real'!A3:A15,'Janeiro 2023 - Valor Real'!C3:C15,0))+1)+((L100/(L100-1)-1)*(1-_xlfn.XLOOKUP(K100,'Janeiro 2023 - Valor Real'!A3:A15,'Janeiro 2023 - Valor Real'!C3:C15,0))+1))),IF(I101="Lay",(((L101/(L101-1)-1)*(1-_xlfn.XLOOKUP(K101,'Janeiro 2023 - Valor Real'!A3:A15,'Janeiro 2023 - Valor Real'!C3:C15,0))+1))/(((L100-1)*(1-_xlfn.XLOOKUP(K100,'Janeiro 2023 - Valor Real'!A3:A15,'Janeiro 2023 - Valor Real'!C3:C15,0))+1)+((L101/(L101-1)-1)*(1-_xlfn.XLOOKUP(K101,'Janeiro 2023 - Valor Real'!A3:A15,'Janeiro 2023 - Valor Real'!C3:C15,0))+1)),((L101-1)*(1-_xlfn.XLOOKUP(K101,'Janeiro 2023 - Valor Real'!A3:A15,'Janeiro 2023 - Valor Real'!C3:C15,0))+1)/(((L101-1)*(1-_xlfn.XLOOKUP(K101,'Janeiro 2023 - Valor Real'!A3:A15,'Janeiro 2023 - Valor Real'!C3:C15,0))+1)+((L100-1)*(1-_xlfn.XLOOKUP(K100,'Janeiro 2023 - Valor Real'!A3:A15,'Janeiro 2023 - Valor Real'!C3:C15,0))+1))))))</f>
        <v>0.167785234899329</v>
      </c>
      <c r="AF100" s="132">
        <f>IF($K100=AF$3,ROUND(IF(OR($C100="W",$C100="1/2W",$C100="1/2L"),$P100-$O100,IF($C100="X",0,-$O100)),2),0)</f>
        <v>0</v>
      </c>
      <c r="AG100" s="133">
        <f>IF($K100=AG$3,ROUND(IF(OR($C100="W",$C100="1/2W",$C100="1/2L"),$P100-$O100,IF($C100="X",0,-$O100)),2),0)</f>
        <v>0</v>
      </c>
      <c r="AH100" s="133">
        <f>IF($K100=AH$3,ROUND(IF(OR($C100="W",$C100="1/2W",$C100="1/2L"),$P100-$O100,IF($C100="X",0,-$O100)),2),0)</f>
        <v>0</v>
      </c>
      <c r="AI100" s="133">
        <f>IF($K100=AI$3,ROUND(IF(OR($C100="W",$C100="1/2W",$C100="1/2L"),$P100-$O100,IF($C100="X",0,-$O100)),2),0)</f>
        <v>0</v>
      </c>
      <c r="AJ100" s="133">
        <f>IF($K100=AJ$3,ROUND(IF(OR($C100="W",$C100="1/2W",$C100="1/2L"),$P100-$O100,IF($C100="X",0,-$O100)),2),0)</f>
        <v>0</v>
      </c>
      <c r="AK100" s="133">
        <f>IF($K100=AK$3,ROUND(IF(OR($C100="W",$C100="1/2W",$C100="1/2L"),$P100-$O100,IF($C100="X",0,-$O100)),2),0)</f>
        <v>0</v>
      </c>
      <c r="AL100" s="133">
        <f>IF($K100=AL$3,ROUND(IF(OR($C100="W",$C100="1/2W",$C100="1/2L"),$P100-$O100,IF($C100="X",0,-$O100)),2),0)</f>
        <v>0</v>
      </c>
      <c r="AM100" s="133">
        <f>IF($K100=AM$3,ROUND(IF(OR($C100="W",$C100="1/2W",$C100="1/2L"),$P100-$O100,IF($C100="X",0,-$O100)),2),0)</f>
        <v>0</v>
      </c>
      <c r="AN100" s="133">
        <f>IF($K100=AN$3,ROUND(IF(OR($C100="W",$C100="1/2W",$C100="1/2L"),$P100-$O100,IF($C100="X",0,-$O100)),2),0)</f>
        <v>0</v>
      </c>
      <c r="AO100" s="133">
        <f>IF($K100=AO$3,ROUND(IF(OR($C100="W",$C100="1/2W",$C100="1/2L"),$P100-$O100,IF($C100="X",0,-$O100)),2),0)</f>
        <v>0</v>
      </c>
      <c r="AP100" s="133">
        <f>IF($K100=AP$3,ROUND(IF(OR($C100="W",$C100="1/2W",$C100="1/2L"),$P100-$O100,IF($C100="X",0,-$O100)),2),0)</f>
        <v>0</v>
      </c>
      <c r="AQ100" s="133">
        <f>IF($K100=AQ$3,ROUND(IF(OR($C100="W",$C100="1/2W",$C100="1/2L"),$P100-$O100,IF($C100="X",0,-$O100)),2),0)</f>
        <v>-10.16</v>
      </c>
      <c r="AR100" s="134">
        <f>IF($K100=AR$3,ROUND(IF(OR($C100="W",$C100="1/2W",$C100="1/2L"),$P100-$O100,IF($C100="X",0,-$O100)),2),0)</f>
        <v>0</v>
      </c>
      <c r="AS100" s="132">
        <f>IF(AND($B100=" ",$K100=AS$3),$O100,0)</f>
        <v>0</v>
      </c>
      <c r="AT100" s="133">
        <f>IF(AND($B100=" ",$K100=AT$3),$O100,0)</f>
        <v>0</v>
      </c>
      <c r="AU100" s="133">
        <f>IF(AND($B100=" ",$K100=AU$3),$O100,0)</f>
        <v>0</v>
      </c>
      <c r="AV100" s="133">
        <f>IF(AND($B100=" ",$K100=AV$3),$O100,0)</f>
        <v>0</v>
      </c>
      <c r="AW100" s="133">
        <f>IF(AND($B100=" ",$K100=AW$3),$O100,0)</f>
        <v>0</v>
      </c>
      <c r="AX100" s="133">
        <f>IF(AND($B100=" ",$K100=AX$3),$O100,0)</f>
        <v>0</v>
      </c>
      <c r="AY100" s="135">
        <f>IF(AND($B100=" ",$K100=AY$3),$O100,0)</f>
        <v>0</v>
      </c>
      <c r="AZ100" s="136">
        <f>IF(AND($B100=" ",$K100=AZ$3),$O100,0)</f>
        <v>0</v>
      </c>
      <c r="BA100" s="136">
        <f>IF(AND($B100=" ",$K100=BA$3),$O100,0)</f>
        <v>0</v>
      </c>
      <c r="BB100" s="136">
        <f>IF(AND($B100=" ",$K100=BB$3),$O100,0)</f>
        <v>0</v>
      </c>
      <c r="BC100" s="137">
        <f>IF(AND($B100=" ",$K100=BC$3),$O100,0)</f>
        <v>0</v>
      </c>
      <c r="BD100" s="133">
        <f>IF(AND($B100=" ",$K100=BD$3),$O100,0)</f>
        <v>0</v>
      </c>
      <c r="BE100" s="134">
        <f>IF(AND($B100=" ",$K100=BE$3),$O100,0)</f>
        <v>0</v>
      </c>
      <c r="BF100" s="132">
        <f>IF($K100=BF$3,IF($C100="X",0,$O100),0)</f>
        <v>0</v>
      </c>
      <c r="BG100" s="133">
        <f>IF($K100=BG$3,IF($C100="X",0,$O100),0)</f>
        <v>0</v>
      </c>
      <c r="BH100" s="133">
        <f>IF($K100=BH$3,IF($C100="X",0,$O100),0)</f>
        <v>0</v>
      </c>
      <c r="BI100" s="133">
        <f>IF($K100=BI$3,IF($C100="X",0,$O100),0)</f>
        <v>0</v>
      </c>
      <c r="BJ100" s="133">
        <f>IF($K100=BJ$3,IF($C100="X",0,$O100),0)</f>
        <v>0</v>
      </c>
      <c r="BK100" s="133">
        <f>IF($K100=BK$3,IF($C100="X",0,$O100),0)</f>
        <v>0</v>
      </c>
      <c r="BL100" s="133">
        <f>IF($K100=BL$3,IF($C100="X",0,$O100),0)</f>
        <v>0</v>
      </c>
      <c r="BM100" s="135">
        <f>IF($K100=BM$3,IF($C100="X",0,$O100),0)</f>
        <v>0</v>
      </c>
      <c r="BN100" s="136">
        <f>IF($K100=BN$3,IF($C100="X",0,$O100),0)</f>
        <v>0</v>
      </c>
      <c r="BO100" s="136">
        <f>IF($K100=BO$3,IF($C100="X",0,$O100),0)</f>
        <v>0</v>
      </c>
      <c r="BP100" s="136">
        <f>IF($K100=BP$3,IF($C100="X",0,$O100),0)</f>
        <v>0</v>
      </c>
      <c r="BQ100" s="137">
        <f>IF($K100=BQ$3,IF($C100="X",0,$O100),0)</f>
        <v>10.16</v>
      </c>
      <c r="BR100" s="134">
        <f>IF($K100=BR$3,IF($C100="X",0,$O100),0)</f>
        <v>0</v>
      </c>
      <c r="BS100" s="170">
        <f>IF($B100="LOSS",IF(AND($K100=BS$3,$C100="L"),-$O100,0)+IF(AND($K101=BS$3,$C101="L"),-$O101,0)+IF(AND($K102=BS$3,$C102="L"),-$O102,0),IF(OR(AND($K100=BS$3,OR($C100="W",$C100="1/2W")),AND($K101=BS$3,OR($C101="W",$C101="1/2W")),AND($K102=BS$3,OR($C102="W",$C102="1/2W"))),$S100,0))</f>
        <v>0</v>
      </c>
      <c r="BT100" s="272">
        <f>IF($B100="LOSS",IF(AND($K100=BT$3,$C100="L"),-$O100,0)+IF(AND($K101=BT$3,$C101="L"),-$O101,0)+IF(AND($K101=BT$3,$C102="L"),-$O102,0),IF(OR(AND($K101=BT$3,OR($C100="W",$C100="1/2W")),AND($K101=BT$3,OR($C101="W",$C101="1/2W")),AND($K101=BT$3,OR($C102="W",$C102="1/2W"))),$S100,0))</f>
        <v>2.44</v>
      </c>
      <c r="BU100" s="136">
        <f>IF($B100="LOSS",IF(AND($K100=BU$3,$C100="L"),-$O100,0)+IF(AND($K101=BU$3,$C101="L"),-$O101,0)+IF(AND($K101=BU$3,$C102="L"),-$O102,0),IF(OR(AND($K101=BU$3,OR($C100="W",$C100="1/2W")),AND($K101=BU$3,OR($C101="W",$C101="1/2W")),AND($K101=BU$3,OR($C102="W",$C102="1/2W"))),$S100,0))</f>
        <v>0</v>
      </c>
      <c r="BV100" s="136">
        <f>IF($B100="LOSS",IF(AND($K100=BV$3,$C100="L"),-$O100,0)+IF(AND($K101=BV$3,$C101="L"),-$O101,0)+IF(AND($K102=BV$3,$C102="L"),-$O102,0),IF(OR(AND($K100=BV$3,OR($C100="W",$C100="1/2W")),AND($K101=BV$3,OR($C101="W",$C101="1/2W")),AND($K102=BV$3,OR($C102="W",$C102="1/2W"))),$S100,0))</f>
        <v>0</v>
      </c>
      <c r="BW100" s="136">
        <f>IF($B100="LOSS",IF(AND($K100=BW$3,$C100="L"),-$O100,0)+IF(AND($K101=BW$3,$C101="L"),-$O101,0)+IF(AND($K102=BW$3,$C102="L"),-$O102,0),IF(OR(AND($K100=BW$3,OR($C100="W",$C100="1/2W")),AND($K101=BW$3,OR($C101="W",$C101="1/2W")),AND($K102=BW$3,OR($C102="W",$C102="1/2W"))),$S100,0))</f>
        <v>0</v>
      </c>
      <c r="BX100" s="136">
        <f>IF($B100="LOSS",IF(AND($K100=BX$3,$C100="L"),-$O100,0)+IF(AND($K101=BX$3,$C101="L"),-$O101,0)+IF(AND($K102=BX$3,$C102="L"),-$O102,0),IF(OR(AND($K100=BX$3,OR($C100="W",$C100="1/2W")),AND($K101=BX$3,OR($C101="W",$C101="1/2W")),AND($K102=BX$3,OR($C102="W",$C102="1/2W"))),$S100,0))</f>
        <v>0</v>
      </c>
      <c r="BY100" s="136">
        <f>IF($B100="LOSS",IF(AND($K100=BY$3,$C100="L"),-$O100,0)+IF(AND($K101=BY$3,$C101="L"),-$O101,0)+IF(AND($K102=BY$3,$C102="L"),-$O102,0),IF(OR(AND($K100=BY$3,OR($C100="W",$C100="1/2W")),AND($K101=BY$3,OR($C101="W",$C101="1/2W")),AND($K102=BY$3,OR($C102="W",$C102="1/2W"))),$S100,0))</f>
        <v>0</v>
      </c>
      <c r="BZ100" s="136">
        <f>IF($B100="LOSS",IF(AND($K100=BZ$3,$C100="L"),-$O100,0)+IF(AND($K101=BZ$3,$C101="L"),-$O101,0)+IF(AND($K102=BZ$3,$C102="L"),-$O102,0),IF(OR(AND($K100=BZ$3,OR($C100="W",$C100="1/2W")),AND($K101=BZ$3,OR($C101="W",$C101="1/2W")),AND($K102=BZ$3,OR($C102="W",$C102="1/2W"))),$S100,0))</f>
        <v>0</v>
      </c>
      <c r="CA100" s="136">
        <f>IF($B100="LOSS",IF(AND($K100=CA$3,$C100="L"),-$O100,0)+IF(AND($K101=CA$3,$C101="L"),-$O101,0)+IF(AND($K102=CA$3,$C102="L"),-$O102,0),IF(OR(AND($K100=CA$3,OR($C100="W",$C100="1/2W")),AND($K101=CA$3,OR($C101="W",$C101="1/2W")),AND($K102=CA$3,OR($C102="W",$C102="1/2W"))),$S100,0))</f>
        <v>0</v>
      </c>
      <c r="CB100" s="136">
        <f>IF($B100="LOSS",IF(AND($K100=CB$3,$C100="L"),-$O100,0)+IF(AND($K101=CB$3,$C101="L"),-$O101,0)+IF(AND($K102=CB$3,$C102="L"),-$O102,0),IF(OR(AND($K100=CB$3,OR($C100="W",$C100="1/2W")),AND($K101=CB$3,OR($C101="W",$C101="1/2W")),AND($K102=CB$3,OR($C102="W",$C102="1/2W"))),$S100,0))</f>
        <v>0</v>
      </c>
      <c r="CC100" s="136">
        <f>IF($B100="LOSS",IF(AND($K100=CC$3,$C100="L"),-$O100,0)+IF(AND($K101=CC$3,$C101="L"),-$O101,0)+IF(AND($K102=CC$3,$C102="L"),-$O102,0),IF(OR(AND($K100=CC$3,OR($C100="W",$C100="1/2W")),AND($K101=CC$3,OR($C101="W",$C101="1/2W")),AND($K102=CC$3,OR($C102="W",$C102="1/2W"))),$S100,0))</f>
        <v>0</v>
      </c>
      <c r="CD100" s="137">
        <f>IF($B100="LOSS",IF(AND($K100=CD$3,$C100="L"),-$O100,0)+IF(AND($K101=CD$3,$C101="L"),-$O101,0)+IF(AND($K102=CD$3,$C102="L"),-$O102,0),IF(OR(AND($K100=CD$3,OR($C100="W",$C100="1/2W")),AND($K101=CD$3,OR($C101="W",$C101="1/2W")),AND($K102=CD$3,OR($C102="W",$C102="1/2W"))),$S100,0))</f>
        <v>0</v>
      </c>
      <c r="CE100" s="134">
        <f>IF($B100="LOSS",IF(AND($K100=CE$3,$C100="L"),-$O100,0)+IF(AND($K101=CE$3,$C101="L"),-$O101,0)+IF(AND($K102=CE$3,$C102="L"),-$O102,0),IF(OR(AND($K100=CE$3,OR($C100="W",$C100="1/2W")),AND($K101=CE$3,OR($C101="W",$C101="1/2W")),AND($K102=CE$3,OR($C102="W",$C102="1/2W"))),$S100,0))</f>
        <v>0</v>
      </c>
      <c r="CF100" s="273">
        <f>IF(CF$3=$K100,IF($C100="W",1,IF($C100="1/2W",0.5,0)),0)</f>
        <v>0</v>
      </c>
      <c r="CG100" s="274">
        <f>IF(CF$3=$K100,IF($C100="L",1,IF($C100="1/2L",0.5,0)),0)</f>
        <v>0</v>
      </c>
      <c r="CH100" s="274">
        <f>IF(CH$3=$K100,IF($C100="W",1,IF($C100="1/2W",0.5,0)),0)</f>
        <v>0</v>
      </c>
      <c r="CI100" s="274">
        <f>IF(CH$3=$K100,IF($C100="L",1,IF($C100="1/2L",0.5,0)),0)</f>
        <v>0</v>
      </c>
      <c r="CJ100" s="274">
        <f>IF(CJ$3=$K100,IF($C100="W",1,IF($C100="1/2W",0.5,0)),0)</f>
        <v>0</v>
      </c>
      <c r="CK100" s="274">
        <f>IF(CJ$3=$K100,IF($C100="L",1,IF($C100="1/2L",0.5,0)),0)</f>
        <v>0</v>
      </c>
      <c r="CL100" s="274">
        <f>IF(CL$3=$K100,IF($C100="W",1,IF($C100="1/2W",0.5,0)),0)</f>
        <v>0</v>
      </c>
      <c r="CM100" s="274">
        <f>IF(CL$3=$K100,IF($C100="L",1,IF($C100="1/2L",0.5,0)),0)</f>
        <v>0</v>
      </c>
      <c r="CN100" s="274">
        <f>IF(CN$3=$K100,IF($C100="W",1,IF($C100="1/2W",0.5,0)),0)</f>
        <v>0</v>
      </c>
      <c r="CO100" s="274">
        <f>IF(CN$3=$K100,IF($C100="L",1,IF($C100="1/2L",0.5,0)),0)</f>
        <v>0</v>
      </c>
      <c r="CP100" s="274">
        <f>IF(CP$3=$K100,IF($C100="W",1,IF($C100="1/2W",0.5,0)),0)</f>
        <v>0</v>
      </c>
      <c r="CQ100" s="274">
        <f>IF(CP$3=$K100,IF($C100="L",1,IF($C100="1/2L",0.5,0)),0)</f>
        <v>0</v>
      </c>
      <c r="CR100" s="274">
        <f>IF(CR$3=$K100,IF($C100="W",1,IF($C100="1/2W",0.5,0)),0)</f>
        <v>0</v>
      </c>
      <c r="CS100" s="274">
        <f>IF(CR$3=$K100,IF($C100="L",1,IF($C100="1/2L",0.5,0)),0)</f>
        <v>0</v>
      </c>
      <c r="CT100" s="145">
        <f>IF(CT$3=$K100,IF($C100="W",1,IF($C100="1/2W",0.5,0)),0)</f>
        <v>0</v>
      </c>
      <c r="CU100" s="146">
        <f>IF(CT$3=$K100,IF($C100="L",1,IF($C100="1/2L",0.5,0)),0)</f>
        <v>0</v>
      </c>
      <c r="CV100" s="146">
        <f>IF(CV$3=$K100,IF($C100="W",1,IF($C100="1/2W",0.5,0)),0)</f>
        <v>0</v>
      </c>
      <c r="CW100" s="146">
        <f>IF(CV$3=$K100,IF($C100="L",1,IF($C100="1/2L",0.5,0)),0)</f>
        <v>0</v>
      </c>
      <c r="CX100" s="146">
        <f>IF(CX$3=$K100,IF($C100="W",1,IF($C100="1/2W",0.5,0)),0)</f>
        <v>0</v>
      </c>
      <c r="CY100" s="146">
        <f>IF(CX$3=$K100,IF($C100="L",1,IF($C100="1/2L",0.5,0)),0)</f>
        <v>0</v>
      </c>
      <c r="CZ100" s="146">
        <f>IF(CZ$3=$K100,IF($C100="W",1,IF($C100="1/2W",0.5,0)),0)</f>
        <v>0</v>
      </c>
      <c r="DA100" s="146">
        <f>IF(CZ$3=$K100,IF($C100="L",1,IF($C100="1/2L",0.5,0)),0)</f>
        <v>0</v>
      </c>
      <c r="DB100" s="146">
        <f>IF(DB$3=$K100,IF($C100="W",1,IF($C100="1/2W",0.5,0)),0)</f>
        <v>0</v>
      </c>
      <c r="DC100" s="146">
        <f>IF(DB$3=$K100,IF($C100="L",1,IF($C100="1/2L",0.5,0)),0)</f>
        <v>1</v>
      </c>
      <c r="DD100" s="146">
        <f>IF(DD$3=$K100,IF($C100="W",1,IF($C100="1/2W",0.5,0)),0)</f>
        <v>0</v>
      </c>
      <c r="DE100" s="147">
        <f>IF(DD$3=$K100,IF($C100="L",1,IF($C100="1/2L",0.5,0)),0)</f>
        <v>0</v>
      </c>
      <c r="DF100" s="143">
        <f>IF(AND(L100&lt;DF$3,$C100="W"),1+DF99,DF99)</f>
        <v>6</v>
      </c>
      <c r="DG100" s="133">
        <f>IF(DF100&gt;DF99,L100+DG99,DG99)</f>
        <v>7.998</v>
      </c>
      <c r="DH100" s="146">
        <f>IF(AND(L100&gt;DH$3,$C100="W"),1+DH99,0+DH99)</f>
        <v>1</v>
      </c>
      <c r="DI100" s="133">
        <f>IF(DH100&gt;DH99,L100+DI99,DI99)</f>
        <v>4.33</v>
      </c>
      <c r="DJ100" t="s" s="304">
        <f>IF($D100="","",$D100)</f>
        <v>101</v>
      </c>
      <c r="DK100" s="146">
        <f>IF(AND($B100=" ",$D100&lt;&gt;""),1,0)</f>
        <v>0</v>
      </c>
    </row>
    <row r="101" ht="14.55" customHeight="1">
      <c r="A101" s="107"/>
      <c r="B101" s="108"/>
      <c r="C101" t="s" s="109">
        <v>56</v>
      </c>
      <c r="D101" s="110"/>
      <c r="E101" s="111"/>
      <c r="F101" s="113"/>
      <c r="G101" s="252"/>
      <c r="H101" s="114"/>
      <c r="I101" s="294">
        <v>1</v>
      </c>
      <c r="J101" t="s" s="295">
        <f>IF(OR(I100="TO",I100="TU",I100="TO1",I100="TU1",I100="TO2",I100="TU2"),J100,IF(OR(I100="AH1",I100="AH2"),IF(OR(I101="AH1",I101="AH2"),-J100,IF(OR(I101="EH1",I101="EH2"),-J100+0.5,"")),IF(OR(I100="EH1",I100="EH2"),IF(OR(I101="AH1",I101="AH2"),-J100+0.5,IF(OR(I101="EH1",I101="EH2"),-J100+1,"")),IF(AND(OR(I100="DNB1",I100="DNB2"),OR(I101="AH1",I101="AH2")),0,IF(AND(I100="Not ScoreBoth",OR(I101="TO1",I101="TO2")),0.5,"")))))</f>
      </c>
      <c r="K101" t="s" s="117">
        <v>38</v>
      </c>
      <c r="L101" s="277">
        <v>1.25</v>
      </c>
      <c r="M101" s="278"/>
      <c r="N101" s="120"/>
      <c r="O101" s="121">
        <f>IF(OR(AE100="",AE101=""),"",ROUND(IF(L102&gt;0,IF(M101&gt;0,M101,IF(M100&gt;0,IF(N100=TRUE,ROUND((M100*AE101)/AE100,0),(M100*AE101)/AE100),IF(M101&gt;0,ROUND(M101,IF(N100=0,2,IF(N100=0.1,1,0))),IF(M102&gt;0,ROUND(O102*AE101/AE102,IF(N100=0,2,IF(N100=0.1,1,0))),0)))),IF(M101&gt;0,M101,ROUND((M100*AE101)/AE100,IF(N100=0,2,IF(N100=0.1,1,0))))),2))</f>
        <v>50.4</v>
      </c>
      <c r="P101" s="122">
        <f>IF(OR(L101="",O101=""),"",IF($C101="1/2W",O101/2+O101/2*L101,IF($C101="1/2L",O101/2,IF(I101="Lay",((O101*(L101/(L101-1)))-O101)*(1-_xlfn.XLOOKUP(K101,'Janeiro 2023 - Valor Real'!A3:A15,'Janeiro 2023 - Valor Real'!C3:C15,0))+O101,(O101*L101-O101)*(1-_xlfn.XLOOKUP(K101,'Janeiro 2023 - Valor Real'!A3:A15,'Janeiro 2023 - Valor Real'!C3:C15,0))+O101))))</f>
        <v>63</v>
      </c>
      <c r="Q101" s="279">
        <v>5</v>
      </c>
      <c r="R101" s="280">
        <v>0</v>
      </c>
      <c r="S101" s="125"/>
      <c r="T101" s="126"/>
      <c r="U101" s="126"/>
      <c r="V101" s="224"/>
      <c r="W101" s="126"/>
      <c r="X101" s="127"/>
      <c r="Y101" s="128"/>
      <c r="Z101" s="129"/>
      <c r="AA101" s="129"/>
      <c r="AB101" s="129"/>
      <c r="AC101" s="129"/>
      <c r="AD101" s="130"/>
      <c r="AE101" s="131">
        <f>IF(L101="","",IF(L102&gt;0,(SUM(((L100-1)*(1-_xlfn.XLOOKUP(K100,'Janeiro 2023 - Valor Real'!A3:A15,'Janeiro 2023 - Valor Real'!C3:C15,0))+1),((L101-1)*(1-_xlfn.XLOOKUP(K101,'Janeiro 2023 - Valor Real'!A3:A15,'Janeiro 2023 - Valor Real'!C3:C15,0))+1),((L102-1)*(1-_xlfn.XLOOKUP(K102,'Janeiro 2023 - Valor Real'!A3:A15,'Janeiro 2023 - Valor Real'!C3:C15,0))+1))/((L101-1)*(1-_xlfn.XLOOKUP(K101,'Janeiro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Real'!C3:C15,0))+1))/((L100-1)*(1-_xlfn.XLOOKUP(K100,'Janeiro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Real'!C3:C15,0))+1))/((L101-1)*(1-_xlfn.XLOOKUP(K101,'Janeiro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Real'!C3:C15,0))+1))/((L102-1)*(1-_xlfn.XLOOKUP(K102,'Janeiro 2023 - Valor Real'!A3:A15,'Janeiro 2023 - Valor Real'!C3:C15,0))+1)),IF(I101="Lay",IF(I100="Lay",((L100/(L100-1)-1)*(1-_xlfn.XLOOKUP(K100,'Janeiro 2023 - Valor Real'!A3:A15,'Janeiro 2023 - Valor Real'!C3:C15,0))+1)/(((L100/(L100-1)-1)*(1-_xlfn.XLOOKUP(K100,'Janeiro 2023 - Valor Real'!A3:A15,'Janeiro 2023 - Valor Real'!C3:C15,0))+1)+((L101/(L101-1)-1)*(1-_xlfn.XLOOKUP(K101,'Janeiro 2023 - Valor Real'!A3:A15,'Janeiro 2023 - Valor Real'!C3:C15,0))+1)),((L100-1)*(1-_xlfn.XLOOKUP(K100,'Janeiro 2023 - Valor Real'!A3:A15,'Janeiro 2023 - Valor Real'!C3:C15,0))+1)/(((L100-1)*(1-_xlfn.XLOOKUP(K100,'Janeiro 2023 - Valor Real'!A3:A15,'Janeiro 2023 - Valor Real'!C3:C15,0))+1)+((L101/(L101-1)-1)*(1-_xlfn.XLOOKUP(K101,'Janeiro 2023 - Valor Real'!A3:A15,'Janeiro 2023 - Valor Real'!C3:C15,0))+1))),IF(I100="Lay",((L100/(L100-1)-1)*(1-_xlfn.XLOOKUP(K100,'Janeiro 2023 - Valor Real'!A3:A15,'Janeiro 2023 - Valor Real'!C3:C15,0))+1)/((((L100/(L100-1)-1)*(1-_xlfn.XLOOKUP(K100,'Janeiro 2023 - Valor Real'!A3:A15,'Janeiro 2023 - Valor Real'!C3:C15,0))+1))+((L101-1)*(1-_xlfn.XLOOKUP(K101,'Janeiro 2023 - Valor Real'!A3:A15,'Janeiro 2023 - Valor Real'!C3:C15,0))+1)),((L100-1)*(1-_xlfn.XLOOKUP(K100,'Janeiro 2023 - Valor Real'!A3:A15,'Janeiro 2023 - Valor Real'!C3:C15,0))+1)/(((L100-1)*(1-_xlfn.XLOOKUP(K100,'Janeiro 2023 - Valor Real'!A3:A15,'Janeiro 2023 - Valor Real'!C3:C15,0))+1)+((L101-1)*(1-_xlfn.XLOOKUP(K101,'Janeiro 2023 - Valor Real'!A3:A15,'Janeiro 2023 - Valor Real'!C3:C15,0))+1))))))</f>
        <v>0.8322147651006711</v>
      </c>
      <c r="AF101" s="132">
        <f>IF($K101=AF$3,ROUND(IF(OR($C101="W",$C101="1/2W",$C101="1/2L"),$P101-$O101,IF($C101="X",0,-$O101)),2),0)</f>
        <v>0</v>
      </c>
      <c r="AG101" s="133">
        <f>IF($K101=AG$3,ROUND(IF(OR($C101="W",$C101="1/2W",$C101="1/2L"),$P101-$O101,IF($C101="X",0,-$O101)),2),0)</f>
        <v>12.6</v>
      </c>
      <c r="AH101" s="133">
        <f>IF($K101=AH$3,ROUND(IF(OR($C101="W",$C101="1/2W",$C101="1/2L"),$P101-$O101,IF($C101="X",0,-$O101)),2),0)</f>
        <v>0</v>
      </c>
      <c r="AI101" s="133">
        <f>IF($K101=AI$3,ROUND(IF(OR($C101="W",$C101="1/2W",$C101="1/2L"),$P101-$O101,IF($C101="X",0,-$O101)),2),0)</f>
        <v>0</v>
      </c>
      <c r="AJ101" s="133">
        <f>IF($K101=AJ$3,ROUND(IF(OR($C101="W",$C101="1/2W",$C101="1/2L"),$P101-$O101,IF($C101="X",0,-$O101)),2),0)</f>
        <v>0</v>
      </c>
      <c r="AK101" s="133">
        <f>IF($K101=AK$3,ROUND(IF(OR($C101="W",$C101="1/2W",$C101="1/2L"),$P101-$O101,IF($C101="X",0,-$O101)),2),0)</f>
        <v>0</v>
      </c>
      <c r="AL101" s="133">
        <f>IF($K101=AL$3,ROUND(IF(OR($C101="W",$C101="1/2W",$C101="1/2L"),$P101-$O101,IF($C101="X",0,-$O101)),2),0)</f>
        <v>0</v>
      </c>
      <c r="AM101" s="133">
        <f>IF($K101=AM$3,ROUND(IF(OR($C101="W",$C101="1/2W",$C101="1/2L"),$P101-$O101,IF($C101="X",0,-$O101)),2),0)</f>
        <v>0</v>
      </c>
      <c r="AN101" s="133">
        <f>IF($K101=AN$3,ROUND(IF(OR($C101="W",$C101="1/2W",$C101="1/2L"),$P101-$O101,IF($C101="X",0,-$O101)),2),0)</f>
        <v>0</v>
      </c>
      <c r="AO101" s="133">
        <f>IF($K101=AO$3,ROUND(IF(OR($C101="W",$C101="1/2W",$C101="1/2L"),$P101-$O101,IF($C101="X",0,-$O101)),2),0)</f>
        <v>0</v>
      </c>
      <c r="AP101" s="133">
        <f>IF($K101=AP$3,ROUND(IF(OR($C101="W",$C101="1/2W",$C101="1/2L"),$P101-$O101,IF($C101="X",0,-$O101)),2),0)</f>
        <v>0</v>
      </c>
      <c r="AQ101" s="133">
        <f>IF($K101=AQ$3,ROUND(IF(OR($C101="W",$C101="1/2W",$C101="1/2L"),$P101-$O101,IF($C101="X",0,-$O101)),2),0)</f>
        <v>0</v>
      </c>
      <c r="AR101" s="134">
        <f>IF($K101=AR$3,ROUND(IF(OR($C101="W",$C101="1/2W",$C101="1/2L"),$P101-$O101,IF($C101="X",0,-$O101)),2),0)</f>
        <v>0</v>
      </c>
      <c r="AS101" s="132">
        <f>IF(AND($B100=" ",$K101=AS$3),$O101,0)</f>
        <v>0</v>
      </c>
      <c r="AT101" s="133">
        <f>IF(AND($B100=" ",K101=AT$3),$O101,0)</f>
        <v>0</v>
      </c>
      <c r="AU101" s="133">
        <f>IF(AND($B100=" ",$K101=AU$3),$O101,0)</f>
        <v>0</v>
      </c>
      <c r="AV101" s="133">
        <f>IF(AND($B100=" ",$K101=AV$3),$O101,0)</f>
        <v>0</v>
      </c>
      <c r="AW101" s="133">
        <f>IF(AND($B100=" ",$K101=AW$3),$O101,0)</f>
        <v>0</v>
      </c>
      <c r="AX101" s="133">
        <f>IF(AND($B100=" ",$K101=AX$3),$O101,0)</f>
        <v>0</v>
      </c>
      <c r="AY101" s="135">
        <f>IF(AND($B100=" ",$K101=AY$3),$O101,0)</f>
        <v>0</v>
      </c>
      <c r="AZ101" s="136">
        <f>IF(AND($B100=" ",$K101=AZ$3),$O101,0)</f>
        <v>0</v>
      </c>
      <c r="BA101" s="136">
        <f>IF(AND($B100=" ",$K101=BA$3),$O101,0)</f>
        <v>0</v>
      </c>
      <c r="BB101" s="136">
        <f>IF(AND($B100=" ",$K101=BB$3),$O101,0)</f>
        <v>0</v>
      </c>
      <c r="BC101" s="137">
        <f>IF(AND($B100=" ",$K101=BC$3),$O101,0)</f>
        <v>0</v>
      </c>
      <c r="BD101" s="133">
        <f>IF(AND($B100=" ",$K101=BD$3),$O101,0)</f>
        <v>0</v>
      </c>
      <c r="BE101" s="134">
        <f>IF(AND($B100=" ",$K101=BE$3),$O101,0)</f>
        <v>0</v>
      </c>
      <c r="BF101" s="132">
        <f>IF($K101=BF$3,IF($C101="X",0,$O101),0)</f>
        <v>0</v>
      </c>
      <c r="BG101" s="281">
        <f>IF($K101=BG$3,IF($C101="X",0,$O101),0)</f>
        <v>50.4</v>
      </c>
      <c r="BH101" s="133">
        <f>IF($K101=BH$3,IF($C101="X",0,$O101),0)</f>
        <v>0</v>
      </c>
      <c r="BI101" s="133">
        <f>IF($K101=BI$3,IF($C101="X",0,$O101),0)</f>
        <v>0</v>
      </c>
      <c r="BJ101" s="133">
        <f>IF($K101=BJ$3,IF($C101="X",0,$O101),0)</f>
        <v>0</v>
      </c>
      <c r="BK101" s="133">
        <f>IF($K101=BK$3,IF($C101="X",0,$O101),0)</f>
        <v>0</v>
      </c>
      <c r="BL101" s="133">
        <f>IF($K101=BL$3,IF($C101="X",0,$O101),0)</f>
        <v>0</v>
      </c>
      <c r="BM101" s="135">
        <f>IF($K101=BM$3,IF($C101="X",0,$O101),0)</f>
        <v>0</v>
      </c>
      <c r="BN101" s="136">
        <f>IF($K101=BN$3,IF($C101="X",0,$O101),0)</f>
        <v>0</v>
      </c>
      <c r="BO101" s="136">
        <f>IF($K101=BO$3,IF($C101="X",0,$O101),0)</f>
        <v>0</v>
      </c>
      <c r="BP101" s="136">
        <f>IF($K101=BP$3,IF($C101="X",0,$O101),0)</f>
        <v>0</v>
      </c>
      <c r="BQ101" s="137">
        <f>IF($K101=BQ$3,IF($C101="X",0,$O101),0)</f>
        <v>0</v>
      </c>
      <c r="BR101" s="134">
        <f>IF($K101=BR$3,IF($C101="X",0,$O101),0)</f>
        <v>0</v>
      </c>
      <c r="BS101" s="282"/>
      <c r="BT101" s="283"/>
      <c r="BU101" s="140"/>
      <c r="BV101" s="283"/>
      <c r="BW101" s="140"/>
      <c r="BX101" s="140"/>
      <c r="BY101" s="140"/>
      <c r="BZ101" s="283"/>
      <c r="CA101" s="140"/>
      <c r="CB101" s="140"/>
      <c r="CC101" s="140"/>
      <c r="CD101" s="141"/>
      <c r="CE101" s="142"/>
      <c r="CF101" s="284">
        <f>IF(CF$3=$K101,IF($C101="W",1,IF($C101="1/2W",0.5,0)),0)</f>
        <v>0</v>
      </c>
      <c r="CG101" s="285">
        <f>IF(CF$3=$K101,IF($C101="L",1,IF($C101="1/2L",0.5,0)),0)</f>
        <v>0</v>
      </c>
      <c r="CH101" s="285">
        <f>IF(CH$3=$K101,IF($C101="W",1,IF($C101="1/2W",0.5,0)),0)</f>
        <v>1</v>
      </c>
      <c r="CI101" s="285">
        <f>IF(CH$3=$K101,IF($C101="L",1,IF($C101="1/2L",0.5,0)),0)</f>
        <v>0</v>
      </c>
      <c r="CJ101" s="285">
        <f>IF(CJ$3=$K101,IF($C101="W",1,IF($C101="1/2W",0.5,0)),0)</f>
        <v>0</v>
      </c>
      <c r="CK101" s="285">
        <f>IF(CJ$3=$K101,IF($C101="L",1,IF($C101="1/2L",0.5,0)),0)</f>
        <v>0</v>
      </c>
      <c r="CL101" s="285">
        <f>IF(CL$3=$K101,IF($C101="W",1,IF($C101="1/2W",0.5,0)),0)</f>
        <v>0</v>
      </c>
      <c r="CM101" s="285">
        <f>IF(CL$3=$K101,IF($C101="L",1,IF($C101="1/2L",0.5,0)),0)</f>
        <v>0</v>
      </c>
      <c r="CN101" s="285">
        <f>IF(CN$3=$K101,IF($C101="W",1,IF($C101="1/2W",0.5,0)),0)</f>
        <v>0</v>
      </c>
      <c r="CO101" s="285">
        <f>IF(CN$3=$K101,IF($C101="L",1,IF($C101="1/2L",0.5,0)),0)</f>
        <v>0</v>
      </c>
      <c r="CP101" s="285">
        <f>IF(CP$3=$K101,IF($C101="W",1,IF($C101="1/2W",0.5,0)),0)</f>
        <v>0</v>
      </c>
      <c r="CQ101" s="285">
        <f>IF(CP$3=$K101,IF($C101="L",1,IF($C101="1/2L",0.5,0)),0)</f>
        <v>0</v>
      </c>
      <c r="CR101" s="285">
        <f>IF(CR$3=$K101,IF($C101="W",1,IF($C101="1/2W",0.5,0)),0)</f>
        <v>0</v>
      </c>
      <c r="CS101" s="285">
        <f>IF(CR$3=$K101,IF($C101="L",1,IF($C101="1/2L",0.5,0)),0)</f>
        <v>0</v>
      </c>
      <c r="CT101" s="145">
        <f>IF(CT$3=$K101,IF($C101="W",1,IF($C101="1/2W",0.5,0)),0)</f>
        <v>0</v>
      </c>
      <c r="CU101" s="146">
        <f>IF(CT$3=$K101,IF($C101="L",1,IF($C101="1/2L",0.5,0)),0)</f>
        <v>0</v>
      </c>
      <c r="CV101" s="146">
        <f>IF(CV$3=$K101,IF($C101="W",1,IF($C101="1/2W",0.5,0)),0)</f>
        <v>0</v>
      </c>
      <c r="CW101" s="146">
        <f>IF(CV$3=$K101,IF($C101="L",1,IF($C101="1/2L",0.5,0)),0)</f>
        <v>0</v>
      </c>
      <c r="CX101" s="146">
        <f>IF(CX$3=$K101,IF($C101="W",1,IF($C101="1/2W",0.5,0)),0)</f>
        <v>0</v>
      </c>
      <c r="CY101" s="146">
        <f>IF(CX$3=$K101,IF($C101="L",1,IF($C101="1/2L",0.5,0)),0)</f>
        <v>0</v>
      </c>
      <c r="CZ101" s="146">
        <f>IF(CZ$3=$K101,IF($C101="W",1,IF($C101="1/2W",0.5,0)),0)</f>
        <v>0</v>
      </c>
      <c r="DA101" s="146">
        <f>IF(CZ$3=$K101,IF($C101="L",1,IF($C101="1/2L",0.5,0)),0)</f>
        <v>0</v>
      </c>
      <c r="DB101" s="146">
        <f>IF(DB$3=$K101,IF($C101="W",1,IF($C101="1/2W",0.5,0)),0)</f>
        <v>0</v>
      </c>
      <c r="DC101" s="146">
        <f>IF(DB$3=$K101,IF($C101="L",1,IF($C101="1/2L",0.5,0)),0)</f>
        <v>0</v>
      </c>
      <c r="DD101" s="146">
        <f>IF(DD$3=$K101,IF($C101="W",1,IF($C101="1/2W",0.5,0)),0)</f>
        <v>0</v>
      </c>
      <c r="DE101" s="147">
        <f>IF(DD$3=$K101,IF($C101="L",1,IF($C101="1/2L",0.5,0)),0)</f>
        <v>0</v>
      </c>
      <c r="DF101" s="143">
        <f>IF(AND(L101&lt;DF$3,$C101="W"),1+DF100,DF100)</f>
        <v>7</v>
      </c>
      <c r="DG101" s="133">
        <f>IF(DF101&gt;DF100,L101+DG100,DG100)</f>
        <v>9.247999999999999</v>
      </c>
      <c r="DH101" s="146">
        <f>IF(AND(L101&gt;DH$3,$C101="W"),1+DH100,0+DH100)</f>
        <v>1</v>
      </c>
      <c r="DI101" s="133">
        <f>IF(DH101&gt;DH100,L101+DI100,DI100)</f>
        <v>4.33</v>
      </c>
      <c r="DJ101" t="s" s="304">
        <f>IF($D100="","",$D100)</f>
        <v>101</v>
      </c>
      <c r="DK101" s="286"/>
    </row>
    <row r="102" ht="14.55" customHeight="1">
      <c r="A102" s="149"/>
      <c r="B102" s="150"/>
      <c r="C102" t="s" s="151">
        <v>58</v>
      </c>
      <c r="D102" s="152"/>
      <c r="E102" s="153"/>
      <c r="F102" s="155"/>
      <c r="G102" s="252"/>
      <c r="H102" s="156"/>
      <c r="I102" s="287"/>
      <c r="J102" s="288"/>
      <c r="K102" s="156"/>
      <c r="L102" s="289"/>
      <c r="M102" s="290"/>
      <c r="N102" s="161"/>
      <c r="O102" t="s" s="162">
        <f>IF(OR(AE100="",AE101=""),"",IF(L102&gt;0,ROUND(IF(M102&gt;0,M102,IF(M100&gt;0,ROUND((M100*AE102)/AE100,IF(N100=0,2,IF(N100=0.1,1,0))),IF(M101&gt;0,ROUND((M101*AE102)/AE101,IF(N100=0,2,IF(N100=0.1,1,0))),IF(M102&gt;0,M102,0)))),2),""))</f>
      </c>
      <c r="P102" t="s" s="163">
        <f>IF(I101="Lay",O101*(L101/(L101-1))-O101,IF(I100="Lay",O100*(L100/(L100-1))-O100,IF(OR(L102="",O102=""),"",IF($C102="1/2W",O102/2+O102/2*L102,IF($C102="1/2L",O102/2,(O102*L102-O102)*(1-_xlfn.XLOOKUP(K102,'Janeiro 2023 - Valor Real'!A3:A15,'Janeiro 2023 - Valor Real'!C3:C15,0))+O102)))))</f>
      </c>
      <c r="Q102" t="s" s="154"/>
      <c r="R102" t="s" s="163"/>
      <c r="S102" s="166"/>
      <c r="T102" s="155"/>
      <c r="U102" s="155"/>
      <c r="V102" s="166"/>
      <c r="W102" s="155"/>
      <c r="X102" s="167"/>
      <c r="Y102" s="128"/>
      <c r="Z102" s="129"/>
      <c r="AA102" s="129"/>
      <c r="AB102" s="129"/>
      <c r="AC102" s="129"/>
      <c r="AD102" s="168"/>
      <c r="AE102" t="s" s="169">
        <f>IF(L102="","",(SUM(((L100-1)*(1-_xlfn.XLOOKUP(K100,'Janeiro 2023 - Valor Real'!A3:A15,'Janeiro 2023 - Valor Real'!C3:C15,0))+1),((L101-1)*(1-_xlfn.XLOOKUP(K101,'Janeiro 2023 - Valor Real'!A3:A15,'Janeiro 2023 - Valor Real'!C3:C15,0))+1),((L102-1)*(1-_xlfn.XLOOKUP(K102,'Janeiro 2023 - Valor Real'!A3:A15,'Janeiro 2023 - Valor Real'!C3:C15,0))+1))/((L102-1)*(1-_xlfn.XLOOKUP(K102,'Janeiro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Real'!C3:C15,0))+1))/((L100-1)*(1-_xlfn.XLOOKUP(K100,'Janeiro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Real'!C3:C15,0))+1))/((L101-1)*(1-_xlfn.XLOOKUP(K101,'Janeiro 2023 - Valor Real'!A3:A15,'Janeiro 2023 - Valor Real'!C3:C15,0))+1)+SUM(((L100-1)*(1-_xlfn.XLOOKUP(K100,'Janeiro 2023 - Valor Real'!A3:A15,'Janeiro 2023 - Valor Real'!C3:C15,0))+1),((L101-1)*(1-_xlfn.XLOOKUP(K101,'Janeiro 2023 - Valor Real'!A3:A15,'Janeiro 2023 - Valor Real'!C3:C15,0))+1),((L102-1)*(1-_xlfn.XLOOKUP(K102,'Janeiro 2023 - Valor Real'!A3:A15,'Janeiro 2023 - Valor Real'!C3:C15,0))+1))/((L102-1)*(1-_xlfn.XLOOKUP(K102,'Janeiro 2023 - Valor Real'!A3:A15,'Janeiro 2023 - Valor Real'!C3:C15,0))+1)))</f>
      </c>
      <c r="AF102" s="132">
        <f>IF($K102=AF$3,ROUND(IF(OR($C102="W",$C102="1/2W",$C102="1/2L"),$P102-$O102,IF($C102="X",0,-$O102)),2),0)</f>
        <v>0</v>
      </c>
      <c r="AG102" s="133">
        <f>IF($K102=AG$3,ROUND(IF(OR($C102="W",$C102="1/2W",$C102="1/2L"),$P102-$O102,IF($C102="X",0,-$O102)),2),0)</f>
        <v>0</v>
      </c>
      <c r="AH102" s="133">
        <f>IF($K102=AH$3,ROUND(IF(OR($C102="W",$C102="1/2W",$C102="1/2L"),$P102-$O102,IF($C102="X",0,-$O102)),2),0)</f>
        <v>0</v>
      </c>
      <c r="AI102" s="133">
        <f>IF($K102=AI$3,ROUND(IF(OR($C102="W",$C102="1/2W",$C102="1/2L"),$P102-$O102,IF($C102="X",0,-$O102)),2),0)</f>
        <v>0</v>
      </c>
      <c r="AJ102" s="133">
        <f>IF($K102=AJ$3,ROUND(IF(OR($C102="W",$C102="1/2W",$C102="1/2L"),$P102-$O102,IF($C102="X",0,-$O102)),2),0)</f>
        <v>0</v>
      </c>
      <c r="AK102" s="133">
        <f>IF($K102=AK$3,ROUND(IF(OR($C102="W",$C102="1/2W",$C102="1/2L"),$P102-$O102,IF($C102="X",0,-$O102)),2),0)</f>
        <v>0</v>
      </c>
      <c r="AL102" s="133">
        <f>IF($K102=AL$3,ROUND(IF(OR($C102="W",$C102="1/2W",$C102="1/2L"),$P102-$O102,IF($C102="X",0,-$O102)),2),0)</f>
        <v>0</v>
      </c>
      <c r="AM102" s="133">
        <f>IF($K102=AM$3,ROUND(IF(OR($C102="W",$C102="1/2W",$C102="1/2L"),$P102-$O102,IF($C102="X",0,-$O102)),2),0)</f>
        <v>0</v>
      </c>
      <c r="AN102" s="133">
        <f>IF($K102=AN$3,ROUND(IF(OR($C102="W",$C102="1/2W",$C102="1/2L"),$P102-$O102,IF($C102="X",0,-$O102)),2),0)</f>
        <v>0</v>
      </c>
      <c r="AO102" s="133">
        <f>IF($K102=AO$3,ROUND(IF(OR($C102="W",$C102="1/2W",$C102="1/2L"),$P102-$O102,IF($C102="X",0,-$O102)),2),0)</f>
        <v>0</v>
      </c>
      <c r="AP102" s="133">
        <f>IF($K102=AP$3,ROUND(IF(OR($C102="W",$C102="1/2W",$C102="1/2L"),$P102-$O102,IF($C102="X",0,-$O102)),2),0)</f>
        <v>0</v>
      </c>
      <c r="AQ102" s="133">
        <f>IF($K102=AQ$3,ROUND(IF(OR($C102="W",$C102="1/2W",$C102="1/2L"),$P102-$O102,IF($C102="X",0,-$O102)),2),0)</f>
        <v>0</v>
      </c>
      <c r="AR102" s="134">
        <f>IF($K102=AR$3,ROUND(IF(OR($C102="W",$C102="1/2W",$C102="1/2L"),$P102-$O102,IF($C102="X",0,-$O102)),2),0)</f>
        <v>0</v>
      </c>
      <c r="AS102" s="132">
        <f>IF(AND($B100=" ",$K102=AS$3),$O102,0)</f>
        <v>0</v>
      </c>
      <c r="AT102" s="133">
        <f>IF(AND($B100=" ",K102=AT$3),$O102,0)</f>
        <v>0</v>
      </c>
      <c r="AU102" s="133">
        <f>IF(AND($B100=" ",$K102=AU$3),$O102,0)</f>
        <v>0</v>
      </c>
      <c r="AV102" s="133">
        <f>IF(AND($B100=" ",$K102=AV$3),$O102,0)</f>
        <v>0</v>
      </c>
      <c r="AW102" s="133">
        <f>IF(AND($B100=" ",$K102=AW$3),$O102,0)</f>
        <v>0</v>
      </c>
      <c r="AX102" s="133">
        <f>IF(AND($B100=" ",$K102=AX$3),$O102,0)</f>
        <v>0</v>
      </c>
      <c r="AY102" s="135">
        <f>IF(AND($B100=" ",$K102=AY$3),$O102,0)</f>
        <v>0</v>
      </c>
      <c r="AZ102" s="136">
        <f>IF(AND($B100=" ",$K102=AZ$3),$O102,0)</f>
        <v>0</v>
      </c>
      <c r="BA102" s="136">
        <f>IF(AND($B100=" ",$K102=BA$3),$O102,0)</f>
        <v>0</v>
      </c>
      <c r="BB102" s="136">
        <f>IF(AND($B100=" ",$K102=BB$3),$O102,0)</f>
        <v>0</v>
      </c>
      <c r="BC102" s="137">
        <f>IF(AND($B100=" ",$K102=BC$3),$O102,0)</f>
        <v>0</v>
      </c>
      <c r="BD102" s="133">
        <f>IF(AND($B100=" ",$K102=BD$3),$O102,0)</f>
        <v>0</v>
      </c>
      <c r="BE102" s="134">
        <f>IF(AND($B100=" ",$K102=BE$3),$O102,0)</f>
        <v>0</v>
      </c>
      <c r="BF102" s="132">
        <f>IF($K102=BF$3,IF($C102="X",0,$O102),0)</f>
        <v>0</v>
      </c>
      <c r="BG102" s="281">
        <f>IF($K102=BG$3,IF($C102="X",0,$O102),0)</f>
        <v>0</v>
      </c>
      <c r="BH102" s="133">
        <f>IF($K102=BH$3,IF($C102="X",0,$O102),0)</f>
        <v>0</v>
      </c>
      <c r="BI102" s="133">
        <f>IF($K102=BI$3,IF($C102="X",0,$O102),0)</f>
        <v>0</v>
      </c>
      <c r="BJ102" s="133">
        <f>IF($K102=BJ$3,IF($C102="X",0,$O102),0)</f>
        <v>0</v>
      </c>
      <c r="BK102" s="133">
        <f>IF($K102=BK$3,IF($C102="X",0,$O102),0)</f>
        <v>0</v>
      </c>
      <c r="BL102" s="133">
        <f>IF($K102=BL$3,IF($C102="X",0,$O102),0)</f>
        <v>0</v>
      </c>
      <c r="BM102" s="135">
        <f>IF($K102=BM$3,IF($C102="X",0,$O102),0)</f>
        <v>0</v>
      </c>
      <c r="BN102" s="136">
        <f>IF($K102=BN$3,IF($C102="X",0,$O102),0)</f>
        <v>0</v>
      </c>
      <c r="BO102" s="136">
        <f>IF($K102=BO$3,IF($C102="X",0,$O102),0)</f>
        <v>0</v>
      </c>
      <c r="BP102" s="136">
        <f>IF($K102=BP$3,IF($C102="X",0,$O102),0)</f>
        <v>0</v>
      </c>
      <c r="BQ102" s="137">
        <f>IF($K102=BQ$3,IF($C102="X",0,$O102),0)</f>
        <v>0</v>
      </c>
      <c r="BR102" s="134">
        <f>IF($K102=BR$3,IF($C102="X",0,$O102),0)</f>
        <v>0</v>
      </c>
      <c r="BS102" s="282"/>
      <c r="BT102" s="283"/>
      <c r="BU102" s="140"/>
      <c r="BV102" s="283"/>
      <c r="BW102" s="140"/>
      <c r="BX102" s="140"/>
      <c r="BY102" s="140"/>
      <c r="BZ102" s="283"/>
      <c r="CA102" s="140"/>
      <c r="CB102" s="140"/>
      <c r="CC102" s="140"/>
      <c r="CD102" s="141"/>
      <c r="CE102" s="142"/>
      <c r="CF102" s="284">
        <f>IF(CF$3=$K102,IF($C102="W",1,IF($C102="1/2W",0.5,0)),0)</f>
        <v>0</v>
      </c>
      <c r="CG102" s="285">
        <f>IF(CF$3=$K102,IF($C102="L",1,IF($C102="1/2L",0.5,0)),0)</f>
        <v>0</v>
      </c>
      <c r="CH102" s="285">
        <f>IF(CH$3=$K102,IF($C102="W",1,IF($C102="1/2W",0.5,0)),0)</f>
        <v>0</v>
      </c>
      <c r="CI102" s="285">
        <f>IF(CH$3=$K102,IF($C102="L",1,IF($C102="1/2L",0.5,0)),0)</f>
        <v>0</v>
      </c>
      <c r="CJ102" s="285">
        <f>IF(CJ$3=$K102,IF($C102="W",1,IF($C102="1/2W",0.5,0)),0)</f>
        <v>0</v>
      </c>
      <c r="CK102" s="285">
        <f>IF(CJ$3=$K102,IF($C102="L",1,IF($C102="1/2L",0.5,0)),0)</f>
        <v>0</v>
      </c>
      <c r="CL102" s="285">
        <f>IF(CL$3=$K102,IF($C102="W",1,IF($C102="1/2W",0.5,0)),0)</f>
        <v>0</v>
      </c>
      <c r="CM102" s="285">
        <f>IF(CL$3=$K102,IF($C102="L",1,IF($C102="1/2L",0.5,0)),0)</f>
        <v>0</v>
      </c>
      <c r="CN102" s="285">
        <f>IF(CN$3=$K102,IF($C102="W",1,IF($C102="1/2W",0.5,0)),0)</f>
        <v>0</v>
      </c>
      <c r="CO102" s="285">
        <f>IF(CN$3=$K102,IF($C102="L",1,IF($C102="1/2L",0.5,0)),0)</f>
        <v>0</v>
      </c>
      <c r="CP102" s="285">
        <f>IF(CP$3=$K102,IF($C102="W",1,IF($C102="1/2W",0.5,0)),0)</f>
        <v>0</v>
      </c>
      <c r="CQ102" s="285">
        <f>IF(CP$3=$K102,IF($C102="L",1,IF($C102="1/2L",0.5,0)),0)</f>
        <v>0</v>
      </c>
      <c r="CR102" s="285">
        <f>IF(CR$3=$K102,IF($C102="W",1,IF($C102="1/2W",0.5,0)),0)</f>
        <v>0</v>
      </c>
      <c r="CS102" s="285">
        <f>IF(CR$3=$K102,IF($C102="L",1,IF($C102="1/2L",0.5,0)),0)</f>
        <v>0</v>
      </c>
      <c r="CT102" s="145">
        <f>IF(CT$3=$K102,IF($C102="W",1,IF($C102="1/2W",0.5,0)),0)</f>
        <v>0</v>
      </c>
      <c r="CU102" s="146">
        <f>IF(CT$3=$K102,IF($C102="L",1,IF($C102="1/2L",0.5,0)),0)</f>
        <v>0</v>
      </c>
      <c r="CV102" s="146">
        <f>IF(CV$3=$K102,IF($C102="W",1,IF($C102="1/2W",0.5,0)),0)</f>
        <v>0</v>
      </c>
      <c r="CW102" s="146">
        <f>IF(CV$3=$K102,IF($C102="L",1,IF($C102="1/2L",0.5,0)),0)</f>
        <v>0</v>
      </c>
      <c r="CX102" s="146">
        <f>IF(CX$3=$K102,IF($C102="W",1,IF($C102="1/2W",0.5,0)),0)</f>
        <v>0</v>
      </c>
      <c r="CY102" s="146">
        <f>IF(CX$3=$K102,IF($C102="L",1,IF($C102="1/2L",0.5,0)),0)</f>
        <v>0</v>
      </c>
      <c r="CZ102" s="146">
        <f>IF(CZ$3=$K102,IF($C102="W",1,IF($C102="1/2W",0.5,0)),0)</f>
        <v>0</v>
      </c>
      <c r="DA102" s="146">
        <f>IF(CZ$3=$K102,IF($C102="L",1,IF($C102="1/2L",0.5,0)),0)</f>
        <v>0</v>
      </c>
      <c r="DB102" s="146">
        <f>IF(DB$3=$K102,IF($C102="W",1,IF($C102="1/2W",0.5,0)),0)</f>
        <v>0</v>
      </c>
      <c r="DC102" s="146">
        <f>IF(DB$3=$K102,IF($C102="L",1,IF($C102="1/2L",0.5,0)),0)</f>
        <v>0</v>
      </c>
      <c r="DD102" s="146">
        <f>IF(DD$3=$K102,IF($C102="W",1,IF($C102="1/2W",0.5,0)),0)</f>
        <v>0</v>
      </c>
      <c r="DE102" s="147">
        <f>IF(DD$3=$K102,IF($C102="L",1,IF($C102="1/2L",0.5,0)),0)</f>
        <v>0</v>
      </c>
      <c r="DF102" s="143">
        <f>IF(AND(L102&lt;DF$3,$C102="W"),1+DF101,DF101)</f>
        <v>7</v>
      </c>
      <c r="DG102" s="133">
        <f>IF(DF102&gt;DF101,L102+DG101,DG101)</f>
        <v>9.247999999999999</v>
      </c>
      <c r="DH102" s="146">
        <f>IF(AND(L102&gt;DH$3,$C102="W"),1+DH101,0+DH101)</f>
        <v>1</v>
      </c>
      <c r="DI102" s="133">
        <f>IF(DH102&gt;DH101,L102+DI101,DI101)</f>
        <v>4.33</v>
      </c>
      <c r="DJ102" t="s" s="304">
        <f>IF($D100="","",$D100)</f>
        <v>101</v>
      </c>
      <c r="DK102" s="286"/>
    </row>
    <row r="103" ht="14.55" customHeight="1">
      <c r="A103" s="171">
        <f>$A100+1</f>
        <v>34</v>
      </c>
      <c r="B103" t="s" s="172">
        <f>IF(AND(_xlfn.XLOOKUP(H103,H20:H$84,G20:G$84,0)=G103,_xlfn.XLOOKUP("TempoBet",K103:K105,L103:L105,0)&gt;0),"X",IF(OR(C103="W",C104="W",C105="W",C103="1/2W",C104="1/2W",C105="1/2W",C103="1/2L",C104="1/2L",C105="1/2L"),"OK",IF(OR(C103="L",C104="L",C105="L"),"LOSS",IF(OR(C103="X",C104="X",C105="X"),"Anulado"," "))))</f>
        <v>50</v>
      </c>
      <c r="C103" t="s" s="173">
        <v>51</v>
      </c>
      <c r="D103" t="s" s="305">
        <f>IF(G103="","",$D100)</f>
        <v>101</v>
      </c>
      <c r="E103" t="s" s="175">
        <f>IF(G103=""," ","– "&amp;COUNTIF(D$4:D105,$D103))</f>
        <v>143</v>
      </c>
      <c r="F103" t="s" s="176">
        <f>IF(G103="","",IF(OR(AND($C103&lt;&gt;" ",$C104=" "),AND($C104&lt;&gt;" ",$C103=" "),AND(L105&gt;0,OR(AND($C105&lt;&gt;" ",OR($C103=" ",$C104=" ")),AND($C105=" ",OR($C103&lt;&gt;" ",$C104&lt;&gt;" "))))),IF(SUM(F$4:F102)=0,1,LARGE(F$4:F102,1)+1),IF(MONTH(G103)=MONTH(TODAY()),IF(AND(DAY(G103)&lt;DAY(TODAY()),$B103=" "),IF(SUM(F$4:F102)=0,1,LARGE(F$4:F102,1)+1),IF($B103=" ",IF(AND(DAY(G103)=DAY(TODAY()),HOUR(G103)&lt;=HOUR(NOW())+1),IF(AND(HOUR(G103)+2&lt;=HOUR(NOW()),DAY(G103)&lt;=DAY(TODAY()),MINUTE(G103)&lt;=MINUTE(NOW())),IF(SUM(F$4:F102)=0,1,LARGE(F$4:F102,1)+1),IF(OR(MINUTE(G103)&lt;=MINUTE(NOW()),HOUR(G103)&lt;=HOUR(NOW())),"!!!","")),""),"")),"")))</f>
      </c>
      <c r="G103" s="177">
        <v>44943.625</v>
      </c>
      <c r="H103" t="s" s="178">
        <v>144</v>
      </c>
      <c r="I103" t="s" s="179">
        <v>65</v>
      </c>
      <c r="J103" s="291">
        <v>3</v>
      </c>
      <c r="K103" t="s" s="181">
        <v>48</v>
      </c>
      <c r="L103" s="182">
        <v>1.93</v>
      </c>
      <c r="M103" s="183"/>
      <c r="N103" s="184">
        <v>0.1</v>
      </c>
      <c r="O103" s="185">
        <f>IF(OR(AE103="",AE104=""),"",ROUND(IF(L105&gt;0,IF(M103&gt;0,M103,IF(M104&gt;0,ROUND((M104*AE103)/AE104,IF(N103=0,2,IF(N103=0.1,1,0))),ROUND((M105*AE103)/AE105,IF(N103=0,2,IF(N103=0.1,1,0))))),IF(M103&gt;0,M103,ROUND((M104*AE103)/AE104,IF(N103=0,2,IF(N103=0.1,1,0))))),2))</f>
        <v>12.2</v>
      </c>
      <c r="P103" s="186">
        <f>IF(OR(L103="",O103=""),"",IF($C103="1/2W",O103/2+O103/2*L103,IF($C103="1/2L",O103/2,IF(I103="Lay",(O103*(L103/(L103-1))-O103)*(1-_xlfn.XLOOKUP(K103,'Janeiro 2023 - Valor Real'!A3:A15,'Janeiro 2023 - Valor Real'!C3:C15,0))+O103,(O103*L103-O103)*(1-_xlfn.XLOOKUP(K103,'Janeiro 2023 - Valor Real'!A3:A15,'Janeiro 2023 - Valor Real'!C3:C15,0))+O103))))</f>
        <v>23.546</v>
      </c>
      <c r="Q103" s="187">
        <f>IF(K103="","",IF(_xlfn.XLOOKUP(K103,K20:K$84,DJ20:DJ$84,0,,-1)=DJ103,_xlfn.XLOOKUP(K103,K20:K$84,Q20:Q$84,1,,-1)+1,1))</f>
        <v>3</v>
      </c>
      <c r="R103" s="188">
        <f>IF(K103="","",_xlfn.XLOOKUP(K103,K20:K$84,R20:R$84,0,,-1)+IF($C103=" ",1,0))</f>
        <v>0</v>
      </c>
      <c r="S103" s="189">
        <f>IF($B103="Anulado",0,ROUND(IF(OR($B103="LOSS",$B103="OK"),IF(OR($C103="W",$C103="1/2W",$C103="1/2L"),P103-O103,IF($C103="L",-O103,0))+IF(OR($C104="W",$C104="1/2W",$C104="1/2L"),P104-O104,IF($C104="L",-O104,0))+IF(OR($C105="W",$C105="1/2W",$C105="1/2L"),P105-O105,IF($C105="L",-O105,0)),IF(AND(OR($C103="W",$C103="1/2W",$C103="1/2L"),C104="W"),P103+P104-SUM(O103:O105)+_xlfn.XLOOKUP("X",C103:C105,O103:O105,0),IF(AND(C103=TRUE,C105="W"),P103+P105-SUM(O103:O105),IF(AND(C104="W",C105="W"),P104+P105-SUM(O103:O105)+_xlfn.XLOOKUP("X",C103:C105,O103:O105,0),IF(L105&gt;0,IF(OR($C103="W",$C103="1/2W",$C103="1/2L"),P103-SUM(O103:O105)+_xlfn.XLOOKUP("X",C103:C105,O103:O105,0),IF(OR($C103="W",$C103="1/2W",$C103="1/2L"),P104-SUM(O103:O105)+_xlfn.XLOOKUP("X",C103:C105,O103:O105,0),IF(OR($C103="W",$C103="1/2W",$C103="1/2L"),P105-SUM(O103:O105)+_xlfn.XLOOKUP("X",C103:C105,O103:O105,0),IF(SUM(P103:P105)/3-SUM(O103:O105)+_xlfn.XLOOKUP("X",C103:C105,O103:O105,0)&gt;0,SUM(P103:P105)/3-SUM(O103:O105)+_xlfn.XLOOKUP("X",C103:C105,O103:O105,0),LARGE(P103:P105,1)-SUM(O103:O105))))),IF(OR($C103="W",$C103="1/2W",$C103="1/2L"),P103-SUM(O103:O104)+_xlfn.XLOOKUP("X",C103:C105,O103:O105,0),IF(OR($C103="W",$C103="1/2W",$C103="1/2L"),P104-SUM(O103:O104)+_xlfn.XLOOKUP("X",C103:C105,O103:O105,0),SUM(P103:P104)/2-SUM(O103:O104)+_xlfn.XLOOKUP("X",C103:C105,O103:O105,0)))))))),2))</f>
        <v>1.29</v>
      </c>
      <c r="T103" s="190">
        <f>IF(S103=0,0,S103/SUM(O103:O105))</f>
        <v>0.0579254602604401</v>
      </c>
      <c r="U103" s="191">
        <f>IF($D103=$D100,IF(OR($B103="LOSS",$B103="OK",$B103="Anulada"),S103,0)+U100,IF(OR($B103="LOSS",$B103="OK",$B103="Anulada"),S103,0))</f>
        <v>22.17</v>
      </c>
      <c r="V103" s="191">
        <f>IF($D103="",0,IF($D103=$D100,IF($B103=" ",IF(I105="",IF(OR(AND(I103="DNB1",I104="DNB2"),AND(OR(I103="DNB1",I103="DNB2"),J104=0),AND(OR(I104="DNB1",I104="DNB2"),J103=0),AND(I103="DNB2",I104="DNB1"),AND(IF(J103=0,(J103+1)/ROUND(J103+1,0),J103/ROUND(J103,0))=1,IF(J104=0,(J104+1)/ROUND(IF(J104="",0,J104)+1,0),IF(J104="",0,J104)/ROUND(IF(J104="",1,J104),0))=1,OR(J103&lt;&gt;""),J104&lt;&gt;"")),0,IF(S103&lt;0,IF(I105="",SMALL(P103:P104,1)-SUM(O103:O104),0),SMALL(P103:P104,1)-SUM(O103:O104))),IF(S103&lt;0,IF(I105="",SMALL(P103:P105,1)-SUM(O103:O105),0),LARGE(P103:P105,1)-SUM(O103:O105))),S103)+V100,IF(I105="",IF(OR(AND(I103="DNB1",I104="DNB2"),AND(OR(I103="DNB1",I103="DNB2"),J104=0),AND(OR(I104="DNB1",I104="DNB2"),J103=0),AND(I103="DNB2",I104="DNB1"),AND(IF(J103=0,(J103+1)/ROUND(J103+1,0),J103/ROUND(J103,0))=1,IF(J104=0,(IF(J104="",0,J104)+1)/ROUND(IF(J104="",0,J104)+1,0),IF(J104="",0,J104)/ROUND(IF(J104="",0,J104)+1,0))=1,OR(J103&lt;&gt;""),J104&lt;&gt;"")),0,IF(S103&lt;0,IF(I105="",SMALL(P103:P104,1)-SUM(O103:O104),0),SMALL(P103:P105,1)-SUM(O103:O105))),IF(S103&lt;0,IF(I105="",SMALL(P103:P105,1)-SUM(O103:O105),0),LARGE(P103:P105,1)-SUM(O103:O105)))))</f>
        <v>22.172</v>
      </c>
      <c r="W103" s="191">
        <f>IF($D103=$D100,IF(S103&lt;0,IF(I105="",S103,0),S103)+W100,S103)</f>
        <v>22.17</v>
      </c>
      <c r="X103" t="s" s="192">
        <f>IF(OR(SUM(R103:R105)=0,V103=W103),ROUND(IF(W103=0,0,W103/Y103)*100,2)&amp;"%",ROUND(IF(V103=0,0,V103/Y103)*100,2)&amp;"% a "&amp;ROUND(IF(W103=0,0,W103/Y103)*100,2)&amp;"%")</f>
        <v>129</v>
      </c>
      <c r="Y103" s="193">
        <f>IF($D103=$D100,Y100+SUM(O103:O105),SUM(O103:O105))</f>
        <v>630.22</v>
      </c>
      <c r="Z103" s="191">
        <f>IF($B103=" ",SUM(O103:O105),0)+Z100</f>
        <v>0</v>
      </c>
      <c r="AA103" s="191">
        <f>IF(G103="","",IF($B103="Anulado",LARGE(P103:P105,1)-SUM(O103:O105)+AA100,AA100))</f>
        <v>11.4028</v>
      </c>
      <c r="AB103" s="191">
        <f>IF($D103="","",AB100+S103)</f>
        <v>100.27</v>
      </c>
      <c r="AC103" s="194">
        <f>IF($D103="","",IF($B103=" ",IF(DAY(G103)=DAY(TODAY()),1+AC100,0+AC100),0+AC100))</f>
        <v>0</v>
      </c>
      <c r="AD103" s="195">
        <f>(((L104/(L104-1)-1)*(1-_xlfn.XLOOKUP(K104,'Janeiro 2023 - Valor Real'!A3:A15,'Janeiro 2023 - Valor Real'!C3:C15,0))+1))/(((L103-1)*(1-_xlfn.XLOOKUP(K103,'Janeiro 2023 - Valor Real'!A3:A15,'Janeiro 2023 - Valor Real'!C3:C15,0))+1)+((L104/(L104-1)-1)*(1-_xlfn.XLOOKUP(K104,'Janeiro 2023 - Valor Real'!A3:A15,'Janeiro 2023 - Valor Real'!C3:C15,0))+1))</f>
        <v>0.475011164792335</v>
      </c>
      <c r="AE103" s="196">
        <f>IF(L103="","",IF(L105&gt;0,(SUM(((L103-1)*(1-_xlfn.XLOOKUP(K103,'Janeiro 2023 - Valor Real'!A3:A15,'Janeiro 2023 - Valor Real'!C3:C15,0))+1),((L104-1)*(1-_xlfn.XLOOKUP(K104,'Janeiro 2023 - Valor Real'!A3:A15,'Janeiro 2023 - Valor Real'!C3:C15,0))+1),((L105-1)*(1-_xlfn.XLOOKUP(K105,'Janeiro 2023 - Valor Real'!A3:A15,'Janeiro 2023 - Valor Real'!C3:C15,0))+1))/((L103-1)*(1-_xlfn.XLOOKUP(K103,'Janeiro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Real'!C3:C15,0))+1))/((L103-1)*(1-_xlfn.XLOOKUP(K103,'Janeiro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Real'!C3:C15,0))+1))/((L104-1)*(1-_xlfn.XLOOKUP(K104,'Janeiro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Real'!C3:C15,0))+1))/((L105-1)*(1-_xlfn.XLOOKUP(K105,'Janeiro 2023 - Valor Real'!A3:A15,'Janeiro 2023 - Valor Real'!C3:C15,0))+1)),IF(I103="Lay",IF(I104="Lay",((L104/(L104-1)-1)*(1-_xlfn.XLOOKUP(K104,'Janeiro 2023 - Valor Real'!A3:A15,'Janeiro 2023 - Valor Real'!C3:C15,0))+1)/(((L104/(L104-1)-1)*(1-_xlfn.XLOOKUP(K104,'Janeiro 2023 - Valor Real'!A3:A15,'Janeiro 2023 - Valor Real'!C3:C15,0))+1)+((L103/(L103-1)-1)*(1-_xlfn.XLOOKUP(K103,'Janeiro 2023 - Valor Real'!A3:A15,'Janeiro 2023 - Valor Real'!C3:C15,0))+1)),((L104-1)*(1-_xlfn.XLOOKUP(K104,'Janeiro 2023 - Valor Real'!A3:A15,'Janeiro 2023 - Valor Real'!C3:C15,0))+1)/(((L104-1)*(1-_xlfn.XLOOKUP(K104,'Janeiro 2023 - Valor Real'!A3:A15,'Janeiro 2023 - Valor Real'!C3:C15,0))+1)+((L103/(L103-1)-1)*(1-_xlfn.XLOOKUP(K103,'Janeiro 2023 - Valor Real'!A3:A15,'Janeiro 2023 - Valor Real'!C3:C15,0))+1))),IF(I104="Lay",(((L104/(L104-1)-1)*(1-_xlfn.XLOOKUP(K104,'Janeiro 2023 - Valor Real'!A3:A15,'Janeiro 2023 - Valor Real'!C3:C15,0))+1))/(((L103-1)*(1-_xlfn.XLOOKUP(K103,'Janeiro 2023 - Valor Real'!A3:A15,'Janeiro 2023 - Valor Real'!C3:C15,0))+1)+((L104/(L104-1)-1)*(1-_xlfn.XLOOKUP(K104,'Janeiro 2023 - Valor Real'!A3:A15,'Janeiro 2023 - Valor Real'!C3:C15,0))+1)),((L104-1)*(1-_xlfn.XLOOKUP(K104,'Janeiro 2023 - Valor Real'!A3:A15,'Janeiro 2023 - Valor Real'!C3:C15,0))+1)/(((L104-1)*(1-_xlfn.XLOOKUP(K104,'Janeiro 2023 - Valor Real'!A3:A15,'Janeiro 2023 - Valor Real'!C3:C15,0))+1)+((L103-1)*(1-_xlfn.XLOOKUP(K103,'Janeiro 2023 - Valor Real'!A3:A15,'Janeiro 2023 - Valor Real'!C3:C15,0))+1))))))</f>
        <v>0.548009367681499</v>
      </c>
      <c r="AF103" s="197">
        <f>IF($K103=AF$3,ROUND(IF(OR($C103="W",$C103="1/2W",$C103="1/2L"),$P103-$O103,IF($C103="X",0,-$O103)),2),0)</f>
        <v>0</v>
      </c>
      <c r="AG103" s="198">
        <f>IF($K103=AG$3,ROUND(IF(OR($C103="W",$C103="1/2W",$C103="1/2L"),$P103-$O103,IF($C103="X",0,-$O103)),2),0)</f>
        <v>0</v>
      </c>
      <c r="AH103" s="198">
        <f>IF($K103=AH$3,ROUND(IF(OR($C103="W",$C103="1/2W",$C103="1/2L"),$P103-$O103,IF($C103="X",0,-$O103)),2),0)</f>
        <v>0</v>
      </c>
      <c r="AI103" s="198">
        <f>IF($K103=AI$3,ROUND(IF(OR($C103="W",$C103="1/2W",$C103="1/2L"),$P103-$O103,IF($C103="X",0,-$O103)),2),0)</f>
        <v>0</v>
      </c>
      <c r="AJ103" s="198">
        <f>IF($K103=AJ$3,ROUND(IF(OR($C103="W",$C103="1/2W",$C103="1/2L"),$P103-$O103,IF($C103="X",0,-$O103)),2),0)</f>
        <v>0</v>
      </c>
      <c r="AK103" s="198">
        <f>IF($K103=AK$3,ROUND(IF(OR($C103="W",$C103="1/2W",$C103="1/2L"),$P103-$O103,IF($C103="X",0,-$O103)),2),0)</f>
        <v>0</v>
      </c>
      <c r="AL103" s="198">
        <f>IF($K103=AL$3,ROUND(IF(OR($C103="W",$C103="1/2W",$C103="1/2L"),$P103-$O103,IF($C103="X",0,-$O103)),2),0)</f>
        <v>0</v>
      </c>
      <c r="AM103" s="198">
        <f>IF($K103=AM$3,ROUND(IF(OR($C103="W",$C103="1/2W",$C103="1/2L"),$P103-$O103,IF($C103="X",0,-$O103)),2),0)</f>
        <v>0</v>
      </c>
      <c r="AN103" s="198">
        <f>IF($K103=AN$3,ROUND(IF(OR($C103="W",$C103="1/2W",$C103="1/2L"),$P103-$O103,IF($C103="X",0,-$O103)),2),0)</f>
        <v>0</v>
      </c>
      <c r="AO103" s="198">
        <f>IF($K103=AO$3,ROUND(IF(OR($C103="W",$C103="1/2W",$C103="1/2L"),$P103-$O103,IF($C103="X",0,-$O103)),2),0)</f>
        <v>0</v>
      </c>
      <c r="AP103" s="198">
        <f>IF($K103=AP$3,ROUND(IF(OR($C103="W",$C103="1/2W",$C103="1/2L"),$P103-$O103,IF($C103="X",0,-$O103)),2),0)</f>
        <v>0</v>
      </c>
      <c r="AQ103" s="198">
        <f>IF($K103=AQ$3,ROUND(IF(OR($C103="W",$C103="1/2W",$C103="1/2L"),$P103-$O103,IF($C103="X",0,-$O103)),2),0)</f>
        <v>-12.2</v>
      </c>
      <c r="AR103" s="199">
        <f>IF($K103=AR$3,ROUND(IF(OR($C103="W",$C103="1/2W",$C103="1/2L"),$P103-$O103,IF($C103="X",0,-$O103)),2),0)</f>
        <v>0</v>
      </c>
      <c r="AS103" s="197">
        <f>IF(AND($B103=" ",$K103=AS$3),$O103,0)</f>
        <v>0</v>
      </c>
      <c r="AT103" s="198">
        <f>IF(AND($B103=" ",$K103=AT$3),$O103,0)</f>
        <v>0</v>
      </c>
      <c r="AU103" s="198">
        <f>IF(AND($B103=" ",$K103=AU$3),$O103,0)</f>
        <v>0</v>
      </c>
      <c r="AV103" s="198">
        <f>IF(AND($B103=" ",$K103=AV$3),$O103,0)</f>
        <v>0</v>
      </c>
      <c r="AW103" s="198">
        <f>IF(AND($B103=" ",$K103=AW$3),$O103,0)</f>
        <v>0</v>
      </c>
      <c r="AX103" s="198">
        <f>IF(AND($B103=" ",$K103=AX$3),$O103,0)</f>
        <v>0</v>
      </c>
      <c r="AY103" s="200">
        <f>IF(AND($B103=" ",$K103=AY$3),$O103,0)</f>
        <v>0</v>
      </c>
      <c r="AZ103" s="201">
        <f>IF(AND($B103=" ",$K103=AZ$3),$O103,0)</f>
        <v>0</v>
      </c>
      <c r="BA103" s="201">
        <f>IF(AND($B103=" ",$K103=BA$3),$O103,0)</f>
        <v>0</v>
      </c>
      <c r="BB103" s="201">
        <f>IF(AND($B103=" ",$K103=BB$3),$O103,0)</f>
        <v>0</v>
      </c>
      <c r="BC103" s="202">
        <f>IF(AND($B103=" ",$K103=BC$3),$O103,0)</f>
        <v>0</v>
      </c>
      <c r="BD103" s="198">
        <f>IF(AND($B103=" ",$K103=BD$3),$O103,0)</f>
        <v>0</v>
      </c>
      <c r="BE103" s="199">
        <f>IF(AND($B103=" ",$K103=BE$3),$O103,0)</f>
        <v>0</v>
      </c>
      <c r="BF103" s="203">
        <f>IF($K103=BF$3,IF($C103="X",0,$O103),0)</f>
        <v>0</v>
      </c>
      <c r="BG103" s="198">
        <f>IF($K103=BG$3,IF($C103="X",0,$O103),0)</f>
        <v>0</v>
      </c>
      <c r="BH103" s="198">
        <f>IF($K103=BH$3,IF($C103="X",0,$O103),0)</f>
        <v>0</v>
      </c>
      <c r="BI103" s="198">
        <f>IF($K103=BI$3,IF($C103="X",0,$O103),0)</f>
        <v>0</v>
      </c>
      <c r="BJ103" s="198">
        <f>IF($K103=BJ$3,IF($C103="X",0,$O103),0)</f>
        <v>0</v>
      </c>
      <c r="BK103" s="198">
        <f>IF($K103=BK$3,IF($C103="X",0,$O103),0)</f>
        <v>0</v>
      </c>
      <c r="BL103" s="198">
        <f>IF($K103=BL$3,IF($C103="X",0,$O103),0)</f>
        <v>0</v>
      </c>
      <c r="BM103" s="200">
        <f>IF($K103=BM$3,IF($C103="X",0,$O103),0)</f>
        <v>0</v>
      </c>
      <c r="BN103" s="201">
        <f>IF($K103=BN$3,IF($C103="X",0,$O103),0)</f>
        <v>0</v>
      </c>
      <c r="BO103" s="201">
        <f>IF($K103=BO$3,IF($C103="X",0,$O103),0)</f>
        <v>0</v>
      </c>
      <c r="BP103" s="201">
        <f>IF($K103=BP$3,IF($C103="X",0,$O103),0)</f>
        <v>0</v>
      </c>
      <c r="BQ103" s="202">
        <f>IF($K103=BQ$3,IF($C103="X",0,$O103),0)</f>
        <v>12.2</v>
      </c>
      <c r="BR103" s="199">
        <f>IF($K103=BR$3,IF($C103="X",0,$O103),0)</f>
        <v>0</v>
      </c>
      <c r="BS103" s="204">
        <f>IF($B103="LOSS",IF(AND($K103=BS$3,$C103="L"),-$O103,0)+IF(AND($K104=BS$3,$C104="L"),-$O104,0)+IF(AND($K105=BS$3,$C105="L"),-$O105,0),IF(OR(AND($K103=BS$3,OR($C103="W",$C103="1/2W")),AND($K104=BS$3,OR($C104="W",$C104="1/2W")),AND($K105=BS$3,OR($C105="W",$C105="1/2W"))),$S103,0))</f>
        <v>0</v>
      </c>
      <c r="BT103" s="201">
        <f>IF($B103="LOSS",IF(AND($K103=BT$3,$C103="L"),-$O103,0)+IF(AND($K104=BT$3,$C104="L"),-$O104,0)+IF(AND($K104=BT$3,$C105="L"),-$O105,0),IF(OR(AND($K104=BT$3,OR($C103="W",$C103="1/2W")),AND($K104=BT$3,OR($C104="W",$C104="1/2W")),AND($K104=BT$3,OR($C105="W",$C105="1/2W"))),$S103,0))</f>
        <v>0</v>
      </c>
      <c r="BU103" s="201">
        <f>IF($B103="LOSS",IF(AND($K103=BU$3,$C103="L"),-$O103,0)+IF(AND($K104=BU$3,$C104="L"),-$O104,0)+IF(AND($K104=BU$3,$C105="L"),-$O105,0),IF(OR(AND($K104=BU$3,OR($C103="W",$C103="1/2W")),AND($K104=BU$3,OR($C104="W",$C104="1/2W")),AND($K104=BU$3,OR($C105="W",$C105="1/2W"))),$S103,0))</f>
        <v>0</v>
      </c>
      <c r="BV103" s="201">
        <f>IF($B103="LOSS",IF(AND($K103=BV$3,$C103="L"),-$O103,0)+IF(AND($K104=BV$3,$C104="L"),-$O104,0)+IF(AND($K105=BV$3,$C105="L"),-$O105,0),IF(OR(AND($K103=BV$3,OR($C103="W",$C103="1/2W")),AND($K104=BV$3,OR($C104="W",$C104="1/2W")),AND($K105=BV$3,OR($C105="W",$C105="1/2W"))),$S103,0))</f>
        <v>0</v>
      </c>
      <c r="BW103" s="201">
        <f>IF($B103="LOSS",IF(AND($K103=BW$3,$C103="L"),-$O103,0)+IF(AND($K104=BW$3,$C104="L"),-$O104,0)+IF(AND($K105=BW$3,$C105="L"),-$O105,0),IF(OR(AND($K103=BW$3,OR($C103="W",$C103="1/2W")),AND($K104=BW$3,OR($C104="W",$C104="1/2W")),AND($K105=BW$3,OR($C105="W",$C105="1/2W"))),$S103,0))</f>
        <v>1.29</v>
      </c>
      <c r="BX103" s="201">
        <f>IF($B103="LOSS",IF(AND($K103=BX$3,$C103="L"),-$O103,0)+IF(AND($K104=BX$3,$C104="L"),-$O104,0)+IF(AND($K105=BX$3,$C105="L"),-$O105,0),IF(OR(AND($K103=BX$3,OR($C103="W",$C103="1/2W")),AND($K104=BX$3,OR($C104="W",$C104="1/2W")),AND($K105=BX$3,OR($C105="W",$C105="1/2W"))),$S103,0))</f>
        <v>0</v>
      </c>
      <c r="BY103" s="201">
        <f>IF($B103="LOSS",IF(AND($K103=BY$3,$C103="L"),-$O103,0)+IF(AND($K104=BY$3,$C104="L"),-$O104,0)+IF(AND($K105=BY$3,$C105="L"),-$O105,0),IF(OR(AND($K103=BY$3,OR($C103="W",$C103="1/2W")),AND($K104=BY$3,OR($C104="W",$C104="1/2W")),AND($K105=BY$3,OR($C105="W",$C105="1/2W"))),$S103,0))</f>
        <v>0</v>
      </c>
      <c r="BZ103" s="205">
        <f>IF($B103="LOSS",IF(AND($K103=BZ$3,$C103="L"),-$O103,0)+IF(AND($K104=BZ$3,$C104="L"),-$O104,0)+IF(AND($K105=BZ$3,$C105="L"),-$O105,0),IF(OR(AND($K103=BZ$3,OR($C103="W",$C103="1/2W")),AND($K104=BZ$3,OR($C104="W",$C104="1/2W")),AND($K105=BZ$3,OR($C105="W",$C105="1/2W"))),$S103,0))</f>
        <v>0</v>
      </c>
      <c r="CA103" s="205">
        <f>IF($B103="LOSS",IF(AND($K103=CA$3,$C103="L"),-$O103,0)+IF(AND($K104=CA$3,$C104="L"),-$O104,0)+IF(AND($K105=CA$3,$C105="L"),-$O105,0),IF(OR(AND($K103=CA$3,OR($C103="W",$C103="1/2W")),AND($K104=CA$3,OR($C104="W",$C104="1/2W")),AND($K105=CA$3,OR($C105="W",$C105="1/2W"))),$S103,0))</f>
        <v>0</v>
      </c>
      <c r="CB103" s="205">
        <f>IF($B103="LOSS",IF(AND($K103=CB$3,$C103="L"),-$O103,0)+IF(AND($K104=CB$3,$C104="L"),-$O104,0)+IF(AND($K105=CB$3,$C105="L"),-$O105,0),IF(OR(AND($K103=CB$3,OR($C103="W",$C103="1/2W")),AND($K104=CB$3,OR($C104="W",$C104="1/2W")),AND($K105=CB$3,OR($C105="W",$C105="1/2W"))),$S103,0))</f>
        <v>0</v>
      </c>
      <c r="CC103" s="205">
        <f>IF($B103="LOSS",IF(AND($K103=CC$3,$C103="L"),-$O103,0)+IF(AND($K104=CC$3,$C104="L"),-$O104,0)+IF(AND($K105=CC$3,$C105="L"),-$O105,0),IF(OR(AND($K103=CC$3,OR($C103="W",$C103="1/2W")),AND($K104=CC$3,OR($C104="W",$C104="1/2W")),AND($K105=CC$3,OR($C105="W",$C105="1/2W"))),$S103,0))</f>
        <v>0</v>
      </c>
      <c r="CD103" s="202">
        <f>IF($B103="LOSS",IF(AND($K103=CD$3,$C103="L"),-$O103,0)+IF(AND($K104=CD$3,$C104="L"),-$O104,0)+IF(AND($K105=CD$3,$C105="L"),-$O105,0),IF(OR(AND($K103=CD$3,OR($C103="W",$C103="1/2W")),AND($K104=CD$3,OR($C104="W",$C104="1/2W")),AND($K105=CD$3,OR($C105="W",$C105="1/2W"))),$S103,0))</f>
        <v>0</v>
      </c>
      <c r="CE103" s="199">
        <f>IF($B103="LOSS",IF(AND($K103=CE$3,$C103="L"),-$O103,0)+IF(AND($K104=CE$3,$C104="L"),-$O104,0)+IF(AND($K105=CE$3,$C105="L"),-$O105,0),IF(OR(AND($K103=CE$3,OR($C103="W",$C103="1/2W")),AND($K104=CE$3,OR($C104="W",$C104="1/2W")),AND($K105=CE$3,OR($C105="W",$C105="1/2W"))),$S103,0))</f>
        <v>0</v>
      </c>
      <c r="CF103" s="206">
        <f>IF(CF$3=$K103,IF($C103="W",1,IF($C103="1/2W",0.5,0)),0)</f>
        <v>0</v>
      </c>
      <c r="CG103" s="207">
        <f>IF(CF$3=$K103,IF($C103="L",1,IF($C103="1/2L",0.5,0)),0)</f>
        <v>0</v>
      </c>
      <c r="CH103" s="207">
        <f>IF(CH$3=$K103,IF($C103="W",1,IF($C103="1/2W",0.5,0)),0)</f>
        <v>0</v>
      </c>
      <c r="CI103" s="207">
        <f>IF(CH$3=$K103,IF($C103="L",1,IF($C103="1/2L",0.5,0)),0)</f>
        <v>0</v>
      </c>
      <c r="CJ103" s="207">
        <f>IF(CJ$3=$K103,IF($C103="W",1,IF($C103="1/2W",0.5,0)),0)</f>
        <v>0</v>
      </c>
      <c r="CK103" s="207">
        <f>IF(CJ$3=$K103,IF($C103="L",1,IF($C103="1/2L",0.5,0)),0)</f>
        <v>0</v>
      </c>
      <c r="CL103" s="207">
        <f>IF(CL$3=$K103,IF($C103="W",1,IF($C103="1/2W",0.5,0)),0)</f>
        <v>0</v>
      </c>
      <c r="CM103" s="207">
        <f>IF(CL$3=$K103,IF($C103="L",1,IF($C103="1/2L",0.5,0)),0)</f>
        <v>0</v>
      </c>
      <c r="CN103" s="207">
        <f>IF(CN$3=$K103,IF($C103="W",1,IF($C103="1/2W",0.5,0)),0)</f>
        <v>0</v>
      </c>
      <c r="CO103" s="207">
        <f>IF(CN$3=$K103,IF($C103="L",1,IF($C103="1/2L",0.5,0)),0)</f>
        <v>0</v>
      </c>
      <c r="CP103" s="207">
        <f>IF(CP$3=$K103,IF($C103="W",1,IF($C103="1/2W",0.5,0)),0)</f>
        <v>0</v>
      </c>
      <c r="CQ103" s="207">
        <f>IF(CP$3=$K103,IF($C103="L",1,IF($C103="1/2L",0.5,0)),0)</f>
        <v>0</v>
      </c>
      <c r="CR103" s="207">
        <f>IF(CR$3=$K103,IF($C103="W",1,IF($C103="1/2W",0.5,0)),0)</f>
        <v>0</v>
      </c>
      <c r="CS103" s="207">
        <f>IF(CR$3=$K103,IF($C103="L",1,IF($C103="1/2L",0.5,0)),0)</f>
        <v>0</v>
      </c>
      <c r="CT103" s="208">
        <f>IF(CT$3=$K103,IF($C103="W",1,IF($C103="1/2W",0.5,0)),0)</f>
        <v>0</v>
      </c>
      <c r="CU103" s="209">
        <f>IF(CT$3=$K103,IF($C103="L",1,IF($C103="1/2L",0.5,0)),0)</f>
        <v>0</v>
      </c>
      <c r="CV103" s="209">
        <f>IF(CV$3=$K103,IF($C103="W",1,IF($C103="1/2W",0.5,0)),0)</f>
        <v>0</v>
      </c>
      <c r="CW103" s="209">
        <f>IF(CV$3=$K103,IF($C103="L",1,IF($C103="1/2L",0.5,0)),0)</f>
        <v>0</v>
      </c>
      <c r="CX103" s="209">
        <f>IF(CX$3=$K103,IF($C103="W",1,IF($C103="1/2W",0.5,0)),0)</f>
        <v>0</v>
      </c>
      <c r="CY103" s="209">
        <f>IF(CX$3=$K103,IF($C103="L",1,IF($C103="1/2L",0.5,0)),0)</f>
        <v>0</v>
      </c>
      <c r="CZ103" s="209">
        <f>IF(CZ$3=$K103,IF($C103="W",1,IF($C103="1/2W",0.5,0)),0)</f>
        <v>0</v>
      </c>
      <c r="DA103" s="209">
        <f>IF(CZ$3=$K103,IF($C103="L",1,IF($C103="1/2L",0.5,0)),0)</f>
        <v>0</v>
      </c>
      <c r="DB103" s="209">
        <f>IF(DB$3=$K103,IF($C103="W",1,IF($C103="1/2W",0.5,0)),0)</f>
        <v>0</v>
      </c>
      <c r="DC103" s="209">
        <f>IF(DB$3=$K103,IF($C103="L",1,IF($C103="1/2L",0.5,0)),0)</f>
        <v>1</v>
      </c>
      <c r="DD103" s="209">
        <f>IF(DD$3=$K103,IF($C103="W",1,IF($C103="1/2W",0.5,0)),0)</f>
        <v>0</v>
      </c>
      <c r="DE103" s="210">
        <f>IF(DD$3=$K103,IF($C103="L",1,IF($C103="1/2L",0.5,0)),0)</f>
        <v>0</v>
      </c>
      <c r="DF103" s="211">
        <f>IF(AND(L103&lt;DF$3,$C103="W"),1+DF102,DF102)</f>
        <v>7</v>
      </c>
      <c r="DG103" s="198">
        <f>IF(DF103&gt;DF102,L103+DG102,DG102)</f>
        <v>9.247999999999999</v>
      </c>
      <c r="DH103" s="209">
        <f>IF(AND(L103&gt;DH$3,$C103="W"),1+DH102,0+DH102)</f>
        <v>1</v>
      </c>
      <c r="DI103" s="198">
        <f>IF(DH103&gt;DH102,L103+DI102,DI102)</f>
        <v>4.33</v>
      </c>
      <c r="DJ103" t="s" s="306">
        <f>IF($D103="","",$D103)</f>
        <v>101</v>
      </c>
      <c r="DK103" s="209">
        <f>IF(AND($B103=" ",$D103&lt;&gt;""),1,0)</f>
        <v>0</v>
      </c>
    </row>
    <row r="104" ht="14.55" customHeight="1">
      <c r="A104" s="107"/>
      <c r="B104" s="108"/>
      <c r="C104" t="s" s="213">
        <v>56</v>
      </c>
      <c r="D104" s="110"/>
      <c r="E104" s="111"/>
      <c r="F104" s="113"/>
      <c r="G104" s="214"/>
      <c r="H104" s="114"/>
      <c r="I104" t="s" s="215">
        <v>67</v>
      </c>
      <c r="J104" s="296">
        <f>IF(OR(I103="TO",I103="TU",I103="TO1",I103="TU1",I103="TO2",I103="TU2"),J103,IF(OR(I103="AH1",I103="AH2"),IF(OR(I104="AH1",I104="AH2"),-J103,IF(OR(I104="EH1",I104="EH2"),-J103+0.5,"")),IF(OR(I103="EH1",I103="EH2"),IF(OR(I104="AH1",I104="AH2"),-J103+0.5,IF(OR(I104="EH1",I104="EH2"),-J103+1,"")),IF(AND(OR(I103="DNB1",I103="DNB2"),OR(I104="AH1",I104="AH2")),0,IF(AND(I103="Not ScoreBoth",OR(I104="TO1",I104="TO2")),0.5,"")))))</f>
        <v>3</v>
      </c>
      <c r="K104" t="s" s="217">
        <v>41</v>
      </c>
      <c r="L104" s="218">
        <v>2.34</v>
      </c>
      <c r="M104" s="219">
        <v>10.07</v>
      </c>
      <c r="N104" s="120"/>
      <c r="O104" s="220">
        <f>IF(OR(AE103="",AE104=""),"",ROUND(IF(L105&gt;0,IF(M104&gt;0,M104,IF(M103&gt;0,IF(N103=TRUE,ROUND((M103*AE104)/AE103,0),(M103*AE104)/AE103),IF(M104&gt;0,ROUND(M104,IF(N103=0,2,IF(N103=0.1,1,0))),IF(M105&gt;0,ROUND(O105*AE104/AE105,IF(N103=0,2,IF(N103=0.1,1,0))),0)))),IF(M104&gt;0,M104,ROUND((M103*AE104)/AE103,IF(N103=0,2,IF(N103=0.1,1,0))))),2))</f>
        <v>10.07</v>
      </c>
      <c r="P104" s="221">
        <f>IF(OR(L104="",O104=""),"",IF($C104="1/2W",O104/2+O104/2*L104,IF($C104="1/2L",O104/2,IF(I104="Lay",((O104*(L104/(L104-1)))-O104)*(1-_xlfn.XLOOKUP(K104,'Janeiro 2023 - Valor Real'!A3:A15,'Janeiro 2023 - Valor Real'!C3:C15,0))+O104,(O104*L104-O104)*(1-_xlfn.XLOOKUP(K104,'Janeiro 2023 - Valor Real'!A3:A15,'Janeiro 2023 - Valor Real'!C3:C15,0))+O104))))</f>
        <v>23.5638</v>
      </c>
      <c r="Q104" s="222">
        <f>IF(K104="","",IF(_xlfn.XLOOKUP(K104,K20:K$85,DJ20:DJ$85,0,,-1)=DJ104,_xlfn.XLOOKUP(K104,K20:K$85,Q20:Q$85,1,,-1)+1,1))</f>
        <v>6</v>
      </c>
      <c r="R104" s="223">
        <f>IF(K104="","",_xlfn.XLOOKUP(K104,K20:K$85,R20:R$85,0,,-1)+IF($C104=" ",1,0))</f>
        <v>0</v>
      </c>
      <c r="S104" s="125"/>
      <c r="T104" s="126"/>
      <c r="U104" s="126"/>
      <c r="V104" s="224"/>
      <c r="W104" s="126"/>
      <c r="X104" s="127"/>
      <c r="Y104" s="128"/>
      <c r="Z104" s="129"/>
      <c r="AA104" s="129"/>
      <c r="AB104" s="129"/>
      <c r="AC104" s="129"/>
      <c r="AD104" s="225">
        <f>(((L104/(L104-1)-1)*(1-_xlfn.XLOOKUP(K104,'Janeiro 2023 - Valor Real'!A3:A15,'Janeiro 2023 - Valor Real'!C3:C15,0))+1))</f>
        <v>1.74626865671642</v>
      </c>
      <c r="AE104" s="226">
        <f>IF(L104="","",IF(L105&gt;0,(SUM(((L103-1)*(1-_xlfn.XLOOKUP(K103,'Janeiro 2023 - Valor Real'!A3:A15,'Janeiro 2023 - Valor Real'!C3:C15,0))+1),((L104-1)*(1-_xlfn.XLOOKUP(K104,'Janeiro 2023 - Valor Real'!A3:A15,'Janeiro 2023 - Valor Real'!C3:C15,0))+1),((L105-1)*(1-_xlfn.XLOOKUP(K105,'Janeiro 2023 - Valor Real'!A3:A15,'Janeiro 2023 - Valor Real'!C3:C15,0))+1))/((L104-1)*(1-_xlfn.XLOOKUP(K104,'Janeiro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Real'!C3:C15,0))+1))/((L103-1)*(1-_xlfn.XLOOKUP(K103,'Janeiro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Real'!C3:C15,0))+1))/((L104-1)*(1-_xlfn.XLOOKUP(K104,'Janeiro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Real'!C3:C15,0))+1))/((L105-1)*(1-_xlfn.XLOOKUP(K105,'Janeiro 2023 - Valor Real'!A3:A15,'Janeiro 2023 - Valor Real'!C3:C15,0))+1)),IF(I104="Lay",IF(I103="Lay",((L103/(L103-1)-1)*(1-_xlfn.XLOOKUP(K103,'Janeiro 2023 - Valor Real'!A3:A15,'Janeiro 2023 - Valor Real'!C3:C15,0))+1)/(((L103/(L103-1)-1)*(1-_xlfn.XLOOKUP(K103,'Janeiro 2023 - Valor Real'!A3:A15,'Janeiro 2023 - Valor Real'!C3:C15,0))+1)+((L104/(L104-1)-1)*(1-_xlfn.XLOOKUP(K104,'Janeiro 2023 - Valor Real'!A3:A15,'Janeiro 2023 - Valor Real'!C3:C15,0))+1)),((L103-1)*(1-_xlfn.XLOOKUP(K103,'Janeiro 2023 - Valor Real'!A3:A15,'Janeiro 2023 - Valor Real'!C3:C15,0))+1)/(((L103-1)*(1-_xlfn.XLOOKUP(K103,'Janeiro 2023 - Valor Real'!A3:A15,'Janeiro 2023 - Valor Real'!C3:C15,0))+1)+((L104/(L104-1)-1)*(1-_xlfn.XLOOKUP(K104,'Janeiro 2023 - Valor Real'!A3:A15,'Janeiro 2023 - Valor Real'!C3:C15,0))+1))),IF(I103="Lay",((L103/(L103-1)-1)*(1-_xlfn.XLOOKUP(K103,'Janeiro 2023 - Valor Real'!A3:A15,'Janeiro 2023 - Valor Real'!C3:C15,0))+1)/((((L103/(L103-1)-1)*(1-_xlfn.XLOOKUP(K103,'Janeiro 2023 - Valor Real'!A3:A15,'Janeiro 2023 - Valor Real'!C3:C15,0))+1))+((L104-1)*(1-_xlfn.XLOOKUP(K104,'Janeiro 2023 - Valor Real'!A3:A15,'Janeiro 2023 - Valor Real'!C3:C15,0))+1)),((L103-1)*(1-_xlfn.XLOOKUP(K103,'Janeiro 2023 - Valor Real'!A3:A15,'Janeiro 2023 - Valor Real'!C3:C15,0))+1)/(((L103-1)*(1-_xlfn.XLOOKUP(K103,'Janeiro 2023 - Valor Real'!A3:A15,'Janeiro 2023 - Valor Real'!C3:C15,0))+1)+((L104-1)*(1-_xlfn.XLOOKUP(K104,'Janeiro 2023 - Valor Real'!A3:A15,'Janeiro 2023 - Valor Real'!C3:C15,0))+1))))))</f>
        <v>0.451990632318501</v>
      </c>
      <c r="AF104" s="197">
        <f>IF($K104=AF$3,ROUND(IF(OR($C104="W",$C104="1/2W",$C104="1/2L"),$P104-$O104,IF($C104="X",0,-$O104)),2),0)</f>
        <v>0</v>
      </c>
      <c r="AG104" s="198">
        <f>IF($K104=AG$3,ROUND(IF(OR($C104="W",$C104="1/2W",$C104="1/2L"),$P104-$O104,IF($C104="X",0,-$O104)),2),0)</f>
        <v>0</v>
      </c>
      <c r="AH104" s="198">
        <f>IF($K104=AH$3,ROUND(IF(OR($C104="W",$C104="1/2W",$C104="1/2L"),$P104-$O104,IF($C104="X",0,-$O104)),2),0)</f>
        <v>0</v>
      </c>
      <c r="AI104" s="198">
        <f>IF($K104=AI$3,ROUND(IF(OR($C104="W",$C104="1/2W",$C104="1/2L"),$P104-$O104,IF($C104="X",0,-$O104)),2),0)</f>
        <v>0</v>
      </c>
      <c r="AJ104" s="198">
        <f>IF($K104=AJ$3,ROUND(IF(OR($C104="W",$C104="1/2W",$C104="1/2L"),$P104-$O104,IF($C104="X",0,-$O104)),2),0)</f>
        <v>13.49</v>
      </c>
      <c r="AK104" s="198">
        <f>IF($K104=AK$3,ROUND(IF(OR($C104="W",$C104="1/2W",$C104="1/2L"),$P104-$O104,IF($C104="X",0,-$O104)),2),0)</f>
        <v>0</v>
      </c>
      <c r="AL104" s="198">
        <f>IF($K104=AL$3,ROUND(IF(OR($C104="W",$C104="1/2W",$C104="1/2L"),$P104-$O104,IF($C104="X",0,-$O104)),2),0)</f>
        <v>0</v>
      </c>
      <c r="AM104" s="198">
        <f>IF($K104=AM$3,ROUND(IF(OR($C104="W",$C104="1/2W",$C104="1/2L"),$P104-$O104,IF($C104="X",0,-$O104)),2),0)</f>
        <v>0</v>
      </c>
      <c r="AN104" s="198">
        <f>IF($K104=AN$3,ROUND(IF(OR($C104="W",$C104="1/2W",$C104="1/2L"),$P104-$O104,IF($C104="X",0,-$O104)),2),0)</f>
        <v>0</v>
      </c>
      <c r="AO104" s="198">
        <f>IF($K104=AO$3,ROUND(IF(OR($C104="W",$C104="1/2W",$C104="1/2L"),$P104-$O104,IF($C104="X",0,-$O104)),2),0)</f>
        <v>0</v>
      </c>
      <c r="AP104" s="198">
        <f>IF($K104=AP$3,ROUND(IF(OR($C104="W",$C104="1/2W",$C104="1/2L"),$P104-$O104,IF($C104="X",0,-$O104)),2),0)</f>
        <v>0</v>
      </c>
      <c r="AQ104" s="198">
        <f>IF($K104=AQ$3,ROUND(IF(OR($C104="W",$C104="1/2W",$C104="1/2L"),$P104-$O104,IF($C104="X",0,-$O104)),2),0)</f>
        <v>0</v>
      </c>
      <c r="AR104" s="199">
        <f>IF($K104=AR$3,ROUND(IF(OR($C104="W",$C104="1/2W",$C104="1/2L"),$P104-$O104,IF($C104="X",0,-$O104)),2),0)</f>
        <v>0</v>
      </c>
      <c r="AS104" s="197">
        <f>IF(AND($B103=" ",$K104=AS$3),$O104,0)</f>
        <v>0</v>
      </c>
      <c r="AT104" s="198">
        <f>IF(AND($B103=" ",K104=AT$3),$O104,0)</f>
        <v>0</v>
      </c>
      <c r="AU104" s="198">
        <f>IF(AND($B103=" ",$K104=AU$3),$O104,0)</f>
        <v>0</v>
      </c>
      <c r="AV104" s="198">
        <f>IF(AND($B103=" ",$K104=AV$3),$O104,0)</f>
        <v>0</v>
      </c>
      <c r="AW104" s="198">
        <f>IF(AND($B103=" ",$K104=AW$3),$O104,0)</f>
        <v>0</v>
      </c>
      <c r="AX104" s="198">
        <f>IF(AND($B103=" ",$K104=AX$3),$O104,0)</f>
        <v>0</v>
      </c>
      <c r="AY104" s="200">
        <f>IF(AND($B103=" ",$K104=AY$3),$O104,0)</f>
        <v>0</v>
      </c>
      <c r="AZ104" s="201">
        <f>IF(AND($B103=" ",$K104=AZ$3),$O104,0)</f>
        <v>0</v>
      </c>
      <c r="BA104" s="201">
        <f>IF(AND($B103=" ",$K104=BA$3),$O104,0)</f>
        <v>0</v>
      </c>
      <c r="BB104" s="201">
        <f>IF(AND($B103=" ",$K104=BB$3),$O104,0)</f>
        <v>0</v>
      </c>
      <c r="BC104" s="202">
        <f>IF(AND($B103=" ",$K104=BC$3),$O104,0)</f>
        <v>0</v>
      </c>
      <c r="BD104" s="198">
        <f>IF(AND($B103=" ",$K104=BD$3),$O104,0)</f>
        <v>0</v>
      </c>
      <c r="BE104" s="199">
        <f>IF(AND($B103=" ",$K104=BE$3),$O104,0)</f>
        <v>0</v>
      </c>
      <c r="BF104" s="197">
        <f>IF($K104=BF$3,IF($C104="X",0,$O104),0)</f>
        <v>0</v>
      </c>
      <c r="BG104" s="198">
        <f>IF($K104=BG$3,IF($C104="X",0,$O104),0)</f>
        <v>0</v>
      </c>
      <c r="BH104" s="198">
        <f>IF($K104=BH$3,IF($C104="X",0,$O104),0)</f>
        <v>0</v>
      </c>
      <c r="BI104" s="198">
        <f>IF($K104=BI$3,IF($C104="X",0,$O104),0)</f>
        <v>0</v>
      </c>
      <c r="BJ104" s="198">
        <f>IF($K104=BJ$3,IF($C104="X",0,$O104),0)</f>
        <v>10.07</v>
      </c>
      <c r="BK104" s="198">
        <f>IF($K104=BK$3,IF($C104="X",0,$O104),0)</f>
        <v>0</v>
      </c>
      <c r="BL104" s="198">
        <f>IF($K104=BL$3,IF($C104="X",0,$O104),0)</f>
        <v>0</v>
      </c>
      <c r="BM104" s="227">
        <f>IF($K104=BM$3,IF($C104="X",0,$O104),0)</f>
        <v>0</v>
      </c>
      <c r="BN104" s="205">
        <f>IF($K104=BN$3,IF($C104="X",0,$O104),0)</f>
        <v>0</v>
      </c>
      <c r="BO104" s="205">
        <f>IF($K104=BO$3,IF($C104="X",0,$O104),0)</f>
        <v>0</v>
      </c>
      <c r="BP104" s="205">
        <f>IF($K104=BP$3,IF($C104="X",0,$O104),0)</f>
        <v>0</v>
      </c>
      <c r="BQ104" s="202">
        <f>IF($K104=BQ$3,IF($C104="X",0,$O104),0)</f>
        <v>0</v>
      </c>
      <c r="BR104" s="199">
        <f>IF($K104=BR$3,IF($C104="X",0,$O104),0)</f>
        <v>0</v>
      </c>
      <c r="BS104" s="228"/>
      <c r="BT104" s="229"/>
      <c r="BU104" s="140"/>
      <c r="BV104" s="229"/>
      <c r="BW104" s="140"/>
      <c r="BX104" s="140"/>
      <c r="BY104" s="140"/>
      <c r="BZ104" s="229"/>
      <c r="CA104" s="140"/>
      <c r="CB104" s="140"/>
      <c r="CC104" s="140"/>
      <c r="CD104" s="141"/>
      <c r="CE104" s="142"/>
      <c r="CF104" s="230">
        <f>IF(CF$3=$K104,IF($C104="W",1,IF($C104="1/2W",0.5,0)),0)</f>
        <v>0</v>
      </c>
      <c r="CG104" s="231">
        <f>IF(CF$3=$K104,IF($C104="L",1,IF($C104="1/2L",0.5,0)),0)</f>
        <v>0</v>
      </c>
      <c r="CH104" s="231">
        <f>IF(CH$3=$K104,IF($C104="W",1,IF($C104="1/2W",0.5,0)),0)</f>
        <v>0</v>
      </c>
      <c r="CI104" s="231">
        <f>IF(CH$3=$K104,IF($C104="L",1,IF($C104="1/2L",0.5,0)),0)</f>
        <v>0</v>
      </c>
      <c r="CJ104" s="231">
        <f>IF(CJ$3=$K104,IF($C104="W",1,IF($C104="1/2W",0.5,0)),0)</f>
        <v>0</v>
      </c>
      <c r="CK104" s="231">
        <f>IF(CJ$3=$K104,IF($C104="L",1,IF($C104="1/2L",0.5,0)),0)</f>
        <v>0</v>
      </c>
      <c r="CL104" s="231">
        <f>IF(CL$3=$K104,IF($C104="W",1,IF($C104="1/2W",0.5,0)),0)</f>
        <v>0</v>
      </c>
      <c r="CM104" s="231">
        <f>IF(CL$3=$K104,IF($C104="L",1,IF($C104="1/2L",0.5,0)),0)</f>
        <v>0</v>
      </c>
      <c r="CN104" s="231">
        <f>IF(CN$3=$K104,IF($C104="W",1,IF($C104="1/2W",0.5,0)),0)</f>
        <v>1</v>
      </c>
      <c r="CO104" s="231">
        <f>IF(CN$3=$K104,IF($C104="L",1,IF($C104="1/2L",0.5,0)),0)</f>
        <v>0</v>
      </c>
      <c r="CP104" s="231">
        <f>IF(CP$3=$K104,IF($C104="W",1,IF($C104="1/2W",0.5,0)),0)</f>
        <v>0</v>
      </c>
      <c r="CQ104" s="231">
        <f>IF(CP$3=$K104,IF($C104="L",1,IF($C104="1/2L",0.5,0)),0)</f>
        <v>0</v>
      </c>
      <c r="CR104" s="231">
        <f>IF(CR$3=$K104,IF($C104="W",1,IF($C104="1/2W",0.5,0)),0)</f>
        <v>0</v>
      </c>
      <c r="CS104" s="231">
        <f>IF(CR$3=$K104,IF($C104="L",1,IF($C104="1/2L",0.5,0)),0)</f>
        <v>0</v>
      </c>
      <c r="CT104" s="208">
        <f>IF(CT$3=$K104,IF($C104="W",1,IF($C104="1/2W",0.5,0)),0)</f>
        <v>0</v>
      </c>
      <c r="CU104" s="209">
        <f>IF(CT$3=$K104,IF($C104="L",1,IF($C104="1/2L",0.5,0)),0)</f>
        <v>0</v>
      </c>
      <c r="CV104" s="209">
        <f>IF(CV$3=$K104,IF($C104="W",1,IF($C104="1/2W",0.5,0)),0)</f>
        <v>0</v>
      </c>
      <c r="CW104" s="209">
        <f>IF(CV$3=$K104,IF($C104="L",1,IF($C104="1/2L",0.5,0)),0)</f>
        <v>0</v>
      </c>
      <c r="CX104" s="209">
        <f>IF(CX$3=$K104,IF($C104="W",1,IF($C104="1/2W",0.5,0)),0)</f>
        <v>0</v>
      </c>
      <c r="CY104" s="209">
        <f>IF(CX$3=$K104,IF($C104="L",1,IF($C104="1/2L",0.5,0)),0)</f>
        <v>0</v>
      </c>
      <c r="CZ104" s="209">
        <f>IF(CZ$3=$K104,IF($C104="W",1,IF($C104="1/2W",0.5,0)),0)</f>
        <v>0</v>
      </c>
      <c r="DA104" s="209">
        <f>IF(CZ$3=$K104,IF($C104="L",1,IF($C104="1/2L",0.5,0)),0)</f>
        <v>0</v>
      </c>
      <c r="DB104" s="209">
        <f>IF(DB$3=$K104,IF($C104="W",1,IF($C104="1/2W",0.5,0)),0)</f>
        <v>0</v>
      </c>
      <c r="DC104" s="209">
        <f>IF(DB$3=$K104,IF($C104="L",1,IF($C104="1/2L",0.5,0)),0)</f>
        <v>0</v>
      </c>
      <c r="DD104" s="209">
        <f>IF(DD$3=$K104,IF($C104="W",1,IF($C104="1/2W",0.5,0)),0)</f>
        <v>0</v>
      </c>
      <c r="DE104" s="210">
        <f>IF(DD$3=$K104,IF($C104="L",1,IF($C104="1/2L",0.5,0)),0)</f>
        <v>0</v>
      </c>
      <c r="DF104" s="211">
        <f>IF(AND(L104&lt;DF$3,$C104="W"),1+DF103,DF103)</f>
        <v>7</v>
      </c>
      <c r="DG104" s="198">
        <f>IF(DF104&gt;DF103,L104+DG103,DG103)</f>
        <v>9.247999999999999</v>
      </c>
      <c r="DH104" s="209">
        <f>IF(AND(L104&gt;DH$3,$C104="W"),1+DH103,0+DH103)</f>
        <v>1</v>
      </c>
      <c r="DI104" s="198">
        <f>IF(DH104&gt;DH103,L104+DI103,DI103)</f>
        <v>4.33</v>
      </c>
      <c r="DJ104" t="s" s="306">
        <f>IF($D103="","",$D103)</f>
        <v>101</v>
      </c>
      <c r="DK104" s="232"/>
    </row>
    <row r="105" ht="14.55" customHeight="1">
      <c r="A105" s="149"/>
      <c r="B105" s="150"/>
      <c r="C105" t="s" s="233">
        <v>58</v>
      </c>
      <c r="D105" s="152"/>
      <c r="E105" s="153"/>
      <c r="F105" s="155"/>
      <c r="G105" s="234"/>
      <c r="H105" s="156"/>
      <c r="I105" s="235"/>
      <c r="J105" s="236"/>
      <c r="K105" s="237"/>
      <c r="L105" s="238"/>
      <c r="M105" s="239"/>
      <c r="N105" s="161"/>
      <c r="O105" t="s" s="240">
        <f>IF(OR(AE103="",AE104=""),"",IF(L105&gt;0,ROUND(IF(M105&gt;0,M105,IF(M103&gt;0,ROUND((M103*AE105)/AE103,IF(N103=0,2,IF(N103=0.1,1,0))),IF(M104&gt;0,ROUND((M104*AE105)/AE104,IF(N103=0,2,IF(N103=0.1,1,0))),IF(M105&gt;0,M105,0)))),2),""))</f>
      </c>
      <c r="P105" t="s" s="241">
        <f>IF(I104="Lay",O104*(L104/(L104-1))-O104,IF(I103="Lay",O103*(L103/(L103-1))-O103,IF(OR(L105="",O105=""),"",IF($C105="1/2W",O105/2+O105/2*L105,IF($C105="1/2L",O105/2,(O105*L105-O105)*(1-_xlfn.XLOOKUP(K105,'Janeiro 2023 - Valor Real'!A3:A15,'Janeiro 2023 - Valor Real'!C3:C15,0))+O105)))))</f>
      </c>
      <c r="Q105" t="s" s="242">
        <f>IF(K105="","",IF(_xlfn.XLOOKUP(K105,K20:K$86,DJ20:DJ$86,0,,-1)=DJ105,_xlfn.XLOOKUP(K105,K20:K$86,Q20:Q$86,1,,-1)+1,1))</f>
      </c>
      <c r="R105" t="s" s="243">
        <f>IF(K105="","",_xlfn.XLOOKUP(K105,K20:K$86,R20:R$86,0,,-1)+IF($C105=" ",1,0))</f>
      </c>
      <c r="S105" s="166"/>
      <c r="T105" s="155"/>
      <c r="U105" s="155"/>
      <c r="V105" s="166"/>
      <c r="W105" s="155"/>
      <c r="X105" s="167"/>
      <c r="Y105" s="128"/>
      <c r="Z105" s="129"/>
      <c r="AA105" s="129"/>
      <c r="AB105" s="129"/>
      <c r="AC105" s="129"/>
      <c r="AD105" s="244">
        <f>((L104/(L104-1)-1))</f>
        <v>0.746268656716418</v>
      </c>
      <c r="AE105" t="s" s="245">
        <f>IF(L105="","",(SUM(((L103-1)*(1-_xlfn.XLOOKUP(K103,'Janeiro 2023 - Valor Real'!A3:A15,'Janeiro 2023 - Valor Real'!C3:C15,0))+1),((L104-1)*(1-_xlfn.XLOOKUP(K104,'Janeiro 2023 - Valor Real'!A3:A15,'Janeiro 2023 - Valor Real'!C3:C15,0))+1),((L105-1)*(1-_xlfn.XLOOKUP(K105,'Janeiro 2023 - Valor Real'!A3:A15,'Janeiro 2023 - Valor Real'!C3:C15,0))+1))/((L105-1)*(1-_xlfn.XLOOKUP(K105,'Janeiro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Real'!C3:C15,0))+1))/((L103-1)*(1-_xlfn.XLOOKUP(K103,'Janeiro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Real'!C3:C15,0))+1))/((L104-1)*(1-_xlfn.XLOOKUP(K104,'Janeiro 2023 - Valor Real'!A3:A15,'Janeiro 2023 - Valor Real'!C3:C15,0))+1)+SUM(((L103-1)*(1-_xlfn.XLOOKUP(K103,'Janeiro 2023 - Valor Real'!A3:A15,'Janeiro 2023 - Valor Real'!C3:C15,0))+1),((L104-1)*(1-_xlfn.XLOOKUP(K104,'Janeiro 2023 - Valor Real'!A3:A15,'Janeiro 2023 - Valor Real'!C3:C15,0))+1),((L105-1)*(1-_xlfn.XLOOKUP(K105,'Janeiro 2023 - Valor Real'!A3:A15,'Janeiro 2023 - Valor Real'!C3:C15,0))+1))/((L105-1)*(1-_xlfn.XLOOKUP(K105,'Janeiro 2023 - Valor Real'!A3:A15,'Janeiro 2023 - Valor Real'!C3:C15,0))+1)))</f>
      </c>
      <c r="AF105" s="197">
        <f>IF($K105=AF$3,ROUND(IF(OR($C105="W",$C105="1/2W",$C105="1/2L"),$P105-$O105,IF($C105="X",0,-$O105)),2),0)</f>
        <v>0</v>
      </c>
      <c r="AG105" s="198">
        <f>IF($K105=AG$3,ROUND(IF(OR($C105="W",$C105="1/2W",$C105="1/2L"),$P105-$O105,IF($C105="X",0,-$O105)),2),0)</f>
        <v>0</v>
      </c>
      <c r="AH105" s="198">
        <f>IF($K105=AH$3,ROUND(IF(OR($C105="W",$C105="1/2W",$C105="1/2L"),$P105-$O105,IF($C105="X",0,-$O105)),2),0)</f>
        <v>0</v>
      </c>
      <c r="AI105" s="198">
        <f>IF($K105=AI$3,ROUND(IF(OR($C105="W",$C105="1/2W",$C105="1/2L"),$P105-$O105,IF($C105="X",0,-$O105)),2),0)</f>
        <v>0</v>
      </c>
      <c r="AJ105" s="198">
        <f>IF($K105=AJ$3,ROUND(IF(OR($C105="W",$C105="1/2W",$C105="1/2L"),$P105-$O105,IF($C105="X",0,-$O105)),2),0)</f>
        <v>0</v>
      </c>
      <c r="AK105" s="198">
        <f>IF($K105=AK$3,ROUND(IF(OR($C105="W",$C105="1/2W",$C105="1/2L"),$P105-$O105,IF($C105="X",0,-$O105)),2),0)</f>
        <v>0</v>
      </c>
      <c r="AL105" s="198">
        <f>IF($K105=AL$3,ROUND(IF(OR($C105="W",$C105="1/2W",$C105="1/2L"),$P105-$O105,IF($C105="X",0,-$O105)),2),0)</f>
        <v>0</v>
      </c>
      <c r="AM105" s="198">
        <f>IF($K105=AM$3,ROUND(IF(OR($C105="W",$C105="1/2W",$C105="1/2L"),$P105-$O105,IF($C105="X",0,-$O105)),2),0)</f>
        <v>0</v>
      </c>
      <c r="AN105" s="198">
        <f>IF($K105=AN$3,ROUND(IF(OR($C105="W",$C105="1/2W",$C105="1/2L"),$P105-$O105,IF($C105="X",0,-$O105)),2),0)</f>
        <v>0</v>
      </c>
      <c r="AO105" s="198">
        <f>IF($K105=AO$3,ROUND(IF(OR($C105="W",$C105="1/2W",$C105="1/2L"),$P105-$O105,IF($C105="X",0,-$O105)),2),0)</f>
        <v>0</v>
      </c>
      <c r="AP105" s="198">
        <f>IF($K105=AP$3,ROUND(IF(OR($C105="W",$C105="1/2W",$C105="1/2L"),$P105-$O105,IF($C105="X",0,-$O105)),2),0)</f>
        <v>0</v>
      </c>
      <c r="AQ105" s="198">
        <f>IF($K105=AQ$3,ROUND(IF(OR($C105="W",$C105="1/2W",$C105="1/2L"),$P105-$O105,IF($C105="X",0,-$O105)),2),0)</f>
        <v>0</v>
      </c>
      <c r="AR105" s="199">
        <f>IF($K105=AR$3,ROUND(IF(OR($C105="W",$C105="1/2W",$C105="1/2L"),$P105-$O105,IF($C105="X",0,-$O105)),2),0)</f>
        <v>0</v>
      </c>
      <c r="AS105" s="197">
        <f>IF(AND($B103=" ",$K105=AS$3),$O105,0)</f>
        <v>0</v>
      </c>
      <c r="AT105" s="198">
        <f>IF(AND($B103=" ",K105=AT$3),$O105,0)</f>
        <v>0</v>
      </c>
      <c r="AU105" s="198">
        <f>IF(AND($B103=" ",$K105=AU$3),$O105,0)</f>
        <v>0</v>
      </c>
      <c r="AV105" s="198">
        <f>IF(AND($B103=" ",$K105=AV$3),$O105,0)</f>
        <v>0</v>
      </c>
      <c r="AW105" s="198">
        <f>IF(AND($B103=" ",$K105=AW$3),$O105,0)</f>
        <v>0</v>
      </c>
      <c r="AX105" s="198">
        <f>IF(AND($B103=" ",$K105=AX$3),$O105,0)</f>
        <v>0</v>
      </c>
      <c r="AY105" s="200">
        <f>IF(AND($B103=" ",$K105=AY$3),$O105,0)</f>
        <v>0</v>
      </c>
      <c r="AZ105" s="201">
        <f>IF(AND($B103=" ",$K105=AZ$3),$O105,0)</f>
        <v>0</v>
      </c>
      <c r="BA105" s="201">
        <f>IF(AND($B103=" ",$K105=BA$3),$O105,0)</f>
        <v>0</v>
      </c>
      <c r="BB105" s="201">
        <f>IF(AND($B103=" ",$K105=BB$3),$O105,0)</f>
        <v>0</v>
      </c>
      <c r="BC105" s="202">
        <f>IF(AND($B103=" ",$K105=BC$3),$O105,0)</f>
        <v>0</v>
      </c>
      <c r="BD105" s="198">
        <f>IF(AND($B103=" ",$K105=BD$3),$O105,0)</f>
        <v>0</v>
      </c>
      <c r="BE105" s="199">
        <f>IF(AND($B103=" ",$K105=BE$3),$O105,0)</f>
        <v>0</v>
      </c>
      <c r="BF105" s="197">
        <f>IF($K105=BF$3,IF($C105="X",0,$O105),0)</f>
        <v>0</v>
      </c>
      <c r="BG105" s="198">
        <f>IF($K105=BG$3,IF($C105="X",0,$O105),0)</f>
        <v>0</v>
      </c>
      <c r="BH105" s="198">
        <f>IF($K105=BH$3,IF($C105="X",0,$O105),0)</f>
        <v>0</v>
      </c>
      <c r="BI105" s="198">
        <f>IF($K105=BI$3,IF($C105="X",0,$O105),0)</f>
        <v>0</v>
      </c>
      <c r="BJ105" s="198">
        <f>IF($K105=BJ$3,IF($C105="X",0,$O105),0)</f>
        <v>0</v>
      </c>
      <c r="BK105" s="198">
        <f>IF($K105=BK$3,IF($C105="X",0,$O105),0)</f>
        <v>0</v>
      </c>
      <c r="BL105" s="198">
        <f>IF($K105=BL$3,IF($C105="X",0,$O105),0)</f>
        <v>0</v>
      </c>
      <c r="BM105" s="200">
        <f>IF($K105=BM$3,IF($C105="X",0,$O105),0)</f>
        <v>0</v>
      </c>
      <c r="BN105" s="201">
        <f>IF($K105=BN$3,IF($C105="X",0,$O105),0)</f>
        <v>0</v>
      </c>
      <c r="BO105" s="201">
        <f>IF($K105=BO$3,IF($C105="X",0,$O105),0)</f>
        <v>0</v>
      </c>
      <c r="BP105" s="201">
        <f>IF($K105=BP$3,IF($C105="X",0,$O105),0)</f>
        <v>0</v>
      </c>
      <c r="BQ105" s="202">
        <f>IF($K105=BQ$3,IF($C105="X",0,$O105),0)</f>
        <v>0</v>
      </c>
      <c r="BR105" s="199">
        <f>IF($K105=BR$3,IF($C105="X",0,$O105),0)</f>
        <v>0</v>
      </c>
      <c r="BS105" s="228"/>
      <c r="BT105" s="229"/>
      <c r="BU105" s="140"/>
      <c r="BV105" s="229"/>
      <c r="BW105" s="140"/>
      <c r="BX105" s="140"/>
      <c r="BY105" s="140"/>
      <c r="BZ105" s="229"/>
      <c r="CA105" s="140"/>
      <c r="CB105" s="140"/>
      <c r="CC105" s="140"/>
      <c r="CD105" s="141"/>
      <c r="CE105" s="142"/>
      <c r="CF105" s="230">
        <f>IF(CF$3=$K105,IF($C105="W",1,IF($C105="1/2W",0.5,0)),0)</f>
        <v>0</v>
      </c>
      <c r="CG105" s="231">
        <f>IF(CF$3=$K105,IF($C105="L",1,IF($C105="1/2L",0.5,0)),0)</f>
        <v>0</v>
      </c>
      <c r="CH105" s="231">
        <f>IF(CH$3=$K105,IF($C105="W",1,IF($C105="1/2W",0.5,0)),0)</f>
        <v>0</v>
      </c>
      <c r="CI105" s="231">
        <f>IF(CH$3=$K105,IF($C105="L",1,IF($C105="1/2L",0.5,0)),0)</f>
        <v>0</v>
      </c>
      <c r="CJ105" s="231">
        <f>IF(CJ$3=$K105,IF($C105="W",1,IF($C105="1/2W",0.5,0)),0)</f>
        <v>0</v>
      </c>
      <c r="CK105" s="231">
        <f>IF(CJ$3=$K105,IF($C105="L",1,IF($C105="1/2L",0.5,0)),0)</f>
        <v>0</v>
      </c>
      <c r="CL105" s="231">
        <f>IF(CL$3=$K105,IF($C105="W",1,IF($C105="1/2W",0.5,0)),0)</f>
        <v>0</v>
      </c>
      <c r="CM105" s="231">
        <f>IF(CL$3=$K105,IF($C105="L",1,IF($C105="1/2L",0.5,0)),0)</f>
        <v>0</v>
      </c>
      <c r="CN105" s="231">
        <f>IF(CN$3=$K105,IF($C105="W",1,IF($C105="1/2W",0.5,0)),0)</f>
        <v>0</v>
      </c>
      <c r="CO105" s="231">
        <f>IF(CN$3=$K105,IF($C105="L",1,IF($C105="1/2L",0.5,0)),0)</f>
        <v>0</v>
      </c>
      <c r="CP105" s="231">
        <f>IF(CP$3=$K105,IF($C105="W",1,IF($C105="1/2W",0.5,0)),0)</f>
        <v>0</v>
      </c>
      <c r="CQ105" s="231">
        <f>IF(CP$3=$K105,IF($C105="L",1,IF($C105="1/2L",0.5,0)),0)</f>
        <v>0</v>
      </c>
      <c r="CR105" s="231">
        <f>IF(CR$3=$K105,IF($C105="W",1,IF($C105="1/2W",0.5,0)),0)</f>
        <v>0</v>
      </c>
      <c r="CS105" s="231">
        <f>IF(CR$3=$K105,IF($C105="L",1,IF($C105="1/2L",0.5,0)),0)</f>
        <v>0</v>
      </c>
      <c r="CT105" s="208">
        <f>IF(CT$3=$K105,IF($C105="W",1,IF($C105="1/2W",0.5,0)),0)</f>
        <v>0</v>
      </c>
      <c r="CU105" s="209">
        <f>IF(CT$3=$K105,IF($C105="L",1,IF($C105="1/2L",0.5,0)),0)</f>
        <v>0</v>
      </c>
      <c r="CV105" s="209">
        <f>IF(CV$3=$K105,IF($C105="W",1,IF($C105="1/2W",0.5,0)),0)</f>
        <v>0</v>
      </c>
      <c r="CW105" s="209">
        <f>IF(CV$3=$K105,IF($C105="L",1,IF($C105="1/2L",0.5,0)),0)</f>
        <v>0</v>
      </c>
      <c r="CX105" s="209">
        <f>IF(CX$3=$K105,IF($C105="W",1,IF($C105="1/2W",0.5,0)),0)</f>
        <v>0</v>
      </c>
      <c r="CY105" s="209">
        <f>IF(CX$3=$K105,IF($C105="L",1,IF($C105="1/2L",0.5,0)),0)</f>
        <v>0</v>
      </c>
      <c r="CZ105" s="209">
        <f>IF(CZ$3=$K105,IF($C105="W",1,IF($C105="1/2W",0.5,0)),0)</f>
        <v>0</v>
      </c>
      <c r="DA105" s="209">
        <f>IF(CZ$3=$K105,IF($C105="L",1,IF($C105="1/2L",0.5,0)),0)</f>
        <v>0</v>
      </c>
      <c r="DB105" s="209">
        <f>IF(DB$3=$K105,IF($C105="W",1,IF($C105="1/2W",0.5,0)),0)</f>
        <v>0</v>
      </c>
      <c r="DC105" s="209">
        <f>IF(DB$3=$K105,IF($C105="L",1,IF($C105="1/2L",0.5,0)),0)</f>
        <v>0</v>
      </c>
      <c r="DD105" s="209">
        <f>IF(DD$3=$K105,IF($C105="W",1,IF($C105="1/2W",0.5,0)),0)</f>
        <v>0</v>
      </c>
      <c r="DE105" s="210">
        <f>IF(DD$3=$K105,IF($C105="L",1,IF($C105="1/2L",0.5,0)),0)</f>
        <v>0</v>
      </c>
      <c r="DF105" s="211">
        <f>IF(AND(L105&lt;DF$3,$C105="W"),1+DF104,DF104)</f>
        <v>7</v>
      </c>
      <c r="DG105" s="198">
        <f>IF(DF105&gt;DF104,L105+DG104,DG104)</f>
        <v>9.247999999999999</v>
      </c>
      <c r="DH105" s="209">
        <f>IF(AND(L105&gt;DH$3,$C105="W"),1+DH104,0+DH104)</f>
        <v>1</v>
      </c>
      <c r="DI105" s="198">
        <f>IF(DH105&gt;DH104,L105+DI104,DI104)</f>
        <v>4.33</v>
      </c>
      <c r="DJ105" t="s" s="306">
        <f>IF($D103="","",$D103)</f>
        <v>101</v>
      </c>
      <c r="DK105" s="232"/>
    </row>
    <row r="106" ht="14.55" customHeight="1">
      <c r="A106" s="246">
        <f>$A103+1</f>
        <v>35</v>
      </c>
      <c r="B106" t="s" s="247">
        <v>50</v>
      </c>
      <c r="C106" t="s" s="248">
        <v>51</v>
      </c>
      <c r="D106" t="s" s="303">
        <f>IF(G106="","",$D103)</f>
        <v>101</v>
      </c>
      <c r="E106" t="s" s="250">
        <v>145</v>
      </c>
      <c r="F106" t="s" s="251">
        <f>IF(G106="","",IF(OR(AND($C106&lt;&gt;" ",$C107=" "),AND($C107&lt;&gt;" ",$C106=" "),AND(L108&gt;0,OR(AND($C108&lt;&gt;" ",OR($C106=" ",$C107=" ")),AND($C108=" ",OR($C106&lt;&gt;" ",$C107&lt;&gt;" "))))),IF(SUM(F$4:F105)=0,1,LARGE(F$4:F105,1)+1),IF(MONTH(G106)=MONTH(TODAY()),IF(AND(DAY(G106)&lt;DAY(TODAY()),$B106=" "),IF(SUM(F$4:F105)=0,1,LARGE(F$4:F105,1)+1),IF($B106=" ",IF(AND(DAY(G106)=DAY(TODAY()),HOUR(G106)&lt;=HOUR(NOW())+1),IF(AND(HOUR(G106)+2&lt;=HOUR(NOW()),DAY(G106)&lt;=DAY(TODAY()),MINUTE(G106)&lt;=MINUTE(NOW())),IF(SUM(F$4:F105)=0,1,LARGE(F$4:F105,1)+1),IF(OR(MINUTE(G106)&lt;=MINUTE(NOW()),HOUR(G106)&lt;=HOUR(NOW())),"!!!","")),""),"")),"")))</f>
      </c>
      <c r="G106" s="252">
        <v>44944</v>
      </c>
      <c r="H106" t="s" s="253">
        <v>146</v>
      </c>
      <c r="I106" t="s" s="254">
        <v>65</v>
      </c>
      <c r="J106" s="255">
        <v>0.5</v>
      </c>
      <c r="K106" t="s" s="256">
        <v>48</v>
      </c>
      <c r="L106" s="257">
        <v>3.2</v>
      </c>
      <c r="M106" s="258"/>
      <c r="N106" s="259">
        <v>0</v>
      </c>
      <c r="O106" s="260">
        <f>IF(OR(AE106="",AE107=""),"",ROUND(IF(L108&gt;0,IF(M106&gt;0,M106,IF(M107&gt;0,ROUND((M107*AE106)/AE107,IF(N106=0,2,IF(N106=0.1,1,0))),ROUND((M108*AE106)/AE108,IF(N106=0,2,IF(N106=0.1,1,0))))),IF(M106&gt;0,M106,ROUND((M107*AE106)/AE107,IF(N106=0,2,IF(N106=0.1,1,0))))),2))</f>
        <v>6.73</v>
      </c>
      <c r="P106" s="261">
        <f>IF(OR(L106="",O106=""),"",IF($C106="1/2W",O106/2+O106/2*L106,IF($C106="1/2L",O106/2,IF(I106="Lay",(O106*(L106/(L106-1))-O106)*(1-_xlfn.XLOOKUP(K106,'Janeiro 2023 - Valor Real'!A3:A15,'Janeiro 2023 - Valor Real'!C3:C15,0))+O106,(O106*L106-O106)*(1-_xlfn.XLOOKUP(K106,'Janeiro 2023 - Valor Real'!A3:A15,'Janeiro 2023 - Valor Real'!C3:C15,0))+O106))))</f>
        <v>21.536</v>
      </c>
      <c r="Q106" s="262">
        <v>3</v>
      </c>
      <c r="R106" s="263">
        <v>0</v>
      </c>
      <c r="S106" s="264">
        <f>IF($B106="Anulado",0,ROUND(IF(OR($B106="LOSS",$B106="OK"),IF(OR($C106="W",$C106="1/2W",$C106="1/2L"),P106-O106,IF($C106="L",-O106,0))+IF(OR($C107="W",$C107="1/2W",$C107="1/2L"),P107-O107,IF($C107="L",-O107,0))+IF(OR($C108="W",$C108="1/2W",$C108="1/2L"),P108-O108,IF($C108="L",-O108,0)),IF(AND(OR($C106="W",$C106="1/2W",$C106="1/2L"),C107="W"),P106+P107-SUM(O106:O108)+_xlfn.XLOOKUP("X",C106:C108,O106:O108,0),IF(AND(C106=TRUE,C108="W"),P106+P108-SUM(O106:O108),IF(AND(C107="W",C108="W"),P107+P108-SUM(O106:O108)+_xlfn.XLOOKUP("X",C106:C108,O106:O108,0),IF(L108&gt;0,IF(OR($C106="W",$C106="1/2W",$C106="1/2L"),P106-SUM(O106:O108)+_xlfn.XLOOKUP("X",C106:C108,O106:O108,0),IF(OR($C106="W",$C106="1/2W",$C106="1/2L"),P107-SUM(O106:O108)+_xlfn.XLOOKUP("X",C106:C108,O106:O108,0),IF(OR($C106="W",$C106="1/2W",$C106="1/2L"),P108-SUM(O106:O108)+_xlfn.XLOOKUP("X",C106:C108,O106:O108,0),IF(SUM(P106:P108)/3-SUM(O106:O108)+_xlfn.XLOOKUP("X",C106:C108,O106:O108,0)&gt;0,SUM(P106:P108)/3-SUM(O106:O108)+_xlfn.XLOOKUP("X",C106:C108,O106:O108,0),LARGE(P106:P108,1)-SUM(O106:O108))))),IF(OR($C106="W",$C106="1/2W",$C106="1/2L"),P106-SUM(O106:O107)+_xlfn.XLOOKUP("X",C106:C108,O106:O108,0),IF(OR($C106="W",$C106="1/2W",$C106="1/2L"),P107-SUM(O106:O107)+_xlfn.XLOOKUP("X",C106:C108,O106:O108,0),SUM(P106:P107)/2-SUM(O106:O107)+_xlfn.XLOOKUP("X",C106:C108,O106:O108,0)))))))),2))</f>
        <v>0.92</v>
      </c>
      <c r="T106" s="265">
        <f>IF(S106=0,0,S106/SUM(O106:O108))</f>
        <v>0.0445952496364518</v>
      </c>
      <c r="U106" s="266">
        <f>IF($D106=$D103,IF(OR($B106="LOSS",$B106="OK",$B106="Anulada"),S106,0)+U103,IF(OR($B106="LOSS",$B106="OK",$B106="Anulada"),S106,0))</f>
        <v>23.09</v>
      </c>
      <c r="V106" s="266">
        <f>IF($D106="",0,IF($D106=$D103,IF($B106=" ",IF(I108="",IF(OR(AND(I106="DNB1",I107="DNB2"),AND(OR(I106="DNB1",I106="DNB2"),J107=0),AND(OR(I107="DNB1",I107="DNB2"),J106=0),AND(I106="DNB2",I107="DNB1"),AND(IF(J106=0,(J106+1)/ROUND(J106+1,0),J106/ROUND(J106,0))=1,IF(J107=0,(J107+1)/ROUND(IF(J107="",0,J107)+1,0),IF(J107="",0,J107)/ROUND(IF(J107="",1,J107),0))=1,OR(J106&lt;&gt;""),J107&lt;&gt;"")),0,IF(S106&lt;0,IF(I108="",SMALL(P106:P107,1)-SUM(O106:O107),0),SMALL(P106:P107,1)-SUM(O106:O107))),IF(S106&lt;0,IF(I108="",SMALL(P106:P108,1)-SUM(O106:O108),0),LARGE(P106:P108,1)-SUM(O106:O108))),S106)+V103,IF(I108="",IF(OR(AND(I106="DNB1",I107="DNB2"),AND(OR(I106="DNB1",I106="DNB2"),J107=0),AND(OR(I107="DNB1",I107="DNB2"),J106=0),AND(I106="DNB2",I107="DNB1"),AND(IF(J106=0,(J106+1)/ROUND(J106+1,0),J106/ROUND(J106,0))=1,IF(J107=0,(IF(J107="",0,J107)+1)/ROUND(IF(J107="",0,J107)+1,0),IF(J107="",0,J107)/ROUND(IF(J107="",0,J107)+1,0))=1,OR(J106&lt;&gt;""),J107&lt;&gt;"")),0,IF(S106&lt;0,IF(I108="",SMALL(P106:P107,1)-SUM(O106:O107),0),SMALL(P106:P108,1)-SUM(O106:O108))),IF(S106&lt;0,IF(I108="",SMALL(P106:P108,1)-SUM(O106:O108),0),LARGE(P106:P108,1)-SUM(O106:O108)))))</f>
        <v>23.092</v>
      </c>
      <c r="W106" s="266">
        <f>IF($D106=$D103,IF(S106&lt;0,IF(I108="",S106,0),S106)+W103,S106)</f>
        <v>23.09</v>
      </c>
      <c r="X106" t="s" s="267">
        <f>IF(OR(SUM(R106:R108)=0,V106=W106),ROUND(IF(W106=0,0,W106/Y106)*100,2)&amp;"%",ROUND(IF(V106=0,0,V106/Y106)*100,2)&amp;"% a "&amp;ROUND(IF(W106=0,0,W106/Y106)*100,2)&amp;"%")</f>
        <v>147</v>
      </c>
      <c r="Y106" s="268">
        <f>IF($D106=$D103,Y103+SUM(O106:O108),SUM(O106:O108))</f>
        <v>650.85</v>
      </c>
      <c r="Z106" s="266">
        <f>IF($B106=" ",SUM(O106:O108),0)+Z103</f>
        <v>0</v>
      </c>
      <c r="AA106" s="266">
        <f>IF(G106="","",IF($B106="Anulado",LARGE(P106:P108,1)-SUM(O106:O108)+AA103,AA103))</f>
        <v>11.4028</v>
      </c>
      <c r="AB106" s="266">
        <f>IF($D106="","",AB103+S106)</f>
        <v>101.19</v>
      </c>
      <c r="AC106" s="269">
        <f>IF($D106="","",IF($B106=" ",IF(DAY(G106)=DAY(TODAY()),1+AC103,0+AC103),0+AC103))</f>
        <v>0</v>
      </c>
      <c r="AD106" s="270">
        <f>(1-_xlfn.XLOOKUP(K104,'Janeiro 2023 - Valor Real'!A3:A15,'Janeiro 2023 - Valor Real'!C3:C15,0))+1</f>
        <v>2</v>
      </c>
      <c r="AE106" s="271">
        <f>IF(L106="","",IF(L108&gt;0,(SUM(((L106-1)*(1-_xlfn.XLOOKUP(K106,'Janeiro 2023 - Valor Real'!A3:A15,'Janeiro 2023 - Valor Real'!C3:C15,0))+1),((L107-1)*(1-_xlfn.XLOOKUP(K107,'Janeiro 2023 - Valor Real'!A3:A15,'Janeiro 2023 - Valor Real'!C3:C15,0))+1),((L108-1)*(1-_xlfn.XLOOKUP(K108,'Janeiro 2023 - Valor Real'!A3:A15,'Janeiro 2023 - Valor Real'!C3:C15,0))+1))/((L106-1)*(1-_xlfn.XLOOKUP(K106,'Janeiro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Real'!C3:C15,0))+1))/((L106-1)*(1-_xlfn.XLOOKUP(K106,'Janeiro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Real'!C3:C15,0))+1))/((L107-1)*(1-_xlfn.XLOOKUP(K107,'Janeiro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Real'!C3:C15,0))+1))/((L108-1)*(1-_xlfn.XLOOKUP(K108,'Janeiro 2023 - Valor Real'!A3:A15,'Janeiro 2023 - Valor Real'!C3:C15,0))+1)),IF(I106="Lay",IF(I107="Lay",((L107/(L107-1)-1)*(1-_xlfn.XLOOKUP(K107,'Janeiro 2023 - Valor Real'!A3:A15,'Janeiro 2023 - Valor Real'!C3:C15,0))+1)/(((L107/(L107-1)-1)*(1-_xlfn.XLOOKUP(K107,'Janeiro 2023 - Valor Real'!A3:A15,'Janeiro 2023 - Valor Real'!C3:C15,0))+1)+((L106/(L106-1)-1)*(1-_xlfn.XLOOKUP(K106,'Janeiro 2023 - Valor Real'!A3:A15,'Janeiro 2023 - Valor Real'!C3:C15,0))+1)),((L107-1)*(1-_xlfn.XLOOKUP(K107,'Janeiro 2023 - Valor Real'!A3:A15,'Janeiro 2023 - Valor Real'!C3:C15,0))+1)/(((L107-1)*(1-_xlfn.XLOOKUP(K107,'Janeiro 2023 - Valor Real'!A3:A15,'Janeiro 2023 - Valor Real'!C3:C15,0))+1)+((L106/(L106-1)-1)*(1-_xlfn.XLOOKUP(K106,'Janeiro 2023 - Valor Real'!A3:A15,'Janeiro 2023 - Valor Real'!C3:C15,0))+1))),IF(I107="Lay",(((L107/(L107-1)-1)*(1-_xlfn.XLOOKUP(K107,'Janeiro 2023 - Valor Real'!A3:A15,'Janeiro 2023 - Valor Real'!C3:C15,0))+1))/(((L106-1)*(1-_xlfn.XLOOKUP(K106,'Janeiro 2023 - Valor Real'!A3:A15,'Janeiro 2023 - Valor Real'!C3:C15,0))+1)+((L107/(L107-1)-1)*(1-_xlfn.XLOOKUP(K107,'Janeiro 2023 - Valor Real'!A3:A15,'Janeiro 2023 - Valor Real'!C3:C15,0))+1)),((L107-1)*(1-_xlfn.XLOOKUP(K107,'Janeiro 2023 - Valor Real'!A3:A15,'Janeiro 2023 - Valor Real'!C3:C15,0))+1)/(((L107-1)*(1-_xlfn.XLOOKUP(K107,'Janeiro 2023 - Valor Real'!A3:A15,'Janeiro 2023 - Valor Real'!C3:C15,0))+1)+((L106-1)*(1-_xlfn.XLOOKUP(K106,'Janeiro 2023 - Valor Real'!A3:A15,'Janeiro 2023 - Valor Real'!C3:C15,0))+1))))))</f>
        <v>0.326315789473684</v>
      </c>
      <c r="AF106" s="132">
        <f>IF($K106=AF$3,ROUND(IF(OR($C106="W",$C106="1/2W",$C106="1/2L"),$P106-$O106,IF($C106="X",0,-$O106)),2),0)</f>
        <v>0</v>
      </c>
      <c r="AG106" s="133">
        <f>IF($K106=AG$3,ROUND(IF(OR($C106="W",$C106="1/2W",$C106="1/2L"),$P106-$O106,IF($C106="X",0,-$O106)),2),0)</f>
        <v>0</v>
      </c>
      <c r="AH106" s="133">
        <f>IF($K106=AH$3,ROUND(IF(OR($C106="W",$C106="1/2W",$C106="1/2L"),$P106-$O106,IF($C106="X",0,-$O106)),2),0)</f>
        <v>0</v>
      </c>
      <c r="AI106" s="133">
        <f>IF($K106=AI$3,ROUND(IF(OR($C106="W",$C106="1/2W",$C106="1/2L"),$P106-$O106,IF($C106="X",0,-$O106)),2),0)</f>
        <v>0</v>
      </c>
      <c r="AJ106" s="133">
        <f>IF($K106=AJ$3,ROUND(IF(OR($C106="W",$C106="1/2W",$C106="1/2L"),$P106-$O106,IF($C106="X",0,-$O106)),2),0)</f>
        <v>0</v>
      </c>
      <c r="AK106" s="133">
        <f>IF($K106=AK$3,ROUND(IF(OR($C106="W",$C106="1/2W",$C106="1/2L"),$P106-$O106,IF($C106="X",0,-$O106)),2),0)</f>
        <v>0</v>
      </c>
      <c r="AL106" s="133">
        <f>IF($K106=AL$3,ROUND(IF(OR($C106="W",$C106="1/2W",$C106="1/2L"),$P106-$O106,IF($C106="X",0,-$O106)),2),0)</f>
        <v>0</v>
      </c>
      <c r="AM106" s="133">
        <f>IF($K106=AM$3,ROUND(IF(OR($C106="W",$C106="1/2W",$C106="1/2L"),$P106-$O106,IF($C106="X",0,-$O106)),2),0)</f>
        <v>0</v>
      </c>
      <c r="AN106" s="133">
        <f>IF($K106=AN$3,ROUND(IF(OR($C106="W",$C106="1/2W",$C106="1/2L"),$P106-$O106,IF($C106="X",0,-$O106)),2),0)</f>
        <v>0</v>
      </c>
      <c r="AO106" s="133">
        <f>IF($K106=AO$3,ROUND(IF(OR($C106="W",$C106="1/2W",$C106="1/2L"),$P106-$O106,IF($C106="X",0,-$O106)),2),0)</f>
        <v>0</v>
      </c>
      <c r="AP106" s="133">
        <f>IF($K106=AP$3,ROUND(IF(OR($C106="W",$C106="1/2W",$C106="1/2L"),$P106-$O106,IF($C106="X",0,-$O106)),2),0)</f>
        <v>0</v>
      </c>
      <c r="AQ106" s="133">
        <f>IF($K106=AQ$3,ROUND(IF(OR($C106="W",$C106="1/2W",$C106="1/2L"),$P106-$O106,IF($C106="X",0,-$O106)),2),0)</f>
        <v>-6.73</v>
      </c>
      <c r="AR106" s="134">
        <f>IF($K106=AR$3,ROUND(IF(OR($C106="W",$C106="1/2W",$C106="1/2L"),$P106-$O106,IF($C106="X",0,-$O106)),2),0)</f>
        <v>0</v>
      </c>
      <c r="AS106" s="132">
        <f>IF(AND($B106=" ",$K106=AS$3),$O106,0)</f>
        <v>0</v>
      </c>
      <c r="AT106" s="133">
        <f>IF(AND($B106=" ",$K106=AT$3),$O106,0)</f>
        <v>0</v>
      </c>
      <c r="AU106" s="133">
        <f>IF(AND($B106=" ",$K106=AU$3),$O106,0)</f>
        <v>0</v>
      </c>
      <c r="AV106" s="133">
        <f>IF(AND($B106=" ",$K106=AV$3),$O106,0)</f>
        <v>0</v>
      </c>
      <c r="AW106" s="133">
        <f>IF(AND($B106=" ",$K106=AW$3),$O106,0)</f>
        <v>0</v>
      </c>
      <c r="AX106" s="133">
        <f>IF(AND($B106=" ",$K106=AX$3),$O106,0)</f>
        <v>0</v>
      </c>
      <c r="AY106" s="135">
        <f>IF(AND($B106=" ",$K106=AY$3),$O106,0)</f>
        <v>0</v>
      </c>
      <c r="AZ106" s="136">
        <f>IF(AND($B106=" ",$K106=AZ$3),$O106,0)</f>
        <v>0</v>
      </c>
      <c r="BA106" s="136">
        <f>IF(AND($B106=" ",$K106=BA$3),$O106,0)</f>
        <v>0</v>
      </c>
      <c r="BB106" s="136">
        <f>IF(AND($B106=" ",$K106=BB$3),$O106,0)</f>
        <v>0</v>
      </c>
      <c r="BC106" s="137">
        <f>IF(AND($B106=" ",$K106=BC$3),$O106,0)</f>
        <v>0</v>
      </c>
      <c r="BD106" s="133">
        <f>IF(AND($B106=" ",$K106=BD$3),$O106,0)</f>
        <v>0</v>
      </c>
      <c r="BE106" s="134">
        <f>IF(AND($B106=" ",$K106=BE$3),$O106,0)</f>
        <v>0</v>
      </c>
      <c r="BF106" s="132">
        <f>IF($K106=BF$3,IF($C106="X",0,$O106),0)</f>
        <v>0</v>
      </c>
      <c r="BG106" s="133">
        <f>IF($K106=BG$3,IF($C106="X",0,$O106),0)</f>
        <v>0</v>
      </c>
      <c r="BH106" s="133">
        <f>IF($K106=BH$3,IF($C106="X",0,$O106),0)</f>
        <v>0</v>
      </c>
      <c r="BI106" s="133">
        <f>IF($K106=BI$3,IF($C106="X",0,$O106),0)</f>
        <v>0</v>
      </c>
      <c r="BJ106" s="133">
        <f>IF($K106=BJ$3,IF($C106="X",0,$O106),0)</f>
        <v>0</v>
      </c>
      <c r="BK106" s="133">
        <f>IF($K106=BK$3,IF($C106="X",0,$O106),0)</f>
        <v>0</v>
      </c>
      <c r="BL106" s="133">
        <f>IF($K106=BL$3,IF($C106="X",0,$O106),0)</f>
        <v>0</v>
      </c>
      <c r="BM106" s="135">
        <f>IF($K106=BM$3,IF($C106="X",0,$O106),0)</f>
        <v>0</v>
      </c>
      <c r="BN106" s="136">
        <f>IF($K106=BN$3,IF($C106="X",0,$O106),0)</f>
        <v>0</v>
      </c>
      <c r="BO106" s="136">
        <f>IF($K106=BO$3,IF($C106="X",0,$O106),0)</f>
        <v>0</v>
      </c>
      <c r="BP106" s="136">
        <f>IF($K106=BP$3,IF($C106="X",0,$O106),0)</f>
        <v>0</v>
      </c>
      <c r="BQ106" s="137">
        <f>IF($K106=BQ$3,IF($C106="X",0,$O106),0)</f>
        <v>6.73</v>
      </c>
      <c r="BR106" s="134">
        <f>IF($K106=BR$3,IF($C106="X",0,$O106),0)</f>
        <v>0</v>
      </c>
      <c r="BS106" s="170">
        <f>IF($B106="LOSS",IF(AND($K106=BS$3,$C106="L"),-$O106,0)+IF(AND($K107=BS$3,$C107="L"),-$O107,0)+IF(AND($K108=BS$3,$C108="L"),-$O108,0),IF(OR(AND($K106=BS$3,OR($C106="W",$C106="1/2W")),AND($K107=BS$3,OR($C107="W",$C107="1/2W")),AND($K108=BS$3,OR($C108="W",$C108="1/2W"))),$S106,0))</f>
        <v>0</v>
      </c>
      <c r="BT106" s="272">
        <f>IF($B106="LOSS",IF(AND($K106=BT$3,$C106="L"),-$O106,0)+IF(AND($K107=BT$3,$C107="L"),-$O107,0)+IF(AND($K107=BT$3,$C108="L"),-$O108,0),IF(OR(AND($K107=BT$3,OR($C106="W",$C106="1/2W")),AND($K107=BT$3,OR($C107="W",$C107="1/2W")),AND($K107=BT$3,OR($C108="W",$C108="1/2W"))),$S106,0))</f>
        <v>0.92</v>
      </c>
      <c r="BU106" s="136">
        <f>IF($B106="LOSS",IF(AND($K106=BU$3,$C106="L"),-$O106,0)+IF(AND($K107=BU$3,$C107="L"),-$O107,0)+IF(AND($K107=BU$3,$C108="L"),-$O108,0),IF(OR(AND($K107=BU$3,OR($C106="W",$C106="1/2W")),AND($K107=BU$3,OR($C107="W",$C107="1/2W")),AND($K107=BU$3,OR($C108="W",$C108="1/2W"))),$S106,0))</f>
        <v>0</v>
      </c>
      <c r="BV106" s="136">
        <f>IF($B106="LOSS",IF(AND($K106=BV$3,$C106="L"),-$O106,0)+IF(AND($K107=BV$3,$C107="L"),-$O107,0)+IF(AND($K108=BV$3,$C108="L"),-$O108,0),IF(OR(AND($K106=BV$3,OR($C106="W",$C106="1/2W")),AND($K107=BV$3,OR($C107="W",$C107="1/2W")),AND($K108=BV$3,OR($C108="W",$C108="1/2W"))),$S106,0))</f>
        <v>0</v>
      </c>
      <c r="BW106" s="136">
        <f>IF($B106="LOSS",IF(AND($K106=BW$3,$C106="L"),-$O106,0)+IF(AND($K107=BW$3,$C107="L"),-$O107,0)+IF(AND($K108=BW$3,$C108="L"),-$O108,0),IF(OR(AND($K106=BW$3,OR($C106="W",$C106="1/2W")),AND($K107=BW$3,OR($C107="W",$C107="1/2W")),AND($K108=BW$3,OR($C108="W",$C108="1/2W"))),$S106,0))</f>
        <v>0</v>
      </c>
      <c r="BX106" s="136">
        <f>IF($B106="LOSS",IF(AND($K106=BX$3,$C106="L"),-$O106,0)+IF(AND($K107=BX$3,$C107="L"),-$O107,0)+IF(AND($K108=BX$3,$C108="L"),-$O108,0),IF(OR(AND($K106=BX$3,OR($C106="W",$C106="1/2W")),AND($K107=BX$3,OR($C107="W",$C107="1/2W")),AND($K108=BX$3,OR($C108="W",$C108="1/2W"))),$S106,0))</f>
        <v>0</v>
      </c>
      <c r="BY106" s="136">
        <f>IF($B106="LOSS",IF(AND($K106=BY$3,$C106="L"),-$O106,0)+IF(AND($K107=BY$3,$C107="L"),-$O107,0)+IF(AND($K108=BY$3,$C108="L"),-$O108,0),IF(OR(AND($K106=BY$3,OR($C106="W",$C106="1/2W")),AND($K107=BY$3,OR($C107="W",$C107="1/2W")),AND($K108=BY$3,OR($C108="W",$C108="1/2W"))),$S106,0))</f>
        <v>0</v>
      </c>
      <c r="BZ106" s="136">
        <f>IF($B106="LOSS",IF(AND($K106=BZ$3,$C106="L"),-$O106,0)+IF(AND($K107=BZ$3,$C107="L"),-$O107,0)+IF(AND($K108=BZ$3,$C108="L"),-$O108,0),IF(OR(AND($K106=BZ$3,OR($C106="W",$C106="1/2W")),AND($K107=BZ$3,OR($C107="W",$C107="1/2W")),AND($K108=BZ$3,OR($C108="W",$C108="1/2W"))),$S106,0))</f>
        <v>0</v>
      </c>
      <c r="CA106" s="136">
        <f>IF($B106="LOSS",IF(AND($K106=CA$3,$C106="L"),-$O106,0)+IF(AND($K107=CA$3,$C107="L"),-$O107,0)+IF(AND($K108=CA$3,$C108="L"),-$O108,0),IF(OR(AND($K106=CA$3,OR($C106="W",$C106="1/2W")),AND($K107=CA$3,OR($C107="W",$C107="1/2W")),AND($K108=CA$3,OR($C108="W",$C108="1/2W"))),$S106,0))</f>
        <v>0</v>
      </c>
      <c r="CB106" s="136">
        <f>IF($B106="LOSS",IF(AND($K106=CB$3,$C106="L"),-$O106,0)+IF(AND($K107=CB$3,$C107="L"),-$O107,0)+IF(AND($K108=CB$3,$C108="L"),-$O108,0),IF(OR(AND($K106=CB$3,OR($C106="W",$C106="1/2W")),AND($K107=CB$3,OR($C107="W",$C107="1/2W")),AND($K108=CB$3,OR($C108="W",$C108="1/2W"))),$S106,0))</f>
        <v>0</v>
      </c>
      <c r="CC106" s="136">
        <f>IF($B106="LOSS",IF(AND($K106=CC$3,$C106="L"),-$O106,0)+IF(AND($K107=CC$3,$C107="L"),-$O107,0)+IF(AND($K108=CC$3,$C108="L"),-$O108,0),IF(OR(AND($K106=CC$3,OR($C106="W",$C106="1/2W")),AND($K107=CC$3,OR($C107="W",$C107="1/2W")),AND($K108=CC$3,OR($C108="W",$C108="1/2W"))),$S106,0))</f>
        <v>0</v>
      </c>
      <c r="CD106" s="137">
        <f>IF($B106="LOSS",IF(AND($K106=CD$3,$C106="L"),-$O106,0)+IF(AND($K107=CD$3,$C107="L"),-$O107,0)+IF(AND($K108=CD$3,$C108="L"),-$O108,0),IF(OR(AND($K106=CD$3,OR($C106="W",$C106="1/2W")),AND($K107=CD$3,OR($C107="W",$C107="1/2W")),AND($K108=CD$3,OR($C108="W",$C108="1/2W"))),$S106,0))</f>
        <v>0</v>
      </c>
      <c r="CE106" s="134">
        <f>IF($B106="LOSS",IF(AND($K106=CE$3,$C106="L"),-$O106,0)+IF(AND($K107=CE$3,$C107="L"),-$O107,0)+IF(AND($K108=CE$3,$C108="L"),-$O108,0),IF(OR(AND($K106=CE$3,OR($C106="W",$C106="1/2W")),AND($K107=CE$3,OR($C107="W",$C107="1/2W")),AND($K108=CE$3,OR($C108="W",$C108="1/2W"))),$S106,0))</f>
        <v>0</v>
      </c>
      <c r="CF106" s="273">
        <f>IF(CF$3=$K106,IF($C106="W",1,IF($C106="1/2W",0.5,0)),0)</f>
        <v>0</v>
      </c>
      <c r="CG106" s="274">
        <f>IF(CF$3=$K106,IF($C106="L",1,IF($C106="1/2L",0.5,0)),0)</f>
        <v>0</v>
      </c>
      <c r="CH106" s="274">
        <f>IF(CH$3=$K106,IF($C106="W",1,IF($C106="1/2W",0.5,0)),0)</f>
        <v>0</v>
      </c>
      <c r="CI106" s="274">
        <f>IF(CH$3=$K106,IF($C106="L",1,IF($C106="1/2L",0.5,0)),0)</f>
        <v>0</v>
      </c>
      <c r="CJ106" s="274">
        <f>IF(CJ$3=$K106,IF($C106="W",1,IF($C106="1/2W",0.5,0)),0)</f>
        <v>0</v>
      </c>
      <c r="CK106" s="274">
        <f>IF(CJ$3=$K106,IF($C106="L",1,IF($C106="1/2L",0.5,0)),0)</f>
        <v>0</v>
      </c>
      <c r="CL106" s="274">
        <f>IF(CL$3=$K106,IF($C106="W",1,IF($C106="1/2W",0.5,0)),0)</f>
        <v>0</v>
      </c>
      <c r="CM106" s="274">
        <f>IF(CL$3=$K106,IF($C106="L",1,IF($C106="1/2L",0.5,0)),0)</f>
        <v>0</v>
      </c>
      <c r="CN106" s="274">
        <f>IF(CN$3=$K106,IF($C106="W",1,IF($C106="1/2W",0.5,0)),0)</f>
        <v>0</v>
      </c>
      <c r="CO106" s="274">
        <f>IF(CN$3=$K106,IF($C106="L",1,IF($C106="1/2L",0.5,0)),0)</f>
        <v>0</v>
      </c>
      <c r="CP106" s="274">
        <f>IF(CP$3=$K106,IF($C106="W",1,IF($C106="1/2W",0.5,0)),0)</f>
        <v>0</v>
      </c>
      <c r="CQ106" s="274">
        <f>IF(CP$3=$K106,IF($C106="L",1,IF($C106="1/2L",0.5,0)),0)</f>
        <v>0</v>
      </c>
      <c r="CR106" s="274">
        <f>IF(CR$3=$K106,IF($C106="W",1,IF($C106="1/2W",0.5,0)),0)</f>
        <v>0</v>
      </c>
      <c r="CS106" s="274">
        <f>IF(CR$3=$K106,IF($C106="L",1,IF($C106="1/2L",0.5,0)),0)</f>
        <v>0</v>
      </c>
      <c r="CT106" s="145">
        <f>IF(CT$3=$K106,IF($C106="W",1,IF($C106="1/2W",0.5,0)),0)</f>
        <v>0</v>
      </c>
      <c r="CU106" s="146">
        <f>IF(CT$3=$K106,IF($C106="L",1,IF($C106="1/2L",0.5,0)),0)</f>
        <v>0</v>
      </c>
      <c r="CV106" s="146">
        <f>IF(CV$3=$K106,IF($C106="W",1,IF($C106="1/2W",0.5,0)),0)</f>
        <v>0</v>
      </c>
      <c r="CW106" s="146">
        <f>IF(CV$3=$K106,IF($C106="L",1,IF($C106="1/2L",0.5,0)),0)</f>
        <v>0</v>
      </c>
      <c r="CX106" s="146">
        <f>IF(CX$3=$K106,IF($C106="W",1,IF($C106="1/2W",0.5,0)),0)</f>
        <v>0</v>
      </c>
      <c r="CY106" s="146">
        <f>IF(CX$3=$K106,IF($C106="L",1,IF($C106="1/2L",0.5,0)),0)</f>
        <v>0</v>
      </c>
      <c r="CZ106" s="146">
        <f>IF(CZ$3=$K106,IF($C106="W",1,IF($C106="1/2W",0.5,0)),0)</f>
        <v>0</v>
      </c>
      <c r="DA106" s="146">
        <f>IF(CZ$3=$K106,IF($C106="L",1,IF($C106="1/2L",0.5,0)),0)</f>
        <v>0</v>
      </c>
      <c r="DB106" s="146">
        <f>IF(DB$3=$K106,IF($C106="W",1,IF($C106="1/2W",0.5,0)),0)</f>
        <v>0</v>
      </c>
      <c r="DC106" s="146">
        <f>IF(DB$3=$K106,IF($C106="L",1,IF($C106="1/2L",0.5,0)),0)</f>
        <v>1</v>
      </c>
      <c r="DD106" s="146">
        <f>IF(DD$3=$K106,IF($C106="W",1,IF($C106="1/2W",0.5,0)),0)</f>
        <v>0</v>
      </c>
      <c r="DE106" s="147">
        <f>IF(DD$3=$K106,IF($C106="L",1,IF($C106="1/2L",0.5,0)),0)</f>
        <v>0</v>
      </c>
      <c r="DF106" s="143">
        <f>IF(AND(L106&lt;DF$3,$C106="W"),1+DF105,DF105)</f>
        <v>7</v>
      </c>
      <c r="DG106" s="133">
        <f>IF(DF106&gt;DF105,L106+DG105,DG105)</f>
        <v>9.247999999999999</v>
      </c>
      <c r="DH106" s="146">
        <f>IF(AND(L106&gt;DH$3,$C106="W"),1+DH105,0+DH105)</f>
        <v>1</v>
      </c>
      <c r="DI106" s="133">
        <f>IF(DH106&gt;DH105,L106+DI105,DI105)</f>
        <v>4.33</v>
      </c>
      <c r="DJ106" t="s" s="304">
        <f>IF($D106="","",$D106)</f>
        <v>101</v>
      </c>
      <c r="DK106" s="146">
        <f>IF(AND($B106=" ",$D106&lt;&gt;""),1,0)</f>
        <v>0</v>
      </c>
    </row>
    <row r="107" ht="14.55" customHeight="1">
      <c r="A107" s="107"/>
      <c r="B107" s="108"/>
      <c r="C107" t="s" s="109">
        <v>56</v>
      </c>
      <c r="D107" s="110"/>
      <c r="E107" s="111"/>
      <c r="F107" s="113"/>
      <c r="G107" s="252"/>
      <c r="H107" s="114"/>
      <c r="I107" t="s" s="275">
        <v>67</v>
      </c>
      <c r="J107" s="276">
        <f>IF(OR(I106="TO",I106="TU",I106="TO1",I106="TU1",I106="TO2",I106="TU2"),J106,IF(OR(I106="AH1",I106="AH2"),IF(OR(I107="AH1",I107="AH2"),-J106,IF(OR(I107="EH1",I107="EH2"),-J106+0.5,"")),IF(OR(I106="EH1",I106="EH2"),IF(OR(I107="AH1",I107="AH2"),-J106+0.5,IF(OR(I107="EH1",I107="EH2"),-J106+1,"")),IF(AND(OR(I106="DNB1",I106="DNB2"),OR(I107="AH1",I107="AH2")),0,IF(AND(I106="Not ScoreBoth",OR(I107="TO1",I107="TO2")),0.5,"")))))</f>
        <v>0.5</v>
      </c>
      <c r="K107" t="s" s="117">
        <v>38</v>
      </c>
      <c r="L107" s="277">
        <v>1.55</v>
      </c>
      <c r="M107" s="278">
        <v>13.9</v>
      </c>
      <c r="N107" s="120"/>
      <c r="O107" s="121">
        <f>IF(OR(AE106="",AE107=""),"",ROUND(IF(L108&gt;0,IF(M107&gt;0,M107,IF(M106&gt;0,IF(N106=TRUE,ROUND((M106*AE107)/AE106,0),(M106*AE107)/AE106),IF(M107&gt;0,ROUND(M107,IF(N106=0,2,IF(N106=0.1,1,0))),IF(M108&gt;0,ROUND(O108*AE107/AE108,IF(N106=0,2,IF(N106=0.1,1,0))),0)))),IF(M107&gt;0,M107,ROUND((M106*AE107)/AE106,IF(N106=0,2,IF(N106=0.1,1,0))))),2))</f>
        <v>13.9</v>
      </c>
      <c r="P107" s="122">
        <f>IF(OR(L107="",O107=""),"",IF($C107="1/2W",O107/2+O107/2*L107,IF($C107="1/2L",O107/2,IF(I107="Lay",((O107*(L107/(L107-1)))-O107)*(1-_xlfn.XLOOKUP(K107,'Janeiro 2023 - Valor Real'!A3:A15,'Janeiro 2023 - Valor Real'!C3:C15,0))+O107,(O107*L107-O107)*(1-_xlfn.XLOOKUP(K107,'Janeiro 2023 - Valor Real'!A3:A15,'Janeiro 2023 - Valor Real'!C3:C15,0))+O107))))</f>
        <v>21.545</v>
      </c>
      <c r="Q107" s="279">
        <v>5</v>
      </c>
      <c r="R107" s="280">
        <v>0</v>
      </c>
      <c r="S107" s="125"/>
      <c r="T107" s="126"/>
      <c r="U107" s="126"/>
      <c r="V107" s="224"/>
      <c r="W107" s="126"/>
      <c r="X107" s="127"/>
      <c r="Y107" s="128"/>
      <c r="Z107" s="129"/>
      <c r="AA107" s="129"/>
      <c r="AB107" s="129"/>
      <c r="AC107" s="129"/>
      <c r="AD107" s="130"/>
      <c r="AE107" s="131">
        <f>IF(L107="","",IF(L108&gt;0,(SUM(((L106-1)*(1-_xlfn.XLOOKUP(K106,'Janeiro 2023 - Valor Real'!A3:A15,'Janeiro 2023 - Valor Real'!C3:C15,0))+1),((L107-1)*(1-_xlfn.XLOOKUP(K107,'Janeiro 2023 - Valor Real'!A3:A15,'Janeiro 2023 - Valor Real'!C3:C15,0))+1),((L108-1)*(1-_xlfn.XLOOKUP(K108,'Janeiro 2023 - Valor Real'!A3:A15,'Janeiro 2023 - Valor Real'!C3:C15,0))+1))/((L107-1)*(1-_xlfn.XLOOKUP(K107,'Janeiro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Real'!C3:C15,0))+1))/((L106-1)*(1-_xlfn.XLOOKUP(K106,'Janeiro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Real'!C3:C15,0))+1))/((L107-1)*(1-_xlfn.XLOOKUP(K107,'Janeiro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Real'!C3:C15,0))+1))/((L108-1)*(1-_xlfn.XLOOKUP(K108,'Janeiro 2023 - Valor Real'!A3:A15,'Janeiro 2023 - Valor Real'!C3:C15,0))+1)),IF(I107="Lay",IF(I106="Lay",((L106/(L106-1)-1)*(1-_xlfn.XLOOKUP(K106,'Janeiro 2023 - Valor Real'!A3:A15,'Janeiro 2023 - Valor Real'!C3:C15,0))+1)/(((L106/(L106-1)-1)*(1-_xlfn.XLOOKUP(K106,'Janeiro 2023 - Valor Real'!A3:A15,'Janeiro 2023 - Valor Real'!C3:C15,0))+1)+((L107/(L107-1)-1)*(1-_xlfn.XLOOKUP(K107,'Janeiro 2023 - Valor Real'!A3:A15,'Janeiro 2023 - Valor Real'!C3:C15,0))+1)),((L106-1)*(1-_xlfn.XLOOKUP(K106,'Janeiro 2023 - Valor Real'!A3:A15,'Janeiro 2023 - Valor Real'!C3:C15,0))+1)/(((L106-1)*(1-_xlfn.XLOOKUP(K106,'Janeiro 2023 - Valor Real'!A3:A15,'Janeiro 2023 - Valor Real'!C3:C15,0))+1)+((L107/(L107-1)-1)*(1-_xlfn.XLOOKUP(K107,'Janeiro 2023 - Valor Real'!A3:A15,'Janeiro 2023 - Valor Real'!C3:C15,0))+1))),IF(I106="Lay",((L106/(L106-1)-1)*(1-_xlfn.XLOOKUP(K106,'Janeiro 2023 - Valor Real'!A3:A15,'Janeiro 2023 - Valor Real'!C3:C15,0))+1)/((((L106/(L106-1)-1)*(1-_xlfn.XLOOKUP(K106,'Janeiro 2023 - Valor Real'!A3:A15,'Janeiro 2023 - Valor Real'!C3:C15,0))+1))+((L107-1)*(1-_xlfn.XLOOKUP(K107,'Janeiro 2023 - Valor Real'!A3:A15,'Janeiro 2023 - Valor Real'!C3:C15,0))+1)),((L106-1)*(1-_xlfn.XLOOKUP(K106,'Janeiro 2023 - Valor Real'!A3:A15,'Janeiro 2023 - Valor Real'!C3:C15,0))+1)/(((L106-1)*(1-_xlfn.XLOOKUP(K106,'Janeiro 2023 - Valor Real'!A3:A15,'Janeiro 2023 - Valor Real'!C3:C15,0))+1)+((L107-1)*(1-_xlfn.XLOOKUP(K107,'Janeiro 2023 - Valor Real'!A3:A15,'Janeiro 2023 - Valor Real'!C3:C15,0))+1))))))</f>
        <v>0.673684210526316</v>
      </c>
      <c r="AF107" s="132">
        <f>IF($K107=AF$3,ROUND(IF(OR($C107="W",$C107="1/2W",$C107="1/2L"),$P107-$O107,IF($C107="X",0,-$O107)),2),0)</f>
        <v>0</v>
      </c>
      <c r="AG107" s="133">
        <f>IF($K107=AG$3,ROUND(IF(OR($C107="W",$C107="1/2W",$C107="1/2L"),$P107-$O107,IF($C107="X",0,-$O107)),2),0)</f>
        <v>7.65</v>
      </c>
      <c r="AH107" s="133">
        <f>IF($K107=AH$3,ROUND(IF(OR($C107="W",$C107="1/2W",$C107="1/2L"),$P107-$O107,IF($C107="X",0,-$O107)),2),0)</f>
        <v>0</v>
      </c>
      <c r="AI107" s="133">
        <f>IF($K107=AI$3,ROUND(IF(OR($C107="W",$C107="1/2W",$C107="1/2L"),$P107-$O107,IF($C107="X",0,-$O107)),2),0)</f>
        <v>0</v>
      </c>
      <c r="AJ107" s="133">
        <f>IF($K107=AJ$3,ROUND(IF(OR($C107="W",$C107="1/2W",$C107="1/2L"),$P107-$O107,IF($C107="X",0,-$O107)),2),0)</f>
        <v>0</v>
      </c>
      <c r="AK107" s="133">
        <f>IF($K107=AK$3,ROUND(IF(OR($C107="W",$C107="1/2W",$C107="1/2L"),$P107-$O107,IF($C107="X",0,-$O107)),2),0)</f>
        <v>0</v>
      </c>
      <c r="AL107" s="133">
        <f>IF($K107=AL$3,ROUND(IF(OR($C107="W",$C107="1/2W",$C107="1/2L"),$P107-$O107,IF($C107="X",0,-$O107)),2),0)</f>
        <v>0</v>
      </c>
      <c r="AM107" s="133">
        <f>IF($K107=AM$3,ROUND(IF(OR($C107="W",$C107="1/2W",$C107="1/2L"),$P107-$O107,IF($C107="X",0,-$O107)),2),0)</f>
        <v>0</v>
      </c>
      <c r="AN107" s="133">
        <f>IF($K107=AN$3,ROUND(IF(OR($C107="W",$C107="1/2W",$C107="1/2L"),$P107-$O107,IF($C107="X",0,-$O107)),2),0)</f>
        <v>0</v>
      </c>
      <c r="AO107" s="133">
        <f>IF($K107=AO$3,ROUND(IF(OR($C107="W",$C107="1/2W",$C107="1/2L"),$P107-$O107,IF($C107="X",0,-$O107)),2),0)</f>
        <v>0</v>
      </c>
      <c r="AP107" s="133">
        <f>IF($K107=AP$3,ROUND(IF(OR($C107="W",$C107="1/2W",$C107="1/2L"),$P107-$O107,IF($C107="X",0,-$O107)),2),0)</f>
        <v>0</v>
      </c>
      <c r="AQ107" s="133">
        <f>IF($K107=AQ$3,ROUND(IF(OR($C107="W",$C107="1/2W",$C107="1/2L"),$P107-$O107,IF($C107="X",0,-$O107)),2),0)</f>
        <v>0</v>
      </c>
      <c r="AR107" s="134">
        <f>IF($K107=AR$3,ROUND(IF(OR($C107="W",$C107="1/2W",$C107="1/2L"),$P107-$O107,IF($C107="X",0,-$O107)),2),0)</f>
        <v>0</v>
      </c>
      <c r="AS107" s="132">
        <f>IF(AND($B106=" ",$K107=AS$3),$O107,0)</f>
        <v>0</v>
      </c>
      <c r="AT107" s="133">
        <f>IF(AND($B106=" ",K107=AT$3),$O107,0)</f>
        <v>0</v>
      </c>
      <c r="AU107" s="133">
        <f>IF(AND($B106=" ",$K107=AU$3),$O107,0)</f>
        <v>0</v>
      </c>
      <c r="AV107" s="133">
        <f>IF(AND($B106=" ",$K107=AV$3),$O107,0)</f>
        <v>0</v>
      </c>
      <c r="AW107" s="133">
        <f>IF(AND($B106=" ",$K107=AW$3),$O107,0)</f>
        <v>0</v>
      </c>
      <c r="AX107" s="133">
        <f>IF(AND($B106=" ",$K107=AX$3),$O107,0)</f>
        <v>0</v>
      </c>
      <c r="AY107" s="135">
        <f>IF(AND($B106=" ",$K107=AY$3),$O107,0)</f>
        <v>0</v>
      </c>
      <c r="AZ107" s="136">
        <f>IF(AND($B106=" ",$K107=AZ$3),$O107,0)</f>
        <v>0</v>
      </c>
      <c r="BA107" s="136">
        <f>IF(AND($B106=" ",$K107=BA$3),$O107,0)</f>
        <v>0</v>
      </c>
      <c r="BB107" s="136">
        <f>IF(AND($B106=" ",$K107=BB$3),$O107,0)</f>
        <v>0</v>
      </c>
      <c r="BC107" s="137">
        <f>IF(AND($B106=" ",$K107=BC$3),$O107,0)</f>
        <v>0</v>
      </c>
      <c r="BD107" s="133">
        <f>IF(AND($B106=" ",$K107=BD$3),$O107,0)</f>
        <v>0</v>
      </c>
      <c r="BE107" s="134">
        <f>IF(AND($B106=" ",$K107=BE$3),$O107,0)</f>
        <v>0</v>
      </c>
      <c r="BF107" s="132">
        <f>IF($K107=BF$3,IF($C107="X",0,$O107),0)</f>
        <v>0</v>
      </c>
      <c r="BG107" s="281">
        <f>IF($K107=BG$3,IF($C107="X",0,$O107),0)</f>
        <v>13.9</v>
      </c>
      <c r="BH107" s="133">
        <f>IF($K107=BH$3,IF($C107="X",0,$O107),0)</f>
        <v>0</v>
      </c>
      <c r="BI107" s="133">
        <f>IF($K107=BI$3,IF($C107="X",0,$O107),0)</f>
        <v>0</v>
      </c>
      <c r="BJ107" s="133">
        <f>IF($K107=BJ$3,IF($C107="X",0,$O107),0)</f>
        <v>0</v>
      </c>
      <c r="BK107" s="133">
        <f>IF($K107=BK$3,IF($C107="X",0,$O107),0)</f>
        <v>0</v>
      </c>
      <c r="BL107" s="133">
        <f>IF($K107=BL$3,IF($C107="X",0,$O107),0)</f>
        <v>0</v>
      </c>
      <c r="BM107" s="135">
        <f>IF($K107=BM$3,IF($C107="X",0,$O107),0)</f>
        <v>0</v>
      </c>
      <c r="BN107" s="136">
        <f>IF($K107=BN$3,IF($C107="X",0,$O107),0)</f>
        <v>0</v>
      </c>
      <c r="BO107" s="136">
        <f>IF($K107=BO$3,IF($C107="X",0,$O107),0)</f>
        <v>0</v>
      </c>
      <c r="BP107" s="136">
        <f>IF($K107=BP$3,IF($C107="X",0,$O107),0)</f>
        <v>0</v>
      </c>
      <c r="BQ107" s="137">
        <f>IF($K107=BQ$3,IF($C107="X",0,$O107),0)</f>
        <v>0</v>
      </c>
      <c r="BR107" s="134">
        <f>IF($K107=BR$3,IF($C107="X",0,$O107),0)</f>
        <v>0</v>
      </c>
      <c r="BS107" s="282"/>
      <c r="BT107" s="283"/>
      <c r="BU107" s="140"/>
      <c r="BV107" s="283"/>
      <c r="BW107" s="140"/>
      <c r="BX107" s="140"/>
      <c r="BY107" s="140"/>
      <c r="BZ107" s="283"/>
      <c r="CA107" s="140"/>
      <c r="CB107" s="140"/>
      <c r="CC107" s="140"/>
      <c r="CD107" s="141"/>
      <c r="CE107" s="142"/>
      <c r="CF107" s="284">
        <f>IF(CF$3=$K107,IF($C107="W",1,IF($C107="1/2W",0.5,0)),0)</f>
        <v>0</v>
      </c>
      <c r="CG107" s="285">
        <f>IF(CF$3=$K107,IF($C107="L",1,IF($C107="1/2L",0.5,0)),0)</f>
        <v>0</v>
      </c>
      <c r="CH107" s="285">
        <f>IF(CH$3=$K107,IF($C107="W",1,IF($C107="1/2W",0.5,0)),0)</f>
        <v>1</v>
      </c>
      <c r="CI107" s="285">
        <f>IF(CH$3=$K107,IF($C107="L",1,IF($C107="1/2L",0.5,0)),0)</f>
        <v>0</v>
      </c>
      <c r="CJ107" s="285">
        <f>IF(CJ$3=$K107,IF($C107="W",1,IF($C107="1/2W",0.5,0)),0)</f>
        <v>0</v>
      </c>
      <c r="CK107" s="285">
        <f>IF(CJ$3=$K107,IF($C107="L",1,IF($C107="1/2L",0.5,0)),0)</f>
        <v>0</v>
      </c>
      <c r="CL107" s="285">
        <f>IF(CL$3=$K107,IF($C107="W",1,IF($C107="1/2W",0.5,0)),0)</f>
        <v>0</v>
      </c>
      <c r="CM107" s="285">
        <f>IF(CL$3=$K107,IF($C107="L",1,IF($C107="1/2L",0.5,0)),0)</f>
        <v>0</v>
      </c>
      <c r="CN107" s="285">
        <f>IF(CN$3=$K107,IF($C107="W",1,IF($C107="1/2W",0.5,0)),0)</f>
        <v>0</v>
      </c>
      <c r="CO107" s="285">
        <f>IF(CN$3=$K107,IF($C107="L",1,IF($C107="1/2L",0.5,0)),0)</f>
        <v>0</v>
      </c>
      <c r="CP107" s="285">
        <f>IF(CP$3=$K107,IF($C107="W",1,IF($C107="1/2W",0.5,0)),0)</f>
        <v>0</v>
      </c>
      <c r="CQ107" s="285">
        <f>IF(CP$3=$K107,IF($C107="L",1,IF($C107="1/2L",0.5,0)),0)</f>
        <v>0</v>
      </c>
      <c r="CR107" s="285">
        <f>IF(CR$3=$K107,IF($C107="W",1,IF($C107="1/2W",0.5,0)),0)</f>
        <v>0</v>
      </c>
      <c r="CS107" s="285">
        <f>IF(CR$3=$K107,IF($C107="L",1,IF($C107="1/2L",0.5,0)),0)</f>
        <v>0</v>
      </c>
      <c r="CT107" s="145">
        <f>IF(CT$3=$K107,IF($C107="W",1,IF($C107="1/2W",0.5,0)),0)</f>
        <v>0</v>
      </c>
      <c r="CU107" s="146">
        <f>IF(CT$3=$K107,IF($C107="L",1,IF($C107="1/2L",0.5,0)),0)</f>
        <v>0</v>
      </c>
      <c r="CV107" s="146">
        <f>IF(CV$3=$K107,IF($C107="W",1,IF($C107="1/2W",0.5,0)),0)</f>
        <v>0</v>
      </c>
      <c r="CW107" s="146">
        <f>IF(CV$3=$K107,IF($C107="L",1,IF($C107="1/2L",0.5,0)),0)</f>
        <v>0</v>
      </c>
      <c r="CX107" s="146">
        <f>IF(CX$3=$K107,IF($C107="W",1,IF($C107="1/2W",0.5,0)),0)</f>
        <v>0</v>
      </c>
      <c r="CY107" s="146">
        <f>IF(CX$3=$K107,IF($C107="L",1,IF($C107="1/2L",0.5,0)),0)</f>
        <v>0</v>
      </c>
      <c r="CZ107" s="146">
        <f>IF(CZ$3=$K107,IF($C107="W",1,IF($C107="1/2W",0.5,0)),0)</f>
        <v>0</v>
      </c>
      <c r="DA107" s="146">
        <f>IF(CZ$3=$K107,IF($C107="L",1,IF($C107="1/2L",0.5,0)),0)</f>
        <v>0</v>
      </c>
      <c r="DB107" s="146">
        <f>IF(DB$3=$K107,IF($C107="W",1,IF($C107="1/2W",0.5,0)),0)</f>
        <v>0</v>
      </c>
      <c r="DC107" s="146">
        <f>IF(DB$3=$K107,IF($C107="L",1,IF($C107="1/2L",0.5,0)),0)</f>
        <v>0</v>
      </c>
      <c r="DD107" s="146">
        <f>IF(DD$3=$K107,IF($C107="W",1,IF($C107="1/2W",0.5,0)),0)</f>
        <v>0</v>
      </c>
      <c r="DE107" s="147">
        <f>IF(DD$3=$K107,IF($C107="L",1,IF($C107="1/2L",0.5,0)),0)</f>
        <v>0</v>
      </c>
      <c r="DF107" s="143">
        <f>IF(AND(L107&lt;DF$3,$C107="W"),1+DF106,DF106)</f>
        <v>7</v>
      </c>
      <c r="DG107" s="133">
        <f>IF(DF107&gt;DF106,L107+DG106,DG106)</f>
        <v>9.247999999999999</v>
      </c>
      <c r="DH107" s="146">
        <f>IF(AND(L107&gt;DH$3,$C107="W"),1+DH106,0+DH106)</f>
        <v>1</v>
      </c>
      <c r="DI107" s="133">
        <f>IF(DH107&gt;DH106,L107+DI106,DI106)</f>
        <v>4.33</v>
      </c>
      <c r="DJ107" t="s" s="304">
        <f>IF($D106="","",$D106)</f>
        <v>101</v>
      </c>
      <c r="DK107" s="286"/>
    </row>
    <row r="108" ht="14.55" customHeight="1">
      <c r="A108" s="149"/>
      <c r="B108" s="150"/>
      <c r="C108" t="s" s="151">
        <v>58</v>
      </c>
      <c r="D108" s="152"/>
      <c r="E108" s="153"/>
      <c r="F108" s="155"/>
      <c r="G108" s="252"/>
      <c r="H108" s="156"/>
      <c r="I108" s="287"/>
      <c r="J108" s="288"/>
      <c r="K108" s="156"/>
      <c r="L108" s="289"/>
      <c r="M108" s="290"/>
      <c r="N108" s="161"/>
      <c r="O108" t="s" s="162">
        <f>IF(OR(AE106="",AE107=""),"",IF(L108&gt;0,ROUND(IF(M108&gt;0,M108,IF(M106&gt;0,ROUND((M106*AE108)/AE106,IF(N106=0,2,IF(N106=0.1,1,0))),IF(M107&gt;0,ROUND((M107*AE108)/AE107,IF(N106=0,2,IF(N106=0.1,1,0))),IF(M108&gt;0,M108,0)))),2),""))</f>
      </c>
      <c r="P108" t="s" s="163">
        <f>IF(I107="Lay",O107*(L107/(L107-1))-O107,IF(I106="Lay",O106*(L106/(L106-1))-O106,IF(OR(L108="",O108=""),"",IF($C108="1/2W",O108/2+O108/2*L108,IF($C108="1/2L",O108/2,(O108*L108-O108)*(1-_xlfn.XLOOKUP(K108,'Janeiro 2023 - Valor Real'!A3:A15,'Janeiro 2023 - Valor Real'!C3:C15,0))+O108)))))</f>
      </c>
      <c r="Q108" t="s" s="154"/>
      <c r="R108" t="s" s="163"/>
      <c r="S108" s="166"/>
      <c r="T108" s="155"/>
      <c r="U108" s="155"/>
      <c r="V108" s="166"/>
      <c r="W108" s="155"/>
      <c r="X108" s="167"/>
      <c r="Y108" s="128"/>
      <c r="Z108" s="129"/>
      <c r="AA108" s="129"/>
      <c r="AB108" s="129"/>
      <c r="AC108" s="129"/>
      <c r="AD108" s="168"/>
      <c r="AE108" t="s" s="169">
        <f>IF(L108="","",(SUM(((L106-1)*(1-_xlfn.XLOOKUP(K106,'Janeiro 2023 - Valor Real'!A3:A15,'Janeiro 2023 - Valor Real'!C3:C15,0))+1),((L107-1)*(1-_xlfn.XLOOKUP(K107,'Janeiro 2023 - Valor Real'!A3:A15,'Janeiro 2023 - Valor Real'!C3:C15,0))+1),((L108-1)*(1-_xlfn.XLOOKUP(K108,'Janeiro 2023 - Valor Real'!A3:A15,'Janeiro 2023 - Valor Real'!C3:C15,0))+1))/((L108-1)*(1-_xlfn.XLOOKUP(K108,'Janeiro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Real'!C3:C15,0))+1))/((L106-1)*(1-_xlfn.XLOOKUP(K106,'Janeiro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Real'!C3:C15,0))+1))/((L107-1)*(1-_xlfn.XLOOKUP(K107,'Janeiro 2023 - Valor Real'!A3:A15,'Janeiro 2023 - Valor Real'!C3:C15,0))+1)+SUM(((L106-1)*(1-_xlfn.XLOOKUP(K106,'Janeiro 2023 - Valor Real'!A3:A15,'Janeiro 2023 - Valor Real'!C3:C15,0))+1),((L107-1)*(1-_xlfn.XLOOKUP(K107,'Janeiro 2023 - Valor Real'!A3:A15,'Janeiro 2023 - Valor Real'!C3:C15,0))+1),((L108-1)*(1-_xlfn.XLOOKUP(K108,'Janeiro 2023 - Valor Real'!A3:A15,'Janeiro 2023 - Valor Real'!C3:C15,0))+1))/((L108-1)*(1-_xlfn.XLOOKUP(K108,'Janeiro 2023 - Valor Real'!A3:A15,'Janeiro 2023 - Valor Real'!C3:C15,0))+1)))</f>
      </c>
      <c r="AF108" s="132">
        <f>IF($K108=AF$3,ROUND(IF(OR($C108="W",$C108="1/2W",$C108="1/2L"),$P108-$O108,IF($C108="X",0,-$O108)),2),0)</f>
        <v>0</v>
      </c>
      <c r="AG108" s="133">
        <f>IF($K108=AG$3,ROUND(IF(OR($C108="W",$C108="1/2W",$C108="1/2L"),$P108-$O108,IF($C108="X",0,-$O108)),2),0)</f>
        <v>0</v>
      </c>
      <c r="AH108" s="133">
        <f>IF($K108=AH$3,ROUND(IF(OR($C108="W",$C108="1/2W",$C108="1/2L"),$P108-$O108,IF($C108="X",0,-$O108)),2),0)</f>
        <v>0</v>
      </c>
      <c r="AI108" s="133">
        <f>IF($K108=AI$3,ROUND(IF(OR($C108="W",$C108="1/2W",$C108="1/2L"),$P108-$O108,IF($C108="X",0,-$O108)),2),0)</f>
        <v>0</v>
      </c>
      <c r="AJ108" s="133">
        <f>IF($K108=AJ$3,ROUND(IF(OR($C108="W",$C108="1/2W",$C108="1/2L"),$P108-$O108,IF($C108="X",0,-$O108)),2),0)</f>
        <v>0</v>
      </c>
      <c r="AK108" s="133">
        <f>IF($K108=AK$3,ROUND(IF(OR($C108="W",$C108="1/2W",$C108="1/2L"),$P108-$O108,IF($C108="X",0,-$O108)),2),0)</f>
        <v>0</v>
      </c>
      <c r="AL108" s="133">
        <f>IF($K108=AL$3,ROUND(IF(OR($C108="W",$C108="1/2W",$C108="1/2L"),$P108-$O108,IF($C108="X",0,-$O108)),2),0)</f>
        <v>0</v>
      </c>
      <c r="AM108" s="133">
        <f>IF($K108=AM$3,ROUND(IF(OR($C108="W",$C108="1/2W",$C108="1/2L"),$P108-$O108,IF($C108="X",0,-$O108)),2),0)</f>
        <v>0</v>
      </c>
      <c r="AN108" s="133">
        <f>IF($K108=AN$3,ROUND(IF(OR($C108="W",$C108="1/2W",$C108="1/2L"),$P108-$O108,IF($C108="X",0,-$O108)),2),0)</f>
        <v>0</v>
      </c>
      <c r="AO108" s="133">
        <f>IF($K108=AO$3,ROUND(IF(OR($C108="W",$C108="1/2W",$C108="1/2L"),$P108-$O108,IF($C108="X",0,-$O108)),2),0)</f>
        <v>0</v>
      </c>
      <c r="AP108" s="133">
        <f>IF($K108=AP$3,ROUND(IF(OR($C108="W",$C108="1/2W",$C108="1/2L"),$P108-$O108,IF($C108="X",0,-$O108)),2),0)</f>
        <v>0</v>
      </c>
      <c r="AQ108" s="133">
        <f>IF($K108=AQ$3,ROUND(IF(OR($C108="W",$C108="1/2W",$C108="1/2L"),$P108-$O108,IF($C108="X",0,-$O108)),2),0)</f>
        <v>0</v>
      </c>
      <c r="AR108" s="134">
        <f>IF($K108=AR$3,ROUND(IF(OR($C108="W",$C108="1/2W",$C108="1/2L"),$P108-$O108,IF($C108="X",0,-$O108)),2),0)</f>
        <v>0</v>
      </c>
      <c r="AS108" s="132">
        <f>IF(AND($B106=" ",$K108=AS$3),$O108,0)</f>
        <v>0</v>
      </c>
      <c r="AT108" s="133">
        <f>IF(AND($B106=" ",K108=AT$3),$O108,0)</f>
        <v>0</v>
      </c>
      <c r="AU108" s="133">
        <f>IF(AND($B106=" ",$K108=AU$3),$O108,0)</f>
        <v>0</v>
      </c>
      <c r="AV108" s="133">
        <f>IF(AND($B106=" ",$K108=AV$3),$O108,0)</f>
        <v>0</v>
      </c>
      <c r="AW108" s="133">
        <f>IF(AND($B106=" ",$K108=AW$3),$O108,0)</f>
        <v>0</v>
      </c>
      <c r="AX108" s="133">
        <f>IF(AND($B106=" ",$K108=AX$3),$O108,0)</f>
        <v>0</v>
      </c>
      <c r="AY108" s="135">
        <f>IF(AND($B106=" ",$K108=AY$3),$O108,0)</f>
        <v>0</v>
      </c>
      <c r="AZ108" s="136">
        <f>IF(AND($B106=" ",$K108=AZ$3),$O108,0)</f>
        <v>0</v>
      </c>
      <c r="BA108" s="136">
        <f>IF(AND($B106=" ",$K108=BA$3),$O108,0)</f>
        <v>0</v>
      </c>
      <c r="BB108" s="136">
        <f>IF(AND($B106=" ",$K108=BB$3),$O108,0)</f>
        <v>0</v>
      </c>
      <c r="BC108" s="137">
        <f>IF(AND($B106=" ",$K108=BC$3),$O108,0)</f>
        <v>0</v>
      </c>
      <c r="BD108" s="133">
        <f>IF(AND($B106=" ",$K108=BD$3),$O108,0)</f>
        <v>0</v>
      </c>
      <c r="BE108" s="134">
        <f>IF(AND($B106=" ",$K108=BE$3),$O108,0)</f>
        <v>0</v>
      </c>
      <c r="BF108" s="132">
        <f>IF($K108=BF$3,IF($C108="X",0,$O108),0)</f>
        <v>0</v>
      </c>
      <c r="BG108" s="281">
        <f>IF($K108=BG$3,IF($C108="X",0,$O108),0)</f>
        <v>0</v>
      </c>
      <c r="BH108" s="133">
        <f>IF($K108=BH$3,IF($C108="X",0,$O108),0)</f>
        <v>0</v>
      </c>
      <c r="BI108" s="133">
        <f>IF($K108=BI$3,IF($C108="X",0,$O108),0)</f>
        <v>0</v>
      </c>
      <c r="BJ108" s="133">
        <f>IF($K108=BJ$3,IF($C108="X",0,$O108),0)</f>
        <v>0</v>
      </c>
      <c r="BK108" s="133">
        <f>IF($K108=BK$3,IF($C108="X",0,$O108),0)</f>
        <v>0</v>
      </c>
      <c r="BL108" s="133">
        <f>IF($K108=BL$3,IF($C108="X",0,$O108),0)</f>
        <v>0</v>
      </c>
      <c r="BM108" s="135">
        <f>IF($K108=BM$3,IF($C108="X",0,$O108),0)</f>
        <v>0</v>
      </c>
      <c r="BN108" s="136">
        <f>IF($K108=BN$3,IF($C108="X",0,$O108),0)</f>
        <v>0</v>
      </c>
      <c r="BO108" s="136">
        <f>IF($K108=BO$3,IF($C108="X",0,$O108),0)</f>
        <v>0</v>
      </c>
      <c r="BP108" s="136">
        <f>IF($K108=BP$3,IF($C108="X",0,$O108),0)</f>
        <v>0</v>
      </c>
      <c r="BQ108" s="137">
        <f>IF($K108=BQ$3,IF($C108="X",0,$O108),0)</f>
        <v>0</v>
      </c>
      <c r="BR108" s="134">
        <f>IF($K108=BR$3,IF($C108="X",0,$O108),0)</f>
        <v>0</v>
      </c>
      <c r="BS108" s="282"/>
      <c r="BT108" s="283"/>
      <c r="BU108" s="140"/>
      <c r="BV108" s="283"/>
      <c r="BW108" s="140"/>
      <c r="BX108" s="140"/>
      <c r="BY108" s="140"/>
      <c r="BZ108" s="283"/>
      <c r="CA108" s="140"/>
      <c r="CB108" s="140"/>
      <c r="CC108" s="140"/>
      <c r="CD108" s="141"/>
      <c r="CE108" s="142"/>
      <c r="CF108" s="284">
        <f>IF(CF$3=$K108,IF($C108="W",1,IF($C108="1/2W",0.5,0)),0)</f>
        <v>0</v>
      </c>
      <c r="CG108" s="285">
        <f>IF(CF$3=$K108,IF($C108="L",1,IF($C108="1/2L",0.5,0)),0)</f>
        <v>0</v>
      </c>
      <c r="CH108" s="285">
        <f>IF(CH$3=$K108,IF($C108="W",1,IF($C108="1/2W",0.5,0)),0)</f>
        <v>0</v>
      </c>
      <c r="CI108" s="285">
        <f>IF(CH$3=$K108,IF($C108="L",1,IF($C108="1/2L",0.5,0)),0)</f>
        <v>0</v>
      </c>
      <c r="CJ108" s="285">
        <f>IF(CJ$3=$K108,IF($C108="W",1,IF($C108="1/2W",0.5,0)),0)</f>
        <v>0</v>
      </c>
      <c r="CK108" s="285">
        <f>IF(CJ$3=$K108,IF($C108="L",1,IF($C108="1/2L",0.5,0)),0)</f>
        <v>0</v>
      </c>
      <c r="CL108" s="285">
        <f>IF(CL$3=$K108,IF($C108="W",1,IF($C108="1/2W",0.5,0)),0)</f>
        <v>0</v>
      </c>
      <c r="CM108" s="285">
        <f>IF(CL$3=$K108,IF($C108="L",1,IF($C108="1/2L",0.5,0)),0)</f>
        <v>0</v>
      </c>
      <c r="CN108" s="285">
        <f>IF(CN$3=$K108,IF($C108="W",1,IF($C108="1/2W",0.5,0)),0)</f>
        <v>0</v>
      </c>
      <c r="CO108" s="285">
        <f>IF(CN$3=$K108,IF($C108="L",1,IF($C108="1/2L",0.5,0)),0)</f>
        <v>0</v>
      </c>
      <c r="CP108" s="285">
        <f>IF(CP$3=$K108,IF($C108="W",1,IF($C108="1/2W",0.5,0)),0)</f>
        <v>0</v>
      </c>
      <c r="CQ108" s="285">
        <f>IF(CP$3=$K108,IF($C108="L",1,IF($C108="1/2L",0.5,0)),0)</f>
        <v>0</v>
      </c>
      <c r="CR108" s="285">
        <f>IF(CR$3=$K108,IF($C108="W",1,IF($C108="1/2W",0.5,0)),0)</f>
        <v>0</v>
      </c>
      <c r="CS108" s="285">
        <f>IF(CR$3=$K108,IF($C108="L",1,IF($C108="1/2L",0.5,0)),0)</f>
        <v>0</v>
      </c>
      <c r="CT108" s="145">
        <f>IF(CT$3=$K108,IF($C108="W",1,IF($C108="1/2W",0.5,0)),0)</f>
        <v>0</v>
      </c>
      <c r="CU108" s="146">
        <f>IF(CT$3=$K108,IF($C108="L",1,IF($C108="1/2L",0.5,0)),0)</f>
        <v>0</v>
      </c>
      <c r="CV108" s="146">
        <f>IF(CV$3=$K108,IF($C108="W",1,IF($C108="1/2W",0.5,0)),0)</f>
        <v>0</v>
      </c>
      <c r="CW108" s="146">
        <f>IF(CV$3=$K108,IF($C108="L",1,IF($C108="1/2L",0.5,0)),0)</f>
        <v>0</v>
      </c>
      <c r="CX108" s="146">
        <f>IF(CX$3=$K108,IF($C108="W",1,IF($C108="1/2W",0.5,0)),0)</f>
        <v>0</v>
      </c>
      <c r="CY108" s="146">
        <f>IF(CX$3=$K108,IF($C108="L",1,IF($C108="1/2L",0.5,0)),0)</f>
        <v>0</v>
      </c>
      <c r="CZ108" s="146">
        <f>IF(CZ$3=$K108,IF($C108="W",1,IF($C108="1/2W",0.5,0)),0)</f>
        <v>0</v>
      </c>
      <c r="DA108" s="146">
        <f>IF(CZ$3=$K108,IF($C108="L",1,IF($C108="1/2L",0.5,0)),0)</f>
        <v>0</v>
      </c>
      <c r="DB108" s="146">
        <f>IF(DB$3=$K108,IF($C108="W",1,IF($C108="1/2W",0.5,0)),0)</f>
        <v>0</v>
      </c>
      <c r="DC108" s="146">
        <f>IF(DB$3=$K108,IF($C108="L",1,IF($C108="1/2L",0.5,0)),0)</f>
        <v>0</v>
      </c>
      <c r="DD108" s="146">
        <f>IF(DD$3=$K108,IF($C108="W",1,IF($C108="1/2W",0.5,0)),0)</f>
        <v>0</v>
      </c>
      <c r="DE108" s="147">
        <f>IF(DD$3=$K108,IF($C108="L",1,IF($C108="1/2L",0.5,0)),0)</f>
        <v>0</v>
      </c>
      <c r="DF108" s="143">
        <f>IF(AND(L108&lt;DF$3,$C108="W"),1+DF107,DF107)</f>
        <v>7</v>
      </c>
      <c r="DG108" s="133">
        <f>IF(DF108&gt;DF107,L108+DG107,DG107)</f>
        <v>9.247999999999999</v>
      </c>
      <c r="DH108" s="146">
        <f>IF(AND(L108&gt;DH$3,$C108="W"),1+DH107,0+DH107)</f>
        <v>1</v>
      </c>
      <c r="DI108" s="133">
        <f>IF(DH108&gt;DH107,L108+DI107,DI107)</f>
        <v>4.33</v>
      </c>
      <c r="DJ108" t="s" s="304">
        <f>IF($D106="","",$D106)</f>
        <v>101</v>
      </c>
      <c r="DK108" s="286"/>
    </row>
    <row r="109" ht="14.55" customHeight="1">
      <c r="A109" s="171">
        <f>$A106+1</f>
        <v>36</v>
      </c>
      <c r="B109" t="s" s="172">
        <f>IF(AND(_xlfn.XLOOKUP(H109,H26:H$84,G26:G$84,0)=G109,_xlfn.XLOOKUP("TempoBet",K109:K111,L109:L111,0)&gt;0),"X",IF(OR(C109="W",C110="W",C111="W",C109="1/2W",C110="1/2W",C111="1/2W",C109="1/2L",C110="1/2L",C111="1/2L"),"OK",IF(OR(C109="L",C110="L",C111="L"),"LOSS",IF(OR(C109="X",C110="X",C111="X"),"Anulado"," "))))</f>
        <v>50</v>
      </c>
      <c r="C109" t="s" s="173">
        <v>56</v>
      </c>
      <c r="D109" t="s" s="305">
        <f>IF(G109="","",$D106)</f>
        <v>101</v>
      </c>
      <c r="E109" t="s" s="175">
        <f>IF(G109=""," ","– "&amp;COUNTIF(D$4:D111,$D109))</f>
        <v>148</v>
      </c>
      <c r="F109" t="s" s="176">
        <f>IF(G109="","",IF(OR(AND($C109&lt;&gt;" ",$C110=" "),AND($C110&lt;&gt;" ",$C109=" "),AND(L111&gt;0,OR(AND($C111&lt;&gt;" ",OR($C109=" ",$C110=" ")),AND($C111=" ",OR($C109&lt;&gt;" ",$C110&lt;&gt;" "))))),IF(SUM(F$4:F108)=0,1,LARGE(F$4:F108,1)+1),IF(MONTH(G109)=MONTH(TODAY()),IF(AND(DAY(G109)&lt;DAY(TODAY()),$B109=" "),IF(SUM(F$4:F108)=0,1,LARGE(F$4:F108,1)+1),IF($B109=" ",IF(AND(DAY(G109)=DAY(TODAY()),HOUR(G109)&lt;=HOUR(NOW())+1),IF(AND(HOUR(G109)+2&lt;=HOUR(NOW()),DAY(G109)&lt;=DAY(TODAY()),MINUTE(G109)&lt;=MINUTE(NOW())),IF(SUM(F$4:F108)=0,1,LARGE(F$4:F108,1)+1),IF(OR(MINUTE(G109)&lt;=MINUTE(NOW()),HOUR(G109)&lt;=HOUR(NOW())),"!!!","")),""),"")),"")))</f>
      </c>
      <c r="G109" s="177">
        <f>IF(H109="","",_xlfn.XLOOKUP(H109,H$4:H108,G$4:G108,""))</f>
        <v>44944</v>
      </c>
      <c r="H109" t="s" s="178">
        <v>146</v>
      </c>
      <c r="I109" t="s" s="179">
        <v>81</v>
      </c>
      <c r="J109" s="180"/>
      <c r="K109" t="s" s="181">
        <v>38</v>
      </c>
      <c r="L109" s="182">
        <v>1.52</v>
      </c>
      <c r="M109" s="183">
        <v>11.12</v>
      </c>
      <c r="N109" s="184">
        <v>0.1</v>
      </c>
      <c r="O109" s="185">
        <f>IF(OR(AE109="",AE110=""),"",ROUND(IF(L111&gt;0,IF(M109&gt;0,M109,IF(M110&gt;0,ROUND((M110*AE109)/AE110,IF(N109=0,2,IF(N109=0.1,1,0))),ROUND((M111*AE109)/AE111,IF(N109=0,2,IF(N109=0.1,1,0))))),IF(M109&gt;0,M109,ROUND((M110*AE109)/AE110,IF(N109=0,2,IF(N109=0.1,1,0))))),2))</f>
        <v>11.12</v>
      </c>
      <c r="P109" s="186">
        <f>IF(OR(L109="",O109=""),"",IF($C109="1/2W",O109/2+O109/2*L109,IF($C109="1/2L",O109/2,IF(I109="Lay",(O109*(L109/(L109-1))-O109)*(1-_xlfn.XLOOKUP(K109,'Janeiro 2023 - Valor Real'!A3:A15,'Janeiro 2023 - Valor Real'!C3:C15,0))+O109,(O109*L109-O109)*(1-_xlfn.XLOOKUP(K109,'Janeiro 2023 - Valor Real'!A3:A15,'Janeiro 2023 - Valor Real'!C3:C15,0))+O109))))</f>
        <v>16.9024</v>
      </c>
      <c r="Q109" s="187">
        <f>IF(K109="","",IF(_xlfn.XLOOKUP(K109,K26:K$84,DJ26:DJ$84,0,,-1)=DJ109,_xlfn.XLOOKUP(K109,K26:K$84,Q26:Q$84,1,,-1)+1,1))</f>
        <v>5</v>
      </c>
      <c r="R109" s="188">
        <f>IF(K109="","",_xlfn.XLOOKUP(K109,K26:K$84,R26:R$84,0,,-1)+IF($C109=" ",1,0))</f>
        <v>0</v>
      </c>
      <c r="S109" s="189">
        <f>IF($B109="Anulado",0,ROUND(IF(OR($B109="LOSS",$B109="OK"),IF(OR($C109="W",$C109="1/2W",$C109="1/2L"),P109-O109,IF($C109="L",-O109,0))+IF(OR($C110="W",$C110="1/2W",$C110="1/2L"),P110-O110,IF($C110="L",-O110,0))+IF(OR($C111="W",$C111="1/2W",$C111="1/2L"),P111-O111,IF($C111="L",-O111,0)),IF(AND(OR($C109="W",$C109="1/2W",$C109="1/2L"),C110="W"),P109+P110-SUM(O109:O111)+_xlfn.XLOOKUP("X",C109:C111,O109:O111,0),IF(AND(C109=TRUE,C111="W"),P109+P111-SUM(O109:O111),IF(AND(C110="W",C111="W"),P110+P111-SUM(O109:O111)+_xlfn.XLOOKUP("X",C109:C111,O109:O111,0),IF(L111&gt;0,IF(OR($C109="W",$C109="1/2W",$C109="1/2L"),P109-SUM(O109:O111)+_xlfn.XLOOKUP("X",C109:C111,O109:O111,0),IF(OR($C109="W",$C109="1/2W",$C109="1/2L"),P110-SUM(O109:O111)+_xlfn.XLOOKUP("X",C109:C111,O109:O111,0),IF(OR($C109="W",$C109="1/2W",$C109="1/2L"),P111-SUM(O109:O111)+_xlfn.XLOOKUP("X",C109:C111,O109:O111,0),IF(SUM(P109:P111)/3-SUM(O109:O111)+_xlfn.XLOOKUP("X",C109:C111,O109:O111,0)&gt;0,SUM(P109:P111)/3-SUM(O109:O111)+_xlfn.XLOOKUP("X",C109:C111,O109:O111,0),LARGE(P109:P111,1)-SUM(O109:O111))))),IF(OR($C109="W",$C109="1/2W",$C109="1/2L"),P109-SUM(O109:O110)+_xlfn.XLOOKUP("X",C109:C111,O109:O111,0),IF(OR($C109="W",$C109="1/2W",$C109="1/2L"),P110-SUM(O109:O110)+_xlfn.XLOOKUP("X",C109:C111,O109:O111,0),SUM(P109:P110)/2-SUM(O109:O110)+_xlfn.XLOOKUP("X",C109:C111,O109:O111,0)))))))),2))</f>
        <v>1.18</v>
      </c>
      <c r="T109" s="190">
        <f>IF(S109=0,0,S109/SUM(O109:O111))</f>
        <v>0.0750636132315522</v>
      </c>
      <c r="U109" s="191">
        <f>IF($D109=$D106,IF(OR($B109="LOSS",$B109="OK",$B109="Anulada"),S109,0)+U106,IF(OR($B109="LOSS",$B109="OK",$B109="Anulada"),S109,0))</f>
        <v>24.27</v>
      </c>
      <c r="V109" s="191">
        <f>IF($D109="",0,IF($D109=$D106,IF($B109=" ",IF(I111="",IF(OR(AND(I109="DNB1",I110="DNB2"),AND(OR(I109="DNB1",I109="DNB2"),J110=0),AND(OR(I110="DNB1",I110="DNB2"),J109=0),AND(I109="DNB2",I110="DNB1"),AND(IF(J109=0,(J109+1)/ROUND(J109+1,0),J109/ROUND(J109,0))=1,IF(J110=0,(J110+1)/ROUND(IF(J110="",0,J110)+1,0),IF(J110="",0,J110)/ROUND(IF(J110="",1,J110),0))=1,OR(J109&lt;&gt;""),J110&lt;&gt;"")),0,IF(S109&lt;0,IF(I111="",SMALL(P109:P110,1)-SUM(O109:O110),0),SMALL(P109:P110,1)-SUM(O109:O110))),IF(S109&lt;0,IF(I111="",SMALL(P109:P111,1)-SUM(O109:O111),0),LARGE(P109:P111,1)-SUM(O109:O111))),S109)+V106,IF(I111="",IF(OR(AND(I109="DNB1",I110="DNB2"),AND(OR(I109="DNB1",I109="DNB2"),J110=0),AND(OR(I110="DNB1",I110="DNB2"),J109=0),AND(I109="DNB2",I110="DNB1"),AND(IF(J109=0,(J109+1)/ROUND(J109+1,0),J109/ROUND(J109,0))=1,IF(J110=0,(IF(J110="",0,J110)+1)/ROUND(IF(J110="",0,J110)+1,0),IF(J110="",0,J110)/ROUND(IF(J110="",0,J110)+1,0))=1,OR(J109&lt;&gt;""),J110&lt;&gt;"")),0,IF(S109&lt;0,IF(I111="",SMALL(P109:P110,1)-SUM(O109:O110),0),SMALL(P109:P111,1)-SUM(O109:O111))),IF(S109&lt;0,IF(I111="",SMALL(P109:P111,1)-SUM(O109:O111),0),LARGE(P109:P111,1)-SUM(O109:O111)))))</f>
        <v>24.272</v>
      </c>
      <c r="W109" s="191">
        <f>IF($D109=$D106,IF(S109&lt;0,IF(I111="",S109,0),S109)+W106,S109)</f>
        <v>24.27</v>
      </c>
      <c r="X109" t="s" s="192">
        <f>IF(OR(SUM(R109:R111)=0,V109=W109),ROUND(IF(W109=0,0,W109/Y109)*100,2)&amp;"%",ROUND(IF(V109=0,0,V109/Y109)*100,2)&amp;"% a "&amp;ROUND(IF(W109=0,0,W109/Y109)*100,2)&amp;"%")</f>
        <v>149</v>
      </c>
      <c r="Y109" s="193">
        <f>IF($D109=$D106,Y106+SUM(O109:O111),SUM(O109:O111))</f>
        <v>666.5700000000001</v>
      </c>
      <c r="Z109" s="191">
        <f>IF($B109=" ",SUM(O109:O111),0)+Z106</f>
        <v>0</v>
      </c>
      <c r="AA109" s="191">
        <f>IF(G109="","",IF($B109="Anulado",LARGE(P109:P111,1)-SUM(O109:O111)+AA106,AA106))</f>
        <v>11.4028</v>
      </c>
      <c r="AB109" s="191">
        <f>IF($D109="","",AB106+S109)</f>
        <v>102.37</v>
      </c>
      <c r="AC109" s="194">
        <f>IF($D109="","",IF($B109=" ",IF(DAY(G109)=DAY(TODAY()),1+AC106,0+AC106),0+AC106))</f>
        <v>0</v>
      </c>
      <c r="AD109" s="195">
        <f>(((L110/(L110-1)-1)*(1-_xlfn.XLOOKUP(K110,'Janeiro 2023 - Valor Real'!A3:A15,'Janeiro 2023 - Valor Real'!C3:C15,0))+1))/(((L109-1)*(1-_xlfn.XLOOKUP(K109,'Janeiro 2023 - Valor Real'!A3:A15,'Janeiro 2023 - Valor Real'!C3:C15,0))+1)+((L110/(L110-1)-1)*(1-_xlfn.XLOOKUP(K110,'Janeiro 2023 - Valor Real'!A3:A15,'Janeiro 2023 - Valor Real'!C3:C15,0))+1))</f>
        <v>0.474115838031779</v>
      </c>
      <c r="AE109" s="196">
        <f>IF(L109="","",IF(L111&gt;0,(SUM(((L109-1)*(1-_xlfn.XLOOKUP(K109,'Janeiro 2023 - Valor Real'!A3:A15,'Janeiro 2023 - Valor Real'!C3:C15,0))+1),((L110-1)*(1-_xlfn.XLOOKUP(K110,'Janeiro 2023 - Valor Real'!A3:A15,'Janeiro 2023 - Valor Real'!C3:C15,0))+1),((L111-1)*(1-_xlfn.XLOOKUP(K111,'Janeiro 2023 - Valor Real'!A3:A15,'Janeiro 2023 - Valor Real'!C3:C15,0))+1))/((L109-1)*(1-_xlfn.XLOOKUP(K109,'Janeiro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Real'!C3:C15,0))+1))/((L109-1)*(1-_xlfn.XLOOKUP(K109,'Janeiro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Real'!C3:C15,0))+1))/((L110-1)*(1-_xlfn.XLOOKUP(K110,'Janeiro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Real'!C3:C15,0))+1))/((L111-1)*(1-_xlfn.XLOOKUP(K111,'Janeiro 2023 - Valor Real'!A3:A15,'Janeiro 2023 - Valor Real'!C3:C15,0))+1)),IF(I109="Lay",IF(I110="Lay",((L110/(L110-1)-1)*(1-_xlfn.XLOOKUP(K110,'Janeiro 2023 - Valor Real'!A3:A15,'Janeiro 2023 - Valor Real'!C3:C15,0))+1)/(((L110/(L110-1)-1)*(1-_xlfn.XLOOKUP(K110,'Janeiro 2023 - Valor Real'!A3:A15,'Janeiro 2023 - Valor Real'!C3:C15,0))+1)+((L109/(L109-1)-1)*(1-_xlfn.XLOOKUP(K109,'Janeiro 2023 - Valor Real'!A3:A15,'Janeiro 2023 - Valor Real'!C3:C15,0))+1)),((L110-1)*(1-_xlfn.XLOOKUP(K110,'Janeiro 2023 - Valor Real'!A3:A15,'Janeiro 2023 - Valor Real'!C3:C15,0))+1)/(((L110-1)*(1-_xlfn.XLOOKUP(K110,'Janeiro 2023 - Valor Real'!A3:A15,'Janeiro 2023 - Valor Real'!C3:C15,0))+1)+((L109/(L109-1)-1)*(1-_xlfn.XLOOKUP(K109,'Janeiro 2023 - Valor Real'!A3:A15,'Janeiro 2023 - Valor Real'!C3:C15,0))+1))),IF(I110="Lay",(((L110/(L110-1)-1)*(1-_xlfn.XLOOKUP(K110,'Janeiro 2023 - Valor Real'!A3:A15,'Janeiro 2023 - Valor Real'!C3:C15,0))+1))/(((L109-1)*(1-_xlfn.XLOOKUP(K109,'Janeiro 2023 - Valor Real'!A3:A15,'Janeiro 2023 - Valor Real'!C3:C15,0))+1)+((L110/(L110-1)-1)*(1-_xlfn.XLOOKUP(K110,'Janeiro 2023 - Valor Real'!A3:A15,'Janeiro 2023 - Valor Real'!C3:C15,0))+1)),((L110-1)*(1-_xlfn.XLOOKUP(K110,'Janeiro 2023 - Valor Real'!A3:A15,'Janeiro 2023 - Valor Real'!C3:C15,0))+1)/(((L110-1)*(1-_xlfn.XLOOKUP(K110,'Janeiro 2023 - Valor Real'!A3:A15,'Janeiro 2023 - Valor Real'!C3:C15,0))+1)+((L109-1)*(1-_xlfn.XLOOKUP(K109,'Janeiro 2023 - Valor Real'!A3:A15,'Janeiro 2023 - Valor Real'!C3:C15,0))+1))))))</f>
        <v>0.708812260536398</v>
      </c>
      <c r="AF109" s="197">
        <f>IF($K109=AF$3,ROUND(IF(OR($C109="W",$C109="1/2W",$C109="1/2L"),$P109-$O109,IF($C109="X",0,-$O109)),2),0)</f>
        <v>0</v>
      </c>
      <c r="AG109" s="198">
        <f>IF($K109=AG$3,ROUND(IF(OR($C109="W",$C109="1/2W",$C109="1/2L"),$P109-$O109,IF($C109="X",0,-$O109)),2),0)</f>
        <v>5.78</v>
      </c>
      <c r="AH109" s="198">
        <f>IF($K109=AH$3,ROUND(IF(OR($C109="W",$C109="1/2W",$C109="1/2L"),$P109-$O109,IF($C109="X",0,-$O109)),2),0)</f>
        <v>0</v>
      </c>
      <c r="AI109" s="198">
        <f>IF($K109=AI$3,ROUND(IF(OR($C109="W",$C109="1/2W",$C109="1/2L"),$P109-$O109,IF($C109="X",0,-$O109)),2),0)</f>
        <v>0</v>
      </c>
      <c r="AJ109" s="198">
        <f>IF($K109=AJ$3,ROUND(IF(OR($C109="W",$C109="1/2W",$C109="1/2L"),$P109-$O109,IF($C109="X",0,-$O109)),2),0)</f>
        <v>0</v>
      </c>
      <c r="AK109" s="198">
        <f>IF($K109=AK$3,ROUND(IF(OR($C109="W",$C109="1/2W",$C109="1/2L"),$P109-$O109,IF($C109="X",0,-$O109)),2),0)</f>
        <v>0</v>
      </c>
      <c r="AL109" s="198">
        <f>IF($K109=AL$3,ROUND(IF(OR($C109="W",$C109="1/2W",$C109="1/2L"),$P109-$O109,IF($C109="X",0,-$O109)),2),0)</f>
        <v>0</v>
      </c>
      <c r="AM109" s="198">
        <f>IF($K109=AM$3,ROUND(IF(OR($C109="W",$C109="1/2W",$C109="1/2L"),$P109-$O109,IF($C109="X",0,-$O109)),2),0)</f>
        <v>0</v>
      </c>
      <c r="AN109" s="198">
        <f>IF($K109=AN$3,ROUND(IF(OR($C109="W",$C109="1/2W",$C109="1/2L"),$P109-$O109,IF($C109="X",0,-$O109)),2),0)</f>
        <v>0</v>
      </c>
      <c r="AO109" s="198">
        <f>IF($K109=AO$3,ROUND(IF(OR($C109="W",$C109="1/2W",$C109="1/2L"),$P109-$O109,IF($C109="X",0,-$O109)),2),0)</f>
        <v>0</v>
      </c>
      <c r="AP109" s="198">
        <f>IF($K109=AP$3,ROUND(IF(OR($C109="W",$C109="1/2W",$C109="1/2L"),$P109-$O109,IF($C109="X",0,-$O109)),2),0)</f>
        <v>0</v>
      </c>
      <c r="AQ109" s="198">
        <f>IF($K109=AQ$3,ROUND(IF(OR($C109="W",$C109="1/2W",$C109="1/2L"),$P109-$O109,IF($C109="X",0,-$O109)),2),0)</f>
        <v>0</v>
      </c>
      <c r="AR109" s="199">
        <f>IF($K109=AR$3,ROUND(IF(OR($C109="W",$C109="1/2W",$C109="1/2L"),$P109-$O109,IF($C109="X",0,-$O109)),2),0)</f>
        <v>0</v>
      </c>
      <c r="AS109" s="197">
        <f>IF(AND($B109=" ",$K109=AS$3),$O109,0)</f>
        <v>0</v>
      </c>
      <c r="AT109" s="198">
        <f>IF(AND($B109=" ",$K109=AT$3),$O109,0)</f>
        <v>0</v>
      </c>
      <c r="AU109" s="198">
        <f>IF(AND($B109=" ",$K109=AU$3),$O109,0)</f>
        <v>0</v>
      </c>
      <c r="AV109" s="198">
        <f>IF(AND($B109=" ",$K109=AV$3),$O109,0)</f>
        <v>0</v>
      </c>
      <c r="AW109" s="198">
        <f>IF(AND($B109=" ",$K109=AW$3),$O109,0)</f>
        <v>0</v>
      </c>
      <c r="AX109" s="198">
        <f>IF(AND($B109=" ",$K109=AX$3),$O109,0)</f>
        <v>0</v>
      </c>
      <c r="AY109" s="200">
        <f>IF(AND($B109=" ",$K109=AY$3),$O109,0)</f>
        <v>0</v>
      </c>
      <c r="AZ109" s="201">
        <f>IF(AND($B109=" ",$K109=AZ$3),$O109,0)</f>
        <v>0</v>
      </c>
      <c r="BA109" s="201">
        <f>IF(AND($B109=" ",$K109=BA$3),$O109,0)</f>
        <v>0</v>
      </c>
      <c r="BB109" s="201">
        <f>IF(AND($B109=" ",$K109=BB$3),$O109,0)</f>
        <v>0</v>
      </c>
      <c r="BC109" s="202">
        <f>IF(AND($B109=" ",$K109=BC$3),$O109,0)</f>
        <v>0</v>
      </c>
      <c r="BD109" s="198">
        <f>IF(AND($B109=" ",$K109=BD$3),$O109,0)</f>
        <v>0</v>
      </c>
      <c r="BE109" s="199">
        <f>IF(AND($B109=" ",$K109=BE$3),$O109,0)</f>
        <v>0</v>
      </c>
      <c r="BF109" s="203">
        <f>IF($K109=BF$3,IF($C109="X",0,$O109),0)</f>
        <v>0</v>
      </c>
      <c r="BG109" s="198">
        <f>IF($K109=BG$3,IF($C109="X",0,$O109),0)</f>
        <v>11.12</v>
      </c>
      <c r="BH109" s="198">
        <f>IF($K109=BH$3,IF($C109="X",0,$O109),0)</f>
        <v>0</v>
      </c>
      <c r="BI109" s="198">
        <f>IF($K109=BI$3,IF($C109="X",0,$O109),0)</f>
        <v>0</v>
      </c>
      <c r="BJ109" s="198">
        <f>IF($K109=BJ$3,IF($C109="X",0,$O109),0)</f>
        <v>0</v>
      </c>
      <c r="BK109" s="198">
        <f>IF($K109=BK$3,IF($C109="X",0,$O109),0)</f>
        <v>0</v>
      </c>
      <c r="BL109" s="198">
        <f>IF($K109=BL$3,IF($C109="X",0,$O109),0)</f>
        <v>0</v>
      </c>
      <c r="BM109" s="200">
        <f>IF($K109=BM$3,IF($C109="X",0,$O109),0)</f>
        <v>0</v>
      </c>
      <c r="BN109" s="201">
        <f>IF($K109=BN$3,IF($C109="X",0,$O109),0)</f>
        <v>0</v>
      </c>
      <c r="BO109" s="201">
        <f>IF($K109=BO$3,IF($C109="X",0,$O109),0)</f>
        <v>0</v>
      </c>
      <c r="BP109" s="201">
        <f>IF($K109=BP$3,IF($C109="X",0,$O109),0)</f>
        <v>0</v>
      </c>
      <c r="BQ109" s="202">
        <f>IF($K109=BQ$3,IF($C109="X",0,$O109),0)</f>
        <v>0</v>
      </c>
      <c r="BR109" s="199">
        <f>IF($K109=BR$3,IF($C109="X",0,$O109),0)</f>
        <v>0</v>
      </c>
      <c r="BS109" s="204">
        <f>IF($B109="LOSS",IF(AND($K109=BS$3,$C109="L"),-$O109,0)+IF(AND($K110=BS$3,$C110="L"),-$O110,0)+IF(AND($K111=BS$3,$C111="L"),-$O111,0),IF(OR(AND($K109=BS$3,OR($C109="W",$C109="1/2W")),AND($K110=BS$3,OR($C110="W",$C110="1/2W")),AND($K111=BS$3,OR($C111="W",$C111="1/2W"))),$S109,0))</f>
        <v>0</v>
      </c>
      <c r="BT109" s="201">
        <f>IF($B109="LOSS",IF(AND($K109=BT$3,$C109="L"),-$O109,0)+IF(AND($K110=BT$3,$C110="L"),-$O110,0)+IF(AND($K110=BT$3,$C111="L"),-$O111,0),IF(OR(AND($K110=BT$3,OR($C109="W",$C109="1/2W")),AND($K110=BT$3,OR($C110="W",$C110="1/2W")),AND($K110=BT$3,OR($C111="W",$C111="1/2W"))),$S109,0))</f>
        <v>0</v>
      </c>
      <c r="BU109" s="201">
        <f>IF($B109="LOSS",IF(AND($K109=BU$3,$C109="L"),-$O109,0)+IF(AND($K110=BU$3,$C110="L"),-$O110,0)+IF(AND($K110=BU$3,$C111="L"),-$O111,0),IF(OR(AND($K110=BU$3,OR($C109="W",$C109="1/2W")),AND($K110=BU$3,OR($C110="W",$C110="1/2W")),AND($K110=BU$3,OR($C111="W",$C111="1/2W"))),$S109,0))</f>
        <v>0</v>
      </c>
      <c r="BV109" s="201">
        <f>IF($B109="LOSS",IF(AND($K109=BV$3,$C109="L"),-$O109,0)+IF(AND($K110=BV$3,$C110="L"),-$O110,0)+IF(AND($K111=BV$3,$C111="L"),-$O111,0),IF(OR(AND($K109=BV$3,OR($C109="W",$C109="1/2W")),AND($K110=BV$3,OR($C110="W",$C110="1/2W")),AND($K111=BV$3,OR($C111="W",$C111="1/2W"))),$S109,0))</f>
        <v>0</v>
      </c>
      <c r="BW109" s="201">
        <f>IF($B109="LOSS",IF(AND($K109=BW$3,$C109="L"),-$O109,0)+IF(AND($K110=BW$3,$C110="L"),-$O110,0)+IF(AND($K111=BW$3,$C111="L"),-$O111,0),IF(OR(AND($K109=BW$3,OR($C109="W",$C109="1/2W")),AND($K110=BW$3,OR($C110="W",$C110="1/2W")),AND($K111=BW$3,OR($C111="W",$C111="1/2W"))),$S109,0))</f>
        <v>0</v>
      </c>
      <c r="BX109" s="201">
        <f>IF($B109="LOSS",IF(AND($K109=BX$3,$C109="L"),-$O109,0)+IF(AND($K110=BX$3,$C110="L"),-$O110,0)+IF(AND($K111=BX$3,$C111="L"),-$O111,0),IF(OR(AND($K109=BX$3,OR($C109="W",$C109="1/2W")),AND($K110=BX$3,OR($C110="W",$C110="1/2W")),AND($K111=BX$3,OR($C111="W",$C111="1/2W"))),$S109,0))</f>
        <v>0</v>
      </c>
      <c r="BY109" s="201">
        <f>IF($B109="LOSS",IF(AND($K109=BY$3,$C109="L"),-$O109,0)+IF(AND($K110=BY$3,$C110="L"),-$O110,0)+IF(AND($K111=BY$3,$C111="L"),-$O111,0),IF(OR(AND($K109=BY$3,OR($C109="W",$C109="1/2W")),AND($K110=BY$3,OR($C110="W",$C110="1/2W")),AND($K111=BY$3,OR($C111="W",$C111="1/2W"))),$S109,0))</f>
        <v>0</v>
      </c>
      <c r="BZ109" s="205">
        <f>IF($B109="LOSS",IF(AND($K109=BZ$3,$C109="L"),-$O109,0)+IF(AND($K110=BZ$3,$C110="L"),-$O110,0)+IF(AND($K111=BZ$3,$C111="L"),-$O111,0),IF(OR(AND($K109=BZ$3,OR($C109="W",$C109="1/2W")),AND($K110=BZ$3,OR($C110="W",$C110="1/2W")),AND($K111=BZ$3,OR($C111="W",$C111="1/2W"))),$S109,0))</f>
        <v>0</v>
      </c>
      <c r="CA109" s="205">
        <f>IF($B109="LOSS",IF(AND($K109=CA$3,$C109="L"),-$O109,0)+IF(AND($K110=CA$3,$C110="L"),-$O110,0)+IF(AND($K111=CA$3,$C111="L"),-$O111,0),IF(OR(AND($K109=CA$3,OR($C109="W",$C109="1/2W")),AND($K110=CA$3,OR($C110="W",$C110="1/2W")),AND($K111=CA$3,OR($C111="W",$C111="1/2W"))),$S109,0))</f>
        <v>0</v>
      </c>
      <c r="CB109" s="205">
        <f>IF($B109="LOSS",IF(AND($K109=CB$3,$C109="L"),-$O109,0)+IF(AND($K110=CB$3,$C110="L"),-$O110,0)+IF(AND($K111=CB$3,$C111="L"),-$O111,0),IF(OR(AND($K109=CB$3,OR($C109="W",$C109="1/2W")),AND($K110=CB$3,OR($C110="W",$C110="1/2W")),AND($K111=CB$3,OR($C111="W",$C111="1/2W"))),$S109,0))</f>
        <v>0</v>
      </c>
      <c r="CC109" s="205">
        <f>IF($B109="LOSS",IF(AND($K109=CC$3,$C109="L"),-$O109,0)+IF(AND($K110=CC$3,$C110="L"),-$O110,0)+IF(AND($K111=CC$3,$C111="L"),-$O111,0),IF(OR(AND($K109=CC$3,OR($C109="W",$C109="1/2W")),AND($K110=CC$3,OR($C110="W",$C110="1/2W")),AND($K111=CC$3,OR($C111="W",$C111="1/2W"))),$S109,0))</f>
        <v>0</v>
      </c>
      <c r="CD109" s="202">
        <f>IF($B109="LOSS",IF(AND($K109=CD$3,$C109="L"),-$O109,0)+IF(AND($K110=CD$3,$C110="L"),-$O110,0)+IF(AND($K111=CD$3,$C111="L"),-$O111,0),IF(OR(AND($K109=CD$3,OR($C109="W",$C109="1/2W")),AND($K110=CD$3,OR($C110="W",$C110="1/2W")),AND($K111=CD$3,OR($C111="W",$C111="1/2W"))),$S109,0))</f>
        <v>0</v>
      </c>
      <c r="CE109" s="199">
        <f>IF($B109="LOSS",IF(AND($K109=CE$3,$C109="L"),-$O109,0)+IF(AND($K110=CE$3,$C110="L"),-$O110,0)+IF(AND($K111=CE$3,$C111="L"),-$O111,0),IF(OR(AND($K109=CE$3,OR($C109="W",$C109="1/2W")),AND($K110=CE$3,OR($C110="W",$C110="1/2W")),AND($K111=CE$3,OR($C111="W",$C111="1/2W"))),$S109,0))</f>
        <v>0</v>
      </c>
      <c r="CF109" s="206">
        <f>IF(CF$3=$K109,IF($C109="W",1,IF($C109="1/2W",0.5,0)),0)</f>
        <v>0</v>
      </c>
      <c r="CG109" s="207">
        <f>IF(CF$3=$K109,IF($C109="L",1,IF($C109="1/2L",0.5,0)),0)</f>
        <v>0</v>
      </c>
      <c r="CH109" s="207">
        <f>IF(CH$3=$K109,IF($C109="W",1,IF($C109="1/2W",0.5,0)),0)</f>
        <v>1</v>
      </c>
      <c r="CI109" s="207">
        <f>IF(CH$3=$K109,IF($C109="L",1,IF($C109="1/2L",0.5,0)),0)</f>
        <v>0</v>
      </c>
      <c r="CJ109" s="207">
        <f>IF(CJ$3=$K109,IF($C109="W",1,IF($C109="1/2W",0.5,0)),0)</f>
        <v>0</v>
      </c>
      <c r="CK109" s="207">
        <f>IF(CJ$3=$K109,IF($C109="L",1,IF($C109="1/2L",0.5,0)),0)</f>
        <v>0</v>
      </c>
      <c r="CL109" s="207">
        <f>IF(CL$3=$K109,IF($C109="W",1,IF($C109="1/2W",0.5,0)),0)</f>
        <v>0</v>
      </c>
      <c r="CM109" s="207">
        <f>IF(CL$3=$K109,IF($C109="L",1,IF($C109="1/2L",0.5,0)),0)</f>
        <v>0</v>
      </c>
      <c r="CN109" s="207">
        <f>IF(CN$3=$K109,IF($C109="W",1,IF($C109="1/2W",0.5,0)),0)</f>
        <v>0</v>
      </c>
      <c r="CO109" s="207">
        <f>IF(CN$3=$K109,IF($C109="L",1,IF($C109="1/2L",0.5,0)),0)</f>
        <v>0</v>
      </c>
      <c r="CP109" s="207">
        <f>IF(CP$3=$K109,IF($C109="W",1,IF($C109="1/2W",0.5,0)),0)</f>
        <v>0</v>
      </c>
      <c r="CQ109" s="207">
        <f>IF(CP$3=$K109,IF($C109="L",1,IF($C109="1/2L",0.5,0)),0)</f>
        <v>0</v>
      </c>
      <c r="CR109" s="207">
        <f>IF(CR$3=$K109,IF($C109="W",1,IF($C109="1/2W",0.5,0)),0)</f>
        <v>0</v>
      </c>
      <c r="CS109" s="207">
        <f>IF(CR$3=$K109,IF($C109="L",1,IF($C109="1/2L",0.5,0)),0)</f>
        <v>0</v>
      </c>
      <c r="CT109" s="208">
        <f>IF(CT$3=$K109,IF($C109="W",1,IF($C109="1/2W",0.5,0)),0)</f>
        <v>0</v>
      </c>
      <c r="CU109" s="209">
        <f>IF(CT$3=$K109,IF($C109="L",1,IF($C109="1/2L",0.5,0)),0)</f>
        <v>0</v>
      </c>
      <c r="CV109" s="209">
        <f>IF(CV$3=$K109,IF($C109="W",1,IF($C109="1/2W",0.5,0)),0)</f>
        <v>0</v>
      </c>
      <c r="CW109" s="209">
        <f>IF(CV$3=$K109,IF($C109="L",1,IF($C109="1/2L",0.5,0)),0)</f>
        <v>0</v>
      </c>
      <c r="CX109" s="209">
        <f>IF(CX$3=$K109,IF($C109="W",1,IF($C109="1/2W",0.5,0)),0)</f>
        <v>0</v>
      </c>
      <c r="CY109" s="209">
        <f>IF(CX$3=$K109,IF($C109="L",1,IF($C109="1/2L",0.5,0)),0)</f>
        <v>0</v>
      </c>
      <c r="CZ109" s="209">
        <f>IF(CZ$3=$K109,IF($C109="W",1,IF($C109="1/2W",0.5,0)),0)</f>
        <v>0</v>
      </c>
      <c r="DA109" s="209">
        <f>IF(CZ$3=$K109,IF($C109="L",1,IF($C109="1/2L",0.5,0)),0)</f>
        <v>0</v>
      </c>
      <c r="DB109" s="209">
        <f>IF(DB$3=$K109,IF($C109="W",1,IF($C109="1/2W",0.5,0)),0)</f>
        <v>0</v>
      </c>
      <c r="DC109" s="209">
        <f>IF(DB$3=$K109,IF($C109="L",1,IF($C109="1/2L",0.5,0)),0)</f>
        <v>0</v>
      </c>
      <c r="DD109" s="209">
        <f>IF(DD$3=$K109,IF($C109="W",1,IF($C109="1/2W",0.5,0)),0)</f>
        <v>0</v>
      </c>
      <c r="DE109" s="210">
        <f>IF(DD$3=$K109,IF($C109="L",1,IF($C109="1/2L",0.5,0)),0)</f>
        <v>0</v>
      </c>
      <c r="DF109" s="211">
        <f>IF(AND(L109&lt;DF$3,$C109="W"),1+DF108,DF108)</f>
        <v>7</v>
      </c>
      <c r="DG109" s="198">
        <f>IF(DF109&gt;DF108,L109+DG108,DG108)</f>
        <v>9.247999999999999</v>
      </c>
      <c r="DH109" s="209">
        <f>IF(AND(L109&gt;DH$3,$C109="W"),1+DH108,0+DH108)</f>
        <v>1</v>
      </c>
      <c r="DI109" s="198">
        <f>IF(DH109&gt;DH108,L109+DI108,DI108)</f>
        <v>4.33</v>
      </c>
      <c r="DJ109" t="s" s="306">
        <f>IF($D109="","",$D109)</f>
        <v>101</v>
      </c>
      <c r="DK109" s="209">
        <f>IF(AND($B109=" ",$D109&lt;&gt;""),1,0)</f>
        <v>0</v>
      </c>
    </row>
    <row r="110" ht="14.55" customHeight="1">
      <c r="A110" s="107"/>
      <c r="B110" s="108"/>
      <c r="C110" t="s" s="213">
        <v>51</v>
      </c>
      <c r="D110" s="110"/>
      <c r="E110" s="111"/>
      <c r="F110" s="113"/>
      <c r="G110" s="214"/>
      <c r="H110" s="114"/>
      <c r="I110" t="s" s="215">
        <v>65</v>
      </c>
      <c r="J110" s="296">
        <v>0.5</v>
      </c>
      <c r="K110" t="s" s="217">
        <v>48</v>
      </c>
      <c r="L110" s="218">
        <v>3.7</v>
      </c>
      <c r="M110" s="219"/>
      <c r="N110" s="120"/>
      <c r="O110" s="220">
        <f>IF(OR(AE109="",AE110=""),"",ROUND(IF(L111&gt;0,IF(M110&gt;0,M110,IF(M109&gt;0,IF(N109=TRUE,ROUND((M109*AE110)/AE109,0),(M109*AE110)/AE109),IF(M110&gt;0,ROUND(M110,IF(N109=0,2,IF(N109=0.1,1,0))),IF(M111&gt;0,ROUND(O111*AE110/AE111,IF(N109=0,2,IF(N109=0.1,1,0))),0)))),IF(M110&gt;0,M110,ROUND((M109*AE110)/AE109,IF(N109=0,2,IF(N109=0.1,1,0))))),2))</f>
        <v>4.6</v>
      </c>
      <c r="P110" s="221">
        <f>IF(OR(L110="",O110=""),"",IF($C110="1/2W",O110/2+O110/2*L110,IF($C110="1/2L",O110/2,IF(I110="Lay",((O110*(L110/(L110-1)))-O110)*(1-_xlfn.XLOOKUP(K110,'Janeiro 2023 - Valor Real'!A3:A15,'Janeiro 2023 - Valor Real'!C3:C15,0))+O110,(O110*L110-O110)*(1-_xlfn.XLOOKUP(K110,'Janeiro 2023 - Valor Real'!A3:A15,'Janeiro 2023 - Valor Real'!C3:C15,0))+O110))))</f>
        <v>17.02</v>
      </c>
      <c r="Q110" s="222">
        <f>IF(K110="","",IF(_xlfn.XLOOKUP(K110,K26:K$85,DJ26:DJ$85,0,,-1)=DJ110,_xlfn.XLOOKUP(K110,K26:K$85,Q26:Q$85,1,,-1)+1,1))</f>
        <v>3</v>
      </c>
      <c r="R110" s="223">
        <f>IF(K110="","",_xlfn.XLOOKUP(K110,K26:K$85,R26:R$85,0,,-1)+IF($C110=" ",1,0))</f>
        <v>0</v>
      </c>
      <c r="S110" s="125"/>
      <c r="T110" s="126"/>
      <c r="U110" s="126"/>
      <c r="V110" s="224"/>
      <c r="W110" s="126"/>
      <c r="X110" s="127"/>
      <c r="Y110" s="128"/>
      <c r="Z110" s="129"/>
      <c r="AA110" s="129"/>
      <c r="AB110" s="129"/>
      <c r="AC110" s="129"/>
      <c r="AD110" s="225">
        <f>(((L110/(L110-1)-1)*(1-_xlfn.XLOOKUP(K110,'Janeiro 2023 - Valor Real'!A3:A15,'Janeiro 2023 - Valor Real'!C3:C15,0))+1))</f>
        <v>1.37037037037037</v>
      </c>
      <c r="AE110" s="226">
        <f>IF(L110="","",IF(L111&gt;0,(SUM(((L109-1)*(1-_xlfn.XLOOKUP(K109,'Janeiro 2023 - Valor Real'!A3:A15,'Janeiro 2023 - Valor Real'!C3:C15,0))+1),((L110-1)*(1-_xlfn.XLOOKUP(K110,'Janeiro 2023 - Valor Real'!A3:A15,'Janeiro 2023 - Valor Real'!C3:C15,0))+1),((L111-1)*(1-_xlfn.XLOOKUP(K111,'Janeiro 2023 - Valor Real'!A3:A15,'Janeiro 2023 - Valor Real'!C3:C15,0))+1))/((L110-1)*(1-_xlfn.XLOOKUP(K110,'Janeiro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Real'!C3:C15,0))+1))/((L109-1)*(1-_xlfn.XLOOKUP(K109,'Janeiro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Real'!C3:C15,0))+1))/((L110-1)*(1-_xlfn.XLOOKUP(K110,'Janeiro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Real'!C3:C15,0))+1))/((L111-1)*(1-_xlfn.XLOOKUP(K111,'Janeiro 2023 - Valor Real'!A3:A15,'Janeiro 2023 - Valor Real'!C3:C15,0))+1)),IF(I110="Lay",IF(I109="Lay",((L109/(L109-1)-1)*(1-_xlfn.XLOOKUP(K109,'Janeiro 2023 - Valor Real'!A3:A15,'Janeiro 2023 - Valor Real'!C3:C15,0))+1)/(((L109/(L109-1)-1)*(1-_xlfn.XLOOKUP(K109,'Janeiro 2023 - Valor Real'!A3:A15,'Janeiro 2023 - Valor Real'!C3:C15,0))+1)+((L110/(L110-1)-1)*(1-_xlfn.XLOOKUP(K110,'Janeiro 2023 - Valor Real'!A3:A15,'Janeiro 2023 - Valor Real'!C3:C15,0))+1)),((L109-1)*(1-_xlfn.XLOOKUP(K109,'Janeiro 2023 - Valor Real'!A3:A15,'Janeiro 2023 - Valor Real'!C3:C15,0))+1)/(((L109-1)*(1-_xlfn.XLOOKUP(K109,'Janeiro 2023 - Valor Real'!A3:A15,'Janeiro 2023 - Valor Real'!C3:C15,0))+1)+((L110/(L110-1)-1)*(1-_xlfn.XLOOKUP(K110,'Janeiro 2023 - Valor Real'!A3:A15,'Janeiro 2023 - Valor Real'!C3:C15,0))+1))),IF(I109="Lay",((L109/(L109-1)-1)*(1-_xlfn.XLOOKUP(K109,'Janeiro 2023 - Valor Real'!A3:A15,'Janeiro 2023 - Valor Real'!C3:C15,0))+1)/((((L109/(L109-1)-1)*(1-_xlfn.XLOOKUP(K109,'Janeiro 2023 - Valor Real'!A3:A15,'Janeiro 2023 - Valor Real'!C3:C15,0))+1))+((L110-1)*(1-_xlfn.XLOOKUP(K110,'Janeiro 2023 - Valor Real'!A3:A15,'Janeiro 2023 - Valor Real'!C3:C15,0))+1)),((L109-1)*(1-_xlfn.XLOOKUP(K109,'Janeiro 2023 - Valor Real'!A3:A15,'Janeiro 2023 - Valor Real'!C3:C15,0))+1)/(((L109-1)*(1-_xlfn.XLOOKUP(K109,'Janeiro 2023 - Valor Real'!A3:A15,'Janeiro 2023 - Valor Real'!C3:C15,0))+1)+((L110-1)*(1-_xlfn.XLOOKUP(K110,'Janeiro 2023 - Valor Real'!A3:A15,'Janeiro 2023 - Valor Real'!C3:C15,0))+1))))))</f>
        <v>0.291187739463602</v>
      </c>
      <c r="AF110" s="197">
        <f>IF($K110=AF$3,ROUND(IF(OR($C110="W",$C110="1/2W",$C110="1/2L"),$P110-$O110,IF($C110="X",0,-$O110)),2),0)</f>
        <v>0</v>
      </c>
      <c r="AG110" s="198">
        <f>IF($K110=AG$3,ROUND(IF(OR($C110="W",$C110="1/2W",$C110="1/2L"),$P110-$O110,IF($C110="X",0,-$O110)),2),0)</f>
        <v>0</v>
      </c>
      <c r="AH110" s="198">
        <f>IF($K110=AH$3,ROUND(IF(OR($C110="W",$C110="1/2W",$C110="1/2L"),$P110-$O110,IF($C110="X",0,-$O110)),2),0)</f>
        <v>0</v>
      </c>
      <c r="AI110" s="198">
        <f>IF($K110=AI$3,ROUND(IF(OR($C110="W",$C110="1/2W",$C110="1/2L"),$P110-$O110,IF($C110="X",0,-$O110)),2),0)</f>
        <v>0</v>
      </c>
      <c r="AJ110" s="198">
        <f>IF($K110=AJ$3,ROUND(IF(OR($C110="W",$C110="1/2W",$C110="1/2L"),$P110-$O110,IF($C110="X",0,-$O110)),2),0)</f>
        <v>0</v>
      </c>
      <c r="AK110" s="198">
        <f>IF($K110=AK$3,ROUND(IF(OR($C110="W",$C110="1/2W",$C110="1/2L"),$P110-$O110,IF($C110="X",0,-$O110)),2),0)</f>
        <v>0</v>
      </c>
      <c r="AL110" s="198">
        <f>IF($K110=AL$3,ROUND(IF(OR($C110="W",$C110="1/2W",$C110="1/2L"),$P110-$O110,IF($C110="X",0,-$O110)),2),0)</f>
        <v>0</v>
      </c>
      <c r="AM110" s="198">
        <f>IF($K110=AM$3,ROUND(IF(OR($C110="W",$C110="1/2W",$C110="1/2L"),$P110-$O110,IF($C110="X",0,-$O110)),2),0)</f>
        <v>0</v>
      </c>
      <c r="AN110" s="198">
        <f>IF($K110=AN$3,ROUND(IF(OR($C110="W",$C110="1/2W",$C110="1/2L"),$P110-$O110,IF($C110="X",0,-$O110)),2),0)</f>
        <v>0</v>
      </c>
      <c r="AO110" s="198">
        <f>IF($K110=AO$3,ROUND(IF(OR($C110="W",$C110="1/2W",$C110="1/2L"),$P110-$O110,IF($C110="X",0,-$O110)),2),0)</f>
        <v>0</v>
      </c>
      <c r="AP110" s="198">
        <f>IF($K110=AP$3,ROUND(IF(OR($C110="W",$C110="1/2W",$C110="1/2L"),$P110-$O110,IF($C110="X",0,-$O110)),2),0)</f>
        <v>0</v>
      </c>
      <c r="AQ110" s="198">
        <f>IF($K110=AQ$3,ROUND(IF(OR($C110="W",$C110="1/2W",$C110="1/2L"),$P110-$O110,IF($C110="X",0,-$O110)),2),0)</f>
        <v>-4.6</v>
      </c>
      <c r="AR110" s="199">
        <f>IF($K110=AR$3,ROUND(IF(OR($C110="W",$C110="1/2W",$C110="1/2L"),$P110-$O110,IF($C110="X",0,-$O110)),2),0)</f>
        <v>0</v>
      </c>
      <c r="AS110" s="197">
        <f>IF(AND($B109=" ",$K110=AS$3),$O110,0)</f>
        <v>0</v>
      </c>
      <c r="AT110" s="198">
        <f>IF(AND($B109=" ",K110=AT$3),$O110,0)</f>
        <v>0</v>
      </c>
      <c r="AU110" s="198">
        <f>IF(AND($B109=" ",$K110=AU$3),$O110,0)</f>
        <v>0</v>
      </c>
      <c r="AV110" s="198">
        <f>IF(AND($B109=" ",$K110=AV$3),$O110,0)</f>
        <v>0</v>
      </c>
      <c r="AW110" s="198">
        <f>IF(AND($B109=" ",$K110=AW$3),$O110,0)</f>
        <v>0</v>
      </c>
      <c r="AX110" s="198">
        <f>IF(AND($B109=" ",$K110=AX$3),$O110,0)</f>
        <v>0</v>
      </c>
      <c r="AY110" s="200">
        <f>IF(AND($B109=" ",$K110=AY$3),$O110,0)</f>
        <v>0</v>
      </c>
      <c r="AZ110" s="201">
        <f>IF(AND($B109=" ",$K110=AZ$3),$O110,0)</f>
        <v>0</v>
      </c>
      <c r="BA110" s="201">
        <f>IF(AND($B109=" ",$K110=BA$3),$O110,0)</f>
        <v>0</v>
      </c>
      <c r="BB110" s="201">
        <f>IF(AND($B109=" ",$K110=BB$3),$O110,0)</f>
        <v>0</v>
      </c>
      <c r="BC110" s="202">
        <f>IF(AND($B109=" ",$K110=BC$3),$O110,0)</f>
        <v>0</v>
      </c>
      <c r="BD110" s="198">
        <f>IF(AND($B109=" ",$K110=BD$3),$O110,0)</f>
        <v>0</v>
      </c>
      <c r="BE110" s="199">
        <f>IF(AND($B109=" ",$K110=BE$3),$O110,0)</f>
        <v>0</v>
      </c>
      <c r="BF110" s="197">
        <f>IF($K110=BF$3,IF($C110="X",0,$O110),0)</f>
        <v>0</v>
      </c>
      <c r="BG110" s="198">
        <f>IF($K110=BG$3,IF($C110="X",0,$O110),0)</f>
        <v>0</v>
      </c>
      <c r="BH110" s="198">
        <f>IF($K110=BH$3,IF($C110="X",0,$O110),0)</f>
        <v>0</v>
      </c>
      <c r="BI110" s="198">
        <f>IF($K110=BI$3,IF($C110="X",0,$O110),0)</f>
        <v>0</v>
      </c>
      <c r="BJ110" s="198">
        <f>IF($K110=BJ$3,IF($C110="X",0,$O110),0)</f>
        <v>0</v>
      </c>
      <c r="BK110" s="198">
        <f>IF($K110=BK$3,IF($C110="X",0,$O110),0)</f>
        <v>0</v>
      </c>
      <c r="BL110" s="198">
        <f>IF($K110=BL$3,IF($C110="X",0,$O110),0)</f>
        <v>0</v>
      </c>
      <c r="BM110" s="227">
        <f>IF($K110=BM$3,IF($C110="X",0,$O110),0)</f>
        <v>0</v>
      </c>
      <c r="BN110" s="205">
        <f>IF($K110=BN$3,IF($C110="X",0,$O110),0)</f>
        <v>0</v>
      </c>
      <c r="BO110" s="205">
        <f>IF($K110=BO$3,IF($C110="X",0,$O110),0)</f>
        <v>0</v>
      </c>
      <c r="BP110" s="205">
        <f>IF($K110=BP$3,IF($C110="X",0,$O110),0)</f>
        <v>0</v>
      </c>
      <c r="BQ110" s="202">
        <f>IF($K110=BQ$3,IF($C110="X",0,$O110),0)</f>
        <v>4.6</v>
      </c>
      <c r="BR110" s="199">
        <f>IF($K110=BR$3,IF($C110="X",0,$O110),0)</f>
        <v>0</v>
      </c>
      <c r="BS110" s="228"/>
      <c r="BT110" s="229"/>
      <c r="BU110" s="140"/>
      <c r="BV110" s="229"/>
      <c r="BW110" s="140"/>
      <c r="BX110" s="140"/>
      <c r="BY110" s="140"/>
      <c r="BZ110" s="229"/>
      <c r="CA110" s="140"/>
      <c r="CB110" s="140"/>
      <c r="CC110" s="140"/>
      <c r="CD110" s="141"/>
      <c r="CE110" s="142"/>
      <c r="CF110" s="230">
        <f>IF(CF$3=$K110,IF($C110="W",1,IF($C110="1/2W",0.5,0)),0)</f>
        <v>0</v>
      </c>
      <c r="CG110" s="231">
        <f>IF(CF$3=$K110,IF($C110="L",1,IF($C110="1/2L",0.5,0)),0)</f>
        <v>0</v>
      </c>
      <c r="CH110" s="231">
        <f>IF(CH$3=$K110,IF($C110="W",1,IF($C110="1/2W",0.5,0)),0)</f>
        <v>0</v>
      </c>
      <c r="CI110" s="231">
        <f>IF(CH$3=$K110,IF($C110="L",1,IF($C110="1/2L",0.5,0)),0)</f>
        <v>0</v>
      </c>
      <c r="CJ110" s="231">
        <f>IF(CJ$3=$K110,IF($C110="W",1,IF($C110="1/2W",0.5,0)),0)</f>
        <v>0</v>
      </c>
      <c r="CK110" s="231">
        <f>IF(CJ$3=$K110,IF($C110="L",1,IF($C110="1/2L",0.5,0)),0)</f>
        <v>0</v>
      </c>
      <c r="CL110" s="231">
        <f>IF(CL$3=$K110,IF($C110="W",1,IF($C110="1/2W",0.5,0)),0)</f>
        <v>0</v>
      </c>
      <c r="CM110" s="231">
        <f>IF(CL$3=$K110,IF($C110="L",1,IF($C110="1/2L",0.5,0)),0)</f>
        <v>0</v>
      </c>
      <c r="CN110" s="231">
        <f>IF(CN$3=$K110,IF($C110="W",1,IF($C110="1/2W",0.5,0)),0)</f>
        <v>0</v>
      </c>
      <c r="CO110" s="231">
        <f>IF(CN$3=$K110,IF($C110="L",1,IF($C110="1/2L",0.5,0)),0)</f>
        <v>0</v>
      </c>
      <c r="CP110" s="231">
        <f>IF(CP$3=$K110,IF($C110="W",1,IF($C110="1/2W",0.5,0)),0)</f>
        <v>0</v>
      </c>
      <c r="CQ110" s="231">
        <f>IF(CP$3=$K110,IF($C110="L",1,IF($C110="1/2L",0.5,0)),0)</f>
        <v>0</v>
      </c>
      <c r="CR110" s="231">
        <f>IF(CR$3=$K110,IF($C110="W",1,IF($C110="1/2W",0.5,0)),0)</f>
        <v>0</v>
      </c>
      <c r="CS110" s="231">
        <f>IF(CR$3=$K110,IF($C110="L",1,IF($C110="1/2L",0.5,0)),0)</f>
        <v>0</v>
      </c>
      <c r="CT110" s="208">
        <f>IF(CT$3=$K110,IF($C110="W",1,IF($C110="1/2W",0.5,0)),0)</f>
        <v>0</v>
      </c>
      <c r="CU110" s="209">
        <f>IF(CT$3=$K110,IF($C110="L",1,IF($C110="1/2L",0.5,0)),0)</f>
        <v>0</v>
      </c>
      <c r="CV110" s="209">
        <f>IF(CV$3=$K110,IF($C110="W",1,IF($C110="1/2W",0.5,0)),0)</f>
        <v>0</v>
      </c>
      <c r="CW110" s="209">
        <f>IF(CV$3=$K110,IF($C110="L",1,IF($C110="1/2L",0.5,0)),0)</f>
        <v>0</v>
      </c>
      <c r="CX110" s="209">
        <f>IF(CX$3=$K110,IF($C110="W",1,IF($C110="1/2W",0.5,0)),0)</f>
        <v>0</v>
      </c>
      <c r="CY110" s="209">
        <f>IF(CX$3=$K110,IF($C110="L",1,IF($C110="1/2L",0.5,0)),0)</f>
        <v>0</v>
      </c>
      <c r="CZ110" s="209">
        <f>IF(CZ$3=$K110,IF($C110="W",1,IF($C110="1/2W",0.5,0)),0)</f>
        <v>0</v>
      </c>
      <c r="DA110" s="209">
        <f>IF(CZ$3=$K110,IF($C110="L",1,IF($C110="1/2L",0.5,0)),0)</f>
        <v>0</v>
      </c>
      <c r="DB110" s="209">
        <f>IF(DB$3=$K110,IF($C110="W",1,IF($C110="1/2W",0.5,0)),0)</f>
        <v>0</v>
      </c>
      <c r="DC110" s="209">
        <f>IF(DB$3=$K110,IF($C110="L",1,IF($C110="1/2L",0.5,0)),0)</f>
        <v>1</v>
      </c>
      <c r="DD110" s="209">
        <f>IF(DD$3=$K110,IF($C110="W",1,IF($C110="1/2W",0.5,0)),0)</f>
        <v>0</v>
      </c>
      <c r="DE110" s="210">
        <f>IF(DD$3=$K110,IF($C110="L",1,IF($C110="1/2L",0.5,0)),0)</f>
        <v>0</v>
      </c>
      <c r="DF110" s="211">
        <f>IF(AND(L110&lt;DF$3,$C110="W"),1+DF109,DF109)</f>
        <v>7</v>
      </c>
      <c r="DG110" s="198">
        <f>IF(DF110&gt;DF109,L110+DG109,DG109)</f>
        <v>9.247999999999999</v>
      </c>
      <c r="DH110" s="209">
        <f>IF(AND(L110&gt;DH$3,$C110="W"),1+DH109,0+DH109)</f>
        <v>1</v>
      </c>
      <c r="DI110" s="198">
        <f>IF(DH110&gt;DH109,L110+DI109,DI109)</f>
        <v>4.33</v>
      </c>
      <c r="DJ110" t="s" s="306">
        <f>IF($D109="","",$D109)</f>
        <v>101</v>
      </c>
      <c r="DK110" s="232"/>
    </row>
    <row r="111" ht="14.55" customHeight="1">
      <c r="A111" s="149"/>
      <c r="B111" s="150"/>
      <c r="C111" t="s" s="233">
        <v>58</v>
      </c>
      <c r="D111" s="152"/>
      <c r="E111" s="153"/>
      <c r="F111" s="155"/>
      <c r="G111" s="234"/>
      <c r="H111" s="156"/>
      <c r="I111" s="235"/>
      <c r="J111" s="236"/>
      <c r="K111" s="237"/>
      <c r="L111" s="238"/>
      <c r="M111" s="239"/>
      <c r="N111" s="161"/>
      <c r="O111" t="s" s="240">
        <f>IF(OR(AE109="",AE110=""),"",IF(L111&gt;0,ROUND(IF(M111&gt;0,M111,IF(M109&gt;0,ROUND((M109*AE111)/AE109,IF(N109=0,2,IF(N109=0.1,1,0))),IF(M110&gt;0,ROUND((M110*AE111)/AE110,IF(N109=0,2,IF(N109=0.1,1,0))),IF(M111&gt;0,M111,0)))),2),""))</f>
      </c>
      <c r="P111" t="s" s="241">
        <f>IF(I110="Lay",O110*(L110/(L110-1))-O110,IF(I109="Lay",O109*(L109/(L109-1))-O109,IF(OR(L111="",O111=""),"",IF($C111="1/2W",O111/2+O111/2*L111,IF($C111="1/2L",O111/2,(O111*L111-O111)*(1-_xlfn.XLOOKUP(K111,'Janeiro 2023 - Valor Real'!A3:A15,'Janeiro 2023 - Valor Real'!C3:C15,0))+O111)))))</f>
      </c>
      <c r="Q111" t="s" s="242">
        <f>IF(K111="","",IF(_xlfn.XLOOKUP(K111,K26:K$86,DJ26:DJ$86,0,,-1)=DJ111,_xlfn.XLOOKUP(K111,K26:K$86,Q26:Q$86,1,,-1)+1,1))</f>
      </c>
      <c r="R111" t="s" s="243">
        <f>IF(K111="","",_xlfn.XLOOKUP(K111,K26:K$86,R26:R$86,0,,-1)+IF($C111=" ",1,0))</f>
      </c>
      <c r="S111" s="166"/>
      <c r="T111" s="155"/>
      <c r="U111" s="155"/>
      <c r="V111" s="166"/>
      <c r="W111" s="155"/>
      <c r="X111" s="167"/>
      <c r="Y111" s="128"/>
      <c r="Z111" s="129"/>
      <c r="AA111" s="129"/>
      <c r="AB111" s="129"/>
      <c r="AC111" s="129"/>
      <c r="AD111" s="244">
        <f>((L110/(L110-1)-1))</f>
        <v>0.37037037037037</v>
      </c>
      <c r="AE111" t="s" s="245">
        <f>IF(L111="","",(SUM(((L109-1)*(1-_xlfn.XLOOKUP(K109,'Janeiro 2023 - Valor Real'!A3:A15,'Janeiro 2023 - Valor Real'!C3:C15,0))+1),((L110-1)*(1-_xlfn.XLOOKUP(K110,'Janeiro 2023 - Valor Real'!A3:A15,'Janeiro 2023 - Valor Real'!C3:C15,0))+1),((L111-1)*(1-_xlfn.XLOOKUP(K111,'Janeiro 2023 - Valor Real'!A3:A15,'Janeiro 2023 - Valor Real'!C3:C15,0))+1))/((L111-1)*(1-_xlfn.XLOOKUP(K111,'Janeiro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Real'!C3:C15,0))+1))/((L109-1)*(1-_xlfn.XLOOKUP(K109,'Janeiro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Real'!C3:C15,0))+1))/((L110-1)*(1-_xlfn.XLOOKUP(K110,'Janeiro 2023 - Valor Real'!A3:A15,'Janeiro 2023 - Valor Real'!C3:C15,0))+1)+SUM(((L109-1)*(1-_xlfn.XLOOKUP(K109,'Janeiro 2023 - Valor Real'!A3:A15,'Janeiro 2023 - Valor Real'!C3:C15,0))+1),((L110-1)*(1-_xlfn.XLOOKUP(K110,'Janeiro 2023 - Valor Real'!A3:A15,'Janeiro 2023 - Valor Real'!C3:C15,0))+1),((L111-1)*(1-_xlfn.XLOOKUP(K111,'Janeiro 2023 - Valor Real'!A3:A15,'Janeiro 2023 - Valor Real'!C3:C15,0))+1))/((L111-1)*(1-_xlfn.XLOOKUP(K111,'Janeiro 2023 - Valor Real'!A3:A15,'Janeiro 2023 - Valor Real'!C3:C15,0))+1)))</f>
      </c>
      <c r="AF111" s="197">
        <f>IF($K111=AF$3,ROUND(IF(OR($C111="W",$C111="1/2W",$C111="1/2L"),$P111-$O111,IF($C111="X",0,-$O111)),2),0)</f>
        <v>0</v>
      </c>
      <c r="AG111" s="198">
        <f>IF($K111=AG$3,ROUND(IF(OR($C111="W",$C111="1/2W",$C111="1/2L"),$P111-$O111,IF($C111="X",0,-$O111)),2),0)</f>
        <v>0</v>
      </c>
      <c r="AH111" s="198">
        <f>IF($K111=AH$3,ROUND(IF(OR($C111="W",$C111="1/2W",$C111="1/2L"),$P111-$O111,IF($C111="X",0,-$O111)),2),0)</f>
        <v>0</v>
      </c>
      <c r="AI111" s="198">
        <f>IF($K111=AI$3,ROUND(IF(OR($C111="W",$C111="1/2W",$C111="1/2L"),$P111-$O111,IF($C111="X",0,-$O111)),2),0)</f>
        <v>0</v>
      </c>
      <c r="AJ111" s="198">
        <f>IF($K111=AJ$3,ROUND(IF(OR($C111="W",$C111="1/2W",$C111="1/2L"),$P111-$O111,IF($C111="X",0,-$O111)),2),0)</f>
        <v>0</v>
      </c>
      <c r="AK111" s="198">
        <f>IF($K111=AK$3,ROUND(IF(OR($C111="W",$C111="1/2W",$C111="1/2L"),$P111-$O111,IF($C111="X",0,-$O111)),2),0)</f>
        <v>0</v>
      </c>
      <c r="AL111" s="198">
        <f>IF($K111=AL$3,ROUND(IF(OR($C111="W",$C111="1/2W",$C111="1/2L"),$P111-$O111,IF($C111="X",0,-$O111)),2),0)</f>
        <v>0</v>
      </c>
      <c r="AM111" s="198">
        <f>IF($K111=AM$3,ROUND(IF(OR($C111="W",$C111="1/2W",$C111="1/2L"),$P111-$O111,IF($C111="X",0,-$O111)),2),0)</f>
        <v>0</v>
      </c>
      <c r="AN111" s="198">
        <f>IF($K111=AN$3,ROUND(IF(OR($C111="W",$C111="1/2W",$C111="1/2L"),$P111-$O111,IF($C111="X",0,-$O111)),2),0)</f>
        <v>0</v>
      </c>
      <c r="AO111" s="198">
        <f>IF($K111=AO$3,ROUND(IF(OR($C111="W",$C111="1/2W",$C111="1/2L"),$P111-$O111,IF($C111="X",0,-$O111)),2),0)</f>
        <v>0</v>
      </c>
      <c r="AP111" s="198">
        <f>IF($K111=AP$3,ROUND(IF(OR($C111="W",$C111="1/2W",$C111="1/2L"),$P111-$O111,IF($C111="X",0,-$O111)),2),0)</f>
        <v>0</v>
      </c>
      <c r="AQ111" s="198">
        <f>IF($K111=AQ$3,ROUND(IF(OR($C111="W",$C111="1/2W",$C111="1/2L"),$P111-$O111,IF($C111="X",0,-$O111)),2),0)</f>
        <v>0</v>
      </c>
      <c r="AR111" s="199">
        <f>IF($K111=AR$3,ROUND(IF(OR($C111="W",$C111="1/2W",$C111="1/2L"),$P111-$O111,IF($C111="X",0,-$O111)),2),0)</f>
        <v>0</v>
      </c>
      <c r="AS111" s="197">
        <f>IF(AND($B109=" ",$K111=AS$3),$O111,0)</f>
        <v>0</v>
      </c>
      <c r="AT111" s="198">
        <f>IF(AND($B109=" ",K111=AT$3),$O111,0)</f>
        <v>0</v>
      </c>
      <c r="AU111" s="198">
        <f>IF(AND($B109=" ",$K111=AU$3),$O111,0)</f>
        <v>0</v>
      </c>
      <c r="AV111" s="198">
        <f>IF(AND($B109=" ",$K111=AV$3),$O111,0)</f>
        <v>0</v>
      </c>
      <c r="AW111" s="198">
        <f>IF(AND($B109=" ",$K111=AW$3),$O111,0)</f>
        <v>0</v>
      </c>
      <c r="AX111" s="198">
        <f>IF(AND($B109=" ",$K111=AX$3),$O111,0)</f>
        <v>0</v>
      </c>
      <c r="AY111" s="200">
        <f>IF(AND($B109=" ",$K111=AY$3),$O111,0)</f>
        <v>0</v>
      </c>
      <c r="AZ111" s="201">
        <f>IF(AND($B109=" ",$K111=AZ$3),$O111,0)</f>
        <v>0</v>
      </c>
      <c r="BA111" s="201">
        <f>IF(AND($B109=" ",$K111=BA$3),$O111,0)</f>
        <v>0</v>
      </c>
      <c r="BB111" s="201">
        <f>IF(AND($B109=" ",$K111=BB$3),$O111,0)</f>
        <v>0</v>
      </c>
      <c r="BC111" s="202">
        <f>IF(AND($B109=" ",$K111=BC$3),$O111,0)</f>
        <v>0</v>
      </c>
      <c r="BD111" s="198">
        <f>IF(AND($B109=" ",$K111=BD$3),$O111,0)</f>
        <v>0</v>
      </c>
      <c r="BE111" s="199">
        <f>IF(AND($B109=" ",$K111=BE$3),$O111,0)</f>
        <v>0</v>
      </c>
      <c r="BF111" s="197">
        <f>IF($K111=BF$3,IF($C111="X",0,$O111),0)</f>
        <v>0</v>
      </c>
      <c r="BG111" s="198">
        <f>IF($K111=BG$3,IF($C111="X",0,$O111),0)</f>
        <v>0</v>
      </c>
      <c r="BH111" s="198">
        <f>IF($K111=BH$3,IF($C111="X",0,$O111),0)</f>
        <v>0</v>
      </c>
      <c r="BI111" s="198">
        <f>IF($K111=BI$3,IF($C111="X",0,$O111),0)</f>
        <v>0</v>
      </c>
      <c r="BJ111" s="198">
        <f>IF($K111=BJ$3,IF($C111="X",0,$O111),0)</f>
        <v>0</v>
      </c>
      <c r="BK111" s="198">
        <f>IF($K111=BK$3,IF($C111="X",0,$O111),0)</f>
        <v>0</v>
      </c>
      <c r="BL111" s="198">
        <f>IF($K111=BL$3,IF($C111="X",0,$O111),0)</f>
        <v>0</v>
      </c>
      <c r="BM111" s="200">
        <f>IF($K111=BM$3,IF($C111="X",0,$O111),0)</f>
        <v>0</v>
      </c>
      <c r="BN111" s="201">
        <f>IF($K111=BN$3,IF($C111="X",0,$O111),0)</f>
        <v>0</v>
      </c>
      <c r="BO111" s="201">
        <f>IF($K111=BO$3,IF($C111="X",0,$O111),0)</f>
        <v>0</v>
      </c>
      <c r="BP111" s="201">
        <f>IF($K111=BP$3,IF($C111="X",0,$O111),0)</f>
        <v>0</v>
      </c>
      <c r="BQ111" s="202">
        <f>IF($K111=BQ$3,IF($C111="X",0,$O111),0)</f>
        <v>0</v>
      </c>
      <c r="BR111" s="199">
        <f>IF($K111=BR$3,IF($C111="X",0,$O111),0)</f>
        <v>0</v>
      </c>
      <c r="BS111" s="228"/>
      <c r="BT111" s="229"/>
      <c r="BU111" s="140"/>
      <c r="BV111" s="229"/>
      <c r="BW111" s="140"/>
      <c r="BX111" s="140"/>
      <c r="BY111" s="140"/>
      <c r="BZ111" s="229"/>
      <c r="CA111" s="140"/>
      <c r="CB111" s="140"/>
      <c r="CC111" s="140"/>
      <c r="CD111" s="141"/>
      <c r="CE111" s="142"/>
      <c r="CF111" s="230">
        <f>IF(CF$3=$K111,IF($C111="W",1,IF($C111="1/2W",0.5,0)),0)</f>
        <v>0</v>
      </c>
      <c r="CG111" s="231">
        <f>IF(CF$3=$K111,IF($C111="L",1,IF($C111="1/2L",0.5,0)),0)</f>
        <v>0</v>
      </c>
      <c r="CH111" s="231">
        <f>IF(CH$3=$K111,IF($C111="W",1,IF($C111="1/2W",0.5,0)),0)</f>
        <v>0</v>
      </c>
      <c r="CI111" s="231">
        <f>IF(CH$3=$K111,IF($C111="L",1,IF($C111="1/2L",0.5,0)),0)</f>
        <v>0</v>
      </c>
      <c r="CJ111" s="231">
        <f>IF(CJ$3=$K111,IF($C111="W",1,IF($C111="1/2W",0.5,0)),0)</f>
        <v>0</v>
      </c>
      <c r="CK111" s="231">
        <f>IF(CJ$3=$K111,IF($C111="L",1,IF($C111="1/2L",0.5,0)),0)</f>
        <v>0</v>
      </c>
      <c r="CL111" s="231">
        <f>IF(CL$3=$K111,IF($C111="W",1,IF($C111="1/2W",0.5,0)),0)</f>
        <v>0</v>
      </c>
      <c r="CM111" s="231">
        <f>IF(CL$3=$K111,IF($C111="L",1,IF($C111="1/2L",0.5,0)),0)</f>
        <v>0</v>
      </c>
      <c r="CN111" s="231">
        <f>IF(CN$3=$K111,IF($C111="W",1,IF($C111="1/2W",0.5,0)),0)</f>
        <v>0</v>
      </c>
      <c r="CO111" s="231">
        <f>IF(CN$3=$K111,IF($C111="L",1,IF($C111="1/2L",0.5,0)),0)</f>
        <v>0</v>
      </c>
      <c r="CP111" s="231">
        <f>IF(CP$3=$K111,IF($C111="W",1,IF($C111="1/2W",0.5,0)),0)</f>
        <v>0</v>
      </c>
      <c r="CQ111" s="231">
        <f>IF(CP$3=$K111,IF($C111="L",1,IF($C111="1/2L",0.5,0)),0)</f>
        <v>0</v>
      </c>
      <c r="CR111" s="231">
        <f>IF(CR$3=$K111,IF($C111="W",1,IF($C111="1/2W",0.5,0)),0)</f>
        <v>0</v>
      </c>
      <c r="CS111" s="231">
        <f>IF(CR$3=$K111,IF($C111="L",1,IF($C111="1/2L",0.5,0)),0)</f>
        <v>0</v>
      </c>
      <c r="CT111" s="208">
        <f>IF(CT$3=$K111,IF($C111="W",1,IF($C111="1/2W",0.5,0)),0)</f>
        <v>0</v>
      </c>
      <c r="CU111" s="209">
        <f>IF(CT$3=$K111,IF($C111="L",1,IF($C111="1/2L",0.5,0)),0)</f>
        <v>0</v>
      </c>
      <c r="CV111" s="209">
        <f>IF(CV$3=$K111,IF($C111="W",1,IF($C111="1/2W",0.5,0)),0)</f>
        <v>0</v>
      </c>
      <c r="CW111" s="209">
        <f>IF(CV$3=$K111,IF($C111="L",1,IF($C111="1/2L",0.5,0)),0)</f>
        <v>0</v>
      </c>
      <c r="CX111" s="209">
        <f>IF(CX$3=$K111,IF($C111="W",1,IF($C111="1/2W",0.5,0)),0)</f>
        <v>0</v>
      </c>
      <c r="CY111" s="209">
        <f>IF(CX$3=$K111,IF($C111="L",1,IF($C111="1/2L",0.5,0)),0)</f>
        <v>0</v>
      </c>
      <c r="CZ111" s="209">
        <f>IF(CZ$3=$K111,IF($C111="W",1,IF($C111="1/2W",0.5,0)),0)</f>
        <v>0</v>
      </c>
      <c r="DA111" s="209">
        <f>IF(CZ$3=$K111,IF($C111="L",1,IF($C111="1/2L",0.5,0)),0)</f>
        <v>0</v>
      </c>
      <c r="DB111" s="209">
        <f>IF(DB$3=$K111,IF($C111="W",1,IF($C111="1/2W",0.5,0)),0)</f>
        <v>0</v>
      </c>
      <c r="DC111" s="209">
        <f>IF(DB$3=$K111,IF($C111="L",1,IF($C111="1/2L",0.5,0)),0)</f>
        <v>0</v>
      </c>
      <c r="DD111" s="209">
        <f>IF(DD$3=$K111,IF($C111="W",1,IF($C111="1/2W",0.5,0)),0)</f>
        <v>0</v>
      </c>
      <c r="DE111" s="210">
        <f>IF(DD$3=$K111,IF($C111="L",1,IF($C111="1/2L",0.5,0)),0)</f>
        <v>0</v>
      </c>
      <c r="DF111" s="211">
        <f>IF(AND(L111&lt;DF$3,$C111="W"),1+DF110,DF110)</f>
        <v>7</v>
      </c>
      <c r="DG111" s="198">
        <f>IF(DF111&gt;DF110,L111+DG110,DG110)</f>
        <v>9.247999999999999</v>
      </c>
      <c r="DH111" s="209">
        <f>IF(AND(L111&gt;DH$3,$C111="W"),1+DH110,0+DH110)</f>
        <v>1</v>
      </c>
      <c r="DI111" s="198">
        <f>IF(DH111&gt;DH110,L111+DI110,DI110)</f>
        <v>4.33</v>
      </c>
      <c r="DJ111" t="s" s="306">
        <f>IF($D109="","",$D109)</f>
        <v>101</v>
      </c>
      <c r="DK111" s="232"/>
    </row>
    <row r="112" ht="14.55" customHeight="1">
      <c r="A112" s="246">
        <f>$A109+1</f>
        <v>37</v>
      </c>
      <c r="B112" t="s" s="247">
        <v>50</v>
      </c>
      <c r="C112" t="s" s="248">
        <v>51</v>
      </c>
      <c r="D112" t="s" s="303">
        <f>IF(G112="","",$D109)</f>
        <v>101</v>
      </c>
      <c r="E112" t="s" s="250">
        <v>150</v>
      </c>
      <c r="F112" t="s" s="251">
        <f>IF(G112="","",IF(OR(AND($C112&lt;&gt;" ",$C113=" "),AND($C113&lt;&gt;" ",$C112=" "),AND(L114&gt;0,OR(AND($C114&lt;&gt;" ",OR($C112=" ",$C113=" ")),AND($C114=" ",OR($C112&lt;&gt;" ",$C113&lt;&gt;" "))))),IF(SUM(F$4:F111)=0,1,LARGE(F$4:F111,1)+1),IF(MONTH(G112)=MONTH(TODAY()),IF(AND(DAY(G112)&lt;DAY(TODAY()),$B112=" "),IF(SUM(F$4:F111)=0,1,LARGE(F$4:F111,1)+1),IF($B112=" ",IF(AND(DAY(G112)=DAY(TODAY()),HOUR(G112)&lt;=HOUR(NOW())+1),IF(AND(HOUR(G112)+2&lt;=HOUR(NOW()),DAY(G112)&lt;=DAY(TODAY()),MINUTE(G112)&lt;=MINUTE(NOW())),IF(SUM(F$4:F111)=0,1,LARGE(F$4:F111,1)+1),IF(OR(MINUTE(G112)&lt;=MINUTE(NOW()),HOUR(G112)&lt;=HOUR(NOW())),"!!!","")),""),"")),"")))</f>
      </c>
      <c r="G112" s="252">
        <f>IF(H112="","",_xlfn.XLOOKUP(H112,H$4:H111,G$4:G111,""))</f>
        <v>44944</v>
      </c>
      <c r="H112" t="s" s="253">
        <v>146</v>
      </c>
      <c r="I112" t="s" s="254">
        <v>140</v>
      </c>
      <c r="J112" s="255">
        <v>4</v>
      </c>
      <c r="K112" t="s" s="256">
        <v>48</v>
      </c>
      <c r="L112" s="257">
        <v>1.93</v>
      </c>
      <c r="M112" s="258"/>
      <c r="N112" s="259">
        <v>0</v>
      </c>
      <c r="O112" s="260">
        <f>IF(OR(AE112="",AE113=""),"",ROUND(IF(L114&gt;0,IF(M112&gt;0,M112,IF(M113&gt;0,ROUND((M113*AE112)/AE113,IF(N112=0,2,IF(N112=0.1,1,0))),ROUND((M114*AE112)/AE114,IF(N112=0,2,IF(N112=0.1,1,0))))),IF(M112&gt;0,M112,ROUND((M113*AE112)/AE113,IF(N112=0,2,IF(N112=0.1,1,0))))),2))</f>
        <v>6.86</v>
      </c>
      <c r="P112" s="261">
        <f>IF(OR(L112="",O112=""),"",IF($C112="1/2W",O112/2+O112/2*L112,IF($C112="1/2L",O112/2,IF(I112="Lay",(O112*(L112/(L112-1))-O112)*(1-_xlfn.XLOOKUP(K112,'Janeiro 2023 - Valor Real'!A3:A15,'Janeiro 2023 - Valor Real'!C3:C15,0))+O112,(O112*L112-O112)*(1-_xlfn.XLOOKUP(K112,'Janeiro 2023 - Valor Real'!A3:A15,'Janeiro 2023 - Valor Real'!C3:C15,0))+O112))))</f>
        <v>13.2398</v>
      </c>
      <c r="Q112" s="262">
        <v>3</v>
      </c>
      <c r="R112" s="263">
        <v>0</v>
      </c>
      <c r="S112" s="264">
        <f>IF($B112="Anulado",0,ROUND(IF(OR($B112="LOSS",$B112="OK"),IF(OR($C112="W",$C112="1/2W",$C112="1/2L"),P112-O112,IF($C112="L",-O112,0))+IF(OR($C113="W",$C113="1/2W",$C113="1/2L"),P113-O113,IF($C113="L",-O113,0))+IF(OR($C114="W",$C114="1/2W",$C114="1/2L"),P114-O114,IF($C114="L",-O114,0)),IF(AND(OR($C112="W",$C112="1/2W",$C112="1/2L"),C113="W"),P112+P113-SUM(O112:O114)+_xlfn.XLOOKUP("X",C112:C114,O112:O114,0),IF(AND(C112=TRUE,C114="W"),P112+P114-SUM(O112:O114),IF(AND(C113="W",C114="W"),P113+P114-SUM(O112:O114)+_xlfn.XLOOKUP("X",C112:C114,O112:O114,0),IF(L114&gt;0,IF(OR($C112="W",$C112="1/2W",$C112="1/2L"),P112-SUM(O112:O114)+_xlfn.XLOOKUP("X",C112:C114,O112:O114,0),IF(OR($C112="W",$C112="1/2W",$C112="1/2L"),P113-SUM(O112:O114)+_xlfn.XLOOKUP("X",C112:C114,O112:O114,0),IF(OR($C112="W",$C112="1/2W",$C112="1/2L"),P114-SUM(O112:O114)+_xlfn.XLOOKUP("X",C112:C114,O112:O114,0),IF(SUM(P112:P114)/3-SUM(O112:O114)+_xlfn.XLOOKUP("X",C112:C114,O112:O114,0)&gt;0,SUM(P112:P114)/3-SUM(O112:O114)+_xlfn.XLOOKUP("X",C112:C114,O112:O114,0),LARGE(P112:P114,1)-SUM(O112:O114))))),IF(OR($C112="W",$C112="1/2W",$C112="1/2L"),P112-SUM(O112:O113)+_xlfn.XLOOKUP("X",C112:C114,O112:O114,0),IF(OR($C112="W",$C112="1/2W",$C112="1/2L"),P113-SUM(O112:O113)+_xlfn.XLOOKUP("X",C112:C114,O112:O114,0),SUM(P112:P113)/2-SUM(O112:O113)+_xlfn.XLOOKUP("X",C112:C114,O112:O114,0)))))))),2))</f>
        <v>0.8100000000000001</v>
      </c>
      <c r="T112" s="265">
        <f>IF(S112=0,0,S112/SUM(O112:O114))</f>
        <v>0.0652173913043478</v>
      </c>
      <c r="U112" s="266">
        <f>IF($D112=$D109,IF(OR($B112="LOSS",$B112="OK",$B112="Anulada"),S112,0)+U109,IF(OR($B112="LOSS",$B112="OK",$B112="Anulada"),S112,0))</f>
        <v>25.08</v>
      </c>
      <c r="V112" s="266">
        <f>IF($D112="",0,IF($D112=$D109,IF($B112=" ",IF(I114="",IF(OR(AND(I112="DNB1",I113="DNB2"),AND(OR(I112="DNB1",I112="DNB2"),J113=0),AND(OR(I113="DNB1",I113="DNB2"),J112=0),AND(I112="DNB2",I113="DNB1"),AND(IF(J112=0,(J112+1)/ROUND(J112+1,0),J112/ROUND(J112,0))=1,IF(J113=0,(J113+1)/ROUND(IF(J113="",0,J113)+1,0),IF(J113="",0,J113)/ROUND(IF(J113="",1,J113),0))=1,OR(J112&lt;&gt;""),J113&lt;&gt;"")),0,IF(S112&lt;0,IF(I114="",SMALL(P112:P113,1)-SUM(O112:O113),0),SMALL(P112:P113,1)-SUM(O112:O113))),IF(S112&lt;0,IF(I114="",SMALL(P112:P114,1)-SUM(O112:O114),0),LARGE(P112:P114,1)-SUM(O112:O114))),S112)+V109,IF(I114="",IF(OR(AND(I112="DNB1",I113="DNB2"),AND(OR(I112="DNB1",I112="DNB2"),J113=0),AND(OR(I113="DNB1",I113="DNB2"),J112=0),AND(I112="DNB2",I113="DNB1"),AND(IF(J112=0,(J112+1)/ROUND(J112+1,0),J112/ROUND(J112,0))=1,IF(J113=0,(IF(J113="",0,J113)+1)/ROUND(IF(J113="",0,J113)+1,0),IF(J113="",0,J113)/ROUND(IF(J113="",0,J113)+1,0))=1,OR(J112&lt;&gt;""),J113&lt;&gt;"")),0,IF(S112&lt;0,IF(I114="",SMALL(P112:P113,1)-SUM(O112:O113),0),SMALL(P112:P114,1)-SUM(O112:O114))),IF(S112&lt;0,IF(I114="",SMALL(P112:P114,1)-SUM(O112:O114),0),LARGE(P112:P114,1)-SUM(O112:O114)))))</f>
        <v>25.082</v>
      </c>
      <c r="W112" s="266">
        <f>IF($D112=$D109,IF(S112&lt;0,IF(I114="",S112,0),S112)+W109,S112)</f>
        <v>25.08</v>
      </c>
      <c r="X112" t="s" s="267">
        <f>IF(OR(SUM(R112:R114)=0,V112=W112),ROUND(IF(W112=0,0,W112/Y112)*100,2)&amp;"%",ROUND(IF(V112=0,0,V112/Y112)*100,2)&amp;"% a "&amp;ROUND(IF(W112=0,0,W112/Y112)*100,2)&amp;"%")</f>
        <v>151</v>
      </c>
      <c r="Y112" s="268">
        <f>IF($D112=$D109,Y109+SUM(O112:O114),SUM(O112:O114))</f>
        <v>678.99</v>
      </c>
      <c r="Z112" s="266">
        <f>IF($B112=" ",SUM(O112:O114),0)+Z109</f>
        <v>0</v>
      </c>
      <c r="AA112" s="266">
        <f>IF(G112="","",IF($B112="Anulado",LARGE(P112:P114,1)-SUM(O112:O114)+AA109,AA109))</f>
        <v>11.4028</v>
      </c>
      <c r="AB112" s="266">
        <f>IF($D112="","",AB109+S112)</f>
        <v>103.18</v>
      </c>
      <c r="AC112" s="269">
        <f>IF($D112="","",IF($B112=" ",IF(DAY(G112)=DAY(TODAY()),1+AC109,0+AC109),0+AC109))</f>
        <v>0</v>
      </c>
      <c r="AD112" s="270">
        <f>(1-_xlfn.XLOOKUP(K110,'Janeiro 2023 - Valor Real'!A3:A15,'Janeiro 2023 - Valor Real'!C3:C15,0))+1</f>
        <v>2</v>
      </c>
      <c r="AE112" s="271">
        <f>IF(L112="","",IF(L114&gt;0,(SUM(((L112-1)*(1-_xlfn.XLOOKUP(K112,'Janeiro 2023 - Valor Real'!A3:A15,'Janeiro 2023 - Valor Real'!C3:C15,0))+1),((L113-1)*(1-_xlfn.XLOOKUP(K113,'Janeiro 2023 - Valor Real'!A3:A15,'Janeiro 2023 - Valor Real'!C3:C15,0))+1),((L114-1)*(1-_xlfn.XLOOKUP(K114,'Janeiro 2023 - Valor Real'!A3:A15,'Janeiro 2023 - Valor Real'!C3:C15,0))+1))/((L112-1)*(1-_xlfn.XLOOKUP(K112,'Janeiro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Real'!C3:C15,0))+1))/((L112-1)*(1-_xlfn.XLOOKUP(K112,'Janeiro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Real'!C3:C15,0))+1))/((L113-1)*(1-_xlfn.XLOOKUP(K113,'Janeiro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Real'!C3:C15,0))+1))/((L114-1)*(1-_xlfn.XLOOKUP(K114,'Janeiro 2023 - Valor Real'!A3:A15,'Janeiro 2023 - Valor Real'!C3:C15,0))+1)),IF(I112="Lay",IF(I113="Lay",((L113/(L113-1)-1)*(1-_xlfn.XLOOKUP(K113,'Janeiro 2023 - Valor Real'!A3:A15,'Janeiro 2023 - Valor Real'!C3:C15,0))+1)/(((L113/(L113-1)-1)*(1-_xlfn.XLOOKUP(K113,'Janeiro 2023 - Valor Real'!A3:A15,'Janeiro 2023 - Valor Real'!C3:C15,0))+1)+((L112/(L112-1)-1)*(1-_xlfn.XLOOKUP(K112,'Janeiro 2023 - Valor Real'!A3:A15,'Janeiro 2023 - Valor Real'!C3:C15,0))+1)),((L113-1)*(1-_xlfn.XLOOKUP(K113,'Janeiro 2023 - Valor Real'!A3:A15,'Janeiro 2023 - Valor Real'!C3:C15,0))+1)/(((L113-1)*(1-_xlfn.XLOOKUP(K113,'Janeiro 2023 - Valor Real'!A3:A15,'Janeiro 2023 - Valor Real'!C3:C15,0))+1)+((L112/(L112-1)-1)*(1-_xlfn.XLOOKUP(K112,'Janeiro 2023 - Valor Real'!A3:A15,'Janeiro 2023 - Valor Real'!C3:C15,0))+1))),IF(I113="Lay",(((L113/(L113-1)-1)*(1-_xlfn.XLOOKUP(K113,'Janeiro 2023 - Valor Real'!A3:A15,'Janeiro 2023 - Valor Real'!C3:C15,0))+1))/(((L112-1)*(1-_xlfn.XLOOKUP(K112,'Janeiro 2023 - Valor Real'!A3:A15,'Janeiro 2023 - Valor Real'!C3:C15,0))+1)+((L113/(L113-1)-1)*(1-_xlfn.XLOOKUP(K113,'Janeiro 2023 - Valor Real'!A3:A15,'Janeiro 2023 - Valor Real'!C3:C15,0))+1)),((L113-1)*(1-_xlfn.XLOOKUP(K113,'Janeiro 2023 - Valor Real'!A3:A15,'Janeiro 2023 - Valor Real'!C3:C15,0))+1)/(((L113-1)*(1-_xlfn.XLOOKUP(K113,'Janeiro 2023 - Valor Real'!A3:A15,'Janeiro 2023 - Valor Real'!C3:C15,0))+1)+((L112-1)*(1-_xlfn.XLOOKUP(K112,'Janeiro 2023 - Valor Real'!A3:A15,'Janeiro 2023 - Valor Real'!C3:C15,0))+1))))))</f>
        <v>0.552204176334107</v>
      </c>
      <c r="AF112" s="132">
        <f>IF($K112=AF$3,ROUND(IF(OR($C112="W",$C112="1/2W",$C112="1/2L"),$P112-$O112,IF($C112="X",0,-$O112)),2),0)</f>
        <v>0</v>
      </c>
      <c r="AG112" s="133">
        <f>IF($K112=AG$3,ROUND(IF(OR($C112="W",$C112="1/2W",$C112="1/2L"),$P112-$O112,IF($C112="X",0,-$O112)),2),0)</f>
        <v>0</v>
      </c>
      <c r="AH112" s="133">
        <f>IF($K112=AH$3,ROUND(IF(OR($C112="W",$C112="1/2W",$C112="1/2L"),$P112-$O112,IF($C112="X",0,-$O112)),2),0)</f>
        <v>0</v>
      </c>
      <c r="AI112" s="133">
        <f>IF($K112=AI$3,ROUND(IF(OR($C112="W",$C112="1/2W",$C112="1/2L"),$P112-$O112,IF($C112="X",0,-$O112)),2),0)</f>
        <v>0</v>
      </c>
      <c r="AJ112" s="133">
        <f>IF($K112=AJ$3,ROUND(IF(OR($C112="W",$C112="1/2W",$C112="1/2L"),$P112-$O112,IF($C112="X",0,-$O112)),2),0)</f>
        <v>0</v>
      </c>
      <c r="AK112" s="133">
        <f>IF($K112=AK$3,ROUND(IF(OR($C112="W",$C112="1/2W",$C112="1/2L"),$P112-$O112,IF($C112="X",0,-$O112)),2),0)</f>
        <v>0</v>
      </c>
      <c r="AL112" s="133">
        <f>IF($K112=AL$3,ROUND(IF(OR($C112="W",$C112="1/2W",$C112="1/2L"),$P112-$O112,IF($C112="X",0,-$O112)),2),0)</f>
        <v>0</v>
      </c>
      <c r="AM112" s="133">
        <f>IF($K112=AM$3,ROUND(IF(OR($C112="W",$C112="1/2W",$C112="1/2L"),$P112-$O112,IF($C112="X",0,-$O112)),2),0)</f>
        <v>0</v>
      </c>
      <c r="AN112" s="133">
        <f>IF($K112=AN$3,ROUND(IF(OR($C112="W",$C112="1/2W",$C112="1/2L"),$P112-$O112,IF($C112="X",0,-$O112)),2),0)</f>
        <v>0</v>
      </c>
      <c r="AO112" s="133">
        <f>IF($K112=AO$3,ROUND(IF(OR($C112="W",$C112="1/2W",$C112="1/2L"),$P112-$O112,IF($C112="X",0,-$O112)),2),0)</f>
        <v>0</v>
      </c>
      <c r="AP112" s="133">
        <f>IF($K112=AP$3,ROUND(IF(OR($C112="W",$C112="1/2W",$C112="1/2L"),$P112-$O112,IF($C112="X",0,-$O112)),2),0)</f>
        <v>0</v>
      </c>
      <c r="AQ112" s="133">
        <f>IF($K112=AQ$3,ROUND(IF(OR($C112="W",$C112="1/2W",$C112="1/2L"),$P112-$O112,IF($C112="X",0,-$O112)),2),0)</f>
        <v>-6.86</v>
      </c>
      <c r="AR112" s="134">
        <f>IF($K112=AR$3,ROUND(IF(OR($C112="W",$C112="1/2W",$C112="1/2L"),$P112-$O112,IF($C112="X",0,-$O112)),2),0)</f>
        <v>0</v>
      </c>
      <c r="AS112" s="132">
        <f>IF(AND($B112=" ",$K112=AS$3),$O112,0)</f>
        <v>0</v>
      </c>
      <c r="AT112" s="133">
        <f>IF(AND($B112=" ",$K112=AT$3),$O112,0)</f>
        <v>0</v>
      </c>
      <c r="AU112" s="133">
        <f>IF(AND($B112=" ",$K112=AU$3),$O112,0)</f>
        <v>0</v>
      </c>
      <c r="AV112" s="133">
        <f>IF(AND($B112=" ",$K112=AV$3),$O112,0)</f>
        <v>0</v>
      </c>
      <c r="AW112" s="133">
        <f>IF(AND($B112=" ",$K112=AW$3),$O112,0)</f>
        <v>0</v>
      </c>
      <c r="AX112" s="133">
        <f>IF(AND($B112=" ",$K112=AX$3),$O112,0)</f>
        <v>0</v>
      </c>
      <c r="AY112" s="135">
        <f>IF(AND($B112=" ",$K112=AY$3),$O112,0)</f>
        <v>0</v>
      </c>
      <c r="AZ112" s="136">
        <f>IF(AND($B112=" ",$K112=AZ$3),$O112,0)</f>
        <v>0</v>
      </c>
      <c r="BA112" s="136">
        <f>IF(AND($B112=" ",$K112=BA$3),$O112,0)</f>
        <v>0</v>
      </c>
      <c r="BB112" s="136">
        <f>IF(AND($B112=" ",$K112=BB$3),$O112,0)</f>
        <v>0</v>
      </c>
      <c r="BC112" s="137">
        <f>IF(AND($B112=" ",$K112=BC$3),$O112,0)</f>
        <v>0</v>
      </c>
      <c r="BD112" s="133">
        <f>IF(AND($B112=" ",$K112=BD$3),$O112,0)</f>
        <v>0</v>
      </c>
      <c r="BE112" s="134">
        <f>IF(AND($B112=" ",$K112=BE$3),$O112,0)</f>
        <v>0</v>
      </c>
      <c r="BF112" s="132">
        <f>IF($K112=BF$3,IF($C112="X",0,$O112),0)</f>
        <v>0</v>
      </c>
      <c r="BG112" s="133">
        <f>IF($K112=BG$3,IF($C112="X",0,$O112),0)</f>
        <v>0</v>
      </c>
      <c r="BH112" s="133">
        <f>IF($K112=BH$3,IF($C112="X",0,$O112),0)</f>
        <v>0</v>
      </c>
      <c r="BI112" s="133">
        <f>IF($K112=BI$3,IF($C112="X",0,$O112),0)</f>
        <v>0</v>
      </c>
      <c r="BJ112" s="133">
        <f>IF($K112=BJ$3,IF($C112="X",0,$O112),0)</f>
        <v>0</v>
      </c>
      <c r="BK112" s="133">
        <f>IF($K112=BK$3,IF($C112="X",0,$O112),0)</f>
        <v>0</v>
      </c>
      <c r="BL112" s="133">
        <f>IF($K112=BL$3,IF($C112="X",0,$O112),0)</f>
        <v>0</v>
      </c>
      <c r="BM112" s="135">
        <f>IF($K112=BM$3,IF($C112="X",0,$O112),0)</f>
        <v>0</v>
      </c>
      <c r="BN112" s="136">
        <f>IF($K112=BN$3,IF($C112="X",0,$O112),0)</f>
        <v>0</v>
      </c>
      <c r="BO112" s="136">
        <f>IF($K112=BO$3,IF($C112="X",0,$O112),0)</f>
        <v>0</v>
      </c>
      <c r="BP112" s="136">
        <f>IF($K112=BP$3,IF($C112="X",0,$O112),0)</f>
        <v>0</v>
      </c>
      <c r="BQ112" s="137">
        <f>IF($K112=BQ$3,IF($C112="X",0,$O112),0)</f>
        <v>6.86</v>
      </c>
      <c r="BR112" s="134">
        <f>IF($K112=BR$3,IF($C112="X",0,$O112),0)</f>
        <v>0</v>
      </c>
      <c r="BS112" s="170">
        <f>IF($B112="LOSS",IF(AND($K112=BS$3,$C112="L"),-$O112,0)+IF(AND($K113=BS$3,$C113="L"),-$O113,0)+IF(AND($K114=BS$3,$C114="L"),-$O114,0),IF(OR(AND($K112=BS$3,OR($C112="W",$C112="1/2W")),AND($K113=BS$3,OR($C113="W",$C113="1/2W")),AND($K114=BS$3,OR($C114="W",$C114="1/2W"))),$S112,0))</f>
        <v>0</v>
      </c>
      <c r="BT112" s="272">
        <f>IF($B112="LOSS",IF(AND($K112=BT$3,$C112="L"),-$O112,0)+IF(AND($K113=BT$3,$C113="L"),-$O113,0)+IF(AND($K113=BT$3,$C114="L"),-$O114,0),IF(OR(AND($K113=BT$3,OR($C112="W",$C112="1/2W")),AND($K113=BT$3,OR($C113="W",$C113="1/2W")),AND($K113=BT$3,OR($C114="W",$C114="1/2W"))),$S112,0))</f>
        <v>0.8100000000000001</v>
      </c>
      <c r="BU112" s="136">
        <f>IF($B112="LOSS",IF(AND($K112=BU$3,$C112="L"),-$O112,0)+IF(AND($K113=BU$3,$C113="L"),-$O113,0)+IF(AND($K113=BU$3,$C114="L"),-$O114,0),IF(OR(AND($K113=BU$3,OR($C112="W",$C112="1/2W")),AND($K113=BU$3,OR($C113="W",$C113="1/2W")),AND($K113=BU$3,OR($C114="W",$C114="1/2W"))),$S112,0))</f>
        <v>0</v>
      </c>
      <c r="BV112" s="136">
        <f>IF($B112="LOSS",IF(AND($K112=BV$3,$C112="L"),-$O112,0)+IF(AND($K113=BV$3,$C113="L"),-$O113,0)+IF(AND($K114=BV$3,$C114="L"),-$O114,0),IF(OR(AND($K112=BV$3,OR($C112="W",$C112="1/2W")),AND($K113=BV$3,OR($C113="W",$C113="1/2W")),AND($K114=BV$3,OR($C114="W",$C114="1/2W"))),$S112,0))</f>
        <v>0</v>
      </c>
      <c r="BW112" s="136">
        <f>IF($B112="LOSS",IF(AND($K112=BW$3,$C112="L"),-$O112,0)+IF(AND($K113=BW$3,$C113="L"),-$O113,0)+IF(AND($K114=BW$3,$C114="L"),-$O114,0),IF(OR(AND($K112=BW$3,OR($C112="W",$C112="1/2W")),AND($K113=BW$3,OR($C113="W",$C113="1/2W")),AND($K114=BW$3,OR($C114="W",$C114="1/2W"))),$S112,0))</f>
        <v>0</v>
      </c>
      <c r="BX112" s="136">
        <f>IF($B112="LOSS",IF(AND($K112=BX$3,$C112="L"),-$O112,0)+IF(AND($K113=BX$3,$C113="L"),-$O113,0)+IF(AND($K114=BX$3,$C114="L"),-$O114,0),IF(OR(AND($K112=BX$3,OR($C112="W",$C112="1/2W")),AND($K113=BX$3,OR($C113="W",$C113="1/2W")),AND($K114=BX$3,OR($C114="W",$C114="1/2W"))),$S112,0))</f>
        <v>0</v>
      </c>
      <c r="BY112" s="136">
        <f>IF($B112="LOSS",IF(AND($K112=BY$3,$C112="L"),-$O112,0)+IF(AND($K113=BY$3,$C113="L"),-$O113,0)+IF(AND($K114=BY$3,$C114="L"),-$O114,0),IF(OR(AND($K112=BY$3,OR($C112="W",$C112="1/2W")),AND($K113=BY$3,OR($C113="W",$C113="1/2W")),AND($K114=BY$3,OR($C114="W",$C114="1/2W"))),$S112,0))</f>
        <v>0</v>
      </c>
      <c r="BZ112" s="136">
        <f>IF($B112="LOSS",IF(AND($K112=BZ$3,$C112="L"),-$O112,0)+IF(AND($K113=BZ$3,$C113="L"),-$O113,0)+IF(AND($K114=BZ$3,$C114="L"),-$O114,0),IF(OR(AND($K112=BZ$3,OR($C112="W",$C112="1/2W")),AND($K113=BZ$3,OR($C113="W",$C113="1/2W")),AND($K114=BZ$3,OR($C114="W",$C114="1/2W"))),$S112,0))</f>
        <v>0</v>
      </c>
      <c r="CA112" s="136">
        <f>IF($B112="LOSS",IF(AND($K112=CA$3,$C112="L"),-$O112,0)+IF(AND($K113=CA$3,$C113="L"),-$O113,0)+IF(AND($K114=CA$3,$C114="L"),-$O114,0),IF(OR(AND($K112=CA$3,OR($C112="W",$C112="1/2W")),AND($K113=CA$3,OR($C113="W",$C113="1/2W")),AND($K114=CA$3,OR($C114="W",$C114="1/2W"))),$S112,0))</f>
        <v>0</v>
      </c>
      <c r="CB112" s="136">
        <f>IF($B112="LOSS",IF(AND($K112=CB$3,$C112="L"),-$O112,0)+IF(AND($K113=CB$3,$C113="L"),-$O113,0)+IF(AND($K114=CB$3,$C114="L"),-$O114,0),IF(OR(AND($K112=CB$3,OR($C112="W",$C112="1/2W")),AND($K113=CB$3,OR($C113="W",$C113="1/2W")),AND($K114=CB$3,OR($C114="W",$C114="1/2W"))),$S112,0))</f>
        <v>0</v>
      </c>
      <c r="CC112" s="136">
        <f>IF($B112="LOSS",IF(AND($K112=CC$3,$C112="L"),-$O112,0)+IF(AND($K113=CC$3,$C113="L"),-$O113,0)+IF(AND($K114=CC$3,$C114="L"),-$O114,0),IF(OR(AND($K112=CC$3,OR($C112="W",$C112="1/2W")),AND($K113=CC$3,OR($C113="W",$C113="1/2W")),AND($K114=CC$3,OR($C114="W",$C114="1/2W"))),$S112,0))</f>
        <v>0</v>
      </c>
      <c r="CD112" s="137">
        <f>IF($B112="LOSS",IF(AND($K112=CD$3,$C112="L"),-$O112,0)+IF(AND($K113=CD$3,$C113="L"),-$O113,0)+IF(AND($K114=CD$3,$C114="L"),-$O114,0),IF(OR(AND($K112=CD$3,OR($C112="W",$C112="1/2W")),AND($K113=CD$3,OR($C113="W",$C113="1/2W")),AND($K114=CD$3,OR($C114="W",$C114="1/2W"))),$S112,0))</f>
        <v>0</v>
      </c>
      <c r="CE112" s="134">
        <f>IF($B112="LOSS",IF(AND($K112=CE$3,$C112="L"),-$O112,0)+IF(AND($K113=CE$3,$C113="L"),-$O113,0)+IF(AND($K114=CE$3,$C114="L"),-$O114,0),IF(OR(AND($K112=CE$3,OR($C112="W",$C112="1/2W")),AND($K113=CE$3,OR($C113="W",$C113="1/2W")),AND($K114=CE$3,OR($C114="W",$C114="1/2W"))),$S112,0))</f>
        <v>0</v>
      </c>
      <c r="CF112" s="273">
        <f>IF(CF$3=$K112,IF($C112="W",1,IF($C112="1/2W",0.5,0)),0)</f>
        <v>0</v>
      </c>
      <c r="CG112" s="274">
        <f>IF(CF$3=$K112,IF($C112="L",1,IF($C112="1/2L",0.5,0)),0)</f>
        <v>0</v>
      </c>
      <c r="CH112" s="274">
        <f>IF(CH$3=$K112,IF($C112="W",1,IF($C112="1/2W",0.5,0)),0)</f>
        <v>0</v>
      </c>
      <c r="CI112" s="274">
        <f>IF(CH$3=$K112,IF($C112="L",1,IF($C112="1/2L",0.5,0)),0)</f>
        <v>0</v>
      </c>
      <c r="CJ112" s="274">
        <f>IF(CJ$3=$K112,IF($C112="W",1,IF($C112="1/2W",0.5,0)),0)</f>
        <v>0</v>
      </c>
      <c r="CK112" s="274">
        <f>IF(CJ$3=$K112,IF($C112="L",1,IF($C112="1/2L",0.5,0)),0)</f>
        <v>0</v>
      </c>
      <c r="CL112" s="274">
        <f>IF(CL$3=$K112,IF($C112="W",1,IF($C112="1/2W",0.5,0)),0)</f>
        <v>0</v>
      </c>
      <c r="CM112" s="274">
        <f>IF(CL$3=$K112,IF($C112="L",1,IF($C112="1/2L",0.5,0)),0)</f>
        <v>0</v>
      </c>
      <c r="CN112" s="274">
        <f>IF(CN$3=$K112,IF($C112="W",1,IF($C112="1/2W",0.5,0)),0)</f>
        <v>0</v>
      </c>
      <c r="CO112" s="274">
        <f>IF(CN$3=$K112,IF($C112="L",1,IF($C112="1/2L",0.5,0)),0)</f>
        <v>0</v>
      </c>
      <c r="CP112" s="274">
        <f>IF(CP$3=$K112,IF($C112="W",1,IF($C112="1/2W",0.5,0)),0)</f>
        <v>0</v>
      </c>
      <c r="CQ112" s="274">
        <f>IF(CP$3=$K112,IF($C112="L",1,IF($C112="1/2L",0.5,0)),0)</f>
        <v>0</v>
      </c>
      <c r="CR112" s="274">
        <f>IF(CR$3=$K112,IF($C112="W",1,IF($C112="1/2W",0.5,0)),0)</f>
        <v>0</v>
      </c>
      <c r="CS112" s="274">
        <f>IF(CR$3=$K112,IF($C112="L",1,IF($C112="1/2L",0.5,0)),0)</f>
        <v>0</v>
      </c>
      <c r="CT112" s="145">
        <f>IF(CT$3=$K112,IF($C112="W",1,IF($C112="1/2W",0.5,0)),0)</f>
        <v>0</v>
      </c>
      <c r="CU112" s="146">
        <f>IF(CT$3=$K112,IF($C112="L",1,IF($C112="1/2L",0.5,0)),0)</f>
        <v>0</v>
      </c>
      <c r="CV112" s="146">
        <f>IF(CV$3=$K112,IF($C112="W",1,IF($C112="1/2W",0.5,0)),0)</f>
        <v>0</v>
      </c>
      <c r="CW112" s="146">
        <f>IF(CV$3=$K112,IF($C112="L",1,IF($C112="1/2L",0.5,0)),0)</f>
        <v>0</v>
      </c>
      <c r="CX112" s="146">
        <f>IF(CX$3=$K112,IF($C112="W",1,IF($C112="1/2W",0.5,0)),0)</f>
        <v>0</v>
      </c>
      <c r="CY112" s="146">
        <f>IF(CX$3=$K112,IF($C112="L",1,IF($C112="1/2L",0.5,0)),0)</f>
        <v>0</v>
      </c>
      <c r="CZ112" s="146">
        <f>IF(CZ$3=$K112,IF($C112="W",1,IF($C112="1/2W",0.5,0)),0)</f>
        <v>0</v>
      </c>
      <c r="DA112" s="146">
        <f>IF(CZ$3=$K112,IF($C112="L",1,IF($C112="1/2L",0.5,0)),0)</f>
        <v>0</v>
      </c>
      <c r="DB112" s="146">
        <f>IF(DB$3=$K112,IF($C112="W",1,IF($C112="1/2W",0.5,0)),0)</f>
        <v>0</v>
      </c>
      <c r="DC112" s="146">
        <f>IF(DB$3=$K112,IF($C112="L",1,IF($C112="1/2L",0.5,0)),0)</f>
        <v>1</v>
      </c>
      <c r="DD112" s="146">
        <f>IF(DD$3=$K112,IF($C112="W",1,IF($C112="1/2W",0.5,0)),0)</f>
        <v>0</v>
      </c>
      <c r="DE112" s="147">
        <f>IF(DD$3=$K112,IF($C112="L",1,IF($C112="1/2L",0.5,0)),0)</f>
        <v>0</v>
      </c>
      <c r="DF112" s="143">
        <f>IF(AND(L112&lt;DF$3,$C112="W"),1+DF111,DF111)</f>
        <v>7</v>
      </c>
      <c r="DG112" s="133">
        <f>IF(DF112&gt;DF111,L112+DG111,DG111)</f>
        <v>9.247999999999999</v>
      </c>
      <c r="DH112" s="146">
        <f>IF(AND(L112&gt;DH$3,$C112="W"),1+DH111,0+DH111)</f>
        <v>1</v>
      </c>
      <c r="DI112" s="133">
        <f>IF(DH112&gt;DH111,L112+DI111,DI111)</f>
        <v>4.33</v>
      </c>
      <c r="DJ112" t="s" s="304">
        <f>IF($D112="","",$D112)</f>
        <v>101</v>
      </c>
      <c r="DK112" s="146">
        <f>IF(AND($B112=" ",$D112&lt;&gt;""),1,0)</f>
        <v>0</v>
      </c>
    </row>
    <row r="113" ht="14.55" customHeight="1">
      <c r="A113" s="107"/>
      <c r="B113" s="108"/>
      <c r="C113" t="s" s="109">
        <v>56</v>
      </c>
      <c r="D113" s="110"/>
      <c r="E113" s="111"/>
      <c r="F113" s="113"/>
      <c r="G113" s="252"/>
      <c r="H113" s="114"/>
      <c r="I113" t="s" s="275">
        <v>139</v>
      </c>
      <c r="J113" s="276">
        <f>IF(OR(I112="TO",I112="TU",I112="TO1",I112="TU1",I112="TO2",I112="TU2"),J112,IF(OR(I112="AH1",I112="AH2"),IF(OR(I113="AH1",I113="AH2"),-J112,IF(OR(I113="EH1",I113="EH2"),-J112+0.5,"")),IF(OR(I112="EH1",I112="EH2"),IF(OR(I113="AH1",I113="AH2"),-J112+0.5,IF(OR(I113="EH1",I113="EH2"),-J112+1,"")),IF(AND(OR(I112="DNB1",I112="DNB2"),OR(I113="AH1",I113="AH2")),0,IF(AND(I112="Not ScoreBoth",OR(I113="TO1",I113="TO2")),0.5,"")))))</f>
        <v>-3</v>
      </c>
      <c r="K113" t="s" s="117">
        <v>38</v>
      </c>
      <c r="L113" s="277">
        <v>2.38</v>
      </c>
      <c r="M113" s="278">
        <v>5.56</v>
      </c>
      <c r="N113" s="120"/>
      <c r="O113" s="121">
        <f>IF(OR(AE112="",AE113=""),"",ROUND(IF(L114&gt;0,IF(M113&gt;0,M113,IF(M112&gt;0,IF(N112=TRUE,ROUND((M112*AE113)/AE112,0),(M112*AE113)/AE112),IF(M113&gt;0,ROUND(M113,IF(N112=0,2,IF(N112=0.1,1,0))),IF(M114&gt;0,ROUND(O114*AE113/AE114,IF(N112=0,2,IF(N112=0.1,1,0))),0)))),IF(M113&gt;0,M113,ROUND((M112*AE113)/AE112,IF(N112=0,2,IF(N112=0.1,1,0))))),2))</f>
        <v>5.56</v>
      </c>
      <c r="P113" s="122">
        <f>IF(OR(L113="",O113=""),"",IF($C113="1/2W",O113/2+O113/2*L113,IF($C113="1/2L",O113/2,IF(I113="Lay",((O113*(L113/(L113-1)))-O113)*(1-_xlfn.XLOOKUP(K113,'Janeiro 2023 - Valor Real'!A3:A15,'Janeiro 2023 - Valor Real'!C3:C15,0))+O113,(O113*L113-O113)*(1-_xlfn.XLOOKUP(K113,'Janeiro 2023 - Valor Real'!A3:A15,'Janeiro 2023 - Valor Real'!C3:C15,0))+O113))))</f>
        <v>13.2328</v>
      </c>
      <c r="Q113" s="279">
        <v>5</v>
      </c>
      <c r="R113" s="280">
        <v>0</v>
      </c>
      <c r="S113" s="125"/>
      <c r="T113" s="126"/>
      <c r="U113" s="126"/>
      <c r="V113" s="224"/>
      <c r="W113" s="126"/>
      <c r="X113" s="127"/>
      <c r="Y113" s="128"/>
      <c r="Z113" s="129"/>
      <c r="AA113" s="129"/>
      <c r="AB113" s="129"/>
      <c r="AC113" s="129"/>
      <c r="AD113" s="130"/>
      <c r="AE113" s="131">
        <f>IF(L113="","",IF(L114&gt;0,(SUM(((L112-1)*(1-_xlfn.XLOOKUP(K112,'Janeiro 2023 - Valor Real'!A3:A15,'Janeiro 2023 - Valor Real'!C3:C15,0))+1),((L113-1)*(1-_xlfn.XLOOKUP(K113,'Janeiro 2023 - Valor Real'!A3:A15,'Janeiro 2023 - Valor Real'!C3:C15,0))+1),((L114-1)*(1-_xlfn.XLOOKUP(K114,'Janeiro 2023 - Valor Real'!A3:A15,'Janeiro 2023 - Valor Real'!C3:C15,0))+1))/((L113-1)*(1-_xlfn.XLOOKUP(K113,'Janeiro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Real'!C3:C15,0))+1))/((L112-1)*(1-_xlfn.XLOOKUP(K112,'Janeiro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Real'!C3:C15,0))+1))/((L113-1)*(1-_xlfn.XLOOKUP(K113,'Janeiro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Real'!C3:C15,0))+1))/((L114-1)*(1-_xlfn.XLOOKUP(K114,'Janeiro 2023 - Valor Real'!A3:A15,'Janeiro 2023 - Valor Real'!C3:C15,0))+1)),IF(I113="Lay",IF(I112="Lay",((L112/(L112-1)-1)*(1-_xlfn.XLOOKUP(K112,'Janeiro 2023 - Valor Real'!A3:A15,'Janeiro 2023 - Valor Real'!C3:C15,0))+1)/(((L112/(L112-1)-1)*(1-_xlfn.XLOOKUP(K112,'Janeiro 2023 - Valor Real'!A3:A15,'Janeiro 2023 - Valor Real'!C3:C15,0))+1)+((L113/(L113-1)-1)*(1-_xlfn.XLOOKUP(K113,'Janeiro 2023 - Valor Real'!A3:A15,'Janeiro 2023 - Valor Real'!C3:C15,0))+1)),((L112-1)*(1-_xlfn.XLOOKUP(K112,'Janeiro 2023 - Valor Real'!A3:A15,'Janeiro 2023 - Valor Real'!C3:C15,0))+1)/(((L112-1)*(1-_xlfn.XLOOKUP(K112,'Janeiro 2023 - Valor Real'!A3:A15,'Janeiro 2023 - Valor Real'!C3:C15,0))+1)+((L113/(L113-1)-1)*(1-_xlfn.XLOOKUP(K113,'Janeiro 2023 - Valor Real'!A3:A15,'Janeiro 2023 - Valor Real'!C3:C15,0))+1))),IF(I112="Lay",((L112/(L112-1)-1)*(1-_xlfn.XLOOKUP(K112,'Janeiro 2023 - Valor Real'!A3:A15,'Janeiro 2023 - Valor Real'!C3:C15,0))+1)/((((L112/(L112-1)-1)*(1-_xlfn.XLOOKUP(K112,'Janeiro 2023 - Valor Real'!A3:A15,'Janeiro 2023 - Valor Real'!C3:C15,0))+1))+((L113-1)*(1-_xlfn.XLOOKUP(K113,'Janeiro 2023 - Valor Real'!A3:A15,'Janeiro 2023 - Valor Real'!C3:C15,0))+1)),((L112-1)*(1-_xlfn.XLOOKUP(K112,'Janeiro 2023 - Valor Real'!A3:A15,'Janeiro 2023 - Valor Real'!C3:C15,0))+1)/(((L112-1)*(1-_xlfn.XLOOKUP(K112,'Janeiro 2023 - Valor Real'!A3:A15,'Janeiro 2023 - Valor Real'!C3:C15,0))+1)+((L113-1)*(1-_xlfn.XLOOKUP(K113,'Janeiro 2023 - Valor Real'!A3:A15,'Janeiro 2023 - Valor Real'!C3:C15,0))+1))))))</f>
        <v>0.447795823665893</v>
      </c>
      <c r="AF113" s="132">
        <f>IF($K113=AF$3,ROUND(IF(OR($C113="W",$C113="1/2W",$C113="1/2L"),$P113-$O113,IF($C113="X",0,-$O113)),2),0)</f>
        <v>0</v>
      </c>
      <c r="AG113" s="133">
        <f>IF($K113=AG$3,ROUND(IF(OR($C113="W",$C113="1/2W",$C113="1/2L"),$P113-$O113,IF($C113="X",0,-$O113)),2),0)</f>
        <v>7.67</v>
      </c>
      <c r="AH113" s="133">
        <f>IF($K113=AH$3,ROUND(IF(OR($C113="W",$C113="1/2W",$C113="1/2L"),$P113-$O113,IF($C113="X",0,-$O113)),2),0)</f>
        <v>0</v>
      </c>
      <c r="AI113" s="133">
        <f>IF($K113=AI$3,ROUND(IF(OR($C113="W",$C113="1/2W",$C113="1/2L"),$P113-$O113,IF($C113="X",0,-$O113)),2),0)</f>
        <v>0</v>
      </c>
      <c r="AJ113" s="133">
        <f>IF($K113=AJ$3,ROUND(IF(OR($C113="W",$C113="1/2W",$C113="1/2L"),$P113-$O113,IF($C113="X",0,-$O113)),2),0)</f>
        <v>0</v>
      </c>
      <c r="AK113" s="133">
        <f>IF($K113=AK$3,ROUND(IF(OR($C113="W",$C113="1/2W",$C113="1/2L"),$P113-$O113,IF($C113="X",0,-$O113)),2),0)</f>
        <v>0</v>
      </c>
      <c r="AL113" s="133">
        <f>IF($K113=AL$3,ROUND(IF(OR($C113="W",$C113="1/2W",$C113="1/2L"),$P113-$O113,IF($C113="X",0,-$O113)),2),0)</f>
        <v>0</v>
      </c>
      <c r="AM113" s="133">
        <f>IF($K113=AM$3,ROUND(IF(OR($C113="W",$C113="1/2W",$C113="1/2L"),$P113-$O113,IF($C113="X",0,-$O113)),2),0)</f>
        <v>0</v>
      </c>
      <c r="AN113" s="133">
        <f>IF($K113=AN$3,ROUND(IF(OR($C113="W",$C113="1/2W",$C113="1/2L"),$P113-$O113,IF($C113="X",0,-$O113)),2),0)</f>
        <v>0</v>
      </c>
      <c r="AO113" s="133">
        <f>IF($K113=AO$3,ROUND(IF(OR($C113="W",$C113="1/2W",$C113="1/2L"),$P113-$O113,IF($C113="X",0,-$O113)),2),0)</f>
        <v>0</v>
      </c>
      <c r="AP113" s="133">
        <f>IF($K113=AP$3,ROUND(IF(OR($C113="W",$C113="1/2W",$C113="1/2L"),$P113-$O113,IF($C113="X",0,-$O113)),2),0)</f>
        <v>0</v>
      </c>
      <c r="AQ113" s="133">
        <f>IF($K113=AQ$3,ROUND(IF(OR($C113="W",$C113="1/2W",$C113="1/2L"),$P113-$O113,IF($C113="X",0,-$O113)),2),0)</f>
        <v>0</v>
      </c>
      <c r="AR113" s="134">
        <f>IF($K113=AR$3,ROUND(IF(OR($C113="W",$C113="1/2W",$C113="1/2L"),$P113-$O113,IF($C113="X",0,-$O113)),2),0)</f>
        <v>0</v>
      </c>
      <c r="AS113" s="132">
        <f>IF(AND($B112=" ",$K113=AS$3),$O113,0)</f>
        <v>0</v>
      </c>
      <c r="AT113" s="133">
        <f>IF(AND($B112=" ",K113=AT$3),$O113,0)</f>
        <v>0</v>
      </c>
      <c r="AU113" s="133">
        <f>IF(AND($B112=" ",$K113=AU$3),$O113,0)</f>
        <v>0</v>
      </c>
      <c r="AV113" s="133">
        <f>IF(AND($B112=" ",$K113=AV$3),$O113,0)</f>
        <v>0</v>
      </c>
      <c r="AW113" s="133">
        <f>IF(AND($B112=" ",$K113=AW$3),$O113,0)</f>
        <v>0</v>
      </c>
      <c r="AX113" s="133">
        <f>IF(AND($B112=" ",$K113=AX$3),$O113,0)</f>
        <v>0</v>
      </c>
      <c r="AY113" s="135">
        <f>IF(AND($B112=" ",$K113=AY$3),$O113,0)</f>
        <v>0</v>
      </c>
      <c r="AZ113" s="136">
        <f>IF(AND($B112=" ",$K113=AZ$3),$O113,0)</f>
        <v>0</v>
      </c>
      <c r="BA113" s="136">
        <f>IF(AND($B112=" ",$K113=BA$3),$O113,0)</f>
        <v>0</v>
      </c>
      <c r="BB113" s="136">
        <f>IF(AND($B112=" ",$K113=BB$3),$O113,0)</f>
        <v>0</v>
      </c>
      <c r="BC113" s="137">
        <f>IF(AND($B112=" ",$K113=BC$3),$O113,0)</f>
        <v>0</v>
      </c>
      <c r="BD113" s="133">
        <f>IF(AND($B112=" ",$K113=BD$3),$O113,0)</f>
        <v>0</v>
      </c>
      <c r="BE113" s="134">
        <f>IF(AND($B112=" ",$K113=BE$3),$O113,0)</f>
        <v>0</v>
      </c>
      <c r="BF113" s="132">
        <f>IF($K113=BF$3,IF($C113="X",0,$O113),0)</f>
        <v>0</v>
      </c>
      <c r="BG113" s="281">
        <f>IF($K113=BG$3,IF($C113="X",0,$O113),0)</f>
        <v>5.56</v>
      </c>
      <c r="BH113" s="133">
        <f>IF($K113=BH$3,IF($C113="X",0,$O113),0)</f>
        <v>0</v>
      </c>
      <c r="BI113" s="133">
        <f>IF($K113=BI$3,IF($C113="X",0,$O113),0)</f>
        <v>0</v>
      </c>
      <c r="BJ113" s="133">
        <f>IF($K113=BJ$3,IF($C113="X",0,$O113),0)</f>
        <v>0</v>
      </c>
      <c r="BK113" s="133">
        <f>IF($K113=BK$3,IF($C113="X",0,$O113),0)</f>
        <v>0</v>
      </c>
      <c r="BL113" s="133">
        <f>IF($K113=BL$3,IF($C113="X",0,$O113),0)</f>
        <v>0</v>
      </c>
      <c r="BM113" s="135">
        <f>IF($K113=BM$3,IF($C113="X",0,$O113),0)</f>
        <v>0</v>
      </c>
      <c r="BN113" s="136">
        <f>IF($K113=BN$3,IF($C113="X",0,$O113),0)</f>
        <v>0</v>
      </c>
      <c r="BO113" s="136">
        <f>IF($K113=BO$3,IF($C113="X",0,$O113),0)</f>
        <v>0</v>
      </c>
      <c r="BP113" s="136">
        <f>IF($K113=BP$3,IF($C113="X",0,$O113),0)</f>
        <v>0</v>
      </c>
      <c r="BQ113" s="137">
        <f>IF($K113=BQ$3,IF($C113="X",0,$O113),0)</f>
        <v>0</v>
      </c>
      <c r="BR113" s="134">
        <f>IF($K113=BR$3,IF($C113="X",0,$O113),0)</f>
        <v>0</v>
      </c>
      <c r="BS113" s="282"/>
      <c r="BT113" s="283"/>
      <c r="BU113" s="140"/>
      <c r="BV113" s="283"/>
      <c r="BW113" s="140"/>
      <c r="BX113" s="140"/>
      <c r="BY113" s="140"/>
      <c r="BZ113" s="283"/>
      <c r="CA113" s="140"/>
      <c r="CB113" s="140"/>
      <c r="CC113" s="140"/>
      <c r="CD113" s="141"/>
      <c r="CE113" s="142"/>
      <c r="CF113" s="284">
        <f>IF(CF$3=$K113,IF($C113="W",1,IF($C113="1/2W",0.5,0)),0)</f>
        <v>0</v>
      </c>
      <c r="CG113" s="285">
        <f>IF(CF$3=$K113,IF($C113="L",1,IF($C113="1/2L",0.5,0)),0)</f>
        <v>0</v>
      </c>
      <c r="CH113" s="285">
        <f>IF(CH$3=$K113,IF($C113="W",1,IF($C113="1/2W",0.5,0)),0)</f>
        <v>1</v>
      </c>
      <c r="CI113" s="285">
        <f>IF(CH$3=$K113,IF($C113="L",1,IF($C113="1/2L",0.5,0)),0)</f>
        <v>0</v>
      </c>
      <c r="CJ113" s="285">
        <f>IF(CJ$3=$K113,IF($C113="W",1,IF($C113="1/2W",0.5,0)),0)</f>
        <v>0</v>
      </c>
      <c r="CK113" s="285">
        <f>IF(CJ$3=$K113,IF($C113="L",1,IF($C113="1/2L",0.5,0)),0)</f>
        <v>0</v>
      </c>
      <c r="CL113" s="285">
        <f>IF(CL$3=$K113,IF($C113="W",1,IF($C113="1/2W",0.5,0)),0)</f>
        <v>0</v>
      </c>
      <c r="CM113" s="285">
        <f>IF(CL$3=$K113,IF($C113="L",1,IF($C113="1/2L",0.5,0)),0)</f>
        <v>0</v>
      </c>
      <c r="CN113" s="285">
        <f>IF(CN$3=$K113,IF($C113="W",1,IF($C113="1/2W",0.5,0)),0)</f>
        <v>0</v>
      </c>
      <c r="CO113" s="285">
        <f>IF(CN$3=$K113,IF($C113="L",1,IF($C113="1/2L",0.5,0)),0)</f>
        <v>0</v>
      </c>
      <c r="CP113" s="285">
        <f>IF(CP$3=$K113,IF($C113="W",1,IF($C113="1/2W",0.5,0)),0)</f>
        <v>0</v>
      </c>
      <c r="CQ113" s="285">
        <f>IF(CP$3=$K113,IF($C113="L",1,IF($C113="1/2L",0.5,0)),0)</f>
        <v>0</v>
      </c>
      <c r="CR113" s="285">
        <f>IF(CR$3=$K113,IF($C113="W",1,IF($C113="1/2W",0.5,0)),0)</f>
        <v>0</v>
      </c>
      <c r="CS113" s="285">
        <f>IF(CR$3=$K113,IF($C113="L",1,IF($C113="1/2L",0.5,0)),0)</f>
        <v>0</v>
      </c>
      <c r="CT113" s="145">
        <f>IF(CT$3=$K113,IF($C113="W",1,IF($C113="1/2W",0.5,0)),0)</f>
        <v>0</v>
      </c>
      <c r="CU113" s="146">
        <f>IF(CT$3=$K113,IF($C113="L",1,IF($C113="1/2L",0.5,0)),0)</f>
        <v>0</v>
      </c>
      <c r="CV113" s="146">
        <f>IF(CV$3=$K113,IF($C113="W",1,IF($C113="1/2W",0.5,0)),0)</f>
        <v>0</v>
      </c>
      <c r="CW113" s="146">
        <f>IF(CV$3=$K113,IF($C113="L",1,IF($C113="1/2L",0.5,0)),0)</f>
        <v>0</v>
      </c>
      <c r="CX113" s="146">
        <f>IF(CX$3=$K113,IF($C113="W",1,IF($C113="1/2W",0.5,0)),0)</f>
        <v>0</v>
      </c>
      <c r="CY113" s="146">
        <f>IF(CX$3=$K113,IF($C113="L",1,IF($C113="1/2L",0.5,0)),0)</f>
        <v>0</v>
      </c>
      <c r="CZ113" s="146">
        <f>IF(CZ$3=$K113,IF($C113="W",1,IF($C113="1/2W",0.5,0)),0)</f>
        <v>0</v>
      </c>
      <c r="DA113" s="146">
        <f>IF(CZ$3=$K113,IF($C113="L",1,IF($C113="1/2L",0.5,0)),0)</f>
        <v>0</v>
      </c>
      <c r="DB113" s="146">
        <f>IF(DB$3=$K113,IF($C113="W",1,IF($C113="1/2W",0.5,0)),0)</f>
        <v>0</v>
      </c>
      <c r="DC113" s="146">
        <f>IF(DB$3=$K113,IF($C113="L",1,IF($C113="1/2L",0.5,0)),0)</f>
        <v>0</v>
      </c>
      <c r="DD113" s="146">
        <f>IF(DD$3=$K113,IF($C113="W",1,IF($C113="1/2W",0.5,0)),0)</f>
        <v>0</v>
      </c>
      <c r="DE113" s="147">
        <f>IF(DD$3=$K113,IF($C113="L",1,IF($C113="1/2L",0.5,0)),0)</f>
        <v>0</v>
      </c>
      <c r="DF113" s="143">
        <f>IF(AND(L113&lt;DF$3,$C113="W"),1+DF112,DF112)</f>
        <v>7</v>
      </c>
      <c r="DG113" s="133">
        <f>IF(DF113&gt;DF112,L113+DG112,DG112)</f>
        <v>9.247999999999999</v>
      </c>
      <c r="DH113" s="146">
        <f>IF(AND(L113&gt;DH$3,$C113="W"),1+DH112,0+DH112)</f>
        <v>1</v>
      </c>
      <c r="DI113" s="133">
        <f>IF(DH113&gt;DH112,L113+DI112,DI112)</f>
        <v>4.33</v>
      </c>
      <c r="DJ113" t="s" s="304">
        <f>IF($D112="","",$D112)</f>
        <v>101</v>
      </c>
      <c r="DK113" s="286"/>
    </row>
    <row r="114" ht="14.55" customHeight="1">
      <c r="A114" s="149"/>
      <c r="B114" s="150"/>
      <c r="C114" t="s" s="151">
        <v>58</v>
      </c>
      <c r="D114" s="152"/>
      <c r="E114" s="153"/>
      <c r="F114" s="155"/>
      <c r="G114" s="252"/>
      <c r="H114" s="156"/>
      <c r="I114" s="287"/>
      <c r="J114" s="288"/>
      <c r="K114" s="156"/>
      <c r="L114" s="289"/>
      <c r="M114" s="290"/>
      <c r="N114" s="161"/>
      <c r="O114" t="s" s="162">
        <f>IF(OR(AE112="",AE113=""),"",IF(L114&gt;0,ROUND(IF(M114&gt;0,M114,IF(M112&gt;0,ROUND((M112*AE114)/AE112,IF(N112=0,2,IF(N112=0.1,1,0))),IF(M113&gt;0,ROUND((M113*AE114)/AE113,IF(N112=0,2,IF(N112=0.1,1,0))),IF(M114&gt;0,M114,0)))),2),""))</f>
      </c>
      <c r="P114" t="s" s="163">
        <f>IF(I113="Lay",O113*(L113/(L113-1))-O113,IF(I112="Lay",O112*(L112/(L112-1))-O112,IF(OR(L114="",O114=""),"",IF($C114="1/2W",O114/2+O114/2*L114,IF($C114="1/2L",O114/2,(O114*L114-O114)*(1-_xlfn.XLOOKUP(K114,'Janeiro 2023 - Valor Real'!A3:A15,'Janeiro 2023 - Valor Real'!C3:C15,0))+O114)))))</f>
      </c>
      <c r="Q114" t="s" s="154"/>
      <c r="R114" t="s" s="163"/>
      <c r="S114" s="166"/>
      <c r="T114" s="155"/>
      <c r="U114" s="155"/>
      <c r="V114" s="166"/>
      <c r="W114" s="155"/>
      <c r="X114" s="167"/>
      <c r="Y114" s="128"/>
      <c r="Z114" s="129"/>
      <c r="AA114" s="129"/>
      <c r="AB114" s="129"/>
      <c r="AC114" s="129"/>
      <c r="AD114" s="168"/>
      <c r="AE114" t="s" s="169">
        <f>IF(L114="","",(SUM(((L112-1)*(1-_xlfn.XLOOKUP(K112,'Janeiro 2023 - Valor Real'!A3:A15,'Janeiro 2023 - Valor Real'!C3:C15,0))+1),((L113-1)*(1-_xlfn.XLOOKUP(K113,'Janeiro 2023 - Valor Real'!A3:A15,'Janeiro 2023 - Valor Real'!C3:C15,0))+1),((L114-1)*(1-_xlfn.XLOOKUP(K114,'Janeiro 2023 - Valor Real'!A3:A15,'Janeiro 2023 - Valor Real'!C3:C15,0))+1))/((L114-1)*(1-_xlfn.XLOOKUP(K114,'Janeiro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Real'!C3:C15,0))+1))/((L112-1)*(1-_xlfn.XLOOKUP(K112,'Janeiro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Real'!C3:C15,0))+1))/((L113-1)*(1-_xlfn.XLOOKUP(K113,'Janeiro 2023 - Valor Real'!A3:A15,'Janeiro 2023 - Valor Real'!C3:C15,0))+1)+SUM(((L112-1)*(1-_xlfn.XLOOKUP(K112,'Janeiro 2023 - Valor Real'!A3:A15,'Janeiro 2023 - Valor Real'!C3:C15,0))+1),((L113-1)*(1-_xlfn.XLOOKUP(K113,'Janeiro 2023 - Valor Real'!A3:A15,'Janeiro 2023 - Valor Real'!C3:C15,0))+1),((L114-1)*(1-_xlfn.XLOOKUP(K114,'Janeiro 2023 - Valor Real'!A3:A15,'Janeiro 2023 - Valor Real'!C3:C15,0))+1))/((L114-1)*(1-_xlfn.XLOOKUP(K114,'Janeiro 2023 - Valor Real'!A3:A15,'Janeiro 2023 - Valor Real'!C3:C15,0))+1)))</f>
      </c>
      <c r="AF114" s="132">
        <f>IF($K114=AF$3,ROUND(IF(OR($C114="W",$C114="1/2W",$C114="1/2L"),$P114-$O114,IF($C114="X",0,-$O114)),2),0)</f>
        <v>0</v>
      </c>
      <c r="AG114" s="133">
        <f>IF($K114=AG$3,ROUND(IF(OR($C114="W",$C114="1/2W",$C114="1/2L"),$P114-$O114,IF($C114="X",0,-$O114)),2),0)</f>
        <v>0</v>
      </c>
      <c r="AH114" s="133">
        <f>IF($K114=AH$3,ROUND(IF(OR($C114="W",$C114="1/2W",$C114="1/2L"),$P114-$O114,IF($C114="X",0,-$O114)),2),0)</f>
        <v>0</v>
      </c>
      <c r="AI114" s="133">
        <f>IF($K114=AI$3,ROUND(IF(OR($C114="W",$C114="1/2W",$C114="1/2L"),$P114-$O114,IF($C114="X",0,-$O114)),2),0)</f>
        <v>0</v>
      </c>
      <c r="AJ114" s="133">
        <f>IF($K114=AJ$3,ROUND(IF(OR($C114="W",$C114="1/2W",$C114="1/2L"),$P114-$O114,IF($C114="X",0,-$O114)),2),0)</f>
        <v>0</v>
      </c>
      <c r="AK114" s="133">
        <f>IF($K114=AK$3,ROUND(IF(OR($C114="W",$C114="1/2W",$C114="1/2L"),$P114-$O114,IF($C114="X",0,-$O114)),2),0)</f>
        <v>0</v>
      </c>
      <c r="AL114" s="133">
        <f>IF($K114=AL$3,ROUND(IF(OR($C114="W",$C114="1/2W",$C114="1/2L"),$P114-$O114,IF($C114="X",0,-$O114)),2),0)</f>
        <v>0</v>
      </c>
      <c r="AM114" s="133">
        <f>IF($K114=AM$3,ROUND(IF(OR($C114="W",$C114="1/2W",$C114="1/2L"),$P114-$O114,IF($C114="X",0,-$O114)),2),0)</f>
        <v>0</v>
      </c>
      <c r="AN114" s="133">
        <f>IF($K114=AN$3,ROUND(IF(OR($C114="W",$C114="1/2W",$C114="1/2L"),$P114-$O114,IF($C114="X",0,-$O114)),2),0)</f>
        <v>0</v>
      </c>
      <c r="AO114" s="133">
        <f>IF($K114=AO$3,ROUND(IF(OR($C114="W",$C114="1/2W",$C114="1/2L"),$P114-$O114,IF($C114="X",0,-$O114)),2),0)</f>
        <v>0</v>
      </c>
      <c r="AP114" s="133">
        <f>IF($K114=AP$3,ROUND(IF(OR($C114="W",$C114="1/2W",$C114="1/2L"),$P114-$O114,IF($C114="X",0,-$O114)),2),0)</f>
        <v>0</v>
      </c>
      <c r="AQ114" s="133">
        <f>IF($K114=AQ$3,ROUND(IF(OR($C114="W",$C114="1/2W",$C114="1/2L"),$P114-$O114,IF($C114="X",0,-$O114)),2),0)</f>
        <v>0</v>
      </c>
      <c r="AR114" s="134">
        <f>IF($K114=AR$3,ROUND(IF(OR($C114="W",$C114="1/2W",$C114="1/2L"),$P114-$O114,IF($C114="X",0,-$O114)),2),0)</f>
        <v>0</v>
      </c>
      <c r="AS114" s="132">
        <f>IF(AND($B112=" ",$K114=AS$3),$O114,0)</f>
        <v>0</v>
      </c>
      <c r="AT114" s="133">
        <f>IF(AND($B112=" ",K114=AT$3),$O114,0)</f>
        <v>0</v>
      </c>
      <c r="AU114" s="133">
        <f>IF(AND($B112=" ",$K114=AU$3),$O114,0)</f>
        <v>0</v>
      </c>
      <c r="AV114" s="133">
        <f>IF(AND($B112=" ",$K114=AV$3),$O114,0)</f>
        <v>0</v>
      </c>
      <c r="AW114" s="133">
        <f>IF(AND($B112=" ",$K114=AW$3),$O114,0)</f>
        <v>0</v>
      </c>
      <c r="AX114" s="133">
        <f>IF(AND($B112=" ",$K114=AX$3),$O114,0)</f>
        <v>0</v>
      </c>
      <c r="AY114" s="135">
        <f>IF(AND($B112=" ",$K114=AY$3),$O114,0)</f>
        <v>0</v>
      </c>
      <c r="AZ114" s="136">
        <f>IF(AND($B112=" ",$K114=AZ$3),$O114,0)</f>
        <v>0</v>
      </c>
      <c r="BA114" s="136">
        <f>IF(AND($B112=" ",$K114=BA$3),$O114,0)</f>
        <v>0</v>
      </c>
      <c r="BB114" s="136">
        <f>IF(AND($B112=" ",$K114=BB$3),$O114,0)</f>
        <v>0</v>
      </c>
      <c r="BC114" s="137">
        <f>IF(AND($B112=" ",$K114=BC$3),$O114,0)</f>
        <v>0</v>
      </c>
      <c r="BD114" s="133">
        <f>IF(AND($B112=" ",$K114=BD$3),$O114,0)</f>
        <v>0</v>
      </c>
      <c r="BE114" s="134">
        <f>IF(AND($B112=" ",$K114=BE$3),$O114,0)</f>
        <v>0</v>
      </c>
      <c r="BF114" s="132">
        <f>IF($K114=BF$3,IF($C114="X",0,$O114),0)</f>
        <v>0</v>
      </c>
      <c r="BG114" s="281">
        <f>IF($K114=BG$3,IF($C114="X",0,$O114),0)</f>
        <v>0</v>
      </c>
      <c r="BH114" s="133">
        <f>IF($K114=BH$3,IF($C114="X",0,$O114),0)</f>
        <v>0</v>
      </c>
      <c r="BI114" s="133">
        <f>IF($K114=BI$3,IF($C114="X",0,$O114),0)</f>
        <v>0</v>
      </c>
      <c r="BJ114" s="133">
        <f>IF($K114=BJ$3,IF($C114="X",0,$O114),0)</f>
        <v>0</v>
      </c>
      <c r="BK114" s="133">
        <f>IF($K114=BK$3,IF($C114="X",0,$O114),0)</f>
        <v>0</v>
      </c>
      <c r="BL114" s="133">
        <f>IF($K114=BL$3,IF($C114="X",0,$O114),0)</f>
        <v>0</v>
      </c>
      <c r="BM114" s="135">
        <f>IF($K114=BM$3,IF($C114="X",0,$O114),0)</f>
        <v>0</v>
      </c>
      <c r="BN114" s="136">
        <f>IF($K114=BN$3,IF($C114="X",0,$O114),0)</f>
        <v>0</v>
      </c>
      <c r="BO114" s="136">
        <f>IF($K114=BO$3,IF($C114="X",0,$O114),0)</f>
        <v>0</v>
      </c>
      <c r="BP114" s="136">
        <f>IF($K114=BP$3,IF($C114="X",0,$O114),0)</f>
        <v>0</v>
      </c>
      <c r="BQ114" s="137">
        <f>IF($K114=BQ$3,IF($C114="X",0,$O114),0)</f>
        <v>0</v>
      </c>
      <c r="BR114" s="134">
        <f>IF($K114=BR$3,IF($C114="X",0,$O114),0)</f>
        <v>0</v>
      </c>
      <c r="BS114" s="282"/>
      <c r="BT114" s="283"/>
      <c r="BU114" s="140"/>
      <c r="BV114" s="283"/>
      <c r="BW114" s="140"/>
      <c r="BX114" s="140"/>
      <c r="BY114" s="140"/>
      <c r="BZ114" s="283"/>
      <c r="CA114" s="140"/>
      <c r="CB114" s="140"/>
      <c r="CC114" s="140"/>
      <c r="CD114" s="141"/>
      <c r="CE114" s="142"/>
      <c r="CF114" s="284">
        <f>IF(CF$3=$K114,IF($C114="W",1,IF($C114="1/2W",0.5,0)),0)</f>
        <v>0</v>
      </c>
      <c r="CG114" s="285">
        <f>IF(CF$3=$K114,IF($C114="L",1,IF($C114="1/2L",0.5,0)),0)</f>
        <v>0</v>
      </c>
      <c r="CH114" s="285">
        <f>IF(CH$3=$K114,IF($C114="W",1,IF($C114="1/2W",0.5,0)),0)</f>
        <v>0</v>
      </c>
      <c r="CI114" s="285">
        <f>IF(CH$3=$K114,IF($C114="L",1,IF($C114="1/2L",0.5,0)),0)</f>
        <v>0</v>
      </c>
      <c r="CJ114" s="285">
        <f>IF(CJ$3=$K114,IF($C114="W",1,IF($C114="1/2W",0.5,0)),0)</f>
        <v>0</v>
      </c>
      <c r="CK114" s="285">
        <f>IF(CJ$3=$K114,IF($C114="L",1,IF($C114="1/2L",0.5,0)),0)</f>
        <v>0</v>
      </c>
      <c r="CL114" s="285">
        <f>IF(CL$3=$K114,IF($C114="W",1,IF($C114="1/2W",0.5,0)),0)</f>
        <v>0</v>
      </c>
      <c r="CM114" s="285">
        <f>IF(CL$3=$K114,IF($C114="L",1,IF($C114="1/2L",0.5,0)),0)</f>
        <v>0</v>
      </c>
      <c r="CN114" s="285">
        <f>IF(CN$3=$K114,IF($C114="W",1,IF($C114="1/2W",0.5,0)),0)</f>
        <v>0</v>
      </c>
      <c r="CO114" s="285">
        <f>IF(CN$3=$K114,IF($C114="L",1,IF($C114="1/2L",0.5,0)),0)</f>
        <v>0</v>
      </c>
      <c r="CP114" s="285">
        <f>IF(CP$3=$K114,IF($C114="W",1,IF($C114="1/2W",0.5,0)),0)</f>
        <v>0</v>
      </c>
      <c r="CQ114" s="285">
        <f>IF(CP$3=$K114,IF($C114="L",1,IF($C114="1/2L",0.5,0)),0)</f>
        <v>0</v>
      </c>
      <c r="CR114" s="285">
        <f>IF(CR$3=$K114,IF($C114="W",1,IF($C114="1/2W",0.5,0)),0)</f>
        <v>0</v>
      </c>
      <c r="CS114" s="285">
        <f>IF(CR$3=$K114,IF($C114="L",1,IF($C114="1/2L",0.5,0)),0)</f>
        <v>0</v>
      </c>
      <c r="CT114" s="145">
        <f>IF(CT$3=$K114,IF($C114="W",1,IF($C114="1/2W",0.5,0)),0)</f>
        <v>0</v>
      </c>
      <c r="CU114" s="146">
        <f>IF(CT$3=$K114,IF($C114="L",1,IF($C114="1/2L",0.5,0)),0)</f>
        <v>0</v>
      </c>
      <c r="CV114" s="146">
        <f>IF(CV$3=$K114,IF($C114="W",1,IF($C114="1/2W",0.5,0)),0)</f>
        <v>0</v>
      </c>
      <c r="CW114" s="146">
        <f>IF(CV$3=$K114,IF($C114="L",1,IF($C114="1/2L",0.5,0)),0)</f>
        <v>0</v>
      </c>
      <c r="CX114" s="146">
        <f>IF(CX$3=$K114,IF($C114="W",1,IF($C114="1/2W",0.5,0)),0)</f>
        <v>0</v>
      </c>
      <c r="CY114" s="146">
        <f>IF(CX$3=$K114,IF($C114="L",1,IF($C114="1/2L",0.5,0)),0)</f>
        <v>0</v>
      </c>
      <c r="CZ114" s="146">
        <f>IF(CZ$3=$K114,IF($C114="W",1,IF($C114="1/2W",0.5,0)),0)</f>
        <v>0</v>
      </c>
      <c r="DA114" s="146">
        <f>IF(CZ$3=$K114,IF($C114="L",1,IF($C114="1/2L",0.5,0)),0)</f>
        <v>0</v>
      </c>
      <c r="DB114" s="146">
        <f>IF(DB$3=$K114,IF($C114="W",1,IF($C114="1/2W",0.5,0)),0)</f>
        <v>0</v>
      </c>
      <c r="DC114" s="146">
        <f>IF(DB$3=$K114,IF($C114="L",1,IF($C114="1/2L",0.5,0)),0)</f>
        <v>0</v>
      </c>
      <c r="DD114" s="146">
        <f>IF(DD$3=$K114,IF($C114="W",1,IF($C114="1/2W",0.5,0)),0)</f>
        <v>0</v>
      </c>
      <c r="DE114" s="147">
        <f>IF(DD$3=$K114,IF($C114="L",1,IF($C114="1/2L",0.5,0)),0)</f>
        <v>0</v>
      </c>
      <c r="DF114" s="143">
        <f>IF(AND(L114&lt;DF$3,$C114="W"),1+DF113,DF113)</f>
        <v>7</v>
      </c>
      <c r="DG114" s="133">
        <f>IF(DF114&gt;DF113,L114+DG113,DG113)</f>
        <v>9.247999999999999</v>
      </c>
      <c r="DH114" s="146">
        <f>IF(AND(L114&gt;DH$3,$C114="W"),1+DH113,0+DH113)</f>
        <v>1</v>
      </c>
      <c r="DI114" s="133">
        <f>IF(DH114&gt;DH113,L114+DI113,DI113)</f>
        <v>4.33</v>
      </c>
      <c r="DJ114" t="s" s="304">
        <f>IF($D112="","",$D112)</f>
        <v>101</v>
      </c>
      <c r="DK114" s="286"/>
    </row>
    <row r="115" ht="14.55" customHeight="1">
      <c r="A115" s="171">
        <f>$A112+1</f>
        <v>38</v>
      </c>
      <c r="B115" t="s" s="172">
        <f>IF(AND(_xlfn.XLOOKUP(H115,H32:H$84,G32:G$84,0)=G115,_xlfn.XLOOKUP("TempoBet",K115:K117,L115:L117,0)&gt;0),"X",IF(OR(C115="W",C116="W",C117="W",C115="1/2W",C116="1/2W",C117="1/2W",C115="1/2L",C116="1/2L",C117="1/2L"),"OK",IF(OR(C115="L",C116="L",C117="L"),"LOSS",IF(OR(C115="X",C116="X",C117="X"),"Anulado"," "))))</f>
        <v>50</v>
      </c>
      <c r="C115" t="s" s="173">
        <v>56</v>
      </c>
      <c r="D115" t="s" s="305">
        <f>IF(G115="","",$D112)</f>
        <v>101</v>
      </c>
      <c r="E115" t="s" s="175">
        <f>IF(G115=""," ","– "&amp;COUNTIF(D$4:D117,$D115))</f>
        <v>152</v>
      </c>
      <c r="F115" t="s" s="176">
        <f>IF(G115="","",IF(OR(AND($C115&lt;&gt;" ",$C116=" "),AND($C116&lt;&gt;" ",$C115=" "),AND(L117&gt;0,OR(AND($C117&lt;&gt;" ",OR($C115=" ",$C116=" ")),AND($C117=" ",OR($C115&lt;&gt;" ",$C116&lt;&gt;" "))))),IF(SUM(F$4:F114)=0,1,LARGE(F$4:F114,1)+1),IF(MONTH(G115)=MONTH(TODAY()),IF(AND(DAY(G115)&lt;DAY(TODAY()),$B115=" "),IF(SUM(F$4:F114)=0,1,LARGE(F$4:F114,1)+1),IF($B115=" ",IF(AND(DAY(G115)=DAY(TODAY()),HOUR(G115)&lt;=HOUR(NOW())+1),IF(AND(HOUR(G115)+2&lt;=HOUR(NOW()),DAY(G115)&lt;=DAY(TODAY()),MINUTE(G115)&lt;=MINUTE(NOW())),IF(SUM(F$4:F114)=0,1,LARGE(F$4:F114,1)+1),IF(OR(MINUTE(G115)&lt;=MINUTE(NOW()),HOUR(G115)&lt;=HOUR(NOW())),"!!!","")),""),"")),"")))</f>
      </c>
      <c r="G115" s="177">
        <v>44944.833333333336</v>
      </c>
      <c r="H115" t="s" s="178">
        <v>153</v>
      </c>
      <c r="I115" t="s" s="179">
        <v>54</v>
      </c>
      <c r="J115" s="291">
        <v>-2.25</v>
      </c>
      <c r="K115" t="s" s="181">
        <v>48</v>
      </c>
      <c r="L115" s="182">
        <v>2.05</v>
      </c>
      <c r="M115" s="183"/>
      <c r="N115" s="184">
        <v>0</v>
      </c>
      <c r="O115" s="185">
        <f>IF(OR(AE115="",AE116=""),"",ROUND(IF(L117&gt;0,IF(M115&gt;0,M115,IF(M116&gt;0,ROUND((M116*AE115)/AE116,IF(N115=0,2,IF(N115=0.1,1,0))),ROUND((M117*AE115)/AE117,IF(N115=0,2,IF(N115=0.1,1,0))))),IF(M115&gt;0,M115,ROUND((M116*AE115)/AE116,IF(N115=0,2,IF(N115=0.1,1,0))))),2))</f>
        <v>10.34</v>
      </c>
      <c r="P115" s="186">
        <f>IF(OR(L115="",O115=""),"",IF($C115="1/2W",O115/2+O115/2*L115,IF($C115="1/2L",O115/2,IF(I115="Lay",(O115*(L115/(L115-1))-O115)*(1-_xlfn.XLOOKUP(K115,'Janeiro 2023 - Valor Real'!A3:A15,'Janeiro 2023 - Valor Real'!C3:C15,0))+O115,(O115*L115-O115)*(1-_xlfn.XLOOKUP(K115,'Janeiro 2023 - Valor Real'!A3:A15,'Janeiro 2023 - Valor Real'!C3:C15,0))+O115))))</f>
        <v>21.197</v>
      </c>
      <c r="Q115" s="187">
        <f>IF(K115="","",IF(_xlfn.XLOOKUP(K115,K32:K$84,DJ32:DJ$84,0,,-1)=DJ115,_xlfn.XLOOKUP(K115,K32:K$84,Q32:Q$84,1,,-1)+1,1))</f>
        <v>3</v>
      </c>
      <c r="R115" s="188">
        <f>IF(K115="","",_xlfn.XLOOKUP(K115,K32:K$84,R32:R$84,0,,-1)+IF($C115=" ",1,0))</f>
        <v>0</v>
      </c>
      <c r="S115" s="189">
        <f>IF($B115="Anulado",0,ROUND(IF(OR($B115="LOSS",$B115="OK"),IF(OR($C115="W",$C115="1/2W",$C115="1/2L"),P115-O115,IF($C115="L",-O115,0))+IF(OR($C116="W",$C116="1/2W",$C116="1/2L"),P116-O116,IF($C116="L",-O116,0))+IF(OR($C117="W",$C117="1/2W",$C117="1/2L"),P117-O117,IF($C117="L",-O117,0)),IF(AND(OR($C115="W",$C115="1/2W",$C115="1/2L"),C116="W"),P115+P116-SUM(O115:O117)+_xlfn.XLOOKUP("X",C115:C117,O115:O117,0),IF(AND(C115=TRUE,C117="W"),P115+P117-SUM(O115:O117),IF(AND(C116="W",C117="W"),P116+P117-SUM(O115:O117)+_xlfn.XLOOKUP("X",C115:C117,O115:O117,0),IF(L117&gt;0,IF(OR($C115="W",$C115="1/2W",$C115="1/2L"),P115-SUM(O115:O117)+_xlfn.XLOOKUP("X",C115:C117,O115:O117,0),IF(OR($C115="W",$C115="1/2W",$C115="1/2L"),P116-SUM(O115:O117)+_xlfn.XLOOKUP("X",C115:C117,O115:O117,0),IF(OR($C115="W",$C115="1/2W",$C115="1/2L"),P117-SUM(O115:O117)+_xlfn.XLOOKUP("X",C115:C117,O115:O117,0),IF(SUM(P115:P117)/3-SUM(O115:O117)+_xlfn.XLOOKUP("X",C115:C117,O115:O117,0)&gt;0,SUM(P115:P117)/3-SUM(O115:O117)+_xlfn.XLOOKUP("X",C115:C117,O115:O117,0),LARGE(P115:P117,1)-SUM(O115:O117))))),IF(OR($C115="W",$C115="1/2W",$C115="1/2L"),P115-SUM(O115:O116)+_xlfn.XLOOKUP("X",C115:C117,O115:O117,0),IF(OR($C115="W",$C115="1/2W",$C115="1/2L"),P116-SUM(O115:O116)+_xlfn.XLOOKUP("X",C115:C117,O115:O117,0),SUM(P115:P116)/2-SUM(O115:O116)+_xlfn.XLOOKUP("X",C115:C117,O115:O117,0)))))))),2))</f>
        <v>0.26</v>
      </c>
      <c r="T115" s="190">
        <f>IF(S115=0,0,S115/SUM(O115:O117))</f>
        <v>0.0124164278892073</v>
      </c>
      <c r="U115" s="191">
        <f>IF($D115=$D112,IF(OR($B115="LOSS",$B115="OK",$B115="Anulada"),S115,0)+U112,IF(OR($B115="LOSS",$B115="OK",$B115="Anulada"),S115,0))</f>
        <v>25.34</v>
      </c>
      <c r="V115" s="191">
        <f>IF($D115="",0,IF($D115=$D112,IF($B115=" ",IF(I117="",IF(OR(AND(I115="DNB1",I116="DNB2"),AND(OR(I115="DNB1",I115="DNB2"),J116=0),AND(OR(I116="DNB1",I116="DNB2"),J115=0),AND(I115="DNB2",I116="DNB1"),AND(IF(J115=0,(J115+1)/ROUND(J115+1,0),J115/ROUND(J115,0))=1,IF(J116=0,(J116+1)/ROUND(IF(J116="",0,J116)+1,0),IF(J116="",0,J116)/ROUND(IF(J116="",1,J116),0))=1,OR(J115&lt;&gt;""),J116&lt;&gt;"")),0,IF(S115&lt;0,IF(I117="",SMALL(P115:P116,1)-SUM(O115:O116),0),SMALL(P115:P116,1)-SUM(O115:O116))),IF(S115&lt;0,IF(I117="",SMALL(P115:P117,1)-SUM(O115:O117),0),LARGE(P115:P117,1)-SUM(O115:O117))),S115)+V112,IF(I117="",IF(OR(AND(I115="DNB1",I116="DNB2"),AND(OR(I115="DNB1",I115="DNB2"),J116=0),AND(OR(I116="DNB1",I116="DNB2"),J115=0),AND(I115="DNB2",I116="DNB1"),AND(IF(J115=0,(J115+1)/ROUND(J115+1,0),J115/ROUND(J115,0))=1,IF(J116=0,(IF(J116="",0,J116)+1)/ROUND(IF(J116="",0,J116)+1,0),IF(J116="",0,J116)/ROUND(IF(J116="",0,J116)+1,0))=1,OR(J115&lt;&gt;""),J116&lt;&gt;"")),0,IF(S115&lt;0,IF(I117="",SMALL(P115:P116,1)-SUM(O115:O116),0),SMALL(P115:P117,1)-SUM(O115:O117))),IF(S115&lt;0,IF(I117="",SMALL(P115:P117,1)-SUM(O115:O117),0),LARGE(P115:P117,1)-SUM(O115:O117)))))</f>
        <v>25.342</v>
      </c>
      <c r="W115" s="191">
        <f>IF($D115=$D112,IF(S115&lt;0,IF(I117="",S115,0),S115)+W112,S115)</f>
        <v>25.34</v>
      </c>
      <c r="X115" t="s" s="192">
        <f>IF(OR(SUM(R115:R117)=0,V115=W115),ROUND(IF(W115=0,0,W115/Y115)*100,2)&amp;"%",ROUND(IF(V115=0,0,V115/Y115)*100,2)&amp;"% a "&amp;ROUND(IF(W115=0,0,W115/Y115)*100,2)&amp;"%")</f>
        <v>154</v>
      </c>
      <c r="Y115" s="193">
        <f>IF($D115=$D112,Y112+SUM(O115:O117),SUM(O115:O117))</f>
        <v>699.9299999999999</v>
      </c>
      <c r="Z115" s="191">
        <f>IF($B115=" ",SUM(O115:O117),0)+Z112</f>
        <v>0</v>
      </c>
      <c r="AA115" s="191">
        <f>IF(G115="","",IF($B115="Anulado",LARGE(P115:P117,1)-SUM(O115:O117)+AA112,AA112))</f>
        <v>11.4028</v>
      </c>
      <c r="AB115" s="191">
        <f>IF($D115="","",AB112+S115)</f>
        <v>103.44</v>
      </c>
      <c r="AC115" s="194">
        <f>IF($D115="","",IF($B115=" ",IF(DAY(G115)=DAY(TODAY()),1+AC112,0+AC112),0+AC112))</f>
        <v>0</v>
      </c>
      <c r="AD115" s="195">
        <f>(((L116/(L116-1)-1)*(1-_xlfn.XLOOKUP(K116,'Janeiro 2023 - Valor Real'!A3:A15,'Janeiro 2023 - Valor Real'!C3:C15,0))+1))/(((L115-1)*(1-_xlfn.XLOOKUP(K115,'Janeiro 2023 - Valor Real'!A3:A15,'Janeiro 2023 - Valor Real'!C3:C15,0))+1)+((L116/(L116-1)-1)*(1-_xlfn.XLOOKUP(K116,'Janeiro 2023 - Valor Real'!A3:A15,'Janeiro 2023 - Valor Real'!C3:C15,0))+1))</f>
        <v>0.493827160493827</v>
      </c>
      <c r="AE115" s="196">
        <f>IF(L115="","",IF(L117&gt;0,(SUM(((L115-1)*(1-_xlfn.XLOOKUP(K115,'Janeiro 2023 - Valor Real'!A3:A15,'Janeiro 2023 - Valor Real'!C3:C15,0))+1),((L116-1)*(1-_xlfn.XLOOKUP(K116,'Janeiro 2023 - Valor Real'!A3:A15,'Janeiro 2023 - Valor Real'!C3:C15,0))+1),((L117-1)*(1-_xlfn.XLOOKUP(K117,'Janeiro 2023 - Valor Real'!A3:A15,'Janeiro 2023 - Valor Real'!C3:C15,0))+1))/((L115-1)*(1-_xlfn.XLOOKUP(K115,'Janeiro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Real'!C3:C15,0))+1))/((L115-1)*(1-_xlfn.XLOOKUP(K115,'Janeiro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Real'!C3:C15,0))+1))/((L116-1)*(1-_xlfn.XLOOKUP(K116,'Janeiro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Real'!C3:C15,0))+1))/((L117-1)*(1-_xlfn.XLOOKUP(K117,'Janeiro 2023 - Valor Real'!A3:A15,'Janeiro 2023 - Valor Real'!C3:C15,0))+1)),IF(I115="Lay",IF(I116="Lay",((L116/(L116-1)-1)*(1-_xlfn.XLOOKUP(K116,'Janeiro 2023 - Valor Real'!A3:A15,'Janeiro 2023 - Valor Real'!C3:C15,0))+1)/(((L116/(L116-1)-1)*(1-_xlfn.XLOOKUP(K116,'Janeiro 2023 - Valor Real'!A3:A15,'Janeiro 2023 - Valor Real'!C3:C15,0))+1)+((L115/(L115-1)-1)*(1-_xlfn.XLOOKUP(K115,'Janeiro 2023 - Valor Real'!A3:A15,'Janeiro 2023 - Valor Real'!C3:C15,0))+1)),((L116-1)*(1-_xlfn.XLOOKUP(K116,'Janeiro 2023 - Valor Real'!A3:A15,'Janeiro 2023 - Valor Real'!C3:C15,0))+1)/(((L116-1)*(1-_xlfn.XLOOKUP(K116,'Janeiro 2023 - Valor Real'!A3:A15,'Janeiro 2023 - Valor Real'!C3:C15,0))+1)+((L115/(L115-1)-1)*(1-_xlfn.XLOOKUP(K115,'Janeiro 2023 - Valor Real'!A3:A15,'Janeiro 2023 - Valor Real'!C3:C15,0))+1))),IF(I116="Lay",(((L116/(L116-1)-1)*(1-_xlfn.XLOOKUP(K116,'Janeiro 2023 - Valor Real'!A3:A15,'Janeiro 2023 - Valor Real'!C3:C15,0))+1))/(((L115-1)*(1-_xlfn.XLOOKUP(K115,'Janeiro 2023 - Valor Real'!A3:A15,'Janeiro 2023 - Valor Real'!C3:C15,0))+1)+((L116/(L116-1)-1)*(1-_xlfn.XLOOKUP(K116,'Janeiro 2023 - Valor Real'!A3:A15,'Janeiro 2023 - Valor Real'!C3:C15,0))+1)),((L116-1)*(1-_xlfn.XLOOKUP(K116,'Janeiro 2023 - Valor Real'!A3:A15,'Janeiro 2023 - Valor Real'!C3:C15,0))+1)/(((L116-1)*(1-_xlfn.XLOOKUP(K116,'Janeiro 2023 - Valor Real'!A3:A15,'Janeiro 2023 - Valor Real'!C3:C15,0))+1)+((L115-1)*(1-_xlfn.XLOOKUP(K115,'Janeiro 2023 - Valor Real'!A3:A15,'Janeiro 2023 - Valor Real'!C3:C15,0))+1))))))</f>
        <v>0.493827160493827</v>
      </c>
      <c r="AF115" s="197">
        <f>IF($K115=AF$3,ROUND(IF(OR($C115="W",$C115="1/2W",$C115="1/2L"),$P115-$O115,IF($C115="X",0,-$O115)),2),0)</f>
        <v>0</v>
      </c>
      <c r="AG115" s="198">
        <f>IF($K115=AG$3,ROUND(IF(OR($C115="W",$C115="1/2W",$C115="1/2L"),$P115-$O115,IF($C115="X",0,-$O115)),2),0)</f>
        <v>0</v>
      </c>
      <c r="AH115" s="198">
        <f>IF($K115=AH$3,ROUND(IF(OR($C115="W",$C115="1/2W",$C115="1/2L"),$P115-$O115,IF($C115="X",0,-$O115)),2),0)</f>
        <v>0</v>
      </c>
      <c r="AI115" s="198">
        <f>IF($K115=AI$3,ROUND(IF(OR($C115="W",$C115="1/2W",$C115="1/2L"),$P115-$O115,IF($C115="X",0,-$O115)),2),0)</f>
        <v>0</v>
      </c>
      <c r="AJ115" s="198">
        <f>IF($K115=AJ$3,ROUND(IF(OR($C115="W",$C115="1/2W",$C115="1/2L"),$P115-$O115,IF($C115="X",0,-$O115)),2),0)</f>
        <v>0</v>
      </c>
      <c r="AK115" s="198">
        <f>IF($K115=AK$3,ROUND(IF(OR($C115="W",$C115="1/2W",$C115="1/2L"),$P115-$O115,IF($C115="X",0,-$O115)),2),0)</f>
        <v>0</v>
      </c>
      <c r="AL115" s="198">
        <f>IF($K115=AL$3,ROUND(IF(OR($C115="W",$C115="1/2W",$C115="1/2L"),$P115-$O115,IF($C115="X",0,-$O115)),2),0)</f>
        <v>0</v>
      </c>
      <c r="AM115" s="198">
        <f>IF($K115=AM$3,ROUND(IF(OR($C115="W",$C115="1/2W",$C115="1/2L"),$P115-$O115,IF($C115="X",0,-$O115)),2),0)</f>
        <v>0</v>
      </c>
      <c r="AN115" s="198">
        <f>IF($K115=AN$3,ROUND(IF(OR($C115="W",$C115="1/2W",$C115="1/2L"),$P115-$O115,IF($C115="X",0,-$O115)),2),0)</f>
        <v>0</v>
      </c>
      <c r="AO115" s="198">
        <f>IF($K115=AO$3,ROUND(IF(OR($C115="W",$C115="1/2W",$C115="1/2L"),$P115-$O115,IF($C115="X",0,-$O115)),2),0)</f>
        <v>0</v>
      </c>
      <c r="AP115" s="198">
        <f>IF($K115=AP$3,ROUND(IF(OR($C115="W",$C115="1/2W",$C115="1/2L"),$P115-$O115,IF($C115="X",0,-$O115)),2),0)</f>
        <v>0</v>
      </c>
      <c r="AQ115" s="198">
        <f>IF($K115=AQ$3,ROUND(IF(OR($C115="W",$C115="1/2W",$C115="1/2L"),$P115-$O115,IF($C115="X",0,-$O115)),2),0)</f>
        <v>10.86</v>
      </c>
      <c r="AR115" s="199">
        <f>IF($K115=AR$3,ROUND(IF(OR($C115="W",$C115="1/2W",$C115="1/2L"),$P115-$O115,IF($C115="X",0,-$O115)),2),0)</f>
        <v>0</v>
      </c>
      <c r="AS115" s="197">
        <f>IF(AND($B115=" ",$K115=AS$3),$O115,0)</f>
        <v>0</v>
      </c>
      <c r="AT115" s="198">
        <f>IF(AND($B115=" ",$K115=AT$3),$O115,0)</f>
        <v>0</v>
      </c>
      <c r="AU115" s="198">
        <f>IF(AND($B115=" ",$K115=AU$3),$O115,0)</f>
        <v>0</v>
      </c>
      <c r="AV115" s="198">
        <f>IF(AND($B115=" ",$K115=AV$3),$O115,0)</f>
        <v>0</v>
      </c>
      <c r="AW115" s="198">
        <f>IF(AND($B115=" ",$K115=AW$3),$O115,0)</f>
        <v>0</v>
      </c>
      <c r="AX115" s="198">
        <f>IF(AND($B115=" ",$K115=AX$3),$O115,0)</f>
        <v>0</v>
      </c>
      <c r="AY115" s="200">
        <f>IF(AND($B115=" ",$K115=AY$3),$O115,0)</f>
        <v>0</v>
      </c>
      <c r="AZ115" s="201">
        <f>IF(AND($B115=" ",$K115=AZ$3),$O115,0)</f>
        <v>0</v>
      </c>
      <c r="BA115" s="201">
        <f>IF(AND($B115=" ",$K115=BA$3),$O115,0)</f>
        <v>0</v>
      </c>
      <c r="BB115" s="201">
        <f>IF(AND($B115=" ",$K115=BB$3),$O115,0)</f>
        <v>0</v>
      </c>
      <c r="BC115" s="202">
        <f>IF(AND($B115=" ",$K115=BC$3),$O115,0)</f>
        <v>0</v>
      </c>
      <c r="BD115" s="198">
        <f>IF(AND($B115=" ",$K115=BD$3),$O115,0)</f>
        <v>0</v>
      </c>
      <c r="BE115" s="199">
        <f>IF(AND($B115=" ",$K115=BE$3),$O115,0)</f>
        <v>0</v>
      </c>
      <c r="BF115" s="203">
        <f>IF($K115=BF$3,IF($C115="X",0,$O115),0)</f>
        <v>0</v>
      </c>
      <c r="BG115" s="198">
        <f>IF($K115=BG$3,IF($C115="X",0,$O115),0)</f>
        <v>0</v>
      </c>
      <c r="BH115" s="198">
        <f>IF($K115=BH$3,IF($C115="X",0,$O115),0)</f>
        <v>0</v>
      </c>
      <c r="BI115" s="198">
        <f>IF($K115=BI$3,IF($C115="X",0,$O115),0)</f>
        <v>0</v>
      </c>
      <c r="BJ115" s="198">
        <f>IF($K115=BJ$3,IF($C115="X",0,$O115),0)</f>
        <v>0</v>
      </c>
      <c r="BK115" s="198">
        <f>IF($K115=BK$3,IF($C115="X",0,$O115),0)</f>
        <v>0</v>
      </c>
      <c r="BL115" s="198">
        <f>IF($K115=BL$3,IF($C115="X",0,$O115),0)</f>
        <v>0</v>
      </c>
      <c r="BM115" s="200">
        <f>IF($K115=BM$3,IF($C115="X",0,$O115),0)</f>
        <v>0</v>
      </c>
      <c r="BN115" s="201">
        <f>IF($K115=BN$3,IF($C115="X",0,$O115),0)</f>
        <v>0</v>
      </c>
      <c r="BO115" s="201">
        <f>IF($K115=BO$3,IF($C115="X",0,$O115),0)</f>
        <v>0</v>
      </c>
      <c r="BP115" s="201">
        <f>IF($K115=BP$3,IF($C115="X",0,$O115),0)</f>
        <v>0</v>
      </c>
      <c r="BQ115" s="202">
        <f>IF($K115=BQ$3,IF($C115="X",0,$O115),0)</f>
        <v>10.34</v>
      </c>
      <c r="BR115" s="199">
        <f>IF($K115=BR$3,IF($C115="X",0,$O115),0)</f>
        <v>0</v>
      </c>
      <c r="BS115" s="204">
        <f>IF($B115="LOSS",IF(AND($K115=BS$3,$C115="L"),-$O115,0)+IF(AND($K116=BS$3,$C116="L"),-$O116,0)+IF(AND($K117=BS$3,$C117="L"),-$O117,0),IF(OR(AND($K115=BS$3,OR($C115="W",$C115="1/2W")),AND($K116=BS$3,OR($C116="W",$C116="1/2W")),AND($K117=BS$3,OR($C117="W",$C117="1/2W"))),$S115,0))</f>
        <v>0</v>
      </c>
      <c r="BT115" s="201">
        <f>IF($B115="LOSS",IF(AND($K115=BT$3,$C115="L"),-$O115,0)+IF(AND($K116=BT$3,$C116="L"),-$O116,0)+IF(AND($K116=BT$3,$C117="L"),-$O117,0),IF(OR(AND($K116=BT$3,OR($C115="W",$C115="1/2W")),AND($K116=BT$3,OR($C116="W",$C116="1/2W")),AND($K116=BT$3,OR($C117="W",$C117="1/2W"))),$S115,0))</f>
        <v>0</v>
      </c>
      <c r="BU115" s="201">
        <f>IF($B115="LOSS",IF(AND($K115=BU$3,$C115="L"),-$O115,0)+IF(AND($K116=BU$3,$C116="L"),-$O116,0)+IF(AND($K116=BU$3,$C117="L"),-$O117,0),IF(OR(AND($K116=BU$3,OR($C115="W",$C115="1/2W")),AND($K116=BU$3,OR($C116="W",$C116="1/2W")),AND($K116=BU$3,OR($C117="W",$C117="1/2W"))),$S115,0))</f>
        <v>0</v>
      </c>
      <c r="BV115" s="201">
        <f>IF($B115="LOSS",IF(AND($K115=BV$3,$C115="L"),-$O115,0)+IF(AND($K116=BV$3,$C116="L"),-$O116,0)+IF(AND($K117=BV$3,$C117="L"),-$O117,0),IF(OR(AND($K115=BV$3,OR($C115="W",$C115="1/2W")),AND($K116=BV$3,OR($C116="W",$C116="1/2W")),AND($K117=BV$3,OR($C117="W",$C117="1/2W"))),$S115,0))</f>
        <v>0</v>
      </c>
      <c r="BW115" s="201">
        <f>IF($B115="LOSS",IF(AND($K115=BW$3,$C115="L"),-$O115,0)+IF(AND($K116=BW$3,$C116="L"),-$O116,0)+IF(AND($K117=BW$3,$C117="L"),-$O117,0),IF(OR(AND($K115=BW$3,OR($C115="W",$C115="1/2W")),AND($K116=BW$3,OR($C116="W",$C116="1/2W")),AND($K117=BW$3,OR($C117="W",$C117="1/2W"))),$S115,0))</f>
        <v>0</v>
      </c>
      <c r="BX115" s="201">
        <f>IF($B115="LOSS",IF(AND($K115=BX$3,$C115="L"),-$O115,0)+IF(AND($K116=BX$3,$C116="L"),-$O116,0)+IF(AND($K117=BX$3,$C117="L"),-$O117,0),IF(OR(AND($K115=BX$3,OR($C115="W",$C115="1/2W")),AND($K116=BX$3,OR($C116="W",$C116="1/2W")),AND($K117=BX$3,OR($C117="W",$C117="1/2W"))),$S115,0))</f>
        <v>0</v>
      </c>
      <c r="BY115" s="201">
        <f>IF($B115="LOSS",IF(AND($K115=BY$3,$C115="L"),-$O115,0)+IF(AND($K116=BY$3,$C116="L"),-$O116,0)+IF(AND($K117=BY$3,$C117="L"),-$O117,0),IF(OR(AND($K115=BY$3,OR($C115="W",$C115="1/2W")),AND($K116=BY$3,OR($C116="W",$C116="1/2W")),AND($K117=BY$3,OR($C117="W",$C117="1/2W"))),$S115,0))</f>
        <v>0</v>
      </c>
      <c r="BZ115" s="205">
        <f>IF($B115="LOSS",IF(AND($K115=BZ$3,$C115="L"),-$O115,0)+IF(AND($K116=BZ$3,$C116="L"),-$O116,0)+IF(AND($K117=BZ$3,$C117="L"),-$O117,0),IF(OR(AND($K115=BZ$3,OR($C115="W",$C115="1/2W")),AND($K116=BZ$3,OR($C116="W",$C116="1/2W")),AND($K117=BZ$3,OR($C117="W",$C117="1/2W"))),$S115,0))</f>
        <v>0</v>
      </c>
      <c r="CA115" s="205">
        <f>IF($B115="LOSS",IF(AND($K115=CA$3,$C115="L"),-$O115,0)+IF(AND($K116=CA$3,$C116="L"),-$O116,0)+IF(AND($K117=CA$3,$C117="L"),-$O117,0),IF(OR(AND($K115=CA$3,OR($C115="W",$C115="1/2W")),AND($K116=CA$3,OR($C116="W",$C116="1/2W")),AND($K117=CA$3,OR($C117="W",$C117="1/2W"))),$S115,0))</f>
        <v>0</v>
      </c>
      <c r="CB115" s="205">
        <f>IF($B115="LOSS",IF(AND($K115=CB$3,$C115="L"),-$O115,0)+IF(AND($K116=CB$3,$C116="L"),-$O116,0)+IF(AND($K117=CB$3,$C117="L"),-$O117,0),IF(OR(AND($K115=CB$3,OR($C115="W",$C115="1/2W")),AND($K116=CB$3,OR($C116="W",$C116="1/2W")),AND($K117=CB$3,OR($C117="W",$C117="1/2W"))),$S115,0))</f>
        <v>0</v>
      </c>
      <c r="CC115" s="205">
        <f>IF($B115="LOSS",IF(AND($K115=CC$3,$C115="L"),-$O115,0)+IF(AND($K116=CC$3,$C116="L"),-$O116,0)+IF(AND($K117=CC$3,$C117="L"),-$O117,0),IF(OR(AND($K115=CC$3,OR($C115="W",$C115="1/2W")),AND($K116=CC$3,OR($C116="W",$C116="1/2W")),AND($K117=CC$3,OR($C117="W",$C117="1/2W"))),$S115,0))</f>
        <v>0</v>
      </c>
      <c r="CD115" s="202">
        <f>IF($B115="LOSS",IF(AND($K115=CD$3,$C115="L"),-$O115,0)+IF(AND($K116=CD$3,$C116="L"),-$O116,0)+IF(AND($K117=CD$3,$C117="L"),-$O117,0),IF(OR(AND($K115=CD$3,OR($C115="W",$C115="1/2W")),AND($K116=CD$3,OR($C116="W",$C116="1/2W")),AND($K117=CD$3,OR($C117="W",$C117="1/2W"))),$S115,0))</f>
        <v>0.26</v>
      </c>
      <c r="CE115" s="199">
        <f>IF($B115="LOSS",IF(AND($K115=CE$3,$C115="L"),-$O115,0)+IF(AND($K116=CE$3,$C116="L"),-$O116,0)+IF(AND($K117=CE$3,$C117="L"),-$O117,0),IF(OR(AND($K115=CE$3,OR($C115="W",$C115="1/2W")),AND($K116=CE$3,OR($C116="W",$C116="1/2W")),AND($K117=CE$3,OR($C117="W",$C117="1/2W"))),$S115,0))</f>
        <v>0</v>
      </c>
      <c r="CF115" s="206">
        <f>IF(CF$3=$K115,IF($C115="W",1,IF($C115="1/2W",0.5,0)),0)</f>
        <v>0</v>
      </c>
      <c r="CG115" s="207">
        <f>IF(CF$3=$K115,IF($C115="L",1,IF($C115="1/2L",0.5,0)),0)</f>
        <v>0</v>
      </c>
      <c r="CH115" s="207">
        <f>IF(CH$3=$K115,IF($C115="W",1,IF($C115="1/2W",0.5,0)),0)</f>
        <v>0</v>
      </c>
      <c r="CI115" s="207">
        <f>IF(CH$3=$K115,IF($C115="L",1,IF($C115="1/2L",0.5,0)),0)</f>
        <v>0</v>
      </c>
      <c r="CJ115" s="207">
        <f>IF(CJ$3=$K115,IF($C115="W",1,IF($C115="1/2W",0.5,0)),0)</f>
        <v>0</v>
      </c>
      <c r="CK115" s="207">
        <f>IF(CJ$3=$K115,IF($C115="L",1,IF($C115="1/2L",0.5,0)),0)</f>
        <v>0</v>
      </c>
      <c r="CL115" s="207">
        <f>IF(CL$3=$K115,IF($C115="W",1,IF($C115="1/2W",0.5,0)),0)</f>
        <v>0</v>
      </c>
      <c r="CM115" s="207">
        <f>IF(CL$3=$K115,IF($C115="L",1,IF($C115="1/2L",0.5,0)),0)</f>
        <v>0</v>
      </c>
      <c r="CN115" s="207">
        <f>IF(CN$3=$K115,IF($C115="W",1,IF($C115="1/2W",0.5,0)),0)</f>
        <v>0</v>
      </c>
      <c r="CO115" s="207">
        <f>IF(CN$3=$K115,IF($C115="L",1,IF($C115="1/2L",0.5,0)),0)</f>
        <v>0</v>
      </c>
      <c r="CP115" s="207">
        <f>IF(CP$3=$K115,IF($C115="W",1,IF($C115="1/2W",0.5,0)),0)</f>
        <v>0</v>
      </c>
      <c r="CQ115" s="207">
        <f>IF(CP$3=$K115,IF($C115="L",1,IF($C115="1/2L",0.5,0)),0)</f>
        <v>0</v>
      </c>
      <c r="CR115" s="207">
        <f>IF(CR$3=$K115,IF($C115="W",1,IF($C115="1/2W",0.5,0)),0)</f>
        <v>0</v>
      </c>
      <c r="CS115" s="207">
        <f>IF(CR$3=$K115,IF($C115="L",1,IF($C115="1/2L",0.5,0)),0)</f>
        <v>0</v>
      </c>
      <c r="CT115" s="208">
        <f>IF(CT$3=$K115,IF($C115="W",1,IF($C115="1/2W",0.5,0)),0)</f>
        <v>0</v>
      </c>
      <c r="CU115" s="209">
        <f>IF(CT$3=$K115,IF($C115="L",1,IF($C115="1/2L",0.5,0)),0)</f>
        <v>0</v>
      </c>
      <c r="CV115" s="209">
        <f>IF(CV$3=$K115,IF($C115="W",1,IF($C115="1/2W",0.5,0)),0)</f>
        <v>0</v>
      </c>
      <c r="CW115" s="209">
        <f>IF(CV$3=$K115,IF($C115="L",1,IF($C115="1/2L",0.5,0)),0)</f>
        <v>0</v>
      </c>
      <c r="CX115" s="209">
        <f>IF(CX$3=$K115,IF($C115="W",1,IF($C115="1/2W",0.5,0)),0)</f>
        <v>0</v>
      </c>
      <c r="CY115" s="209">
        <f>IF(CX$3=$K115,IF($C115="L",1,IF($C115="1/2L",0.5,0)),0)</f>
        <v>0</v>
      </c>
      <c r="CZ115" s="209">
        <f>IF(CZ$3=$K115,IF($C115="W",1,IF($C115="1/2W",0.5,0)),0)</f>
        <v>0</v>
      </c>
      <c r="DA115" s="209">
        <f>IF(CZ$3=$K115,IF($C115="L",1,IF($C115="1/2L",0.5,0)),0)</f>
        <v>0</v>
      </c>
      <c r="DB115" s="209">
        <f>IF(DB$3=$K115,IF($C115="W",1,IF($C115="1/2W",0.5,0)),0)</f>
        <v>1</v>
      </c>
      <c r="DC115" s="209">
        <f>IF(DB$3=$K115,IF($C115="L",1,IF($C115="1/2L",0.5,0)),0)</f>
        <v>0</v>
      </c>
      <c r="DD115" s="209">
        <f>IF(DD$3=$K115,IF($C115="W",1,IF($C115="1/2W",0.5,0)),0)</f>
        <v>0</v>
      </c>
      <c r="DE115" s="210">
        <f>IF(DD$3=$K115,IF($C115="L",1,IF($C115="1/2L",0.5,0)),0)</f>
        <v>0</v>
      </c>
      <c r="DF115" s="211">
        <f>IF(AND(L115&lt;DF$3,$C115="W"),1+DF114,DF114)</f>
        <v>7</v>
      </c>
      <c r="DG115" s="198">
        <f>IF(DF115&gt;DF114,L115+DG114,DG114)</f>
        <v>9.247999999999999</v>
      </c>
      <c r="DH115" s="209">
        <f>IF(AND(L115&gt;DH$3,$C115="W"),1+DH114,0+DH114)</f>
        <v>1</v>
      </c>
      <c r="DI115" s="198">
        <f>IF(DH115&gt;DH114,L115+DI114,DI114)</f>
        <v>4.33</v>
      </c>
      <c r="DJ115" t="s" s="306">
        <f>IF($D115="","",$D115)</f>
        <v>101</v>
      </c>
      <c r="DK115" s="209">
        <f>IF(AND($B115=" ",$D115&lt;&gt;""),1,0)</f>
        <v>0</v>
      </c>
    </row>
    <row r="116" ht="14.55" customHeight="1">
      <c r="A116" s="107"/>
      <c r="B116" s="108"/>
      <c r="C116" t="s" s="213">
        <v>51</v>
      </c>
      <c r="D116" s="110"/>
      <c r="E116" s="111"/>
      <c r="F116" s="112"/>
      <c r="G116" s="214"/>
      <c r="H116" s="114"/>
      <c r="I116" t="s" s="215">
        <v>57</v>
      </c>
      <c r="J116" s="296">
        <f>IF(OR(I115="TO",I115="TU",I115="TO1",I115="TU1",I115="TO2",I115="TU2"),J115,IF(OR(I115="AH1",I115="AH2"),IF(OR(I116="AH1",I116="AH2"),-J115,IF(OR(I116="EH1",I116="EH2"),-J115+0.5,"")),IF(OR(I115="EH1",I115="EH2"),IF(OR(I116="AH1",I116="AH2"),-J115+0.5,IF(OR(I116="EH1",I116="EH2"),-J115+1,"")),IF(AND(OR(I115="DNB1",I115="DNB2"),OR(I116="AH1",I116="AH2")),0,IF(AND(I115="Not ScoreBoth",OR(I116="TO1",I116="TO2")),0.5,"")))))</f>
        <v>2.25</v>
      </c>
      <c r="K116" t="s" s="217">
        <v>37</v>
      </c>
      <c r="L116" s="218">
        <v>2</v>
      </c>
      <c r="M116" s="219">
        <v>10.6</v>
      </c>
      <c r="N116" s="120"/>
      <c r="O116" s="220">
        <f>IF(OR(AE115="",AE116=""),"",ROUND(IF(L117&gt;0,IF(M116&gt;0,M116,IF(M115&gt;0,IF(N115=TRUE,ROUND((M115*AE116)/AE115,0),(M115*AE116)/AE115),IF(M116&gt;0,ROUND(M116,IF(N115=0,2,IF(N115=0.1,1,0))),IF(M117&gt;0,ROUND(O117*AE116/AE117,IF(N115=0,2,IF(N115=0.1,1,0))),0)))),IF(M116&gt;0,M116,ROUND((M115*AE116)/AE115,IF(N115=0,2,IF(N115=0.1,1,0))))),2))</f>
        <v>10.6</v>
      </c>
      <c r="P116" s="221">
        <f>IF(OR(L116="",O116=""),"",IF($C116="1/2W",O116/2+O116/2*L116,IF($C116="1/2L",O116/2,IF(I116="Lay",((O116*(L116/(L116-1)))-O116)*(1-_xlfn.XLOOKUP(K116,'Janeiro 2023 - Valor Real'!A3:A15,'Janeiro 2023 - Valor Real'!C3:C15,0))+O116,(O116*L116-O116)*(1-_xlfn.XLOOKUP(K116,'Janeiro 2023 - Valor Real'!A3:A15,'Janeiro 2023 - Valor Real'!C3:C15,0))+O116))))</f>
        <v>21.2</v>
      </c>
      <c r="Q116" s="222">
        <f>IF(K116="","",IF(_xlfn.XLOOKUP(K116,K32:K$85,DJ32:DJ$85,0,,-1)=DJ116,_xlfn.XLOOKUP(K116,K32:K$85,Q32:Q$85,1,,-1)+1,1))</f>
        <v>5</v>
      </c>
      <c r="R116" s="223">
        <f>IF(K116="","",_xlfn.XLOOKUP(K116,K32:K$85,R32:R$85,0,,-1)+IF($C116=" ",1,0))</f>
        <v>0</v>
      </c>
      <c r="S116" s="125"/>
      <c r="T116" s="126"/>
      <c r="U116" s="126"/>
      <c r="V116" s="224"/>
      <c r="W116" s="126"/>
      <c r="X116" s="127"/>
      <c r="Y116" s="128"/>
      <c r="Z116" s="129"/>
      <c r="AA116" s="129"/>
      <c r="AB116" s="129"/>
      <c r="AC116" s="129"/>
      <c r="AD116" s="225">
        <f>(((L116/(L116-1)-1)*(1-_xlfn.XLOOKUP(K116,'Janeiro 2023 - Valor Real'!A3:A15,'Janeiro 2023 - Valor Real'!C3:C15,0))+1))</f>
        <v>2</v>
      </c>
      <c r="AE116" s="226">
        <f>IF(L116="","",IF(L117&gt;0,(SUM(((L115-1)*(1-_xlfn.XLOOKUP(K115,'Janeiro 2023 - Valor Real'!A3:A15,'Janeiro 2023 - Valor Real'!C3:C15,0))+1),((L116-1)*(1-_xlfn.XLOOKUP(K116,'Janeiro 2023 - Valor Real'!A3:A15,'Janeiro 2023 - Valor Real'!C3:C15,0))+1),((L117-1)*(1-_xlfn.XLOOKUP(K117,'Janeiro 2023 - Valor Real'!A3:A15,'Janeiro 2023 - Valor Real'!C3:C15,0))+1))/((L116-1)*(1-_xlfn.XLOOKUP(K116,'Janeiro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Real'!C3:C15,0))+1))/((L115-1)*(1-_xlfn.XLOOKUP(K115,'Janeiro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Real'!C3:C15,0))+1))/((L116-1)*(1-_xlfn.XLOOKUP(K116,'Janeiro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Real'!C3:C15,0))+1))/((L117-1)*(1-_xlfn.XLOOKUP(K117,'Janeiro 2023 - Valor Real'!A3:A15,'Janeiro 2023 - Valor Real'!C3:C15,0))+1)),IF(I116="Lay",IF(I115="Lay",((L115/(L115-1)-1)*(1-_xlfn.XLOOKUP(K115,'Janeiro 2023 - Valor Real'!A3:A15,'Janeiro 2023 - Valor Real'!C3:C15,0))+1)/(((L115/(L115-1)-1)*(1-_xlfn.XLOOKUP(K115,'Janeiro 2023 - Valor Real'!A3:A15,'Janeiro 2023 - Valor Real'!C3:C15,0))+1)+((L116/(L116-1)-1)*(1-_xlfn.XLOOKUP(K116,'Janeiro 2023 - Valor Real'!A3:A15,'Janeiro 2023 - Valor Real'!C3:C15,0))+1)),((L115-1)*(1-_xlfn.XLOOKUP(K115,'Janeiro 2023 - Valor Real'!A3:A15,'Janeiro 2023 - Valor Real'!C3:C15,0))+1)/(((L115-1)*(1-_xlfn.XLOOKUP(K115,'Janeiro 2023 - Valor Real'!A3:A15,'Janeiro 2023 - Valor Real'!C3:C15,0))+1)+((L116/(L116-1)-1)*(1-_xlfn.XLOOKUP(K116,'Janeiro 2023 - Valor Real'!A3:A15,'Janeiro 2023 - Valor Real'!C3:C15,0))+1))),IF(I115="Lay",((L115/(L115-1)-1)*(1-_xlfn.XLOOKUP(K115,'Janeiro 2023 - Valor Real'!A3:A15,'Janeiro 2023 - Valor Real'!C3:C15,0))+1)/((((L115/(L115-1)-1)*(1-_xlfn.XLOOKUP(K115,'Janeiro 2023 - Valor Real'!A3:A15,'Janeiro 2023 - Valor Real'!C3:C15,0))+1))+((L116-1)*(1-_xlfn.XLOOKUP(K116,'Janeiro 2023 - Valor Real'!A3:A15,'Janeiro 2023 - Valor Real'!C3:C15,0))+1)),((L115-1)*(1-_xlfn.XLOOKUP(K115,'Janeiro 2023 - Valor Real'!A3:A15,'Janeiro 2023 - Valor Real'!C3:C15,0))+1)/(((L115-1)*(1-_xlfn.XLOOKUP(K115,'Janeiro 2023 - Valor Real'!A3:A15,'Janeiro 2023 - Valor Real'!C3:C15,0))+1)+((L116-1)*(1-_xlfn.XLOOKUP(K116,'Janeiro 2023 - Valor Real'!A3:A15,'Janeiro 2023 - Valor Real'!C3:C15,0))+1))))))</f>
        <v>0.506172839506173</v>
      </c>
      <c r="AF116" s="197">
        <f>IF($K116=AF$3,ROUND(IF(OR($C116="W",$C116="1/2W",$C116="1/2L"),$P116-$O116,IF($C116="X",0,-$O116)),2),0)</f>
        <v>-10.6</v>
      </c>
      <c r="AG116" s="198">
        <f>IF($K116=AG$3,ROUND(IF(OR($C116="W",$C116="1/2W",$C116="1/2L"),$P116-$O116,IF($C116="X",0,-$O116)),2),0)</f>
        <v>0</v>
      </c>
      <c r="AH116" s="198">
        <f>IF($K116=AH$3,ROUND(IF(OR($C116="W",$C116="1/2W",$C116="1/2L"),$P116-$O116,IF($C116="X",0,-$O116)),2),0)</f>
        <v>0</v>
      </c>
      <c r="AI116" s="198">
        <f>IF($K116=AI$3,ROUND(IF(OR($C116="W",$C116="1/2W",$C116="1/2L"),$P116-$O116,IF($C116="X",0,-$O116)),2),0)</f>
        <v>0</v>
      </c>
      <c r="AJ116" s="198">
        <f>IF($K116=AJ$3,ROUND(IF(OR($C116="W",$C116="1/2W",$C116="1/2L"),$P116-$O116,IF($C116="X",0,-$O116)),2),0)</f>
        <v>0</v>
      </c>
      <c r="AK116" s="198">
        <f>IF($K116=AK$3,ROUND(IF(OR($C116="W",$C116="1/2W",$C116="1/2L"),$P116-$O116,IF($C116="X",0,-$O116)),2),0)</f>
        <v>0</v>
      </c>
      <c r="AL116" s="198">
        <f>IF($K116=AL$3,ROUND(IF(OR($C116="W",$C116="1/2W",$C116="1/2L"),$P116-$O116,IF($C116="X",0,-$O116)),2),0)</f>
        <v>0</v>
      </c>
      <c r="AM116" s="198">
        <f>IF($K116=AM$3,ROUND(IF(OR($C116="W",$C116="1/2W",$C116="1/2L"),$P116-$O116,IF($C116="X",0,-$O116)),2),0)</f>
        <v>0</v>
      </c>
      <c r="AN116" s="198">
        <f>IF($K116=AN$3,ROUND(IF(OR($C116="W",$C116="1/2W",$C116="1/2L"),$P116-$O116,IF($C116="X",0,-$O116)),2),0)</f>
        <v>0</v>
      </c>
      <c r="AO116" s="198">
        <f>IF($K116=AO$3,ROUND(IF(OR($C116="W",$C116="1/2W",$C116="1/2L"),$P116-$O116,IF($C116="X",0,-$O116)),2),0)</f>
        <v>0</v>
      </c>
      <c r="AP116" s="198">
        <f>IF($K116=AP$3,ROUND(IF(OR($C116="W",$C116="1/2W",$C116="1/2L"),$P116-$O116,IF($C116="X",0,-$O116)),2),0)</f>
        <v>0</v>
      </c>
      <c r="AQ116" s="198">
        <f>IF($K116=AQ$3,ROUND(IF(OR($C116="W",$C116="1/2W",$C116="1/2L"),$P116-$O116,IF($C116="X",0,-$O116)),2),0)</f>
        <v>0</v>
      </c>
      <c r="AR116" s="199">
        <f>IF($K116=AR$3,ROUND(IF(OR($C116="W",$C116="1/2W",$C116="1/2L"),$P116-$O116,IF($C116="X",0,-$O116)),2),0)</f>
        <v>0</v>
      </c>
      <c r="AS116" s="197">
        <f>IF(AND($B115=" ",$K116=AS$3),$O116,0)</f>
        <v>0</v>
      </c>
      <c r="AT116" s="198">
        <f>IF(AND($B115=" ",K116=AT$3),$O116,0)</f>
        <v>0</v>
      </c>
      <c r="AU116" s="198">
        <f>IF(AND($B115=" ",$K116=AU$3),$O116,0)</f>
        <v>0</v>
      </c>
      <c r="AV116" s="198">
        <f>IF(AND($B115=" ",$K116=AV$3),$O116,0)</f>
        <v>0</v>
      </c>
      <c r="AW116" s="198">
        <f>IF(AND($B115=" ",$K116=AW$3),$O116,0)</f>
        <v>0</v>
      </c>
      <c r="AX116" s="198">
        <f>IF(AND($B115=" ",$K116=AX$3),$O116,0)</f>
        <v>0</v>
      </c>
      <c r="AY116" s="200">
        <f>IF(AND($B115=" ",$K116=AY$3),$O116,0)</f>
        <v>0</v>
      </c>
      <c r="AZ116" s="201">
        <f>IF(AND($B115=" ",$K116=AZ$3),$O116,0)</f>
        <v>0</v>
      </c>
      <c r="BA116" s="201">
        <f>IF(AND($B115=" ",$K116=BA$3),$O116,0)</f>
        <v>0</v>
      </c>
      <c r="BB116" s="201">
        <f>IF(AND($B115=" ",$K116=BB$3),$O116,0)</f>
        <v>0</v>
      </c>
      <c r="BC116" s="202">
        <f>IF(AND($B115=" ",$K116=BC$3),$O116,0)</f>
        <v>0</v>
      </c>
      <c r="BD116" s="198">
        <f>IF(AND($B115=" ",$K116=BD$3),$O116,0)</f>
        <v>0</v>
      </c>
      <c r="BE116" s="199">
        <f>IF(AND($B115=" ",$K116=BE$3),$O116,0)</f>
        <v>0</v>
      </c>
      <c r="BF116" s="197">
        <f>IF($K116=BF$3,IF($C116="X",0,$O116),0)</f>
        <v>10.6</v>
      </c>
      <c r="BG116" s="198">
        <f>IF($K116=BG$3,IF($C116="X",0,$O116),0)</f>
        <v>0</v>
      </c>
      <c r="BH116" s="198">
        <f>IF($K116=BH$3,IF($C116="X",0,$O116),0)</f>
        <v>0</v>
      </c>
      <c r="BI116" s="198">
        <f>IF($K116=BI$3,IF($C116="X",0,$O116),0)</f>
        <v>0</v>
      </c>
      <c r="BJ116" s="198">
        <f>IF($K116=BJ$3,IF($C116="X",0,$O116),0)</f>
        <v>0</v>
      </c>
      <c r="BK116" s="198">
        <f>IF($K116=BK$3,IF($C116="X",0,$O116),0)</f>
        <v>0</v>
      </c>
      <c r="BL116" s="198">
        <f>IF($K116=BL$3,IF($C116="X",0,$O116),0)</f>
        <v>0</v>
      </c>
      <c r="BM116" s="227">
        <f>IF($K116=BM$3,IF($C116="X",0,$O116),0)</f>
        <v>0</v>
      </c>
      <c r="BN116" s="205">
        <f>IF($K116=BN$3,IF($C116="X",0,$O116),0)</f>
        <v>0</v>
      </c>
      <c r="BO116" s="205">
        <f>IF($K116=BO$3,IF($C116="X",0,$O116),0)</f>
        <v>0</v>
      </c>
      <c r="BP116" s="205">
        <f>IF($K116=BP$3,IF($C116="X",0,$O116),0)</f>
        <v>0</v>
      </c>
      <c r="BQ116" s="202">
        <f>IF($K116=BQ$3,IF($C116="X",0,$O116),0)</f>
        <v>0</v>
      </c>
      <c r="BR116" s="199">
        <f>IF($K116=BR$3,IF($C116="X",0,$O116),0)</f>
        <v>0</v>
      </c>
      <c r="BS116" s="228"/>
      <c r="BT116" s="229"/>
      <c r="BU116" s="140"/>
      <c r="BV116" s="229"/>
      <c r="BW116" s="140"/>
      <c r="BX116" s="140"/>
      <c r="BY116" s="140"/>
      <c r="BZ116" s="229"/>
      <c r="CA116" s="140"/>
      <c r="CB116" s="140"/>
      <c r="CC116" s="140"/>
      <c r="CD116" s="141"/>
      <c r="CE116" s="142"/>
      <c r="CF116" s="230">
        <f>IF(CF$3=$K116,IF($C116="W",1,IF($C116="1/2W",0.5,0)),0)</f>
        <v>0</v>
      </c>
      <c r="CG116" s="231">
        <f>IF(CF$3=$K116,IF($C116="L",1,IF($C116="1/2L",0.5,0)),0)</f>
        <v>1</v>
      </c>
      <c r="CH116" s="231">
        <f>IF(CH$3=$K116,IF($C116="W",1,IF($C116="1/2W",0.5,0)),0)</f>
        <v>0</v>
      </c>
      <c r="CI116" s="231">
        <f>IF(CH$3=$K116,IF($C116="L",1,IF($C116="1/2L",0.5,0)),0)</f>
        <v>0</v>
      </c>
      <c r="CJ116" s="231">
        <f>IF(CJ$3=$K116,IF($C116="W",1,IF($C116="1/2W",0.5,0)),0)</f>
        <v>0</v>
      </c>
      <c r="CK116" s="231">
        <f>IF(CJ$3=$K116,IF($C116="L",1,IF($C116="1/2L",0.5,0)),0)</f>
        <v>0</v>
      </c>
      <c r="CL116" s="231">
        <f>IF(CL$3=$K116,IF($C116="W",1,IF($C116="1/2W",0.5,0)),0)</f>
        <v>0</v>
      </c>
      <c r="CM116" s="231">
        <f>IF(CL$3=$K116,IF($C116="L",1,IF($C116="1/2L",0.5,0)),0)</f>
        <v>0</v>
      </c>
      <c r="CN116" s="231">
        <f>IF(CN$3=$K116,IF($C116="W",1,IF($C116="1/2W",0.5,0)),0)</f>
        <v>0</v>
      </c>
      <c r="CO116" s="231">
        <f>IF(CN$3=$K116,IF($C116="L",1,IF($C116="1/2L",0.5,0)),0)</f>
        <v>0</v>
      </c>
      <c r="CP116" s="231">
        <f>IF(CP$3=$K116,IF($C116="W",1,IF($C116="1/2W",0.5,0)),0)</f>
        <v>0</v>
      </c>
      <c r="CQ116" s="231">
        <f>IF(CP$3=$K116,IF($C116="L",1,IF($C116="1/2L",0.5,0)),0)</f>
        <v>0</v>
      </c>
      <c r="CR116" s="231">
        <f>IF(CR$3=$K116,IF($C116="W",1,IF($C116="1/2W",0.5,0)),0)</f>
        <v>0</v>
      </c>
      <c r="CS116" s="231">
        <f>IF(CR$3=$K116,IF($C116="L",1,IF($C116="1/2L",0.5,0)),0)</f>
        <v>0</v>
      </c>
      <c r="CT116" s="208">
        <f>IF(CT$3=$K116,IF($C116="W",1,IF($C116="1/2W",0.5,0)),0)</f>
        <v>0</v>
      </c>
      <c r="CU116" s="209">
        <f>IF(CT$3=$K116,IF($C116="L",1,IF($C116="1/2L",0.5,0)),0)</f>
        <v>0</v>
      </c>
      <c r="CV116" s="209">
        <f>IF(CV$3=$K116,IF($C116="W",1,IF($C116="1/2W",0.5,0)),0)</f>
        <v>0</v>
      </c>
      <c r="CW116" s="209">
        <f>IF(CV$3=$K116,IF($C116="L",1,IF($C116="1/2L",0.5,0)),0)</f>
        <v>0</v>
      </c>
      <c r="CX116" s="209">
        <f>IF(CX$3=$K116,IF($C116="W",1,IF($C116="1/2W",0.5,0)),0)</f>
        <v>0</v>
      </c>
      <c r="CY116" s="209">
        <f>IF(CX$3=$K116,IF($C116="L",1,IF($C116="1/2L",0.5,0)),0)</f>
        <v>0</v>
      </c>
      <c r="CZ116" s="209">
        <f>IF(CZ$3=$K116,IF($C116="W",1,IF($C116="1/2W",0.5,0)),0)</f>
        <v>0</v>
      </c>
      <c r="DA116" s="209">
        <f>IF(CZ$3=$K116,IF($C116="L",1,IF($C116="1/2L",0.5,0)),0)</f>
        <v>0</v>
      </c>
      <c r="DB116" s="209">
        <f>IF(DB$3=$K116,IF($C116="W",1,IF($C116="1/2W",0.5,0)),0)</f>
        <v>0</v>
      </c>
      <c r="DC116" s="209">
        <f>IF(DB$3=$K116,IF($C116="L",1,IF($C116="1/2L",0.5,0)),0)</f>
        <v>0</v>
      </c>
      <c r="DD116" s="209">
        <f>IF(DD$3=$K116,IF($C116="W",1,IF($C116="1/2W",0.5,0)),0)</f>
        <v>0</v>
      </c>
      <c r="DE116" s="210">
        <f>IF(DD$3=$K116,IF($C116="L",1,IF($C116="1/2L",0.5,0)),0)</f>
        <v>0</v>
      </c>
      <c r="DF116" s="211">
        <f>IF(AND(L116&lt;DF$3,$C116="W"),1+DF115,DF115)</f>
        <v>7</v>
      </c>
      <c r="DG116" s="198">
        <f>IF(DF116&gt;DF115,L116+DG115,DG115)</f>
        <v>9.247999999999999</v>
      </c>
      <c r="DH116" s="209">
        <f>IF(AND(L116&gt;DH$3,$C116="W"),1+DH115,0+DH115)</f>
        <v>1</v>
      </c>
      <c r="DI116" s="198">
        <f>IF(DH116&gt;DH115,L116+DI115,DI115)</f>
        <v>4.33</v>
      </c>
      <c r="DJ116" t="s" s="306">
        <f>IF($D115="","",$D115)</f>
        <v>101</v>
      </c>
      <c r="DK116" s="232"/>
    </row>
    <row r="117" ht="14.55" customHeight="1">
      <c r="A117" s="149"/>
      <c r="B117" s="150"/>
      <c r="C117" t="s" s="233">
        <v>58</v>
      </c>
      <c r="D117" s="152"/>
      <c r="E117" s="153"/>
      <c r="F117" s="154"/>
      <c r="G117" s="234"/>
      <c r="H117" s="156"/>
      <c r="I117" s="235"/>
      <c r="J117" s="236"/>
      <c r="K117" s="237"/>
      <c r="L117" s="238"/>
      <c r="M117" s="239"/>
      <c r="N117" s="161"/>
      <c r="O117" t="s" s="240">
        <f>IF(OR(AE115="",AE116=""),"",IF(L117&gt;0,ROUND(IF(M117&gt;0,M117,IF(M115&gt;0,ROUND((M115*AE117)/AE115,IF(N115=0,2,IF(N115=0.1,1,0))),IF(M116&gt;0,ROUND((M116*AE117)/AE116,IF(N115=0,2,IF(N115=0.1,1,0))),IF(M117&gt;0,M117,0)))),2),""))</f>
      </c>
      <c r="P117" t="s" s="241">
        <f>IF(I116="Lay",O116*(L116/(L116-1))-O116,IF(I115="Lay",O115*(L115/(L115-1))-O115,IF(OR(L117="",O117=""),"",IF($C117="1/2W",O117/2+O117/2*L117,IF($C117="1/2L",O117/2,(O117*L117-O117)*(1-_xlfn.XLOOKUP(K117,'Janeiro 2023 - Valor Real'!A3:A15,'Janeiro 2023 - Valor Real'!C3:C15,0))+O117)))))</f>
      </c>
      <c r="Q117" t="s" s="242">
        <f>IF(K117="","",IF(_xlfn.XLOOKUP(K117,K32:K$86,DJ32:DJ$86,0,,-1)=DJ117,_xlfn.XLOOKUP(K117,K32:K$86,Q32:Q$86,1,,-1)+1,1))</f>
      </c>
      <c r="R117" t="s" s="243">
        <f>IF(K117="","",_xlfn.XLOOKUP(K117,K32:K$86,R32:R$86,0,,-1)+IF($C117=" ",1,0))</f>
      </c>
      <c r="S117" s="166"/>
      <c r="T117" s="155"/>
      <c r="U117" s="155"/>
      <c r="V117" s="166"/>
      <c r="W117" s="155"/>
      <c r="X117" s="167"/>
      <c r="Y117" s="128"/>
      <c r="Z117" s="129"/>
      <c r="AA117" s="129"/>
      <c r="AB117" s="129"/>
      <c r="AC117" s="129"/>
      <c r="AD117" s="244">
        <f>((L116/(L116-1)-1))</f>
        <v>1</v>
      </c>
      <c r="AE117" t="s" s="245">
        <f>IF(L117="","",(SUM(((L115-1)*(1-_xlfn.XLOOKUP(K115,'Janeiro 2023 - Valor Real'!A3:A15,'Janeiro 2023 - Valor Real'!C3:C15,0))+1),((L116-1)*(1-_xlfn.XLOOKUP(K116,'Janeiro 2023 - Valor Real'!A3:A15,'Janeiro 2023 - Valor Real'!C3:C15,0))+1),((L117-1)*(1-_xlfn.XLOOKUP(K117,'Janeiro 2023 - Valor Real'!A3:A15,'Janeiro 2023 - Valor Real'!C3:C15,0))+1))/((L117-1)*(1-_xlfn.XLOOKUP(K117,'Janeiro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Real'!C3:C15,0))+1))/((L115-1)*(1-_xlfn.XLOOKUP(K115,'Janeiro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Real'!C3:C15,0))+1))/((L116-1)*(1-_xlfn.XLOOKUP(K116,'Janeiro 2023 - Valor Real'!A3:A15,'Janeiro 2023 - Valor Real'!C3:C15,0))+1)+SUM(((L115-1)*(1-_xlfn.XLOOKUP(K115,'Janeiro 2023 - Valor Real'!A3:A15,'Janeiro 2023 - Valor Real'!C3:C15,0))+1),((L116-1)*(1-_xlfn.XLOOKUP(K116,'Janeiro 2023 - Valor Real'!A3:A15,'Janeiro 2023 - Valor Real'!C3:C15,0))+1),((L117-1)*(1-_xlfn.XLOOKUP(K117,'Janeiro 2023 - Valor Real'!A3:A15,'Janeiro 2023 - Valor Real'!C3:C15,0))+1))/((L117-1)*(1-_xlfn.XLOOKUP(K117,'Janeiro 2023 - Valor Real'!A3:A15,'Janeiro 2023 - Valor Real'!C3:C15,0))+1)))</f>
      </c>
      <c r="AF117" s="197">
        <f>IF($K117=AF$3,ROUND(IF(OR($C117="W",$C117="1/2W",$C117="1/2L"),$P117-$O117,IF($C117="X",0,-$O117)),2),0)</f>
        <v>0</v>
      </c>
      <c r="AG117" s="198">
        <f>IF($K117=AG$3,ROUND(IF(OR($C117="W",$C117="1/2W",$C117="1/2L"),$P117-$O117,IF($C117="X",0,-$O117)),2),0)</f>
        <v>0</v>
      </c>
      <c r="AH117" s="198">
        <f>IF($K117=AH$3,ROUND(IF(OR($C117="W",$C117="1/2W",$C117="1/2L"),$P117-$O117,IF($C117="X",0,-$O117)),2),0)</f>
        <v>0</v>
      </c>
      <c r="AI117" s="198">
        <f>IF($K117=AI$3,ROUND(IF(OR($C117="W",$C117="1/2W",$C117="1/2L"),$P117-$O117,IF($C117="X",0,-$O117)),2),0)</f>
        <v>0</v>
      </c>
      <c r="AJ117" s="198">
        <f>IF($K117=AJ$3,ROUND(IF(OR($C117="W",$C117="1/2W",$C117="1/2L"),$P117-$O117,IF($C117="X",0,-$O117)),2),0)</f>
        <v>0</v>
      </c>
      <c r="AK117" s="198">
        <f>IF($K117=AK$3,ROUND(IF(OR($C117="W",$C117="1/2W",$C117="1/2L"),$P117-$O117,IF($C117="X",0,-$O117)),2),0)</f>
        <v>0</v>
      </c>
      <c r="AL117" s="198">
        <f>IF($K117=AL$3,ROUND(IF(OR($C117="W",$C117="1/2W",$C117="1/2L"),$P117-$O117,IF($C117="X",0,-$O117)),2),0)</f>
        <v>0</v>
      </c>
      <c r="AM117" s="198">
        <f>IF($K117=AM$3,ROUND(IF(OR($C117="W",$C117="1/2W",$C117="1/2L"),$P117-$O117,IF($C117="X",0,-$O117)),2),0)</f>
        <v>0</v>
      </c>
      <c r="AN117" s="198">
        <f>IF($K117=AN$3,ROUND(IF(OR($C117="W",$C117="1/2W",$C117="1/2L"),$P117-$O117,IF($C117="X",0,-$O117)),2),0)</f>
        <v>0</v>
      </c>
      <c r="AO117" s="198">
        <f>IF($K117=AO$3,ROUND(IF(OR($C117="W",$C117="1/2W",$C117="1/2L"),$P117-$O117,IF($C117="X",0,-$O117)),2),0)</f>
        <v>0</v>
      </c>
      <c r="AP117" s="198">
        <f>IF($K117=AP$3,ROUND(IF(OR($C117="W",$C117="1/2W",$C117="1/2L"),$P117-$O117,IF($C117="X",0,-$O117)),2),0)</f>
        <v>0</v>
      </c>
      <c r="AQ117" s="198">
        <f>IF($K117=AQ$3,ROUND(IF(OR($C117="W",$C117="1/2W",$C117="1/2L"),$P117-$O117,IF($C117="X",0,-$O117)),2),0)</f>
        <v>0</v>
      </c>
      <c r="AR117" s="199">
        <f>IF($K117=AR$3,ROUND(IF(OR($C117="W",$C117="1/2W",$C117="1/2L"),$P117-$O117,IF($C117="X",0,-$O117)),2),0)</f>
        <v>0</v>
      </c>
      <c r="AS117" s="197">
        <f>IF(AND($B115=" ",$K117=AS$3),$O117,0)</f>
        <v>0</v>
      </c>
      <c r="AT117" s="198">
        <f>IF(AND($B115=" ",K117=AT$3),$O117,0)</f>
        <v>0</v>
      </c>
      <c r="AU117" s="198">
        <f>IF(AND($B115=" ",$K117=AU$3),$O117,0)</f>
        <v>0</v>
      </c>
      <c r="AV117" s="198">
        <f>IF(AND($B115=" ",$K117=AV$3),$O117,0)</f>
        <v>0</v>
      </c>
      <c r="AW117" s="198">
        <f>IF(AND($B115=" ",$K117=AW$3),$O117,0)</f>
        <v>0</v>
      </c>
      <c r="AX117" s="198">
        <f>IF(AND($B115=" ",$K117=AX$3),$O117,0)</f>
        <v>0</v>
      </c>
      <c r="AY117" s="200">
        <f>IF(AND($B115=" ",$K117=AY$3),$O117,0)</f>
        <v>0</v>
      </c>
      <c r="AZ117" s="201">
        <f>IF(AND($B115=" ",$K117=AZ$3),$O117,0)</f>
        <v>0</v>
      </c>
      <c r="BA117" s="201">
        <f>IF(AND($B115=" ",$K117=BA$3),$O117,0)</f>
        <v>0</v>
      </c>
      <c r="BB117" s="201">
        <f>IF(AND($B115=" ",$K117=BB$3),$O117,0)</f>
        <v>0</v>
      </c>
      <c r="BC117" s="202">
        <f>IF(AND($B115=" ",$K117=BC$3),$O117,0)</f>
        <v>0</v>
      </c>
      <c r="BD117" s="198">
        <f>IF(AND($B115=" ",$K117=BD$3),$O117,0)</f>
        <v>0</v>
      </c>
      <c r="BE117" s="199">
        <f>IF(AND($B115=" ",$K117=BE$3),$O117,0)</f>
        <v>0</v>
      </c>
      <c r="BF117" s="197">
        <f>IF($K117=BF$3,IF($C117="X",0,$O117),0)</f>
        <v>0</v>
      </c>
      <c r="BG117" s="198">
        <f>IF($K117=BG$3,IF($C117="X",0,$O117),0)</f>
        <v>0</v>
      </c>
      <c r="BH117" s="198">
        <f>IF($K117=BH$3,IF($C117="X",0,$O117),0)</f>
        <v>0</v>
      </c>
      <c r="BI117" s="198">
        <f>IF($K117=BI$3,IF($C117="X",0,$O117),0)</f>
        <v>0</v>
      </c>
      <c r="BJ117" s="198">
        <f>IF($K117=BJ$3,IF($C117="X",0,$O117),0)</f>
        <v>0</v>
      </c>
      <c r="BK117" s="198">
        <f>IF($K117=BK$3,IF($C117="X",0,$O117),0)</f>
        <v>0</v>
      </c>
      <c r="BL117" s="198">
        <f>IF($K117=BL$3,IF($C117="X",0,$O117),0)</f>
        <v>0</v>
      </c>
      <c r="BM117" s="200">
        <f>IF($K117=BM$3,IF($C117="X",0,$O117),0)</f>
        <v>0</v>
      </c>
      <c r="BN117" s="201">
        <f>IF($K117=BN$3,IF($C117="X",0,$O117),0)</f>
        <v>0</v>
      </c>
      <c r="BO117" s="201">
        <f>IF($K117=BO$3,IF($C117="X",0,$O117),0)</f>
        <v>0</v>
      </c>
      <c r="BP117" s="201">
        <f>IF($K117=BP$3,IF($C117="X",0,$O117),0)</f>
        <v>0</v>
      </c>
      <c r="BQ117" s="202">
        <f>IF($K117=BQ$3,IF($C117="X",0,$O117),0)</f>
        <v>0</v>
      </c>
      <c r="BR117" s="199">
        <f>IF($K117=BR$3,IF($C117="X",0,$O117),0)</f>
        <v>0</v>
      </c>
      <c r="BS117" s="228"/>
      <c r="BT117" s="229"/>
      <c r="BU117" s="140"/>
      <c r="BV117" s="229"/>
      <c r="BW117" s="140"/>
      <c r="BX117" s="140"/>
      <c r="BY117" s="140"/>
      <c r="BZ117" s="229"/>
      <c r="CA117" s="140"/>
      <c r="CB117" s="140"/>
      <c r="CC117" s="140"/>
      <c r="CD117" s="141"/>
      <c r="CE117" s="142"/>
      <c r="CF117" s="230">
        <f>IF(CF$3=$K117,IF($C117="W",1,IF($C117="1/2W",0.5,0)),0)</f>
        <v>0</v>
      </c>
      <c r="CG117" s="231">
        <f>IF(CF$3=$K117,IF($C117="L",1,IF($C117="1/2L",0.5,0)),0)</f>
        <v>0</v>
      </c>
      <c r="CH117" s="231">
        <f>IF(CH$3=$K117,IF($C117="W",1,IF($C117="1/2W",0.5,0)),0)</f>
        <v>0</v>
      </c>
      <c r="CI117" s="231">
        <f>IF(CH$3=$K117,IF($C117="L",1,IF($C117="1/2L",0.5,0)),0)</f>
        <v>0</v>
      </c>
      <c r="CJ117" s="231">
        <f>IF(CJ$3=$K117,IF($C117="W",1,IF($C117="1/2W",0.5,0)),0)</f>
        <v>0</v>
      </c>
      <c r="CK117" s="231">
        <f>IF(CJ$3=$K117,IF($C117="L",1,IF($C117="1/2L",0.5,0)),0)</f>
        <v>0</v>
      </c>
      <c r="CL117" s="231">
        <f>IF(CL$3=$K117,IF($C117="W",1,IF($C117="1/2W",0.5,0)),0)</f>
        <v>0</v>
      </c>
      <c r="CM117" s="231">
        <f>IF(CL$3=$K117,IF($C117="L",1,IF($C117="1/2L",0.5,0)),0)</f>
        <v>0</v>
      </c>
      <c r="CN117" s="231">
        <f>IF(CN$3=$K117,IF($C117="W",1,IF($C117="1/2W",0.5,0)),0)</f>
        <v>0</v>
      </c>
      <c r="CO117" s="231">
        <f>IF(CN$3=$K117,IF($C117="L",1,IF($C117="1/2L",0.5,0)),0)</f>
        <v>0</v>
      </c>
      <c r="CP117" s="231">
        <f>IF(CP$3=$K117,IF($C117="W",1,IF($C117="1/2W",0.5,0)),0)</f>
        <v>0</v>
      </c>
      <c r="CQ117" s="231">
        <f>IF(CP$3=$K117,IF($C117="L",1,IF($C117="1/2L",0.5,0)),0)</f>
        <v>0</v>
      </c>
      <c r="CR117" s="231">
        <f>IF(CR$3=$K117,IF($C117="W",1,IF($C117="1/2W",0.5,0)),0)</f>
        <v>0</v>
      </c>
      <c r="CS117" s="231">
        <f>IF(CR$3=$K117,IF($C117="L",1,IF($C117="1/2L",0.5,0)),0)</f>
        <v>0</v>
      </c>
      <c r="CT117" s="208">
        <f>IF(CT$3=$K117,IF($C117="W",1,IF($C117="1/2W",0.5,0)),0)</f>
        <v>0</v>
      </c>
      <c r="CU117" s="209">
        <f>IF(CT$3=$K117,IF($C117="L",1,IF($C117="1/2L",0.5,0)),0)</f>
        <v>0</v>
      </c>
      <c r="CV117" s="209">
        <f>IF(CV$3=$K117,IF($C117="W",1,IF($C117="1/2W",0.5,0)),0)</f>
        <v>0</v>
      </c>
      <c r="CW117" s="209">
        <f>IF(CV$3=$K117,IF($C117="L",1,IF($C117="1/2L",0.5,0)),0)</f>
        <v>0</v>
      </c>
      <c r="CX117" s="209">
        <f>IF(CX$3=$K117,IF($C117="W",1,IF($C117="1/2W",0.5,0)),0)</f>
        <v>0</v>
      </c>
      <c r="CY117" s="209">
        <f>IF(CX$3=$K117,IF($C117="L",1,IF($C117="1/2L",0.5,0)),0)</f>
        <v>0</v>
      </c>
      <c r="CZ117" s="209">
        <f>IF(CZ$3=$K117,IF($C117="W",1,IF($C117="1/2W",0.5,0)),0)</f>
        <v>0</v>
      </c>
      <c r="DA117" s="209">
        <f>IF(CZ$3=$K117,IF($C117="L",1,IF($C117="1/2L",0.5,0)),0)</f>
        <v>0</v>
      </c>
      <c r="DB117" s="209">
        <f>IF(DB$3=$K117,IF($C117="W",1,IF($C117="1/2W",0.5,0)),0)</f>
        <v>0</v>
      </c>
      <c r="DC117" s="209">
        <f>IF(DB$3=$K117,IF($C117="L",1,IF($C117="1/2L",0.5,0)),0)</f>
        <v>0</v>
      </c>
      <c r="DD117" s="209">
        <f>IF(DD$3=$K117,IF($C117="W",1,IF($C117="1/2W",0.5,0)),0)</f>
        <v>0</v>
      </c>
      <c r="DE117" s="210">
        <f>IF(DD$3=$K117,IF($C117="L",1,IF($C117="1/2L",0.5,0)),0)</f>
        <v>0</v>
      </c>
      <c r="DF117" s="211">
        <f>IF(AND(L117&lt;DF$3,$C117="W"),1+DF116,DF116)</f>
        <v>7</v>
      </c>
      <c r="DG117" s="198">
        <f>IF(DF117&gt;DF116,L117+DG116,DG116)</f>
        <v>9.247999999999999</v>
      </c>
      <c r="DH117" s="209">
        <f>IF(AND(L117&gt;DH$3,$C117="W"),1+DH116,0+DH116)</f>
        <v>1</v>
      </c>
      <c r="DI117" s="198">
        <f>IF(DH117&gt;DH116,L117+DI116,DI116)</f>
        <v>4.33</v>
      </c>
      <c r="DJ117" t="s" s="306">
        <f>IF($D115="","",$D115)</f>
        <v>101</v>
      </c>
      <c r="DK117" s="232"/>
    </row>
    <row r="118" ht="14.55" customHeight="1">
      <c r="A118" s="246">
        <f>$A115+1</f>
        <v>39</v>
      </c>
      <c r="B118" t="s" s="247">
        <v>24</v>
      </c>
      <c r="C118" t="s" s="248">
        <v>114</v>
      </c>
      <c r="D118" t="s" s="303">
        <f>IF(G118="","",$D115)</f>
        <v>101</v>
      </c>
      <c r="E118" t="s" s="250">
        <v>155</v>
      </c>
      <c r="F118" t="s" s="251">
        <f>IF(G118="","",IF(OR(AND($C118&lt;&gt;" ",$C119=" "),AND($C119&lt;&gt;" ",$C118=" "),AND(L120&gt;0,OR(AND($C120&lt;&gt;" ",OR($C118=" ",$C119=" ")),AND($C120=" ",OR($C118&lt;&gt;" ",$C119&lt;&gt;" "))))),IF(SUM(F$4:F117)=0,1,LARGE(F$4:F117,1)+1),IF(MONTH(G118)=MONTH(TODAY()),IF(AND(DAY(G118)&lt;DAY(TODAY()),$B118=" "),IF(SUM(F$4:F117)=0,1,LARGE(F$4:F117,1)+1),IF($B118=" ",IF(AND(DAY(G118)=DAY(TODAY()),HOUR(G118)&lt;=HOUR(NOW())+1),IF(AND(HOUR(G118)+2&lt;=HOUR(NOW()),DAY(G118)&lt;=DAY(TODAY()),MINUTE(G118)&lt;=MINUTE(NOW())),IF(SUM(F$4:F117)=0,1,LARGE(F$4:F117,1)+1),IF(OR(MINUTE(G118)&lt;=MINUTE(NOW()),HOUR(G118)&lt;=HOUR(NOW())),"!!!","")),""),"")),"")))</f>
      </c>
      <c r="G118" s="252">
        <v>44943.954861111109</v>
      </c>
      <c r="H118" t="s" s="253">
        <v>156</v>
      </c>
      <c r="I118" t="s" s="254">
        <v>57</v>
      </c>
      <c r="J118" s="255">
        <v>-9.5</v>
      </c>
      <c r="K118" t="s" s="256">
        <v>44</v>
      </c>
      <c r="L118" s="257">
        <v>2.38</v>
      </c>
      <c r="M118" s="258">
        <v>9.75</v>
      </c>
      <c r="N118" s="259">
        <v>0</v>
      </c>
      <c r="O118" s="260">
        <f>IF(OR(AE118="",AE119=""),"",ROUND(IF(L120&gt;0,IF(M118&gt;0,M118,IF(M119&gt;0,ROUND((M119*AE118)/AE119,IF(N118=0,2,IF(N118=0.1,1,0))),ROUND((M120*AE118)/AE120,IF(N118=0,2,IF(N118=0.1,1,0))))),IF(M118&gt;0,M118,ROUND((M119*AE118)/AE119,IF(N118=0,2,IF(N118=0.1,1,0))))),2))</f>
        <v>9.75</v>
      </c>
      <c r="P118" s="261">
        <f>IF(OR(L118="",O118=""),"",IF($C118="1/2W",O118/2+O118/2*L118,IF($C118="1/2L",O118/2,IF(I118="Lay",(O118*(L118/(L118-1))-O118)*(1-_xlfn.XLOOKUP(K118,'Janeiro 2023 - Valor Real'!A3:A15,'Janeiro 2023 - Valor Real'!C3:C15,0))+O118,(O118*L118-O118)*(1-_xlfn.XLOOKUP(K118,'Janeiro 2023 - Valor Real'!A3:A15,'Janeiro 2023 - Valor Real'!C3:C15,0))+O118))))</f>
        <v>23.205</v>
      </c>
      <c r="Q118" s="262">
        <v>7</v>
      </c>
      <c r="R118" s="263">
        <v>0</v>
      </c>
      <c r="S118" s="264">
        <f>IF($B118="Anulado",0,ROUND(IF(OR($B118="LOSS",$B118="OK"),IF(OR($C118="W",$C118="1/2W",$C118="1/2L"),P118-O118,IF($C118="L",-O118,0))+IF(OR($C119="W",$C119="1/2W",$C119="1/2L"),P119-O119,IF($C119="L",-O119,0))+IF(OR($C120="W",$C120="1/2W",$C120="1/2L"),P120-O120,IF($C120="L",-O120,0)),IF(AND(OR($C118="W",$C118="1/2W",$C118="1/2L"),C119="W"),P118+P119-SUM(O118:O120)+_xlfn.XLOOKUP("X",C118:C120,O118:O120,0),IF(AND(C118=TRUE,C120="W"),P118+P120-SUM(O118:O120),IF(AND(C119="W",C120="W"),P119+P120-SUM(O118:O120)+_xlfn.XLOOKUP("X",C118:C120,O118:O120,0),IF(L120&gt;0,IF(OR($C118="W",$C118="1/2W",$C118="1/2L"),P118-SUM(O118:O120)+_xlfn.XLOOKUP("X",C118:C120,O118:O120,0),IF(OR($C118="W",$C118="1/2W",$C118="1/2L"),P119-SUM(O118:O120)+_xlfn.XLOOKUP("X",C118:C120,O118:O120,0),IF(OR($C118="W",$C118="1/2W",$C118="1/2L"),P120-SUM(O118:O120)+_xlfn.XLOOKUP("X",C118:C120,O118:O120,0),IF(SUM(P118:P120)/3-SUM(O118:O120)+_xlfn.XLOOKUP("X",C118:C120,O118:O120,0)&gt;0,SUM(P118:P120)/3-SUM(O118:O120)+_xlfn.XLOOKUP("X",C118:C120,O118:O120,0),LARGE(P118:P120,1)-SUM(O118:O120))))),IF(OR($C118="W",$C118="1/2W",$C118="1/2L"),P118-SUM(O118:O119)+_xlfn.XLOOKUP("X",C118:C120,O118:O120,0),IF(OR($C118="W",$C118="1/2W",$C118="1/2L"),P119-SUM(O118:O119)+_xlfn.XLOOKUP("X",C118:C120,O118:O120,0),SUM(P118:P119)/2-SUM(O118:O119)+_xlfn.XLOOKUP("X",C118:C120,O118:O120,0)))))))),2))</f>
        <v>0</v>
      </c>
      <c r="T118" s="265">
        <f>IF(S118=0,0,S118/SUM(O118:O120))</f>
        <v>0</v>
      </c>
      <c r="U118" s="266">
        <f>IF($D118=$D115,IF(OR($B118="LOSS",$B118="OK",$B118="Anulada"),S118,0)+U115,IF(OR($B118="LOSS",$B118="OK",$B118="Anulada"),S118,0))</f>
        <v>25.34</v>
      </c>
      <c r="V118" s="266">
        <f>IF($D118="",0,IF($D118=$D115,IF($B118=" ",IF(I120="",IF(OR(AND(I118="DNB1",I119="DNB2"),AND(OR(I118="DNB1",I118="DNB2"),J119=0),AND(OR(I119="DNB1",I119="DNB2"),J118=0),AND(I118="DNB2",I119="DNB1"),AND(IF(J118=0,(J118+1)/ROUND(J118+1,0),J118/ROUND(J118,0))=1,IF(J119=0,(J119+1)/ROUND(IF(J119="",0,J119)+1,0),IF(J119="",0,J119)/ROUND(IF(J119="",1,J119),0))=1,OR(J118&lt;&gt;""),J119&lt;&gt;"")),0,IF(S118&lt;0,IF(I120="",SMALL(P118:P119,1)-SUM(O118:O119),0),SMALL(P118:P119,1)-SUM(O118:O119))),IF(S118&lt;0,IF(I120="",SMALL(P118:P120,1)-SUM(O118:O120),0),LARGE(P118:P120,1)-SUM(O118:O120))),S118)+V115,IF(I120="",IF(OR(AND(I118="DNB1",I119="DNB2"),AND(OR(I118="DNB1",I118="DNB2"),J119=0),AND(OR(I119="DNB1",I119="DNB2"),J118=0),AND(I118="DNB2",I119="DNB1"),AND(IF(J118=0,(J118+1)/ROUND(J118+1,0),J118/ROUND(J118,0))=1,IF(J119=0,(IF(J119="",0,J119)+1)/ROUND(IF(J119="",0,J119)+1,0),IF(J119="",0,J119)/ROUND(IF(J119="",0,J119)+1,0))=1,OR(J118&lt;&gt;""),J119&lt;&gt;"")),0,IF(S118&lt;0,IF(I120="",SMALL(P118:P119,1)-SUM(O118:O119),0),SMALL(P118:P120,1)-SUM(O118:O120))),IF(S118&lt;0,IF(I120="",SMALL(P118:P120,1)-SUM(O118:O120),0),LARGE(P118:P120,1)-SUM(O118:O120)))))</f>
        <v>25.342</v>
      </c>
      <c r="W118" s="266">
        <f>IF($D118=$D115,IF(S118&lt;0,IF(I120="",S118,0),S118)+W115,S118)</f>
        <v>25.34</v>
      </c>
      <c r="X118" t="s" s="267">
        <f>IF(OR(SUM(R118:R120)=0,V118=W118),ROUND(IF(W118=0,0,W118/Y118)*100,2)&amp;"%",ROUND(IF(V118=0,0,V118/Y118)*100,2)&amp;"% a "&amp;ROUND(IF(W118=0,0,W118/Y118)*100,2)&amp;"%")</f>
        <v>157</v>
      </c>
      <c r="Y118" s="268">
        <f>IF($D118=$D115,Y115+SUM(O118:O120),SUM(O118:O120))</f>
        <v>721.65</v>
      </c>
      <c r="Z118" s="266">
        <f>IF($B118=" ",SUM(O118:O120),0)+Z115</f>
        <v>0</v>
      </c>
      <c r="AA118" s="266">
        <f>IF(G118="","",IF($B118="Anulado",LARGE(P118:P120,1)-SUM(O118:O120)+AA115,AA115))</f>
        <v>12.9046</v>
      </c>
      <c r="AB118" s="266">
        <f>IF($D118="","",AB115+S118)</f>
        <v>103.44</v>
      </c>
      <c r="AC118" s="269">
        <f>IF($D118="","",IF($B118=" ",IF(DAY(G118)=DAY(TODAY()),1+AC115,0+AC115),0+AC115))</f>
        <v>0</v>
      </c>
      <c r="AD118" s="270">
        <f>(1-_xlfn.XLOOKUP(K116,'Janeiro 2023 - Valor Real'!A3:A15,'Janeiro 2023 - Valor Real'!C3:C15,0))+1</f>
        <v>2</v>
      </c>
      <c r="AE118" s="271">
        <f>IF(L118="","",IF(L120&gt;0,(SUM(((L118-1)*(1-_xlfn.XLOOKUP(K118,'Janeiro 2023 - Valor Real'!A3:A15,'Janeiro 2023 - Valor Real'!C3:C15,0))+1),((L119-1)*(1-_xlfn.XLOOKUP(K119,'Janeiro 2023 - Valor Real'!A3:A15,'Janeiro 2023 - Valor Real'!C3:C15,0))+1),((L120-1)*(1-_xlfn.XLOOKUP(K120,'Janeiro 2023 - Valor Real'!A3:A15,'Janeiro 2023 - Valor Real'!C3:C15,0))+1))/((L118-1)*(1-_xlfn.XLOOKUP(K118,'Janeiro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Real'!C3:C15,0))+1))/((L118-1)*(1-_xlfn.XLOOKUP(K118,'Janeiro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Real'!C3:C15,0))+1))/((L119-1)*(1-_xlfn.XLOOKUP(K119,'Janeiro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Real'!C3:C15,0))+1))/((L120-1)*(1-_xlfn.XLOOKUP(K120,'Janeiro 2023 - Valor Real'!A3:A15,'Janeiro 2023 - Valor Real'!C3:C15,0))+1)),IF(I118="Lay",IF(I119="Lay",((L119/(L119-1)-1)*(1-_xlfn.XLOOKUP(K119,'Janeiro 2023 - Valor Real'!A3:A15,'Janeiro 2023 - Valor Real'!C3:C15,0))+1)/(((L119/(L119-1)-1)*(1-_xlfn.XLOOKUP(K119,'Janeiro 2023 - Valor Real'!A3:A15,'Janeiro 2023 - Valor Real'!C3:C15,0))+1)+((L118/(L118-1)-1)*(1-_xlfn.XLOOKUP(K118,'Janeiro 2023 - Valor Real'!A3:A15,'Janeiro 2023 - Valor Real'!C3:C15,0))+1)),((L119-1)*(1-_xlfn.XLOOKUP(K119,'Janeiro 2023 - Valor Real'!A3:A15,'Janeiro 2023 - Valor Real'!C3:C15,0))+1)/(((L119-1)*(1-_xlfn.XLOOKUP(K119,'Janeiro 2023 - Valor Real'!A3:A15,'Janeiro 2023 - Valor Real'!C3:C15,0))+1)+((L118/(L118-1)-1)*(1-_xlfn.XLOOKUP(K118,'Janeiro 2023 - Valor Real'!A3:A15,'Janeiro 2023 - Valor Real'!C3:C15,0))+1))),IF(I119="Lay",(((L119/(L119-1)-1)*(1-_xlfn.XLOOKUP(K119,'Janeiro 2023 - Valor Real'!A3:A15,'Janeiro 2023 - Valor Real'!C3:C15,0))+1))/(((L118-1)*(1-_xlfn.XLOOKUP(K118,'Janeiro 2023 - Valor Real'!A3:A15,'Janeiro 2023 - Valor Real'!C3:C15,0))+1)+((L119/(L119-1)-1)*(1-_xlfn.XLOOKUP(K119,'Janeiro 2023 - Valor Real'!A3:A15,'Janeiro 2023 - Valor Real'!C3:C15,0))+1)),((L119-1)*(1-_xlfn.XLOOKUP(K119,'Janeiro 2023 - Valor Real'!A3:A15,'Janeiro 2023 - Valor Real'!C3:C15,0))+1)/(((L119-1)*(1-_xlfn.XLOOKUP(K119,'Janeiro 2023 - Valor Real'!A3:A15,'Janeiro 2023 - Valor Real'!C3:C15,0))+1)+((L118-1)*(1-_xlfn.XLOOKUP(K118,'Janeiro 2023 - Valor Real'!A3:A15,'Janeiro 2023 - Valor Real'!C3:C15,0))+1))))))</f>
        <v>0.449074074074074</v>
      </c>
      <c r="AF118" s="132">
        <f>IF($K118=AF$3,ROUND(IF(OR($C118="W",$C118="1/2W",$C118="1/2L"),$P118-$O118,IF($C118="X",0,-$O118)),2),0)</f>
        <v>0</v>
      </c>
      <c r="AG118" s="133">
        <f>IF($K118=AG$3,ROUND(IF(OR($C118="W",$C118="1/2W",$C118="1/2L"),$P118-$O118,IF($C118="X",0,-$O118)),2),0)</f>
        <v>0</v>
      </c>
      <c r="AH118" s="133">
        <f>IF($K118=AH$3,ROUND(IF(OR($C118="W",$C118="1/2W",$C118="1/2L"),$P118-$O118,IF($C118="X",0,-$O118)),2),0)</f>
        <v>0</v>
      </c>
      <c r="AI118" s="133">
        <f>IF($K118=AI$3,ROUND(IF(OR($C118="W",$C118="1/2W",$C118="1/2L"),$P118-$O118,IF($C118="X",0,-$O118)),2),0)</f>
        <v>0</v>
      </c>
      <c r="AJ118" s="133">
        <f>IF($K118=AJ$3,ROUND(IF(OR($C118="W",$C118="1/2W",$C118="1/2L"),$P118-$O118,IF($C118="X",0,-$O118)),2),0)</f>
        <v>0</v>
      </c>
      <c r="AK118" s="133">
        <f>IF($K118=AK$3,ROUND(IF(OR($C118="W",$C118="1/2W",$C118="1/2L"),$P118-$O118,IF($C118="X",0,-$O118)),2),0)</f>
        <v>0</v>
      </c>
      <c r="AL118" s="133">
        <f>IF($K118=AL$3,ROUND(IF(OR($C118="W",$C118="1/2W",$C118="1/2L"),$P118-$O118,IF($C118="X",0,-$O118)),2),0)</f>
        <v>0</v>
      </c>
      <c r="AM118" s="133">
        <f>IF($K118=AM$3,ROUND(IF(OR($C118="W",$C118="1/2W",$C118="1/2L"),$P118-$O118,IF($C118="X",0,-$O118)),2),0)</f>
        <v>0</v>
      </c>
      <c r="AN118" s="133">
        <f>IF($K118=AN$3,ROUND(IF(OR($C118="W",$C118="1/2W",$C118="1/2L"),$P118-$O118,IF($C118="X",0,-$O118)),2),0)</f>
        <v>0</v>
      </c>
      <c r="AO118" s="133">
        <f>IF($K118=AO$3,ROUND(IF(OR($C118="W",$C118="1/2W",$C118="1/2L"),$P118-$O118,IF($C118="X",0,-$O118)),2),0)</f>
        <v>0</v>
      </c>
      <c r="AP118" s="133">
        <f>IF($K118=AP$3,ROUND(IF(OR($C118="W",$C118="1/2W",$C118="1/2L"),$P118-$O118,IF($C118="X",0,-$O118)),2),0)</f>
        <v>0</v>
      </c>
      <c r="AQ118" s="133">
        <f>IF($K118=AQ$3,ROUND(IF(OR($C118="W",$C118="1/2W",$C118="1/2L"),$P118-$O118,IF($C118="X",0,-$O118)),2),0)</f>
        <v>0</v>
      </c>
      <c r="AR118" s="134">
        <f>IF($K118=AR$3,ROUND(IF(OR($C118="W",$C118="1/2W",$C118="1/2L"),$P118-$O118,IF($C118="X",0,-$O118)),2),0)</f>
        <v>0</v>
      </c>
      <c r="AS118" s="132">
        <f>IF(AND($B118=" ",$K118=AS$3),$O118,0)</f>
        <v>0</v>
      </c>
      <c r="AT118" s="133">
        <f>IF(AND($B118=" ",$K118=AT$3),$O118,0)</f>
        <v>0</v>
      </c>
      <c r="AU118" s="133">
        <f>IF(AND($B118=" ",$K118=AU$3),$O118,0)</f>
        <v>0</v>
      </c>
      <c r="AV118" s="133">
        <f>IF(AND($B118=" ",$K118=AV$3),$O118,0)</f>
        <v>0</v>
      </c>
      <c r="AW118" s="133">
        <f>IF(AND($B118=" ",$K118=AW$3),$O118,0)</f>
        <v>0</v>
      </c>
      <c r="AX118" s="133">
        <f>IF(AND($B118=" ",$K118=AX$3),$O118,0)</f>
        <v>0</v>
      </c>
      <c r="AY118" s="135">
        <f>IF(AND($B118=" ",$K118=AY$3),$O118,0)</f>
        <v>0</v>
      </c>
      <c r="AZ118" s="136">
        <f>IF(AND($B118=" ",$K118=AZ$3),$O118,0)</f>
        <v>0</v>
      </c>
      <c r="BA118" s="136">
        <f>IF(AND($B118=" ",$K118=BA$3),$O118,0)</f>
        <v>0</v>
      </c>
      <c r="BB118" s="136">
        <f>IF(AND($B118=" ",$K118=BB$3),$O118,0)</f>
        <v>0</v>
      </c>
      <c r="BC118" s="137">
        <f>IF(AND($B118=" ",$K118=BC$3),$O118,0)</f>
        <v>0</v>
      </c>
      <c r="BD118" s="133">
        <f>IF(AND($B118=" ",$K118=BD$3),$O118,0)</f>
        <v>0</v>
      </c>
      <c r="BE118" s="134">
        <f>IF(AND($B118=" ",$K118=BE$3),$O118,0)</f>
        <v>0</v>
      </c>
      <c r="BF118" s="132">
        <f>IF($K118=BF$3,IF($C118="X",0,$O118),0)</f>
        <v>0</v>
      </c>
      <c r="BG118" s="133">
        <f>IF($K118=BG$3,IF($C118="X",0,$O118),0)</f>
        <v>0</v>
      </c>
      <c r="BH118" s="133">
        <f>IF($K118=BH$3,IF($C118="X",0,$O118),0)</f>
        <v>0</v>
      </c>
      <c r="BI118" s="133">
        <f>IF($K118=BI$3,IF($C118="X",0,$O118),0)</f>
        <v>0</v>
      </c>
      <c r="BJ118" s="133">
        <f>IF($K118=BJ$3,IF($C118="X",0,$O118),0)</f>
        <v>0</v>
      </c>
      <c r="BK118" s="133">
        <f>IF($K118=BK$3,IF($C118="X",0,$O118),0)</f>
        <v>0</v>
      </c>
      <c r="BL118" s="133">
        <f>IF($K118=BL$3,IF($C118="X",0,$O118),0)</f>
        <v>0</v>
      </c>
      <c r="BM118" s="135">
        <f>IF($K118=BM$3,IF($C118="X",0,$O118),0)</f>
        <v>0</v>
      </c>
      <c r="BN118" s="136">
        <f>IF($K118=BN$3,IF($C118="X",0,$O118),0)</f>
        <v>0</v>
      </c>
      <c r="BO118" s="136">
        <f>IF($K118=BO$3,IF($C118="X",0,$O118),0)</f>
        <v>0</v>
      </c>
      <c r="BP118" s="136">
        <f>IF($K118=BP$3,IF($C118="X",0,$O118),0)</f>
        <v>0</v>
      </c>
      <c r="BQ118" s="137">
        <f>IF($K118=BQ$3,IF($C118="X",0,$O118),0)</f>
        <v>0</v>
      </c>
      <c r="BR118" s="134">
        <f>IF($K118=BR$3,IF($C118="X",0,$O118),0)</f>
        <v>0</v>
      </c>
      <c r="BS118" s="170">
        <f>IF($B118="LOSS",IF(AND($K118=BS$3,$C118="L"),-$O118,0)+IF(AND($K119=BS$3,$C119="L"),-$O119,0)+IF(AND($K120=BS$3,$C120="L"),-$O120,0),IF(OR(AND($K118=BS$3,OR($C118="W",$C118="1/2W")),AND($K119=BS$3,OR($C119="W",$C119="1/2W")),AND($K120=BS$3,OR($C120="W",$C120="1/2W"))),$S118,0))</f>
        <v>0</v>
      </c>
      <c r="BT118" s="272">
        <f>IF($B118="LOSS",IF(AND($K118=BT$3,$C118="L"),-$O118,0)+IF(AND($K119=BT$3,$C119="L"),-$O119,0)+IF(AND($K119=BT$3,$C120="L"),-$O120,0),IF(OR(AND($K119=BT$3,OR($C118="W",$C118="1/2W")),AND($K119=BT$3,OR($C119="W",$C119="1/2W")),AND($K119=BT$3,OR($C120="W",$C120="1/2W"))),$S118,0))</f>
        <v>0</v>
      </c>
      <c r="BU118" s="136">
        <f>IF($B118="LOSS",IF(AND($K118=BU$3,$C118="L"),-$O118,0)+IF(AND($K119=BU$3,$C119="L"),-$O119,0)+IF(AND($K119=BU$3,$C120="L"),-$O120,0),IF(OR(AND($K119=BU$3,OR($C118="W",$C118="1/2W")),AND($K119=BU$3,OR($C119="W",$C119="1/2W")),AND($K119=BU$3,OR($C120="W",$C120="1/2W"))),$S118,0))</f>
        <v>0</v>
      </c>
      <c r="BV118" s="136">
        <f>IF($B118="LOSS",IF(AND($K118=BV$3,$C118="L"),-$O118,0)+IF(AND($K119=BV$3,$C119="L"),-$O119,0)+IF(AND($K120=BV$3,$C120="L"),-$O120,0),IF(OR(AND($K118=BV$3,OR($C118="W",$C118="1/2W")),AND($K119=BV$3,OR($C119="W",$C119="1/2W")),AND($K120=BV$3,OR($C120="W",$C120="1/2W"))),$S118,0))</f>
        <v>0</v>
      </c>
      <c r="BW118" s="136">
        <f>IF($B118="LOSS",IF(AND($K118=BW$3,$C118="L"),-$O118,0)+IF(AND($K119=BW$3,$C119="L"),-$O119,0)+IF(AND($K120=BW$3,$C120="L"),-$O120,0),IF(OR(AND($K118=BW$3,OR($C118="W",$C118="1/2W")),AND($K119=BW$3,OR($C119="W",$C119="1/2W")),AND($K120=BW$3,OR($C120="W",$C120="1/2W"))),$S118,0))</f>
        <v>0</v>
      </c>
      <c r="BX118" s="136">
        <f>IF($B118="LOSS",IF(AND($K118=BX$3,$C118="L"),-$O118,0)+IF(AND($K119=BX$3,$C119="L"),-$O119,0)+IF(AND($K120=BX$3,$C120="L"),-$O120,0),IF(OR(AND($K118=BX$3,OR($C118="W",$C118="1/2W")),AND($K119=BX$3,OR($C119="W",$C119="1/2W")),AND($K120=BX$3,OR($C120="W",$C120="1/2W"))),$S118,0))</f>
        <v>0</v>
      </c>
      <c r="BY118" s="136">
        <f>IF($B118="LOSS",IF(AND($K118=BY$3,$C118="L"),-$O118,0)+IF(AND($K119=BY$3,$C119="L"),-$O119,0)+IF(AND($K120=BY$3,$C120="L"),-$O120,0),IF(OR(AND($K118=BY$3,OR($C118="W",$C118="1/2W")),AND($K119=BY$3,OR($C119="W",$C119="1/2W")),AND($K120=BY$3,OR($C120="W",$C120="1/2W"))),$S118,0))</f>
        <v>0</v>
      </c>
      <c r="BZ118" s="136">
        <f>IF($B118="LOSS",IF(AND($K118=BZ$3,$C118="L"),-$O118,0)+IF(AND($K119=BZ$3,$C119="L"),-$O119,0)+IF(AND($K120=BZ$3,$C120="L"),-$O120,0),IF(OR(AND($K118=BZ$3,OR($C118="W",$C118="1/2W")),AND($K119=BZ$3,OR($C119="W",$C119="1/2W")),AND($K120=BZ$3,OR($C120="W",$C120="1/2W"))),$S118,0))</f>
        <v>0</v>
      </c>
      <c r="CA118" s="136">
        <f>IF($B118="LOSS",IF(AND($K118=CA$3,$C118="L"),-$O118,0)+IF(AND($K119=CA$3,$C119="L"),-$O119,0)+IF(AND($K120=CA$3,$C120="L"),-$O120,0),IF(OR(AND($K118=CA$3,OR($C118="W",$C118="1/2W")),AND($K119=CA$3,OR($C119="W",$C119="1/2W")),AND($K120=CA$3,OR($C120="W",$C120="1/2W"))),$S118,0))</f>
        <v>0</v>
      </c>
      <c r="CB118" s="136">
        <f>IF($B118="LOSS",IF(AND($K118=CB$3,$C118="L"),-$O118,0)+IF(AND($K119=CB$3,$C119="L"),-$O119,0)+IF(AND($K120=CB$3,$C120="L"),-$O120,0),IF(OR(AND($K118=CB$3,OR($C118="W",$C118="1/2W")),AND($K119=CB$3,OR($C119="W",$C119="1/2W")),AND($K120=CB$3,OR($C120="W",$C120="1/2W"))),$S118,0))</f>
        <v>0</v>
      </c>
      <c r="CC118" s="136">
        <f>IF($B118="LOSS",IF(AND($K118=CC$3,$C118="L"),-$O118,0)+IF(AND($K119=CC$3,$C119="L"),-$O119,0)+IF(AND($K120=CC$3,$C120="L"),-$O120,0),IF(OR(AND($K118=CC$3,OR($C118="W",$C118="1/2W")),AND($K119=CC$3,OR($C119="W",$C119="1/2W")),AND($K120=CC$3,OR($C120="W",$C120="1/2W"))),$S118,0))</f>
        <v>0</v>
      </c>
      <c r="CD118" s="137">
        <f>IF($B118="LOSS",IF(AND($K118=CD$3,$C118="L"),-$O118,0)+IF(AND($K119=CD$3,$C119="L"),-$O119,0)+IF(AND($K120=CD$3,$C120="L"),-$O120,0),IF(OR(AND($K118=CD$3,OR($C118="W",$C118="1/2W")),AND($K119=CD$3,OR($C119="W",$C119="1/2W")),AND($K120=CD$3,OR($C120="W",$C120="1/2W"))),$S118,0))</f>
        <v>0</v>
      </c>
      <c r="CE118" s="134">
        <f>IF($B118="LOSS",IF(AND($K118=CE$3,$C118="L"),-$O118,0)+IF(AND($K119=CE$3,$C119="L"),-$O119,0)+IF(AND($K120=CE$3,$C120="L"),-$O120,0),IF(OR(AND($K118=CE$3,OR($C118="W",$C118="1/2W")),AND($K119=CE$3,OR($C119="W",$C119="1/2W")),AND($K120=CE$3,OR($C120="W",$C120="1/2W"))),$S118,0))</f>
        <v>0</v>
      </c>
      <c r="CF118" s="273">
        <f>IF(CF$3=$K118,IF($C118="W",1,IF($C118="1/2W",0.5,0)),0)</f>
        <v>0</v>
      </c>
      <c r="CG118" s="274">
        <f>IF(CF$3=$K118,IF($C118="L",1,IF($C118="1/2L",0.5,0)),0)</f>
        <v>0</v>
      </c>
      <c r="CH118" s="274">
        <f>IF(CH$3=$K118,IF($C118="W",1,IF($C118="1/2W",0.5,0)),0)</f>
        <v>0</v>
      </c>
      <c r="CI118" s="274">
        <f>IF(CH$3=$K118,IF($C118="L",1,IF($C118="1/2L",0.5,0)),0)</f>
        <v>0</v>
      </c>
      <c r="CJ118" s="274">
        <f>IF(CJ$3=$K118,IF($C118="W",1,IF($C118="1/2W",0.5,0)),0)</f>
        <v>0</v>
      </c>
      <c r="CK118" s="274">
        <f>IF(CJ$3=$K118,IF($C118="L",1,IF($C118="1/2L",0.5,0)),0)</f>
        <v>0</v>
      </c>
      <c r="CL118" s="274">
        <f>IF(CL$3=$K118,IF($C118="W",1,IF($C118="1/2W",0.5,0)),0)</f>
        <v>0</v>
      </c>
      <c r="CM118" s="274">
        <f>IF(CL$3=$K118,IF($C118="L",1,IF($C118="1/2L",0.5,0)),0)</f>
        <v>0</v>
      </c>
      <c r="CN118" s="274">
        <f>IF(CN$3=$K118,IF($C118="W",1,IF($C118="1/2W",0.5,0)),0)</f>
        <v>0</v>
      </c>
      <c r="CO118" s="274">
        <f>IF(CN$3=$K118,IF($C118="L",1,IF($C118="1/2L",0.5,0)),0)</f>
        <v>0</v>
      </c>
      <c r="CP118" s="274">
        <f>IF(CP$3=$K118,IF($C118="W",1,IF($C118="1/2W",0.5,0)),0)</f>
        <v>0</v>
      </c>
      <c r="CQ118" s="274">
        <f>IF(CP$3=$K118,IF($C118="L",1,IF($C118="1/2L",0.5,0)),0)</f>
        <v>0</v>
      </c>
      <c r="CR118" s="274">
        <f>IF(CR$3=$K118,IF($C118="W",1,IF($C118="1/2W",0.5,0)),0)</f>
        <v>0</v>
      </c>
      <c r="CS118" s="274">
        <f>IF(CR$3=$K118,IF($C118="L",1,IF($C118="1/2L",0.5,0)),0)</f>
        <v>0</v>
      </c>
      <c r="CT118" s="145">
        <f>IF(CT$3=$K118,IF($C118="W",1,IF($C118="1/2W",0.5,0)),0)</f>
        <v>0</v>
      </c>
      <c r="CU118" s="146">
        <f>IF(CT$3=$K118,IF($C118="L",1,IF($C118="1/2L",0.5,0)),0)</f>
        <v>0</v>
      </c>
      <c r="CV118" s="146">
        <f>IF(CV$3=$K118,IF($C118="W",1,IF($C118="1/2W",0.5,0)),0)</f>
        <v>0</v>
      </c>
      <c r="CW118" s="146">
        <f>IF(CV$3=$K118,IF($C118="L",1,IF($C118="1/2L",0.5,0)),0)</f>
        <v>0</v>
      </c>
      <c r="CX118" s="146">
        <f>IF(CX$3=$K118,IF($C118="W",1,IF($C118="1/2W",0.5,0)),0)</f>
        <v>0</v>
      </c>
      <c r="CY118" s="146">
        <f>IF(CX$3=$K118,IF($C118="L",1,IF($C118="1/2L",0.5,0)),0)</f>
        <v>0</v>
      </c>
      <c r="CZ118" s="146">
        <f>IF(CZ$3=$K118,IF($C118="W",1,IF($C118="1/2W",0.5,0)),0)</f>
        <v>0</v>
      </c>
      <c r="DA118" s="146">
        <f>IF(CZ$3=$K118,IF($C118="L",1,IF($C118="1/2L",0.5,0)),0)</f>
        <v>0</v>
      </c>
      <c r="DB118" s="146">
        <f>IF(DB$3=$K118,IF($C118="W",1,IF($C118="1/2W",0.5,0)),0)</f>
        <v>0</v>
      </c>
      <c r="DC118" s="146">
        <f>IF(DB$3=$K118,IF($C118="L",1,IF($C118="1/2L",0.5,0)),0)</f>
        <v>0</v>
      </c>
      <c r="DD118" s="146">
        <f>IF(DD$3=$K118,IF($C118="W",1,IF($C118="1/2W",0.5,0)),0)</f>
        <v>0</v>
      </c>
      <c r="DE118" s="147">
        <f>IF(DD$3=$K118,IF($C118="L",1,IF($C118="1/2L",0.5,0)),0)</f>
        <v>0</v>
      </c>
      <c r="DF118" s="143">
        <f>IF(AND(L118&lt;DF$3,$C118="W"),1+DF117,DF117)</f>
        <v>7</v>
      </c>
      <c r="DG118" s="133">
        <f>IF(DF118&gt;DF117,L118+DG117,DG117)</f>
        <v>9.247999999999999</v>
      </c>
      <c r="DH118" s="146">
        <f>IF(AND(L118&gt;DH$3,$C118="W"),1+DH117,0+DH117)</f>
        <v>1</v>
      </c>
      <c r="DI118" s="133">
        <f>IF(DH118&gt;DH117,L118+DI117,DI117)</f>
        <v>4.33</v>
      </c>
      <c r="DJ118" t="s" s="304">
        <f>IF($D118="","",$D118)</f>
        <v>101</v>
      </c>
      <c r="DK118" s="146">
        <f>IF(AND($B118=" ",$D118&lt;&gt;""),1,0)</f>
        <v>0</v>
      </c>
    </row>
    <row r="119" ht="14.55" customHeight="1">
      <c r="A119" s="107"/>
      <c r="B119" s="108"/>
      <c r="C119" t="s" s="109">
        <v>114</v>
      </c>
      <c r="D119" s="110"/>
      <c r="E119" s="111"/>
      <c r="F119" s="113"/>
      <c r="G119" s="252"/>
      <c r="H119" s="114"/>
      <c r="I119" t="s" s="275">
        <v>54</v>
      </c>
      <c r="J119" s="276">
        <f>IF(OR(I118="TO",I118="TU",I118="TO1",I118="TU1",I118="TO2",I118="TU2"),J118,IF(OR(I118="AH1",I118="AH2"),IF(OR(I119="AH1",I119="AH2"),-J118,IF(OR(I119="EH1",I119="EH2"),-J118+0.5,"")),IF(OR(I118="EH1",I118="EH2"),IF(OR(I119="AH1",I119="AH2"),-J118+0.5,IF(OR(I119="EH1",I119="EH2"),-J118+1,"")),IF(AND(OR(I118="DNB1",I118="DNB2"),OR(I119="AH1",I119="AH2")),0,IF(AND(I118="Not ScoreBoth",OR(I119="TO1",I119="TO2")),0.5,"")))))</f>
        <v>9.5</v>
      </c>
      <c r="K119" t="s" s="117">
        <v>41</v>
      </c>
      <c r="L119" s="277">
        <v>1.94</v>
      </c>
      <c r="M119" s="278">
        <v>11.97</v>
      </c>
      <c r="N119" s="120"/>
      <c r="O119" s="121">
        <f>IF(OR(AE118="",AE119=""),"",ROUND(IF(L120&gt;0,IF(M119&gt;0,M119,IF(M118&gt;0,IF(N118=TRUE,ROUND((M118*AE119)/AE118,0),(M118*AE119)/AE118),IF(M119&gt;0,ROUND(M119,IF(N118=0,2,IF(N118=0.1,1,0))),IF(M120&gt;0,ROUND(O120*AE119/AE120,IF(N118=0,2,IF(N118=0.1,1,0))),0)))),IF(M119&gt;0,M119,ROUND((M118*AE119)/AE118,IF(N118=0,2,IF(N118=0.1,1,0))))),2))</f>
        <v>11.97</v>
      </c>
      <c r="P119" s="122">
        <f>IF(OR(L119="",O119=""),"",IF($C119="1/2W",O119/2+O119/2*L119,IF($C119="1/2L",O119/2,IF(I119="Lay",((O119*(L119/(L119-1)))-O119)*(1-_xlfn.XLOOKUP(K119,'Janeiro 2023 - Valor Real'!A3:A15,'Janeiro 2023 - Valor Real'!C3:C15,0))+O119,(O119*L119-O119)*(1-_xlfn.XLOOKUP(K119,'Janeiro 2023 - Valor Real'!A3:A15,'Janeiro 2023 - Valor Real'!C3:C15,0))+O119))))</f>
        <v>23.2218</v>
      </c>
      <c r="Q119" s="279">
        <v>7</v>
      </c>
      <c r="R119" s="280">
        <v>0</v>
      </c>
      <c r="S119" s="125"/>
      <c r="T119" s="126"/>
      <c r="U119" s="126"/>
      <c r="V119" s="224"/>
      <c r="W119" s="126"/>
      <c r="X119" s="127"/>
      <c r="Y119" s="128"/>
      <c r="Z119" s="129"/>
      <c r="AA119" s="129"/>
      <c r="AB119" s="129"/>
      <c r="AC119" s="129"/>
      <c r="AD119" s="130"/>
      <c r="AE119" s="131">
        <f>IF(L119="","",IF(L120&gt;0,(SUM(((L118-1)*(1-_xlfn.XLOOKUP(K118,'Janeiro 2023 - Valor Real'!A3:A15,'Janeiro 2023 - Valor Real'!C3:C15,0))+1),((L119-1)*(1-_xlfn.XLOOKUP(K119,'Janeiro 2023 - Valor Real'!A3:A15,'Janeiro 2023 - Valor Real'!C3:C15,0))+1),((L120-1)*(1-_xlfn.XLOOKUP(K120,'Janeiro 2023 - Valor Real'!A3:A15,'Janeiro 2023 - Valor Real'!C3:C15,0))+1))/((L119-1)*(1-_xlfn.XLOOKUP(K119,'Janeiro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Real'!C3:C15,0))+1))/((L118-1)*(1-_xlfn.XLOOKUP(K118,'Janeiro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Real'!C3:C15,0))+1))/((L119-1)*(1-_xlfn.XLOOKUP(K119,'Janeiro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Real'!C3:C15,0))+1))/((L120-1)*(1-_xlfn.XLOOKUP(K120,'Janeiro 2023 - Valor Real'!A3:A15,'Janeiro 2023 - Valor Real'!C3:C15,0))+1)),IF(I119="Lay",IF(I118="Lay",((L118/(L118-1)-1)*(1-_xlfn.XLOOKUP(K118,'Janeiro 2023 - Valor Real'!A3:A15,'Janeiro 2023 - Valor Real'!C3:C15,0))+1)/(((L118/(L118-1)-1)*(1-_xlfn.XLOOKUP(K118,'Janeiro 2023 - Valor Real'!A3:A15,'Janeiro 2023 - Valor Real'!C3:C15,0))+1)+((L119/(L119-1)-1)*(1-_xlfn.XLOOKUP(K119,'Janeiro 2023 - Valor Real'!A3:A15,'Janeiro 2023 - Valor Real'!C3:C15,0))+1)),((L118-1)*(1-_xlfn.XLOOKUP(K118,'Janeiro 2023 - Valor Real'!A3:A15,'Janeiro 2023 - Valor Real'!C3:C15,0))+1)/(((L118-1)*(1-_xlfn.XLOOKUP(K118,'Janeiro 2023 - Valor Real'!A3:A15,'Janeiro 2023 - Valor Real'!C3:C15,0))+1)+((L119/(L119-1)-1)*(1-_xlfn.XLOOKUP(K119,'Janeiro 2023 - Valor Real'!A3:A15,'Janeiro 2023 - Valor Real'!C3:C15,0))+1))),IF(I118="Lay",((L118/(L118-1)-1)*(1-_xlfn.XLOOKUP(K118,'Janeiro 2023 - Valor Real'!A3:A15,'Janeiro 2023 - Valor Real'!C3:C15,0))+1)/((((L118/(L118-1)-1)*(1-_xlfn.XLOOKUP(K118,'Janeiro 2023 - Valor Real'!A3:A15,'Janeiro 2023 - Valor Real'!C3:C15,0))+1))+((L119-1)*(1-_xlfn.XLOOKUP(K119,'Janeiro 2023 - Valor Real'!A3:A15,'Janeiro 2023 - Valor Real'!C3:C15,0))+1)),((L118-1)*(1-_xlfn.XLOOKUP(K118,'Janeiro 2023 - Valor Real'!A3:A15,'Janeiro 2023 - Valor Real'!C3:C15,0))+1)/(((L118-1)*(1-_xlfn.XLOOKUP(K118,'Janeiro 2023 - Valor Real'!A3:A15,'Janeiro 2023 - Valor Real'!C3:C15,0))+1)+((L119-1)*(1-_xlfn.XLOOKUP(K119,'Janeiro 2023 - Valor Real'!A3:A15,'Janeiro 2023 - Valor Real'!C3:C15,0))+1))))))</f>
        <v>0.550925925925926</v>
      </c>
      <c r="AF119" s="132">
        <f>IF($K119=AF$3,ROUND(IF(OR($C119="W",$C119="1/2W",$C119="1/2L"),$P119-$O119,IF($C119="X",0,-$O119)),2),0)</f>
        <v>0</v>
      </c>
      <c r="AG119" s="133">
        <f>IF($K119=AG$3,ROUND(IF(OR($C119="W",$C119="1/2W",$C119="1/2L"),$P119-$O119,IF($C119="X",0,-$O119)),2),0)</f>
        <v>0</v>
      </c>
      <c r="AH119" s="133">
        <f>IF($K119=AH$3,ROUND(IF(OR($C119="W",$C119="1/2W",$C119="1/2L"),$P119-$O119,IF($C119="X",0,-$O119)),2),0)</f>
        <v>0</v>
      </c>
      <c r="AI119" s="133">
        <f>IF($K119=AI$3,ROUND(IF(OR($C119="W",$C119="1/2W",$C119="1/2L"),$P119-$O119,IF($C119="X",0,-$O119)),2),0)</f>
        <v>0</v>
      </c>
      <c r="AJ119" s="133">
        <f>IF($K119=AJ$3,ROUND(IF(OR($C119="W",$C119="1/2W",$C119="1/2L"),$P119-$O119,IF($C119="X",0,-$O119)),2),0)</f>
        <v>0</v>
      </c>
      <c r="AK119" s="133">
        <f>IF($K119=AK$3,ROUND(IF(OR($C119="W",$C119="1/2W",$C119="1/2L"),$P119-$O119,IF($C119="X",0,-$O119)),2),0)</f>
        <v>0</v>
      </c>
      <c r="AL119" s="133">
        <f>IF($K119=AL$3,ROUND(IF(OR($C119="W",$C119="1/2W",$C119="1/2L"),$P119-$O119,IF($C119="X",0,-$O119)),2),0)</f>
        <v>0</v>
      </c>
      <c r="AM119" s="133">
        <f>IF($K119=AM$3,ROUND(IF(OR($C119="W",$C119="1/2W",$C119="1/2L"),$P119-$O119,IF($C119="X",0,-$O119)),2),0)</f>
        <v>0</v>
      </c>
      <c r="AN119" s="133">
        <f>IF($K119=AN$3,ROUND(IF(OR($C119="W",$C119="1/2W",$C119="1/2L"),$P119-$O119,IF($C119="X",0,-$O119)),2),0)</f>
        <v>0</v>
      </c>
      <c r="AO119" s="133">
        <f>IF($K119=AO$3,ROUND(IF(OR($C119="W",$C119="1/2W",$C119="1/2L"),$P119-$O119,IF($C119="X",0,-$O119)),2),0)</f>
        <v>0</v>
      </c>
      <c r="AP119" s="133">
        <f>IF($K119=AP$3,ROUND(IF(OR($C119="W",$C119="1/2W",$C119="1/2L"),$P119-$O119,IF($C119="X",0,-$O119)),2),0)</f>
        <v>0</v>
      </c>
      <c r="AQ119" s="133">
        <f>IF($K119=AQ$3,ROUND(IF(OR($C119="W",$C119="1/2W",$C119="1/2L"),$P119-$O119,IF($C119="X",0,-$O119)),2),0)</f>
        <v>0</v>
      </c>
      <c r="AR119" s="134">
        <f>IF($K119=AR$3,ROUND(IF(OR($C119="W",$C119="1/2W",$C119="1/2L"),$P119-$O119,IF($C119="X",0,-$O119)),2),0)</f>
        <v>0</v>
      </c>
      <c r="AS119" s="132">
        <f>IF(AND($B118=" ",$K119=AS$3),$O119,0)</f>
        <v>0</v>
      </c>
      <c r="AT119" s="133">
        <f>IF(AND($B118=" ",K119=AT$3),$O119,0)</f>
        <v>0</v>
      </c>
      <c r="AU119" s="133">
        <f>IF(AND($B118=" ",$K119=AU$3),$O119,0)</f>
        <v>0</v>
      </c>
      <c r="AV119" s="133">
        <f>IF(AND($B118=" ",$K119=AV$3),$O119,0)</f>
        <v>0</v>
      </c>
      <c r="AW119" s="133">
        <f>IF(AND($B118=" ",$K119=AW$3),$O119,0)</f>
        <v>0</v>
      </c>
      <c r="AX119" s="133">
        <f>IF(AND($B118=" ",$K119=AX$3),$O119,0)</f>
        <v>0</v>
      </c>
      <c r="AY119" s="135">
        <f>IF(AND($B118=" ",$K119=AY$3),$O119,0)</f>
        <v>0</v>
      </c>
      <c r="AZ119" s="136">
        <f>IF(AND($B118=" ",$K119=AZ$3),$O119,0)</f>
        <v>0</v>
      </c>
      <c r="BA119" s="136">
        <f>IF(AND($B118=" ",$K119=BA$3),$O119,0)</f>
        <v>0</v>
      </c>
      <c r="BB119" s="136">
        <f>IF(AND($B118=" ",$K119=BB$3),$O119,0)</f>
        <v>0</v>
      </c>
      <c r="BC119" s="137">
        <f>IF(AND($B118=" ",$K119=BC$3),$O119,0)</f>
        <v>0</v>
      </c>
      <c r="BD119" s="133">
        <f>IF(AND($B118=" ",$K119=BD$3),$O119,0)</f>
        <v>0</v>
      </c>
      <c r="BE119" s="134">
        <f>IF(AND($B118=" ",$K119=BE$3),$O119,0)</f>
        <v>0</v>
      </c>
      <c r="BF119" s="132">
        <f>IF($K119=BF$3,IF($C119="X",0,$O119),0)</f>
        <v>0</v>
      </c>
      <c r="BG119" s="281">
        <f>IF($K119=BG$3,IF($C119="X",0,$O119),0)</f>
        <v>0</v>
      </c>
      <c r="BH119" s="133">
        <f>IF($K119=BH$3,IF($C119="X",0,$O119),0)</f>
        <v>0</v>
      </c>
      <c r="BI119" s="133">
        <f>IF($K119=BI$3,IF($C119="X",0,$O119),0)</f>
        <v>0</v>
      </c>
      <c r="BJ119" s="133">
        <f>IF($K119=BJ$3,IF($C119="X",0,$O119),0)</f>
        <v>0</v>
      </c>
      <c r="BK119" s="133">
        <f>IF($K119=BK$3,IF($C119="X",0,$O119),0)</f>
        <v>0</v>
      </c>
      <c r="BL119" s="133">
        <f>IF($K119=BL$3,IF($C119="X",0,$O119),0)</f>
        <v>0</v>
      </c>
      <c r="BM119" s="135">
        <f>IF($K119=BM$3,IF($C119="X",0,$O119),0)</f>
        <v>0</v>
      </c>
      <c r="BN119" s="136">
        <f>IF($K119=BN$3,IF($C119="X",0,$O119),0)</f>
        <v>0</v>
      </c>
      <c r="BO119" s="136">
        <f>IF($K119=BO$3,IF($C119="X",0,$O119),0)</f>
        <v>0</v>
      </c>
      <c r="BP119" s="136">
        <f>IF($K119=BP$3,IF($C119="X",0,$O119),0)</f>
        <v>0</v>
      </c>
      <c r="BQ119" s="137">
        <f>IF($K119=BQ$3,IF($C119="X",0,$O119),0)</f>
        <v>0</v>
      </c>
      <c r="BR119" s="134">
        <f>IF($K119=BR$3,IF($C119="X",0,$O119),0)</f>
        <v>0</v>
      </c>
      <c r="BS119" s="282"/>
      <c r="BT119" s="283"/>
      <c r="BU119" s="140"/>
      <c r="BV119" s="283"/>
      <c r="BW119" s="140"/>
      <c r="BX119" s="140"/>
      <c r="BY119" s="140"/>
      <c r="BZ119" s="283"/>
      <c r="CA119" s="140"/>
      <c r="CB119" s="140"/>
      <c r="CC119" s="140"/>
      <c r="CD119" s="141"/>
      <c r="CE119" s="142"/>
      <c r="CF119" s="284">
        <f>IF(CF$3=$K119,IF($C119="W",1,IF($C119="1/2W",0.5,0)),0)</f>
        <v>0</v>
      </c>
      <c r="CG119" s="285">
        <f>IF(CF$3=$K119,IF($C119="L",1,IF($C119="1/2L",0.5,0)),0)</f>
        <v>0</v>
      </c>
      <c r="CH119" s="285">
        <f>IF(CH$3=$K119,IF($C119="W",1,IF($C119="1/2W",0.5,0)),0)</f>
        <v>0</v>
      </c>
      <c r="CI119" s="285">
        <f>IF(CH$3=$K119,IF($C119="L",1,IF($C119="1/2L",0.5,0)),0)</f>
        <v>0</v>
      </c>
      <c r="CJ119" s="285">
        <f>IF(CJ$3=$K119,IF($C119="W",1,IF($C119="1/2W",0.5,0)),0)</f>
        <v>0</v>
      </c>
      <c r="CK119" s="285">
        <f>IF(CJ$3=$K119,IF($C119="L",1,IF($C119="1/2L",0.5,0)),0)</f>
        <v>0</v>
      </c>
      <c r="CL119" s="285">
        <f>IF(CL$3=$K119,IF($C119="W",1,IF($C119="1/2W",0.5,0)),0)</f>
        <v>0</v>
      </c>
      <c r="CM119" s="285">
        <f>IF(CL$3=$K119,IF($C119="L",1,IF($C119="1/2L",0.5,0)),0)</f>
        <v>0</v>
      </c>
      <c r="CN119" s="285">
        <f>IF(CN$3=$K119,IF($C119="W",1,IF($C119="1/2W",0.5,0)),0)</f>
        <v>0</v>
      </c>
      <c r="CO119" s="285">
        <f>IF(CN$3=$K119,IF($C119="L",1,IF($C119="1/2L",0.5,0)),0)</f>
        <v>0</v>
      </c>
      <c r="CP119" s="285">
        <f>IF(CP$3=$K119,IF($C119="W",1,IF($C119="1/2W",0.5,0)),0)</f>
        <v>0</v>
      </c>
      <c r="CQ119" s="285">
        <f>IF(CP$3=$K119,IF($C119="L",1,IF($C119="1/2L",0.5,0)),0)</f>
        <v>0</v>
      </c>
      <c r="CR119" s="285">
        <f>IF(CR$3=$K119,IF($C119="W",1,IF($C119="1/2W",0.5,0)),0)</f>
        <v>0</v>
      </c>
      <c r="CS119" s="285">
        <f>IF(CR$3=$K119,IF($C119="L",1,IF($C119="1/2L",0.5,0)),0)</f>
        <v>0</v>
      </c>
      <c r="CT119" s="145">
        <f>IF(CT$3=$K119,IF($C119="W",1,IF($C119="1/2W",0.5,0)),0)</f>
        <v>0</v>
      </c>
      <c r="CU119" s="146">
        <f>IF(CT$3=$K119,IF($C119="L",1,IF($C119="1/2L",0.5,0)),0)</f>
        <v>0</v>
      </c>
      <c r="CV119" s="146">
        <f>IF(CV$3=$K119,IF($C119="W",1,IF($C119="1/2W",0.5,0)),0)</f>
        <v>0</v>
      </c>
      <c r="CW119" s="146">
        <f>IF(CV$3=$K119,IF($C119="L",1,IF($C119="1/2L",0.5,0)),0)</f>
        <v>0</v>
      </c>
      <c r="CX119" s="146">
        <f>IF(CX$3=$K119,IF($C119="W",1,IF($C119="1/2W",0.5,0)),0)</f>
        <v>0</v>
      </c>
      <c r="CY119" s="146">
        <f>IF(CX$3=$K119,IF($C119="L",1,IF($C119="1/2L",0.5,0)),0)</f>
        <v>0</v>
      </c>
      <c r="CZ119" s="146">
        <f>IF(CZ$3=$K119,IF($C119="W",1,IF($C119="1/2W",0.5,0)),0)</f>
        <v>0</v>
      </c>
      <c r="DA119" s="146">
        <f>IF(CZ$3=$K119,IF($C119="L",1,IF($C119="1/2L",0.5,0)),0)</f>
        <v>0</v>
      </c>
      <c r="DB119" s="146">
        <f>IF(DB$3=$K119,IF($C119="W",1,IF($C119="1/2W",0.5,0)),0)</f>
        <v>0</v>
      </c>
      <c r="DC119" s="146">
        <f>IF(DB$3=$K119,IF($C119="L",1,IF($C119="1/2L",0.5,0)),0)</f>
        <v>0</v>
      </c>
      <c r="DD119" s="146">
        <f>IF(DD$3=$K119,IF($C119="W",1,IF($C119="1/2W",0.5,0)),0)</f>
        <v>0</v>
      </c>
      <c r="DE119" s="147">
        <f>IF(DD$3=$K119,IF($C119="L",1,IF($C119="1/2L",0.5,0)),0)</f>
        <v>0</v>
      </c>
      <c r="DF119" s="143">
        <f>IF(AND(L119&lt;DF$3,$C119="W"),1+DF118,DF118)</f>
        <v>7</v>
      </c>
      <c r="DG119" s="133">
        <f>IF(DF119&gt;DF118,L119+DG118,DG118)</f>
        <v>9.247999999999999</v>
      </c>
      <c r="DH119" s="146">
        <f>IF(AND(L119&gt;DH$3,$C119="W"),1+DH118,0+DH118)</f>
        <v>1</v>
      </c>
      <c r="DI119" s="133">
        <f>IF(DH119&gt;DH118,L119+DI118,DI118)</f>
        <v>4.33</v>
      </c>
      <c r="DJ119" t="s" s="304">
        <f>IF($D118="","",$D118)</f>
        <v>101</v>
      </c>
      <c r="DK119" s="286"/>
    </row>
    <row r="120" ht="14.55" customHeight="1">
      <c r="A120" s="149"/>
      <c r="B120" s="150"/>
      <c r="C120" t="s" s="151">
        <v>58</v>
      </c>
      <c r="D120" s="152"/>
      <c r="E120" s="153"/>
      <c r="F120" s="155"/>
      <c r="G120" s="252"/>
      <c r="H120" s="156"/>
      <c r="I120" s="287"/>
      <c r="J120" s="288"/>
      <c r="K120" s="156"/>
      <c r="L120" s="289"/>
      <c r="M120" s="290"/>
      <c r="N120" s="161"/>
      <c r="O120" t="s" s="162">
        <f>IF(OR(AE118="",AE119=""),"",IF(L120&gt;0,ROUND(IF(M120&gt;0,M120,IF(M118&gt;0,ROUND((M118*AE120)/AE118,IF(N118=0,2,IF(N118=0.1,1,0))),IF(M119&gt;0,ROUND((M119*AE120)/AE119,IF(N118=0,2,IF(N118=0.1,1,0))),IF(M120&gt;0,M120,0)))),2),""))</f>
      </c>
      <c r="P120" t="s" s="163">
        <f>IF(I119="Lay",O119*(L119/(L119-1))-O119,IF(I118="Lay",O118*(L118/(L118-1))-O118,IF(OR(L120="",O120=""),"",IF($C120="1/2W",O120/2+O120/2*L120,IF($C120="1/2L",O120/2,(O120*L120-O120)*(1-_xlfn.XLOOKUP(K120,'Janeiro 2023 - Valor Real'!A3:A15,'Janeiro 2023 - Valor Real'!C3:C15,0))+O120)))))</f>
      </c>
      <c r="Q120" t="s" s="154"/>
      <c r="R120" t="s" s="163"/>
      <c r="S120" s="166"/>
      <c r="T120" s="155"/>
      <c r="U120" s="155"/>
      <c r="V120" s="166"/>
      <c r="W120" s="155"/>
      <c r="X120" s="167"/>
      <c r="Y120" s="128"/>
      <c r="Z120" s="129"/>
      <c r="AA120" s="129"/>
      <c r="AB120" s="129"/>
      <c r="AC120" s="129"/>
      <c r="AD120" s="168"/>
      <c r="AE120" t="s" s="169">
        <f>IF(L120="","",(SUM(((L118-1)*(1-_xlfn.XLOOKUP(K118,'Janeiro 2023 - Valor Real'!A3:A15,'Janeiro 2023 - Valor Real'!C3:C15,0))+1),((L119-1)*(1-_xlfn.XLOOKUP(K119,'Janeiro 2023 - Valor Real'!A3:A15,'Janeiro 2023 - Valor Real'!C3:C15,0))+1),((L120-1)*(1-_xlfn.XLOOKUP(K120,'Janeiro 2023 - Valor Real'!A3:A15,'Janeiro 2023 - Valor Real'!C3:C15,0))+1))/((L120-1)*(1-_xlfn.XLOOKUP(K120,'Janeiro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Real'!C3:C15,0))+1))/((L118-1)*(1-_xlfn.XLOOKUP(K118,'Janeiro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Real'!C3:C15,0))+1))/((L119-1)*(1-_xlfn.XLOOKUP(K119,'Janeiro 2023 - Valor Real'!A3:A15,'Janeiro 2023 - Valor Real'!C3:C15,0))+1)+SUM(((L118-1)*(1-_xlfn.XLOOKUP(K118,'Janeiro 2023 - Valor Real'!A3:A15,'Janeiro 2023 - Valor Real'!C3:C15,0))+1),((L119-1)*(1-_xlfn.XLOOKUP(K119,'Janeiro 2023 - Valor Real'!A3:A15,'Janeiro 2023 - Valor Real'!C3:C15,0))+1),((L120-1)*(1-_xlfn.XLOOKUP(K120,'Janeiro 2023 - Valor Real'!A3:A15,'Janeiro 2023 - Valor Real'!C3:C15,0))+1))/((L120-1)*(1-_xlfn.XLOOKUP(K120,'Janeiro 2023 - Valor Real'!A3:A15,'Janeiro 2023 - Valor Real'!C3:C15,0))+1)))</f>
      </c>
      <c r="AF120" s="132">
        <f>IF($K120=AF$3,ROUND(IF(OR($C120="W",$C120="1/2W",$C120="1/2L"),$P120-$O120,IF($C120="X",0,-$O120)),2),0)</f>
        <v>0</v>
      </c>
      <c r="AG120" s="133">
        <f>IF($K120=AG$3,ROUND(IF(OR($C120="W",$C120="1/2W",$C120="1/2L"),$P120-$O120,IF($C120="X",0,-$O120)),2),0)</f>
        <v>0</v>
      </c>
      <c r="AH120" s="133">
        <f>IF($K120=AH$3,ROUND(IF(OR($C120="W",$C120="1/2W",$C120="1/2L"),$P120-$O120,IF($C120="X",0,-$O120)),2),0)</f>
        <v>0</v>
      </c>
      <c r="AI120" s="133">
        <f>IF($K120=AI$3,ROUND(IF(OR($C120="W",$C120="1/2W",$C120="1/2L"),$P120-$O120,IF($C120="X",0,-$O120)),2),0)</f>
        <v>0</v>
      </c>
      <c r="AJ120" s="133">
        <f>IF($K120=AJ$3,ROUND(IF(OR($C120="W",$C120="1/2W",$C120="1/2L"),$P120-$O120,IF($C120="X",0,-$O120)),2),0)</f>
        <v>0</v>
      </c>
      <c r="AK120" s="133">
        <f>IF($K120=AK$3,ROUND(IF(OR($C120="W",$C120="1/2W",$C120="1/2L"),$P120-$O120,IF($C120="X",0,-$O120)),2),0)</f>
        <v>0</v>
      </c>
      <c r="AL120" s="133">
        <f>IF($K120=AL$3,ROUND(IF(OR($C120="W",$C120="1/2W",$C120="1/2L"),$P120-$O120,IF($C120="X",0,-$O120)),2),0)</f>
        <v>0</v>
      </c>
      <c r="AM120" s="133">
        <f>IF($K120=AM$3,ROUND(IF(OR($C120="W",$C120="1/2W",$C120="1/2L"),$P120-$O120,IF($C120="X",0,-$O120)),2),0)</f>
        <v>0</v>
      </c>
      <c r="AN120" s="133">
        <f>IF($K120=AN$3,ROUND(IF(OR($C120="W",$C120="1/2W",$C120="1/2L"),$P120-$O120,IF($C120="X",0,-$O120)),2),0)</f>
        <v>0</v>
      </c>
      <c r="AO120" s="133">
        <f>IF($K120=AO$3,ROUND(IF(OR($C120="W",$C120="1/2W",$C120="1/2L"),$P120-$O120,IF($C120="X",0,-$O120)),2),0)</f>
        <v>0</v>
      </c>
      <c r="AP120" s="133">
        <f>IF($K120=AP$3,ROUND(IF(OR($C120="W",$C120="1/2W",$C120="1/2L"),$P120-$O120,IF($C120="X",0,-$O120)),2),0)</f>
        <v>0</v>
      </c>
      <c r="AQ120" s="133">
        <f>IF($K120=AQ$3,ROUND(IF(OR($C120="W",$C120="1/2W",$C120="1/2L"),$P120-$O120,IF($C120="X",0,-$O120)),2),0)</f>
        <v>0</v>
      </c>
      <c r="AR120" s="134">
        <f>IF($K120=AR$3,ROUND(IF(OR($C120="W",$C120="1/2W",$C120="1/2L"),$P120-$O120,IF($C120="X",0,-$O120)),2),0)</f>
        <v>0</v>
      </c>
      <c r="AS120" s="132">
        <f>IF(AND($B118=" ",$K120=AS$3),$O120,0)</f>
        <v>0</v>
      </c>
      <c r="AT120" s="133">
        <f>IF(AND($B118=" ",K120=AT$3),$O120,0)</f>
        <v>0</v>
      </c>
      <c r="AU120" s="133">
        <f>IF(AND($B118=" ",$K120=AU$3),$O120,0)</f>
        <v>0</v>
      </c>
      <c r="AV120" s="133">
        <f>IF(AND($B118=" ",$K120=AV$3),$O120,0)</f>
        <v>0</v>
      </c>
      <c r="AW120" s="133">
        <f>IF(AND($B118=" ",$K120=AW$3),$O120,0)</f>
        <v>0</v>
      </c>
      <c r="AX120" s="133">
        <f>IF(AND($B118=" ",$K120=AX$3),$O120,0)</f>
        <v>0</v>
      </c>
      <c r="AY120" s="135">
        <f>IF(AND($B118=" ",$K120=AY$3),$O120,0)</f>
        <v>0</v>
      </c>
      <c r="AZ120" s="136">
        <f>IF(AND($B118=" ",$K120=AZ$3),$O120,0)</f>
        <v>0</v>
      </c>
      <c r="BA120" s="136">
        <f>IF(AND($B118=" ",$K120=BA$3),$O120,0)</f>
        <v>0</v>
      </c>
      <c r="BB120" s="136">
        <f>IF(AND($B118=" ",$K120=BB$3),$O120,0)</f>
        <v>0</v>
      </c>
      <c r="BC120" s="137">
        <f>IF(AND($B118=" ",$K120=BC$3),$O120,0)</f>
        <v>0</v>
      </c>
      <c r="BD120" s="133">
        <f>IF(AND($B118=" ",$K120=BD$3),$O120,0)</f>
        <v>0</v>
      </c>
      <c r="BE120" s="134">
        <f>IF(AND($B118=" ",$K120=BE$3),$O120,0)</f>
        <v>0</v>
      </c>
      <c r="BF120" s="132">
        <f>IF($K120=BF$3,IF($C120="X",0,$O120),0)</f>
        <v>0</v>
      </c>
      <c r="BG120" s="281">
        <f>IF($K120=BG$3,IF($C120="X",0,$O120),0)</f>
        <v>0</v>
      </c>
      <c r="BH120" s="133">
        <f>IF($K120=BH$3,IF($C120="X",0,$O120),0)</f>
        <v>0</v>
      </c>
      <c r="BI120" s="133">
        <f>IF($K120=BI$3,IF($C120="X",0,$O120),0)</f>
        <v>0</v>
      </c>
      <c r="BJ120" s="133">
        <f>IF($K120=BJ$3,IF($C120="X",0,$O120),0)</f>
        <v>0</v>
      </c>
      <c r="BK120" s="133">
        <f>IF($K120=BK$3,IF($C120="X",0,$O120),0)</f>
        <v>0</v>
      </c>
      <c r="BL120" s="133">
        <f>IF($K120=BL$3,IF($C120="X",0,$O120),0)</f>
        <v>0</v>
      </c>
      <c r="BM120" s="135">
        <f>IF($K120=BM$3,IF($C120="X",0,$O120),0)</f>
        <v>0</v>
      </c>
      <c r="BN120" s="136">
        <f>IF($K120=BN$3,IF($C120="X",0,$O120),0)</f>
        <v>0</v>
      </c>
      <c r="BO120" s="136">
        <f>IF($K120=BO$3,IF($C120="X",0,$O120),0)</f>
        <v>0</v>
      </c>
      <c r="BP120" s="136">
        <f>IF($K120=BP$3,IF($C120="X",0,$O120),0)</f>
        <v>0</v>
      </c>
      <c r="BQ120" s="137">
        <f>IF($K120=BQ$3,IF($C120="X",0,$O120),0)</f>
        <v>0</v>
      </c>
      <c r="BR120" s="134">
        <f>IF($K120=BR$3,IF($C120="X",0,$O120),0)</f>
        <v>0</v>
      </c>
      <c r="BS120" s="282"/>
      <c r="BT120" s="283"/>
      <c r="BU120" s="140"/>
      <c r="BV120" s="283"/>
      <c r="BW120" s="140"/>
      <c r="BX120" s="140"/>
      <c r="BY120" s="140"/>
      <c r="BZ120" s="283"/>
      <c r="CA120" s="140"/>
      <c r="CB120" s="140"/>
      <c r="CC120" s="140"/>
      <c r="CD120" s="141"/>
      <c r="CE120" s="142"/>
      <c r="CF120" s="284">
        <f>IF(CF$3=$K120,IF($C120="W",1,IF($C120="1/2W",0.5,0)),0)</f>
        <v>0</v>
      </c>
      <c r="CG120" s="285">
        <f>IF(CF$3=$K120,IF($C120="L",1,IF($C120="1/2L",0.5,0)),0)</f>
        <v>0</v>
      </c>
      <c r="CH120" s="285">
        <f>IF(CH$3=$K120,IF($C120="W",1,IF($C120="1/2W",0.5,0)),0)</f>
        <v>0</v>
      </c>
      <c r="CI120" s="285">
        <f>IF(CH$3=$K120,IF($C120="L",1,IF($C120="1/2L",0.5,0)),0)</f>
        <v>0</v>
      </c>
      <c r="CJ120" s="285">
        <f>IF(CJ$3=$K120,IF($C120="W",1,IF($C120="1/2W",0.5,0)),0)</f>
        <v>0</v>
      </c>
      <c r="CK120" s="285">
        <f>IF(CJ$3=$K120,IF($C120="L",1,IF($C120="1/2L",0.5,0)),0)</f>
        <v>0</v>
      </c>
      <c r="CL120" s="285">
        <f>IF(CL$3=$K120,IF($C120="W",1,IF($C120="1/2W",0.5,0)),0)</f>
        <v>0</v>
      </c>
      <c r="CM120" s="285">
        <f>IF(CL$3=$K120,IF($C120="L",1,IF($C120="1/2L",0.5,0)),0)</f>
        <v>0</v>
      </c>
      <c r="CN120" s="285">
        <f>IF(CN$3=$K120,IF($C120="W",1,IF($C120="1/2W",0.5,0)),0)</f>
        <v>0</v>
      </c>
      <c r="CO120" s="285">
        <f>IF(CN$3=$K120,IF($C120="L",1,IF($C120="1/2L",0.5,0)),0)</f>
        <v>0</v>
      </c>
      <c r="CP120" s="285">
        <f>IF(CP$3=$K120,IF($C120="W",1,IF($C120="1/2W",0.5,0)),0)</f>
        <v>0</v>
      </c>
      <c r="CQ120" s="285">
        <f>IF(CP$3=$K120,IF($C120="L",1,IF($C120="1/2L",0.5,0)),0)</f>
        <v>0</v>
      </c>
      <c r="CR120" s="285">
        <f>IF(CR$3=$K120,IF($C120="W",1,IF($C120="1/2W",0.5,0)),0)</f>
        <v>0</v>
      </c>
      <c r="CS120" s="285">
        <f>IF(CR$3=$K120,IF($C120="L",1,IF($C120="1/2L",0.5,0)),0)</f>
        <v>0</v>
      </c>
      <c r="CT120" s="145">
        <f>IF(CT$3=$K120,IF($C120="W",1,IF($C120="1/2W",0.5,0)),0)</f>
        <v>0</v>
      </c>
      <c r="CU120" s="146">
        <f>IF(CT$3=$K120,IF($C120="L",1,IF($C120="1/2L",0.5,0)),0)</f>
        <v>0</v>
      </c>
      <c r="CV120" s="146">
        <f>IF(CV$3=$K120,IF($C120="W",1,IF($C120="1/2W",0.5,0)),0)</f>
        <v>0</v>
      </c>
      <c r="CW120" s="146">
        <f>IF(CV$3=$K120,IF($C120="L",1,IF($C120="1/2L",0.5,0)),0)</f>
        <v>0</v>
      </c>
      <c r="CX120" s="146">
        <f>IF(CX$3=$K120,IF($C120="W",1,IF($C120="1/2W",0.5,0)),0)</f>
        <v>0</v>
      </c>
      <c r="CY120" s="146">
        <f>IF(CX$3=$K120,IF($C120="L",1,IF($C120="1/2L",0.5,0)),0)</f>
        <v>0</v>
      </c>
      <c r="CZ120" s="146">
        <f>IF(CZ$3=$K120,IF($C120="W",1,IF($C120="1/2W",0.5,0)),0)</f>
        <v>0</v>
      </c>
      <c r="DA120" s="146">
        <f>IF(CZ$3=$K120,IF($C120="L",1,IF($C120="1/2L",0.5,0)),0)</f>
        <v>0</v>
      </c>
      <c r="DB120" s="146">
        <f>IF(DB$3=$K120,IF($C120="W",1,IF($C120="1/2W",0.5,0)),0)</f>
        <v>0</v>
      </c>
      <c r="DC120" s="146">
        <f>IF(DB$3=$K120,IF($C120="L",1,IF($C120="1/2L",0.5,0)),0)</f>
        <v>0</v>
      </c>
      <c r="DD120" s="146">
        <f>IF(DD$3=$K120,IF($C120="W",1,IF($C120="1/2W",0.5,0)),0)</f>
        <v>0</v>
      </c>
      <c r="DE120" s="147">
        <f>IF(DD$3=$K120,IF($C120="L",1,IF($C120="1/2L",0.5,0)),0)</f>
        <v>0</v>
      </c>
      <c r="DF120" s="143">
        <f>IF(AND(L120&lt;DF$3,$C120="W"),1+DF119,DF119)</f>
        <v>7</v>
      </c>
      <c r="DG120" s="133">
        <f>IF(DF120&gt;DF119,L120+DG119,DG119)</f>
        <v>9.247999999999999</v>
      </c>
      <c r="DH120" s="146">
        <f>IF(AND(L120&gt;DH$3,$C120="W"),1+DH119,0+DH119)</f>
        <v>1</v>
      </c>
      <c r="DI120" s="133">
        <f>IF(DH120&gt;DH119,L120+DI119,DI119)</f>
        <v>4.33</v>
      </c>
      <c r="DJ120" t="s" s="304">
        <f>IF($D118="","",$D118)</f>
        <v>101</v>
      </c>
      <c r="DK120" s="286"/>
    </row>
    <row r="121" ht="14.55" customHeight="1">
      <c r="A121" s="171">
        <f>$A118+1</f>
        <v>40</v>
      </c>
      <c r="B121" t="s" s="172">
        <f>IF(AND(_xlfn.XLOOKUP(H121,H38:H$84,G38:G$84,0)=G121,_xlfn.XLOOKUP("TempoBet",K121:K123,L121:L123,0)&gt;0),"X",IF(OR(C121="W",C122="W",C123="W",C121="1/2W",C122="1/2W",C123="1/2W",C121="1/2L",C122="1/2L",C123="1/2L"),"OK",IF(OR(C121="L",C122="L",C123="L"),"LOSS",IF(OR(C121="X",C122="X",C123="X"),"Anulado"," "))))</f>
        <v>24</v>
      </c>
      <c r="C121" t="s" s="173">
        <v>114</v>
      </c>
      <c r="D121" t="s" s="305">
        <f>IF(G121="","",$D118)</f>
        <v>101</v>
      </c>
      <c r="E121" t="s" s="175">
        <f>IF(G121=""," ","– "&amp;COUNTIF(D$4:D123,$D121))</f>
        <v>158</v>
      </c>
      <c r="F121" t="s" s="176">
        <f>IF(G121="","",IF(OR(AND($C121&lt;&gt;" ",$C122=" "),AND($C122&lt;&gt;" ",$C121=" "),AND(L123&gt;0,OR(AND($C123&lt;&gt;" ",OR($C121=" ",$C122=" ")),AND($C123=" ",OR($C121&lt;&gt;" ",$C122&lt;&gt;" "))))),IF(SUM(F$4:F120)=0,1,LARGE(F$4:F120,1)+1),IF(MONTH(G121)=MONTH(TODAY()),IF(AND(DAY(G121)&lt;DAY(TODAY()),$B121=" "),IF(SUM(F$4:F120)=0,1,LARGE(F$4:F120,1)+1),IF($B121=" ",IF(AND(DAY(G121)=DAY(TODAY()),HOUR(G121)&lt;=HOUR(NOW())+1),IF(AND(HOUR(G121)+2&lt;=HOUR(NOW()),DAY(G121)&lt;=DAY(TODAY()),MINUTE(G121)&lt;=MINUTE(NOW())),IF(SUM(F$4:F120)=0,1,LARGE(F$4:F120,1)+1),IF(OR(MINUTE(G121)&lt;=MINUTE(NOW()),HOUR(G121)&lt;=HOUR(NOW())),"!!!","")),""),"")),"")))</f>
      </c>
      <c r="G121" s="177">
        <f>IF(H121="","",_xlfn.XLOOKUP(H121,H$4:H120,G$4:G120,""))</f>
        <v>44943.954861111109</v>
      </c>
      <c r="H121" t="s" s="178">
        <v>156</v>
      </c>
      <c r="I121" t="s" s="179">
        <v>57</v>
      </c>
      <c r="J121" s="291">
        <v>-9.5</v>
      </c>
      <c r="K121" t="s" s="181">
        <v>44</v>
      </c>
      <c r="L121" s="182">
        <v>2.32</v>
      </c>
      <c r="M121" s="183"/>
      <c r="N121" s="184">
        <v>0.1</v>
      </c>
      <c r="O121" s="185">
        <f>IF(OR(AE121="",AE122=""),"",ROUND(IF(L123&gt;0,IF(M121&gt;0,M121,IF(M122&gt;0,ROUND((M122*AE121)/AE122,IF(N121=0,2,IF(N121=0.1,1,0))),ROUND((M123*AE121)/AE123,IF(N121=0,2,IF(N121=0.1,1,0))))),IF(M121&gt;0,M121,ROUND((M122*AE121)/AE122,IF(N121=0,2,IF(N121=0.1,1,0))))),2))</f>
        <v>10</v>
      </c>
      <c r="P121" s="186">
        <f>IF(OR(L121="",O121=""),"",IF($C121="1/2W",O121/2+O121/2*L121,IF($C121="1/2L",O121/2,IF(I121="Lay",(O121*(L121/(L121-1))-O121)*(1-_xlfn.XLOOKUP(K121,'Janeiro 2023 - Valor Real'!A3:A15,'Janeiro 2023 - Valor Real'!C3:C15,0))+O121,(O121*L121-O121)*(1-_xlfn.XLOOKUP(K121,'Janeiro 2023 - Valor Real'!A3:A15,'Janeiro 2023 - Valor Real'!C3:C15,0))+O121))))</f>
        <v>23.2</v>
      </c>
      <c r="Q121" s="187">
        <f>IF(K121="","",IF(_xlfn.XLOOKUP(K121,K38:K$84,DJ38:DJ$84,0,,-1)=DJ121,_xlfn.XLOOKUP(K121,K38:K$84,Q38:Q$84,1,,-1)+1,1))</f>
        <v>6</v>
      </c>
      <c r="R121" s="188">
        <f>IF(K121="","",_xlfn.XLOOKUP(K121,K38:K$84,R38:R$84,0,,-1)+IF($C121=" ",1,0))</f>
        <v>0</v>
      </c>
      <c r="S121" s="189">
        <f>IF($B121="Anulado",0,ROUND(IF(OR($B121="LOSS",$B121="OK"),IF(OR($C121="W",$C121="1/2W",$C121="1/2L"),P121-O121,IF($C121="L",-O121,0))+IF(OR($C122="W",$C122="1/2W",$C122="1/2L"),P122-O122,IF($C122="L",-O122,0))+IF(OR($C123="W",$C123="1/2W",$C123="1/2L"),P123-O123,IF($C123="L",-O123,0)),IF(AND(OR($C121="W",$C121="1/2W",$C121="1/2L"),C122="W"),P121+P122-SUM(O121:O123)+_xlfn.XLOOKUP("X",C121:C123,O121:O123,0),IF(AND(C121=TRUE,C123="W"),P121+P123-SUM(O121:O123),IF(AND(C122="W",C123="W"),P122+P123-SUM(O121:O123)+_xlfn.XLOOKUP("X",C121:C123,O121:O123,0),IF(L123&gt;0,IF(OR($C121="W",$C121="1/2W",$C121="1/2L"),P121-SUM(O121:O123)+_xlfn.XLOOKUP("X",C121:C123,O121:O123,0),IF(OR($C121="W",$C121="1/2W",$C121="1/2L"),P122-SUM(O121:O123)+_xlfn.XLOOKUP("X",C121:C123,O121:O123,0),IF(OR($C121="W",$C121="1/2W",$C121="1/2L"),P123-SUM(O121:O123)+_xlfn.XLOOKUP("X",C121:C123,O121:O123,0),IF(SUM(P121:P123)/3-SUM(O121:O123)+_xlfn.XLOOKUP("X",C121:C123,O121:O123,0)&gt;0,SUM(P121:P123)/3-SUM(O121:O123)+_xlfn.XLOOKUP("X",C121:C123,O121:O123,0),LARGE(P121:P123,1)-SUM(O121:O123))))),IF(OR($C121="W",$C121="1/2W",$C121="1/2L"),P121-SUM(O121:O122)+_xlfn.XLOOKUP("X",C121:C123,O121:O123,0),IF(OR($C121="W",$C121="1/2W",$C121="1/2L"),P122-SUM(O121:O122)+_xlfn.XLOOKUP("X",C121:C123,O121:O123,0),SUM(P121:P122)/2-SUM(O121:O122)+_xlfn.XLOOKUP("X",C121:C123,O121:O123,0)))))))),2))</f>
        <v>0</v>
      </c>
      <c r="T121" s="190">
        <f>IF(S121=0,0,S121/SUM(O121:O123))</f>
        <v>0</v>
      </c>
      <c r="U121" s="191">
        <f>IF($D121=$D118,IF(OR($B121="LOSS",$B121="OK",$B121="Anulada"),S121,0)+U118,IF(OR($B121="LOSS",$B121="OK",$B121="Anulada"),S121,0))</f>
        <v>25.34</v>
      </c>
      <c r="V121" s="191">
        <f>IF($D121="",0,IF($D121=$D118,IF($B121=" ",IF(I123="",IF(OR(AND(I121="DNB1",I122="DNB2"),AND(OR(I121="DNB1",I121="DNB2"),J122=0),AND(OR(I122="DNB1",I122="DNB2"),J121=0),AND(I121="DNB2",I122="DNB1"),AND(IF(J121=0,(J121+1)/ROUND(J121+1,0),J121/ROUND(J121,0))=1,IF(J122=0,(J122+1)/ROUND(IF(J122="",0,J122)+1,0),IF(J122="",0,J122)/ROUND(IF(J122="",1,J122),0))=1,OR(J121&lt;&gt;""),J122&lt;&gt;"")),0,IF(S121&lt;0,IF(I123="",SMALL(P121:P122,1)-SUM(O121:O122),0),SMALL(P121:P122,1)-SUM(O121:O122))),IF(S121&lt;0,IF(I123="",SMALL(P121:P123,1)-SUM(O121:O123),0),LARGE(P121:P123,1)-SUM(O121:O123))),S121)+V118,IF(I123="",IF(OR(AND(I121="DNB1",I122="DNB2"),AND(OR(I121="DNB1",I121="DNB2"),J122=0),AND(OR(I122="DNB1",I122="DNB2"),J121=0),AND(I121="DNB2",I122="DNB1"),AND(IF(J121=0,(J121+1)/ROUND(J121+1,0),J121/ROUND(J121,0))=1,IF(J122=0,(IF(J122="",0,J122)+1)/ROUND(IF(J122="",0,J122)+1,0),IF(J122="",0,J122)/ROUND(IF(J122="",0,J122)+1,0))=1,OR(J121&lt;&gt;""),J122&lt;&gt;"")),0,IF(S121&lt;0,IF(I123="",SMALL(P121:P122,1)-SUM(O121:O122),0),SMALL(P121:P123,1)-SUM(O121:O123))),IF(S121&lt;0,IF(I123="",SMALL(P121:P123,1)-SUM(O121:O123),0),LARGE(P121:P123,1)-SUM(O121:O123)))))</f>
        <v>25.342</v>
      </c>
      <c r="W121" s="191">
        <f>IF($D121=$D118,IF(S121&lt;0,IF(I123="",S121,0),S121)+W118,S121)</f>
        <v>25.34</v>
      </c>
      <c r="X121" t="s" s="192">
        <f>IF(OR(SUM(R121:R123)=0,V121=W121),ROUND(IF(W121=0,0,W121/Y121)*100,2)&amp;"%",ROUND(IF(V121=0,0,V121/Y121)*100,2)&amp;"% a "&amp;ROUND(IF(W121=0,0,W121/Y121)*100,2)&amp;"%")</f>
        <v>159</v>
      </c>
      <c r="Y121" s="193">
        <f>IF($D121=$D118,Y118+SUM(O121:O123),SUM(O121:O123))</f>
        <v>743.62</v>
      </c>
      <c r="Z121" s="191">
        <f>IF($B121=" ",SUM(O121:O123),0)+Z118</f>
        <v>0</v>
      </c>
      <c r="AA121" s="191">
        <f>IF(G121="","",IF($B121="Anulado",LARGE(P121:P123,1)-SUM(O121:O123)+AA118,AA118))</f>
        <v>14.1564</v>
      </c>
      <c r="AB121" s="191">
        <f>IF($D121="","",AB118+S121)</f>
        <v>103.44</v>
      </c>
      <c r="AC121" s="194">
        <f>IF($D121="","",IF($B121=" ",IF(DAY(G121)=DAY(TODAY()),1+AC118,0+AC118),0+AC118))</f>
        <v>0</v>
      </c>
      <c r="AD121" s="195">
        <f>(((L122/(L122-1)-1)*(1-_xlfn.XLOOKUP(K122,'Janeiro 2023 - Valor Real'!A3:A15,'Janeiro 2023 - Valor Real'!C3:C15,0))+1))/(((L121-1)*(1-_xlfn.XLOOKUP(K121,'Janeiro 2023 - Valor Real'!A3:A15,'Janeiro 2023 - Valor Real'!C3:C15,0))+1)+((L122/(L122-1)-1)*(1-_xlfn.XLOOKUP(K122,'Janeiro 2023 - Valor Real'!A3:A15,'Janeiro 2023 - Valor Real'!C3:C15,0))+1))</f>
        <v>0.470782372354883</v>
      </c>
      <c r="AE121" s="196">
        <f>IF(L121="","",IF(L123&gt;0,(SUM(((L121-1)*(1-_xlfn.XLOOKUP(K121,'Janeiro 2023 - Valor Real'!A3:A15,'Janeiro 2023 - Valor Real'!C3:C15,0))+1),((L122-1)*(1-_xlfn.XLOOKUP(K122,'Janeiro 2023 - Valor Real'!A3:A15,'Janeiro 2023 - Valor Real'!C3:C15,0))+1),((L123-1)*(1-_xlfn.XLOOKUP(K123,'Janeiro 2023 - Valor Real'!A3:A15,'Janeiro 2023 - Valor Real'!C3:C15,0))+1))/((L121-1)*(1-_xlfn.XLOOKUP(K121,'Janeiro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Real'!C3:C15,0))+1))/((L121-1)*(1-_xlfn.XLOOKUP(K121,'Janeiro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Real'!C3:C15,0))+1))/((L122-1)*(1-_xlfn.XLOOKUP(K122,'Janeiro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Real'!C3:C15,0))+1))/((L123-1)*(1-_xlfn.XLOOKUP(K123,'Janeiro 2023 - Valor Real'!A3:A15,'Janeiro 2023 - Valor Real'!C3:C15,0))+1)),IF(I121="Lay",IF(I122="Lay",((L122/(L122-1)-1)*(1-_xlfn.XLOOKUP(K122,'Janeiro 2023 - Valor Real'!A3:A15,'Janeiro 2023 - Valor Real'!C3:C15,0))+1)/(((L122/(L122-1)-1)*(1-_xlfn.XLOOKUP(K122,'Janeiro 2023 - Valor Real'!A3:A15,'Janeiro 2023 - Valor Real'!C3:C15,0))+1)+((L121/(L121-1)-1)*(1-_xlfn.XLOOKUP(K121,'Janeiro 2023 - Valor Real'!A3:A15,'Janeiro 2023 - Valor Real'!C3:C15,0))+1)),((L122-1)*(1-_xlfn.XLOOKUP(K122,'Janeiro 2023 - Valor Real'!A3:A15,'Janeiro 2023 - Valor Real'!C3:C15,0))+1)/(((L122-1)*(1-_xlfn.XLOOKUP(K122,'Janeiro 2023 - Valor Real'!A3:A15,'Janeiro 2023 - Valor Real'!C3:C15,0))+1)+((L121/(L121-1)-1)*(1-_xlfn.XLOOKUP(K121,'Janeiro 2023 - Valor Real'!A3:A15,'Janeiro 2023 - Valor Real'!C3:C15,0))+1))),IF(I122="Lay",(((L122/(L122-1)-1)*(1-_xlfn.XLOOKUP(K122,'Janeiro 2023 - Valor Real'!A3:A15,'Janeiro 2023 - Valor Real'!C3:C15,0))+1))/(((L121-1)*(1-_xlfn.XLOOKUP(K121,'Janeiro 2023 - Valor Real'!A3:A15,'Janeiro 2023 - Valor Real'!C3:C15,0))+1)+((L122/(L122-1)-1)*(1-_xlfn.XLOOKUP(K122,'Janeiro 2023 - Valor Real'!A3:A15,'Janeiro 2023 - Valor Real'!C3:C15,0))+1)),((L122-1)*(1-_xlfn.XLOOKUP(K122,'Janeiro 2023 - Valor Real'!A3:A15,'Janeiro 2023 - Valor Real'!C3:C15,0))+1)/(((L122-1)*(1-_xlfn.XLOOKUP(K122,'Janeiro 2023 - Valor Real'!A3:A15,'Janeiro 2023 - Valor Real'!C3:C15,0))+1)+((L121-1)*(1-_xlfn.XLOOKUP(K121,'Janeiro 2023 - Valor Real'!A3:A15,'Janeiro 2023 - Valor Real'!C3:C15,0))+1))))))</f>
        <v>0.455399061032864</v>
      </c>
      <c r="AF121" s="197">
        <f>IF($K121=AF$3,ROUND(IF(OR($C121="W",$C121="1/2W",$C121="1/2L"),$P121-$O121,IF($C121="X",0,-$O121)),2),0)</f>
        <v>0</v>
      </c>
      <c r="AG121" s="198">
        <f>IF($K121=AG$3,ROUND(IF(OR($C121="W",$C121="1/2W",$C121="1/2L"),$P121-$O121,IF($C121="X",0,-$O121)),2),0)</f>
        <v>0</v>
      </c>
      <c r="AH121" s="198">
        <f>IF($K121=AH$3,ROUND(IF(OR($C121="W",$C121="1/2W",$C121="1/2L"),$P121-$O121,IF($C121="X",0,-$O121)),2),0)</f>
        <v>0</v>
      </c>
      <c r="AI121" s="198">
        <f>IF($K121=AI$3,ROUND(IF(OR($C121="W",$C121="1/2W",$C121="1/2L"),$P121-$O121,IF($C121="X",0,-$O121)),2),0)</f>
        <v>0</v>
      </c>
      <c r="AJ121" s="198">
        <f>IF($K121=AJ$3,ROUND(IF(OR($C121="W",$C121="1/2W",$C121="1/2L"),$P121-$O121,IF($C121="X",0,-$O121)),2),0)</f>
        <v>0</v>
      </c>
      <c r="AK121" s="198">
        <f>IF($K121=AK$3,ROUND(IF(OR($C121="W",$C121="1/2W",$C121="1/2L"),$P121-$O121,IF($C121="X",0,-$O121)),2),0)</f>
        <v>0</v>
      </c>
      <c r="AL121" s="198">
        <f>IF($K121=AL$3,ROUND(IF(OR($C121="W",$C121="1/2W",$C121="1/2L"),$P121-$O121,IF($C121="X",0,-$O121)),2),0)</f>
        <v>0</v>
      </c>
      <c r="AM121" s="198">
        <f>IF($K121=AM$3,ROUND(IF(OR($C121="W",$C121="1/2W",$C121="1/2L"),$P121-$O121,IF($C121="X",0,-$O121)),2),0)</f>
        <v>0</v>
      </c>
      <c r="AN121" s="198">
        <f>IF($K121=AN$3,ROUND(IF(OR($C121="W",$C121="1/2W",$C121="1/2L"),$P121-$O121,IF($C121="X",0,-$O121)),2),0)</f>
        <v>0</v>
      </c>
      <c r="AO121" s="198">
        <f>IF($K121=AO$3,ROUND(IF(OR($C121="W",$C121="1/2W",$C121="1/2L"),$P121-$O121,IF($C121="X",0,-$O121)),2),0)</f>
        <v>0</v>
      </c>
      <c r="AP121" s="198">
        <f>IF($K121=AP$3,ROUND(IF(OR($C121="W",$C121="1/2W",$C121="1/2L"),$P121-$O121,IF($C121="X",0,-$O121)),2),0)</f>
        <v>0</v>
      </c>
      <c r="AQ121" s="198">
        <f>IF($K121=AQ$3,ROUND(IF(OR($C121="W",$C121="1/2W",$C121="1/2L"),$P121-$O121,IF($C121="X",0,-$O121)),2),0)</f>
        <v>0</v>
      </c>
      <c r="AR121" s="199">
        <f>IF($K121=AR$3,ROUND(IF(OR($C121="W",$C121="1/2W",$C121="1/2L"),$P121-$O121,IF($C121="X",0,-$O121)),2),0)</f>
        <v>0</v>
      </c>
      <c r="AS121" s="197">
        <f>IF(AND($B121=" ",$K121=AS$3),$O121,0)</f>
        <v>0</v>
      </c>
      <c r="AT121" s="198">
        <f>IF(AND($B121=" ",$K121=AT$3),$O121,0)</f>
        <v>0</v>
      </c>
      <c r="AU121" s="198">
        <f>IF(AND($B121=" ",$K121=AU$3),$O121,0)</f>
        <v>0</v>
      </c>
      <c r="AV121" s="198">
        <f>IF(AND($B121=" ",$K121=AV$3),$O121,0)</f>
        <v>0</v>
      </c>
      <c r="AW121" s="198">
        <f>IF(AND($B121=" ",$K121=AW$3),$O121,0)</f>
        <v>0</v>
      </c>
      <c r="AX121" s="198">
        <f>IF(AND($B121=" ",$K121=AX$3),$O121,0)</f>
        <v>0</v>
      </c>
      <c r="AY121" s="200">
        <f>IF(AND($B121=" ",$K121=AY$3),$O121,0)</f>
        <v>0</v>
      </c>
      <c r="AZ121" s="201">
        <f>IF(AND($B121=" ",$K121=AZ$3),$O121,0)</f>
        <v>0</v>
      </c>
      <c r="BA121" s="201">
        <f>IF(AND($B121=" ",$K121=BA$3),$O121,0)</f>
        <v>0</v>
      </c>
      <c r="BB121" s="201">
        <f>IF(AND($B121=" ",$K121=BB$3),$O121,0)</f>
        <v>0</v>
      </c>
      <c r="BC121" s="202">
        <f>IF(AND($B121=" ",$K121=BC$3),$O121,0)</f>
        <v>0</v>
      </c>
      <c r="BD121" s="198">
        <f>IF(AND($B121=" ",$K121=BD$3),$O121,0)</f>
        <v>0</v>
      </c>
      <c r="BE121" s="199">
        <f>IF(AND($B121=" ",$K121=BE$3),$O121,0)</f>
        <v>0</v>
      </c>
      <c r="BF121" s="203">
        <f>IF($K121=BF$3,IF($C121="X",0,$O121),0)</f>
        <v>0</v>
      </c>
      <c r="BG121" s="198">
        <f>IF($K121=BG$3,IF($C121="X",0,$O121),0)</f>
        <v>0</v>
      </c>
      <c r="BH121" s="198">
        <f>IF($K121=BH$3,IF($C121="X",0,$O121),0)</f>
        <v>0</v>
      </c>
      <c r="BI121" s="198">
        <f>IF($K121=BI$3,IF($C121="X",0,$O121),0)</f>
        <v>0</v>
      </c>
      <c r="BJ121" s="198">
        <f>IF($K121=BJ$3,IF($C121="X",0,$O121),0)</f>
        <v>0</v>
      </c>
      <c r="BK121" s="198">
        <f>IF($K121=BK$3,IF($C121="X",0,$O121),0)</f>
        <v>0</v>
      </c>
      <c r="BL121" s="198">
        <f>IF($K121=BL$3,IF($C121="X",0,$O121),0)</f>
        <v>0</v>
      </c>
      <c r="BM121" s="200">
        <f>IF($K121=BM$3,IF($C121="X",0,$O121),0)</f>
        <v>0</v>
      </c>
      <c r="BN121" s="201">
        <f>IF($K121=BN$3,IF($C121="X",0,$O121),0)</f>
        <v>0</v>
      </c>
      <c r="BO121" s="201">
        <f>IF($K121=BO$3,IF($C121="X",0,$O121),0)</f>
        <v>0</v>
      </c>
      <c r="BP121" s="201">
        <f>IF($K121=BP$3,IF($C121="X",0,$O121),0)</f>
        <v>0</v>
      </c>
      <c r="BQ121" s="202">
        <f>IF($K121=BQ$3,IF($C121="X",0,$O121),0)</f>
        <v>0</v>
      </c>
      <c r="BR121" s="199">
        <f>IF($K121=BR$3,IF($C121="X",0,$O121),0)</f>
        <v>0</v>
      </c>
      <c r="BS121" s="204">
        <f>IF($B121="LOSS",IF(AND($K121=BS$3,$C121="L"),-$O121,0)+IF(AND($K122=BS$3,$C122="L"),-$O122,0)+IF(AND($K123=BS$3,$C123="L"),-$O123,0),IF(OR(AND($K121=BS$3,OR($C121="W",$C121="1/2W")),AND($K122=BS$3,OR($C122="W",$C122="1/2W")),AND($K123=BS$3,OR($C123="W",$C123="1/2W"))),$S121,0))</f>
        <v>0</v>
      </c>
      <c r="BT121" s="201">
        <f>IF($B121="LOSS",IF(AND($K121=BT$3,$C121="L"),-$O121,0)+IF(AND($K122=BT$3,$C122="L"),-$O122,0)+IF(AND($K122=BT$3,$C123="L"),-$O123,0),IF(OR(AND($K122=BT$3,OR($C121="W",$C121="1/2W")),AND($K122=BT$3,OR($C122="W",$C122="1/2W")),AND($K122=BT$3,OR($C123="W",$C123="1/2W"))),$S121,0))</f>
        <v>0</v>
      </c>
      <c r="BU121" s="201">
        <f>IF($B121="LOSS",IF(AND($K121=BU$3,$C121="L"),-$O121,0)+IF(AND($K122=BU$3,$C122="L"),-$O122,0)+IF(AND($K122=BU$3,$C123="L"),-$O123,0),IF(OR(AND($K122=BU$3,OR($C121="W",$C121="1/2W")),AND($K122=BU$3,OR($C122="W",$C122="1/2W")),AND($K122=BU$3,OR($C123="W",$C123="1/2W"))),$S121,0))</f>
        <v>0</v>
      </c>
      <c r="BV121" s="201">
        <f>IF($B121="LOSS",IF(AND($K121=BV$3,$C121="L"),-$O121,0)+IF(AND($K122=BV$3,$C122="L"),-$O122,0)+IF(AND($K123=BV$3,$C123="L"),-$O123,0),IF(OR(AND($K121=BV$3,OR($C121="W",$C121="1/2W")),AND($K122=BV$3,OR($C122="W",$C122="1/2W")),AND($K123=BV$3,OR($C123="W",$C123="1/2W"))),$S121,0))</f>
        <v>0</v>
      </c>
      <c r="BW121" s="201">
        <f>IF($B121="LOSS",IF(AND($K121=BW$3,$C121="L"),-$O121,0)+IF(AND($K122=BW$3,$C122="L"),-$O122,0)+IF(AND($K123=BW$3,$C123="L"),-$O123,0),IF(OR(AND($K121=BW$3,OR($C121="W",$C121="1/2W")),AND($K122=BW$3,OR($C122="W",$C122="1/2W")),AND($K123=BW$3,OR($C123="W",$C123="1/2W"))),$S121,0))</f>
        <v>0</v>
      </c>
      <c r="BX121" s="201">
        <f>IF($B121="LOSS",IF(AND($K121=BX$3,$C121="L"),-$O121,0)+IF(AND($K122=BX$3,$C122="L"),-$O122,0)+IF(AND($K123=BX$3,$C123="L"),-$O123,0),IF(OR(AND($K121=BX$3,OR($C121="W",$C121="1/2W")),AND($K122=BX$3,OR($C122="W",$C122="1/2W")),AND($K123=BX$3,OR($C123="W",$C123="1/2W"))),$S121,0))</f>
        <v>0</v>
      </c>
      <c r="BY121" s="201">
        <f>IF($B121="LOSS",IF(AND($K121=BY$3,$C121="L"),-$O121,0)+IF(AND($K122=BY$3,$C122="L"),-$O122,0)+IF(AND($K123=BY$3,$C123="L"),-$O123,0),IF(OR(AND($K121=BY$3,OR($C121="W",$C121="1/2W")),AND($K122=BY$3,OR($C122="W",$C122="1/2W")),AND($K123=BY$3,OR($C123="W",$C123="1/2W"))),$S121,0))</f>
        <v>0</v>
      </c>
      <c r="BZ121" s="205">
        <f>IF($B121="LOSS",IF(AND($K121=BZ$3,$C121="L"),-$O121,0)+IF(AND($K122=BZ$3,$C122="L"),-$O122,0)+IF(AND($K123=BZ$3,$C123="L"),-$O123,0),IF(OR(AND($K121=BZ$3,OR($C121="W",$C121="1/2W")),AND($K122=BZ$3,OR($C122="W",$C122="1/2W")),AND($K123=BZ$3,OR($C123="W",$C123="1/2W"))),$S121,0))</f>
        <v>0</v>
      </c>
      <c r="CA121" s="205">
        <f>IF($B121="LOSS",IF(AND($K121=CA$3,$C121="L"),-$O121,0)+IF(AND($K122=CA$3,$C122="L"),-$O122,0)+IF(AND($K123=CA$3,$C123="L"),-$O123,0),IF(OR(AND($K121=CA$3,OR($C121="W",$C121="1/2W")),AND($K122=CA$3,OR($C122="W",$C122="1/2W")),AND($K123=CA$3,OR($C123="W",$C123="1/2W"))),$S121,0))</f>
        <v>0</v>
      </c>
      <c r="CB121" s="205">
        <f>IF($B121="LOSS",IF(AND($K121=CB$3,$C121="L"),-$O121,0)+IF(AND($K122=CB$3,$C122="L"),-$O122,0)+IF(AND($K123=CB$3,$C123="L"),-$O123,0),IF(OR(AND($K121=CB$3,OR($C121="W",$C121="1/2W")),AND($K122=CB$3,OR($C122="W",$C122="1/2W")),AND($K123=CB$3,OR($C123="W",$C123="1/2W"))),$S121,0))</f>
        <v>0</v>
      </c>
      <c r="CC121" s="205">
        <f>IF($B121="LOSS",IF(AND($K121=CC$3,$C121="L"),-$O121,0)+IF(AND($K122=CC$3,$C122="L"),-$O122,0)+IF(AND($K123=CC$3,$C123="L"),-$O123,0),IF(OR(AND($K121=CC$3,OR($C121="W",$C121="1/2W")),AND($K122=CC$3,OR($C122="W",$C122="1/2W")),AND($K123=CC$3,OR($C123="W",$C123="1/2W"))),$S121,0))</f>
        <v>0</v>
      </c>
      <c r="CD121" s="202">
        <f>IF($B121="LOSS",IF(AND($K121=CD$3,$C121="L"),-$O121,0)+IF(AND($K122=CD$3,$C122="L"),-$O122,0)+IF(AND($K123=CD$3,$C123="L"),-$O123,0),IF(OR(AND($K121=CD$3,OR($C121="W",$C121="1/2W")),AND($K122=CD$3,OR($C122="W",$C122="1/2W")),AND($K123=CD$3,OR($C123="W",$C123="1/2W"))),$S121,0))</f>
        <v>0</v>
      </c>
      <c r="CE121" s="199">
        <f>IF($B121="LOSS",IF(AND($K121=CE$3,$C121="L"),-$O121,0)+IF(AND($K122=CE$3,$C122="L"),-$O122,0)+IF(AND($K123=CE$3,$C123="L"),-$O123,0),IF(OR(AND($K121=CE$3,OR($C121="W",$C121="1/2W")),AND($K122=CE$3,OR($C122="W",$C122="1/2W")),AND($K123=CE$3,OR($C123="W",$C123="1/2W"))),$S121,0))</f>
        <v>0</v>
      </c>
      <c r="CF121" s="206">
        <f>IF(CF$3=$K121,IF($C121="W",1,IF($C121="1/2W",0.5,0)),0)</f>
        <v>0</v>
      </c>
      <c r="CG121" s="207">
        <f>IF(CF$3=$K121,IF($C121="L",1,IF($C121="1/2L",0.5,0)),0)</f>
        <v>0</v>
      </c>
      <c r="CH121" s="207">
        <f>IF(CH$3=$K121,IF($C121="W",1,IF($C121="1/2W",0.5,0)),0)</f>
        <v>0</v>
      </c>
      <c r="CI121" s="207">
        <f>IF(CH$3=$K121,IF($C121="L",1,IF($C121="1/2L",0.5,0)),0)</f>
        <v>0</v>
      </c>
      <c r="CJ121" s="207">
        <f>IF(CJ$3=$K121,IF($C121="W",1,IF($C121="1/2W",0.5,0)),0)</f>
        <v>0</v>
      </c>
      <c r="CK121" s="207">
        <f>IF(CJ$3=$K121,IF($C121="L",1,IF($C121="1/2L",0.5,0)),0)</f>
        <v>0</v>
      </c>
      <c r="CL121" s="207">
        <f>IF(CL$3=$K121,IF($C121="W",1,IF($C121="1/2W",0.5,0)),0)</f>
        <v>0</v>
      </c>
      <c r="CM121" s="207">
        <f>IF(CL$3=$K121,IF($C121="L",1,IF($C121="1/2L",0.5,0)),0)</f>
        <v>0</v>
      </c>
      <c r="CN121" s="207">
        <f>IF(CN$3=$K121,IF($C121="W",1,IF($C121="1/2W",0.5,0)),0)</f>
        <v>0</v>
      </c>
      <c r="CO121" s="207">
        <f>IF(CN$3=$K121,IF($C121="L",1,IF($C121="1/2L",0.5,0)),0)</f>
        <v>0</v>
      </c>
      <c r="CP121" s="207">
        <f>IF(CP$3=$K121,IF($C121="W",1,IF($C121="1/2W",0.5,0)),0)</f>
        <v>0</v>
      </c>
      <c r="CQ121" s="207">
        <f>IF(CP$3=$K121,IF($C121="L",1,IF($C121="1/2L",0.5,0)),0)</f>
        <v>0</v>
      </c>
      <c r="CR121" s="207">
        <f>IF(CR$3=$K121,IF($C121="W",1,IF($C121="1/2W",0.5,0)),0)</f>
        <v>0</v>
      </c>
      <c r="CS121" s="207">
        <f>IF(CR$3=$K121,IF($C121="L",1,IF($C121="1/2L",0.5,0)),0)</f>
        <v>0</v>
      </c>
      <c r="CT121" s="208">
        <f>IF(CT$3=$K121,IF($C121="W",1,IF($C121="1/2W",0.5,0)),0)</f>
        <v>0</v>
      </c>
      <c r="CU121" s="209">
        <f>IF(CT$3=$K121,IF($C121="L",1,IF($C121="1/2L",0.5,0)),0)</f>
        <v>0</v>
      </c>
      <c r="CV121" s="209">
        <f>IF(CV$3=$K121,IF($C121="W",1,IF($C121="1/2W",0.5,0)),0)</f>
        <v>0</v>
      </c>
      <c r="CW121" s="209">
        <f>IF(CV$3=$K121,IF($C121="L",1,IF($C121="1/2L",0.5,0)),0)</f>
        <v>0</v>
      </c>
      <c r="CX121" s="209">
        <f>IF(CX$3=$K121,IF($C121="W",1,IF($C121="1/2W",0.5,0)),0)</f>
        <v>0</v>
      </c>
      <c r="CY121" s="209">
        <f>IF(CX$3=$K121,IF($C121="L",1,IF($C121="1/2L",0.5,0)),0)</f>
        <v>0</v>
      </c>
      <c r="CZ121" s="209">
        <f>IF(CZ$3=$K121,IF($C121="W",1,IF($C121="1/2W",0.5,0)),0)</f>
        <v>0</v>
      </c>
      <c r="DA121" s="209">
        <f>IF(CZ$3=$K121,IF($C121="L",1,IF($C121="1/2L",0.5,0)),0)</f>
        <v>0</v>
      </c>
      <c r="DB121" s="209">
        <f>IF(DB$3=$K121,IF($C121="W",1,IF($C121="1/2W",0.5,0)),0)</f>
        <v>0</v>
      </c>
      <c r="DC121" s="209">
        <f>IF(DB$3=$K121,IF($C121="L",1,IF($C121="1/2L",0.5,0)),0)</f>
        <v>0</v>
      </c>
      <c r="DD121" s="209">
        <f>IF(DD$3=$K121,IF($C121="W",1,IF($C121="1/2W",0.5,0)),0)</f>
        <v>0</v>
      </c>
      <c r="DE121" s="210">
        <f>IF(DD$3=$K121,IF($C121="L",1,IF($C121="1/2L",0.5,0)),0)</f>
        <v>0</v>
      </c>
      <c r="DF121" s="211">
        <f>IF(AND(L121&lt;DF$3,$C121="W"),1+DF120,DF120)</f>
        <v>7</v>
      </c>
      <c r="DG121" s="198">
        <f>IF(DF121&gt;DF120,L121+DG120,DG120)</f>
        <v>9.247999999999999</v>
      </c>
      <c r="DH121" s="209">
        <f>IF(AND(L121&gt;DH$3,$C121="W"),1+DH120,0+DH120)</f>
        <v>1</v>
      </c>
      <c r="DI121" s="198">
        <f>IF(DH121&gt;DH120,L121+DI120,DI120)</f>
        <v>4.33</v>
      </c>
      <c r="DJ121" t="s" s="306">
        <f>IF($D121="","",$D121)</f>
        <v>101</v>
      </c>
      <c r="DK121" s="209">
        <f>IF(AND($B121=" ",$D121&lt;&gt;""),1,0)</f>
        <v>0</v>
      </c>
    </row>
    <row r="122" ht="14.55" customHeight="1">
      <c r="A122" s="107"/>
      <c r="B122" s="108"/>
      <c r="C122" t="s" s="213">
        <v>114</v>
      </c>
      <c r="D122" s="110"/>
      <c r="E122" s="111"/>
      <c r="F122" s="113"/>
      <c r="G122" s="214"/>
      <c r="H122" s="114"/>
      <c r="I122" t="s" s="215">
        <v>54</v>
      </c>
      <c r="J122" s="296">
        <f>IF(OR(I121="TO",I121="TU",I121="TO1",I121="TU1",I121="TO2",I121="TU2"),J121,IF(OR(I121="AH1",I121="AH2"),IF(OR(I122="AH1",I122="AH2"),-J121,IF(OR(I122="EH1",I122="EH2"),-J121+0.5,"")),IF(OR(I121="EH1",I121="EH2"),IF(OR(I122="AH1",I122="AH2"),-J121+0.5,IF(OR(I122="EH1",I122="EH2"),-J121+1,"")),IF(AND(OR(I121="DNB1",I121="DNB2"),OR(I122="AH1",I122="AH2")),0,IF(AND(I121="Not ScoreBoth",OR(I122="TO1",I122="TO2")),0.5,"")))))</f>
        <v>9.5</v>
      </c>
      <c r="K122" t="s" s="217">
        <v>41</v>
      </c>
      <c r="L122" s="218">
        <v>1.94</v>
      </c>
      <c r="M122" s="219">
        <v>11.97</v>
      </c>
      <c r="N122" s="120"/>
      <c r="O122" s="220">
        <f>IF(OR(AE121="",AE122=""),"",ROUND(IF(L123&gt;0,IF(M122&gt;0,M122,IF(M121&gt;0,IF(N121=TRUE,ROUND((M121*AE122)/AE121,0),(M121*AE122)/AE121),IF(M122&gt;0,ROUND(M122,IF(N121=0,2,IF(N121=0.1,1,0))),IF(M123&gt;0,ROUND(O123*AE122/AE123,IF(N121=0,2,IF(N121=0.1,1,0))),0)))),IF(M122&gt;0,M122,ROUND((M121*AE122)/AE121,IF(N121=0,2,IF(N121=0.1,1,0))))),2))</f>
        <v>11.97</v>
      </c>
      <c r="P122" s="221">
        <f>IF(OR(L122="",O122=""),"",IF($C122="1/2W",O122/2+O122/2*L122,IF($C122="1/2L",O122/2,IF(I122="Lay",((O122*(L122/(L122-1)))-O122)*(1-_xlfn.XLOOKUP(K122,'Janeiro 2023 - Valor Real'!A3:A15,'Janeiro 2023 - Valor Real'!C3:C15,0))+O122,(O122*L122-O122)*(1-_xlfn.XLOOKUP(K122,'Janeiro 2023 - Valor Real'!A3:A15,'Janeiro 2023 - Valor Real'!C3:C15,0))+O122))))</f>
        <v>23.2218</v>
      </c>
      <c r="Q122" s="222">
        <f>IF(K122="","",IF(_xlfn.XLOOKUP(K122,K38:K$85,DJ38:DJ$85,0,,-1)=DJ122,_xlfn.XLOOKUP(K122,K38:K$85,Q38:Q$85,1,,-1)+1,1))</f>
        <v>6</v>
      </c>
      <c r="R122" s="223">
        <f>IF(K122="","",_xlfn.XLOOKUP(K122,K38:K$85,R38:R$85,0,,-1)+IF($C122=" ",1,0))</f>
        <v>0</v>
      </c>
      <c r="S122" s="125"/>
      <c r="T122" s="126"/>
      <c r="U122" s="126"/>
      <c r="V122" s="224"/>
      <c r="W122" s="126"/>
      <c r="X122" s="127"/>
      <c r="Y122" s="128"/>
      <c r="Z122" s="129"/>
      <c r="AA122" s="129"/>
      <c r="AB122" s="129"/>
      <c r="AC122" s="129"/>
      <c r="AD122" s="225">
        <f>(((L122/(L122-1)-1)*(1-_xlfn.XLOOKUP(K122,'Janeiro 2023 - Valor Real'!A3:A15,'Janeiro 2023 - Valor Real'!C3:C15,0))+1))</f>
        <v>2.06382978723404</v>
      </c>
      <c r="AE122" s="226">
        <f>IF(L122="","",IF(L123&gt;0,(SUM(((L121-1)*(1-_xlfn.XLOOKUP(K121,'Janeiro 2023 - Valor Real'!A3:A15,'Janeiro 2023 - Valor Real'!C3:C15,0))+1),((L122-1)*(1-_xlfn.XLOOKUP(K122,'Janeiro 2023 - Valor Real'!A3:A15,'Janeiro 2023 - Valor Real'!C3:C15,0))+1),((L123-1)*(1-_xlfn.XLOOKUP(K123,'Janeiro 2023 - Valor Real'!A3:A15,'Janeiro 2023 - Valor Real'!C3:C15,0))+1))/((L122-1)*(1-_xlfn.XLOOKUP(K122,'Janeiro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Real'!C3:C15,0))+1))/((L121-1)*(1-_xlfn.XLOOKUP(K121,'Janeiro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Real'!C3:C15,0))+1))/((L122-1)*(1-_xlfn.XLOOKUP(K122,'Janeiro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Real'!C3:C15,0))+1))/((L123-1)*(1-_xlfn.XLOOKUP(K123,'Janeiro 2023 - Valor Real'!A3:A15,'Janeiro 2023 - Valor Real'!C3:C15,0))+1)),IF(I122="Lay",IF(I121="Lay",((L121/(L121-1)-1)*(1-_xlfn.XLOOKUP(K121,'Janeiro 2023 - Valor Real'!A3:A15,'Janeiro 2023 - Valor Real'!C3:C15,0))+1)/(((L121/(L121-1)-1)*(1-_xlfn.XLOOKUP(K121,'Janeiro 2023 - Valor Real'!A3:A15,'Janeiro 2023 - Valor Real'!C3:C15,0))+1)+((L122/(L122-1)-1)*(1-_xlfn.XLOOKUP(K122,'Janeiro 2023 - Valor Real'!A3:A15,'Janeiro 2023 - Valor Real'!C3:C15,0))+1)),((L121-1)*(1-_xlfn.XLOOKUP(K121,'Janeiro 2023 - Valor Real'!A3:A15,'Janeiro 2023 - Valor Real'!C3:C15,0))+1)/(((L121-1)*(1-_xlfn.XLOOKUP(K121,'Janeiro 2023 - Valor Real'!A3:A15,'Janeiro 2023 - Valor Real'!C3:C15,0))+1)+((L122/(L122-1)-1)*(1-_xlfn.XLOOKUP(K122,'Janeiro 2023 - Valor Real'!A3:A15,'Janeiro 2023 - Valor Real'!C3:C15,0))+1))),IF(I121="Lay",((L121/(L121-1)-1)*(1-_xlfn.XLOOKUP(K121,'Janeiro 2023 - Valor Real'!A3:A15,'Janeiro 2023 - Valor Real'!C3:C15,0))+1)/((((L121/(L121-1)-1)*(1-_xlfn.XLOOKUP(K121,'Janeiro 2023 - Valor Real'!A3:A15,'Janeiro 2023 - Valor Real'!C3:C15,0))+1))+((L122-1)*(1-_xlfn.XLOOKUP(K122,'Janeiro 2023 - Valor Real'!A3:A15,'Janeiro 2023 - Valor Real'!C3:C15,0))+1)),((L121-1)*(1-_xlfn.XLOOKUP(K121,'Janeiro 2023 - Valor Real'!A3:A15,'Janeiro 2023 - Valor Real'!C3:C15,0))+1)/(((L121-1)*(1-_xlfn.XLOOKUP(K121,'Janeiro 2023 - Valor Real'!A3:A15,'Janeiro 2023 - Valor Real'!C3:C15,0))+1)+((L122-1)*(1-_xlfn.XLOOKUP(K122,'Janeiro 2023 - Valor Real'!A3:A15,'Janeiro 2023 - Valor Real'!C3:C15,0))+1))))))</f>
        <v>0.544600938967136</v>
      </c>
      <c r="AF122" s="197">
        <f>IF($K122=AF$3,ROUND(IF(OR($C122="W",$C122="1/2W",$C122="1/2L"),$P122-$O122,IF($C122="X",0,-$O122)),2),0)</f>
        <v>0</v>
      </c>
      <c r="AG122" s="198">
        <f>IF($K122=AG$3,ROUND(IF(OR($C122="W",$C122="1/2W",$C122="1/2L"),$P122-$O122,IF($C122="X",0,-$O122)),2),0)</f>
        <v>0</v>
      </c>
      <c r="AH122" s="198">
        <f>IF($K122=AH$3,ROUND(IF(OR($C122="W",$C122="1/2W",$C122="1/2L"),$P122-$O122,IF($C122="X",0,-$O122)),2),0)</f>
        <v>0</v>
      </c>
      <c r="AI122" s="198">
        <f>IF($K122=AI$3,ROUND(IF(OR($C122="W",$C122="1/2W",$C122="1/2L"),$P122-$O122,IF($C122="X",0,-$O122)),2),0)</f>
        <v>0</v>
      </c>
      <c r="AJ122" s="198">
        <f>IF($K122=AJ$3,ROUND(IF(OR($C122="W",$C122="1/2W",$C122="1/2L"),$P122-$O122,IF($C122="X",0,-$O122)),2),0)</f>
        <v>0</v>
      </c>
      <c r="AK122" s="198">
        <f>IF($K122=AK$3,ROUND(IF(OR($C122="W",$C122="1/2W",$C122="1/2L"),$P122-$O122,IF($C122="X",0,-$O122)),2),0)</f>
        <v>0</v>
      </c>
      <c r="AL122" s="198">
        <f>IF($K122=AL$3,ROUND(IF(OR($C122="W",$C122="1/2W",$C122="1/2L"),$P122-$O122,IF($C122="X",0,-$O122)),2),0)</f>
        <v>0</v>
      </c>
      <c r="AM122" s="198">
        <f>IF($K122=AM$3,ROUND(IF(OR($C122="W",$C122="1/2W",$C122="1/2L"),$P122-$O122,IF($C122="X",0,-$O122)),2),0)</f>
        <v>0</v>
      </c>
      <c r="AN122" s="198">
        <f>IF($K122=AN$3,ROUND(IF(OR($C122="W",$C122="1/2W",$C122="1/2L"),$P122-$O122,IF($C122="X",0,-$O122)),2),0)</f>
        <v>0</v>
      </c>
      <c r="AO122" s="198">
        <f>IF($K122=AO$3,ROUND(IF(OR($C122="W",$C122="1/2W",$C122="1/2L"),$P122-$O122,IF($C122="X",0,-$O122)),2),0)</f>
        <v>0</v>
      </c>
      <c r="AP122" s="198">
        <f>IF($K122=AP$3,ROUND(IF(OR($C122="W",$C122="1/2W",$C122="1/2L"),$P122-$O122,IF($C122="X",0,-$O122)),2),0)</f>
        <v>0</v>
      </c>
      <c r="AQ122" s="198">
        <f>IF($K122=AQ$3,ROUND(IF(OR($C122="W",$C122="1/2W",$C122="1/2L"),$P122-$O122,IF($C122="X",0,-$O122)),2),0)</f>
        <v>0</v>
      </c>
      <c r="AR122" s="199">
        <f>IF($K122=AR$3,ROUND(IF(OR($C122="W",$C122="1/2W",$C122="1/2L"),$P122-$O122,IF($C122="X",0,-$O122)),2),0)</f>
        <v>0</v>
      </c>
      <c r="AS122" s="197">
        <f>IF(AND($B121=" ",$K122=AS$3),$O122,0)</f>
        <v>0</v>
      </c>
      <c r="AT122" s="198">
        <f>IF(AND($B121=" ",K122=AT$3),$O122,0)</f>
        <v>0</v>
      </c>
      <c r="AU122" s="198">
        <f>IF(AND($B121=" ",$K122=AU$3),$O122,0)</f>
        <v>0</v>
      </c>
      <c r="AV122" s="198">
        <f>IF(AND($B121=" ",$K122=AV$3),$O122,0)</f>
        <v>0</v>
      </c>
      <c r="AW122" s="198">
        <f>IF(AND($B121=" ",$K122=AW$3),$O122,0)</f>
        <v>0</v>
      </c>
      <c r="AX122" s="198">
        <f>IF(AND($B121=" ",$K122=AX$3),$O122,0)</f>
        <v>0</v>
      </c>
      <c r="AY122" s="200">
        <f>IF(AND($B121=" ",$K122=AY$3),$O122,0)</f>
        <v>0</v>
      </c>
      <c r="AZ122" s="201">
        <f>IF(AND($B121=" ",$K122=AZ$3),$O122,0)</f>
        <v>0</v>
      </c>
      <c r="BA122" s="201">
        <f>IF(AND($B121=" ",$K122=BA$3),$O122,0)</f>
        <v>0</v>
      </c>
      <c r="BB122" s="201">
        <f>IF(AND($B121=" ",$K122=BB$3),$O122,0)</f>
        <v>0</v>
      </c>
      <c r="BC122" s="202">
        <f>IF(AND($B121=" ",$K122=BC$3),$O122,0)</f>
        <v>0</v>
      </c>
      <c r="BD122" s="198">
        <f>IF(AND($B121=" ",$K122=BD$3),$O122,0)</f>
        <v>0</v>
      </c>
      <c r="BE122" s="199">
        <f>IF(AND($B121=" ",$K122=BE$3),$O122,0)</f>
        <v>0</v>
      </c>
      <c r="BF122" s="197">
        <f>IF($K122=BF$3,IF($C122="X",0,$O122),0)</f>
        <v>0</v>
      </c>
      <c r="BG122" s="198">
        <f>IF($K122=BG$3,IF($C122="X",0,$O122),0)</f>
        <v>0</v>
      </c>
      <c r="BH122" s="198">
        <f>IF($K122=BH$3,IF($C122="X",0,$O122),0)</f>
        <v>0</v>
      </c>
      <c r="BI122" s="198">
        <f>IF($K122=BI$3,IF($C122="X",0,$O122),0)</f>
        <v>0</v>
      </c>
      <c r="BJ122" s="198">
        <f>IF($K122=BJ$3,IF($C122="X",0,$O122),0)</f>
        <v>0</v>
      </c>
      <c r="BK122" s="198">
        <f>IF($K122=BK$3,IF($C122="X",0,$O122),0)</f>
        <v>0</v>
      </c>
      <c r="BL122" s="198">
        <f>IF($K122=BL$3,IF($C122="X",0,$O122),0)</f>
        <v>0</v>
      </c>
      <c r="BM122" s="227">
        <f>IF($K122=BM$3,IF($C122="X",0,$O122),0)</f>
        <v>0</v>
      </c>
      <c r="BN122" s="205">
        <f>IF($K122=BN$3,IF($C122="X",0,$O122),0)</f>
        <v>0</v>
      </c>
      <c r="BO122" s="205">
        <f>IF($K122=BO$3,IF($C122="X",0,$O122),0)</f>
        <v>0</v>
      </c>
      <c r="BP122" s="205">
        <f>IF($K122=BP$3,IF($C122="X",0,$O122),0)</f>
        <v>0</v>
      </c>
      <c r="BQ122" s="202">
        <f>IF($K122=BQ$3,IF($C122="X",0,$O122),0)</f>
        <v>0</v>
      </c>
      <c r="BR122" s="199">
        <f>IF($K122=BR$3,IF($C122="X",0,$O122),0)</f>
        <v>0</v>
      </c>
      <c r="BS122" s="228"/>
      <c r="BT122" s="229"/>
      <c r="BU122" s="140"/>
      <c r="BV122" s="229"/>
      <c r="BW122" s="140"/>
      <c r="BX122" s="140"/>
      <c r="BY122" s="140"/>
      <c r="BZ122" s="229"/>
      <c r="CA122" s="140"/>
      <c r="CB122" s="140"/>
      <c r="CC122" s="140"/>
      <c r="CD122" s="141"/>
      <c r="CE122" s="142"/>
      <c r="CF122" s="230">
        <f>IF(CF$3=$K122,IF($C122="W",1,IF($C122="1/2W",0.5,0)),0)</f>
        <v>0</v>
      </c>
      <c r="CG122" s="231">
        <f>IF(CF$3=$K122,IF($C122="L",1,IF($C122="1/2L",0.5,0)),0)</f>
        <v>0</v>
      </c>
      <c r="CH122" s="231">
        <f>IF(CH$3=$K122,IF($C122="W",1,IF($C122="1/2W",0.5,0)),0)</f>
        <v>0</v>
      </c>
      <c r="CI122" s="231">
        <f>IF(CH$3=$K122,IF($C122="L",1,IF($C122="1/2L",0.5,0)),0)</f>
        <v>0</v>
      </c>
      <c r="CJ122" s="231">
        <f>IF(CJ$3=$K122,IF($C122="W",1,IF($C122="1/2W",0.5,0)),0)</f>
        <v>0</v>
      </c>
      <c r="CK122" s="231">
        <f>IF(CJ$3=$K122,IF($C122="L",1,IF($C122="1/2L",0.5,0)),0)</f>
        <v>0</v>
      </c>
      <c r="CL122" s="231">
        <f>IF(CL$3=$K122,IF($C122="W",1,IF($C122="1/2W",0.5,0)),0)</f>
        <v>0</v>
      </c>
      <c r="CM122" s="231">
        <f>IF(CL$3=$K122,IF($C122="L",1,IF($C122="1/2L",0.5,0)),0)</f>
        <v>0</v>
      </c>
      <c r="CN122" s="231">
        <f>IF(CN$3=$K122,IF($C122="W",1,IF($C122="1/2W",0.5,0)),0)</f>
        <v>0</v>
      </c>
      <c r="CO122" s="231">
        <f>IF(CN$3=$K122,IF($C122="L",1,IF($C122="1/2L",0.5,0)),0)</f>
        <v>0</v>
      </c>
      <c r="CP122" s="231">
        <f>IF(CP$3=$K122,IF($C122="W",1,IF($C122="1/2W",0.5,0)),0)</f>
        <v>0</v>
      </c>
      <c r="CQ122" s="231">
        <f>IF(CP$3=$K122,IF($C122="L",1,IF($C122="1/2L",0.5,0)),0)</f>
        <v>0</v>
      </c>
      <c r="CR122" s="231">
        <f>IF(CR$3=$K122,IF($C122="W",1,IF($C122="1/2W",0.5,0)),0)</f>
        <v>0</v>
      </c>
      <c r="CS122" s="231">
        <f>IF(CR$3=$K122,IF($C122="L",1,IF($C122="1/2L",0.5,0)),0)</f>
        <v>0</v>
      </c>
      <c r="CT122" s="208">
        <f>IF(CT$3=$K122,IF($C122="W",1,IF($C122="1/2W",0.5,0)),0)</f>
        <v>0</v>
      </c>
      <c r="CU122" s="209">
        <f>IF(CT$3=$K122,IF($C122="L",1,IF($C122="1/2L",0.5,0)),0)</f>
        <v>0</v>
      </c>
      <c r="CV122" s="209">
        <f>IF(CV$3=$K122,IF($C122="W",1,IF($C122="1/2W",0.5,0)),0)</f>
        <v>0</v>
      </c>
      <c r="CW122" s="209">
        <f>IF(CV$3=$K122,IF($C122="L",1,IF($C122="1/2L",0.5,0)),0)</f>
        <v>0</v>
      </c>
      <c r="CX122" s="209">
        <f>IF(CX$3=$K122,IF($C122="W",1,IF($C122="1/2W",0.5,0)),0)</f>
        <v>0</v>
      </c>
      <c r="CY122" s="209">
        <f>IF(CX$3=$K122,IF($C122="L",1,IF($C122="1/2L",0.5,0)),0)</f>
        <v>0</v>
      </c>
      <c r="CZ122" s="209">
        <f>IF(CZ$3=$K122,IF($C122="W",1,IF($C122="1/2W",0.5,0)),0)</f>
        <v>0</v>
      </c>
      <c r="DA122" s="209">
        <f>IF(CZ$3=$K122,IF($C122="L",1,IF($C122="1/2L",0.5,0)),0)</f>
        <v>0</v>
      </c>
      <c r="DB122" s="209">
        <f>IF(DB$3=$K122,IF($C122="W",1,IF($C122="1/2W",0.5,0)),0)</f>
        <v>0</v>
      </c>
      <c r="DC122" s="209">
        <f>IF(DB$3=$K122,IF($C122="L",1,IF($C122="1/2L",0.5,0)),0)</f>
        <v>0</v>
      </c>
      <c r="DD122" s="209">
        <f>IF(DD$3=$K122,IF($C122="W",1,IF($C122="1/2W",0.5,0)),0)</f>
        <v>0</v>
      </c>
      <c r="DE122" s="210">
        <f>IF(DD$3=$K122,IF($C122="L",1,IF($C122="1/2L",0.5,0)),0)</f>
        <v>0</v>
      </c>
      <c r="DF122" s="211">
        <f>IF(AND(L122&lt;DF$3,$C122="W"),1+DF121,DF121)</f>
        <v>7</v>
      </c>
      <c r="DG122" s="198">
        <f>IF(DF122&gt;DF121,L122+DG121,DG121)</f>
        <v>9.247999999999999</v>
      </c>
      <c r="DH122" s="209">
        <f>IF(AND(L122&gt;DH$3,$C122="W"),1+DH121,0+DH121)</f>
        <v>1</v>
      </c>
      <c r="DI122" s="198">
        <f>IF(DH122&gt;DH121,L122+DI121,DI121)</f>
        <v>4.33</v>
      </c>
      <c r="DJ122" t="s" s="306">
        <f>IF($D121="","",$D121)</f>
        <v>101</v>
      </c>
      <c r="DK122" s="232"/>
    </row>
    <row r="123" ht="14.55" customHeight="1">
      <c r="A123" s="149"/>
      <c r="B123" s="150"/>
      <c r="C123" t="s" s="233">
        <v>58</v>
      </c>
      <c r="D123" s="152"/>
      <c r="E123" s="153"/>
      <c r="F123" s="155"/>
      <c r="G123" s="234"/>
      <c r="H123" s="156"/>
      <c r="I123" s="235"/>
      <c r="J123" s="236"/>
      <c r="K123" s="237"/>
      <c r="L123" s="238"/>
      <c r="M123" s="239"/>
      <c r="N123" s="161"/>
      <c r="O123" t="s" s="240">
        <f>IF(OR(AE121="",AE122=""),"",IF(L123&gt;0,ROUND(IF(M123&gt;0,M123,IF(M121&gt;0,ROUND((M121*AE123)/AE121,IF(N121=0,2,IF(N121=0.1,1,0))),IF(M122&gt;0,ROUND((M122*AE123)/AE122,IF(N121=0,2,IF(N121=0.1,1,0))),IF(M123&gt;0,M123,0)))),2),""))</f>
      </c>
      <c r="P123" t="s" s="241">
        <f>IF(I122="Lay",O122*(L122/(L122-1))-O122,IF(I121="Lay",O121*(L121/(L121-1))-O121,IF(OR(L123="",O123=""),"",IF($C123="1/2W",O123/2+O123/2*L123,IF($C123="1/2L",O123/2,(O123*L123-O123)*(1-_xlfn.XLOOKUP(K123,'Janeiro 2023 - Valor Real'!A3:A15,'Janeiro 2023 - Valor Real'!C3:C15,0))+O123)))))</f>
      </c>
      <c r="Q123" t="s" s="242">
        <f>IF(K123="","",IF(_xlfn.XLOOKUP(K123,K38:K$86,DJ38:DJ$86,0,,-1)=DJ123,_xlfn.XLOOKUP(K123,K38:K$86,Q38:Q$86,1,,-1)+1,1))</f>
      </c>
      <c r="R123" t="s" s="243">
        <f>IF(K123="","",_xlfn.XLOOKUP(K123,K38:K$86,R38:R$86,0,,-1)+IF($C123=" ",1,0))</f>
      </c>
      <c r="S123" s="166"/>
      <c r="T123" s="155"/>
      <c r="U123" s="155"/>
      <c r="V123" s="166"/>
      <c r="W123" s="155"/>
      <c r="X123" s="167"/>
      <c r="Y123" s="128"/>
      <c r="Z123" s="129"/>
      <c r="AA123" s="129"/>
      <c r="AB123" s="129"/>
      <c r="AC123" s="129"/>
      <c r="AD123" s="244">
        <f>((L122/(L122-1)-1))</f>
        <v>1.06382978723404</v>
      </c>
      <c r="AE123" t="s" s="245">
        <f>IF(L123="","",(SUM(((L121-1)*(1-_xlfn.XLOOKUP(K121,'Janeiro 2023 - Valor Real'!A3:A15,'Janeiro 2023 - Valor Real'!C3:C15,0))+1),((L122-1)*(1-_xlfn.XLOOKUP(K122,'Janeiro 2023 - Valor Real'!A3:A15,'Janeiro 2023 - Valor Real'!C3:C15,0))+1),((L123-1)*(1-_xlfn.XLOOKUP(K123,'Janeiro 2023 - Valor Real'!A3:A15,'Janeiro 2023 - Valor Real'!C3:C15,0))+1))/((L123-1)*(1-_xlfn.XLOOKUP(K123,'Janeiro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Real'!C3:C15,0))+1))/((L121-1)*(1-_xlfn.XLOOKUP(K121,'Janeiro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Real'!C3:C15,0))+1))/((L122-1)*(1-_xlfn.XLOOKUP(K122,'Janeiro 2023 - Valor Real'!A3:A15,'Janeiro 2023 - Valor Real'!C3:C15,0))+1)+SUM(((L121-1)*(1-_xlfn.XLOOKUP(K121,'Janeiro 2023 - Valor Real'!A3:A15,'Janeiro 2023 - Valor Real'!C3:C15,0))+1),((L122-1)*(1-_xlfn.XLOOKUP(K122,'Janeiro 2023 - Valor Real'!A3:A15,'Janeiro 2023 - Valor Real'!C3:C15,0))+1),((L123-1)*(1-_xlfn.XLOOKUP(K123,'Janeiro 2023 - Valor Real'!A3:A15,'Janeiro 2023 - Valor Real'!C3:C15,0))+1))/((L123-1)*(1-_xlfn.XLOOKUP(K123,'Janeiro 2023 - Valor Real'!A3:A15,'Janeiro 2023 - Valor Real'!C3:C15,0))+1)))</f>
      </c>
      <c r="AF123" s="197">
        <f>IF($K123=AF$3,ROUND(IF(OR($C123="W",$C123="1/2W",$C123="1/2L"),$P123-$O123,IF($C123="X",0,-$O123)),2),0)</f>
        <v>0</v>
      </c>
      <c r="AG123" s="198">
        <f>IF($K123=AG$3,ROUND(IF(OR($C123="W",$C123="1/2W",$C123="1/2L"),$P123-$O123,IF($C123="X",0,-$O123)),2),0)</f>
        <v>0</v>
      </c>
      <c r="AH123" s="198">
        <f>IF($K123=AH$3,ROUND(IF(OR($C123="W",$C123="1/2W",$C123="1/2L"),$P123-$O123,IF($C123="X",0,-$O123)),2),0)</f>
        <v>0</v>
      </c>
      <c r="AI123" s="198">
        <f>IF($K123=AI$3,ROUND(IF(OR($C123="W",$C123="1/2W",$C123="1/2L"),$P123-$O123,IF($C123="X",0,-$O123)),2),0)</f>
        <v>0</v>
      </c>
      <c r="AJ123" s="198">
        <f>IF($K123=AJ$3,ROUND(IF(OR($C123="W",$C123="1/2W",$C123="1/2L"),$P123-$O123,IF($C123="X",0,-$O123)),2),0)</f>
        <v>0</v>
      </c>
      <c r="AK123" s="198">
        <f>IF($K123=AK$3,ROUND(IF(OR($C123="W",$C123="1/2W",$C123="1/2L"),$P123-$O123,IF($C123="X",0,-$O123)),2),0)</f>
        <v>0</v>
      </c>
      <c r="AL123" s="198">
        <f>IF($K123=AL$3,ROUND(IF(OR($C123="W",$C123="1/2W",$C123="1/2L"),$P123-$O123,IF($C123="X",0,-$O123)),2),0)</f>
        <v>0</v>
      </c>
      <c r="AM123" s="198">
        <f>IF($K123=AM$3,ROUND(IF(OR($C123="W",$C123="1/2W",$C123="1/2L"),$P123-$O123,IF($C123="X",0,-$O123)),2),0)</f>
        <v>0</v>
      </c>
      <c r="AN123" s="198">
        <f>IF($K123=AN$3,ROUND(IF(OR($C123="W",$C123="1/2W",$C123="1/2L"),$P123-$O123,IF($C123="X",0,-$O123)),2),0)</f>
        <v>0</v>
      </c>
      <c r="AO123" s="198">
        <f>IF($K123=AO$3,ROUND(IF(OR($C123="W",$C123="1/2W",$C123="1/2L"),$P123-$O123,IF($C123="X",0,-$O123)),2),0)</f>
        <v>0</v>
      </c>
      <c r="AP123" s="198">
        <f>IF($K123=AP$3,ROUND(IF(OR($C123="W",$C123="1/2W",$C123="1/2L"),$P123-$O123,IF($C123="X",0,-$O123)),2),0)</f>
        <v>0</v>
      </c>
      <c r="AQ123" s="198">
        <f>IF($K123=AQ$3,ROUND(IF(OR($C123="W",$C123="1/2W",$C123="1/2L"),$P123-$O123,IF($C123="X",0,-$O123)),2),0)</f>
        <v>0</v>
      </c>
      <c r="AR123" s="199">
        <f>IF($K123=AR$3,ROUND(IF(OR($C123="W",$C123="1/2W",$C123="1/2L"),$P123-$O123,IF($C123="X",0,-$O123)),2),0)</f>
        <v>0</v>
      </c>
      <c r="AS123" s="197">
        <f>IF(AND($B121=" ",$K123=AS$3),$O123,0)</f>
        <v>0</v>
      </c>
      <c r="AT123" s="198">
        <f>IF(AND($B121=" ",K123=AT$3),$O123,0)</f>
        <v>0</v>
      </c>
      <c r="AU123" s="198">
        <f>IF(AND($B121=" ",$K123=AU$3),$O123,0)</f>
        <v>0</v>
      </c>
      <c r="AV123" s="198">
        <f>IF(AND($B121=" ",$K123=AV$3),$O123,0)</f>
        <v>0</v>
      </c>
      <c r="AW123" s="198">
        <f>IF(AND($B121=" ",$K123=AW$3),$O123,0)</f>
        <v>0</v>
      </c>
      <c r="AX123" s="198">
        <f>IF(AND($B121=" ",$K123=AX$3),$O123,0)</f>
        <v>0</v>
      </c>
      <c r="AY123" s="200">
        <f>IF(AND($B121=" ",$K123=AY$3),$O123,0)</f>
        <v>0</v>
      </c>
      <c r="AZ123" s="201">
        <f>IF(AND($B121=" ",$K123=AZ$3),$O123,0)</f>
        <v>0</v>
      </c>
      <c r="BA123" s="201">
        <f>IF(AND($B121=" ",$K123=BA$3),$O123,0)</f>
        <v>0</v>
      </c>
      <c r="BB123" s="201">
        <f>IF(AND($B121=" ",$K123=BB$3),$O123,0)</f>
        <v>0</v>
      </c>
      <c r="BC123" s="202">
        <f>IF(AND($B121=" ",$K123=BC$3),$O123,0)</f>
        <v>0</v>
      </c>
      <c r="BD123" s="198">
        <f>IF(AND($B121=" ",$K123=BD$3),$O123,0)</f>
        <v>0</v>
      </c>
      <c r="BE123" s="199">
        <f>IF(AND($B121=" ",$K123=BE$3),$O123,0)</f>
        <v>0</v>
      </c>
      <c r="BF123" s="197">
        <f>IF($K123=BF$3,IF($C123="X",0,$O123),0)</f>
        <v>0</v>
      </c>
      <c r="BG123" s="198">
        <f>IF($K123=BG$3,IF($C123="X",0,$O123),0)</f>
        <v>0</v>
      </c>
      <c r="BH123" s="198">
        <f>IF($K123=BH$3,IF($C123="X",0,$O123),0)</f>
        <v>0</v>
      </c>
      <c r="BI123" s="198">
        <f>IF($K123=BI$3,IF($C123="X",0,$O123),0)</f>
        <v>0</v>
      </c>
      <c r="BJ123" s="198">
        <f>IF($K123=BJ$3,IF($C123="X",0,$O123),0)</f>
        <v>0</v>
      </c>
      <c r="BK123" s="198">
        <f>IF($K123=BK$3,IF($C123="X",0,$O123),0)</f>
        <v>0</v>
      </c>
      <c r="BL123" s="198">
        <f>IF($K123=BL$3,IF($C123="X",0,$O123),0)</f>
        <v>0</v>
      </c>
      <c r="BM123" s="200">
        <f>IF($K123=BM$3,IF($C123="X",0,$O123),0)</f>
        <v>0</v>
      </c>
      <c r="BN123" s="201">
        <f>IF($K123=BN$3,IF($C123="X",0,$O123),0)</f>
        <v>0</v>
      </c>
      <c r="BO123" s="201">
        <f>IF($K123=BO$3,IF($C123="X",0,$O123),0)</f>
        <v>0</v>
      </c>
      <c r="BP123" s="201">
        <f>IF($K123=BP$3,IF($C123="X",0,$O123),0)</f>
        <v>0</v>
      </c>
      <c r="BQ123" s="202">
        <f>IF($K123=BQ$3,IF($C123="X",0,$O123),0)</f>
        <v>0</v>
      </c>
      <c r="BR123" s="199">
        <f>IF($K123=BR$3,IF($C123="X",0,$O123),0)</f>
        <v>0</v>
      </c>
      <c r="BS123" s="228"/>
      <c r="BT123" s="229"/>
      <c r="BU123" s="140"/>
      <c r="BV123" s="229"/>
      <c r="BW123" s="140"/>
      <c r="BX123" s="140"/>
      <c r="BY123" s="140"/>
      <c r="BZ123" s="229"/>
      <c r="CA123" s="140"/>
      <c r="CB123" s="140"/>
      <c r="CC123" s="140"/>
      <c r="CD123" s="141"/>
      <c r="CE123" s="142"/>
      <c r="CF123" s="230">
        <f>IF(CF$3=$K123,IF($C123="W",1,IF($C123="1/2W",0.5,0)),0)</f>
        <v>0</v>
      </c>
      <c r="CG123" s="231">
        <f>IF(CF$3=$K123,IF($C123="L",1,IF($C123="1/2L",0.5,0)),0)</f>
        <v>0</v>
      </c>
      <c r="CH123" s="231">
        <f>IF(CH$3=$K123,IF($C123="W",1,IF($C123="1/2W",0.5,0)),0)</f>
        <v>0</v>
      </c>
      <c r="CI123" s="231">
        <f>IF(CH$3=$K123,IF($C123="L",1,IF($C123="1/2L",0.5,0)),0)</f>
        <v>0</v>
      </c>
      <c r="CJ123" s="231">
        <f>IF(CJ$3=$K123,IF($C123="W",1,IF($C123="1/2W",0.5,0)),0)</f>
        <v>0</v>
      </c>
      <c r="CK123" s="231">
        <f>IF(CJ$3=$K123,IF($C123="L",1,IF($C123="1/2L",0.5,0)),0)</f>
        <v>0</v>
      </c>
      <c r="CL123" s="231">
        <f>IF(CL$3=$K123,IF($C123="W",1,IF($C123="1/2W",0.5,0)),0)</f>
        <v>0</v>
      </c>
      <c r="CM123" s="231">
        <f>IF(CL$3=$K123,IF($C123="L",1,IF($C123="1/2L",0.5,0)),0)</f>
        <v>0</v>
      </c>
      <c r="CN123" s="231">
        <f>IF(CN$3=$K123,IF($C123="W",1,IF($C123="1/2W",0.5,0)),0)</f>
        <v>0</v>
      </c>
      <c r="CO123" s="231">
        <f>IF(CN$3=$K123,IF($C123="L",1,IF($C123="1/2L",0.5,0)),0)</f>
        <v>0</v>
      </c>
      <c r="CP123" s="231">
        <f>IF(CP$3=$K123,IF($C123="W",1,IF($C123="1/2W",0.5,0)),0)</f>
        <v>0</v>
      </c>
      <c r="CQ123" s="231">
        <f>IF(CP$3=$K123,IF($C123="L",1,IF($C123="1/2L",0.5,0)),0)</f>
        <v>0</v>
      </c>
      <c r="CR123" s="231">
        <f>IF(CR$3=$K123,IF($C123="W",1,IF($C123="1/2W",0.5,0)),0)</f>
        <v>0</v>
      </c>
      <c r="CS123" s="231">
        <f>IF(CR$3=$K123,IF($C123="L",1,IF($C123="1/2L",0.5,0)),0)</f>
        <v>0</v>
      </c>
      <c r="CT123" s="208">
        <f>IF(CT$3=$K123,IF($C123="W",1,IF($C123="1/2W",0.5,0)),0)</f>
        <v>0</v>
      </c>
      <c r="CU123" s="209">
        <f>IF(CT$3=$K123,IF($C123="L",1,IF($C123="1/2L",0.5,0)),0)</f>
        <v>0</v>
      </c>
      <c r="CV123" s="209">
        <f>IF(CV$3=$K123,IF($C123="W",1,IF($C123="1/2W",0.5,0)),0)</f>
        <v>0</v>
      </c>
      <c r="CW123" s="209">
        <f>IF(CV$3=$K123,IF($C123="L",1,IF($C123="1/2L",0.5,0)),0)</f>
        <v>0</v>
      </c>
      <c r="CX123" s="209">
        <f>IF(CX$3=$K123,IF($C123="W",1,IF($C123="1/2W",0.5,0)),0)</f>
        <v>0</v>
      </c>
      <c r="CY123" s="209">
        <f>IF(CX$3=$K123,IF($C123="L",1,IF($C123="1/2L",0.5,0)),0)</f>
        <v>0</v>
      </c>
      <c r="CZ123" s="209">
        <f>IF(CZ$3=$K123,IF($C123="W",1,IF($C123="1/2W",0.5,0)),0)</f>
        <v>0</v>
      </c>
      <c r="DA123" s="209">
        <f>IF(CZ$3=$K123,IF($C123="L",1,IF($C123="1/2L",0.5,0)),0)</f>
        <v>0</v>
      </c>
      <c r="DB123" s="209">
        <f>IF(DB$3=$K123,IF($C123="W",1,IF($C123="1/2W",0.5,0)),0)</f>
        <v>0</v>
      </c>
      <c r="DC123" s="209">
        <f>IF(DB$3=$K123,IF($C123="L",1,IF($C123="1/2L",0.5,0)),0)</f>
        <v>0</v>
      </c>
      <c r="DD123" s="209">
        <f>IF(DD$3=$K123,IF($C123="W",1,IF($C123="1/2W",0.5,0)),0)</f>
        <v>0</v>
      </c>
      <c r="DE123" s="210">
        <f>IF(DD$3=$K123,IF($C123="L",1,IF($C123="1/2L",0.5,0)),0)</f>
        <v>0</v>
      </c>
      <c r="DF123" s="211">
        <f>IF(AND(L123&lt;DF$3,$C123="W"),1+DF122,DF122)</f>
        <v>7</v>
      </c>
      <c r="DG123" s="198">
        <f>IF(DF123&gt;DF122,L123+DG122,DG122)</f>
        <v>9.247999999999999</v>
      </c>
      <c r="DH123" s="209">
        <f>IF(AND(L123&gt;DH$3,$C123="W"),1+DH122,0+DH122)</f>
        <v>1</v>
      </c>
      <c r="DI123" s="198">
        <f>IF(DH123&gt;DH122,L123+DI122,DI122)</f>
        <v>4.33</v>
      </c>
      <c r="DJ123" t="s" s="306">
        <f>IF($D121="","",$D121)</f>
        <v>101</v>
      </c>
      <c r="DK123" s="232"/>
    </row>
    <row r="124" ht="14.55" customHeight="1">
      <c r="A124" s="246">
        <f>$A121+1</f>
        <v>41</v>
      </c>
      <c r="B124" t="s" s="247">
        <v>50</v>
      </c>
      <c r="C124" t="s" s="248">
        <v>51</v>
      </c>
      <c r="D124" t="s" s="303">
        <f>IF(G124="","",$D121)</f>
        <v>101</v>
      </c>
      <c r="E124" t="s" s="250">
        <v>160</v>
      </c>
      <c r="F124" t="s" s="251">
        <f>IF(G124="","",IF(OR(AND($C124&lt;&gt;" ",$C125=" "),AND($C125&lt;&gt;" ",$C124=" "),AND(L126&gt;0,OR(AND($C126&lt;&gt;" ",OR($C124=" ",$C125=" ")),AND($C126=" ",OR($C124&lt;&gt;" ",$C125&lt;&gt;" "))))),IF(SUM(F$4:F123)=0,1,LARGE(F$4:F123,1)+1),IF(MONTH(G124)=MONTH(TODAY()),IF(AND(DAY(G124)&lt;DAY(TODAY()),$B124=" "),IF(SUM(F$4:F123)=0,1,LARGE(F$4:F123,1)+1),IF($B124=" ",IF(AND(DAY(G124)=DAY(TODAY()),HOUR(G124)&lt;=HOUR(NOW())+1),IF(AND(HOUR(G124)+2&lt;=HOUR(NOW()),DAY(G124)&lt;=DAY(TODAY()),MINUTE(G124)&lt;=MINUTE(NOW())),IF(SUM(F$4:F123)=0,1,LARGE(F$4:F123,1)+1),IF(OR(MINUTE(G124)&lt;=MINUTE(NOW()),HOUR(G124)&lt;=HOUR(NOW())),"!!!","")),""),"")),"")))</f>
      </c>
      <c r="G124" s="252">
        <v>44943.916666666664</v>
      </c>
      <c r="H124" t="s" s="253">
        <v>161</v>
      </c>
      <c r="I124" t="s" s="254">
        <v>65</v>
      </c>
      <c r="J124" s="255">
        <v>116.5</v>
      </c>
      <c r="K124" t="s" s="256">
        <v>38</v>
      </c>
      <c r="L124" s="257">
        <v>2.5</v>
      </c>
      <c r="M124" s="258">
        <v>15.46</v>
      </c>
      <c r="N124" s="259">
        <v>0</v>
      </c>
      <c r="O124" s="260">
        <f>IF(OR(AE124="",AE125=""),"",ROUND(IF(L126&gt;0,IF(M124&gt;0,M124,IF(M125&gt;0,ROUND((M125*AE124)/AE125,IF(N124=0,2,IF(N124=0.1,1,0))),ROUND((M126*AE124)/AE126,IF(N124=0,2,IF(N124=0.1,1,0))))),IF(M124&gt;0,M124,ROUND((M125*AE124)/AE125,IF(N124=0,2,IF(N124=0.1,1,0))))),2))</f>
        <v>15.46</v>
      </c>
      <c r="P124" s="261">
        <f>IF(OR(L124="",O124=""),"",IF($C124="1/2W",O124/2+O124/2*L124,IF($C124="1/2L",O124/2,IF(I124="Lay",(O124*(L124/(L124-1))-O124)*(1-_xlfn.XLOOKUP(K124,'Janeiro 2023 - Valor Real'!A3:A15,'Janeiro 2023 - Valor Real'!C3:C15,0))+O124,(O124*L124-O124)*(1-_xlfn.XLOOKUP(K124,'Janeiro 2023 - Valor Real'!A3:A15,'Janeiro 2023 - Valor Real'!C3:C15,0))+O124))))</f>
        <v>38.65</v>
      </c>
      <c r="Q124" s="262">
        <v>5</v>
      </c>
      <c r="R124" s="263">
        <v>0</v>
      </c>
      <c r="S124" s="264">
        <f>IF($B124="Anulado",0,ROUND(IF(OR($B124="LOSS",$B124="OK"),IF(OR($C124="W",$C124="1/2W",$C124="1/2L"),P124-O124,IF($C124="L",-O124,0))+IF(OR($C125="W",$C125="1/2W",$C125="1/2L"),P125-O125,IF($C125="L",-O125,0))+IF(OR($C126="W",$C126="1/2W",$C126="1/2L"),P126-O126,IF($C126="L",-O126,0)),IF(AND(OR($C124="W",$C124="1/2W",$C124="1/2L"),C125="W"),P124+P125-SUM(O124:O126)+_xlfn.XLOOKUP("X",C124:C126,O124:O126,0),IF(AND(C124=TRUE,C126="W"),P124+P126-SUM(O124:O126),IF(AND(C125="W",C126="W"),P125+P126-SUM(O124:O126)+_xlfn.XLOOKUP("X",C124:C126,O124:O126,0),IF(L126&gt;0,IF(OR($C124="W",$C124="1/2W",$C124="1/2L"),P124-SUM(O124:O126)+_xlfn.XLOOKUP("X",C124:C126,O124:O126,0),IF(OR($C124="W",$C124="1/2W",$C124="1/2L"),P125-SUM(O124:O126)+_xlfn.XLOOKUP("X",C124:C126,O124:O126,0),IF(OR($C124="W",$C124="1/2W",$C124="1/2L"),P126-SUM(O124:O126)+_xlfn.XLOOKUP("X",C124:C126,O124:O126,0),IF(SUM(P124:P126)/3-SUM(O124:O126)+_xlfn.XLOOKUP("X",C124:C126,O124:O126,0)&gt;0,SUM(P124:P126)/3-SUM(O124:O126)+_xlfn.XLOOKUP("X",C124:C126,O124:O126,0),LARGE(P124:P126,1)-SUM(O124:O126))))),IF(OR($C124="W",$C124="1/2W",$C124="1/2L"),P124-SUM(O124:O125)+_xlfn.XLOOKUP("X",C124:C126,O124:O126,0),IF(OR($C124="W",$C124="1/2W",$C124="1/2L"),P125-SUM(O124:O125)+_xlfn.XLOOKUP("X",C124:C126,O124:O126,0),SUM(P124:P125)/2-SUM(O124:O125)+_xlfn.XLOOKUP("X",C124:C126,O124:O126,0)))))))),2))</f>
        <v>3.96</v>
      </c>
      <c r="T124" s="265">
        <f>IF(S124=0,0,S124/SUM(O124:O126))</f>
        <v>0.114153934851542</v>
      </c>
      <c r="U124" s="266">
        <f>IF($D124=$D121,IF(OR($B124="LOSS",$B124="OK",$B124="Anulada"),S124,0)+U121,IF(OR($B124="LOSS",$B124="OK",$B124="Anulada"),S124,0))</f>
        <v>29.3</v>
      </c>
      <c r="V124" s="266">
        <f>IF($D124="",0,IF($D124=$D121,IF($B124=" ",IF(I126="",IF(OR(AND(I124="DNB1",I125="DNB2"),AND(OR(I124="DNB1",I124="DNB2"),J125=0),AND(OR(I125="DNB1",I125="DNB2"),J124=0),AND(I124="DNB2",I125="DNB1"),AND(IF(J124=0,(J124+1)/ROUND(J124+1,0),J124/ROUND(J124,0))=1,IF(J125=0,(J125+1)/ROUND(IF(J125="",0,J125)+1,0),IF(J125="",0,J125)/ROUND(IF(J125="",1,J125),0))=1,OR(J124&lt;&gt;""),J125&lt;&gt;"")),0,IF(S124&lt;0,IF(I126="",SMALL(P124:P125,1)-SUM(O124:O125),0),SMALL(P124:P125,1)-SUM(O124:O125))),IF(S124&lt;0,IF(I126="",SMALL(P124:P126,1)-SUM(O124:O126),0),LARGE(P124:P126,1)-SUM(O124:O126))),S124)+V121,IF(I126="",IF(OR(AND(I124="DNB1",I125="DNB2"),AND(OR(I124="DNB1",I124="DNB2"),J125=0),AND(OR(I125="DNB1",I125="DNB2"),J124=0),AND(I124="DNB2",I125="DNB1"),AND(IF(J124=0,(J124+1)/ROUND(J124+1,0),J124/ROUND(J124,0))=1,IF(J125=0,(IF(J125="",0,J125)+1)/ROUND(IF(J125="",0,J125)+1,0),IF(J125="",0,J125)/ROUND(IF(J125="",0,J125)+1,0))=1,OR(J124&lt;&gt;""),J125&lt;&gt;"")),0,IF(S124&lt;0,IF(I126="",SMALL(P124:P125,1)-SUM(O124:O125),0),SMALL(P124:P126,1)-SUM(O124:O126))),IF(S124&lt;0,IF(I126="",SMALL(P124:P126,1)-SUM(O124:O126),0),LARGE(P124:P126,1)-SUM(O124:O126)))))</f>
        <v>29.302</v>
      </c>
      <c r="W124" s="266">
        <f>IF($D124=$D121,IF(S124&lt;0,IF(I126="",S124,0),S124)+W121,S124)</f>
        <v>29.3</v>
      </c>
      <c r="X124" t="s" s="267">
        <f>IF(OR(SUM(R124:R126)=0,V124=W124),ROUND(IF(W124=0,0,W124/Y124)*100,2)&amp;"%",ROUND(IF(V124=0,0,V124/Y124)*100,2)&amp;"% a "&amp;ROUND(IF(W124=0,0,W124/Y124)*100,2)&amp;"%")</f>
        <v>162</v>
      </c>
      <c r="Y124" s="268">
        <f>IF($D124=$D121,Y121+SUM(O124:O126),SUM(O124:O126))</f>
        <v>778.3099999999999</v>
      </c>
      <c r="Z124" s="266">
        <f>IF($B124=" ",SUM(O124:O126),0)+Z121</f>
        <v>0</v>
      </c>
      <c r="AA124" s="266">
        <f>IF(G124="","",IF($B124="Anulado",LARGE(P124:P126,1)-SUM(O124:O126)+AA121,AA121))</f>
        <v>14.1564</v>
      </c>
      <c r="AB124" s="266">
        <f>IF($D124="","",AB121+S124)</f>
        <v>107.4</v>
      </c>
      <c r="AC124" s="269">
        <f>IF($D124="","",IF($B124=" ",IF(DAY(G124)=DAY(TODAY()),1+AC121,0+AC121),0+AC121))</f>
        <v>0</v>
      </c>
      <c r="AD124" s="270">
        <f>(1-_xlfn.XLOOKUP(K122,'Janeiro 2023 - Valor Real'!A3:A15,'Janeiro 2023 - Valor Real'!C3:C15,0))+1</f>
        <v>2</v>
      </c>
      <c r="AE124" s="271">
        <f>IF(L124="","",IF(L126&gt;0,(SUM(((L124-1)*(1-_xlfn.XLOOKUP(K124,'Janeiro 2023 - Valor Real'!A3:A15,'Janeiro 2023 - Valor Real'!C3:C15,0))+1),((L125-1)*(1-_xlfn.XLOOKUP(K125,'Janeiro 2023 - Valor Real'!A3:A15,'Janeiro 2023 - Valor Real'!C3:C15,0))+1),((L126-1)*(1-_xlfn.XLOOKUP(K126,'Janeiro 2023 - Valor Real'!A3:A15,'Janeiro 2023 - Valor Real'!C3:C15,0))+1))/((L124-1)*(1-_xlfn.XLOOKUP(K124,'Janeiro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Real'!C3:C15,0))+1))/((L124-1)*(1-_xlfn.XLOOKUP(K124,'Janeiro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Real'!C3:C15,0))+1))/((L125-1)*(1-_xlfn.XLOOKUP(K125,'Janeiro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Real'!C3:C15,0))+1))/((L126-1)*(1-_xlfn.XLOOKUP(K126,'Janeiro 2023 - Valor Real'!A3:A15,'Janeiro 2023 - Valor Real'!C3:C15,0))+1)),IF(I124="Lay",IF(I125="Lay",((L125/(L125-1)-1)*(1-_xlfn.XLOOKUP(K125,'Janeiro 2023 - Valor Real'!A3:A15,'Janeiro 2023 - Valor Real'!C3:C15,0))+1)/(((L125/(L125-1)-1)*(1-_xlfn.XLOOKUP(K125,'Janeiro 2023 - Valor Real'!A3:A15,'Janeiro 2023 - Valor Real'!C3:C15,0))+1)+((L124/(L124-1)-1)*(1-_xlfn.XLOOKUP(K124,'Janeiro 2023 - Valor Real'!A3:A15,'Janeiro 2023 - Valor Real'!C3:C15,0))+1)),((L125-1)*(1-_xlfn.XLOOKUP(K125,'Janeiro 2023 - Valor Real'!A3:A15,'Janeiro 2023 - Valor Real'!C3:C15,0))+1)/(((L125-1)*(1-_xlfn.XLOOKUP(K125,'Janeiro 2023 - Valor Real'!A3:A15,'Janeiro 2023 - Valor Real'!C3:C15,0))+1)+((L124/(L124-1)-1)*(1-_xlfn.XLOOKUP(K124,'Janeiro 2023 - Valor Real'!A3:A15,'Janeiro 2023 - Valor Real'!C3:C15,0))+1))),IF(I125="Lay",(((L125/(L125-1)-1)*(1-_xlfn.XLOOKUP(K125,'Janeiro 2023 - Valor Real'!A3:A15,'Janeiro 2023 - Valor Real'!C3:C15,0))+1))/(((L124-1)*(1-_xlfn.XLOOKUP(K124,'Janeiro 2023 - Valor Real'!A3:A15,'Janeiro 2023 - Valor Real'!C3:C15,0))+1)+((L125/(L125-1)-1)*(1-_xlfn.XLOOKUP(K125,'Janeiro 2023 - Valor Real'!A3:A15,'Janeiro 2023 - Valor Real'!C3:C15,0))+1)),((L125-1)*(1-_xlfn.XLOOKUP(K125,'Janeiro 2023 - Valor Real'!A3:A15,'Janeiro 2023 - Valor Real'!C3:C15,0))+1)/(((L125-1)*(1-_xlfn.XLOOKUP(K125,'Janeiro 2023 - Valor Real'!A3:A15,'Janeiro 2023 - Valor Real'!C3:C15,0))+1)+((L124-1)*(1-_xlfn.XLOOKUP(K124,'Janeiro 2023 - Valor Real'!A3:A15,'Janeiro 2023 - Valor Real'!C3:C15,0))+1))))))</f>
        <v>0.445676274944568</v>
      </c>
      <c r="AF124" s="132">
        <f>IF($K124=AF$3,ROUND(IF(OR($C124="W",$C124="1/2W",$C124="1/2L"),$P124-$O124,IF($C124="X",0,-$O124)),2),0)</f>
        <v>0</v>
      </c>
      <c r="AG124" s="133">
        <f>IF($K124=AG$3,ROUND(IF(OR($C124="W",$C124="1/2W",$C124="1/2L"),$P124-$O124,IF($C124="X",0,-$O124)),2),0)</f>
        <v>-15.46</v>
      </c>
      <c r="AH124" s="133">
        <f>IF($K124=AH$3,ROUND(IF(OR($C124="W",$C124="1/2W",$C124="1/2L"),$P124-$O124,IF($C124="X",0,-$O124)),2),0)</f>
        <v>0</v>
      </c>
      <c r="AI124" s="133">
        <f>IF($K124=AI$3,ROUND(IF(OR($C124="W",$C124="1/2W",$C124="1/2L"),$P124-$O124,IF($C124="X",0,-$O124)),2),0)</f>
        <v>0</v>
      </c>
      <c r="AJ124" s="133">
        <f>IF($K124=AJ$3,ROUND(IF(OR($C124="W",$C124="1/2W",$C124="1/2L"),$P124-$O124,IF($C124="X",0,-$O124)),2),0)</f>
        <v>0</v>
      </c>
      <c r="AK124" s="133">
        <f>IF($K124=AK$3,ROUND(IF(OR($C124="W",$C124="1/2W",$C124="1/2L"),$P124-$O124,IF($C124="X",0,-$O124)),2),0)</f>
        <v>0</v>
      </c>
      <c r="AL124" s="133">
        <f>IF($K124=AL$3,ROUND(IF(OR($C124="W",$C124="1/2W",$C124="1/2L"),$P124-$O124,IF($C124="X",0,-$O124)),2),0)</f>
        <v>0</v>
      </c>
      <c r="AM124" s="133">
        <f>IF($K124=AM$3,ROUND(IF(OR($C124="W",$C124="1/2W",$C124="1/2L"),$P124-$O124,IF($C124="X",0,-$O124)),2),0)</f>
        <v>0</v>
      </c>
      <c r="AN124" s="133">
        <f>IF($K124=AN$3,ROUND(IF(OR($C124="W",$C124="1/2W",$C124="1/2L"),$P124-$O124,IF($C124="X",0,-$O124)),2),0)</f>
        <v>0</v>
      </c>
      <c r="AO124" s="133">
        <f>IF($K124=AO$3,ROUND(IF(OR($C124="W",$C124="1/2W",$C124="1/2L"),$P124-$O124,IF($C124="X",0,-$O124)),2),0)</f>
        <v>0</v>
      </c>
      <c r="AP124" s="133">
        <f>IF($K124=AP$3,ROUND(IF(OR($C124="W",$C124="1/2W",$C124="1/2L"),$P124-$O124,IF($C124="X",0,-$O124)),2),0)</f>
        <v>0</v>
      </c>
      <c r="AQ124" s="133">
        <f>IF($K124=AQ$3,ROUND(IF(OR($C124="W",$C124="1/2W",$C124="1/2L"),$P124-$O124,IF($C124="X",0,-$O124)),2),0)</f>
        <v>0</v>
      </c>
      <c r="AR124" s="134">
        <f>IF($K124=AR$3,ROUND(IF(OR($C124="W",$C124="1/2W",$C124="1/2L"),$P124-$O124,IF($C124="X",0,-$O124)),2),0)</f>
        <v>0</v>
      </c>
      <c r="AS124" s="132">
        <f>IF(AND($B124=" ",$K124=AS$3),$O124,0)</f>
        <v>0</v>
      </c>
      <c r="AT124" s="133">
        <f>IF(AND($B124=" ",$K124=AT$3),$O124,0)</f>
        <v>0</v>
      </c>
      <c r="AU124" s="133">
        <f>IF(AND($B124=" ",$K124=AU$3),$O124,0)</f>
        <v>0</v>
      </c>
      <c r="AV124" s="133">
        <f>IF(AND($B124=" ",$K124=AV$3),$O124,0)</f>
        <v>0</v>
      </c>
      <c r="AW124" s="133">
        <f>IF(AND($B124=" ",$K124=AW$3),$O124,0)</f>
        <v>0</v>
      </c>
      <c r="AX124" s="133">
        <f>IF(AND($B124=" ",$K124=AX$3),$O124,0)</f>
        <v>0</v>
      </c>
      <c r="AY124" s="135">
        <f>IF(AND($B124=" ",$K124=AY$3),$O124,0)</f>
        <v>0</v>
      </c>
      <c r="AZ124" s="136">
        <f>IF(AND($B124=" ",$K124=AZ$3),$O124,0)</f>
        <v>0</v>
      </c>
      <c r="BA124" s="136">
        <f>IF(AND($B124=" ",$K124=BA$3),$O124,0)</f>
        <v>0</v>
      </c>
      <c r="BB124" s="136">
        <f>IF(AND($B124=" ",$K124=BB$3),$O124,0)</f>
        <v>0</v>
      </c>
      <c r="BC124" s="137">
        <f>IF(AND($B124=" ",$K124=BC$3),$O124,0)</f>
        <v>0</v>
      </c>
      <c r="BD124" s="133">
        <f>IF(AND($B124=" ",$K124=BD$3),$O124,0)</f>
        <v>0</v>
      </c>
      <c r="BE124" s="134">
        <f>IF(AND($B124=" ",$K124=BE$3),$O124,0)</f>
        <v>0</v>
      </c>
      <c r="BF124" s="132">
        <f>IF($K124=BF$3,IF($C124="X",0,$O124),0)</f>
        <v>0</v>
      </c>
      <c r="BG124" s="133">
        <f>IF($K124=BG$3,IF($C124="X",0,$O124),0)</f>
        <v>15.46</v>
      </c>
      <c r="BH124" s="133">
        <f>IF($K124=BH$3,IF($C124="X",0,$O124),0)</f>
        <v>0</v>
      </c>
      <c r="BI124" s="133">
        <f>IF($K124=BI$3,IF($C124="X",0,$O124),0)</f>
        <v>0</v>
      </c>
      <c r="BJ124" s="133">
        <f>IF($K124=BJ$3,IF($C124="X",0,$O124),0)</f>
        <v>0</v>
      </c>
      <c r="BK124" s="133">
        <f>IF($K124=BK$3,IF($C124="X",0,$O124),0)</f>
        <v>0</v>
      </c>
      <c r="BL124" s="133">
        <f>IF($K124=BL$3,IF($C124="X",0,$O124),0)</f>
        <v>0</v>
      </c>
      <c r="BM124" s="135">
        <f>IF($K124=BM$3,IF($C124="X",0,$O124),0)</f>
        <v>0</v>
      </c>
      <c r="BN124" s="136">
        <f>IF($K124=BN$3,IF($C124="X",0,$O124),0)</f>
        <v>0</v>
      </c>
      <c r="BO124" s="136">
        <f>IF($K124=BO$3,IF($C124="X",0,$O124),0)</f>
        <v>0</v>
      </c>
      <c r="BP124" s="136">
        <f>IF($K124=BP$3,IF($C124="X",0,$O124),0)</f>
        <v>0</v>
      </c>
      <c r="BQ124" s="137">
        <f>IF($K124=BQ$3,IF($C124="X",0,$O124),0)</f>
        <v>0</v>
      </c>
      <c r="BR124" s="134">
        <f>IF($K124=BR$3,IF($C124="X",0,$O124),0)</f>
        <v>0</v>
      </c>
      <c r="BS124" s="170">
        <f>IF($B124="LOSS",IF(AND($K124=BS$3,$C124="L"),-$O124,0)+IF(AND($K125=BS$3,$C125="L"),-$O125,0)+IF(AND($K126=BS$3,$C126="L"),-$O126,0),IF(OR(AND($K124=BS$3,OR($C124="W",$C124="1/2W")),AND($K125=BS$3,OR($C125="W",$C125="1/2W")),AND($K126=BS$3,OR($C126="W",$C126="1/2W"))),$S124,0))</f>
        <v>0</v>
      </c>
      <c r="BT124" s="272">
        <f>IF($B124="LOSS",IF(AND($K124=BT$3,$C124="L"),-$O124,0)+IF(AND($K125=BT$3,$C125="L"),-$O125,0)+IF(AND($K125=BT$3,$C126="L"),-$O126,0),IF(OR(AND($K125=BT$3,OR($C124="W",$C124="1/2W")),AND($K125=BT$3,OR($C125="W",$C125="1/2W")),AND($K125=BT$3,OR($C126="W",$C126="1/2W"))),$S124,0))</f>
        <v>0</v>
      </c>
      <c r="BU124" s="136">
        <f>IF($B124="LOSS",IF(AND($K124=BU$3,$C124="L"),-$O124,0)+IF(AND($K125=BU$3,$C125="L"),-$O125,0)+IF(AND($K125=BU$3,$C126="L"),-$O126,0),IF(OR(AND($K125=BU$3,OR($C124="W",$C124="1/2W")),AND($K125=BU$3,OR($C125="W",$C125="1/2W")),AND($K125=BU$3,OR($C126="W",$C126="1/2W"))),$S124,0))</f>
        <v>0</v>
      </c>
      <c r="BV124" s="136">
        <f>IF($B124="LOSS",IF(AND($K124=BV$3,$C124="L"),-$O124,0)+IF(AND($K125=BV$3,$C125="L"),-$O125,0)+IF(AND($K126=BV$3,$C126="L"),-$O126,0),IF(OR(AND($K124=BV$3,OR($C124="W",$C124="1/2W")),AND($K125=BV$3,OR($C125="W",$C125="1/2W")),AND($K126=BV$3,OR($C126="W",$C126="1/2W"))),$S124,0))</f>
        <v>0</v>
      </c>
      <c r="BW124" s="136">
        <f>IF($B124="LOSS",IF(AND($K124=BW$3,$C124="L"),-$O124,0)+IF(AND($K125=BW$3,$C125="L"),-$O125,0)+IF(AND($K126=BW$3,$C126="L"),-$O126,0),IF(OR(AND($K124=BW$3,OR($C124="W",$C124="1/2W")),AND($K125=BW$3,OR($C125="W",$C125="1/2W")),AND($K126=BW$3,OR($C126="W",$C126="1/2W"))),$S124,0))</f>
        <v>0</v>
      </c>
      <c r="BX124" s="136">
        <f>IF($B124="LOSS",IF(AND($K124=BX$3,$C124="L"),-$O124,0)+IF(AND($K125=BX$3,$C125="L"),-$O125,0)+IF(AND($K126=BX$3,$C126="L"),-$O126,0),IF(OR(AND($K124=BX$3,OR($C124="W",$C124="1/2W")),AND($K125=BX$3,OR($C125="W",$C125="1/2W")),AND($K126=BX$3,OR($C126="W",$C126="1/2W"))),$S124,0))</f>
        <v>0</v>
      </c>
      <c r="BY124" s="136">
        <f>IF($B124="LOSS",IF(AND($K124=BY$3,$C124="L"),-$O124,0)+IF(AND($K125=BY$3,$C125="L"),-$O125,0)+IF(AND($K126=BY$3,$C126="L"),-$O126,0),IF(OR(AND($K124=BY$3,OR($C124="W",$C124="1/2W")),AND($K125=BY$3,OR($C125="W",$C125="1/2W")),AND($K126=BY$3,OR($C126="W",$C126="1/2W"))),$S124,0))</f>
        <v>0</v>
      </c>
      <c r="BZ124" s="136">
        <f>IF($B124="LOSS",IF(AND($K124=BZ$3,$C124="L"),-$O124,0)+IF(AND($K125=BZ$3,$C125="L"),-$O125,0)+IF(AND($K126=BZ$3,$C126="L"),-$O126,0),IF(OR(AND($K124=BZ$3,OR($C124="W",$C124="1/2W")),AND($K125=BZ$3,OR($C125="W",$C125="1/2W")),AND($K126=BZ$3,OR($C126="W",$C126="1/2W"))),$S124,0))</f>
        <v>0</v>
      </c>
      <c r="CA124" s="136">
        <f>IF($B124="LOSS",IF(AND($K124=CA$3,$C124="L"),-$O124,0)+IF(AND($K125=CA$3,$C125="L"),-$O125,0)+IF(AND($K126=CA$3,$C126="L"),-$O126,0),IF(OR(AND($K124=CA$3,OR($C124="W",$C124="1/2W")),AND($K125=CA$3,OR($C125="W",$C125="1/2W")),AND($K126=CA$3,OR($C126="W",$C126="1/2W"))),$S124,0))</f>
        <v>0</v>
      </c>
      <c r="CB124" s="136">
        <f>IF($B124="LOSS",IF(AND($K124=CB$3,$C124="L"),-$O124,0)+IF(AND($K125=CB$3,$C125="L"),-$O125,0)+IF(AND($K126=CB$3,$C126="L"),-$O126,0),IF(OR(AND($K124=CB$3,OR($C124="W",$C124="1/2W")),AND($K125=CB$3,OR($C125="W",$C125="1/2W")),AND($K126=CB$3,OR($C126="W",$C126="1/2W"))),$S124,0))</f>
        <v>0</v>
      </c>
      <c r="CC124" s="136">
        <f>IF($B124="LOSS",IF(AND($K124=CC$3,$C124="L"),-$O124,0)+IF(AND($K125=CC$3,$C125="L"),-$O125,0)+IF(AND($K126=CC$3,$C126="L"),-$O126,0),IF(OR(AND($K124=CC$3,OR($C124="W",$C124="1/2W")),AND($K125=CC$3,OR($C125="W",$C125="1/2W")),AND($K126=CC$3,OR($C126="W",$C126="1/2W"))),$S124,0))</f>
        <v>0</v>
      </c>
      <c r="CD124" s="137">
        <f>IF($B124="LOSS",IF(AND($K124=CD$3,$C124="L"),-$O124,0)+IF(AND($K125=CD$3,$C125="L"),-$O125,0)+IF(AND($K126=CD$3,$C126="L"),-$O126,0),IF(OR(AND($K124=CD$3,OR($C124="W",$C124="1/2W")),AND($K125=CD$3,OR($C125="W",$C125="1/2W")),AND($K126=CD$3,OR($C126="W",$C126="1/2W"))),$S124,0))</f>
        <v>3.96</v>
      </c>
      <c r="CE124" s="134">
        <f>IF($B124="LOSS",IF(AND($K124=CE$3,$C124="L"),-$O124,0)+IF(AND($K125=CE$3,$C125="L"),-$O125,0)+IF(AND($K126=CE$3,$C126="L"),-$O126,0),IF(OR(AND($K124=CE$3,OR($C124="W",$C124="1/2W")),AND($K125=CE$3,OR($C125="W",$C125="1/2W")),AND($K126=CE$3,OR($C126="W",$C126="1/2W"))),$S124,0))</f>
        <v>0</v>
      </c>
      <c r="CF124" s="273">
        <f>IF(CF$3=$K124,IF($C124="W",1,IF($C124="1/2W",0.5,0)),0)</f>
        <v>0</v>
      </c>
      <c r="CG124" s="274">
        <f>IF(CF$3=$K124,IF($C124="L",1,IF($C124="1/2L",0.5,0)),0)</f>
        <v>0</v>
      </c>
      <c r="CH124" s="274">
        <f>IF(CH$3=$K124,IF($C124="W",1,IF($C124="1/2W",0.5,0)),0)</f>
        <v>0</v>
      </c>
      <c r="CI124" s="274">
        <f>IF(CH$3=$K124,IF($C124="L",1,IF($C124="1/2L",0.5,0)),0)</f>
        <v>1</v>
      </c>
      <c r="CJ124" s="274">
        <f>IF(CJ$3=$K124,IF($C124="W",1,IF($C124="1/2W",0.5,0)),0)</f>
        <v>0</v>
      </c>
      <c r="CK124" s="274">
        <f>IF(CJ$3=$K124,IF($C124="L",1,IF($C124="1/2L",0.5,0)),0)</f>
        <v>0</v>
      </c>
      <c r="CL124" s="274">
        <f>IF(CL$3=$K124,IF($C124="W",1,IF($C124="1/2W",0.5,0)),0)</f>
        <v>0</v>
      </c>
      <c r="CM124" s="274">
        <f>IF(CL$3=$K124,IF($C124="L",1,IF($C124="1/2L",0.5,0)),0)</f>
        <v>0</v>
      </c>
      <c r="CN124" s="274">
        <f>IF(CN$3=$K124,IF($C124="W",1,IF($C124="1/2W",0.5,0)),0)</f>
        <v>0</v>
      </c>
      <c r="CO124" s="274">
        <f>IF(CN$3=$K124,IF($C124="L",1,IF($C124="1/2L",0.5,0)),0)</f>
        <v>0</v>
      </c>
      <c r="CP124" s="274">
        <f>IF(CP$3=$K124,IF($C124="W",1,IF($C124="1/2W",0.5,0)),0)</f>
        <v>0</v>
      </c>
      <c r="CQ124" s="274">
        <f>IF(CP$3=$K124,IF($C124="L",1,IF($C124="1/2L",0.5,0)),0)</f>
        <v>0</v>
      </c>
      <c r="CR124" s="274">
        <f>IF(CR$3=$K124,IF($C124="W",1,IF($C124="1/2W",0.5,0)),0)</f>
        <v>0</v>
      </c>
      <c r="CS124" s="274">
        <f>IF(CR$3=$K124,IF($C124="L",1,IF($C124="1/2L",0.5,0)),0)</f>
        <v>0</v>
      </c>
      <c r="CT124" s="145">
        <f>IF(CT$3=$K124,IF($C124="W",1,IF($C124="1/2W",0.5,0)),0)</f>
        <v>0</v>
      </c>
      <c r="CU124" s="146">
        <f>IF(CT$3=$K124,IF($C124="L",1,IF($C124="1/2L",0.5,0)),0)</f>
        <v>0</v>
      </c>
      <c r="CV124" s="146">
        <f>IF(CV$3=$K124,IF($C124="W",1,IF($C124="1/2W",0.5,0)),0)</f>
        <v>0</v>
      </c>
      <c r="CW124" s="146">
        <f>IF(CV$3=$K124,IF($C124="L",1,IF($C124="1/2L",0.5,0)),0)</f>
        <v>0</v>
      </c>
      <c r="CX124" s="146">
        <f>IF(CX$3=$K124,IF($C124="W",1,IF($C124="1/2W",0.5,0)),0)</f>
        <v>0</v>
      </c>
      <c r="CY124" s="146">
        <f>IF(CX$3=$K124,IF($C124="L",1,IF($C124="1/2L",0.5,0)),0)</f>
        <v>0</v>
      </c>
      <c r="CZ124" s="146">
        <f>IF(CZ$3=$K124,IF($C124="W",1,IF($C124="1/2W",0.5,0)),0)</f>
        <v>0</v>
      </c>
      <c r="DA124" s="146">
        <f>IF(CZ$3=$K124,IF($C124="L",1,IF($C124="1/2L",0.5,0)),0)</f>
        <v>0</v>
      </c>
      <c r="DB124" s="146">
        <f>IF(DB$3=$K124,IF($C124="W",1,IF($C124="1/2W",0.5,0)),0)</f>
        <v>0</v>
      </c>
      <c r="DC124" s="146">
        <f>IF(DB$3=$K124,IF($C124="L",1,IF($C124="1/2L",0.5,0)),0)</f>
        <v>0</v>
      </c>
      <c r="DD124" s="146">
        <f>IF(DD$3=$K124,IF($C124="W",1,IF($C124="1/2W",0.5,0)),0)</f>
        <v>0</v>
      </c>
      <c r="DE124" s="147">
        <f>IF(DD$3=$K124,IF($C124="L",1,IF($C124="1/2L",0.5,0)),0)</f>
        <v>0</v>
      </c>
      <c r="DF124" s="143">
        <f>IF(AND(L124&lt;DF$3,$C124="W"),1+DF123,DF123)</f>
        <v>7</v>
      </c>
      <c r="DG124" s="133">
        <f>IF(DF124&gt;DF123,L124+DG123,DG123)</f>
        <v>9.247999999999999</v>
      </c>
      <c r="DH124" s="146">
        <f>IF(AND(L124&gt;DH$3,$C124="W"),1+DH123,0+DH123)</f>
        <v>1</v>
      </c>
      <c r="DI124" s="133">
        <f>IF(DH124&gt;DH123,L124+DI123,DI123)</f>
        <v>4.33</v>
      </c>
      <c r="DJ124" t="s" s="304">
        <f>IF($D124="","",$D124)</f>
        <v>101</v>
      </c>
      <c r="DK124" s="146">
        <f>IF(AND($B124=" ",$D124&lt;&gt;""),1,0)</f>
        <v>0</v>
      </c>
    </row>
    <row r="125" ht="14.55" customHeight="1">
      <c r="A125" s="107"/>
      <c r="B125" s="108"/>
      <c r="C125" t="s" s="109">
        <v>56</v>
      </c>
      <c r="D125" s="110"/>
      <c r="E125" s="111"/>
      <c r="F125" s="113"/>
      <c r="G125" s="252"/>
      <c r="H125" s="114"/>
      <c r="I125" t="s" s="275">
        <v>67</v>
      </c>
      <c r="J125" s="276">
        <f>IF(OR(I124="TO",I124="TU",I124="TO1",I124="TU1",I124="TO2",I124="TU2"),J124,IF(OR(I124="AH1",I124="AH2"),IF(OR(I125="AH1",I125="AH2"),-J124,IF(OR(I125="EH1",I125="EH2"),-J124+0.5,"")),IF(OR(I124="EH1",I124="EH2"),IF(OR(I125="AH1",I125="AH2"),-J124+0.5,IF(OR(I125="EH1",I125="EH2"),-J124+1,"")),IF(AND(OR(I124="DNB1",I124="DNB2"),OR(I125="AH1",I125="AH2")),0,IF(AND(I124="Not ScoreBoth",OR(I125="TO1",I125="TO2")),0.5,"")))))</f>
        <v>116.5</v>
      </c>
      <c r="K125" t="s" s="117">
        <v>48</v>
      </c>
      <c r="L125" s="277">
        <v>2.01</v>
      </c>
      <c r="M125" s="278"/>
      <c r="N125" s="120"/>
      <c r="O125" s="121">
        <f>IF(OR(AE124="",AE125=""),"",ROUND(IF(L126&gt;0,IF(M125&gt;0,M125,IF(M124&gt;0,IF(N124=TRUE,ROUND((M124*AE125)/AE124,0),(M124*AE125)/AE124),IF(M125&gt;0,ROUND(M125,IF(N124=0,2,IF(N124=0.1,1,0))),IF(M126&gt;0,ROUND(O126*AE125/AE126,IF(N124=0,2,IF(N124=0.1,1,0))),0)))),IF(M125&gt;0,M125,ROUND((M124*AE125)/AE124,IF(N124=0,2,IF(N124=0.1,1,0))))),2))</f>
        <v>19.23</v>
      </c>
      <c r="P125" s="122">
        <f>IF(OR(L125="",O125=""),"",IF($C125="1/2W",O125/2+O125/2*L125,IF($C125="1/2L",O125/2,IF(I125="Lay",((O125*(L125/(L125-1)))-O125)*(1-_xlfn.XLOOKUP(K125,'Janeiro 2023 - Valor Real'!A3:A15,'Janeiro 2023 - Valor Real'!C3:C15,0))+O125,(O125*L125-O125)*(1-_xlfn.XLOOKUP(K125,'Janeiro 2023 - Valor Real'!A3:A15,'Janeiro 2023 - Valor Real'!C3:C15,0))+O125))))</f>
        <v>38.6523</v>
      </c>
      <c r="Q125" s="279">
        <v>3</v>
      </c>
      <c r="R125" s="280">
        <v>0</v>
      </c>
      <c r="S125" s="125"/>
      <c r="T125" s="126"/>
      <c r="U125" s="126"/>
      <c r="V125" s="224"/>
      <c r="W125" s="126"/>
      <c r="X125" s="127"/>
      <c r="Y125" s="128"/>
      <c r="Z125" s="129"/>
      <c r="AA125" s="129"/>
      <c r="AB125" s="129"/>
      <c r="AC125" s="129"/>
      <c r="AD125" s="130"/>
      <c r="AE125" s="131">
        <f>IF(L125="","",IF(L126&gt;0,(SUM(((L124-1)*(1-_xlfn.XLOOKUP(K124,'Janeiro 2023 - Valor Real'!A3:A15,'Janeiro 2023 - Valor Real'!C3:C15,0))+1),((L125-1)*(1-_xlfn.XLOOKUP(K125,'Janeiro 2023 - Valor Real'!A3:A15,'Janeiro 2023 - Valor Real'!C3:C15,0))+1),((L126-1)*(1-_xlfn.XLOOKUP(K126,'Janeiro 2023 - Valor Real'!A3:A15,'Janeiro 2023 - Valor Real'!C3:C15,0))+1))/((L125-1)*(1-_xlfn.XLOOKUP(K125,'Janeiro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Real'!C3:C15,0))+1))/((L124-1)*(1-_xlfn.XLOOKUP(K124,'Janeiro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Real'!C3:C15,0))+1))/((L125-1)*(1-_xlfn.XLOOKUP(K125,'Janeiro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Real'!C3:C15,0))+1))/((L126-1)*(1-_xlfn.XLOOKUP(K126,'Janeiro 2023 - Valor Real'!A3:A15,'Janeiro 2023 - Valor Real'!C3:C15,0))+1)),IF(I125="Lay",IF(I124="Lay",((L124/(L124-1)-1)*(1-_xlfn.XLOOKUP(K124,'Janeiro 2023 - Valor Real'!A3:A15,'Janeiro 2023 - Valor Real'!C3:C15,0))+1)/(((L124/(L124-1)-1)*(1-_xlfn.XLOOKUP(K124,'Janeiro 2023 - Valor Real'!A3:A15,'Janeiro 2023 - Valor Real'!C3:C15,0))+1)+((L125/(L125-1)-1)*(1-_xlfn.XLOOKUP(K125,'Janeiro 2023 - Valor Real'!A3:A15,'Janeiro 2023 - Valor Real'!C3:C15,0))+1)),((L124-1)*(1-_xlfn.XLOOKUP(K124,'Janeiro 2023 - Valor Real'!A3:A15,'Janeiro 2023 - Valor Real'!C3:C15,0))+1)/(((L124-1)*(1-_xlfn.XLOOKUP(K124,'Janeiro 2023 - Valor Real'!A3:A15,'Janeiro 2023 - Valor Real'!C3:C15,0))+1)+((L125/(L125-1)-1)*(1-_xlfn.XLOOKUP(K125,'Janeiro 2023 - Valor Real'!A3:A15,'Janeiro 2023 - Valor Real'!C3:C15,0))+1))),IF(I124="Lay",((L124/(L124-1)-1)*(1-_xlfn.XLOOKUP(K124,'Janeiro 2023 - Valor Real'!A3:A15,'Janeiro 2023 - Valor Real'!C3:C15,0))+1)/((((L124/(L124-1)-1)*(1-_xlfn.XLOOKUP(K124,'Janeiro 2023 - Valor Real'!A3:A15,'Janeiro 2023 - Valor Real'!C3:C15,0))+1))+((L125-1)*(1-_xlfn.XLOOKUP(K125,'Janeiro 2023 - Valor Real'!A3:A15,'Janeiro 2023 - Valor Real'!C3:C15,0))+1)),((L124-1)*(1-_xlfn.XLOOKUP(K124,'Janeiro 2023 - Valor Real'!A3:A15,'Janeiro 2023 - Valor Real'!C3:C15,0))+1)/(((L124-1)*(1-_xlfn.XLOOKUP(K124,'Janeiro 2023 - Valor Real'!A3:A15,'Janeiro 2023 - Valor Real'!C3:C15,0))+1)+((L125-1)*(1-_xlfn.XLOOKUP(K125,'Janeiro 2023 - Valor Real'!A3:A15,'Janeiro 2023 - Valor Real'!C3:C15,0))+1))))))</f>
        <v>0.554323725055432</v>
      </c>
      <c r="AF125" s="132">
        <f>IF($K125=AF$3,ROUND(IF(OR($C125="W",$C125="1/2W",$C125="1/2L"),$P125-$O125,IF($C125="X",0,-$O125)),2),0)</f>
        <v>0</v>
      </c>
      <c r="AG125" s="133">
        <f>IF($K125=AG$3,ROUND(IF(OR($C125="W",$C125="1/2W",$C125="1/2L"),$P125-$O125,IF($C125="X",0,-$O125)),2),0)</f>
        <v>0</v>
      </c>
      <c r="AH125" s="133">
        <f>IF($K125=AH$3,ROUND(IF(OR($C125="W",$C125="1/2W",$C125="1/2L"),$P125-$O125,IF($C125="X",0,-$O125)),2),0)</f>
        <v>0</v>
      </c>
      <c r="AI125" s="133">
        <f>IF($K125=AI$3,ROUND(IF(OR($C125="W",$C125="1/2W",$C125="1/2L"),$P125-$O125,IF($C125="X",0,-$O125)),2),0)</f>
        <v>0</v>
      </c>
      <c r="AJ125" s="133">
        <f>IF($K125=AJ$3,ROUND(IF(OR($C125="W",$C125="1/2W",$C125="1/2L"),$P125-$O125,IF($C125="X",0,-$O125)),2),0)</f>
        <v>0</v>
      </c>
      <c r="AK125" s="133">
        <f>IF($K125=AK$3,ROUND(IF(OR($C125="W",$C125="1/2W",$C125="1/2L"),$P125-$O125,IF($C125="X",0,-$O125)),2),0)</f>
        <v>0</v>
      </c>
      <c r="AL125" s="133">
        <f>IF($K125=AL$3,ROUND(IF(OR($C125="W",$C125="1/2W",$C125="1/2L"),$P125-$O125,IF($C125="X",0,-$O125)),2),0)</f>
        <v>0</v>
      </c>
      <c r="AM125" s="133">
        <f>IF($K125=AM$3,ROUND(IF(OR($C125="W",$C125="1/2W",$C125="1/2L"),$P125-$O125,IF($C125="X",0,-$O125)),2),0)</f>
        <v>0</v>
      </c>
      <c r="AN125" s="133">
        <f>IF($K125=AN$3,ROUND(IF(OR($C125="W",$C125="1/2W",$C125="1/2L"),$P125-$O125,IF($C125="X",0,-$O125)),2),0)</f>
        <v>0</v>
      </c>
      <c r="AO125" s="133">
        <f>IF($K125=AO$3,ROUND(IF(OR($C125="W",$C125="1/2W",$C125="1/2L"),$P125-$O125,IF($C125="X",0,-$O125)),2),0)</f>
        <v>0</v>
      </c>
      <c r="AP125" s="133">
        <f>IF($K125=AP$3,ROUND(IF(OR($C125="W",$C125="1/2W",$C125="1/2L"),$P125-$O125,IF($C125="X",0,-$O125)),2),0)</f>
        <v>0</v>
      </c>
      <c r="AQ125" s="133">
        <f>IF($K125=AQ$3,ROUND(IF(OR($C125="W",$C125="1/2W",$C125="1/2L"),$P125-$O125,IF($C125="X",0,-$O125)),2),0)</f>
        <v>19.42</v>
      </c>
      <c r="AR125" s="134">
        <f>IF($K125=AR$3,ROUND(IF(OR($C125="W",$C125="1/2W",$C125="1/2L"),$P125-$O125,IF($C125="X",0,-$O125)),2),0)</f>
        <v>0</v>
      </c>
      <c r="AS125" s="132">
        <f>IF(AND($B124=" ",$K125=AS$3),$O125,0)</f>
        <v>0</v>
      </c>
      <c r="AT125" s="133">
        <f>IF(AND($B124=" ",K125=AT$3),$O125,0)</f>
        <v>0</v>
      </c>
      <c r="AU125" s="133">
        <f>IF(AND($B124=" ",$K125=AU$3),$O125,0)</f>
        <v>0</v>
      </c>
      <c r="AV125" s="133">
        <f>IF(AND($B124=" ",$K125=AV$3),$O125,0)</f>
        <v>0</v>
      </c>
      <c r="AW125" s="133">
        <f>IF(AND($B124=" ",$K125=AW$3),$O125,0)</f>
        <v>0</v>
      </c>
      <c r="AX125" s="133">
        <f>IF(AND($B124=" ",$K125=AX$3),$O125,0)</f>
        <v>0</v>
      </c>
      <c r="AY125" s="135">
        <f>IF(AND($B124=" ",$K125=AY$3),$O125,0)</f>
        <v>0</v>
      </c>
      <c r="AZ125" s="136">
        <f>IF(AND($B124=" ",$K125=AZ$3),$O125,0)</f>
        <v>0</v>
      </c>
      <c r="BA125" s="136">
        <f>IF(AND($B124=" ",$K125=BA$3),$O125,0)</f>
        <v>0</v>
      </c>
      <c r="BB125" s="136">
        <f>IF(AND($B124=" ",$K125=BB$3),$O125,0)</f>
        <v>0</v>
      </c>
      <c r="BC125" s="137">
        <f>IF(AND($B124=" ",$K125=BC$3),$O125,0)</f>
        <v>0</v>
      </c>
      <c r="BD125" s="133">
        <f>IF(AND($B124=" ",$K125=BD$3),$O125,0)</f>
        <v>0</v>
      </c>
      <c r="BE125" s="134">
        <f>IF(AND($B124=" ",$K125=BE$3),$O125,0)</f>
        <v>0</v>
      </c>
      <c r="BF125" s="132">
        <f>IF($K125=BF$3,IF($C125="X",0,$O125),0)</f>
        <v>0</v>
      </c>
      <c r="BG125" s="281">
        <f>IF($K125=BG$3,IF($C125="X",0,$O125),0)</f>
        <v>0</v>
      </c>
      <c r="BH125" s="133">
        <f>IF($K125=BH$3,IF($C125="X",0,$O125),0)</f>
        <v>0</v>
      </c>
      <c r="BI125" s="133">
        <f>IF($K125=BI$3,IF($C125="X",0,$O125),0)</f>
        <v>0</v>
      </c>
      <c r="BJ125" s="133">
        <f>IF($K125=BJ$3,IF($C125="X",0,$O125),0)</f>
        <v>0</v>
      </c>
      <c r="BK125" s="133">
        <f>IF($K125=BK$3,IF($C125="X",0,$O125),0)</f>
        <v>0</v>
      </c>
      <c r="BL125" s="133">
        <f>IF($K125=BL$3,IF($C125="X",0,$O125),0)</f>
        <v>0</v>
      </c>
      <c r="BM125" s="135">
        <f>IF($K125=BM$3,IF($C125="X",0,$O125),0)</f>
        <v>0</v>
      </c>
      <c r="BN125" s="136">
        <f>IF($K125=BN$3,IF($C125="X",0,$O125),0)</f>
        <v>0</v>
      </c>
      <c r="BO125" s="136">
        <f>IF($K125=BO$3,IF($C125="X",0,$O125),0)</f>
        <v>0</v>
      </c>
      <c r="BP125" s="136">
        <f>IF($K125=BP$3,IF($C125="X",0,$O125),0)</f>
        <v>0</v>
      </c>
      <c r="BQ125" s="137">
        <f>IF($K125=BQ$3,IF($C125="X",0,$O125),0)</f>
        <v>19.23</v>
      </c>
      <c r="BR125" s="134">
        <f>IF($K125=BR$3,IF($C125="X",0,$O125),0)</f>
        <v>0</v>
      </c>
      <c r="BS125" s="282"/>
      <c r="BT125" s="283"/>
      <c r="BU125" s="140"/>
      <c r="BV125" s="283"/>
      <c r="BW125" s="140"/>
      <c r="BX125" s="140"/>
      <c r="BY125" s="140"/>
      <c r="BZ125" s="283"/>
      <c r="CA125" s="140"/>
      <c r="CB125" s="140"/>
      <c r="CC125" s="140"/>
      <c r="CD125" s="141"/>
      <c r="CE125" s="142"/>
      <c r="CF125" s="284">
        <f>IF(CF$3=$K125,IF($C125="W",1,IF($C125="1/2W",0.5,0)),0)</f>
        <v>0</v>
      </c>
      <c r="CG125" s="285">
        <f>IF(CF$3=$K125,IF($C125="L",1,IF($C125="1/2L",0.5,0)),0)</f>
        <v>0</v>
      </c>
      <c r="CH125" s="285">
        <f>IF(CH$3=$K125,IF($C125="W",1,IF($C125="1/2W",0.5,0)),0)</f>
        <v>0</v>
      </c>
      <c r="CI125" s="285">
        <f>IF(CH$3=$K125,IF($C125="L",1,IF($C125="1/2L",0.5,0)),0)</f>
        <v>0</v>
      </c>
      <c r="CJ125" s="285">
        <f>IF(CJ$3=$K125,IF($C125="W",1,IF($C125="1/2W",0.5,0)),0)</f>
        <v>0</v>
      </c>
      <c r="CK125" s="285">
        <f>IF(CJ$3=$K125,IF($C125="L",1,IF($C125="1/2L",0.5,0)),0)</f>
        <v>0</v>
      </c>
      <c r="CL125" s="285">
        <f>IF(CL$3=$K125,IF($C125="W",1,IF($C125="1/2W",0.5,0)),0)</f>
        <v>0</v>
      </c>
      <c r="CM125" s="285">
        <f>IF(CL$3=$K125,IF($C125="L",1,IF($C125="1/2L",0.5,0)),0)</f>
        <v>0</v>
      </c>
      <c r="CN125" s="285">
        <f>IF(CN$3=$K125,IF($C125="W",1,IF($C125="1/2W",0.5,0)),0)</f>
        <v>0</v>
      </c>
      <c r="CO125" s="285">
        <f>IF(CN$3=$K125,IF($C125="L",1,IF($C125="1/2L",0.5,0)),0)</f>
        <v>0</v>
      </c>
      <c r="CP125" s="285">
        <f>IF(CP$3=$K125,IF($C125="W",1,IF($C125="1/2W",0.5,0)),0)</f>
        <v>0</v>
      </c>
      <c r="CQ125" s="285">
        <f>IF(CP$3=$K125,IF($C125="L",1,IF($C125="1/2L",0.5,0)),0)</f>
        <v>0</v>
      </c>
      <c r="CR125" s="285">
        <f>IF(CR$3=$K125,IF($C125="W",1,IF($C125="1/2W",0.5,0)),0)</f>
        <v>0</v>
      </c>
      <c r="CS125" s="285">
        <f>IF(CR$3=$K125,IF($C125="L",1,IF($C125="1/2L",0.5,0)),0)</f>
        <v>0</v>
      </c>
      <c r="CT125" s="145">
        <f>IF(CT$3=$K125,IF($C125="W",1,IF($C125="1/2W",0.5,0)),0)</f>
        <v>0</v>
      </c>
      <c r="CU125" s="146">
        <f>IF(CT$3=$K125,IF($C125="L",1,IF($C125="1/2L",0.5,0)),0)</f>
        <v>0</v>
      </c>
      <c r="CV125" s="146">
        <f>IF(CV$3=$K125,IF($C125="W",1,IF($C125="1/2W",0.5,0)),0)</f>
        <v>0</v>
      </c>
      <c r="CW125" s="146">
        <f>IF(CV$3=$K125,IF($C125="L",1,IF($C125="1/2L",0.5,0)),0)</f>
        <v>0</v>
      </c>
      <c r="CX125" s="146">
        <f>IF(CX$3=$K125,IF($C125="W",1,IF($C125="1/2W",0.5,0)),0)</f>
        <v>0</v>
      </c>
      <c r="CY125" s="146">
        <f>IF(CX$3=$K125,IF($C125="L",1,IF($C125="1/2L",0.5,0)),0)</f>
        <v>0</v>
      </c>
      <c r="CZ125" s="146">
        <f>IF(CZ$3=$K125,IF($C125="W",1,IF($C125="1/2W",0.5,0)),0)</f>
        <v>0</v>
      </c>
      <c r="DA125" s="146">
        <f>IF(CZ$3=$K125,IF($C125="L",1,IF($C125="1/2L",0.5,0)),0)</f>
        <v>0</v>
      </c>
      <c r="DB125" s="146">
        <f>IF(DB$3=$K125,IF($C125="W",1,IF($C125="1/2W",0.5,0)),0)</f>
        <v>1</v>
      </c>
      <c r="DC125" s="146">
        <f>IF(DB$3=$K125,IF($C125="L",1,IF($C125="1/2L",0.5,0)),0)</f>
        <v>0</v>
      </c>
      <c r="DD125" s="146">
        <f>IF(DD$3=$K125,IF($C125="W",1,IF($C125="1/2W",0.5,0)),0)</f>
        <v>0</v>
      </c>
      <c r="DE125" s="147">
        <f>IF(DD$3=$K125,IF($C125="L",1,IF($C125="1/2L",0.5,0)),0)</f>
        <v>0</v>
      </c>
      <c r="DF125" s="143">
        <f>IF(AND(L125&lt;DF$3,$C125="W"),1+DF124,DF124)</f>
        <v>7</v>
      </c>
      <c r="DG125" s="133">
        <f>IF(DF125&gt;DF124,L125+DG124,DG124)</f>
        <v>9.247999999999999</v>
      </c>
      <c r="DH125" s="146">
        <f>IF(AND(L125&gt;DH$3,$C125="W"),1+DH124,0+DH124)</f>
        <v>1</v>
      </c>
      <c r="DI125" s="133">
        <f>IF(DH125&gt;DH124,L125+DI124,DI124)</f>
        <v>4.33</v>
      </c>
      <c r="DJ125" t="s" s="304">
        <f>IF($D124="","",$D124)</f>
        <v>101</v>
      </c>
      <c r="DK125" s="286"/>
    </row>
    <row r="126" ht="14.55" customHeight="1">
      <c r="A126" s="149"/>
      <c r="B126" s="150"/>
      <c r="C126" t="s" s="151">
        <v>58</v>
      </c>
      <c r="D126" s="152"/>
      <c r="E126" s="153"/>
      <c r="F126" s="155"/>
      <c r="G126" s="252"/>
      <c r="H126" s="156"/>
      <c r="I126" s="287"/>
      <c r="J126" s="288"/>
      <c r="K126" s="156"/>
      <c r="L126" s="289"/>
      <c r="M126" s="290"/>
      <c r="N126" s="161"/>
      <c r="O126" t="s" s="162">
        <f>IF(OR(AE124="",AE125=""),"",IF(L126&gt;0,ROUND(IF(M126&gt;0,M126,IF(M124&gt;0,ROUND((M124*AE126)/AE124,IF(N124=0,2,IF(N124=0.1,1,0))),IF(M125&gt;0,ROUND((M125*AE126)/AE125,IF(N124=0,2,IF(N124=0.1,1,0))),IF(M126&gt;0,M126,0)))),2),""))</f>
      </c>
      <c r="P126" t="s" s="163">
        <f>IF(I125="Lay",O125*(L125/(L125-1))-O125,IF(I124="Lay",O124*(L124/(L124-1))-O124,IF(OR(L126="",O126=""),"",IF($C126="1/2W",O126/2+O126/2*L126,IF($C126="1/2L",O126/2,(O126*L126-O126)*(1-_xlfn.XLOOKUP(K126,'Janeiro 2023 - Valor Real'!A3:A15,'Janeiro 2023 - Valor Real'!C3:C15,0))+O126)))))</f>
      </c>
      <c r="Q126" t="s" s="154"/>
      <c r="R126" t="s" s="163"/>
      <c r="S126" s="166"/>
      <c r="T126" s="155"/>
      <c r="U126" s="155"/>
      <c r="V126" s="166"/>
      <c r="W126" s="155"/>
      <c r="X126" s="167"/>
      <c r="Y126" s="128"/>
      <c r="Z126" s="129"/>
      <c r="AA126" s="129"/>
      <c r="AB126" s="129"/>
      <c r="AC126" s="129"/>
      <c r="AD126" s="168"/>
      <c r="AE126" t="s" s="169">
        <f>IF(L126="","",(SUM(((L124-1)*(1-_xlfn.XLOOKUP(K124,'Janeiro 2023 - Valor Real'!A3:A15,'Janeiro 2023 - Valor Real'!C3:C15,0))+1),((L125-1)*(1-_xlfn.XLOOKUP(K125,'Janeiro 2023 - Valor Real'!A3:A15,'Janeiro 2023 - Valor Real'!C3:C15,0))+1),((L126-1)*(1-_xlfn.XLOOKUP(K126,'Janeiro 2023 - Valor Real'!A3:A15,'Janeiro 2023 - Valor Real'!C3:C15,0))+1))/((L126-1)*(1-_xlfn.XLOOKUP(K126,'Janeiro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Real'!C3:C15,0))+1))/((L124-1)*(1-_xlfn.XLOOKUP(K124,'Janeiro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Real'!C3:C15,0))+1))/((L125-1)*(1-_xlfn.XLOOKUP(K125,'Janeiro 2023 - Valor Real'!A3:A15,'Janeiro 2023 - Valor Real'!C3:C15,0))+1)+SUM(((L124-1)*(1-_xlfn.XLOOKUP(K124,'Janeiro 2023 - Valor Real'!A3:A15,'Janeiro 2023 - Valor Real'!C3:C15,0))+1),((L125-1)*(1-_xlfn.XLOOKUP(K125,'Janeiro 2023 - Valor Real'!A3:A15,'Janeiro 2023 - Valor Real'!C3:C15,0))+1),((L126-1)*(1-_xlfn.XLOOKUP(K126,'Janeiro 2023 - Valor Real'!A3:A15,'Janeiro 2023 - Valor Real'!C3:C15,0))+1))/((L126-1)*(1-_xlfn.XLOOKUP(K126,'Janeiro 2023 - Valor Real'!A3:A15,'Janeiro 2023 - Valor Real'!C3:C15,0))+1)))</f>
      </c>
      <c r="AF126" s="132">
        <f>IF($K126=AF$3,ROUND(IF(OR($C126="W",$C126="1/2W",$C126="1/2L"),$P126-$O126,IF($C126="X",0,-$O126)),2),0)</f>
        <v>0</v>
      </c>
      <c r="AG126" s="133">
        <f>IF($K126=AG$3,ROUND(IF(OR($C126="W",$C126="1/2W",$C126="1/2L"),$P126-$O126,IF($C126="X",0,-$O126)),2),0)</f>
        <v>0</v>
      </c>
      <c r="AH126" s="133">
        <f>IF($K126=AH$3,ROUND(IF(OR($C126="W",$C126="1/2W",$C126="1/2L"),$P126-$O126,IF($C126="X",0,-$O126)),2),0)</f>
        <v>0</v>
      </c>
      <c r="AI126" s="133">
        <f>IF($K126=AI$3,ROUND(IF(OR($C126="W",$C126="1/2W",$C126="1/2L"),$P126-$O126,IF($C126="X",0,-$O126)),2),0)</f>
        <v>0</v>
      </c>
      <c r="AJ126" s="133">
        <f>IF($K126=AJ$3,ROUND(IF(OR($C126="W",$C126="1/2W",$C126="1/2L"),$P126-$O126,IF($C126="X",0,-$O126)),2),0)</f>
        <v>0</v>
      </c>
      <c r="AK126" s="133">
        <f>IF($K126=AK$3,ROUND(IF(OR($C126="W",$C126="1/2W",$C126="1/2L"),$P126-$O126,IF($C126="X",0,-$O126)),2),0)</f>
        <v>0</v>
      </c>
      <c r="AL126" s="133">
        <f>IF($K126=AL$3,ROUND(IF(OR($C126="W",$C126="1/2W",$C126="1/2L"),$P126-$O126,IF($C126="X",0,-$O126)),2),0)</f>
        <v>0</v>
      </c>
      <c r="AM126" s="133">
        <f>IF($K126=AM$3,ROUND(IF(OR($C126="W",$C126="1/2W",$C126="1/2L"),$P126-$O126,IF($C126="X",0,-$O126)),2),0)</f>
        <v>0</v>
      </c>
      <c r="AN126" s="133">
        <f>IF($K126=AN$3,ROUND(IF(OR($C126="W",$C126="1/2W",$C126="1/2L"),$P126-$O126,IF($C126="X",0,-$O126)),2),0)</f>
        <v>0</v>
      </c>
      <c r="AO126" s="133">
        <f>IF($K126=AO$3,ROUND(IF(OR($C126="W",$C126="1/2W",$C126="1/2L"),$P126-$O126,IF($C126="X",0,-$O126)),2),0)</f>
        <v>0</v>
      </c>
      <c r="AP126" s="133">
        <f>IF($K126=AP$3,ROUND(IF(OR($C126="W",$C126="1/2W",$C126="1/2L"),$P126-$O126,IF($C126="X",0,-$O126)),2),0)</f>
        <v>0</v>
      </c>
      <c r="AQ126" s="133">
        <f>IF($K126=AQ$3,ROUND(IF(OR($C126="W",$C126="1/2W",$C126="1/2L"),$P126-$O126,IF($C126="X",0,-$O126)),2),0)</f>
        <v>0</v>
      </c>
      <c r="AR126" s="134">
        <f>IF($K126=AR$3,ROUND(IF(OR($C126="W",$C126="1/2W",$C126="1/2L"),$P126-$O126,IF($C126="X",0,-$O126)),2),0)</f>
        <v>0</v>
      </c>
      <c r="AS126" s="132">
        <f>IF(AND($B124=" ",$K126=AS$3),$O126,0)</f>
        <v>0</v>
      </c>
      <c r="AT126" s="133">
        <f>IF(AND($B124=" ",K126=AT$3),$O126,0)</f>
        <v>0</v>
      </c>
      <c r="AU126" s="133">
        <f>IF(AND($B124=" ",$K126=AU$3),$O126,0)</f>
        <v>0</v>
      </c>
      <c r="AV126" s="133">
        <f>IF(AND($B124=" ",$K126=AV$3),$O126,0)</f>
        <v>0</v>
      </c>
      <c r="AW126" s="133">
        <f>IF(AND($B124=" ",$K126=AW$3),$O126,0)</f>
        <v>0</v>
      </c>
      <c r="AX126" s="133">
        <f>IF(AND($B124=" ",$K126=AX$3),$O126,0)</f>
        <v>0</v>
      </c>
      <c r="AY126" s="135">
        <f>IF(AND($B124=" ",$K126=AY$3),$O126,0)</f>
        <v>0</v>
      </c>
      <c r="AZ126" s="136">
        <f>IF(AND($B124=" ",$K126=AZ$3),$O126,0)</f>
        <v>0</v>
      </c>
      <c r="BA126" s="136">
        <f>IF(AND($B124=" ",$K126=BA$3),$O126,0)</f>
        <v>0</v>
      </c>
      <c r="BB126" s="136">
        <f>IF(AND($B124=" ",$K126=BB$3),$O126,0)</f>
        <v>0</v>
      </c>
      <c r="BC126" s="137">
        <f>IF(AND($B124=" ",$K126=BC$3),$O126,0)</f>
        <v>0</v>
      </c>
      <c r="BD126" s="133">
        <f>IF(AND($B124=" ",$K126=BD$3),$O126,0)</f>
        <v>0</v>
      </c>
      <c r="BE126" s="134">
        <f>IF(AND($B124=" ",$K126=BE$3),$O126,0)</f>
        <v>0</v>
      </c>
      <c r="BF126" s="132">
        <f>IF($K126=BF$3,IF($C126="X",0,$O126),0)</f>
        <v>0</v>
      </c>
      <c r="BG126" s="281">
        <f>IF($K126=BG$3,IF($C126="X",0,$O126),0)</f>
        <v>0</v>
      </c>
      <c r="BH126" s="133">
        <f>IF($K126=BH$3,IF($C126="X",0,$O126),0)</f>
        <v>0</v>
      </c>
      <c r="BI126" s="133">
        <f>IF($K126=BI$3,IF($C126="X",0,$O126),0)</f>
        <v>0</v>
      </c>
      <c r="BJ126" s="133">
        <f>IF($K126=BJ$3,IF($C126="X",0,$O126),0)</f>
        <v>0</v>
      </c>
      <c r="BK126" s="133">
        <f>IF($K126=BK$3,IF($C126="X",0,$O126),0)</f>
        <v>0</v>
      </c>
      <c r="BL126" s="133">
        <f>IF($K126=BL$3,IF($C126="X",0,$O126),0)</f>
        <v>0</v>
      </c>
      <c r="BM126" s="135">
        <f>IF($K126=BM$3,IF($C126="X",0,$O126),0)</f>
        <v>0</v>
      </c>
      <c r="BN126" s="136">
        <f>IF($K126=BN$3,IF($C126="X",0,$O126),0)</f>
        <v>0</v>
      </c>
      <c r="BO126" s="136">
        <f>IF($K126=BO$3,IF($C126="X",0,$O126),0)</f>
        <v>0</v>
      </c>
      <c r="BP126" s="136">
        <f>IF($K126=BP$3,IF($C126="X",0,$O126),0)</f>
        <v>0</v>
      </c>
      <c r="BQ126" s="137">
        <f>IF($K126=BQ$3,IF($C126="X",0,$O126),0)</f>
        <v>0</v>
      </c>
      <c r="BR126" s="134">
        <f>IF($K126=BR$3,IF($C126="X",0,$O126),0)</f>
        <v>0</v>
      </c>
      <c r="BS126" s="282"/>
      <c r="BT126" s="283"/>
      <c r="BU126" s="140"/>
      <c r="BV126" s="283"/>
      <c r="BW126" s="140"/>
      <c r="BX126" s="140"/>
      <c r="BY126" s="140"/>
      <c r="BZ126" s="283"/>
      <c r="CA126" s="140"/>
      <c r="CB126" s="140"/>
      <c r="CC126" s="140"/>
      <c r="CD126" s="141"/>
      <c r="CE126" s="142"/>
      <c r="CF126" s="284">
        <f>IF(CF$3=$K126,IF($C126="W",1,IF($C126="1/2W",0.5,0)),0)</f>
        <v>0</v>
      </c>
      <c r="CG126" s="285">
        <f>IF(CF$3=$K126,IF($C126="L",1,IF($C126="1/2L",0.5,0)),0)</f>
        <v>0</v>
      </c>
      <c r="CH126" s="285">
        <f>IF(CH$3=$K126,IF($C126="W",1,IF($C126="1/2W",0.5,0)),0)</f>
        <v>0</v>
      </c>
      <c r="CI126" s="285">
        <f>IF(CH$3=$K126,IF($C126="L",1,IF($C126="1/2L",0.5,0)),0)</f>
        <v>0</v>
      </c>
      <c r="CJ126" s="285">
        <f>IF(CJ$3=$K126,IF($C126="W",1,IF($C126="1/2W",0.5,0)),0)</f>
        <v>0</v>
      </c>
      <c r="CK126" s="285">
        <f>IF(CJ$3=$K126,IF($C126="L",1,IF($C126="1/2L",0.5,0)),0)</f>
        <v>0</v>
      </c>
      <c r="CL126" s="285">
        <f>IF(CL$3=$K126,IF($C126="W",1,IF($C126="1/2W",0.5,0)),0)</f>
        <v>0</v>
      </c>
      <c r="CM126" s="285">
        <f>IF(CL$3=$K126,IF($C126="L",1,IF($C126="1/2L",0.5,0)),0)</f>
        <v>0</v>
      </c>
      <c r="CN126" s="285">
        <f>IF(CN$3=$K126,IF($C126="W",1,IF($C126="1/2W",0.5,0)),0)</f>
        <v>0</v>
      </c>
      <c r="CO126" s="285">
        <f>IF(CN$3=$K126,IF($C126="L",1,IF($C126="1/2L",0.5,0)),0)</f>
        <v>0</v>
      </c>
      <c r="CP126" s="285">
        <f>IF(CP$3=$K126,IF($C126="W",1,IF($C126="1/2W",0.5,0)),0)</f>
        <v>0</v>
      </c>
      <c r="CQ126" s="285">
        <f>IF(CP$3=$K126,IF($C126="L",1,IF($C126="1/2L",0.5,0)),0)</f>
        <v>0</v>
      </c>
      <c r="CR126" s="285">
        <f>IF(CR$3=$K126,IF($C126="W",1,IF($C126="1/2W",0.5,0)),0)</f>
        <v>0</v>
      </c>
      <c r="CS126" s="285">
        <f>IF(CR$3=$K126,IF($C126="L",1,IF($C126="1/2L",0.5,0)),0)</f>
        <v>0</v>
      </c>
      <c r="CT126" s="145">
        <f>IF(CT$3=$K126,IF($C126="W",1,IF($C126="1/2W",0.5,0)),0)</f>
        <v>0</v>
      </c>
      <c r="CU126" s="146">
        <f>IF(CT$3=$K126,IF($C126="L",1,IF($C126="1/2L",0.5,0)),0)</f>
        <v>0</v>
      </c>
      <c r="CV126" s="146">
        <f>IF(CV$3=$K126,IF($C126="W",1,IF($C126="1/2W",0.5,0)),0)</f>
        <v>0</v>
      </c>
      <c r="CW126" s="146">
        <f>IF(CV$3=$K126,IF($C126="L",1,IF($C126="1/2L",0.5,0)),0)</f>
        <v>0</v>
      </c>
      <c r="CX126" s="146">
        <f>IF(CX$3=$K126,IF($C126="W",1,IF($C126="1/2W",0.5,0)),0)</f>
        <v>0</v>
      </c>
      <c r="CY126" s="146">
        <f>IF(CX$3=$K126,IF($C126="L",1,IF($C126="1/2L",0.5,0)),0)</f>
        <v>0</v>
      </c>
      <c r="CZ126" s="146">
        <f>IF(CZ$3=$K126,IF($C126="W",1,IF($C126="1/2W",0.5,0)),0)</f>
        <v>0</v>
      </c>
      <c r="DA126" s="146">
        <f>IF(CZ$3=$K126,IF($C126="L",1,IF($C126="1/2L",0.5,0)),0)</f>
        <v>0</v>
      </c>
      <c r="DB126" s="146">
        <f>IF(DB$3=$K126,IF($C126="W",1,IF($C126="1/2W",0.5,0)),0)</f>
        <v>0</v>
      </c>
      <c r="DC126" s="146">
        <f>IF(DB$3=$K126,IF($C126="L",1,IF($C126="1/2L",0.5,0)),0)</f>
        <v>0</v>
      </c>
      <c r="DD126" s="146">
        <f>IF(DD$3=$K126,IF($C126="W",1,IF($C126="1/2W",0.5,0)),0)</f>
        <v>0</v>
      </c>
      <c r="DE126" s="147">
        <f>IF(DD$3=$K126,IF($C126="L",1,IF($C126="1/2L",0.5,0)),0)</f>
        <v>0</v>
      </c>
      <c r="DF126" s="143">
        <f>IF(AND(L126&lt;DF$3,$C126="W"),1+DF125,DF125)</f>
        <v>7</v>
      </c>
      <c r="DG126" s="133">
        <f>IF(DF126&gt;DF125,L126+DG125,DG125)</f>
        <v>9.247999999999999</v>
      </c>
      <c r="DH126" s="146">
        <f>IF(AND(L126&gt;DH$3,$C126="W"),1+DH125,0+DH125)</f>
        <v>1</v>
      </c>
      <c r="DI126" s="133">
        <f>IF(DH126&gt;DH125,L126+DI125,DI125)</f>
        <v>4.33</v>
      </c>
      <c r="DJ126" t="s" s="304">
        <f>IF($D124="","",$D124)</f>
        <v>101</v>
      </c>
      <c r="DK126" s="286"/>
    </row>
    <row r="127" ht="14.55" customHeight="1">
      <c r="A127" s="171">
        <f>$A124+1</f>
        <v>42</v>
      </c>
      <c r="B127" t="s" s="172">
        <f>IF(AND(_xlfn.XLOOKUP(H127,H44:H$84,G44:G$84,0)=G127,_xlfn.XLOOKUP("TempoBet",K127:K129,L127:L129,0)&gt;0),"X",IF(OR(C127="W",C128="W",C129="W",C127="1/2W",C128="1/2W",C129="1/2W",C127="1/2L",C128="1/2L",C129="1/2L"),"OK",IF(OR(C127="L",C128="L",C129="L"),"LOSS",IF(OR(C127="X",C128="X",C129="X"),"Anulado"," "))))</f>
        <v>50</v>
      </c>
      <c r="C127" t="s" s="173">
        <v>51</v>
      </c>
      <c r="D127" t="s" s="305">
        <f>IF(G127="","",$D124)</f>
        <v>101</v>
      </c>
      <c r="E127" t="s" s="175">
        <f>IF(G127=""," ","– "&amp;COUNTIF(D$4:D129,$D127))</f>
        <v>163</v>
      </c>
      <c r="F127" t="s" s="176">
        <f>IF(G127="","",IF(OR(AND($C127&lt;&gt;" ",$C128=" "),AND($C128&lt;&gt;" ",$C127=" "),AND(L129&gt;0,OR(AND($C129&lt;&gt;" ",OR($C127=" ",$C128=" ")),AND($C129=" ",OR($C127&lt;&gt;" ",$C128&lt;&gt;" "))))),IF(SUM(F$4:F126)=0,1,LARGE(F$4:F126,1)+1),IF(MONTH(G127)=MONTH(TODAY()),IF(AND(DAY(G127)&lt;DAY(TODAY()),$B127=" "),IF(SUM(F$4:F126)=0,1,LARGE(F$4:F126,1)+1),IF($B127=" ",IF(AND(DAY(G127)=DAY(TODAY()),HOUR(G127)&lt;=HOUR(NOW())+1),IF(AND(HOUR(G127)+2&lt;=HOUR(NOW()),DAY(G127)&lt;=DAY(TODAY()),MINUTE(G127)&lt;=MINUTE(NOW())),IF(SUM(F$4:F126)=0,1,LARGE(F$4:F126,1)+1),IF(OR(MINUTE(G127)&lt;=MINUTE(NOW()),HOUR(G127)&lt;=HOUR(NOW())),"!!!","")),""),"")),"")))</f>
      </c>
      <c r="G127" s="177">
        <f>IF(H127="","",_xlfn.XLOOKUP(H127,H$4:H126,G$4:G126,""))</f>
        <v>44943.916666666664</v>
      </c>
      <c r="H127" t="s" s="178">
        <v>161</v>
      </c>
      <c r="I127" t="s" s="179">
        <v>65</v>
      </c>
      <c r="J127" s="291">
        <v>232.5</v>
      </c>
      <c r="K127" t="s" s="181">
        <v>38</v>
      </c>
      <c r="L127" s="182">
        <v>2.5</v>
      </c>
      <c r="M127" s="183">
        <v>54.02</v>
      </c>
      <c r="N127" s="184">
        <v>0</v>
      </c>
      <c r="O127" s="185">
        <f>IF(OR(AE127="",AE128=""),"",ROUND(IF(L129&gt;0,IF(M127&gt;0,M127,IF(M128&gt;0,ROUND((M128*AE127)/AE128,IF(N127=0,2,IF(N127=0.1,1,0))),ROUND((M129*AE127)/AE129,IF(N127=0,2,IF(N127=0.1,1,0))))),IF(M127&gt;0,M127,ROUND((M128*AE127)/AE128,IF(N127=0,2,IF(N127=0.1,1,0))))),2))</f>
        <v>54.02</v>
      </c>
      <c r="P127" s="186">
        <f>IF(OR(L127="",O127=""),"",IF($C127="1/2W",O127/2+O127/2*L127,IF($C127="1/2L",O127/2,IF(I127="Lay",(O127*(L127/(L127-1))-O127)*(1-_xlfn.XLOOKUP(K127,'Janeiro 2023 - Valor Real'!A3:A15,'Janeiro 2023 - Valor Real'!C3:C15,0))+O127,(O127*L127-O127)*(1-_xlfn.XLOOKUP(K127,'Janeiro 2023 - Valor Real'!A3:A15,'Janeiro 2023 - Valor Real'!C3:C15,0))+O127))))</f>
        <v>135.05</v>
      </c>
      <c r="Q127" s="187">
        <f>IF(K127="","",IF(_xlfn.XLOOKUP(K127,K44:K$84,DJ44:DJ$84,0,,-1)=DJ127,_xlfn.XLOOKUP(K127,K44:K$84,Q44:Q$84,1,,-1)+1,1))</f>
        <v>5</v>
      </c>
      <c r="R127" s="188">
        <f>IF(K127="","",_xlfn.XLOOKUP(K127,K44:K$84,R44:R$84,0,,-1)+IF($C127=" ",1,0))</f>
        <v>0</v>
      </c>
      <c r="S127" s="189">
        <f>IF($B127="Anulado",0,ROUND(IF(OR($B127="LOSS",$B127="OK"),IF(OR($C127="W",$C127="1/2W",$C127="1/2L"),P127-O127,IF($C127="L",-O127,0))+IF(OR($C128="W",$C128="1/2W",$C128="1/2L"),P128-O128,IF($C128="L",-O128,0))+IF(OR($C129="W",$C129="1/2W",$C129="1/2L"),P129-O129,IF($C129="L",-O129,0)),IF(AND(OR($C127="W",$C127="1/2W",$C127="1/2L"),C128="W"),P127+P128-SUM(O127:O129)+_xlfn.XLOOKUP("X",C127:C129,O127:O129,0),IF(AND(C127=TRUE,C129="W"),P127+P129-SUM(O127:O129),IF(AND(C128="W",C129="W"),P128+P129-SUM(O127:O129)+_xlfn.XLOOKUP("X",C127:C129,O127:O129,0),IF(L129&gt;0,IF(OR($C127="W",$C127="1/2W",$C127="1/2L"),P127-SUM(O127:O129)+_xlfn.XLOOKUP("X",C127:C129,O127:O129,0),IF(OR($C127="W",$C127="1/2W",$C127="1/2L"),P128-SUM(O127:O129)+_xlfn.XLOOKUP("X",C127:C129,O127:O129,0),IF(OR($C127="W",$C127="1/2W",$C127="1/2L"),P129-SUM(O127:O129)+_xlfn.XLOOKUP("X",C127:C129,O127:O129,0),IF(SUM(P127:P129)/3-SUM(O127:O129)+_xlfn.XLOOKUP("X",C127:C129,O127:O129,0)&gt;0,SUM(P127:P129)/3-SUM(O127:O129)+_xlfn.XLOOKUP("X",C127:C129,O127:O129,0),LARGE(P127:P129,1)-SUM(O127:O129))))),IF(OR($C127="W",$C127="1/2W",$C127="1/2L"),P127-SUM(O127:O128)+_xlfn.XLOOKUP("X",C127:C129,O127:O129,0),IF(OR($C127="W",$C127="1/2W",$C127="1/2L"),P128-SUM(O127:O128)+_xlfn.XLOOKUP("X",C127:C129,O127:O129,0),SUM(P127:P128)/2-SUM(O127:O128)+_xlfn.XLOOKUP("X",C127:C129,O127:O129,0)))))))),2))</f>
        <v>3.84</v>
      </c>
      <c r="T127" s="190">
        <f>IF(S127=0,0,S127/SUM(O127:O129))</f>
        <v>0.0292749866585347</v>
      </c>
      <c r="U127" s="191">
        <f>IF($D127=$D124,IF(OR($B127="LOSS",$B127="OK",$B127="Anulada"),S127,0)+U124,IF(OR($B127="LOSS",$B127="OK",$B127="Anulada"),S127,0))</f>
        <v>33.14</v>
      </c>
      <c r="V127" s="191">
        <f>IF($D127="",0,IF($D127=$D124,IF($B127=" ",IF(I129="",IF(OR(AND(I127="DNB1",I128="DNB2"),AND(OR(I127="DNB1",I127="DNB2"),J128=0),AND(OR(I128="DNB1",I128="DNB2"),J127=0),AND(I127="DNB2",I128="DNB1"),AND(IF(J127=0,(J127+1)/ROUND(J127+1,0),J127/ROUND(J127,0))=1,IF(J128=0,(J128+1)/ROUND(IF(J128="",0,J128)+1,0),IF(J128="",0,J128)/ROUND(IF(J128="",1,J128),0))=1,OR(J127&lt;&gt;""),J128&lt;&gt;"")),0,IF(S127&lt;0,IF(I129="",SMALL(P127:P128,1)-SUM(O127:O128),0),SMALL(P127:P128,1)-SUM(O127:O128))),IF(S127&lt;0,IF(I129="",SMALL(P127:P129,1)-SUM(O127:O129),0),LARGE(P127:P129,1)-SUM(O127:O129))),S127)+V124,IF(I129="",IF(OR(AND(I127="DNB1",I128="DNB2"),AND(OR(I127="DNB1",I127="DNB2"),J128=0),AND(OR(I128="DNB1",I128="DNB2"),J127=0),AND(I127="DNB2",I128="DNB1"),AND(IF(J127=0,(J127+1)/ROUND(J127+1,0),J127/ROUND(J127,0))=1,IF(J128=0,(IF(J128="",0,J128)+1)/ROUND(IF(J128="",0,J128)+1,0),IF(J128="",0,J128)/ROUND(IF(J128="",0,J128)+1,0))=1,OR(J127&lt;&gt;""),J128&lt;&gt;"")),0,IF(S127&lt;0,IF(I129="",SMALL(P127:P128,1)-SUM(O127:O128),0),SMALL(P127:P129,1)-SUM(O127:O129))),IF(S127&lt;0,IF(I129="",SMALL(P127:P129,1)-SUM(O127:O129),0),LARGE(P127:P129,1)-SUM(O127:O129)))))</f>
        <v>33.142</v>
      </c>
      <c r="W127" s="191">
        <f>IF($D127=$D124,IF(S127&lt;0,IF(I129="",S127,0),S127)+W124,S127)</f>
        <v>33.14</v>
      </c>
      <c r="X127" t="s" s="192">
        <f>IF(OR(SUM(R127:R129)=0,V127=W127),ROUND(IF(W127=0,0,W127/Y127)*100,2)&amp;"%",ROUND(IF(V127=0,0,V127/Y127)*100,2)&amp;"% a "&amp;ROUND(IF(W127=0,0,W127/Y127)*100,2)&amp;"%")</f>
        <v>149</v>
      </c>
      <c r="Y127" s="193">
        <f>IF($D127=$D124,Y124+SUM(O127:O129),SUM(O127:O129))</f>
        <v>909.48</v>
      </c>
      <c r="Z127" s="191">
        <f>IF($B127=" ",SUM(O127:O129),0)+Z124</f>
        <v>0</v>
      </c>
      <c r="AA127" s="191">
        <f>IF(G127="","",IF($B127="Anulado",LARGE(P127:P129,1)-SUM(O127:O129)+AA124,AA124))</f>
        <v>14.1564</v>
      </c>
      <c r="AB127" s="191">
        <f>IF($D127="","",AB124+S127)</f>
        <v>111.24</v>
      </c>
      <c r="AC127" s="194">
        <f>IF($D127="","",IF($B127=" ",IF(DAY(G127)=DAY(TODAY()),1+AC124,0+AC124),0+AC124))</f>
        <v>0</v>
      </c>
      <c r="AD127" s="195">
        <f>(((L128/(L128-1)-1)*(1-_xlfn.XLOOKUP(K128,'Janeiro 2023 - Valor Real'!A3:A15,'Janeiro 2023 - Valor Real'!C3:C15,0))+1))/(((L127-1)*(1-_xlfn.XLOOKUP(K127,'Janeiro 2023 - Valor Real'!A3:A15,'Janeiro 2023 - Valor Real'!C3:C15,0))+1)+((L128/(L128-1)-1)*(1-_xlfn.XLOOKUP(K128,'Janeiro 2023 - Valor Real'!A3:A15,'Janeiro 2023 - Valor Real'!C3:C15,0))+1))</f>
        <v>0.482758620689655</v>
      </c>
      <c r="AE127" s="196">
        <f>IF(L127="","",IF(L129&gt;0,(SUM(((L127-1)*(1-_xlfn.XLOOKUP(K127,'Janeiro 2023 - Valor Real'!A3:A15,'Janeiro 2023 - Valor Real'!C3:C15,0))+1),((L128-1)*(1-_xlfn.XLOOKUP(K128,'Janeiro 2023 - Valor Real'!A3:A15,'Janeiro 2023 - Valor Real'!C3:C15,0))+1),((L129-1)*(1-_xlfn.XLOOKUP(K129,'Janeiro 2023 - Valor Real'!A3:A15,'Janeiro 2023 - Valor Real'!C3:C15,0))+1))/((L127-1)*(1-_xlfn.XLOOKUP(K127,'Janeiro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Real'!C3:C15,0))+1))/((L127-1)*(1-_xlfn.XLOOKUP(K127,'Janeiro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Real'!C3:C15,0))+1))/((L128-1)*(1-_xlfn.XLOOKUP(K128,'Janeiro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Real'!C3:C15,0))+1))/((L129-1)*(1-_xlfn.XLOOKUP(K129,'Janeiro 2023 - Valor Real'!A3:A15,'Janeiro 2023 - Valor Real'!C3:C15,0))+1)),IF(I127="Lay",IF(I128="Lay",((L128/(L128-1)-1)*(1-_xlfn.XLOOKUP(K128,'Janeiro 2023 - Valor Real'!A3:A15,'Janeiro 2023 - Valor Real'!C3:C15,0))+1)/(((L128/(L128-1)-1)*(1-_xlfn.XLOOKUP(K128,'Janeiro 2023 - Valor Real'!A3:A15,'Janeiro 2023 - Valor Real'!C3:C15,0))+1)+((L127/(L127-1)-1)*(1-_xlfn.XLOOKUP(K127,'Janeiro 2023 - Valor Real'!A3:A15,'Janeiro 2023 - Valor Real'!C3:C15,0))+1)),((L128-1)*(1-_xlfn.XLOOKUP(K128,'Janeiro 2023 - Valor Real'!A3:A15,'Janeiro 2023 - Valor Real'!C3:C15,0))+1)/(((L128-1)*(1-_xlfn.XLOOKUP(K128,'Janeiro 2023 - Valor Real'!A3:A15,'Janeiro 2023 - Valor Real'!C3:C15,0))+1)+((L127/(L127-1)-1)*(1-_xlfn.XLOOKUP(K127,'Janeiro 2023 - Valor Real'!A3:A15,'Janeiro 2023 - Valor Real'!C3:C15,0))+1))),IF(I128="Lay",(((L128/(L128-1)-1)*(1-_xlfn.XLOOKUP(K128,'Janeiro 2023 - Valor Real'!A3:A15,'Janeiro 2023 - Valor Real'!C3:C15,0))+1))/(((L127-1)*(1-_xlfn.XLOOKUP(K127,'Janeiro 2023 - Valor Real'!A3:A15,'Janeiro 2023 - Valor Real'!C3:C15,0))+1)+((L128/(L128-1)-1)*(1-_xlfn.XLOOKUP(K128,'Janeiro 2023 - Valor Real'!A3:A15,'Janeiro 2023 - Valor Real'!C3:C15,0))+1)),((L128-1)*(1-_xlfn.XLOOKUP(K128,'Janeiro 2023 - Valor Real'!A3:A15,'Janeiro 2023 - Valor Real'!C3:C15,0))+1)/(((L128-1)*(1-_xlfn.XLOOKUP(K128,'Janeiro 2023 - Valor Real'!A3:A15,'Janeiro 2023 - Valor Real'!C3:C15,0))+1)+((L127-1)*(1-_xlfn.XLOOKUP(K127,'Janeiro 2023 - Valor Real'!A3:A15,'Janeiro 2023 - Valor Real'!C3:C15,0))+1))))))</f>
        <v>0.411764705882353</v>
      </c>
      <c r="AF127" s="197">
        <f>IF($K127=AF$3,ROUND(IF(OR($C127="W",$C127="1/2W",$C127="1/2L"),$P127-$O127,IF($C127="X",0,-$O127)),2),0)</f>
        <v>0</v>
      </c>
      <c r="AG127" s="198">
        <f>IF($K127=AG$3,ROUND(IF(OR($C127="W",$C127="1/2W",$C127="1/2L"),$P127-$O127,IF($C127="X",0,-$O127)),2),0)</f>
        <v>-54.02</v>
      </c>
      <c r="AH127" s="198">
        <f>IF($K127=AH$3,ROUND(IF(OR($C127="W",$C127="1/2W",$C127="1/2L"),$P127-$O127,IF($C127="X",0,-$O127)),2),0)</f>
        <v>0</v>
      </c>
      <c r="AI127" s="198">
        <f>IF($K127=AI$3,ROUND(IF(OR($C127="W",$C127="1/2W",$C127="1/2L"),$P127-$O127,IF($C127="X",0,-$O127)),2),0)</f>
        <v>0</v>
      </c>
      <c r="AJ127" s="198">
        <f>IF($K127=AJ$3,ROUND(IF(OR($C127="W",$C127="1/2W",$C127="1/2L"),$P127-$O127,IF($C127="X",0,-$O127)),2),0)</f>
        <v>0</v>
      </c>
      <c r="AK127" s="198">
        <f>IF($K127=AK$3,ROUND(IF(OR($C127="W",$C127="1/2W",$C127="1/2L"),$P127-$O127,IF($C127="X",0,-$O127)),2),0)</f>
        <v>0</v>
      </c>
      <c r="AL127" s="198">
        <f>IF($K127=AL$3,ROUND(IF(OR($C127="W",$C127="1/2W",$C127="1/2L"),$P127-$O127,IF($C127="X",0,-$O127)),2),0)</f>
        <v>0</v>
      </c>
      <c r="AM127" s="198">
        <f>IF($K127=AM$3,ROUND(IF(OR($C127="W",$C127="1/2W",$C127="1/2L"),$P127-$O127,IF($C127="X",0,-$O127)),2),0)</f>
        <v>0</v>
      </c>
      <c r="AN127" s="198">
        <f>IF($K127=AN$3,ROUND(IF(OR($C127="W",$C127="1/2W",$C127="1/2L"),$P127-$O127,IF($C127="X",0,-$O127)),2),0)</f>
        <v>0</v>
      </c>
      <c r="AO127" s="198">
        <f>IF($K127=AO$3,ROUND(IF(OR($C127="W",$C127="1/2W",$C127="1/2L"),$P127-$O127,IF($C127="X",0,-$O127)),2),0)</f>
        <v>0</v>
      </c>
      <c r="AP127" s="198">
        <f>IF($K127=AP$3,ROUND(IF(OR($C127="W",$C127="1/2W",$C127="1/2L"),$P127-$O127,IF($C127="X",0,-$O127)),2),0)</f>
        <v>0</v>
      </c>
      <c r="AQ127" s="198">
        <f>IF($K127=AQ$3,ROUND(IF(OR($C127="W",$C127="1/2W",$C127="1/2L"),$P127-$O127,IF($C127="X",0,-$O127)),2),0)</f>
        <v>0</v>
      </c>
      <c r="AR127" s="199">
        <f>IF($K127=AR$3,ROUND(IF(OR($C127="W",$C127="1/2W",$C127="1/2L"),$P127-$O127,IF($C127="X",0,-$O127)),2),0)</f>
        <v>0</v>
      </c>
      <c r="AS127" s="197">
        <f>IF(AND($B127=" ",$K127=AS$3),$O127,0)</f>
        <v>0</v>
      </c>
      <c r="AT127" s="198">
        <f>IF(AND($B127=" ",$K127=AT$3),$O127,0)</f>
        <v>0</v>
      </c>
      <c r="AU127" s="198">
        <f>IF(AND($B127=" ",$K127=AU$3),$O127,0)</f>
        <v>0</v>
      </c>
      <c r="AV127" s="198">
        <f>IF(AND($B127=" ",$K127=AV$3),$O127,0)</f>
        <v>0</v>
      </c>
      <c r="AW127" s="198">
        <f>IF(AND($B127=" ",$K127=AW$3),$O127,0)</f>
        <v>0</v>
      </c>
      <c r="AX127" s="198">
        <f>IF(AND($B127=" ",$K127=AX$3),$O127,0)</f>
        <v>0</v>
      </c>
      <c r="AY127" s="200">
        <f>IF(AND($B127=" ",$K127=AY$3),$O127,0)</f>
        <v>0</v>
      </c>
      <c r="AZ127" s="201">
        <f>IF(AND($B127=" ",$K127=AZ$3),$O127,0)</f>
        <v>0</v>
      </c>
      <c r="BA127" s="201">
        <f>IF(AND($B127=" ",$K127=BA$3),$O127,0)</f>
        <v>0</v>
      </c>
      <c r="BB127" s="201">
        <f>IF(AND($B127=" ",$K127=BB$3),$O127,0)</f>
        <v>0</v>
      </c>
      <c r="BC127" s="202">
        <f>IF(AND($B127=" ",$K127=BC$3),$O127,0)</f>
        <v>0</v>
      </c>
      <c r="BD127" s="198">
        <f>IF(AND($B127=" ",$K127=BD$3),$O127,0)</f>
        <v>0</v>
      </c>
      <c r="BE127" s="199">
        <f>IF(AND($B127=" ",$K127=BE$3),$O127,0)</f>
        <v>0</v>
      </c>
      <c r="BF127" s="203">
        <f>IF($K127=BF$3,IF($C127="X",0,$O127),0)</f>
        <v>0</v>
      </c>
      <c r="BG127" s="198">
        <f>IF($K127=BG$3,IF($C127="X",0,$O127),0)</f>
        <v>54.02</v>
      </c>
      <c r="BH127" s="198">
        <f>IF($K127=BH$3,IF($C127="X",0,$O127),0)</f>
        <v>0</v>
      </c>
      <c r="BI127" s="198">
        <f>IF($K127=BI$3,IF($C127="X",0,$O127),0)</f>
        <v>0</v>
      </c>
      <c r="BJ127" s="198">
        <f>IF($K127=BJ$3,IF($C127="X",0,$O127),0)</f>
        <v>0</v>
      </c>
      <c r="BK127" s="198">
        <f>IF($K127=BK$3,IF($C127="X",0,$O127),0)</f>
        <v>0</v>
      </c>
      <c r="BL127" s="198">
        <f>IF($K127=BL$3,IF($C127="X",0,$O127),0)</f>
        <v>0</v>
      </c>
      <c r="BM127" s="200">
        <f>IF($K127=BM$3,IF($C127="X",0,$O127),0)</f>
        <v>0</v>
      </c>
      <c r="BN127" s="201">
        <f>IF($K127=BN$3,IF($C127="X",0,$O127),0)</f>
        <v>0</v>
      </c>
      <c r="BO127" s="201">
        <f>IF($K127=BO$3,IF($C127="X",0,$O127),0)</f>
        <v>0</v>
      </c>
      <c r="BP127" s="201">
        <f>IF($K127=BP$3,IF($C127="X",0,$O127),0)</f>
        <v>0</v>
      </c>
      <c r="BQ127" s="202">
        <f>IF($K127=BQ$3,IF($C127="X",0,$O127),0)</f>
        <v>0</v>
      </c>
      <c r="BR127" s="199">
        <f>IF($K127=BR$3,IF($C127="X",0,$O127),0)</f>
        <v>0</v>
      </c>
      <c r="BS127" s="204">
        <f>IF($B127="LOSS",IF(AND($K127=BS$3,$C127="L"),-$O127,0)+IF(AND($K128=BS$3,$C128="L"),-$O128,0)+IF(AND($K129=BS$3,$C129="L"),-$O129,0),IF(OR(AND($K127=BS$3,OR($C127="W",$C127="1/2W")),AND($K128=BS$3,OR($C128="W",$C128="1/2W")),AND($K129=BS$3,OR($C129="W",$C129="1/2W"))),$S127,0))</f>
        <v>0</v>
      </c>
      <c r="BT127" s="201">
        <f>IF($B127="LOSS",IF(AND($K127=BT$3,$C127="L"),-$O127,0)+IF(AND($K128=BT$3,$C128="L"),-$O128,0)+IF(AND($K128=BT$3,$C129="L"),-$O129,0),IF(OR(AND($K128=BT$3,OR($C127="W",$C127="1/2W")),AND($K128=BT$3,OR($C128="W",$C128="1/2W")),AND($K128=BT$3,OR($C129="W",$C129="1/2W"))),$S127,0))</f>
        <v>0</v>
      </c>
      <c r="BU127" s="201">
        <f>IF($B127="LOSS",IF(AND($K127=BU$3,$C127="L"),-$O127,0)+IF(AND($K128=BU$3,$C128="L"),-$O128,0)+IF(AND($K128=BU$3,$C129="L"),-$O129,0),IF(OR(AND($K128=BU$3,OR($C127="W",$C127="1/2W")),AND($K128=BU$3,OR($C128="W",$C128="1/2W")),AND($K128=BU$3,OR($C129="W",$C129="1/2W"))),$S127,0))</f>
        <v>0</v>
      </c>
      <c r="BV127" s="201">
        <f>IF($B127="LOSS",IF(AND($K127=BV$3,$C127="L"),-$O127,0)+IF(AND($K128=BV$3,$C128="L"),-$O128,0)+IF(AND($K129=BV$3,$C129="L"),-$O129,0),IF(OR(AND($K127=BV$3,OR($C127="W",$C127="1/2W")),AND($K128=BV$3,OR($C128="W",$C128="1/2W")),AND($K129=BV$3,OR($C129="W",$C129="1/2W"))),$S127,0))</f>
        <v>0</v>
      </c>
      <c r="BW127" s="201">
        <f>IF($B127="LOSS",IF(AND($K127=BW$3,$C127="L"),-$O127,0)+IF(AND($K128=BW$3,$C128="L"),-$O128,0)+IF(AND($K129=BW$3,$C129="L"),-$O129,0),IF(OR(AND($K127=BW$3,OR($C127="W",$C127="1/2W")),AND($K128=BW$3,OR($C128="W",$C128="1/2W")),AND($K129=BW$3,OR($C129="W",$C129="1/2W"))),$S127,0))</f>
        <v>0</v>
      </c>
      <c r="BX127" s="201">
        <f>IF($B127="LOSS",IF(AND($K127=BX$3,$C127="L"),-$O127,0)+IF(AND($K128=BX$3,$C128="L"),-$O128,0)+IF(AND($K129=BX$3,$C129="L"),-$O129,0),IF(OR(AND($K127=BX$3,OR($C127="W",$C127="1/2W")),AND($K128=BX$3,OR($C128="W",$C128="1/2W")),AND($K129=BX$3,OR($C129="W",$C129="1/2W"))),$S127,0))</f>
        <v>0</v>
      </c>
      <c r="BY127" s="201">
        <f>IF($B127="LOSS",IF(AND($K127=BY$3,$C127="L"),-$O127,0)+IF(AND($K128=BY$3,$C128="L"),-$O128,0)+IF(AND($K129=BY$3,$C129="L"),-$O129,0),IF(OR(AND($K127=BY$3,OR($C127="W",$C127="1/2W")),AND($K128=BY$3,OR($C128="W",$C128="1/2W")),AND($K129=BY$3,OR($C129="W",$C129="1/2W"))),$S127,0))</f>
        <v>0</v>
      </c>
      <c r="BZ127" s="205">
        <f>IF($B127="LOSS",IF(AND($K127=BZ$3,$C127="L"),-$O127,0)+IF(AND($K128=BZ$3,$C128="L"),-$O128,0)+IF(AND($K129=BZ$3,$C129="L"),-$O129,0),IF(OR(AND($K127=BZ$3,OR($C127="W",$C127="1/2W")),AND($K128=BZ$3,OR($C128="W",$C128="1/2W")),AND($K129=BZ$3,OR($C129="W",$C129="1/2W"))),$S127,0))</f>
        <v>0</v>
      </c>
      <c r="CA127" s="205">
        <f>IF($B127="LOSS",IF(AND($K127=CA$3,$C127="L"),-$O127,0)+IF(AND($K128=CA$3,$C128="L"),-$O128,0)+IF(AND($K129=CA$3,$C129="L"),-$O129,0),IF(OR(AND($K127=CA$3,OR($C127="W",$C127="1/2W")),AND($K128=CA$3,OR($C128="W",$C128="1/2W")),AND($K129=CA$3,OR($C129="W",$C129="1/2W"))),$S127,0))</f>
        <v>0</v>
      </c>
      <c r="CB127" s="205">
        <f>IF($B127="LOSS",IF(AND($K127=CB$3,$C127="L"),-$O127,0)+IF(AND($K128=CB$3,$C128="L"),-$O128,0)+IF(AND($K129=CB$3,$C129="L"),-$O129,0),IF(OR(AND($K127=CB$3,OR($C127="W",$C127="1/2W")),AND($K128=CB$3,OR($C128="W",$C128="1/2W")),AND($K129=CB$3,OR($C129="W",$C129="1/2W"))),$S127,0))</f>
        <v>0</v>
      </c>
      <c r="CC127" s="205">
        <f>IF($B127="LOSS",IF(AND($K127=CC$3,$C127="L"),-$O127,0)+IF(AND($K128=CC$3,$C128="L"),-$O128,0)+IF(AND($K129=CC$3,$C129="L"),-$O129,0),IF(OR(AND($K127=CC$3,OR($C127="W",$C127="1/2W")),AND($K128=CC$3,OR($C128="W",$C128="1/2W")),AND($K129=CC$3,OR($C129="W",$C129="1/2W"))),$S127,0))</f>
        <v>0</v>
      </c>
      <c r="CD127" s="202">
        <f>IF($B127="LOSS",IF(AND($K127=CD$3,$C127="L"),-$O127,0)+IF(AND($K128=CD$3,$C128="L"),-$O128,0)+IF(AND($K129=CD$3,$C129="L"),-$O129,0),IF(OR(AND($K127=CD$3,OR($C127="W",$C127="1/2W")),AND($K128=CD$3,OR($C128="W",$C128="1/2W")),AND($K129=CD$3,OR($C129="W",$C129="1/2W"))),$S127,0))</f>
        <v>3.84</v>
      </c>
      <c r="CE127" s="199">
        <f>IF($B127="LOSS",IF(AND($K127=CE$3,$C127="L"),-$O127,0)+IF(AND($K128=CE$3,$C128="L"),-$O128,0)+IF(AND($K129=CE$3,$C129="L"),-$O129,0),IF(OR(AND($K127=CE$3,OR($C127="W",$C127="1/2W")),AND($K128=CE$3,OR($C128="W",$C128="1/2W")),AND($K129=CE$3,OR($C129="W",$C129="1/2W"))),$S127,0))</f>
        <v>0</v>
      </c>
      <c r="CF127" s="206">
        <f>IF(CF$3=$K127,IF($C127="W",1,IF($C127="1/2W",0.5,0)),0)</f>
        <v>0</v>
      </c>
      <c r="CG127" s="207">
        <f>IF(CF$3=$K127,IF($C127="L",1,IF($C127="1/2L",0.5,0)),0)</f>
        <v>0</v>
      </c>
      <c r="CH127" s="207">
        <f>IF(CH$3=$K127,IF($C127="W",1,IF($C127="1/2W",0.5,0)),0)</f>
        <v>0</v>
      </c>
      <c r="CI127" s="207">
        <f>IF(CH$3=$K127,IF($C127="L",1,IF($C127="1/2L",0.5,0)),0)</f>
        <v>1</v>
      </c>
      <c r="CJ127" s="207">
        <f>IF(CJ$3=$K127,IF($C127="W",1,IF($C127="1/2W",0.5,0)),0)</f>
        <v>0</v>
      </c>
      <c r="CK127" s="207">
        <f>IF(CJ$3=$K127,IF($C127="L",1,IF($C127="1/2L",0.5,0)),0)</f>
        <v>0</v>
      </c>
      <c r="CL127" s="207">
        <f>IF(CL$3=$K127,IF($C127="W",1,IF($C127="1/2W",0.5,0)),0)</f>
        <v>0</v>
      </c>
      <c r="CM127" s="207">
        <f>IF(CL$3=$K127,IF($C127="L",1,IF($C127="1/2L",0.5,0)),0)</f>
        <v>0</v>
      </c>
      <c r="CN127" s="207">
        <f>IF(CN$3=$K127,IF($C127="W",1,IF($C127="1/2W",0.5,0)),0)</f>
        <v>0</v>
      </c>
      <c r="CO127" s="207">
        <f>IF(CN$3=$K127,IF($C127="L",1,IF($C127="1/2L",0.5,0)),0)</f>
        <v>0</v>
      </c>
      <c r="CP127" s="207">
        <f>IF(CP$3=$K127,IF($C127="W",1,IF($C127="1/2W",0.5,0)),0)</f>
        <v>0</v>
      </c>
      <c r="CQ127" s="207">
        <f>IF(CP$3=$K127,IF($C127="L",1,IF($C127="1/2L",0.5,0)),0)</f>
        <v>0</v>
      </c>
      <c r="CR127" s="207">
        <f>IF(CR$3=$K127,IF($C127="W",1,IF($C127="1/2W",0.5,0)),0)</f>
        <v>0</v>
      </c>
      <c r="CS127" s="207">
        <f>IF(CR$3=$K127,IF($C127="L",1,IF($C127="1/2L",0.5,0)),0)</f>
        <v>0</v>
      </c>
      <c r="CT127" s="208">
        <f>IF(CT$3=$K127,IF($C127="W",1,IF($C127="1/2W",0.5,0)),0)</f>
        <v>0</v>
      </c>
      <c r="CU127" s="209">
        <f>IF(CT$3=$K127,IF($C127="L",1,IF($C127="1/2L",0.5,0)),0)</f>
        <v>0</v>
      </c>
      <c r="CV127" s="209">
        <f>IF(CV$3=$K127,IF($C127="W",1,IF($C127="1/2W",0.5,0)),0)</f>
        <v>0</v>
      </c>
      <c r="CW127" s="209">
        <f>IF(CV$3=$K127,IF($C127="L",1,IF($C127="1/2L",0.5,0)),0)</f>
        <v>0</v>
      </c>
      <c r="CX127" s="209">
        <f>IF(CX$3=$K127,IF($C127="W",1,IF($C127="1/2W",0.5,0)),0)</f>
        <v>0</v>
      </c>
      <c r="CY127" s="209">
        <f>IF(CX$3=$K127,IF($C127="L",1,IF($C127="1/2L",0.5,0)),0)</f>
        <v>0</v>
      </c>
      <c r="CZ127" s="209">
        <f>IF(CZ$3=$K127,IF($C127="W",1,IF($C127="1/2W",0.5,0)),0)</f>
        <v>0</v>
      </c>
      <c r="DA127" s="209">
        <f>IF(CZ$3=$K127,IF($C127="L",1,IF($C127="1/2L",0.5,0)),0)</f>
        <v>0</v>
      </c>
      <c r="DB127" s="209">
        <f>IF(DB$3=$K127,IF($C127="W",1,IF($C127="1/2W",0.5,0)),0)</f>
        <v>0</v>
      </c>
      <c r="DC127" s="209">
        <f>IF(DB$3=$K127,IF($C127="L",1,IF($C127="1/2L",0.5,0)),0)</f>
        <v>0</v>
      </c>
      <c r="DD127" s="209">
        <f>IF(DD$3=$K127,IF($C127="W",1,IF($C127="1/2W",0.5,0)),0)</f>
        <v>0</v>
      </c>
      <c r="DE127" s="210">
        <f>IF(DD$3=$K127,IF($C127="L",1,IF($C127="1/2L",0.5,0)),0)</f>
        <v>0</v>
      </c>
      <c r="DF127" s="211">
        <f>IF(AND(L127&lt;DF$3,$C127="W"),1+DF126,DF126)</f>
        <v>7</v>
      </c>
      <c r="DG127" s="198">
        <f>IF(DF127&gt;DF126,L127+DG126,DG126)</f>
        <v>9.247999999999999</v>
      </c>
      <c r="DH127" s="209">
        <f>IF(AND(L127&gt;DH$3,$C127="W"),1+DH126,0+DH126)</f>
        <v>1</v>
      </c>
      <c r="DI127" s="198">
        <f>IF(DH127&gt;DH126,L127+DI126,DI126)</f>
        <v>4.33</v>
      </c>
      <c r="DJ127" t="s" s="306">
        <f>IF($D127="","",$D127)</f>
        <v>101</v>
      </c>
      <c r="DK127" s="209">
        <f>IF(AND($B127=" ",$D127&lt;&gt;""),1,0)</f>
        <v>0</v>
      </c>
    </row>
    <row r="128" ht="14.55" customHeight="1">
      <c r="A128" s="107"/>
      <c r="B128" s="108"/>
      <c r="C128" t="s" s="213">
        <v>56</v>
      </c>
      <c r="D128" s="110"/>
      <c r="E128" s="111"/>
      <c r="F128" s="113"/>
      <c r="G128" s="214"/>
      <c r="H128" s="114"/>
      <c r="I128" t="s" s="215">
        <v>67</v>
      </c>
      <c r="J128" s="296">
        <f>IF(OR(I127="TO",I127="TU",I127="TO1",I127="TU1",I127="TO2",I127="TU2"),J127,IF(OR(I127="AH1",I127="AH2"),IF(OR(I128="AH1",I128="AH2"),-J127,IF(OR(I128="EH1",I128="EH2"),-J127+0.5,"")),IF(OR(I127="EH1",I127="EH2"),IF(OR(I128="AH1",I128="AH2"),-J127+0.5,IF(OR(I128="EH1",I128="EH2"),-J127+1,"")),IF(AND(OR(I127="DNB1",I127="DNB2"),OR(I128="AH1",I128="AH2")),0,IF(AND(I127="Not ScoreBoth",OR(I128="TO1",I128="TO2")),0.5,"")))))</f>
        <v>232.5</v>
      </c>
      <c r="K128" t="s" s="217">
        <v>48</v>
      </c>
      <c r="L128" s="218">
        <v>1.75</v>
      </c>
      <c r="M128" s="219">
        <v>77.15000000000001</v>
      </c>
      <c r="N128" s="120"/>
      <c r="O128" s="220">
        <f>IF(OR(AE127="",AE128=""),"",ROUND(IF(L129&gt;0,IF(M128&gt;0,M128,IF(M127&gt;0,IF(N127=TRUE,ROUND((M127*AE128)/AE127,0),(M127*AE128)/AE127),IF(M128&gt;0,ROUND(M128,IF(N127=0,2,IF(N127=0.1,1,0))),IF(M129&gt;0,ROUND(O129*AE128/AE129,IF(N127=0,2,IF(N127=0.1,1,0))),0)))),IF(M128&gt;0,M128,ROUND((M127*AE128)/AE127,IF(N127=0,2,IF(N127=0.1,1,0))))),2))</f>
        <v>77.15000000000001</v>
      </c>
      <c r="P128" s="221">
        <f>IF(OR(L128="",O128=""),"",IF($C128="1/2W",O128/2+O128/2*L128,IF($C128="1/2L",O128/2,IF(I128="Lay",((O128*(L128/(L128-1)))-O128)*(1-_xlfn.XLOOKUP(K128,'Janeiro 2023 - Valor Real'!A3:A15,'Janeiro 2023 - Valor Real'!C3:C15,0))+O128,(O128*L128-O128)*(1-_xlfn.XLOOKUP(K128,'Janeiro 2023 - Valor Real'!A3:A15,'Janeiro 2023 - Valor Real'!C3:C15,0))+O128))))</f>
        <v>135.0125</v>
      </c>
      <c r="Q128" s="222">
        <f>IF(K128="","",IF(_xlfn.XLOOKUP(K128,K44:K$85,DJ44:DJ$85,0,,-1)=DJ128,_xlfn.XLOOKUP(K128,K44:K$85,Q44:Q$85,1,,-1)+1,1))</f>
        <v>3</v>
      </c>
      <c r="R128" s="223">
        <f>IF(K128="","",_xlfn.XLOOKUP(K128,K44:K$85,R44:R$85,0,,-1)+IF($C128=" ",1,0))</f>
        <v>0</v>
      </c>
      <c r="S128" s="125"/>
      <c r="T128" s="126"/>
      <c r="U128" s="126"/>
      <c r="V128" s="224"/>
      <c r="W128" s="126"/>
      <c r="X128" s="127"/>
      <c r="Y128" s="128"/>
      <c r="Z128" s="129"/>
      <c r="AA128" s="129"/>
      <c r="AB128" s="129"/>
      <c r="AC128" s="129"/>
      <c r="AD128" s="225">
        <f>(((L128/(L128-1)-1)*(1-_xlfn.XLOOKUP(K128,'Janeiro 2023 - Valor Real'!A3:A15,'Janeiro 2023 - Valor Real'!C3:C15,0))+1))</f>
        <v>2.33333333333333</v>
      </c>
      <c r="AE128" s="226">
        <f>IF(L128="","",IF(L129&gt;0,(SUM(((L127-1)*(1-_xlfn.XLOOKUP(K127,'Janeiro 2023 - Valor Real'!A3:A15,'Janeiro 2023 - Valor Real'!C3:C15,0))+1),((L128-1)*(1-_xlfn.XLOOKUP(K128,'Janeiro 2023 - Valor Real'!A3:A15,'Janeiro 2023 - Valor Real'!C3:C15,0))+1),((L129-1)*(1-_xlfn.XLOOKUP(K129,'Janeiro 2023 - Valor Real'!A3:A15,'Janeiro 2023 - Valor Real'!C3:C15,0))+1))/((L128-1)*(1-_xlfn.XLOOKUP(K128,'Janeiro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Real'!C3:C15,0))+1))/((L127-1)*(1-_xlfn.XLOOKUP(K127,'Janeiro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Real'!C3:C15,0))+1))/((L128-1)*(1-_xlfn.XLOOKUP(K128,'Janeiro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Real'!C3:C15,0))+1))/((L129-1)*(1-_xlfn.XLOOKUP(K129,'Janeiro 2023 - Valor Real'!A3:A15,'Janeiro 2023 - Valor Real'!C3:C15,0))+1)),IF(I128="Lay",IF(I127="Lay",((L127/(L127-1)-1)*(1-_xlfn.XLOOKUP(K127,'Janeiro 2023 - Valor Real'!A3:A15,'Janeiro 2023 - Valor Real'!C3:C15,0))+1)/(((L127/(L127-1)-1)*(1-_xlfn.XLOOKUP(K127,'Janeiro 2023 - Valor Real'!A3:A15,'Janeiro 2023 - Valor Real'!C3:C15,0))+1)+((L128/(L128-1)-1)*(1-_xlfn.XLOOKUP(K128,'Janeiro 2023 - Valor Real'!A3:A15,'Janeiro 2023 - Valor Real'!C3:C15,0))+1)),((L127-1)*(1-_xlfn.XLOOKUP(K127,'Janeiro 2023 - Valor Real'!A3:A15,'Janeiro 2023 - Valor Real'!C3:C15,0))+1)/(((L127-1)*(1-_xlfn.XLOOKUP(K127,'Janeiro 2023 - Valor Real'!A3:A15,'Janeiro 2023 - Valor Real'!C3:C15,0))+1)+((L128/(L128-1)-1)*(1-_xlfn.XLOOKUP(K128,'Janeiro 2023 - Valor Real'!A3:A15,'Janeiro 2023 - Valor Real'!C3:C15,0))+1))),IF(I127="Lay",((L127/(L127-1)-1)*(1-_xlfn.XLOOKUP(K127,'Janeiro 2023 - Valor Real'!A3:A15,'Janeiro 2023 - Valor Real'!C3:C15,0))+1)/((((L127/(L127-1)-1)*(1-_xlfn.XLOOKUP(K127,'Janeiro 2023 - Valor Real'!A3:A15,'Janeiro 2023 - Valor Real'!C3:C15,0))+1))+((L128-1)*(1-_xlfn.XLOOKUP(K128,'Janeiro 2023 - Valor Real'!A3:A15,'Janeiro 2023 - Valor Real'!C3:C15,0))+1)),((L127-1)*(1-_xlfn.XLOOKUP(K127,'Janeiro 2023 - Valor Real'!A3:A15,'Janeiro 2023 - Valor Real'!C3:C15,0))+1)/(((L127-1)*(1-_xlfn.XLOOKUP(K127,'Janeiro 2023 - Valor Real'!A3:A15,'Janeiro 2023 - Valor Real'!C3:C15,0))+1)+((L128-1)*(1-_xlfn.XLOOKUP(K128,'Janeiro 2023 - Valor Real'!A3:A15,'Janeiro 2023 - Valor Real'!C3:C15,0))+1))))))</f>
        <v>0.588235294117647</v>
      </c>
      <c r="AF128" s="197">
        <f>IF($K128=AF$3,ROUND(IF(OR($C128="W",$C128="1/2W",$C128="1/2L"),$P128-$O128,IF($C128="X",0,-$O128)),2),0)</f>
        <v>0</v>
      </c>
      <c r="AG128" s="198">
        <f>IF($K128=AG$3,ROUND(IF(OR($C128="W",$C128="1/2W",$C128="1/2L"),$P128-$O128,IF($C128="X",0,-$O128)),2),0)</f>
        <v>0</v>
      </c>
      <c r="AH128" s="198">
        <f>IF($K128=AH$3,ROUND(IF(OR($C128="W",$C128="1/2W",$C128="1/2L"),$P128-$O128,IF($C128="X",0,-$O128)),2),0)</f>
        <v>0</v>
      </c>
      <c r="AI128" s="198">
        <f>IF($K128=AI$3,ROUND(IF(OR($C128="W",$C128="1/2W",$C128="1/2L"),$P128-$O128,IF($C128="X",0,-$O128)),2),0)</f>
        <v>0</v>
      </c>
      <c r="AJ128" s="198">
        <f>IF($K128=AJ$3,ROUND(IF(OR($C128="W",$C128="1/2W",$C128="1/2L"),$P128-$O128,IF($C128="X",0,-$O128)),2),0)</f>
        <v>0</v>
      </c>
      <c r="AK128" s="198">
        <f>IF($K128=AK$3,ROUND(IF(OR($C128="W",$C128="1/2W",$C128="1/2L"),$P128-$O128,IF($C128="X",0,-$O128)),2),0)</f>
        <v>0</v>
      </c>
      <c r="AL128" s="198">
        <f>IF($K128=AL$3,ROUND(IF(OR($C128="W",$C128="1/2W",$C128="1/2L"),$P128-$O128,IF($C128="X",0,-$O128)),2),0)</f>
        <v>0</v>
      </c>
      <c r="AM128" s="198">
        <f>IF($K128=AM$3,ROUND(IF(OR($C128="W",$C128="1/2W",$C128="1/2L"),$P128-$O128,IF($C128="X",0,-$O128)),2),0)</f>
        <v>0</v>
      </c>
      <c r="AN128" s="198">
        <f>IF($K128=AN$3,ROUND(IF(OR($C128="W",$C128="1/2W",$C128="1/2L"),$P128-$O128,IF($C128="X",0,-$O128)),2),0)</f>
        <v>0</v>
      </c>
      <c r="AO128" s="198">
        <f>IF($K128=AO$3,ROUND(IF(OR($C128="W",$C128="1/2W",$C128="1/2L"),$P128-$O128,IF($C128="X",0,-$O128)),2),0)</f>
        <v>0</v>
      </c>
      <c r="AP128" s="198">
        <f>IF($K128=AP$3,ROUND(IF(OR($C128="W",$C128="1/2W",$C128="1/2L"),$P128-$O128,IF($C128="X",0,-$O128)),2),0)</f>
        <v>0</v>
      </c>
      <c r="AQ128" s="198">
        <f>IF($K128=AQ$3,ROUND(IF(OR($C128="W",$C128="1/2W",$C128="1/2L"),$P128-$O128,IF($C128="X",0,-$O128)),2),0)</f>
        <v>57.86</v>
      </c>
      <c r="AR128" s="199">
        <f>IF($K128=AR$3,ROUND(IF(OR($C128="W",$C128="1/2W",$C128="1/2L"),$P128-$O128,IF($C128="X",0,-$O128)),2),0)</f>
        <v>0</v>
      </c>
      <c r="AS128" s="197">
        <f>IF(AND($B127=" ",$K128=AS$3),$O128,0)</f>
        <v>0</v>
      </c>
      <c r="AT128" s="198">
        <f>IF(AND($B127=" ",K128=AT$3),$O128,0)</f>
        <v>0</v>
      </c>
      <c r="AU128" s="198">
        <f>IF(AND($B127=" ",$K128=AU$3),$O128,0)</f>
        <v>0</v>
      </c>
      <c r="AV128" s="198">
        <f>IF(AND($B127=" ",$K128=AV$3),$O128,0)</f>
        <v>0</v>
      </c>
      <c r="AW128" s="198">
        <f>IF(AND($B127=" ",$K128=AW$3),$O128,0)</f>
        <v>0</v>
      </c>
      <c r="AX128" s="198">
        <f>IF(AND($B127=" ",$K128=AX$3),$O128,0)</f>
        <v>0</v>
      </c>
      <c r="AY128" s="200">
        <f>IF(AND($B127=" ",$K128=AY$3),$O128,0)</f>
        <v>0</v>
      </c>
      <c r="AZ128" s="201">
        <f>IF(AND($B127=" ",$K128=AZ$3),$O128,0)</f>
        <v>0</v>
      </c>
      <c r="BA128" s="201">
        <f>IF(AND($B127=" ",$K128=BA$3),$O128,0)</f>
        <v>0</v>
      </c>
      <c r="BB128" s="201">
        <f>IF(AND($B127=" ",$K128=BB$3),$O128,0)</f>
        <v>0</v>
      </c>
      <c r="BC128" s="202">
        <f>IF(AND($B127=" ",$K128=BC$3),$O128,0)</f>
        <v>0</v>
      </c>
      <c r="BD128" s="198">
        <f>IF(AND($B127=" ",$K128=BD$3),$O128,0)</f>
        <v>0</v>
      </c>
      <c r="BE128" s="199">
        <f>IF(AND($B127=" ",$K128=BE$3),$O128,0)</f>
        <v>0</v>
      </c>
      <c r="BF128" s="197">
        <f>IF($K128=BF$3,IF($C128="X",0,$O128),0)</f>
        <v>0</v>
      </c>
      <c r="BG128" s="198">
        <f>IF($K128=BG$3,IF($C128="X",0,$O128),0)</f>
        <v>0</v>
      </c>
      <c r="BH128" s="198">
        <f>IF($K128=BH$3,IF($C128="X",0,$O128),0)</f>
        <v>0</v>
      </c>
      <c r="BI128" s="198">
        <f>IF($K128=BI$3,IF($C128="X",0,$O128),0)</f>
        <v>0</v>
      </c>
      <c r="BJ128" s="198">
        <f>IF($K128=BJ$3,IF($C128="X",0,$O128),0)</f>
        <v>0</v>
      </c>
      <c r="BK128" s="198">
        <f>IF($K128=BK$3,IF($C128="X",0,$O128),0)</f>
        <v>0</v>
      </c>
      <c r="BL128" s="198">
        <f>IF($K128=BL$3,IF($C128="X",0,$O128),0)</f>
        <v>0</v>
      </c>
      <c r="BM128" s="227">
        <f>IF($K128=BM$3,IF($C128="X",0,$O128),0)</f>
        <v>0</v>
      </c>
      <c r="BN128" s="205">
        <f>IF($K128=BN$3,IF($C128="X",0,$O128),0)</f>
        <v>0</v>
      </c>
      <c r="BO128" s="205">
        <f>IF($K128=BO$3,IF($C128="X",0,$O128),0)</f>
        <v>0</v>
      </c>
      <c r="BP128" s="205">
        <f>IF($K128=BP$3,IF($C128="X",0,$O128),0)</f>
        <v>0</v>
      </c>
      <c r="BQ128" s="202">
        <f>IF($K128=BQ$3,IF($C128="X",0,$O128),0)</f>
        <v>77.15000000000001</v>
      </c>
      <c r="BR128" s="199">
        <f>IF($K128=BR$3,IF($C128="X",0,$O128),0)</f>
        <v>0</v>
      </c>
      <c r="BS128" s="228"/>
      <c r="BT128" s="229"/>
      <c r="BU128" s="140"/>
      <c r="BV128" s="229"/>
      <c r="BW128" s="140"/>
      <c r="BX128" s="140"/>
      <c r="BY128" s="140"/>
      <c r="BZ128" s="229"/>
      <c r="CA128" s="140"/>
      <c r="CB128" s="140"/>
      <c r="CC128" s="140"/>
      <c r="CD128" s="141"/>
      <c r="CE128" s="142"/>
      <c r="CF128" s="230">
        <f>IF(CF$3=$K128,IF($C128="W",1,IF($C128="1/2W",0.5,0)),0)</f>
        <v>0</v>
      </c>
      <c r="CG128" s="231">
        <f>IF(CF$3=$K128,IF($C128="L",1,IF($C128="1/2L",0.5,0)),0)</f>
        <v>0</v>
      </c>
      <c r="CH128" s="231">
        <f>IF(CH$3=$K128,IF($C128="W",1,IF($C128="1/2W",0.5,0)),0)</f>
        <v>0</v>
      </c>
      <c r="CI128" s="231">
        <f>IF(CH$3=$K128,IF($C128="L",1,IF($C128="1/2L",0.5,0)),0)</f>
        <v>0</v>
      </c>
      <c r="CJ128" s="231">
        <f>IF(CJ$3=$K128,IF($C128="W",1,IF($C128="1/2W",0.5,0)),0)</f>
        <v>0</v>
      </c>
      <c r="CK128" s="231">
        <f>IF(CJ$3=$K128,IF($C128="L",1,IF($C128="1/2L",0.5,0)),0)</f>
        <v>0</v>
      </c>
      <c r="CL128" s="231">
        <f>IF(CL$3=$K128,IF($C128="W",1,IF($C128="1/2W",0.5,0)),0)</f>
        <v>0</v>
      </c>
      <c r="CM128" s="231">
        <f>IF(CL$3=$K128,IF($C128="L",1,IF($C128="1/2L",0.5,0)),0)</f>
        <v>0</v>
      </c>
      <c r="CN128" s="231">
        <f>IF(CN$3=$K128,IF($C128="W",1,IF($C128="1/2W",0.5,0)),0)</f>
        <v>0</v>
      </c>
      <c r="CO128" s="231">
        <f>IF(CN$3=$K128,IF($C128="L",1,IF($C128="1/2L",0.5,0)),0)</f>
        <v>0</v>
      </c>
      <c r="CP128" s="231">
        <f>IF(CP$3=$K128,IF($C128="W",1,IF($C128="1/2W",0.5,0)),0)</f>
        <v>0</v>
      </c>
      <c r="CQ128" s="231">
        <f>IF(CP$3=$K128,IF($C128="L",1,IF($C128="1/2L",0.5,0)),0)</f>
        <v>0</v>
      </c>
      <c r="CR128" s="231">
        <f>IF(CR$3=$K128,IF($C128="W",1,IF($C128="1/2W",0.5,0)),0)</f>
        <v>0</v>
      </c>
      <c r="CS128" s="231">
        <f>IF(CR$3=$K128,IF($C128="L",1,IF($C128="1/2L",0.5,0)),0)</f>
        <v>0</v>
      </c>
      <c r="CT128" s="208">
        <f>IF(CT$3=$K128,IF($C128="W",1,IF($C128="1/2W",0.5,0)),0)</f>
        <v>0</v>
      </c>
      <c r="CU128" s="209">
        <f>IF(CT$3=$K128,IF($C128="L",1,IF($C128="1/2L",0.5,0)),0)</f>
        <v>0</v>
      </c>
      <c r="CV128" s="209">
        <f>IF(CV$3=$K128,IF($C128="W",1,IF($C128="1/2W",0.5,0)),0)</f>
        <v>0</v>
      </c>
      <c r="CW128" s="209">
        <f>IF(CV$3=$K128,IF($C128="L",1,IF($C128="1/2L",0.5,0)),0)</f>
        <v>0</v>
      </c>
      <c r="CX128" s="209">
        <f>IF(CX$3=$K128,IF($C128="W",1,IF($C128="1/2W",0.5,0)),0)</f>
        <v>0</v>
      </c>
      <c r="CY128" s="209">
        <f>IF(CX$3=$K128,IF($C128="L",1,IF($C128="1/2L",0.5,0)),0)</f>
        <v>0</v>
      </c>
      <c r="CZ128" s="209">
        <f>IF(CZ$3=$K128,IF($C128="W",1,IF($C128="1/2W",0.5,0)),0)</f>
        <v>0</v>
      </c>
      <c r="DA128" s="209">
        <f>IF(CZ$3=$K128,IF($C128="L",1,IF($C128="1/2L",0.5,0)),0)</f>
        <v>0</v>
      </c>
      <c r="DB128" s="209">
        <f>IF(DB$3=$K128,IF($C128="W",1,IF($C128="1/2W",0.5,0)),0)</f>
        <v>1</v>
      </c>
      <c r="DC128" s="209">
        <f>IF(DB$3=$K128,IF($C128="L",1,IF($C128="1/2L",0.5,0)),0)</f>
        <v>0</v>
      </c>
      <c r="DD128" s="209">
        <f>IF(DD$3=$K128,IF($C128="W",1,IF($C128="1/2W",0.5,0)),0)</f>
        <v>0</v>
      </c>
      <c r="DE128" s="210">
        <f>IF(DD$3=$K128,IF($C128="L",1,IF($C128="1/2L",0.5,0)),0)</f>
        <v>0</v>
      </c>
      <c r="DF128" s="211">
        <f>IF(AND(L128&lt;DF$3,$C128="W"),1+DF127,DF127)</f>
        <v>7</v>
      </c>
      <c r="DG128" s="198">
        <f>IF(DF128&gt;DF127,L128+DG127,DG127)</f>
        <v>9.247999999999999</v>
      </c>
      <c r="DH128" s="209">
        <f>IF(AND(L128&gt;DH$3,$C128="W"),1+DH127,0+DH127)</f>
        <v>1</v>
      </c>
      <c r="DI128" s="198">
        <f>IF(DH128&gt;DH127,L128+DI127,DI127)</f>
        <v>4.33</v>
      </c>
      <c r="DJ128" t="s" s="306">
        <f>IF($D127="","",$D127)</f>
        <v>101</v>
      </c>
      <c r="DK128" s="232"/>
    </row>
    <row r="129" ht="14.55" customHeight="1">
      <c r="A129" s="149"/>
      <c r="B129" s="150"/>
      <c r="C129" t="s" s="233">
        <v>58</v>
      </c>
      <c r="D129" s="152"/>
      <c r="E129" s="153"/>
      <c r="F129" s="155"/>
      <c r="G129" s="234"/>
      <c r="H129" s="156"/>
      <c r="I129" s="235"/>
      <c r="J129" s="236"/>
      <c r="K129" s="237"/>
      <c r="L129" s="238"/>
      <c r="M129" s="239"/>
      <c r="N129" s="161"/>
      <c r="O129" t="s" s="240">
        <f>IF(OR(AE127="",AE128=""),"",IF(L129&gt;0,ROUND(IF(M129&gt;0,M129,IF(M127&gt;0,ROUND((M127*AE129)/AE127,IF(N127=0,2,IF(N127=0.1,1,0))),IF(M128&gt;0,ROUND((M128*AE129)/AE128,IF(N127=0,2,IF(N127=0.1,1,0))),IF(M129&gt;0,M129,0)))),2),""))</f>
      </c>
      <c r="P129" t="s" s="241">
        <f>IF(I128="Lay",O128*(L128/(L128-1))-O128,IF(I127="Lay",O127*(L127/(L127-1))-O127,IF(OR(L129="",O129=""),"",IF($C129="1/2W",O129/2+O129/2*L129,IF($C129="1/2L",O129/2,(O129*L129-O129)*(1-_xlfn.XLOOKUP(K129,'Janeiro 2023 - Valor Real'!A3:A15,'Janeiro 2023 - Valor Real'!C3:C15,0))+O129)))))</f>
      </c>
      <c r="Q129" t="s" s="242">
        <f>IF(K129="","",IF(_xlfn.XLOOKUP(K129,K44:K$86,DJ44:DJ$86,0,,-1)=DJ129,_xlfn.XLOOKUP(K129,K44:K$86,Q44:Q$86,1,,-1)+1,1))</f>
      </c>
      <c r="R129" t="s" s="243">
        <f>IF(K129="","",_xlfn.XLOOKUP(K129,K44:K$86,R44:R$86,0,,-1)+IF($C129=" ",1,0))</f>
      </c>
      <c r="S129" s="166"/>
      <c r="T129" s="155"/>
      <c r="U129" s="155"/>
      <c r="V129" s="166"/>
      <c r="W129" s="155"/>
      <c r="X129" s="167"/>
      <c r="Y129" s="128"/>
      <c r="Z129" s="129"/>
      <c r="AA129" s="129"/>
      <c r="AB129" s="129"/>
      <c r="AC129" s="129"/>
      <c r="AD129" s="244">
        <f>((L128/(L128-1)-1))</f>
        <v>1.33333333333333</v>
      </c>
      <c r="AE129" t="s" s="245">
        <f>IF(L129="","",(SUM(((L127-1)*(1-_xlfn.XLOOKUP(K127,'Janeiro 2023 - Valor Real'!A3:A15,'Janeiro 2023 - Valor Real'!C3:C15,0))+1),((L128-1)*(1-_xlfn.XLOOKUP(K128,'Janeiro 2023 - Valor Real'!A3:A15,'Janeiro 2023 - Valor Real'!C3:C15,0))+1),((L129-1)*(1-_xlfn.XLOOKUP(K129,'Janeiro 2023 - Valor Real'!A3:A15,'Janeiro 2023 - Valor Real'!C3:C15,0))+1))/((L129-1)*(1-_xlfn.XLOOKUP(K129,'Janeiro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Real'!C3:C15,0))+1))/((L127-1)*(1-_xlfn.XLOOKUP(K127,'Janeiro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Real'!C3:C15,0))+1))/((L128-1)*(1-_xlfn.XLOOKUP(K128,'Janeiro 2023 - Valor Real'!A3:A15,'Janeiro 2023 - Valor Real'!C3:C15,0))+1)+SUM(((L127-1)*(1-_xlfn.XLOOKUP(K127,'Janeiro 2023 - Valor Real'!A3:A15,'Janeiro 2023 - Valor Real'!C3:C15,0))+1),((L128-1)*(1-_xlfn.XLOOKUP(K128,'Janeiro 2023 - Valor Real'!A3:A15,'Janeiro 2023 - Valor Real'!C3:C15,0))+1),((L129-1)*(1-_xlfn.XLOOKUP(K129,'Janeiro 2023 - Valor Real'!A3:A15,'Janeiro 2023 - Valor Real'!C3:C15,0))+1))/((L129-1)*(1-_xlfn.XLOOKUP(K129,'Janeiro 2023 - Valor Real'!A3:A15,'Janeiro 2023 - Valor Real'!C3:C15,0))+1)))</f>
      </c>
      <c r="AF129" s="197">
        <f>IF($K129=AF$3,ROUND(IF(OR($C129="W",$C129="1/2W",$C129="1/2L"),$P129-$O129,IF($C129="X",0,-$O129)),2),0)</f>
        <v>0</v>
      </c>
      <c r="AG129" s="198">
        <f>IF($K129=AG$3,ROUND(IF(OR($C129="W",$C129="1/2W",$C129="1/2L"),$P129-$O129,IF($C129="X",0,-$O129)),2),0)</f>
        <v>0</v>
      </c>
      <c r="AH129" s="198">
        <f>IF($K129=AH$3,ROUND(IF(OR($C129="W",$C129="1/2W",$C129="1/2L"),$P129-$O129,IF($C129="X",0,-$O129)),2),0)</f>
        <v>0</v>
      </c>
      <c r="AI129" s="198">
        <f>IF($K129=AI$3,ROUND(IF(OR($C129="W",$C129="1/2W",$C129="1/2L"),$P129-$O129,IF($C129="X",0,-$O129)),2),0)</f>
        <v>0</v>
      </c>
      <c r="AJ129" s="198">
        <f>IF($K129=AJ$3,ROUND(IF(OR($C129="W",$C129="1/2W",$C129="1/2L"),$P129-$O129,IF($C129="X",0,-$O129)),2),0)</f>
        <v>0</v>
      </c>
      <c r="AK129" s="198">
        <f>IF($K129=AK$3,ROUND(IF(OR($C129="W",$C129="1/2W",$C129="1/2L"),$P129-$O129,IF($C129="X",0,-$O129)),2),0)</f>
        <v>0</v>
      </c>
      <c r="AL129" s="198">
        <f>IF($K129=AL$3,ROUND(IF(OR($C129="W",$C129="1/2W",$C129="1/2L"),$P129-$O129,IF($C129="X",0,-$O129)),2),0)</f>
        <v>0</v>
      </c>
      <c r="AM129" s="198">
        <f>IF($K129=AM$3,ROUND(IF(OR($C129="W",$C129="1/2W",$C129="1/2L"),$P129-$O129,IF($C129="X",0,-$O129)),2),0)</f>
        <v>0</v>
      </c>
      <c r="AN129" s="198">
        <f>IF($K129=AN$3,ROUND(IF(OR($C129="W",$C129="1/2W",$C129="1/2L"),$P129-$O129,IF($C129="X",0,-$O129)),2),0)</f>
        <v>0</v>
      </c>
      <c r="AO129" s="198">
        <f>IF($K129=AO$3,ROUND(IF(OR($C129="W",$C129="1/2W",$C129="1/2L"),$P129-$O129,IF($C129="X",0,-$O129)),2),0)</f>
        <v>0</v>
      </c>
      <c r="AP129" s="198">
        <f>IF($K129=AP$3,ROUND(IF(OR($C129="W",$C129="1/2W",$C129="1/2L"),$P129-$O129,IF($C129="X",0,-$O129)),2),0)</f>
        <v>0</v>
      </c>
      <c r="AQ129" s="198">
        <f>IF($K129=AQ$3,ROUND(IF(OR($C129="W",$C129="1/2W",$C129="1/2L"),$P129-$O129,IF($C129="X",0,-$O129)),2),0)</f>
        <v>0</v>
      </c>
      <c r="AR129" s="199">
        <f>IF($K129=AR$3,ROUND(IF(OR($C129="W",$C129="1/2W",$C129="1/2L"),$P129-$O129,IF($C129="X",0,-$O129)),2),0)</f>
        <v>0</v>
      </c>
      <c r="AS129" s="197">
        <f>IF(AND($B127=" ",$K129=AS$3),$O129,0)</f>
        <v>0</v>
      </c>
      <c r="AT129" s="198">
        <f>IF(AND($B127=" ",K129=AT$3),$O129,0)</f>
        <v>0</v>
      </c>
      <c r="AU129" s="198">
        <f>IF(AND($B127=" ",$K129=AU$3),$O129,0)</f>
        <v>0</v>
      </c>
      <c r="AV129" s="198">
        <f>IF(AND($B127=" ",$K129=AV$3),$O129,0)</f>
        <v>0</v>
      </c>
      <c r="AW129" s="198">
        <f>IF(AND($B127=" ",$K129=AW$3),$O129,0)</f>
        <v>0</v>
      </c>
      <c r="AX129" s="198">
        <f>IF(AND($B127=" ",$K129=AX$3),$O129,0)</f>
        <v>0</v>
      </c>
      <c r="AY129" s="200">
        <f>IF(AND($B127=" ",$K129=AY$3),$O129,0)</f>
        <v>0</v>
      </c>
      <c r="AZ129" s="201">
        <f>IF(AND($B127=" ",$K129=AZ$3),$O129,0)</f>
        <v>0</v>
      </c>
      <c r="BA129" s="201">
        <f>IF(AND($B127=" ",$K129=BA$3),$O129,0)</f>
        <v>0</v>
      </c>
      <c r="BB129" s="201">
        <f>IF(AND($B127=" ",$K129=BB$3),$O129,0)</f>
        <v>0</v>
      </c>
      <c r="BC129" s="202">
        <f>IF(AND($B127=" ",$K129=BC$3),$O129,0)</f>
        <v>0</v>
      </c>
      <c r="BD129" s="198">
        <f>IF(AND($B127=" ",$K129=BD$3),$O129,0)</f>
        <v>0</v>
      </c>
      <c r="BE129" s="199">
        <f>IF(AND($B127=" ",$K129=BE$3),$O129,0)</f>
        <v>0</v>
      </c>
      <c r="BF129" s="197">
        <f>IF($K129=BF$3,IF($C129="X",0,$O129),0)</f>
        <v>0</v>
      </c>
      <c r="BG129" s="198">
        <f>IF($K129=BG$3,IF($C129="X",0,$O129),0)</f>
        <v>0</v>
      </c>
      <c r="BH129" s="198">
        <f>IF($K129=BH$3,IF($C129="X",0,$O129),0)</f>
        <v>0</v>
      </c>
      <c r="BI129" s="198">
        <f>IF($K129=BI$3,IF($C129="X",0,$O129),0)</f>
        <v>0</v>
      </c>
      <c r="BJ129" s="198">
        <f>IF($K129=BJ$3,IF($C129="X",0,$O129),0)</f>
        <v>0</v>
      </c>
      <c r="BK129" s="198">
        <f>IF($K129=BK$3,IF($C129="X",0,$O129),0)</f>
        <v>0</v>
      </c>
      <c r="BL129" s="198">
        <f>IF($K129=BL$3,IF($C129="X",0,$O129),0)</f>
        <v>0</v>
      </c>
      <c r="BM129" s="200">
        <f>IF($K129=BM$3,IF($C129="X",0,$O129),0)</f>
        <v>0</v>
      </c>
      <c r="BN129" s="201">
        <f>IF($K129=BN$3,IF($C129="X",0,$O129),0)</f>
        <v>0</v>
      </c>
      <c r="BO129" s="201">
        <f>IF($K129=BO$3,IF($C129="X",0,$O129),0)</f>
        <v>0</v>
      </c>
      <c r="BP129" s="201">
        <f>IF($K129=BP$3,IF($C129="X",0,$O129),0)</f>
        <v>0</v>
      </c>
      <c r="BQ129" s="202">
        <f>IF($K129=BQ$3,IF($C129="X",0,$O129),0)</f>
        <v>0</v>
      </c>
      <c r="BR129" s="199">
        <f>IF($K129=BR$3,IF($C129="X",0,$O129),0)</f>
        <v>0</v>
      </c>
      <c r="BS129" s="228"/>
      <c r="BT129" s="229"/>
      <c r="BU129" s="140"/>
      <c r="BV129" s="229"/>
      <c r="BW129" s="140"/>
      <c r="BX129" s="140"/>
      <c r="BY129" s="140"/>
      <c r="BZ129" s="229"/>
      <c r="CA129" s="140"/>
      <c r="CB129" s="140"/>
      <c r="CC129" s="140"/>
      <c r="CD129" s="141"/>
      <c r="CE129" s="142"/>
      <c r="CF129" s="230">
        <f>IF(CF$3=$K129,IF($C129="W",1,IF($C129="1/2W",0.5,0)),0)</f>
        <v>0</v>
      </c>
      <c r="CG129" s="231">
        <f>IF(CF$3=$K129,IF($C129="L",1,IF($C129="1/2L",0.5,0)),0)</f>
        <v>0</v>
      </c>
      <c r="CH129" s="231">
        <f>IF(CH$3=$K129,IF($C129="W",1,IF($C129="1/2W",0.5,0)),0)</f>
        <v>0</v>
      </c>
      <c r="CI129" s="231">
        <f>IF(CH$3=$K129,IF($C129="L",1,IF($C129="1/2L",0.5,0)),0)</f>
        <v>0</v>
      </c>
      <c r="CJ129" s="231">
        <f>IF(CJ$3=$K129,IF($C129="W",1,IF($C129="1/2W",0.5,0)),0)</f>
        <v>0</v>
      </c>
      <c r="CK129" s="231">
        <f>IF(CJ$3=$K129,IF($C129="L",1,IF($C129="1/2L",0.5,0)),0)</f>
        <v>0</v>
      </c>
      <c r="CL129" s="231">
        <f>IF(CL$3=$K129,IF($C129="W",1,IF($C129="1/2W",0.5,0)),0)</f>
        <v>0</v>
      </c>
      <c r="CM129" s="231">
        <f>IF(CL$3=$K129,IF($C129="L",1,IF($C129="1/2L",0.5,0)),0)</f>
        <v>0</v>
      </c>
      <c r="CN129" s="231">
        <f>IF(CN$3=$K129,IF($C129="W",1,IF($C129="1/2W",0.5,0)),0)</f>
        <v>0</v>
      </c>
      <c r="CO129" s="231">
        <f>IF(CN$3=$K129,IF($C129="L",1,IF($C129="1/2L",0.5,0)),0)</f>
        <v>0</v>
      </c>
      <c r="CP129" s="231">
        <f>IF(CP$3=$K129,IF($C129="W",1,IF($C129="1/2W",0.5,0)),0)</f>
        <v>0</v>
      </c>
      <c r="CQ129" s="231">
        <f>IF(CP$3=$K129,IF($C129="L",1,IF($C129="1/2L",0.5,0)),0)</f>
        <v>0</v>
      </c>
      <c r="CR129" s="231">
        <f>IF(CR$3=$K129,IF($C129="W",1,IF($C129="1/2W",0.5,0)),0)</f>
        <v>0</v>
      </c>
      <c r="CS129" s="231">
        <f>IF(CR$3=$K129,IF($C129="L",1,IF($C129="1/2L",0.5,0)),0)</f>
        <v>0</v>
      </c>
      <c r="CT129" s="208">
        <f>IF(CT$3=$K129,IF($C129="W",1,IF($C129="1/2W",0.5,0)),0)</f>
        <v>0</v>
      </c>
      <c r="CU129" s="209">
        <f>IF(CT$3=$K129,IF($C129="L",1,IF($C129="1/2L",0.5,0)),0)</f>
        <v>0</v>
      </c>
      <c r="CV129" s="209">
        <f>IF(CV$3=$K129,IF($C129="W",1,IF($C129="1/2W",0.5,0)),0)</f>
        <v>0</v>
      </c>
      <c r="CW129" s="209">
        <f>IF(CV$3=$K129,IF($C129="L",1,IF($C129="1/2L",0.5,0)),0)</f>
        <v>0</v>
      </c>
      <c r="CX129" s="209">
        <f>IF(CX$3=$K129,IF($C129="W",1,IF($C129="1/2W",0.5,0)),0)</f>
        <v>0</v>
      </c>
      <c r="CY129" s="209">
        <f>IF(CX$3=$K129,IF($C129="L",1,IF($C129="1/2L",0.5,0)),0)</f>
        <v>0</v>
      </c>
      <c r="CZ129" s="209">
        <f>IF(CZ$3=$K129,IF($C129="W",1,IF($C129="1/2W",0.5,0)),0)</f>
        <v>0</v>
      </c>
      <c r="DA129" s="209">
        <f>IF(CZ$3=$K129,IF($C129="L",1,IF($C129="1/2L",0.5,0)),0)</f>
        <v>0</v>
      </c>
      <c r="DB129" s="209">
        <f>IF(DB$3=$K129,IF($C129="W",1,IF($C129="1/2W",0.5,0)),0)</f>
        <v>0</v>
      </c>
      <c r="DC129" s="209">
        <f>IF(DB$3=$K129,IF($C129="L",1,IF($C129="1/2L",0.5,0)),0)</f>
        <v>0</v>
      </c>
      <c r="DD129" s="209">
        <f>IF(DD$3=$K129,IF($C129="W",1,IF($C129="1/2W",0.5,0)),0)</f>
        <v>0</v>
      </c>
      <c r="DE129" s="210">
        <f>IF(DD$3=$K129,IF($C129="L",1,IF($C129="1/2L",0.5,0)),0)</f>
        <v>0</v>
      </c>
      <c r="DF129" s="211">
        <f>IF(AND(L129&lt;DF$3,$C129="W"),1+DF128,DF128)</f>
        <v>7</v>
      </c>
      <c r="DG129" s="198">
        <f>IF(DF129&gt;DF128,L129+DG128,DG128)</f>
        <v>9.247999999999999</v>
      </c>
      <c r="DH129" s="209">
        <f>IF(AND(L129&gt;DH$3,$C129="W"),1+DH128,0+DH128)</f>
        <v>1</v>
      </c>
      <c r="DI129" s="198">
        <f>IF(DH129&gt;DH128,L129+DI128,DI128)</f>
        <v>4.33</v>
      </c>
      <c r="DJ129" t="s" s="306">
        <f>IF($D127="","",$D127)</f>
        <v>101</v>
      </c>
      <c r="DK129" s="232"/>
    </row>
    <row r="130" ht="14.55" customHeight="1">
      <c r="A130" s="246">
        <f>$A127+1</f>
        <v>43</v>
      </c>
      <c r="B130" t="s" s="247">
        <v>50</v>
      </c>
      <c r="C130" t="s" s="248">
        <v>51</v>
      </c>
      <c r="D130" t="s" s="303">
        <f>IF(G130="","",$D127)</f>
        <v>101</v>
      </c>
      <c r="E130" t="s" s="250">
        <v>163</v>
      </c>
      <c r="F130" t="s" s="251">
        <f>IF(G130="","",IF(OR(AND($C130&lt;&gt;" ",$C131=" "),AND($C131&lt;&gt;" ",$C130=" "),AND(L132&gt;0,OR(AND($C132&lt;&gt;" ",OR($C130=" ",$C131=" ")),AND($C132=" ",OR($C130&lt;&gt;" ",$C131&lt;&gt;" "))))),IF(SUM(F$4:F129)=0,1,LARGE(F$4:F129,1)+1),IF(MONTH(G130)=MONTH(TODAY()),IF(AND(DAY(G130)&lt;DAY(TODAY()),$B130=" "),IF(SUM(F$4:F129)=0,1,LARGE(F$4:F129,1)+1),IF($B130=" ",IF(AND(DAY(G130)=DAY(TODAY()),HOUR(G130)&lt;=HOUR(NOW())+1),IF(AND(HOUR(G130)+2&lt;=HOUR(NOW()),DAY(G130)&lt;=DAY(TODAY()),MINUTE(G130)&lt;=MINUTE(NOW())),IF(SUM(F$4:F129)=0,1,LARGE(F$4:F129,1)+1),IF(OR(MINUTE(G130)&lt;=MINUTE(NOW()),HOUR(G130)&lt;=HOUR(NOW())),"!!!","")),""),"")),"")))</f>
      </c>
      <c r="G130" s="252">
        <v>44944.520833333336</v>
      </c>
      <c r="H130" t="s" s="253">
        <v>164</v>
      </c>
      <c r="I130" t="s" s="254">
        <v>54</v>
      </c>
      <c r="J130" s="255">
        <v>-10</v>
      </c>
      <c r="K130" t="s" s="256">
        <v>44</v>
      </c>
      <c r="L130" s="257">
        <v>2.49</v>
      </c>
      <c r="M130" s="258"/>
      <c r="N130" s="259">
        <v>0</v>
      </c>
      <c r="O130" s="260">
        <f>IF(OR(AE130="",AE131=""),"",ROUND(IF(L132&gt;0,IF(M130&gt;0,M130,IF(M131&gt;0,ROUND((M131*AE130)/AE131,IF(N130=0,2,IF(N130=0.1,1,0))),ROUND((M132*AE130)/AE132,IF(N130=0,2,IF(N130=0.1,1,0))))),IF(M130&gt;0,M130,ROUND((M131*AE130)/AE131,IF(N130=0,2,IF(N130=0.1,1,0))))),2))</f>
        <v>9.84</v>
      </c>
      <c r="P130" s="261">
        <f>IF(OR(L130="",O130=""),"",IF($C130="1/2W",O130/2+O130/2*L130,IF($C130="1/2L",O130/2,IF(I130="Lay",(O130*(L130/(L130-1))-O130)*(1-_xlfn.XLOOKUP(K130,'Janeiro 2023 - Valor Real'!A3:A15,'Janeiro 2023 - Valor Real'!C3:C15,0))+O130,(O130*L130-O130)*(1-_xlfn.XLOOKUP(K130,'Janeiro 2023 - Valor Real'!A3:A15,'Janeiro 2023 - Valor Real'!C3:C15,0))+O130))))</f>
        <v>24.5016</v>
      </c>
      <c r="Q130" s="262">
        <v>7</v>
      </c>
      <c r="R130" s="263">
        <v>0</v>
      </c>
      <c r="S130" s="264">
        <f>IF($B130="Anulado",0,ROUND(IF(OR($B130="LOSS",$B130="OK"),IF(OR($C130="W",$C130="1/2W",$C130="1/2L"),P130-O130,IF($C130="L",-O130,0))+IF(OR($C131="W",$C131="1/2W",$C131="1/2L"),P131-O131,IF($C131="L",-O131,0))+IF(OR($C132="W",$C132="1/2W",$C132="1/2L"),P132-O132,IF($C132="L",-O132,0)),IF(AND(OR($C130="W",$C130="1/2W",$C130="1/2L"),C131="W"),P130+P131-SUM(O130:O132)+_xlfn.XLOOKUP("X",C130:C132,O130:O132,0),IF(AND(C130=TRUE,C132="W"),P130+P132-SUM(O130:O132),IF(AND(C131="W",C132="W"),P131+P132-SUM(O130:O132)+_xlfn.XLOOKUP("X",C130:C132,O130:O132,0),IF(L132&gt;0,IF(OR($C130="W",$C130="1/2W",$C130="1/2L"),P130-SUM(O130:O132)+_xlfn.XLOOKUP("X",C130:C132,O130:O132,0),IF(OR($C130="W",$C130="1/2W",$C130="1/2L"),P131-SUM(O130:O132)+_xlfn.XLOOKUP("X",C130:C132,O130:O132,0),IF(OR($C130="W",$C130="1/2W",$C130="1/2L"),P132-SUM(O130:O132)+_xlfn.XLOOKUP("X",C130:C132,O130:O132,0),IF(SUM(P130:P132)/3-SUM(O130:O132)+_xlfn.XLOOKUP("X",C130:C132,O130:O132,0)&gt;0,SUM(P130:P132)/3-SUM(O130:O132)+_xlfn.XLOOKUP("X",C130:C132,O130:O132,0),LARGE(P130:P132,1)-SUM(O130:O132))))),IF(OR($C130="W",$C130="1/2W",$C130="1/2L"),P130-SUM(O130:O131)+_xlfn.XLOOKUP("X",C130:C132,O130:O132,0),IF(OR($C130="W",$C130="1/2W",$C130="1/2L"),P131-SUM(O130:O131)+_xlfn.XLOOKUP("X",C130:C132,O130:O132,0),SUM(P130:P131)/2-SUM(O130:O131)+_xlfn.XLOOKUP("X",C130:C132,O130:O132,0)))))))),2))</f>
        <v>1.41</v>
      </c>
      <c r="T130" s="265">
        <f>IF(S130=0,0,S130/SUM(O130:O132))</f>
        <v>0.0610918544194107</v>
      </c>
      <c r="U130" s="266">
        <f>IF($D130=$D127,IF(OR($B130="LOSS",$B130="OK",$B130="Anulada"),S130,0)+U127,IF(OR($B130="LOSS",$B130="OK",$B130="Anulada"),S130,0))</f>
        <v>34.55</v>
      </c>
      <c r="V130" s="266">
        <f>IF($D130="",0,IF($D130=$D127,IF($B130=" ",IF(I132="",IF(OR(AND(I130="DNB1",I131="DNB2"),AND(OR(I130="DNB1",I130="DNB2"),J131=0),AND(OR(I131="DNB1",I131="DNB2"),J130=0),AND(I130="DNB2",I131="DNB1"),AND(IF(J130=0,(J130+1)/ROUND(J130+1,0),J130/ROUND(J130,0))=1,IF(J131=0,(J131+1)/ROUND(IF(J131="",0,J131)+1,0),IF(J131="",0,J131)/ROUND(IF(J131="",1,J131),0))=1,OR(J130&lt;&gt;""),J131&lt;&gt;"")),0,IF(S130&lt;0,IF(I132="",SMALL(P130:P131,1)-SUM(O130:O131),0),SMALL(P130:P131,1)-SUM(O130:O131))),IF(S130&lt;0,IF(I132="",SMALL(P130:P132,1)-SUM(O130:O132),0),LARGE(P130:P132,1)-SUM(O130:O132))),S130)+V127,IF(I132="",IF(OR(AND(I130="DNB1",I131="DNB2"),AND(OR(I130="DNB1",I130="DNB2"),J131=0),AND(OR(I131="DNB1",I131="DNB2"),J130=0),AND(I130="DNB2",I131="DNB1"),AND(IF(J130=0,(J130+1)/ROUND(J130+1,0),J130/ROUND(J130,0))=1,IF(J131=0,(IF(J131="",0,J131)+1)/ROUND(IF(J131="",0,J131)+1,0),IF(J131="",0,J131)/ROUND(IF(J131="",0,J131)+1,0))=1,OR(J130&lt;&gt;""),J131&lt;&gt;"")),0,IF(S130&lt;0,IF(I132="",SMALL(P130:P131,1)-SUM(O130:O131),0),SMALL(P130:P132,1)-SUM(O130:O132))),IF(S130&lt;0,IF(I132="",SMALL(P130:P132,1)-SUM(O130:O132),0),LARGE(P130:P132,1)-SUM(O130:O132)))))</f>
        <v>34.552</v>
      </c>
      <c r="W130" s="266">
        <f>IF($D130=$D127,IF(S130&lt;0,IF(I132="",S130,0),S130)+W127,S130)</f>
        <v>34.55</v>
      </c>
      <c r="X130" t="s" s="267">
        <f>IF(OR(SUM(R130:R132)=0,V130=W130),ROUND(IF(W130=0,0,W130/Y130)*100,2)&amp;"%",ROUND(IF(V130=0,0,V130/Y130)*100,2)&amp;"% a "&amp;ROUND(IF(W130=0,0,W130/Y130)*100,2)&amp;"%")</f>
        <v>165</v>
      </c>
      <c r="Y130" s="268">
        <f>IF($D130=$D127,Y127+SUM(O130:O132),SUM(O130:O132))</f>
        <v>932.5599999999999</v>
      </c>
      <c r="Z130" s="266">
        <f>IF($B130=" ",SUM(O130:O132),0)+Z127</f>
        <v>0</v>
      </c>
      <c r="AA130" s="266">
        <f>IF(G130="","",IF($B130="Anulado",LARGE(P130:P132,1)-SUM(O130:O132)+AA127,AA127))</f>
        <v>14.1564</v>
      </c>
      <c r="AB130" s="266">
        <f>IF($D130="","",AB127+S130)</f>
        <v>112.65</v>
      </c>
      <c r="AC130" s="269">
        <f>IF($D130="","",IF($B130=" ",IF(DAY(G130)=DAY(TODAY()),1+AC127,0+AC127),0+AC127))</f>
        <v>0</v>
      </c>
      <c r="AD130" s="270">
        <f>(1-_xlfn.XLOOKUP(K128,'Janeiro 2023 - Valor Real'!A3:A15,'Janeiro 2023 - Valor Real'!C3:C15,0))+1</f>
        <v>2</v>
      </c>
      <c r="AE130" s="271">
        <f>IF(L130="","",IF(L132&gt;0,(SUM(((L130-1)*(1-_xlfn.XLOOKUP(K130,'Janeiro 2023 - Valor Real'!A3:A15,'Janeiro 2023 - Valor Real'!C3:C15,0))+1),((L131-1)*(1-_xlfn.XLOOKUP(K131,'Janeiro 2023 - Valor Real'!A3:A15,'Janeiro 2023 - Valor Real'!C3:C15,0))+1),((L132-1)*(1-_xlfn.XLOOKUP(K132,'Janeiro 2023 - Valor Real'!A3:A15,'Janeiro 2023 - Valor Real'!C3:C15,0))+1))/((L130-1)*(1-_xlfn.XLOOKUP(K130,'Janeiro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Real'!C3:C15,0))+1))/((L130-1)*(1-_xlfn.XLOOKUP(K130,'Janeiro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Real'!C3:C15,0))+1))/((L131-1)*(1-_xlfn.XLOOKUP(K131,'Janeiro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Real'!C3:C15,0))+1))/((L132-1)*(1-_xlfn.XLOOKUP(K132,'Janeiro 2023 - Valor Real'!A3:A15,'Janeiro 2023 - Valor Real'!C3:C15,0))+1)),IF(I130="Lay",IF(I131="Lay",((L131/(L131-1)-1)*(1-_xlfn.XLOOKUP(K131,'Janeiro 2023 - Valor Real'!A3:A15,'Janeiro 2023 - Valor Real'!C3:C15,0))+1)/(((L131/(L131-1)-1)*(1-_xlfn.XLOOKUP(K131,'Janeiro 2023 - Valor Real'!A3:A15,'Janeiro 2023 - Valor Real'!C3:C15,0))+1)+((L130/(L130-1)-1)*(1-_xlfn.XLOOKUP(K130,'Janeiro 2023 - Valor Real'!A3:A15,'Janeiro 2023 - Valor Real'!C3:C15,0))+1)),((L131-1)*(1-_xlfn.XLOOKUP(K131,'Janeiro 2023 - Valor Real'!A3:A15,'Janeiro 2023 - Valor Real'!C3:C15,0))+1)/(((L131-1)*(1-_xlfn.XLOOKUP(K131,'Janeiro 2023 - Valor Real'!A3:A15,'Janeiro 2023 - Valor Real'!C3:C15,0))+1)+((L130/(L130-1)-1)*(1-_xlfn.XLOOKUP(K130,'Janeiro 2023 - Valor Real'!A3:A15,'Janeiro 2023 - Valor Real'!C3:C15,0))+1))),IF(I131="Lay",(((L131/(L131-1)-1)*(1-_xlfn.XLOOKUP(K131,'Janeiro 2023 - Valor Real'!A3:A15,'Janeiro 2023 - Valor Real'!C3:C15,0))+1))/(((L130-1)*(1-_xlfn.XLOOKUP(K130,'Janeiro 2023 - Valor Real'!A3:A15,'Janeiro 2023 - Valor Real'!C3:C15,0))+1)+((L131/(L131-1)-1)*(1-_xlfn.XLOOKUP(K131,'Janeiro 2023 - Valor Real'!A3:A15,'Janeiro 2023 - Valor Real'!C3:C15,0))+1)),((L131-1)*(1-_xlfn.XLOOKUP(K131,'Janeiro 2023 - Valor Real'!A3:A15,'Janeiro 2023 - Valor Real'!C3:C15,0))+1)/(((L131-1)*(1-_xlfn.XLOOKUP(K131,'Janeiro 2023 - Valor Real'!A3:A15,'Janeiro 2023 - Valor Real'!C3:C15,0))+1)+((L130-1)*(1-_xlfn.XLOOKUP(K130,'Janeiro 2023 - Valor Real'!A3:A15,'Janeiro 2023 - Valor Real'!C3:C15,0))+1))))))</f>
        <v>0.426267281105991</v>
      </c>
      <c r="AF130" s="132">
        <f>IF($K130=AF$3,ROUND(IF(OR($C130="W",$C130="1/2W",$C130="1/2L"),$P130-$O130,IF($C130="X",0,-$O130)),2),0)</f>
        <v>0</v>
      </c>
      <c r="AG130" s="133">
        <f>IF($K130=AG$3,ROUND(IF(OR($C130="W",$C130="1/2W",$C130="1/2L"),$P130-$O130,IF($C130="X",0,-$O130)),2),0)</f>
        <v>0</v>
      </c>
      <c r="AH130" s="133">
        <f>IF($K130=AH$3,ROUND(IF(OR($C130="W",$C130="1/2W",$C130="1/2L"),$P130-$O130,IF($C130="X",0,-$O130)),2),0)</f>
        <v>0</v>
      </c>
      <c r="AI130" s="133">
        <f>IF($K130=AI$3,ROUND(IF(OR($C130="W",$C130="1/2W",$C130="1/2L"),$P130-$O130,IF($C130="X",0,-$O130)),2),0)</f>
        <v>0</v>
      </c>
      <c r="AJ130" s="133">
        <f>IF($K130=AJ$3,ROUND(IF(OR($C130="W",$C130="1/2W",$C130="1/2L"),$P130-$O130,IF($C130="X",0,-$O130)),2),0)</f>
        <v>0</v>
      </c>
      <c r="AK130" s="133">
        <f>IF($K130=AK$3,ROUND(IF(OR($C130="W",$C130="1/2W",$C130="1/2L"),$P130-$O130,IF($C130="X",0,-$O130)),2),0)</f>
        <v>0</v>
      </c>
      <c r="AL130" s="133">
        <f>IF($K130=AL$3,ROUND(IF(OR($C130="W",$C130="1/2W",$C130="1/2L"),$P130-$O130,IF($C130="X",0,-$O130)),2),0)</f>
        <v>0</v>
      </c>
      <c r="AM130" s="133">
        <f>IF($K130=AM$3,ROUND(IF(OR($C130="W",$C130="1/2W",$C130="1/2L"),$P130-$O130,IF($C130="X",0,-$O130)),2),0)</f>
        <v>-9.84</v>
      </c>
      <c r="AN130" s="133">
        <f>IF($K130=AN$3,ROUND(IF(OR($C130="W",$C130="1/2W",$C130="1/2L"),$P130-$O130,IF($C130="X",0,-$O130)),2),0)</f>
        <v>0</v>
      </c>
      <c r="AO130" s="133">
        <f>IF($K130=AO$3,ROUND(IF(OR($C130="W",$C130="1/2W",$C130="1/2L"),$P130-$O130,IF($C130="X",0,-$O130)),2),0)</f>
        <v>0</v>
      </c>
      <c r="AP130" s="133">
        <f>IF($K130=AP$3,ROUND(IF(OR($C130="W",$C130="1/2W",$C130="1/2L"),$P130-$O130,IF($C130="X",0,-$O130)),2),0)</f>
        <v>0</v>
      </c>
      <c r="AQ130" s="133">
        <f>IF($K130=AQ$3,ROUND(IF(OR($C130="W",$C130="1/2W",$C130="1/2L"),$P130-$O130,IF($C130="X",0,-$O130)),2),0)</f>
        <v>0</v>
      </c>
      <c r="AR130" s="134">
        <f>IF($K130=AR$3,ROUND(IF(OR($C130="W",$C130="1/2W",$C130="1/2L"),$P130-$O130,IF($C130="X",0,-$O130)),2),0)</f>
        <v>0</v>
      </c>
      <c r="AS130" s="132">
        <f>IF(AND($B130=" ",$K130=AS$3),$O130,0)</f>
        <v>0</v>
      </c>
      <c r="AT130" s="133">
        <f>IF(AND($B130=" ",$K130=AT$3),$O130,0)</f>
        <v>0</v>
      </c>
      <c r="AU130" s="133">
        <f>IF(AND($B130=" ",$K130=AU$3),$O130,0)</f>
        <v>0</v>
      </c>
      <c r="AV130" s="133">
        <f>IF(AND($B130=" ",$K130=AV$3),$O130,0)</f>
        <v>0</v>
      </c>
      <c r="AW130" s="133">
        <f>IF(AND($B130=" ",$K130=AW$3),$O130,0)</f>
        <v>0</v>
      </c>
      <c r="AX130" s="133">
        <f>IF(AND($B130=" ",$K130=AX$3),$O130,0)</f>
        <v>0</v>
      </c>
      <c r="AY130" s="135">
        <f>IF(AND($B130=" ",$K130=AY$3),$O130,0)</f>
        <v>0</v>
      </c>
      <c r="AZ130" s="136">
        <f>IF(AND($B130=" ",$K130=AZ$3),$O130,0)</f>
        <v>0</v>
      </c>
      <c r="BA130" s="136">
        <f>IF(AND($B130=" ",$K130=BA$3),$O130,0)</f>
        <v>0</v>
      </c>
      <c r="BB130" s="136">
        <f>IF(AND($B130=" ",$K130=BB$3),$O130,0)</f>
        <v>0</v>
      </c>
      <c r="BC130" s="137">
        <f>IF(AND($B130=" ",$K130=BC$3),$O130,0)</f>
        <v>0</v>
      </c>
      <c r="BD130" s="133">
        <f>IF(AND($B130=" ",$K130=BD$3),$O130,0)</f>
        <v>0</v>
      </c>
      <c r="BE130" s="134">
        <f>IF(AND($B130=" ",$K130=BE$3),$O130,0)</f>
        <v>0</v>
      </c>
      <c r="BF130" s="132">
        <f>IF($K130=BF$3,IF($C130="X",0,$O130),0)</f>
        <v>0</v>
      </c>
      <c r="BG130" s="133">
        <f>IF($K130=BG$3,IF($C130="X",0,$O130),0)</f>
        <v>0</v>
      </c>
      <c r="BH130" s="133">
        <f>IF($K130=BH$3,IF($C130="X",0,$O130),0)</f>
        <v>0</v>
      </c>
      <c r="BI130" s="133">
        <f>IF($K130=BI$3,IF($C130="X",0,$O130),0)</f>
        <v>0</v>
      </c>
      <c r="BJ130" s="133">
        <f>IF($K130=BJ$3,IF($C130="X",0,$O130),0)</f>
        <v>0</v>
      </c>
      <c r="BK130" s="133">
        <f>IF($K130=BK$3,IF($C130="X",0,$O130),0)</f>
        <v>0</v>
      </c>
      <c r="BL130" s="133">
        <f>IF($K130=BL$3,IF($C130="X",0,$O130),0)</f>
        <v>0</v>
      </c>
      <c r="BM130" s="135">
        <f>IF($K130=BM$3,IF($C130="X",0,$O130),0)</f>
        <v>9.84</v>
      </c>
      <c r="BN130" s="136">
        <f>IF($K130=BN$3,IF($C130="X",0,$O130),0)</f>
        <v>0</v>
      </c>
      <c r="BO130" s="136">
        <f>IF($K130=BO$3,IF($C130="X",0,$O130),0)</f>
        <v>0</v>
      </c>
      <c r="BP130" s="136">
        <f>IF($K130=BP$3,IF($C130="X",0,$O130),0)</f>
        <v>0</v>
      </c>
      <c r="BQ130" s="137">
        <f>IF($K130=BQ$3,IF($C130="X",0,$O130),0)</f>
        <v>0</v>
      </c>
      <c r="BR130" s="134">
        <f>IF($K130=BR$3,IF($C130="X",0,$O130),0)</f>
        <v>0</v>
      </c>
      <c r="BS130" s="170">
        <f>IF($B130="LOSS",IF(AND($K130=BS$3,$C130="L"),-$O130,0)+IF(AND($K131=BS$3,$C131="L"),-$O131,0)+IF(AND($K132=BS$3,$C132="L"),-$O132,0),IF(OR(AND($K130=BS$3,OR($C130="W",$C130="1/2W")),AND($K131=BS$3,OR($C131="W",$C131="1/2W")),AND($K132=BS$3,OR($C132="W",$C132="1/2W"))),$S130,0))</f>
        <v>0</v>
      </c>
      <c r="BT130" s="272">
        <f>IF($B130="LOSS",IF(AND($K130=BT$3,$C130="L"),-$O130,0)+IF(AND($K131=BT$3,$C131="L"),-$O131,0)+IF(AND($K131=BT$3,$C132="L"),-$O132,0),IF(OR(AND($K131=BT$3,OR($C130="W",$C130="1/2W")),AND($K131=BT$3,OR($C131="W",$C131="1/2W")),AND($K131=BT$3,OR($C132="W",$C132="1/2W"))),$S130,0))</f>
        <v>0</v>
      </c>
      <c r="BU130" s="136">
        <f>IF($B130="LOSS",IF(AND($K130=BU$3,$C130="L"),-$O130,0)+IF(AND($K131=BU$3,$C131="L"),-$O131,0)+IF(AND($K131=BU$3,$C132="L"),-$O132,0),IF(OR(AND($K131=BU$3,OR($C130="W",$C130="1/2W")),AND($K131=BU$3,OR($C131="W",$C131="1/2W")),AND($K131=BU$3,OR($C132="W",$C132="1/2W"))),$S130,0))</f>
        <v>0</v>
      </c>
      <c r="BV130" s="136">
        <f>IF($B130="LOSS",IF(AND($K130=BV$3,$C130="L"),-$O130,0)+IF(AND($K131=BV$3,$C131="L"),-$O131,0)+IF(AND($K132=BV$3,$C132="L"),-$O132,0),IF(OR(AND($K130=BV$3,OR($C130="W",$C130="1/2W")),AND($K131=BV$3,OR($C131="W",$C131="1/2W")),AND($K132=BV$3,OR($C132="W",$C132="1/2W"))),$S130,0))</f>
        <v>0</v>
      </c>
      <c r="BW130" s="136">
        <f>IF($B130="LOSS",IF(AND($K130=BW$3,$C130="L"),-$O130,0)+IF(AND($K131=BW$3,$C131="L"),-$O131,0)+IF(AND($K132=BW$3,$C132="L"),-$O132,0),IF(OR(AND($K130=BW$3,OR($C130="W",$C130="1/2W")),AND($K131=BW$3,OR($C131="W",$C131="1/2W")),AND($K132=BW$3,OR($C132="W",$C132="1/2W"))),$S130,0))</f>
        <v>1.41</v>
      </c>
      <c r="BX130" s="136">
        <f>IF($B130="LOSS",IF(AND($K130=BX$3,$C130="L"),-$O130,0)+IF(AND($K131=BX$3,$C131="L"),-$O131,0)+IF(AND($K132=BX$3,$C132="L"),-$O132,0),IF(OR(AND($K130=BX$3,OR($C130="W",$C130="1/2W")),AND($K131=BX$3,OR($C131="W",$C131="1/2W")),AND($K132=BX$3,OR($C132="W",$C132="1/2W"))),$S130,0))</f>
        <v>0</v>
      </c>
      <c r="BY130" s="136">
        <f>IF($B130="LOSS",IF(AND($K130=BY$3,$C130="L"),-$O130,0)+IF(AND($K131=BY$3,$C131="L"),-$O131,0)+IF(AND($K132=BY$3,$C132="L"),-$O132,0),IF(OR(AND($K130=BY$3,OR($C130="W",$C130="1/2W")),AND($K131=BY$3,OR($C131="W",$C131="1/2W")),AND($K132=BY$3,OR($C132="W",$C132="1/2W"))),$S130,0))</f>
        <v>0</v>
      </c>
      <c r="BZ130" s="136">
        <f>IF($B130="LOSS",IF(AND($K130=BZ$3,$C130="L"),-$O130,0)+IF(AND($K131=BZ$3,$C131="L"),-$O131,0)+IF(AND($K132=BZ$3,$C132="L"),-$O132,0),IF(OR(AND($K130=BZ$3,OR($C130="W",$C130="1/2W")),AND($K131=BZ$3,OR($C131="W",$C131="1/2W")),AND($K132=BZ$3,OR($C132="W",$C132="1/2W"))),$S130,0))</f>
        <v>0</v>
      </c>
      <c r="CA130" s="136">
        <f>IF($B130="LOSS",IF(AND($K130=CA$3,$C130="L"),-$O130,0)+IF(AND($K131=CA$3,$C131="L"),-$O131,0)+IF(AND($K132=CA$3,$C132="L"),-$O132,0),IF(OR(AND($K130=CA$3,OR($C130="W",$C130="1/2W")),AND($K131=CA$3,OR($C131="W",$C131="1/2W")),AND($K132=CA$3,OR($C132="W",$C132="1/2W"))),$S130,0))</f>
        <v>0</v>
      </c>
      <c r="CB130" s="136">
        <f>IF($B130="LOSS",IF(AND($K130=CB$3,$C130="L"),-$O130,0)+IF(AND($K131=CB$3,$C131="L"),-$O131,0)+IF(AND($K132=CB$3,$C132="L"),-$O132,0),IF(OR(AND($K130=CB$3,OR($C130="W",$C130="1/2W")),AND($K131=CB$3,OR($C131="W",$C131="1/2W")),AND($K132=CB$3,OR($C132="W",$C132="1/2W"))),$S130,0))</f>
        <v>0</v>
      </c>
      <c r="CC130" s="136">
        <f>IF($B130="LOSS",IF(AND($K130=CC$3,$C130="L"),-$O130,0)+IF(AND($K131=CC$3,$C131="L"),-$O131,0)+IF(AND($K132=CC$3,$C132="L"),-$O132,0),IF(OR(AND($K130=CC$3,OR($C130="W",$C130="1/2W")),AND($K131=CC$3,OR($C131="W",$C131="1/2W")),AND($K132=CC$3,OR($C132="W",$C132="1/2W"))),$S130,0))</f>
        <v>0</v>
      </c>
      <c r="CD130" s="137">
        <f>IF($B130="LOSS",IF(AND($K130=CD$3,$C130="L"),-$O130,0)+IF(AND($K131=CD$3,$C131="L"),-$O131,0)+IF(AND($K132=CD$3,$C132="L"),-$O132,0),IF(OR(AND($K130=CD$3,OR($C130="W",$C130="1/2W")),AND($K131=CD$3,OR($C131="W",$C131="1/2W")),AND($K132=CD$3,OR($C132="W",$C132="1/2W"))),$S130,0))</f>
        <v>0</v>
      </c>
      <c r="CE130" s="134">
        <f>IF($B130="LOSS",IF(AND($K130=CE$3,$C130="L"),-$O130,0)+IF(AND($K131=CE$3,$C131="L"),-$O131,0)+IF(AND($K132=CE$3,$C132="L"),-$O132,0),IF(OR(AND($K130=CE$3,OR($C130="W",$C130="1/2W")),AND($K131=CE$3,OR($C131="W",$C131="1/2W")),AND($K132=CE$3,OR($C132="W",$C132="1/2W"))),$S130,0))</f>
        <v>0</v>
      </c>
      <c r="CF130" s="273">
        <f>IF(CF$3=$K130,IF($C130="W",1,IF($C130="1/2W",0.5,0)),0)</f>
        <v>0</v>
      </c>
      <c r="CG130" s="274">
        <f>IF(CF$3=$K130,IF($C130="L",1,IF($C130="1/2L",0.5,0)),0)</f>
        <v>0</v>
      </c>
      <c r="CH130" s="274">
        <f>IF(CH$3=$K130,IF($C130="W",1,IF($C130="1/2W",0.5,0)),0)</f>
        <v>0</v>
      </c>
      <c r="CI130" s="274">
        <f>IF(CH$3=$K130,IF($C130="L",1,IF($C130="1/2L",0.5,0)),0)</f>
        <v>0</v>
      </c>
      <c r="CJ130" s="274">
        <f>IF(CJ$3=$K130,IF($C130="W",1,IF($C130="1/2W",0.5,0)),0)</f>
        <v>0</v>
      </c>
      <c r="CK130" s="274">
        <f>IF(CJ$3=$K130,IF($C130="L",1,IF($C130="1/2L",0.5,0)),0)</f>
        <v>0</v>
      </c>
      <c r="CL130" s="274">
        <f>IF(CL$3=$K130,IF($C130="W",1,IF($C130="1/2W",0.5,0)),0)</f>
        <v>0</v>
      </c>
      <c r="CM130" s="274">
        <f>IF(CL$3=$K130,IF($C130="L",1,IF($C130="1/2L",0.5,0)),0)</f>
        <v>0</v>
      </c>
      <c r="CN130" s="274">
        <f>IF(CN$3=$K130,IF($C130="W",1,IF($C130="1/2W",0.5,0)),0)</f>
        <v>0</v>
      </c>
      <c r="CO130" s="274">
        <f>IF(CN$3=$K130,IF($C130="L",1,IF($C130="1/2L",0.5,0)),0)</f>
        <v>0</v>
      </c>
      <c r="CP130" s="274">
        <f>IF(CP$3=$K130,IF($C130="W",1,IF($C130="1/2W",0.5,0)),0)</f>
        <v>0</v>
      </c>
      <c r="CQ130" s="274">
        <f>IF(CP$3=$K130,IF($C130="L",1,IF($C130="1/2L",0.5,0)),0)</f>
        <v>0</v>
      </c>
      <c r="CR130" s="274">
        <f>IF(CR$3=$K130,IF($C130="W",1,IF($C130="1/2W",0.5,0)),0)</f>
        <v>0</v>
      </c>
      <c r="CS130" s="274">
        <f>IF(CR$3=$K130,IF($C130="L",1,IF($C130="1/2L",0.5,0)),0)</f>
        <v>0</v>
      </c>
      <c r="CT130" s="145">
        <f>IF(CT$3=$K130,IF($C130="W",1,IF($C130="1/2W",0.5,0)),0)</f>
        <v>0</v>
      </c>
      <c r="CU130" s="146">
        <f>IF(CT$3=$K130,IF($C130="L",1,IF($C130="1/2L",0.5,0)),0)</f>
        <v>1</v>
      </c>
      <c r="CV130" s="146">
        <f>IF(CV$3=$K130,IF($C130="W",1,IF($C130="1/2W",0.5,0)),0)</f>
        <v>0</v>
      </c>
      <c r="CW130" s="146">
        <f>IF(CV$3=$K130,IF($C130="L",1,IF($C130="1/2L",0.5,0)),0)</f>
        <v>0</v>
      </c>
      <c r="CX130" s="146">
        <f>IF(CX$3=$K130,IF($C130="W",1,IF($C130="1/2W",0.5,0)),0)</f>
        <v>0</v>
      </c>
      <c r="CY130" s="146">
        <f>IF(CX$3=$K130,IF($C130="L",1,IF($C130="1/2L",0.5,0)),0)</f>
        <v>0</v>
      </c>
      <c r="CZ130" s="146">
        <f>IF(CZ$3=$K130,IF($C130="W",1,IF($C130="1/2W",0.5,0)),0)</f>
        <v>0</v>
      </c>
      <c r="DA130" s="146">
        <f>IF(CZ$3=$K130,IF($C130="L",1,IF($C130="1/2L",0.5,0)),0)</f>
        <v>0</v>
      </c>
      <c r="DB130" s="146">
        <f>IF(DB$3=$K130,IF($C130="W",1,IF($C130="1/2W",0.5,0)),0)</f>
        <v>0</v>
      </c>
      <c r="DC130" s="146">
        <f>IF(DB$3=$K130,IF($C130="L",1,IF($C130="1/2L",0.5,0)),0)</f>
        <v>0</v>
      </c>
      <c r="DD130" s="146">
        <f>IF(DD$3=$K130,IF($C130="W",1,IF($C130="1/2W",0.5,0)),0)</f>
        <v>0</v>
      </c>
      <c r="DE130" s="147">
        <f>IF(DD$3=$K130,IF($C130="L",1,IF($C130="1/2L",0.5,0)),0)</f>
        <v>0</v>
      </c>
      <c r="DF130" s="143">
        <f>IF(AND(L130&lt;DF$3,$C130="W"),1+DF129,DF129)</f>
        <v>7</v>
      </c>
      <c r="DG130" s="133">
        <f>IF(DF130&gt;DF129,L130+DG129,DG129)</f>
        <v>9.247999999999999</v>
      </c>
      <c r="DH130" s="146">
        <f>IF(AND(L130&gt;DH$3,$C130="W"),1+DH129,0+DH129)</f>
        <v>1</v>
      </c>
      <c r="DI130" s="133">
        <f>IF(DH130&gt;DH129,L130+DI129,DI129)</f>
        <v>4.33</v>
      </c>
      <c r="DJ130" t="s" s="304">
        <f>IF($D130="","",$D130)</f>
        <v>101</v>
      </c>
      <c r="DK130" s="146">
        <f>IF(AND($B130=" ",$D130&lt;&gt;""),1,0)</f>
        <v>0</v>
      </c>
    </row>
    <row r="131" ht="14.55" customHeight="1">
      <c r="A131" s="107"/>
      <c r="B131" s="108"/>
      <c r="C131" t="s" s="109">
        <v>56</v>
      </c>
      <c r="D131" s="110"/>
      <c r="E131" s="111"/>
      <c r="F131" s="113"/>
      <c r="G131" s="252"/>
      <c r="H131" s="114"/>
      <c r="I131" t="s" s="275">
        <v>57</v>
      </c>
      <c r="J131" s="276">
        <f>IF(OR(I130="TO",I130="TU",I130="TO1",I130="TU1",I130="TO2",I130="TU2"),J130,IF(OR(I130="AH1",I130="AH2"),IF(OR(I131="AH1",I131="AH2"),-J130,IF(OR(I131="EH1",I131="EH2"),-J130+0.5,"")),IF(OR(I130="EH1",I130="EH2"),IF(OR(I131="AH1",I131="AH2"),-J130+0.5,IF(OR(I131="EH1",I131="EH2"),-J130+1,"")),IF(AND(OR(I130="DNB1",I130="DNB2"),OR(I131="AH1",I131="AH2")),0,IF(AND(I130="Not ScoreBoth",OR(I131="TO1",I131="TO2")),0.5,"")))))</f>
        <v>10</v>
      </c>
      <c r="K131" t="s" s="117">
        <v>41</v>
      </c>
      <c r="L131" s="277">
        <v>1.85</v>
      </c>
      <c r="M131" s="278">
        <v>13.24</v>
      </c>
      <c r="N131" s="120"/>
      <c r="O131" s="121">
        <f>IF(OR(AE130="",AE131=""),"",ROUND(IF(L132&gt;0,IF(M131&gt;0,M131,IF(M130&gt;0,IF(N130=TRUE,ROUND((M130*AE131)/AE130,0),(M130*AE131)/AE130),IF(M131&gt;0,ROUND(M131,IF(N130=0,2,IF(N130=0.1,1,0))),IF(M132&gt;0,ROUND(O132*AE131/AE132,IF(N130=0,2,IF(N130=0.1,1,0))),0)))),IF(M131&gt;0,M131,ROUND((M130*AE131)/AE130,IF(N130=0,2,IF(N130=0.1,1,0))))),2))</f>
        <v>13.24</v>
      </c>
      <c r="P131" s="122">
        <f>IF(OR(L131="",O131=""),"",IF($C131="1/2W",O131/2+O131/2*L131,IF($C131="1/2L",O131/2,IF(I131="Lay",((O131*(L131/(L131-1)))-O131)*(1-_xlfn.XLOOKUP(K131,'Janeiro 2023 - Valor Real'!A3:A15,'Janeiro 2023 - Valor Real'!C3:C15,0))+O131,(O131*L131-O131)*(1-_xlfn.XLOOKUP(K131,'Janeiro 2023 - Valor Real'!A3:A15,'Janeiro 2023 - Valor Real'!C3:C15,0))+O131))))</f>
        <v>24.494</v>
      </c>
      <c r="Q131" s="279">
        <v>7</v>
      </c>
      <c r="R131" s="280">
        <v>0</v>
      </c>
      <c r="S131" s="125"/>
      <c r="T131" s="126"/>
      <c r="U131" s="126"/>
      <c r="V131" s="224"/>
      <c r="W131" s="126"/>
      <c r="X131" s="127"/>
      <c r="Y131" s="128"/>
      <c r="Z131" s="129"/>
      <c r="AA131" s="129"/>
      <c r="AB131" s="129"/>
      <c r="AC131" s="129"/>
      <c r="AD131" s="130"/>
      <c r="AE131" s="131">
        <f>IF(L131="","",IF(L132&gt;0,(SUM(((L130-1)*(1-_xlfn.XLOOKUP(K130,'Janeiro 2023 - Valor Real'!A3:A15,'Janeiro 2023 - Valor Real'!C3:C15,0))+1),((L131-1)*(1-_xlfn.XLOOKUP(K131,'Janeiro 2023 - Valor Real'!A3:A15,'Janeiro 2023 - Valor Real'!C3:C15,0))+1),((L132-1)*(1-_xlfn.XLOOKUP(K132,'Janeiro 2023 - Valor Real'!A3:A15,'Janeiro 2023 - Valor Real'!C3:C15,0))+1))/((L131-1)*(1-_xlfn.XLOOKUP(K131,'Janeiro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Real'!C3:C15,0))+1))/((L130-1)*(1-_xlfn.XLOOKUP(K130,'Janeiro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Real'!C3:C15,0))+1))/((L131-1)*(1-_xlfn.XLOOKUP(K131,'Janeiro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Real'!C3:C15,0))+1))/((L132-1)*(1-_xlfn.XLOOKUP(K132,'Janeiro 2023 - Valor Real'!A3:A15,'Janeiro 2023 - Valor Real'!C3:C15,0))+1)),IF(I131="Lay",IF(I130="Lay",((L130/(L130-1)-1)*(1-_xlfn.XLOOKUP(K130,'Janeiro 2023 - Valor Real'!A3:A15,'Janeiro 2023 - Valor Real'!C3:C15,0))+1)/(((L130/(L130-1)-1)*(1-_xlfn.XLOOKUP(K130,'Janeiro 2023 - Valor Real'!A3:A15,'Janeiro 2023 - Valor Real'!C3:C15,0))+1)+((L131/(L131-1)-1)*(1-_xlfn.XLOOKUP(K131,'Janeiro 2023 - Valor Real'!A3:A15,'Janeiro 2023 - Valor Real'!C3:C15,0))+1)),((L130-1)*(1-_xlfn.XLOOKUP(K130,'Janeiro 2023 - Valor Real'!A3:A15,'Janeiro 2023 - Valor Real'!C3:C15,0))+1)/(((L130-1)*(1-_xlfn.XLOOKUP(K130,'Janeiro 2023 - Valor Real'!A3:A15,'Janeiro 2023 - Valor Real'!C3:C15,0))+1)+((L131/(L131-1)-1)*(1-_xlfn.XLOOKUP(K131,'Janeiro 2023 - Valor Real'!A3:A15,'Janeiro 2023 - Valor Real'!C3:C15,0))+1))),IF(I130="Lay",((L130/(L130-1)-1)*(1-_xlfn.XLOOKUP(K130,'Janeiro 2023 - Valor Real'!A3:A15,'Janeiro 2023 - Valor Real'!C3:C15,0))+1)/((((L130/(L130-1)-1)*(1-_xlfn.XLOOKUP(K130,'Janeiro 2023 - Valor Real'!A3:A15,'Janeiro 2023 - Valor Real'!C3:C15,0))+1))+((L131-1)*(1-_xlfn.XLOOKUP(K131,'Janeiro 2023 - Valor Real'!A3:A15,'Janeiro 2023 - Valor Real'!C3:C15,0))+1)),((L130-1)*(1-_xlfn.XLOOKUP(K130,'Janeiro 2023 - Valor Real'!A3:A15,'Janeiro 2023 - Valor Real'!C3:C15,0))+1)/(((L130-1)*(1-_xlfn.XLOOKUP(K130,'Janeiro 2023 - Valor Real'!A3:A15,'Janeiro 2023 - Valor Real'!C3:C15,0))+1)+((L131-1)*(1-_xlfn.XLOOKUP(K131,'Janeiro 2023 - Valor Real'!A3:A15,'Janeiro 2023 - Valor Real'!C3:C15,0))+1))))))</f>
        <v>0.573732718894009</v>
      </c>
      <c r="AF131" s="132">
        <f>IF($K131=AF$3,ROUND(IF(OR($C131="W",$C131="1/2W",$C131="1/2L"),$P131-$O131,IF($C131="X",0,-$O131)),2),0)</f>
        <v>0</v>
      </c>
      <c r="AG131" s="133">
        <f>IF($K131=AG$3,ROUND(IF(OR($C131="W",$C131="1/2W",$C131="1/2L"),$P131-$O131,IF($C131="X",0,-$O131)),2),0)</f>
        <v>0</v>
      </c>
      <c r="AH131" s="133">
        <f>IF($K131=AH$3,ROUND(IF(OR($C131="W",$C131="1/2W",$C131="1/2L"),$P131-$O131,IF($C131="X",0,-$O131)),2),0)</f>
        <v>0</v>
      </c>
      <c r="AI131" s="133">
        <f>IF($K131=AI$3,ROUND(IF(OR($C131="W",$C131="1/2W",$C131="1/2L"),$P131-$O131,IF($C131="X",0,-$O131)),2),0)</f>
        <v>0</v>
      </c>
      <c r="AJ131" s="133">
        <f>IF($K131=AJ$3,ROUND(IF(OR($C131="W",$C131="1/2W",$C131="1/2L"),$P131-$O131,IF($C131="X",0,-$O131)),2),0)</f>
        <v>11.25</v>
      </c>
      <c r="AK131" s="133">
        <f>IF($K131=AK$3,ROUND(IF(OR($C131="W",$C131="1/2W",$C131="1/2L"),$P131-$O131,IF($C131="X",0,-$O131)),2),0)</f>
        <v>0</v>
      </c>
      <c r="AL131" s="133">
        <f>IF($K131=AL$3,ROUND(IF(OR($C131="W",$C131="1/2W",$C131="1/2L"),$P131-$O131,IF($C131="X",0,-$O131)),2),0)</f>
        <v>0</v>
      </c>
      <c r="AM131" s="133">
        <f>IF($K131=AM$3,ROUND(IF(OR($C131="W",$C131="1/2W",$C131="1/2L"),$P131-$O131,IF($C131="X",0,-$O131)),2),0)</f>
        <v>0</v>
      </c>
      <c r="AN131" s="133">
        <f>IF($K131=AN$3,ROUND(IF(OR($C131="W",$C131="1/2W",$C131="1/2L"),$P131-$O131,IF($C131="X",0,-$O131)),2),0)</f>
        <v>0</v>
      </c>
      <c r="AO131" s="133">
        <f>IF($K131=AO$3,ROUND(IF(OR($C131="W",$C131="1/2W",$C131="1/2L"),$P131-$O131,IF($C131="X",0,-$O131)),2),0)</f>
        <v>0</v>
      </c>
      <c r="AP131" s="133">
        <f>IF($K131=AP$3,ROUND(IF(OR($C131="W",$C131="1/2W",$C131="1/2L"),$P131-$O131,IF($C131="X",0,-$O131)),2),0)</f>
        <v>0</v>
      </c>
      <c r="AQ131" s="133">
        <f>IF($K131=AQ$3,ROUND(IF(OR($C131="W",$C131="1/2W",$C131="1/2L"),$P131-$O131,IF($C131="X",0,-$O131)),2),0)</f>
        <v>0</v>
      </c>
      <c r="AR131" s="134">
        <f>IF($K131=AR$3,ROUND(IF(OR($C131="W",$C131="1/2W",$C131="1/2L"),$P131-$O131,IF($C131="X",0,-$O131)),2),0)</f>
        <v>0</v>
      </c>
      <c r="AS131" s="132">
        <f>IF(AND($B130=" ",$K131=AS$3),$O131,0)</f>
        <v>0</v>
      </c>
      <c r="AT131" s="133">
        <f>IF(AND($B130=" ",K131=AT$3),$O131,0)</f>
        <v>0</v>
      </c>
      <c r="AU131" s="133">
        <f>IF(AND($B130=" ",$K131=AU$3),$O131,0)</f>
        <v>0</v>
      </c>
      <c r="AV131" s="133">
        <f>IF(AND($B130=" ",$K131=AV$3),$O131,0)</f>
        <v>0</v>
      </c>
      <c r="AW131" s="133">
        <f>IF(AND($B130=" ",$K131=AW$3),$O131,0)</f>
        <v>0</v>
      </c>
      <c r="AX131" s="133">
        <f>IF(AND($B130=" ",$K131=AX$3),$O131,0)</f>
        <v>0</v>
      </c>
      <c r="AY131" s="135">
        <f>IF(AND($B130=" ",$K131=AY$3),$O131,0)</f>
        <v>0</v>
      </c>
      <c r="AZ131" s="136">
        <f>IF(AND($B130=" ",$K131=AZ$3),$O131,0)</f>
        <v>0</v>
      </c>
      <c r="BA131" s="136">
        <f>IF(AND($B130=" ",$K131=BA$3),$O131,0)</f>
        <v>0</v>
      </c>
      <c r="BB131" s="136">
        <f>IF(AND($B130=" ",$K131=BB$3),$O131,0)</f>
        <v>0</v>
      </c>
      <c r="BC131" s="137">
        <f>IF(AND($B130=" ",$K131=BC$3),$O131,0)</f>
        <v>0</v>
      </c>
      <c r="BD131" s="133">
        <f>IF(AND($B130=" ",$K131=BD$3),$O131,0)</f>
        <v>0</v>
      </c>
      <c r="BE131" s="134">
        <f>IF(AND($B130=" ",$K131=BE$3),$O131,0)</f>
        <v>0</v>
      </c>
      <c r="BF131" s="132">
        <f>IF($K131=BF$3,IF($C131="X",0,$O131),0)</f>
        <v>0</v>
      </c>
      <c r="BG131" s="281">
        <f>IF($K131=BG$3,IF($C131="X",0,$O131),0)</f>
        <v>0</v>
      </c>
      <c r="BH131" s="133">
        <f>IF($K131=BH$3,IF($C131="X",0,$O131),0)</f>
        <v>0</v>
      </c>
      <c r="BI131" s="133">
        <f>IF($K131=BI$3,IF($C131="X",0,$O131),0)</f>
        <v>0</v>
      </c>
      <c r="BJ131" s="133">
        <f>IF($K131=BJ$3,IF($C131="X",0,$O131),0)</f>
        <v>13.24</v>
      </c>
      <c r="BK131" s="133">
        <f>IF($K131=BK$3,IF($C131="X",0,$O131),0)</f>
        <v>0</v>
      </c>
      <c r="BL131" s="133">
        <f>IF($K131=BL$3,IF($C131="X",0,$O131),0)</f>
        <v>0</v>
      </c>
      <c r="BM131" s="135">
        <f>IF($K131=BM$3,IF($C131="X",0,$O131),0)</f>
        <v>0</v>
      </c>
      <c r="BN131" s="136">
        <f>IF($K131=BN$3,IF($C131="X",0,$O131),0)</f>
        <v>0</v>
      </c>
      <c r="BO131" s="136">
        <f>IF($K131=BO$3,IF($C131="X",0,$O131),0)</f>
        <v>0</v>
      </c>
      <c r="BP131" s="136">
        <f>IF($K131=BP$3,IF($C131="X",0,$O131),0)</f>
        <v>0</v>
      </c>
      <c r="BQ131" s="137">
        <f>IF($K131=BQ$3,IF($C131="X",0,$O131),0)</f>
        <v>0</v>
      </c>
      <c r="BR131" s="134">
        <f>IF($K131=BR$3,IF($C131="X",0,$O131),0)</f>
        <v>0</v>
      </c>
      <c r="BS131" s="282"/>
      <c r="BT131" s="283"/>
      <c r="BU131" s="140"/>
      <c r="BV131" s="283"/>
      <c r="BW131" s="140"/>
      <c r="BX131" s="140"/>
      <c r="BY131" s="140"/>
      <c r="BZ131" s="283"/>
      <c r="CA131" s="140"/>
      <c r="CB131" s="140"/>
      <c r="CC131" s="140"/>
      <c r="CD131" s="141"/>
      <c r="CE131" s="142"/>
      <c r="CF131" s="284">
        <f>IF(CF$3=$K131,IF($C131="W",1,IF($C131="1/2W",0.5,0)),0)</f>
        <v>0</v>
      </c>
      <c r="CG131" s="285">
        <f>IF(CF$3=$K131,IF($C131="L",1,IF($C131="1/2L",0.5,0)),0)</f>
        <v>0</v>
      </c>
      <c r="CH131" s="285">
        <f>IF(CH$3=$K131,IF($C131="W",1,IF($C131="1/2W",0.5,0)),0)</f>
        <v>0</v>
      </c>
      <c r="CI131" s="285">
        <f>IF(CH$3=$K131,IF($C131="L",1,IF($C131="1/2L",0.5,0)),0)</f>
        <v>0</v>
      </c>
      <c r="CJ131" s="285">
        <f>IF(CJ$3=$K131,IF($C131="W",1,IF($C131="1/2W",0.5,0)),0)</f>
        <v>0</v>
      </c>
      <c r="CK131" s="285">
        <f>IF(CJ$3=$K131,IF($C131="L",1,IF($C131="1/2L",0.5,0)),0)</f>
        <v>0</v>
      </c>
      <c r="CL131" s="285">
        <f>IF(CL$3=$K131,IF($C131="W",1,IF($C131="1/2W",0.5,0)),0)</f>
        <v>0</v>
      </c>
      <c r="CM131" s="285">
        <f>IF(CL$3=$K131,IF($C131="L",1,IF($C131="1/2L",0.5,0)),0)</f>
        <v>0</v>
      </c>
      <c r="CN131" s="285">
        <f>IF(CN$3=$K131,IF($C131="W",1,IF($C131="1/2W",0.5,0)),0)</f>
        <v>1</v>
      </c>
      <c r="CO131" s="285">
        <f>IF(CN$3=$K131,IF($C131="L",1,IF($C131="1/2L",0.5,0)),0)</f>
        <v>0</v>
      </c>
      <c r="CP131" s="285">
        <f>IF(CP$3=$K131,IF($C131="W",1,IF($C131="1/2W",0.5,0)),0)</f>
        <v>0</v>
      </c>
      <c r="CQ131" s="285">
        <f>IF(CP$3=$K131,IF($C131="L",1,IF($C131="1/2L",0.5,0)),0)</f>
        <v>0</v>
      </c>
      <c r="CR131" s="285">
        <f>IF(CR$3=$K131,IF($C131="W",1,IF($C131="1/2W",0.5,0)),0)</f>
        <v>0</v>
      </c>
      <c r="CS131" s="285">
        <f>IF(CR$3=$K131,IF($C131="L",1,IF($C131="1/2L",0.5,0)),0)</f>
        <v>0</v>
      </c>
      <c r="CT131" s="145">
        <f>IF(CT$3=$K131,IF($C131="W",1,IF($C131="1/2W",0.5,0)),0)</f>
        <v>0</v>
      </c>
      <c r="CU131" s="146">
        <f>IF(CT$3=$K131,IF($C131="L",1,IF($C131="1/2L",0.5,0)),0)</f>
        <v>0</v>
      </c>
      <c r="CV131" s="146">
        <f>IF(CV$3=$K131,IF($C131="W",1,IF($C131="1/2W",0.5,0)),0)</f>
        <v>0</v>
      </c>
      <c r="CW131" s="146">
        <f>IF(CV$3=$K131,IF($C131="L",1,IF($C131="1/2L",0.5,0)),0)</f>
        <v>0</v>
      </c>
      <c r="CX131" s="146">
        <f>IF(CX$3=$K131,IF($C131="W",1,IF($C131="1/2W",0.5,0)),0)</f>
        <v>0</v>
      </c>
      <c r="CY131" s="146">
        <f>IF(CX$3=$K131,IF($C131="L",1,IF($C131="1/2L",0.5,0)),0)</f>
        <v>0</v>
      </c>
      <c r="CZ131" s="146">
        <f>IF(CZ$3=$K131,IF($C131="W",1,IF($C131="1/2W",0.5,0)),0)</f>
        <v>0</v>
      </c>
      <c r="DA131" s="146">
        <f>IF(CZ$3=$K131,IF($C131="L",1,IF($C131="1/2L",0.5,0)),0)</f>
        <v>0</v>
      </c>
      <c r="DB131" s="146">
        <f>IF(DB$3=$K131,IF($C131="W",1,IF($C131="1/2W",0.5,0)),0)</f>
        <v>0</v>
      </c>
      <c r="DC131" s="146">
        <f>IF(DB$3=$K131,IF($C131="L",1,IF($C131="1/2L",0.5,0)),0)</f>
        <v>0</v>
      </c>
      <c r="DD131" s="146">
        <f>IF(DD$3=$K131,IF($C131="W",1,IF($C131="1/2W",0.5,0)),0)</f>
        <v>0</v>
      </c>
      <c r="DE131" s="147">
        <f>IF(DD$3=$K131,IF($C131="L",1,IF($C131="1/2L",0.5,0)),0)</f>
        <v>0</v>
      </c>
      <c r="DF131" s="143">
        <f>IF(AND(L131&lt;DF$3,$C131="W"),1+DF130,DF130)</f>
        <v>7</v>
      </c>
      <c r="DG131" s="133">
        <f>IF(DF131&gt;DF130,L131+DG130,DG130)</f>
        <v>9.247999999999999</v>
      </c>
      <c r="DH131" s="146">
        <f>IF(AND(L131&gt;DH$3,$C131="W"),1+DH130,0+DH130)</f>
        <v>1</v>
      </c>
      <c r="DI131" s="133">
        <f>IF(DH131&gt;DH130,L131+DI130,DI130)</f>
        <v>4.33</v>
      </c>
      <c r="DJ131" t="s" s="304">
        <f>IF($D130="","",$D130)</f>
        <v>101</v>
      </c>
      <c r="DK131" s="286"/>
    </row>
    <row r="132" ht="14.55" customHeight="1">
      <c r="A132" s="149"/>
      <c r="B132" s="150"/>
      <c r="C132" t="s" s="151">
        <v>58</v>
      </c>
      <c r="D132" s="152"/>
      <c r="E132" s="153"/>
      <c r="F132" s="155"/>
      <c r="G132" s="252"/>
      <c r="H132" s="156"/>
      <c r="I132" s="287"/>
      <c r="J132" s="288"/>
      <c r="K132" s="156"/>
      <c r="L132" s="289"/>
      <c r="M132" s="290"/>
      <c r="N132" s="161"/>
      <c r="O132" t="s" s="162">
        <f>IF(OR(AE130="",AE131=""),"",IF(L132&gt;0,ROUND(IF(M132&gt;0,M132,IF(M130&gt;0,ROUND((M130*AE132)/AE130,IF(N130=0,2,IF(N130=0.1,1,0))),IF(M131&gt;0,ROUND((M131*AE132)/AE131,IF(N130=0,2,IF(N130=0.1,1,0))),IF(M132&gt;0,M132,0)))),2),""))</f>
      </c>
      <c r="P132" t="s" s="163">
        <f>IF(I131="Lay",O131*(L131/(L131-1))-O131,IF(I130="Lay",O130*(L130/(L130-1))-O130,IF(OR(L132="",O132=""),"",IF($C132="1/2W",O132/2+O132/2*L132,IF($C132="1/2L",O132/2,(O132*L132-O132)*(1-_xlfn.XLOOKUP(K132,'Janeiro 2023 - Valor Real'!A3:A15,'Janeiro 2023 - Valor Real'!C3:C15,0))+O132)))))</f>
      </c>
      <c r="Q132" t="s" s="154"/>
      <c r="R132" t="s" s="163"/>
      <c r="S132" s="166"/>
      <c r="T132" s="155"/>
      <c r="U132" s="155"/>
      <c r="V132" s="166"/>
      <c r="W132" s="155"/>
      <c r="X132" s="167"/>
      <c r="Y132" s="128"/>
      <c r="Z132" s="129"/>
      <c r="AA132" s="129"/>
      <c r="AB132" s="129"/>
      <c r="AC132" s="129"/>
      <c r="AD132" s="168"/>
      <c r="AE132" t="s" s="169">
        <f>IF(L132="","",(SUM(((L130-1)*(1-_xlfn.XLOOKUP(K130,'Janeiro 2023 - Valor Real'!A3:A15,'Janeiro 2023 - Valor Real'!C3:C15,0))+1),((L131-1)*(1-_xlfn.XLOOKUP(K131,'Janeiro 2023 - Valor Real'!A3:A15,'Janeiro 2023 - Valor Real'!C3:C15,0))+1),((L132-1)*(1-_xlfn.XLOOKUP(K132,'Janeiro 2023 - Valor Real'!A3:A15,'Janeiro 2023 - Valor Real'!C3:C15,0))+1))/((L132-1)*(1-_xlfn.XLOOKUP(K132,'Janeiro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Real'!C3:C15,0))+1))/((L130-1)*(1-_xlfn.XLOOKUP(K130,'Janeiro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Real'!C3:C15,0))+1))/((L131-1)*(1-_xlfn.XLOOKUP(K131,'Janeiro 2023 - Valor Real'!A3:A15,'Janeiro 2023 - Valor Real'!C3:C15,0))+1)+SUM(((L130-1)*(1-_xlfn.XLOOKUP(K130,'Janeiro 2023 - Valor Real'!A3:A15,'Janeiro 2023 - Valor Real'!C3:C15,0))+1),((L131-1)*(1-_xlfn.XLOOKUP(K131,'Janeiro 2023 - Valor Real'!A3:A15,'Janeiro 2023 - Valor Real'!C3:C15,0))+1),((L132-1)*(1-_xlfn.XLOOKUP(K132,'Janeiro 2023 - Valor Real'!A3:A15,'Janeiro 2023 - Valor Real'!C3:C15,0))+1))/((L132-1)*(1-_xlfn.XLOOKUP(K132,'Janeiro 2023 - Valor Real'!A3:A15,'Janeiro 2023 - Valor Real'!C3:C15,0))+1)))</f>
      </c>
      <c r="AF132" s="132">
        <f>IF($K132=AF$3,ROUND(IF(OR($C132="W",$C132="1/2W",$C132="1/2L"),$P132-$O132,IF($C132="X",0,-$O132)),2),0)</f>
        <v>0</v>
      </c>
      <c r="AG132" s="133">
        <f>IF($K132=AG$3,ROUND(IF(OR($C132="W",$C132="1/2W",$C132="1/2L"),$P132-$O132,IF($C132="X",0,-$O132)),2),0)</f>
        <v>0</v>
      </c>
      <c r="AH132" s="133">
        <f>IF($K132=AH$3,ROUND(IF(OR($C132="W",$C132="1/2W",$C132="1/2L"),$P132-$O132,IF($C132="X",0,-$O132)),2),0)</f>
        <v>0</v>
      </c>
      <c r="AI132" s="133">
        <f>IF($K132=AI$3,ROUND(IF(OR($C132="W",$C132="1/2W",$C132="1/2L"),$P132-$O132,IF($C132="X",0,-$O132)),2),0)</f>
        <v>0</v>
      </c>
      <c r="AJ132" s="133">
        <f>IF($K132=AJ$3,ROUND(IF(OR($C132="W",$C132="1/2W",$C132="1/2L"),$P132-$O132,IF($C132="X",0,-$O132)),2),0)</f>
        <v>0</v>
      </c>
      <c r="AK132" s="133">
        <f>IF($K132=AK$3,ROUND(IF(OR($C132="W",$C132="1/2W",$C132="1/2L"),$P132-$O132,IF($C132="X",0,-$O132)),2),0)</f>
        <v>0</v>
      </c>
      <c r="AL132" s="133">
        <f>IF($K132=AL$3,ROUND(IF(OR($C132="W",$C132="1/2W",$C132="1/2L"),$P132-$O132,IF($C132="X",0,-$O132)),2),0)</f>
        <v>0</v>
      </c>
      <c r="AM132" s="133">
        <f>IF($K132=AM$3,ROUND(IF(OR($C132="W",$C132="1/2W",$C132="1/2L"),$P132-$O132,IF($C132="X",0,-$O132)),2),0)</f>
        <v>0</v>
      </c>
      <c r="AN132" s="133">
        <f>IF($K132=AN$3,ROUND(IF(OR($C132="W",$C132="1/2W",$C132="1/2L"),$P132-$O132,IF($C132="X",0,-$O132)),2),0)</f>
        <v>0</v>
      </c>
      <c r="AO132" s="133">
        <f>IF($K132=AO$3,ROUND(IF(OR($C132="W",$C132="1/2W",$C132="1/2L"),$P132-$O132,IF($C132="X",0,-$O132)),2),0)</f>
        <v>0</v>
      </c>
      <c r="AP132" s="133">
        <f>IF($K132=AP$3,ROUND(IF(OR($C132="W",$C132="1/2W",$C132="1/2L"),$P132-$O132,IF($C132="X",0,-$O132)),2),0)</f>
        <v>0</v>
      </c>
      <c r="AQ132" s="133">
        <f>IF($K132=AQ$3,ROUND(IF(OR($C132="W",$C132="1/2W",$C132="1/2L"),$P132-$O132,IF($C132="X",0,-$O132)),2),0)</f>
        <v>0</v>
      </c>
      <c r="AR132" s="134">
        <f>IF($K132=AR$3,ROUND(IF(OR($C132="W",$C132="1/2W",$C132="1/2L"),$P132-$O132,IF($C132="X",0,-$O132)),2),0)</f>
        <v>0</v>
      </c>
      <c r="AS132" s="132">
        <f>IF(AND($B130=" ",$K132=AS$3),$O132,0)</f>
        <v>0</v>
      </c>
      <c r="AT132" s="133">
        <f>IF(AND($B130=" ",K132=AT$3),$O132,0)</f>
        <v>0</v>
      </c>
      <c r="AU132" s="133">
        <f>IF(AND($B130=" ",$K132=AU$3),$O132,0)</f>
        <v>0</v>
      </c>
      <c r="AV132" s="133">
        <f>IF(AND($B130=" ",$K132=AV$3),$O132,0)</f>
        <v>0</v>
      </c>
      <c r="AW132" s="133">
        <f>IF(AND($B130=" ",$K132=AW$3),$O132,0)</f>
        <v>0</v>
      </c>
      <c r="AX132" s="133">
        <f>IF(AND($B130=" ",$K132=AX$3),$O132,0)</f>
        <v>0</v>
      </c>
      <c r="AY132" s="135">
        <f>IF(AND($B130=" ",$K132=AY$3),$O132,0)</f>
        <v>0</v>
      </c>
      <c r="AZ132" s="136">
        <f>IF(AND($B130=" ",$K132=AZ$3),$O132,0)</f>
        <v>0</v>
      </c>
      <c r="BA132" s="136">
        <f>IF(AND($B130=" ",$K132=BA$3),$O132,0)</f>
        <v>0</v>
      </c>
      <c r="BB132" s="136">
        <f>IF(AND($B130=" ",$K132=BB$3),$O132,0)</f>
        <v>0</v>
      </c>
      <c r="BC132" s="137">
        <f>IF(AND($B130=" ",$K132=BC$3),$O132,0)</f>
        <v>0</v>
      </c>
      <c r="BD132" s="133">
        <f>IF(AND($B130=" ",$K132=BD$3),$O132,0)</f>
        <v>0</v>
      </c>
      <c r="BE132" s="134">
        <f>IF(AND($B130=" ",$K132=BE$3),$O132,0)</f>
        <v>0</v>
      </c>
      <c r="BF132" s="132">
        <f>IF($K132=BF$3,IF($C132="X",0,$O132),0)</f>
        <v>0</v>
      </c>
      <c r="BG132" s="281">
        <f>IF($K132=BG$3,IF($C132="X",0,$O132),0)</f>
        <v>0</v>
      </c>
      <c r="BH132" s="133">
        <f>IF($K132=BH$3,IF($C132="X",0,$O132),0)</f>
        <v>0</v>
      </c>
      <c r="BI132" s="133">
        <f>IF($K132=BI$3,IF($C132="X",0,$O132),0)</f>
        <v>0</v>
      </c>
      <c r="BJ132" s="133">
        <f>IF($K132=BJ$3,IF($C132="X",0,$O132),0)</f>
        <v>0</v>
      </c>
      <c r="BK132" s="133">
        <f>IF($K132=BK$3,IF($C132="X",0,$O132),0)</f>
        <v>0</v>
      </c>
      <c r="BL132" s="133">
        <f>IF($K132=BL$3,IF($C132="X",0,$O132),0)</f>
        <v>0</v>
      </c>
      <c r="BM132" s="135">
        <f>IF($K132=BM$3,IF($C132="X",0,$O132),0)</f>
        <v>0</v>
      </c>
      <c r="BN132" s="136">
        <f>IF($K132=BN$3,IF($C132="X",0,$O132),0)</f>
        <v>0</v>
      </c>
      <c r="BO132" s="136">
        <f>IF($K132=BO$3,IF($C132="X",0,$O132),0)</f>
        <v>0</v>
      </c>
      <c r="BP132" s="136">
        <f>IF($K132=BP$3,IF($C132="X",0,$O132),0)</f>
        <v>0</v>
      </c>
      <c r="BQ132" s="137">
        <f>IF($K132=BQ$3,IF($C132="X",0,$O132),0)</f>
        <v>0</v>
      </c>
      <c r="BR132" s="134">
        <f>IF($K132=BR$3,IF($C132="X",0,$O132),0)</f>
        <v>0</v>
      </c>
      <c r="BS132" s="282"/>
      <c r="BT132" s="283"/>
      <c r="BU132" s="140"/>
      <c r="BV132" s="283"/>
      <c r="BW132" s="140"/>
      <c r="BX132" s="140"/>
      <c r="BY132" s="140"/>
      <c r="BZ132" s="283"/>
      <c r="CA132" s="140"/>
      <c r="CB132" s="140"/>
      <c r="CC132" s="140"/>
      <c r="CD132" s="141"/>
      <c r="CE132" s="142"/>
      <c r="CF132" s="284">
        <f>IF(CF$3=$K132,IF($C132="W",1,IF($C132="1/2W",0.5,0)),0)</f>
        <v>0</v>
      </c>
      <c r="CG132" s="285">
        <f>IF(CF$3=$K132,IF($C132="L",1,IF($C132="1/2L",0.5,0)),0)</f>
        <v>0</v>
      </c>
      <c r="CH132" s="285">
        <f>IF(CH$3=$K132,IF($C132="W",1,IF($C132="1/2W",0.5,0)),0)</f>
        <v>0</v>
      </c>
      <c r="CI132" s="285">
        <f>IF(CH$3=$K132,IF($C132="L",1,IF($C132="1/2L",0.5,0)),0)</f>
        <v>0</v>
      </c>
      <c r="CJ132" s="285">
        <f>IF(CJ$3=$K132,IF($C132="W",1,IF($C132="1/2W",0.5,0)),0)</f>
        <v>0</v>
      </c>
      <c r="CK132" s="285">
        <f>IF(CJ$3=$K132,IF($C132="L",1,IF($C132="1/2L",0.5,0)),0)</f>
        <v>0</v>
      </c>
      <c r="CL132" s="285">
        <f>IF(CL$3=$K132,IF($C132="W",1,IF($C132="1/2W",0.5,0)),0)</f>
        <v>0</v>
      </c>
      <c r="CM132" s="285">
        <f>IF(CL$3=$K132,IF($C132="L",1,IF($C132="1/2L",0.5,0)),0)</f>
        <v>0</v>
      </c>
      <c r="CN132" s="285">
        <f>IF(CN$3=$K132,IF($C132="W",1,IF($C132="1/2W",0.5,0)),0)</f>
        <v>0</v>
      </c>
      <c r="CO132" s="285">
        <f>IF(CN$3=$K132,IF($C132="L",1,IF($C132="1/2L",0.5,0)),0)</f>
        <v>0</v>
      </c>
      <c r="CP132" s="285">
        <f>IF(CP$3=$K132,IF($C132="W",1,IF($C132="1/2W",0.5,0)),0)</f>
        <v>0</v>
      </c>
      <c r="CQ132" s="285">
        <f>IF(CP$3=$K132,IF($C132="L",1,IF($C132="1/2L",0.5,0)),0)</f>
        <v>0</v>
      </c>
      <c r="CR132" s="285">
        <f>IF(CR$3=$K132,IF($C132="W",1,IF($C132="1/2W",0.5,0)),0)</f>
        <v>0</v>
      </c>
      <c r="CS132" s="285">
        <f>IF(CR$3=$K132,IF($C132="L",1,IF($C132="1/2L",0.5,0)),0)</f>
        <v>0</v>
      </c>
      <c r="CT132" s="145">
        <f>IF(CT$3=$K132,IF($C132="W",1,IF($C132="1/2W",0.5,0)),0)</f>
        <v>0</v>
      </c>
      <c r="CU132" s="146">
        <f>IF(CT$3=$K132,IF($C132="L",1,IF($C132="1/2L",0.5,0)),0)</f>
        <v>0</v>
      </c>
      <c r="CV132" s="146">
        <f>IF(CV$3=$K132,IF($C132="W",1,IF($C132="1/2W",0.5,0)),0)</f>
        <v>0</v>
      </c>
      <c r="CW132" s="146">
        <f>IF(CV$3=$K132,IF($C132="L",1,IF($C132="1/2L",0.5,0)),0)</f>
        <v>0</v>
      </c>
      <c r="CX132" s="146">
        <f>IF(CX$3=$K132,IF($C132="W",1,IF($C132="1/2W",0.5,0)),0)</f>
        <v>0</v>
      </c>
      <c r="CY132" s="146">
        <f>IF(CX$3=$K132,IF($C132="L",1,IF($C132="1/2L",0.5,0)),0)</f>
        <v>0</v>
      </c>
      <c r="CZ132" s="146">
        <f>IF(CZ$3=$K132,IF($C132="W",1,IF($C132="1/2W",0.5,0)),0)</f>
        <v>0</v>
      </c>
      <c r="DA132" s="146">
        <f>IF(CZ$3=$K132,IF($C132="L",1,IF($C132="1/2L",0.5,0)),0)</f>
        <v>0</v>
      </c>
      <c r="DB132" s="146">
        <f>IF(DB$3=$K132,IF($C132="W",1,IF($C132="1/2W",0.5,0)),0)</f>
        <v>0</v>
      </c>
      <c r="DC132" s="146">
        <f>IF(DB$3=$K132,IF($C132="L",1,IF($C132="1/2L",0.5,0)),0)</f>
        <v>0</v>
      </c>
      <c r="DD132" s="146">
        <f>IF(DD$3=$K132,IF($C132="W",1,IF($C132="1/2W",0.5,0)),0)</f>
        <v>0</v>
      </c>
      <c r="DE132" s="147">
        <f>IF(DD$3=$K132,IF($C132="L",1,IF($C132="1/2L",0.5,0)),0)</f>
        <v>0</v>
      </c>
      <c r="DF132" s="143">
        <f>IF(AND(L132&lt;DF$3,$C132="W"),1+DF131,DF131)</f>
        <v>7</v>
      </c>
      <c r="DG132" s="133">
        <f>IF(DF132&gt;DF131,L132+DG131,DG131)</f>
        <v>9.247999999999999</v>
      </c>
      <c r="DH132" s="146">
        <f>IF(AND(L132&gt;DH$3,$C132="W"),1+DH131,0+DH131)</f>
        <v>1</v>
      </c>
      <c r="DI132" s="133">
        <f>IF(DH132&gt;DH131,L132+DI131,DI131)</f>
        <v>4.33</v>
      </c>
      <c r="DJ132" t="s" s="304">
        <f>IF($D130="","",$D130)</f>
        <v>101</v>
      </c>
      <c r="DK132" s="286"/>
    </row>
    <row r="133" ht="14.55" customHeight="1">
      <c r="A133" s="171">
        <f>$A130+1</f>
        <v>44</v>
      </c>
      <c r="B133" t="s" s="172">
        <f>IF(AND(_xlfn.XLOOKUP(H133,H50:H$84,G50:G$84,0)=G133,_xlfn.XLOOKUP("TempoBet",K133:K135,L133:L135,0)&gt;0),"X",IF(OR(C133="W",C134="W",C135="W",C133="1/2W",C134="1/2W",C135="1/2W",C133="1/2L",C134="1/2L",C135="1/2L"),"OK",IF(OR(C133="L",C134="L",C135="L"),"LOSS",IF(OR(C133="X",C134="X",C135="X"),"Anulado"," "))))</f>
        <v>50</v>
      </c>
      <c r="C133" t="s" s="173">
        <v>56</v>
      </c>
      <c r="D133" t="s" s="305">
        <f>IF(G133="","",$D130)</f>
        <v>101</v>
      </c>
      <c r="E133" t="s" s="175">
        <f>IF(G133=""," ","– "&amp;COUNTIF(D$4:D135,$D133))</f>
        <v>166</v>
      </c>
      <c r="F133" t="s" s="176">
        <f>IF(G133="","",IF(OR(AND($C133&lt;&gt;" ",$C134=" "),AND($C134&lt;&gt;" ",$C133=" "),AND(L135&gt;0,OR(AND($C135&lt;&gt;" ",OR($C133=" ",$C134=" ")),AND($C135=" ",OR($C133&lt;&gt;" ",$C134&lt;&gt;" "))))),IF(SUM(F$4:F132)=0,1,LARGE(F$4:F132,1)+1),IF(MONTH(G133)=MONTH(TODAY()),IF(AND(DAY(G133)&lt;DAY(TODAY()),$B133=" "),IF(SUM(F$4:F132)=0,1,LARGE(F$4:F132,1)+1),IF($B133=" ",IF(AND(DAY(G133)=DAY(TODAY()),HOUR(G133)&lt;=HOUR(NOW())+1),IF(AND(HOUR(G133)+2&lt;=HOUR(NOW()),DAY(G133)&lt;=DAY(TODAY()),MINUTE(G133)&lt;=MINUTE(NOW())),IF(SUM(F$4:F132)=0,1,LARGE(F$4:F132,1)+1),IF(OR(MINUTE(G133)&lt;=MINUTE(NOW()),HOUR(G133)&lt;=HOUR(NOW())),"!!!","")),""),"")),"")))</f>
      </c>
      <c r="G133" s="177">
        <v>44944.25</v>
      </c>
      <c r="H133" t="s" s="178">
        <v>167</v>
      </c>
      <c r="I133" t="s" s="179">
        <v>65</v>
      </c>
      <c r="J133" s="291">
        <v>3.5</v>
      </c>
      <c r="K133" t="s" s="181">
        <v>38</v>
      </c>
      <c r="L133" s="182">
        <v>1.55</v>
      </c>
      <c r="M133" s="183">
        <v>13.9</v>
      </c>
      <c r="N133" s="184">
        <v>0</v>
      </c>
      <c r="O133" s="185">
        <f>IF(OR(AE133="",AE134=""),"",ROUND(IF(L135&gt;0,IF(M133&gt;0,M133,IF(M134&gt;0,ROUND((M134*AE133)/AE134,IF(N133=0,2,IF(N133=0.1,1,0))),ROUND((M135*AE133)/AE135,IF(N133=0,2,IF(N133=0.1,1,0))))),IF(M133&gt;0,M133,ROUND((M134*AE133)/AE134,IF(N133=0,2,IF(N133=0.1,1,0))))),2))</f>
        <v>13.9</v>
      </c>
      <c r="P133" s="186">
        <f>IF(OR(L133="",O133=""),"",IF($C133="1/2W",O133/2+O133/2*L133,IF($C133="1/2L",O133/2,IF(I133="Lay",(O133*(L133/(L133-1))-O133)*(1-_xlfn.XLOOKUP(K133,'Janeiro 2023 - Valor Real'!A3:A15,'Janeiro 2023 - Valor Real'!C3:C15,0))+O133,(O133*L133-O133)*(1-_xlfn.XLOOKUP(K133,'Janeiro 2023 - Valor Real'!A3:A15,'Janeiro 2023 - Valor Real'!C3:C15,0))+O133))))</f>
        <v>21.545</v>
      </c>
      <c r="Q133" s="187">
        <f>IF(K133="","",IF(_xlfn.XLOOKUP(K133,K50:K$84,DJ50:DJ$84,0,,-1)=DJ133,_xlfn.XLOOKUP(K133,K50:K$84,Q50:Q$84,1,,-1)+1,1))</f>
        <v>5</v>
      </c>
      <c r="R133" s="188">
        <f>IF(K133="","",_xlfn.XLOOKUP(K133,K50:K$84,R50:R$84,0,,-1)+IF($C133=" ",1,0))</f>
        <v>0</v>
      </c>
      <c r="S133" s="189">
        <f>IF($B133="Anulado",0,ROUND(IF(OR($B133="LOSS",$B133="OK"),IF(OR($C133="W",$C133="1/2W",$C133="1/2L"),P133-O133,IF($C133="L",-O133,0))+IF(OR($C134="W",$C134="1/2W",$C134="1/2L"),P134-O134,IF($C134="L",-O134,0))+IF(OR($C135="W",$C135="1/2W",$C135="1/2L"),P135-O135,IF($C135="L",-O135,0)),IF(AND(OR($C133="W",$C133="1/2W",$C133="1/2L"),C134="W"),P133+P134-SUM(O133:O135)+_xlfn.XLOOKUP("X",C133:C135,O133:O135,0),IF(AND(C133=TRUE,C135="W"),P133+P135-SUM(O133:O135),IF(AND(C134="W",C135="W"),P134+P135-SUM(O133:O135)+_xlfn.XLOOKUP("X",C133:C135,O133:O135,0),IF(L135&gt;0,IF(OR($C133="W",$C133="1/2W",$C133="1/2L"),P133-SUM(O133:O135)+_xlfn.XLOOKUP("X",C133:C135,O133:O135,0),IF(OR($C133="W",$C133="1/2W",$C133="1/2L"),P134-SUM(O133:O135)+_xlfn.XLOOKUP("X",C133:C135,O133:O135,0),IF(OR($C133="W",$C133="1/2W",$C133="1/2L"),P135-SUM(O133:O135)+_xlfn.XLOOKUP("X",C133:C135,O133:O135,0),IF(SUM(P133:P135)/3-SUM(O133:O135)+_xlfn.XLOOKUP("X",C133:C135,O133:O135,0)&gt;0,SUM(P133:P135)/3-SUM(O133:O135)+_xlfn.XLOOKUP("X",C133:C135,O133:O135,0),LARGE(P133:P135,1)-SUM(O133:O135))))),IF(OR($C133="W",$C133="1/2W",$C133="1/2L"),P133-SUM(O133:O134)+_xlfn.XLOOKUP("X",C133:C135,O133:O135,0),IF(OR($C133="W",$C133="1/2W",$C133="1/2L"),P134-SUM(O133:O134)+_xlfn.XLOOKUP("X",C133:C135,O133:O135,0),SUM(P133:P134)/2-SUM(O133:O134)+_xlfn.XLOOKUP("X",C133:C135,O133:O135,0)))))))),2))</f>
        <v>3.1</v>
      </c>
      <c r="T133" s="190">
        <f>IF(S133=0,0,S133/SUM(O133:O135))</f>
        <v>0.168021680216802</v>
      </c>
      <c r="U133" s="191">
        <f>IF($D133=$D130,IF(OR($B133="LOSS",$B133="OK",$B133="Anulada"),S133,0)+U130,IF(OR($B133="LOSS",$B133="OK",$B133="Anulada"),S133,0))</f>
        <v>37.65</v>
      </c>
      <c r="V133" s="191">
        <f>IF($D133="",0,IF($D133=$D130,IF($B133=" ",IF(I135="",IF(OR(AND(I133="DNB1",I134="DNB2"),AND(OR(I133="DNB1",I133="DNB2"),J134=0),AND(OR(I134="DNB1",I134="DNB2"),J133=0),AND(I133="DNB2",I134="DNB1"),AND(IF(J133=0,(J133+1)/ROUND(J133+1,0),J133/ROUND(J133,0))=1,IF(J134=0,(J134+1)/ROUND(IF(J134="",0,J134)+1,0),IF(J134="",0,J134)/ROUND(IF(J134="",1,J134),0))=1,OR(J133&lt;&gt;""),J134&lt;&gt;"")),0,IF(S133&lt;0,IF(I135="",SMALL(P133:P134,1)-SUM(O133:O134),0),SMALL(P133:P134,1)-SUM(O133:O134))),IF(S133&lt;0,IF(I135="",SMALL(P133:P135,1)-SUM(O133:O135),0),LARGE(P133:P135,1)-SUM(O133:O135))),S133)+V130,IF(I135="",IF(OR(AND(I133="DNB1",I134="DNB2"),AND(OR(I133="DNB1",I133="DNB2"),J134=0),AND(OR(I134="DNB1",I134="DNB2"),J133=0),AND(I133="DNB2",I134="DNB1"),AND(IF(J133=0,(J133+1)/ROUND(J133+1,0),J133/ROUND(J133,0))=1,IF(J134=0,(IF(J134="",0,J134)+1)/ROUND(IF(J134="",0,J134)+1,0),IF(J134="",0,J134)/ROUND(IF(J134="",0,J134)+1,0))=1,OR(J133&lt;&gt;""),J134&lt;&gt;"")),0,IF(S133&lt;0,IF(I135="",SMALL(P133:P134,1)-SUM(O133:O134),0),SMALL(P133:P135,1)-SUM(O133:O135))),IF(S133&lt;0,IF(I135="",SMALL(P133:P135,1)-SUM(O133:O135),0),LARGE(P133:P135,1)-SUM(O133:O135)))))</f>
        <v>37.652</v>
      </c>
      <c r="W133" s="191">
        <f>IF($D133=$D130,IF(S133&lt;0,IF(I135="",S133,0),S133)+W130,S133)</f>
        <v>37.65</v>
      </c>
      <c r="X133" t="s" s="192">
        <f>IF(OR(SUM(R133:R135)=0,V133=W133),ROUND(IF(W133=0,0,W133/Y133)*100,2)&amp;"%",ROUND(IF(V133=0,0,V133/Y133)*100,2)&amp;"% a "&amp;ROUND(IF(W133=0,0,W133/Y133)*100,2)&amp;"%")</f>
        <v>168</v>
      </c>
      <c r="Y133" s="193">
        <f>IF($D133=$D130,Y130+SUM(O133:O135),SUM(O133:O135))</f>
        <v>951.01</v>
      </c>
      <c r="Z133" s="191">
        <f>IF($B133=" ",SUM(O133:O135),0)+Z130</f>
        <v>0</v>
      </c>
      <c r="AA133" s="191">
        <f>IF(G133="","",IF($B133="Anulado",LARGE(P133:P135,1)-SUM(O133:O135)+AA130,AA130))</f>
        <v>14.1564</v>
      </c>
      <c r="AB133" s="191">
        <f>IF($D133="","",AB130+S133)</f>
        <v>115.75</v>
      </c>
      <c r="AC133" s="194">
        <f>IF($D133="","",IF($B133=" ",IF(DAY(G133)=DAY(TODAY()),1+AC130,0+AC130),0+AC130))</f>
        <v>0</v>
      </c>
      <c r="AD133" s="195">
        <f>(((L134/(L134-1)-1)*(1-_xlfn.XLOOKUP(K134,'Janeiro 2023 - Valor Real'!A3:A15,'Janeiro 2023 - Valor Real'!C3:C15,0))+1))/(((L133-1)*(1-_xlfn.XLOOKUP(K133,'Janeiro 2023 - Valor Real'!A3:A15,'Janeiro 2023 - Valor Real'!C3:C15,0))+1)+((L134/(L134-1)-1)*(1-_xlfn.XLOOKUP(K134,'Janeiro 2023 - Valor Real'!A3:A15,'Janeiro 2023 - Valor Real'!C3:C15,0))+1))</f>
        <v>0.753577106518283</v>
      </c>
      <c r="AE133" s="196">
        <f>IF(L133="","",IF(L135&gt;0,(SUM(((L133-1)*(1-_xlfn.XLOOKUP(K133,'Janeiro 2023 - Valor Real'!A3:A15,'Janeiro 2023 - Valor Real'!C3:C15,0))+1),((L134-1)*(1-_xlfn.XLOOKUP(K134,'Janeiro 2023 - Valor Real'!A3:A15,'Janeiro 2023 - Valor Real'!C3:C15,0))+1),((L135-1)*(1-_xlfn.XLOOKUP(K135,'Janeiro 2023 - Valor Real'!A3:A15,'Janeiro 2023 - Valor Real'!C3:C15,0))+1))/((L133-1)*(1-_xlfn.XLOOKUP(K133,'Janeiro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Real'!C3:C15,0))+1))/((L133-1)*(1-_xlfn.XLOOKUP(K133,'Janeiro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Real'!C3:C15,0))+1))/((L134-1)*(1-_xlfn.XLOOKUP(K134,'Janeiro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Real'!C3:C15,0))+1))/((L135-1)*(1-_xlfn.XLOOKUP(K135,'Janeiro 2023 - Valor Real'!A3:A15,'Janeiro 2023 - Valor Real'!C3:C15,0))+1)),IF(I133="Lay",IF(I134="Lay",((L134/(L134-1)-1)*(1-_xlfn.XLOOKUP(K134,'Janeiro 2023 - Valor Real'!A3:A15,'Janeiro 2023 - Valor Real'!C3:C15,0))+1)/(((L134/(L134-1)-1)*(1-_xlfn.XLOOKUP(K134,'Janeiro 2023 - Valor Real'!A3:A15,'Janeiro 2023 - Valor Real'!C3:C15,0))+1)+((L133/(L133-1)-1)*(1-_xlfn.XLOOKUP(K133,'Janeiro 2023 - Valor Real'!A3:A15,'Janeiro 2023 - Valor Real'!C3:C15,0))+1)),((L134-1)*(1-_xlfn.XLOOKUP(K134,'Janeiro 2023 - Valor Real'!A3:A15,'Janeiro 2023 - Valor Real'!C3:C15,0))+1)/(((L134-1)*(1-_xlfn.XLOOKUP(K134,'Janeiro 2023 - Valor Real'!A3:A15,'Janeiro 2023 - Valor Real'!C3:C15,0))+1)+((L133/(L133-1)-1)*(1-_xlfn.XLOOKUP(K133,'Janeiro 2023 - Valor Real'!A3:A15,'Janeiro 2023 - Valor Real'!C3:C15,0))+1))),IF(I134="Lay",(((L134/(L134-1)-1)*(1-_xlfn.XLOOKUP(K134,'Janeiro 2023 - Valor Real'!A3:A15,'Janeiro 2023 - Valor Real'!C3:C15,0))+1))/(((L133-1)*(1-_xlfn.XLOOKUP(K133,'Janeiro 2023 - Valor Real'!A3:A15,'Janeiro 2023 - Valor Real'!C3:C15,0))+1)+((L134/(L134-1)-1)*(1-_xlfn.XLOOKUP(K134,'Janeiro 2023 - Valor Real'!A3:A15,'Janeiro 2023 - Valor Real'!C3:C15,0))+1)),((L134-1)*(1-_xlfn.XLOOKUP(K134,'Janeiro 2023 - Valor Real'!A3:A15,'Janeiro 2023 - Valor Real'!C3:C15,0))+1)/(((L134-1)*(1-_xlfn.XLOOKUP(K134,'Janeiro 2023 - Valor Real'!A3:A15,'Janeiro 2023 - Valor Real'!C3:C15,0))+1)+((L133-1)*(1-_xlfn.XLOOKUP(K133,'Janeiro 2023 - Valor Real'!A3:A15,'Janeiro 2023 - Valor Real'!C3:C15,0))+1))))))</f>
        <v>0.753577106518283</v>
      </c>
      <c r="AF133" s="197">
        <f>IF($K133=AF$3,ROUND(IF(OR($C133="W",$C133="1/2W",$C133="1/2L"),$P133-$O133,IF($C133="X",0,-$O133)),2),0)</f>
        <v>0</v>
      </c>
      <c r="AG133" s="198">
        <f>IF($K133=AG$3,ROUND(IF(OR($C133="W",$C133="1/2W",$C133="1/2L"),$P133-$O133,IF($C133="X",0,-$O133)),2),0)</f>
        <v>7.65</v>
      </c>
      <c r="AH133" s="198">
        <f>IF($K133=AH$3,ROUND(IF(OR($C133="W",$C133="1/2W",$C133="1/2L"),$P133-$O133,IF($C133="X",0,-$O133)),2),0)</f>
        <v>0</v>
      </c>
      <c r="AI133" s="198">
        <f>IF($K133=AI$3,ROUND(IF(OR($C133="W",$C133="1/2W",$C133="1/2L"),$P133-$O133,IF($C133="X",0,-$O133)),2),0)</f>
        <v>0</v>
      </c>
      <c r="AJ133" s="198">
        <f>IF($K133=AJ$3,ROUND(IF(OR($C133="W",$C133="1/2W",$C133="1/2L"),$P133-$O133,IF($C133="X",0,-$O133)),2),0)</f>
        <v>0</v>
      </c>
      <c r="AK133" s="198">
        <f>IF($K133=AK$3,ROUND(IF(OR($C133="W",$C133="1/2W",$C133="1/2L"),$P133-$O133,IF($C133="X",0,-$O133)),2),0)</f>
        <v>0</v>
      </c>
      <c r="AL133" s="198">
        <f>IF($K133=AL$3,ROUND(IF(OR($C133="W",$C133="1/2W",$C133="1/2L"),$P133-$O133,IF($C133="X",0,-$O133)),2),0)</f>
        <v>0</v>
      </c>
      <c r="AM133" s="198">
        <f>IF($K133=AM$3,ROUND(IF(OR($C133="W",$C133="1/2W",$C133="1/2L"),$P133-$O133,IF($C133="X",0,-$O133)),2),0)</f>
        <v>0</v>
      </c>
      <c r="AN133" s="198">
        <f>IF($K133=AN$3,ROUND(IF(OR($C133="W",$C133="1/2W",$C133="1/2L"),$P133-$O133,IF($C133="X",0,-$O133)),2),0)</f>
        <v>0</v>
      </c>
      <c r="AO133" s="198">
        <f>IF($K133=AO$3,ROUND(IF(OR($C133="W",$C133="1/2W",$C133="1/2L"),$P133-$O133,IF($C133="X",0,-$O133)),2),0)</f>
        <v>0</v>
      </c>
      <c r="AP133" s="198">
        <f>IF($K133=AP$3,ROUND(IF(OR($C133="W",$C133="1/2W",$C133="1/2L"),$P133-$O133,IF($C133="X",0,-$O133)),2),0)</f>
        <v>0</v>
      </c>
      <c r="AQ133" s="198">
        <f>IF($K133=AQ$3,ROUND(IF(OR($C133="W",$C133="1/2W",$C133="1/2L"),$P133-$O133,IF($C133="X",0,-$O133)),2),0)</f>
        <v>0</v>
      </c>
      <c r="AR133" s="199">
        <f>IF($K133=AR$3,ROUND(IF(OR($C133="W",$C133="1/2W",$C133="1/2L"),$P133-$O133,IF($C133="X",0,-$O133)),2),0)</f>
        <v>0</v>
      </c>
      <c r="AS133" s="197">
        <f>IF(AND($B133=" ",$K133=AS$3),$O133,0)</f>
        <v>0</v>
      </c>
      <c r="AT133" s="198">
        <f>IF(AND($B133=" ",$K133=AT$3),$O133,0)</f>
        <v>0</v>
      </c>
      <c r="AU133" s="198">
        <f>IF(AND($B133=" ",$K133=AU$3),$O133,0)</f>
        <v>0</v>
      </c>
      <c r="AV133" s="198">
        <f>IF(AND($B133=" ",$K133=AV$3),$O133,0)</f>
        <v>0</v>
      </c>
      <c r="AW133" s="198">
        <f>IF(AND($B133=" ",$K133=AW$3),$O133,0)</f>
        <v>0</v>
      </c>
      <c r="AX133" s="198">
        <f>IF(AND($B133=" ",$K133=AX$3),$O133,0)</f>
        <v>0</v>
      </c>
      <c r="AY133" s="200">
        <f>IF(AND($B133=" ",$K133=AY$3),$O133,0)</f>
        <v>0</v>
      </c>
      <c r="AZ133" s="201">
        <f>IF(AND($B133=" ",$K133=AZ$3),$O133,0)</f>
        <v>0</v>
      </c>
      <c r="BA133" s="201">
        <f>IF(AND($B133=" ",$K133=BA$3),$O133,0)</f>
        <v>0</v>
      </c>
      <c r="BB133" s="201">
        <f>IF(AND($B133=" ",$K133=BB$3),$O133,0)</f>
        <v>0</v>
      </c>
      <c r="BC133" s="202">
        <f>IF(AND($B133=" ",$K133=BC$3),$O133,0)</f>
        <v>0</v>
      </c>
      <c r="BD133" s="198">
        <f>IF(AND($B133=" ",$K133=BD$3),$O133,0)</f>
        <v>0</v>
      </c>
      <c r="BE133" s="199">
        <f>IF(AND($B133=" ",$K133=BE$3),$O133,0)</f>
        <v>0</v>
      </c>
      <c r="BF133" s="203">
        <f>IF($K133=BF$3,IF($C133="X",0,$O133),0)</f>
        <v>0</v>
      </c>
      <c r="BG133" s="198">
        <f>IF($K133=BG$3,IF($C133="X",0,$O133),0)</f>
        <v>13.9</v>
      </c>
      <c r="BH133" s="198">
        <f>IF($K133=BH$3,IF($C133="X",0,$O133),0)</f>
        <v>0</v>
      </c>
      <c r="BI133" s="198">
        <f>IF($K133=BI$3,IF($C133="X",0,$O133),0)</f>
        <v>0</v>
      </c>
      <c r="BJ133" s="198">
        <f>IF($K133=BJ$3,IF($C133="X",0,$O133),0)</f>
        <v>0</v>
      </c>
      <c r="BK133" s="198">
        <f>IF($K133=BK$3,IF($C133="X",0,$O133),0)</f>
        <v>0</v>
      </c>
      <c r="BL133" s="198">
        <f>IF($K133=BL$3,IF($C133="X",0,$O133),0)</f>
        <v>0</v>
      </c>
      <c r="BM133" s="200">
        <f>IF($K133=BM$3,IF($C133="X",0,$O133),0)</f>
        <v>0</v>
      </c>
      <c r="BN133" s="201">
        <f>IF($K133=BN$3,IF($C133="X",0,$O133),0)</f>
        <v>0</v>
      </c>
      <c r="BO133" s="201">
        <f>IF($K133=BO$3,IF($C133="X",0,$O133),0)</f>
        <v>0</v>
      </c>
      <c r="BP133" s="201">
        <f>IF($K133=BP$3,IF($C133="X",0,$O133),0)</f>
        <v>0</v>
      </c>
      <c r="BQ133" s="202">
        <f>IF($K133=BQ$3,IF($C133="X",0,$O133),0)</f>
        <v>0</v>
      </c>
      <c r="BR133" s="199">
        <f>IF($K133=BR$3,IF($C133="X",0,$O133),0)</f>
        <v>0</v>
      </c>
      <c r="BS133" s="204">
        <f>IF($B133="LOSS",IF(AND($K133=BS$3,$C133="L"),-$O133,0)+IF(AND($K134=BS$3,$C134="L"),-$O134,0)+IF(AND($K135=BS$3,$C135="L"),-$O135,0),IF(OR(AND($K133=BS$3,OR($C133="W",$C133="1/2W")),AND($K134=BS$3,OR($C134="W",$C134="1/2W")),AND($K135=BS$3,OR($C135="W",$C135="1/2W"))),$S133,0))</f>
        <v>0</v>
      </c>
      <c r="BT133" s="201">
        <f>IF($B133="LOSS",IF(AND($K133=BT$3,$C133="L"),-$O133,0)+IF(AND($K134=BT$3,$C134="L"),-$O134,0)+IF(AND($K134=BT$3,$C135="L"),-$O135,0),IF(OR(AND($K134=BT$3,OR($C133="W",$C133="1/2W")),AND($K134=BT$3,OR($C134="W",$C134="1/2W")),AND($K134=BT$3,OR($C135="W",$C135="1/2W"))),$S133,0))</f>
        <v>0</v>
      </c>
      <c r="BU133" s="201">
        <f>IF($B133="LOSS",IF(AND($K133=BU$3,$C133="L"),-$O133,0)+IF(AND($K134=BU$3,$C134="L"),-$O134,0)+IF(AND($K134=BU$3,$C135="L"),-$O135,0),IF(OR(AND($K134=BU$3,OR($C133="W",$C133="1/2W")),AND($K134=BU$3,OR($C134="W",$C134="1/2W")),AND($K134=BU$3,OR($C135="W",$C135="1/2W"))),$S133,0))</f>
        <v>3.1</v>
      </c>
      <c r="BV133" s="201">
        <f>IF($B133="LOSS",IF(AND($K133=BV$3,$C133="L"),-$O133,0)+IF(AND($K134=BV$3,$C134="L"),-$O134,0)+IF(AND($K135=BV$3,$C135="L"),-$O135,0),IF(OR(AND($K133=BV$3,OR($C133="W",$C133="1/2W")),AND($K134=BV$3,OR($C134="W",$C134="1/2W")),AND($K135=BV$3,OR($C135="W",$C135="1/2W"))),$S133,0))</f>
        <v>0</v>
      </c>
      <c r="BW133" s="201">
        <f>IF($B133="LOSS",IF(AND($K133=BW$3,$C133="L"),-$O133,0)+IF(AND($K134=BW$3,$C134="L"),-$O134,0)+IF(AND($K135=BW$3,$C135="L"),-$O135,0),IF(OR(AND($K133=BW$3,OR($C133="W",$C133="1/2W")),AND($K134=BW$3,OR($C134="W",$C134="1/2W")),AND($K135=BW$3,OR($C135="W",$C135="1/2W"))),$S133,0))</f>
        <v>0</v>
      </c>
      <c r="BX133" s="201">
        <f>IF($B133="LOSS",IF(AND($K133=BX$3,$C133="L"),-$O133,0)+IF(AND($K134=BX$3,$C134="L"),-$O134,0)+IF(AND($K135=BX$3,$C135="L"),-$O135,0),IF(OR(AND($K133=BX$3,OR($C133="W",$C133="1/2W")),AND($K134=BX$3,OR($C134="W",$C134="1/2W")),AND($K135=BX$3,OR($C135="W",$C135="1/2W"))),$S133,0))</f>
        <v>0</v>
      </c>
      <c r="BY133" s="201">
        <f>IF($B133="LOSS",IF(AND($K133=BY$3,$C133="L"),-$O133,0)+IF(AND($K134=BY$3,$C134="L"),-$O134,0)+IF(AND($K135=BY$3,$C135="L"),-$O135,0),IF(OR(AND($K133=BY$3,OR($C133="W",$C133="1/2W")),AND($K134=BY$3,OR($C134="W",$C134="1/2W")),AND($K135=BY$3,OR($C135="W",$C135="1/2W"))),$S133,0))</f>
        <v>0</v>
      </c>
      <c r="BZ133" s="205">
        <f>IF($B133="LOSS",IF(AND($K133=BZ$3,$C133="L"),-$O133,0)+IF(AND($K134=BZ$3,$C134="L"),-$O134,0)+IF(AND($K135=BZ$3,$C135="L"),-$O135,0),IF(OR(AND($K133=BZ$3,OR($C133="W",$C133="1/2W")),AND($K134=BZ$3,OR($C134="W",$C134="1/2W")),AND($K135=BZ$3,OR($C135="W",$C135="1/2W"))),$S133,0))</f>
        <v>0</v>
      </c>
      <c r="CA133" s="205">
        <f>IF($B133="LOSS",IF(AND($K133=CA$3,$C133="L"),-$O133,0)+IF(AND($K134=CA$3,$C134="L"),-$O134,0)+IF(AND($K135=CA$3,$C135="L"),-$O135,0),IF(OR(AND($K133=CA$3,OR($C133="W",$C133="1/2W")),AND($K134=CA$3,OR($C134="W",$C134="1/2W")),AND($K135=CA$3,OR($C135="W",$C135="1/2W"))),$S133,0))</f>
        <v>0</v>
      </c>
      <c r="CB133" s="205">
        <f>IF($B133="LOSS",IF(AND($K133=CB$3,$C133="L"),-$O133,0)+IF(AND($K134=CB$3,$C134="L"),-$O134,0)+IF(AND($K135=CB$3,$C135="L"),-$O135,0),IF(OR(AND($K133=CB$3,OR($C133="W",$C133="1/2W")),AND($K134=CB$3,OR($C134="W",$C134="1/2W")),AND($K135=CB$3,OR($C135="W",$C135="1/2W"))),$S133,0))</f>
        <v>0</v>
      </c>
      <c r="CC133" s="205">
        <f>IF($B133="LOSS",IF(AND($K133=CC$3,$C133="L"),-$O133,0)+IF(AND($K134=CC$3,$C134="L"),-$O134,0)+IF(AND($K135=CC$3,$C135="L"),-$O135,0),IF(OR(AND($K133=CC$3,OR($C133="W",$C133="1/2W")),AND($K134=CC$3,OR($C134="W",$C134="1/2W")),AND($K135=CC$3,OR($C135="W",$C135="1/2W"))),$S133,0))</f>
        <v>0</v>
      </c>
      <c r="CD133" s="202">
        <f>IF($B133="LOSS",IF(AND($K133=CD$3,$C133="L"),-$O133,0)+IF(AND($K134=CD$3,$C134="L"),-$O134,0)+IF(AND($K135=CD$3,$C135="L"),-$O135,0),IF(OR(AND($K133=CD$3,OR($C133="W",$C133="1/2W")),AND($K134=CD$3,OR($C134="W",$C134="1/2W")),AND($K135=CD$3,OR($C135="W",$C135="1/2W"))),$S133,0))</f>
        <v>0</v>
      </c>
      <c r="CE133" s="199">
        <f>IF($B133="LOSS",IF(AND($K133=CE$3,$C133="L"),-$O133,0)+IF(AND($K134=CE$3,$C134="L"),-$O134,0)+IF(AND($K135=CE$3,$C135="L"),-$O135,0),IF(OR(AND($K133=CE$3,OR($C133="W",$C133="1/2W")),AND($K134=CE$3,OR($C134="W",$C134="1/2W")),AND($K135=CE$3,OR($C135="W",$C135="1/2W"))),$S133,0))</f>
        <v>0</v>
      </c>
      <c r="CF133" s="206">
        <f>IF(CF$3=$K133,IF($C133="W",1,IF($C133="1/2W",0.5,0)),0)</f>
        <v>0</v>
      </c>
      <c r="CG133" s="207">
        <f>IF(CF$3=$K133,IF($C133="L",1,IF($C133="1/2L",0.5,0)),0)</f>
        <v>0</v>
      </c>
      <c r="CH133" s="207">
        <f>IF(CH$3=$K133,IF($C133="W",1,IF($C133="1/2W",0.5,0)),0)</f>
        <v>1</v>
      </c>
      <c r="CI133" s="207">
        <f>IF(CH$3=$K133,IF($C133="L",1,IF($C133="1/2L",0.5,0)),0)</f>
        <v>0</v>
      </c>
      <c r="CJ133" s="207">
        <f>IF(CJ$3=$K133,IF($C133="W",1,IF($C133="1/2W",0.5,0)),0)</f>
        <v>0</v>
      </c>
      <c r="CK133" s="207">
        <f>IF(CJ$3=$K133,IF($C133="L",1,IF($C133="1/2L",0.5,0)),0)</f>
        <v>0</v>
      </c>
      <c r="CL133" s="207">
        <f>IF(CL$3=$K133,IF($C133="W",1,IF($C133="1/2W",0.5,0)),0)</f>
        <v>0</v>
      </c>
      <c r="CM133" s="207">
        <f>IF(CL$3=$K133,IF($C133="L",1,IF($C133="1/2L",0.5,0)),0)</f>
        <v>0</v>
      </c>
      <c r="CN133" s="207">
        <f>IF(CN$3=$K133,IF($C133="W",1,IF($C133="1/2W",0.5,0)),0)</f>
        <v>0</v>
      </c>
      <c r="CO133" s="207">
        <f>IF(CN$3=$K133,IF($C133="L",1,IF($C133="1/2L",0.5,0)),0)</f>
        <v>0</v>
      </c>
      <c r="CP133" s="207">
        <f>IF(CP$3=$K133,IF($C133="W",1,IF($C133="1/2W",0.5,0)),0)</f>
        <v>0</v>
      </c>
      <c r="CQ133" s="207">
        <f>IF(CP$3=$K133,IF($C133="L",1,IF($C133="1/2L",0.5,0)),0)</f>
        <v>0</v>
      </c>
      <c r="CR133" s="207">
        <f>IF(CR$3=$K133,IF($C133="W",1,IF($C133="1/2W",0.5,0)),0)</f>
        <v>0</v>
      </c>
      <c r="CS133" s="207">
        <f>IF(CR$3=$K133,IF($C133="L",1,IF($C133="1/2L",0.5,0)),0)</f>
        <v>0</v>
      </c>
      <c r="CT133" s="208">
        <f>IF(CT$3=$K133,IF($C133="W",1,IF($C133="1/2W",0.5,0)),0)</f>
        <v>0</v>
      </c>
      <c r="CU133" s="209">
        <f>IF(CT$3=$K133,IF($C133="L",1,IF($C133="1/2L",0.5,0)),0)</f>
        <v>0</v>
      </c>
      <c r="CV133" s="209">
        <f>IF(CV$3=$K133,IF($C133="W",1,IF($C133="1/2W",0.5,0)),0)</f>
        <v>0</v>
      </c>
      <c r="CW133" s="209">
        <f>IF(CV$3=$K133,IF($C133="L",1,IF($C133="1/2L",0.5,0)),0)</f>
        <v>0</v>
      </c>
      <c r="CX133" s="209">
        <f>IF(CX$3=$K133,IF($C133="W",1,IF($C133="1/2W",0.5,0)),0)</f>
        <v>0</v>
      </c>
      <c r="CY133" s="209">
        <f>IF(CX$3=$K133,IF($C133="L",1,IF($C133="1/2L",0.5,0)),0)</f>
        <v>0</v>
      </c>
      <c r="CZ133" s="209">
        <f>IF(CZ$3=$K133,IF($C133="W",1,IF($C133="1/2W",0.5,0)),0)</f>
        <v>0</v>
      </c>
      <c r="DA133" s="209">
        <f>IF(CZ$3=$K133,IF($C133="L",1,IF($C133="1/2L",0.5,0)),0)</f>
        <v>0</v>
      </c>
      <c r="DB133" s="209">
        <f>IF(DB$3=$K133,IF($C133="W",1,IF($C133="1/2W",0.5,0)),0)</f>
        <v>0</v>
      </c>
      <c r="DC133" s="209">
        <f>IF(DB$3=$K133,IF($C133="L",1,IF($C133="1/2L",0.5,0)),0)</f>
        <v>0</v>
      </c>
      <c r="DD133" s="209">
        <f>IF(DD$3=$K133,IF($C133="W",1,IF($C133="1/2W",0.5,0)),0)</f>
        <v>0</v>
      </c>
      <c r="DE133" s="210">
        <f>IF(DD$3=$K133,IF($C133="L",1,IF($C133="1/2L",0.5,0)),0)</f>
        <v>0</v>
      </c>
      <c r="DF133" s="211">
        <f>IF(AND(L133&lt;DF$3,$C133="W"),1+DF132,DF132)</f>
        <v>7</v>
      </c>
      <c r="DG133" s="198">
        <f>IF(DF133&gt;DF132,L133+DG132,DG132)</f>
        <v>9.247999999999999</v>
      </c>
      <c r="DH133" s="209">
        <f>IF(AND(L133&gt;DH$3,$C133="W"),1+DH132,0+DH132)</f>
        <v>1</v>
      </c>
      <c r="DI133" s="198">
        <f>IF(DH133&gt;DH132,L133+DI132,DI132)</f>
        <v>4.33</v>
      </c>
      <c r="DJ133" t="s" s="306">
        <f>IF($D133="","",$D133)</f>
        <v>101</v>
      </c>
      <c r="DK133" s="209">
        <f>IF(AND($B133=" ",$D133&lt;&gt;""),1,0)</f>
        <v>0</v>
      </c>
    </row>
    <row r="134" ht="14.55" customHeight="1">
      <c r="A134" s="107"/>
      <c r="B134" s="108"/>
      <c r="C134" t="s" s="213">
        <v>51</v>
      </c>
      <c r="D134" s="110"/>
      <c r="E134" s="111"/>
      <c r="F134" s="113"/>
      <c r="G134" s="214"/>
      <c r="H134" s="114"/>
      <c r="I134" t="s" s="215">
        <v>75</v>
      </c>
      <c r="J134" s="296">
        <f>IF(OR(I133="TO",I133="TU",I133="TO1",I133="TU1",I133="TO2",I133="TU2"),J133,IF(OR(I133="AH1",I133="AH2"),IF(OR(I134="AH1",I134="AH2"),-J133,IF(OR(I134="EH1",I134="EH2"),-J133+0.5,"")),IF(OR(I133="EH1",I133="EH2"),IF(OR(I134="AH1",I134="AH2"),-J133+0.5,IF(OR(I134="EH1",I134="EH2"),-J133+1,"")),IF(AND(OR(I133="DNB1",I133="DNB2"),OR(I134="AH1",I134="AH2")),0,IF(AND(I133="Not ScoreBoth",OR(I134="TO1",I134="TO2")),0.5,"")))))</f>
        <v>3.5</v>
      </c>
      <c r="K134" t="s" s="217">
        <v>39</v>
      </c>
      <c r="L134" s="218">
        <v>1.25</v>
      </c>
      <c r="M134" s="219"/>
      <c r="N134" s="120"/>
      <c r="O134" s="220">
        <f>IF(OR(AE133="",AE134=""),"",ROUND(IF(L135&gt;0,IF(M134&gt;0,M134,IF(M133&gt;0,IF(N133=TRUE,ROUND((M133*AE134)/AE133,0),(M133*AE134)/AE133),IF(M134&gt;0,ROUND(M134,IF(N133=0,2,IF(N133=0.1,1,0))),IF(M135&gt;0,ROUND(O135*AE134/AE135,IF(N133=0,2,IF(N133=0.1,1,0))),0)))),IF(M134&gt;0,M134,ROUND((M133*AE134)/AE133,IF(N133=0,2,IF(N133=0.1,1,0))))),2))</f>
        <v>4.55</v>
      </c>
      <c r="P134" s="221">
        <f>IF(OR(L134="",O134=""),"",IF($C134="1/2W",O134/2+O134/2*L134,IF($C134="1/2L",O134/2,IF(I134="Lay",((O134*(L134/(L134-1)))-O134)*(1-_xlfn.XLOOKUP(K134,'Janeiro 2023 - Valor Real'!A3:A15,'Janeiro 2023 - Valor Real'!C3:C15,0))+O134,(O134*L134-O134)*(1-_xlfn.XLOOKUP(K134,'Janeiro 2023 - Valor Real'!A3:A15,'Janeiro 2023 - Valor Real'!C3:C15,0))+O134))))</f>
        <v>21.567</v>
      </c>
      <c r="Q134" s="222">
        <f>IF(K134="","",IF(_xlfn.XLOOKUP(K134,K50:K$85,DJ50:DJ$85,0,,-1)=DJ134,_xlfn.XLOOKUP(K134,K50:K$85,Q50:Q$85,1,,-1)+1,1))</f>
        <v>2</v>
      </c>
      <c r="R134" s="223">
        <f>IF(K134="","",_xlfn.XLOOKUP(K134,K50:K$85,R50:R$85,0,,-1)+IF($C134=" ",1,0))</f>
        <v>0</v>
      </c>
      <c r="S134" s="125"/>
      <c r="T134" s="126"/>
      <c r="U134" s="126"/>
      <c r="V134" s="224"/>
      <c r="W134" s="126"/>
      <c r="X134" s="127"/>
      <c r="Y134" s="128"/>
      <c r="Z134" s="129"/>
      <c r="AA134" s="129"/>
      <c r="AB134" s="129"/>
      <c r="AC134" s="129"/>
      <c r="AD134" s="225">
        <f>(((L134/(L134-1)-1)*(1-_xlfn.XLOOKUP(K134,'Janeiro 2023 - Valor Real'!A3:A15,'Janeiro 2023 - Valor Real'!C3:C15,0))+1))</f>
        <v>4.74</v>
      </c>
      <c r="AE134" s="226">
        <f>IF(L134="","",IF(L135&gt;0,(SUM(((L133-1)*(1-_xlfn.XLOOKUP(K133,'Janeiro 2023 - Valor Real'!A3:A15,'Janeiro 2023 - Valor Real'!C3:C15,0))+1),((L134-1)*(1-_xlfn.XLOOKUP(K134,'Janeiro 2023 - Valor Real'!A3:A15,'Janeiro 2023 - Valor Real'!C3:C15,0))+1),((L135-1)*(1-_xlfn.XLOOKUP(K135,'Janeiro 2023 - Valor Real'!A3:A15,'Janeiro 2023 - Valor Real'!C3:C15,0))+1))/((L134-1)*(1-_xlfn.XLOOKUP(K134,'Janeiro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Real'!C3:C15,0))+1))/((L133-1)*(1-_xlfn.XLOOKUP(K133,'Janeiro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Real'!C3:C15,0))+1))/((L134-1)*(1-_xlfn.XLOOKUP(K134,'Janeiro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Real'!C3:C15,0))+1))/((L135-1)*(1-_xlfn.XLOOKUP(K135,'Janeiro 2023 - Valor Real'!A3:A15,'Janeiro 2023 - Valor Real'!C3:C15,0))+1)),IF(I134="Lay",IF(I133="Lay",((L133/(L133-1)-1)*(1-_xlfn.XLOOKUP(K133,'Janeiro 2023 - Valor Real'!A3:A15,'Janeiro 2023 - Valor Real'!C3:C15,0))+1)/(((L133/(L133-1)-1)*(1-_xlfn.XLOOKUP(K133,'Janeiro 2023 - Valor Real'!A3:A15,'Janeiro 2023 - Valor Real'!C3:C15,0))+1)+((L134/(L134-1)-1)*(1-_xlfn.XLOOKUP(K134,'Janeiro 2023 - Valor Real'!A3:A15,'Janeiro 2023 - Valor Real'!C3:C15,0))+1)),((L133-1)*(1-_xlfn.XLOOKUP(K133,'Janeiro 2023 - Valor Real'!A3:A15,'Janeiro 2023 - Valor Real'!C3:C15,0))+1)/(((L133-1)*(1-_xlfn.XLOOKUP(K133,'Janeiro 2023 - Valor Real'!A3:A15,'Janeiro 2023 - Valor Real'!C3:C15,0))+1)+((L134/(L134-1)-1)*(1-_xlfn.XLOOKUP(K134,'Janeiro 2023 - Valor Real'!A3:A15,'Janeiro 2023 - Valor Real'!C3:C15,0))+1))),IF(I133="Lay",((L133/(L133-1)-1)*(1-_xlfn.XLOOKUP(K133,'Janeiro 2023 - Valor Real'!A3:A15,'Janeiro 2023 - Valor Real'!C3:C15,0))+1)/((((L133/(L133-1)-1)*(1-_xlfn.XLOOKUP(K133,'Janeiro 2023 - Valor Real'!A3:A15,'Janeiro 2023 - Valor Real'!C3:C15,0))+1))+((L134-1)*(1-_xlfn.XLOOKUP(K134,'Janeiro 2023 - Valor Real'!A3:A15,'Janeiro 2023 - Valor Real'!C3:C15,0))+1)),((L133-1)*(1-_xlfn.XLOOKUP(K133,'Janeiro 2023 - Valor Real'!A3:A15,'Janeiro 2023 - Valor Real'!C3:C15,0))+1)/(((L133-1)*(1-_xlfn.XLOOKUP(K133,'Janeiro 2023 - Valor Real'!A3:A15,'Janeiro 2023 - Valor Real'!C3:C15,0))+1)+((L134-1)*(1-_xlfn.XLOOKUP(K134,'Janeiro 2023 - Valor Real'!A3:A15,'Janeiro 2023 - Valor Real'!C3:C15,0))+1))))))</f>
        <v>0.246422893481717</v>
      </c>
      <c r="AF134" s="197">
        <f>IF($K134=AF$3,ROUND(IF(OR($C134="W",$C134="1/2W",$C134="1/2L"),$P134-$O134,IF($C134="X",0,-$O134)),2),0)</f>
        <v>0</v>
      </c>
      <c r="AG134" s="198">
        <f>IF($K134=AG$3,ROUND(IF(OR($C134="W",$C134="1/2W",$C134="1/2L"),$P134-$O134,IF($C134="X",0,-$O134)),2),0)</f>
        <v>0</v>
      </c>
      <c r="AH134" s="198">
        <f>IF($K134=AH$3,ROUND(IF(OR($C134="W",$C134="1/2W",$C134="1/2L"),$P134-$O134,IF($C134="X",0,-$O134)),2),0)</f>
        <v>-4.55</v>
      </c>
      <c r="AI134" s="198">
        <f>IF($K134=AI$3,ROUND(IF(OR($C134="W",$C134="1/2W",$C134="1/2L"),$P134-$O134,IF($C134="X",0,-$O134)),2),0)</f>
        <v>0</v>
      </c>
      <c r="AJ134" s="198">
        <f>IF($K134=AJ$3,ROUND(IF(OR($C134="W",$C134="1/2W",$C134="1/2L"),$P134-$O134,IF($C134="X",0,-$O134)),2),0)</f>
        <v>0</v>
      </c>
      <c r="AK134" s="198">
        <f>IF($K134=AK$3,ROUND(IF(OR($C134="W",$C134="1/2W",$C134="1/2L"),$P134-$O134,IF($C134="X",0,-$O134)),2),0)</f>
        <v>0</v>
      </c>
      <c r="AL134" s="198">
        <f>IF($K134=AL$3,ROUND(IF(OR($C134="W",$C134="1/2W",$C134="1/2L"),$P134-$O134,IF($C134="X",0,-$O134)),2),0)</f>
        <v>0</v>
      </c>
      <c r="AM134" s="198">
        <f>IF($K134=AM$3,ROUND(IF(OR($C134="W",$C134="1/2W",$C134="1/2L"),$P134-$O134,IF($C134="X",0,-$O134)),2),0)</f>
        <v>0</v>
      </c>
      <c r="AN134" s="198">
        <f>IF($K134=AN$3,ROUND(IF(OR($C134="W",$C134="1/2W",$C134="1/2L"),$P134-$O134,IF($C134="X",0,-$O134)),2),0)</f>
        <v>0</v>
      </c>
      <c r="AO134" s="198">
        <f>IF($K134=AO$3,ROUND(IF(OR($C134="W",$C134="1/2W",$C134="1/2L"),$P134-$O134,IF($C134="X",0,-$O134)),2),0)</f>
        <v>0</v>
      </c>
      <c r="AP134" s="198">
        <f>IF($K134=AP$3,ROUND(IF(OR($C134="W",$C134="1/2W",$C134="1/2L"),$P134-$O134,IF($C134="X",0,-$O134)),2),0)</f>
        <v>0</v>
      </c>
      <c r="AQ134" s="198">
        <f>IF($K134=AQ$3,ROUND(IF(OR($C134="W",$C134="1/2W",$C134="1/2L"),$P134-$O134,IF($C134="X",0,-$O134)),2),0)</f>
        <v>0</v>
      </c>
      <c r="AR134" s="199">
        <f>IF($K134=AR$3,ROUND(IF(OR($C134="W",$C134="1/2W",$C134="1/2L"),$P134-$O134,IF($C134="X",0,-$O134)),2),0)</f>
        <v>0</v>
      </c>
      <c r="AS134" s="197">
        <f>IF(AND($B133=" ",$K134=AS$3),$O134,0)</f>
        <v>0</v>
      </c>
      <c r="AT134" s="198">
        <f>IF(AND($B133=" ",K134=AT$3),$O134,0)</f>
        <v>0</v>
      </c>
      <c r="AU134" s="198">
        <f>IF(AND($B133=" ",$K134=AU$3),$O134,0)</f>
        <v>0</v>
      </c>
      <c r="AV134" s="198">
        <f>IF(AND($B133=" ",$K134=AV$3),$O134,0)</f>
        <v>0</v>
      </c>
      <c r="AW134" s="198">
        <f>IF(AND($B133=" ",$K134=AW$3),$O134,0)</f>
        <v>0</v>
      </c>
      <c r="AX134" s="198">
        <f>IF(AND($B133=" ",$K134=AX$3),$O134,0)</f>
        <v>0</v>
      </c>
      <c r="AY134" s="200">
        <f>IF(AND($B133=" ",$K134=AY$3),$O134,0)</f>
        <v>0</v>
      </c>
      <c r="AZ134" s="201">
        <f>IF(AND($B133=" ",$K134=AZ$3),$O134,0)</f>
        <v>0</v>
      </c>
      <c r="BA134" s="201">
        <f>IF(AND($B133=" ",$K134=BA$3),$O134,0)</f>
        <v>0</v>
      </c>
      <c r="BB134" s="201">
        <f>IF(AND($B133=" ",$K134=BB$3),$O134,0)</f>
        <v>0</v>
      </c>
      <c r="BC134" s="202">
        <f>IF(AND($B133=" ",$K134=BC$3),$O134,0)</f>
        <v>0</v>
      </c>
      <c r="BD134" s="198">
        <f>IF(AND($B133=" ",$K134=BD$3),$O134,0)</f>
        <v>0</v>
      </c>
      <c r="BE134" s="199">
        <f>IF(AND($B133=" ",$K134=BE$3),$O134,0)</f>
        <v>0</v>
      </c>
      <c r="BF134" s="197">
        <f>IF($K134=BF$3,IF($C134="X",0,$O134),0)</f>
        <v>0</v>
      </c>
      <c r="BG134" s="198">
        <f>IF($K134=BG$3,IF($C134="X",0,$O134),0)</f>
        <v>0</v>
      </c>
      <c r="BH134" s="198">
        <f>IF($K134=BH$3,IF($C134="X",0,$O134),0)</f>
        <v>4.55</v>
      </c>
      <c r="BI134" s="198">
        <f>IF($K134=BI$3,IF($C134="X",0,$O134),0)</f>
        <v>0</v>
      </c>
      <c r="BJ134" s="198">
        <f>IF($K134=BJ$3,IF($C134="X",0,$O134),0)</f>
        <v>0</v>
      </c>
      <c r="BK134" s="198">
        <f>IF($K134=BK$3,IF($C134="X",0,$O134),0)</f>
        <v>0</v>
      </c>
      <c r="BL134" s="198">
        <f>IF($K134=BL$3,IF($C134="X",0,$O134),0)</f>
        <v>0</v>
      </c>
      <c r="BM134" s="227">
        <f>IF($K134=BM$3,IF($C134="X",0,$O134),0)</f>
        <v>0</v>
      </c>
      <c r="BN134" s="205">
        <f>IF($K134=BN$3,IF($C134="X",0,$O134),0)</f>
        <v>0</v>
      </c>
      <c r="BO134" s="205">
        <f>IF($K134=BO$3,IF($C134="X",0,$O134),0)</f>
        <v>0</v>
      </c>
      <c r="BP134" s="205">
        <f>IF($K134=BP$3,IF($C134="X",0,$O134),0)</f>
        <v>0</v>
      </c>
      <c r="BQ134" s="202">
        <f>IF($K134=BQ$3,IF($C134="X",0,$O134),0)</f>
        <v>0</v>
      </c>
      <c r="BR134" s="199">
        <f>IF($K134=BR$3,IF($C134="X",0,$O134),0)</f>
        <v>0</v>
      </c>
      <c r="BS134" s="228"/>
      <c r="BT134" s="229"/>
      <c r="BU134" s="140"/>
      <c r="BV134" s="229"/>
      <c r="BW134" s="140"/>
      <c r="BX134" s="140"/>
      <c r="BY134" s="140"/>
      <c r="BZ134" s="229"/>
      <c r="CA134" s="140"/>
      <c r="CB134" s="140"/>
      <c r="CC134" s="140"/>
      <c r="CD134" s="141"/>
      <c r="CE134" s="142"/>
      <c r="CF134" s="230">
        <f>IF(CF$3=$K134,IF($C134="W",1,IF($C134="1/2W",0.5,0)),0)</f>
        <v>0</v>
      </c>
      <c r="CG134" s="231">
        <f>IF(CF$3=$K134,IF($C134="L",1,IF($C134="1/2L",0.5,0)),0)</f>
        <v>0</v>
      </c>
      <c r="CH134" s="231">
        <f>IF(CH$3=$K134,IF($C134="W",1,IF($C134="1/2W",0.5,0)),0)</f>
        <v>0</v>
      </c>
      <c r="CI134" s="231">
        <f>IF(CH$3=$K134,IF($C134="L",1,IF($C134="1/2L",0.5,0)),0)</f>
        <v>0</v>
      </c>
      <c r="CJ134" s="231">
        <f>IF(CJ$3=$K134,IF($C134="W",1,IF($C134="1/2W",0.5,0)),0)</f>
        <v>0</v>
      </c>
      <c r="CK134" s="231">
        <f>IF(CJ$3=$K134,IF($C134="L",1,IF($C134="1/2L",0.5,0)),0)</f>
        <v>1</v>
      </c>
      <c r="CL134" s="231">
        <f>IF(CL$3=$K134,IF($C134="W",1,IF($C134="1/2W",0.5,0)),0)</f>
        <v>0</v>
      </c>
      <c r="CM134" s="231">
        <f>IF(CL$3=$K134,IF($C134="L",1,IF($C134="1/2L",0.5,0)),0)</f>
        <v>0</v>
      </c>
      <c r="CN134" s="231">
        <f>IF(CN$3=$K134,IF($C134="W",1,IF($C134="1/2W",0.5,0)),0)</f>
        <v>0</v>
      </c>
      <c r="CO134" s="231">
        <f>IF(CN$3=$K134,IF($C134="L",1,IF($C134="1/2L",0.5,0)),0)</f>
        <v>0</v>
      </c>
      <c r="CP134" s="231">
        <f>IF(CP$3=$K134,IF($C134="W",1,IF($C134="1/2W",0.5,0)),0)</f>
        <v>0</v>
      </c>
      <c r="CQ134" s="231">
        <f>IF(CP$3=$K134,IF($C134="L",1,IF($C134="1/2L",0.5,0)),0)</f>
        <v>0</v>
      </c>
      <c r="CR134" s="231">
        <f>IF(CR$3=$K134,IF($C134="W",1,IF($C134="1/2W",0.5,0)),0)</f>
        <v>0</v>
      </c>
      <c r="CS134" s="231">
        <f>IF(CR$3=$K134,IF($C134="L",1,IF($C134="1/2L",0.5,0)),0)</f>
        <v>0</v>
      </c>
      <c r="CT134" s="208">
        <f>IF(CT$3=$K134,IF($C134="W",1,IF($C134="1/2W",0.5,0)),0)</f>
        <v>0</v>
      </c>
      <c r="CU134" s="209">
        <f>IF(CT$3=$K134,IF($C134="L",1,IF($C134="1/2L",0.5,0)),0)</f>
        <v>0</v>
      </c>
      <c r="CV134" s="209">
        <f>IF(CV$3=$K134,IF($C134="W",1,IF($C134="1/2W",0.5,0)),0)</f>
        <v>0</v>
      </c>
      <c r="CW134" s="209">
        <f>IF(CV$3=$K134,IF($C134="L",1,IF($C134="1/2L",0.5,0)),0)</f>
        <v>0</v>
      </c>
      <c r="CX134" s="209">
        <f>IF(CX$3=$K134,IF($C134="W",1,IF($C134="1/2W",0.5,0)),0)</f>
        <v>0</v>
      </c>
      <c r="CY134" s="209">
        <f>IF(CX$3=$K134,IF($C134="L",1,IF($C134="1/2L",0.5,0)),0)</f>
        <v>0</v>
      </c>
      <c r="CZ134" s="209">
        <f>IF(CZ$3=$K134,IF($C134="W",1,IF($C134="1/2W",0.5,0)),0)</f>
        <v>0</v>
      </c>
      <c r="DA134" s="209">
        <f>IF(CZ$3=$K134,IF($C134="L",1,IF($C134="1/2L",0.5,0)),0)</f>
        <v>0</v>
      </c>
      <c r="DB134" s="209">
        <f>IF(DB$3=$K134,IF($C134="W",1,IF($C134="1/2W",0.5,0)),0)</f>
        <v>0</v>
      </c>
      <c r="DC134" s="209">
        <f>IF(DB$3=$K134,IF($C134="L",1,IF($C134="1/2L",0.5,0)),0)</f>
        <v>0</v>
      </c>
      <c r="DD134" s="209">
        <f>IF(DD$3=$K134,IF($C134="W",1,IF($C134="1/2W",0.5,0)),0)</f>
        <v>0</v>
      </c>
      <c r="DE134" s="210">
        <f>IF(DD$3=$K134,IF($C134="L",1,IF($C134="1/2L",0.5,0)),0)</f>
        <v>0</v>
      </c>
      <c r="DF134" s="211">
        <f>IF(AND(L134&lt;DF$3,$C134="W"),1+DF133,DF133)</f>
        <v>7</v>
      </c>
      <c r="DG134" s="198">
        <f>IF(DF134&gt;DF133,L134+DG133,DG133)</f>
        <v>9.247999999999999</v>
      </c>
      <c r="DH134" s="209">
        <f>IF(AND(L134&gt;DH$3,$C134="W"),1+DH133,0+DH133)</f>
        <v>1</v>
      </c>
      <c r="DI134" s="198">
        <f>IF(DH134&gt;DH133,L134+DI133,DI133)</f>
        <v>4.33</v>
      </c>
      <c r="DJ134" t="s" s="306">
        <f>IF($D133="","",$D133)</f>
        <v>101</v>
      </c>
      <c r="DK134" s="232"/>
    </row>
    <row r="135" ht="24.6" customHeight="1">
      <c r="A135" s="149"/>
      <c r="B135" s="150"/>
      <c r="C135" t="s" s="233">
        <v>58</v>
      </c>
      <c r="D135" s="152"/>
      <c r="E135" s="153"/>
      <c r="F135" s="155"/>
      <c r="G135" s="234"/>
      <c r="H135" s="156"/>
      <c r="I135" s="235"/>
      <c r="J135" s="236"/>
      <c r="K135" s="237"/>
      <c r="L135" s="238"/>
      <c r="M135" s="239"/>
      <c r="N135" s="161"/>
      <c r="O135" t="s" s="240">
        <f>IF(OR(AE133="",AE134=""),"",IF(L135&gt;0,ROUND(IF(M135&gt;0,M135,IF(M133&gt;0,ROUND((M133*AE135)/AE133,IF(N133=0,2,IF(N133=0.1,1,0))),IF(M134&gt;0,ROUND((M134*AE135)/AE134,IF(N133=0,2,IF(N133=0.1,1,0))),IF(M135&gt;0,M135,0)))),2),""))</f>
      </c>
      <c r="P135" s="309">
        <f>IF(I134="Lay",O134*(L134/(L134-1))-O134,IF(I133="Lay",O133*(L133/(L133-1))-O133,IF(OR(L135="",O135=""),"",IF($C135="1/2W",O135/2+O135/2*L135,IF($C135="1/2L",O135/2,(O135*L135-O135)*(1-_xlfn.XLOOKUP(K135,'Janeiro 2023 - Valor Real'!A3:A15,'Janeiro 2023 - Valor Real'!C3:C15,0))+O135)))))</f>
        <v>18.2</v>
      </c>
      <c r="Q135" t="s" s="242">
        <f>IF(K135="","",IF(_xlfn.XLOOKUP(K135,K50:K$86,DJ50:DJ$86,0,,-1)=DJ135,_xlfn.XLOOKUP(K135,K50:K$86,Q50:Q$86,1,,-1)+1,1))</f>
      </c>
      <c r="R135" t="s" s="243">
        <f>IF(K135="","",_xlfn.XLOOKUP(K135,K50:K$86,R50:R$86,0,,-1)+IF($C135=" ",1,0))</f>
      </c>
      <c r="S135" s="166"/>
      <c r="T135" s="155"/>
      <c r="U135" s="155"/>
      <c r="V135" s="166"/>
      <c r="W135" s="155"/>
      <c r="X135" s="167"/>
      <c r="Y135" s="128"/>
      <c r="Z135" s="129"/>
      <c r="AA135" s="129"/>
      <c r="AB135" s="129"/>
      <c r="AC135" s="129"/>
      <c r="AD135" s="244">
        <f>((L134/(L134-1)-1))</f>
        <v>4</v>
      </c>
      <c r="AE135" t="s" s="245">
        <f>IF(L135="","",(SUM(((L133-1)*(1-_xlfn.XLOOKUP(K133,'Janeiro 2023 - Valor Real'!A3:A15,'Janeiro 2023 - Valor Real'!C3:C15,0))+1),((L134-1)*(1-_xlfn.XLOOKUP(K134,'Janeiro 2023 - Valor Real'!A3:A15,'Janeiro 2023 - Valor Real'!C3:C15,0))+1),((L135-1)*(1-_xlfn.XLOOKUP(K135,'Janeiro 2023 - Valor Real'!A3:A15,'Janeiro 2023 - Valor Real'!C3:C15,0))+1))/((L135-1)*(1-_xlfn.XLOOKUP(K135,'Janeiro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Real'!C3:C15,0))+1))/((L133-1)*(1-_xlfn.XLOOKUP(K133,'Janeiro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Real'!C3:C15,0))+1))/((L134-1)*(1-_xlfn.XLOOKUP(K134,'Janeiro 2023 - Valor Real'!A3:A15,'Janeiro 2023 - Valor Real'!C3:C15,0))+1)+SUM(((L133-1)*(1-_xlfn.XLOOKUP(K133,'Janeiro 2023 - Valor Real'!A3:A15,'Janeiro 2023 - Valor Real'!C3:C15,0))+1),((L134-1)*(1-_xlfn.XLOOKUP(K134,'Janeiro 2023 - Valor Real'!A3:A15,'Janeiro 2023 - Valor Real'!C3:C15,0))+1),((L135-1)*(1-_xlfn.XLOOKUP(K135,'Janeiro 2023 - Valor Real'!A3:A15,'Janeiro 2023 - Valor Real'!C3:C15,0))+1))/((L135-1)*(1-_xlfn.XLOOKUP(K135,'Janeiro 2023 - Valor Real'!A3:A15,'Janeiro 2023 - Valor Real'!C3:C15,0))+1)))</f>
      </c>
      <c r="AF135" s="197">
        <f>IF($K135=AF$3,ROUND(IF(OR($C135="W",$C135="1/2W",$C135="1/2L"),$P135-$O135,IF($C135="X",0,-$O135)),2),0)</f>
        <v>0</v>
      </c>
      <c r="AG135" s="198">
        <f>IF($K135=AG$3,ROUND(IF(OR($C135="W",$C135="1/2W",$C135="1/2L"),$P135-$O135,IF($C135="X",0,-$O135)),2),0)</f>
        <v>0</v>
      </c>
      <c r="AH135" s="198">
        <f>IF($K135=AH$3,ROUND(IF(OR($C135="W",$C135="1/2W",$C135="1/2L"),$P135-$O135,IF($C135="X",0,-$O135)),2),0)</f>
        <v>0</v>
      </c>
      <c r="AI135" s="198">
        <f>IF($K135=AI$3,ROUND(IF(OR($C135="W",$C135="1/2W",$C135="1/2L"),$P135-$O135,IF($C135="X",0,-$O135)),2),0)</f>
        <v>0</v>
      </c>
      <c r="AJ135" s="198">
        <f>IF($K135=AJ$3,ROUND(IF(OR($C135="W",$C135="1/2W",$C135="1/2L"),$P135-$O135,IF($C135="X",0,-$O135)),2),0)</f>
        <v>0</v>
      </c>
      <c r="AK135" s="198">
        <f>IF($K135=AK$3,ROUND(IF(OR($C135="W",$C135="1/2W",$C135="1/2L"),$P135-$O135,IF($C135="X",0,-$O135)),2),0)</f>
        <v>0</v>
      </c>
      <c r="AL135" s="198">
        <f>IF($K135=AL$3,ROUND(IF(OR($C135="W",$C135="1/2W",$C135="1/2L"),$P135-$O135,IF($C135="X",0,-$O135)),2),0)</f>
        <v>0</v>
      </c>
      <c r="AM135" s="198">
        <f>IF($K135=AM$3,ROUND(IF(OR($C135="W",$C135="1/2W",$C135="1/2L"),$P135-$O135,IF($C135="X",0,-$O135)),2),0)</f>
        <v>0</v>
      </c>
      <c r="AN135" s="198">
        <f>IF($K135=AN$3,ROUND(IF(OR($C135="W",$C135="1/2W",$C135="1/2L"),$P135-$O135,IF($C135="X",0,-$O135)),2),0)</f>
        <v>0</v>
      </c>
      <c r="AO135" s="198">
        <f>IF($K135=AO$3,ROUND(IF(OR($C135="W",$C135="1/2W",$C135="1/2L"),$P135-$O135,IF($C135="X",0,-$O135)),2),0)</f>
        <v>0</v>
      </c>
      <c r="AP135" s="198">
        <f>IF($K135=AP$3,ROUND(IF(OR($C135="W",$C135="1/2W",$C135="1/2L"),$P135-$O135,IF($C135="X",0,-$O135)),2),0)</f>
        <v>0</v>
      </c>
      <c r="AQ135" s="198">
        <f>IF($K135=AQ$3,ROUND(IF(OR($C135="W",$C135="1/2W",$C135="1/2L"),$P135-$O135,IF($C135="X",0,-$O135)),2),0)</f>
        <v>0</v>
      </c>
      <c r="AR135" s="199">
        <f>IF($K135=AR$3,ROUND(IF(OR($C135="W",$C135="1/2W",$C135="1/2L"),$P135-$O135,IF($C135="X",0,-$O135)),2),0)</f>
        <v>0</v>
      </c>
      <c r="AS135" s="197">
        <f>IF(AND($B133=" ",$K135=AS$3),$O135,0)</f>
        <v>0</v>
      </c>
      <c r="AT135" s="198">
        <f>IF(AND($B133=" ",K135=AT$3),$O135,0)</f>
        <v>0</v>
      </c>
      <c r="AU135" s="198">
        <f>IF(AND($B133=" ",$K135=AU$3),$O135,0)</f>
        <v>0</v>
      </c>
      <c r="AV135" s="198">
        <f>IF(AND($B133=" ",$K135=AV$3),$O135,0)</f>
        <v>0</v>
      </c>
      <c r="AW135" s="198">
        <f>IF(AND($B133=" ",$K135=AW$3),$O135,0)</f>
        <v>0</v>
      </c>
      <c r="AX135" s="198">
        <f>IF(AND($B133=" ",$K135=AX$3),$O135,0)</f>
        <v>0</v>
      </c>
      <c r="AY135" s="200">
        <f>IF(AND($B133=" ",$K135=AY$3),$O135,0)</f>
        <v>0</v>
      </c>
      <c r="AZ135" s="201">
        <f>IF(AND($B133=" ",$K135=AZ$3),$O135,0)</f>
        <v>0</v>
      </c>
      <c r="BA135" s="201">
        <f>IF(AND($B133=" ",$K135=BA$3),$O135,0)</f>
        <v>0</v>
      </c>
      <c r="BB135" s="201">
        <f>IF(AND($B133=" ",$K135=BB$3),$O135,0)</f>
        <v>0</v>
      </c>
      <c r="BC135" s="202">
        <f>IF(AND($B133=" ",$K135=BC$3),$O135,0)</f>
        <v>0</v>
      </c>
      <c r="BD135" s="198">
        <f>IF(AND($B133=" ",$K135=BD$3),$O135,0)</f>
        <v>0</v>
      </c>
      <c r="BE135" s="199">
        <f>IF(AND($B133=" ",$K135=BE$3),$O135,0)</f>
        <v>0</v>
      </c>
      <c r="BF135" s="197">
        <f>IF($K135=BF$3,IF($C135="X",0,$O135),0)</f>
        <v>0</v>
      </c>
      <c r="BG135" s="198">
        <f>IF($K135=BG$3,IF($C135="X",0,$O135),0)</f>
        <v>0</v>
      </c>
      <c r="BH135" s="198">
        <f>IF($K135=BH$3,IF($C135="X",0,$O135),0)</f>
        <v>0</v>
      </c>
      <c r="BI135" s="198">
        <f>IF($K135=BI$3,IF($C135="X",0,$O135),0)</f>
        <v>0</v>
      </c>
      <c r="BJ135" s="198">
        <f>IF($K135=BJ$3,IF($C135="X",0,$O135),0)</f>
        <v>0</v>
      </c>
      <c r="BK135" s="198">
        <f>IF($K135=BK$3,IF($C135="X",0,$O135),0)</f>
        <v>0</v>
      </c>
      <c r="BL135" s="198">
        <f>IF($K135=BL$3,IF($C135="X",0,$O135),0)</f>
        <v>0</v>
      </c>
      <c r="BM135" s="200">
        <f>IF($K135=BM$3,IF($C135="X",0,$O135),0)</f>
        <v>0</v>
      </c>
      <c r="BN135" s="201">
        <f>IF($K135=BN$3,IF($C135="X",0,$O135),0)</f>
        <v>0</v>
      </c>
      <c r="BO135" s="201">
        <f>IF($K135=BO$3,IF($C135="X",0,$O135),0)</f>
        <v>0</v>
      </c>
      <c r="BP135" s="201">
        <f>IF($K135=BP$3,IF($C135="X",0,$O135),0)</f>
        <v>0</v>
      </c>
      <c r="BQ135" s="202">
        <f>IF($K135=BQ$3,IF($C135="X",0,$O135),0)</f>
        <v>0</v>
      </c>
      <c r="BR135" s="199">
        <f>IF($K135=BR$3,IF($C135="X",0,$O135),0)</f>
        <v>0</v>
      </c>
      <c r="BS135" s="228"/>
      <c r="BT135" s="229"/>
      <c r="BU135" s="140"/>
      <c r="BV135" s="229"/>
      <c r="BW135" s="140"/>
      <c r="BX135" s="140"/>
      <c r="BY135" s="140"/>
      <c r="BZ135" s="229"/>
      <c r="CA135" s="140"/>
      <c r="CB135" s="140"/>
      <c r="CC135" s="140"/>
      <c r="CD135" s="141"/>
      <c r="CE135" s="142"/>
      <c r="CF135" s="230">
        <f>IF(CF$3=$K135,IF($C135="W",1,IF($C135="1/2W",0.5,0)),0)</f>
        <v>0</v>
      </c>
      <c r="CG135" s="231">
        <f>IF(CF$3=$K135,IF($C135="L",1,IF($C135="1/2L",0.5,0)),0)</f>
        <v>0</v>
      </c>
      <c r="CH135" s="231">
        <f>IF(CH$3=$K135,IF($C135="W",1,IF($C135="1/2W",0.5,0)),0)</f>
        <v>0</v>
      </c>
      <c r="CI135" s="231">
        <f>IF(CH$3=$K135,IF($C135="L",1,IF($C135="1/2L",0.5,0)),0)</f>
        <v>0</v>
      </c>
      <c r="CJ135" s="231">
        <f>IF(CJ$3=$K135,IF($C135="W",1,IF($C135="1/2W",0.5,0)),0)</f>
        <v>0</v>
      </c>
      <c r="CK135" s="231">
        <f>IF(CJ$3=$K135,IF($C135="L",1,IF($C135="1/2L",0.5,0)),0)</f>
        <v>0</v>
      </c>
      <c r="CL135" s="231">
        <f>IF(CL$3=$K135,IF($C135="W",1,IF($C135="1/2W",0.5,0)),0)</f>
        <v>0</v>
      </c>
      <c r="CM135" s="231">
        <f>IF(CL$3=$K135,IF($C135="L",1,IF($C135="1/2L",0.5,0)),0)</f>
        <v>0</v>
      </c>
      <c r="CN135" s="231">
        <f>IF(CN$3=$K135,IF($C135="W",1,IF($C135="1/2W",0.5,0)),0)</f>
        <v>0</v>
      </c>
      <c r="CO135" s="231">
        <f>IF(CN$3=$K135,IF($C135="L",1,IF($C135="1/2L",0.5,0)),0)</f>
        <v>0</v>
      </c>
      <c r="CP135" s="231">
        <f>IF(CP$3=$K135,IF($C135="W",1,IF($C135="1/2W",0.5,0)),0)</f>
        <v>0</v>
      </c>
      <c r="CQ135" s="231">
        <f>IF(CP$3=$K135,IF($C135="L",1,IF($C135="1/2L",0.5,0)),0)</f>
        <v>0</v>
      </c>
      <c r="CR135" s="231">
        <f>IF(CR$3=$K135,IF($C135="W",1,IF($C135="1/2W",0.5,0)),0)</f>
        <v>0</v>
      </c>
      <c r="CS135" s="231">
        <f>IF(CR$3=$K135,IF($C135="L",1,IF($C135="1/2L",0.5,0)),0)</f>
        <v>0</v>
      </c>
      <c r="CT135" s="208">
        <f>IF(CT$3=$K135,IF($C135="W",1,IF($C135="1/2W",0.5,0)),0)</f>
        <v>0</v>
      </c>
      <c r="CU135" s="209">
        <f>IF(CT$3=$K135,IF($C135="L",1,IF($C135="1/2L",0.5,0)),0)</f>
        <v>0</v>
      </c>
      <c r="CV135" s="209">
        <f>IF(CV$3=$K135,IF($C135="W",1,IF($C135="1/2W",0.5,0)),0)</f>
        <v>0</v>
      </c>
      <c r="CW135" s="209">
        <f>IF(CV$3=$K135,IF($C135="L",1,IF($C135="1/2L",0.5,0)),0)</f>
        <v>0</v>
      </c>
      <c r="CX135" s="209">
        <f>IF(CX$3=$K135,IF($C135="W",1,IF($C135="1/2W",0.5,0)),0)</f>
        <v>0</v>
      </c>
      <c r="CY135" s="209">
        <f>IF(CX$3=$K135,IF($C135="L",1,IF($C135="1/2L",0.5,0)),0)</f>
        <v>0</v>
      </c>
      <c r="CZ135" s="209">
        <f>IF(CZ$3=$K135,IF($C135="W",1,IF($C135="1/2W",0.5,0)),0)</f>
        <v>0</v>
      </c>
      <c r="DA135" s="209">
        <f>IF(CZ$3=$K135,IF($C135="L",1,IF($C135="1/2L",0.5,0)),0)</f>
        <v>0</v>
      </c>
      <c r="DB135" s="209">
        <f>IF(DB$3=$K135,IF($C135="W",1,IF($C135="1/2W",0.5,0)),0)</f>
        <v>0</v>
      </c>
      <c r="DC135" s="209">
        <f>IF(DB$3=$K135,IF($C135="L",1,IF($C135="1/2L",0.5,0)),0)</f>
        <v>0</v>
      </c>
      <c r="DD135" s="209">
        <f>IF(DD$3=$K135,IF($C135="W",1,IF($C135="1/2W",0.5,0)),0)</f>
        <v>0</v>
      </c>
      <c r="DE135" s="210">
        <f>IF(DD$3=$K135,IF($C135="L",1,IF($C135="1/2L",0.5,0)),0)</f>
        <v>0</v>
      </c>
      <c r="DF135" s="211">
        <f>IF(AND(L135&lt;DF$3,$C135="W"),1+DF134,DF134)</f>
        <v>7</v>
      </c>
      <c r="DG135" s="198">
        <f>IF(DF135&gt;DF134,L135+DG134,DG134)</f>
        <v>9.247999999999999</v>
      </c>
      <c r="DH135" s="209">
        <f>IF(AND(L135&gt;DH$3,$C135="W"),1+DH134,0+DH134)</f>
        <v>1</v>
      </c>
      <c r="DI135" s="198">
        <f>IF(DH135&gt;DH134,L135+DI134,DI134)</f>
        <v>4.33</v>
      </c>
      <c r="DJ135" t="s" s="306">
        <f>IF($D133="","",$D133)</f>
        <v>101</v>
      </c>
      <c r="DK135" s="232"/>
    </row>
    <row r="136" ht="14.55" customHeight="1">
      <c r="A136" s="246">
        <f>$A133+1</f>
        <v>45</v>
      </c>
      <c r="B136" t="s" s="247">
        <v>50</v>
      </c>
      <c r="C136" t="s" s="248">
        <v>51</v>
      </c>
      <c r="D136" t="s" s="303">
        <f>IF(G136="","",$D133)</f>
        <v>101</v>
      </c>
      <c r="E136" t="s" s="250">
        <v>169</v>
      </c>
      <c r="F136" t="s" s="251">
        <f>IF(G136="","",IF(OR(AND($C136&lt;&gt;" ",$C137=" "),AND($C137&lt;&gt;" ",$C136=" "),AND(L138&gt;0,OR(AND($C138&lt;&gt;" ",OR($C136=" ",$C137=" ")),AND($C138=" ",OR($C136&lt;&gt;" ",$C137&lt;&gt;" "))))),IF(SUM(F$4:F135)=0,1,LARGE(F$4:F135,1)+1),IF(MONTH(G136)=MONTH(TODAY()),IF(AND(DAY(G136)&lt;DAY(TODAY()),$B136=" "),IF(SUM(F$4:F135)=0,1,LARGE(F$4:F135,1)+1),IF($B136=" ",IF(AND(DAY(G136)=DAY(TODAY()),HOUR(G136)&lt;=HOUR(NOW())+1),IF(AND(HOUR(G136)+2&lt;=HOUR(NOW()),DAY(G136)&lt;=DAY(TODAY()),MINUTE(G136)&lt;=MINUTE(NOW())),IF(SUM(F$4:F135)=0,1,LARGE(F$4:F135,1)+1),IF(OR(MINUTE(G136)&lt;=MINUTE(NOW()),HOUR(G136)&lt;=HOUR(NOW())),"!!!","")),""),"")),"")))</f>
      </c>
      <c r="G136" s="252">
        <v>44944.791666666664</v>
      </c>
      <c r="H136" t="s" s="253">
        <v>170</v>
      </c>
      <c r="I136" s="292">
        <v>2</v>
      </c>
      <c r="J136" s="293"/>
      <c r="K136" t="s" s="256">
        <v>48</v>
      </c>
      <c r="L136" s="257">
        <v>1.73</v>
      </c>
      <c r="M136" s="258">
        <v>36.19</v>
      </c>
      <c r="N136" s="259">
        <v>0</v>
      </c>
      <c r="O136" s="260">
        <f>IF(OR(AE136="",AE137=""),"",ROUND(IF(L138&gt;0,IF(M136&gt;0,M136,IF(M137&gt;0,ROUND((M137*AE136)/AE137,IF(N136=0,2,IF(N136=0.1,1,0))),ROUND((M138*AE136)/AE138,IF(N136=0,2,IF(N136=0.1,1,0))))),IF(M136&gt;0,M136,ROUND((M137*AE136)/AE137,IF(N136=0,2,IF(N136=0.1,1,0))))),2))</f>
        <v>36.19</v>
      </c>
      <c r="P136" s="261">
        <f>IF(OR(L136="",O136=""),"",IF($C136="1/2W",O136/2+O136/2*L136,IF($C136="1/2L",O136/2,IF(I136="Lay",(O136*(L136/(L136-1))-O136)*(1-_xlfn.XLOOKUP(K136,'Janeiro 2023 - Valor Real'!A3:A15,'Janeiro 2023 - Valor Real'!C3:C15,0))+O136,(O136*L136-O136)*(1-_xlfn.XLOOKUP(K136,'Janeiro 2023 - Valor Real'!A3:A15,'Janeiro 2023 - Valor Real'!C3:C15,0))+O136))))</f>
        <v>62.6087</v>
      </c>
      <c r="Q136" s="262">
        <v>3</v>
      </c>
      <c r="R136" s="263">
        <v>0</v>
      </c>
      <c r="S136" s="264">
        <f>IF($B136="Anulado",0,ROUND(IF(OR($B136="LOSS",$B136="OK"),IF(OR($C136="W",$C136="1/2W",$C136="1/2L"),P136-O136,IF($C136="L",-O136,0))+IF(OR($C137="W",$C137="1/2W",$C137="1/2L"),P137-O137,IF($C137="L",-O137,0))+IF(OR($C138="W",$C138="1/2W",$C138="1/2L"),P138-O138,IF($C138="L",-O138,0)),IF(AND(OR($C136="W",$C136="1/2W",$C136="1/2L"),C137="W"),P136+P137-SUM(O136:O138)+_xlfn.XLOOKUP("X",C136:C138,O136:O138,0),IF(AND(C136=TRUE,C138="W"),P136+P138-SUM(O136:O138),IF(AND(C137="W",C138="W"),P137+P138-SUM(O136:O138)+_xlfn.XLOOKUP("X",C136:C138,O136:O138,0),IF(L138&gt;0,IF(OR($C136="W",$C136="1/2W",$C136="1/2L"),P136-SUM(O136:O138)+_xlfn.XLOOKUP("X",C136:C138,O136:O138,0),IF(OR($C136="W",$C136="1/2W",$C136="1/2L"),P137-SUM(O136:O138)+_xlfn.XLOOKUP("X",C136:C138,O136:O138,0),IF(OR($C136="W",$C136="1/2W",$C136="1/2L"),P138-SUM(O136:O138)+_xlfn.XLOOKUP("X",C136:C138,O136:O138,0),IF(SUM(P136:P138)/3-SUM(O136:O138)+_xlfn.XLOOKUP("X",C136:C138,O136:O138,0)&gt;0,SUM(P136:P138)/3-SUM(O136:O138)+_xlfn.XLOOKUP("X",C136:C138,O136:O138,0),LARGE(P136:P138,1)-SUM(O136:O138))))),IF(OR($C136="W",$C136="1/2W",$C136="1/2L"),P136-SUM(O136:O137)+_xlfn.XLOOKUP("X",C136:C138,O136:O138,0),IF(OR($C136="W",$C136="1/2W",$C136="1/2L"),P137-SUM(O136:O137)+_xlfn.XLOOKUP("X",C136:C138,O136:O138,0),SUM(P136:P137)/2-SUM(O136:O137)+_xlfn.XLOOKUP("X",C136:C138,O136:O138,0)))))))),2))</f>
        <v>2.34</v>
      </c>
      <c r="T136" s="265">
        <f>IF(S136=0,0,S136/SUM(O136:O138))</f>
        <v>0.0388252862120458</v>
      </c>
      <c r="U136" s="266">
        <f>IF($D136=$D133,IF(OR($B136="LOSS",$B136="OK",$B136="Anulada"),S136,0)+U133,IF(OR($B136="LOSS",$B136="OK",$B136="Anulada"),S136,0))</f>
        <v>39.99</v>
      </c>
      <c r="V136" s="266">
        <f>IF($D136="",0,IF($D136=$D133,IF($B136=" ",IF(I138="",IF(OR(AND(I136="DNB1",I137="DNB2"),AND(OR(I136="DNB1",I136="DNB2"),J137=0),AND(OR(I137="DNB1",I137="DNB2"),J136=0),AND(I136="DNB2",I137="DNB1"),AND(IF(J136=0,(J136+1)/ROUND(J136+1,0),J136/ROUND(J136,0))=1,IF(J137=0,(J137+1)/ROUND(IF(J137="",0,J137)+1,0),IF(J137="",0,J137)/ROUND(IF(J137="",1,J137),0))=1,OR(J136&lt;&gt;""),J137&lt;&gt;"")),0,IF(S136&lt;0,IF(I138="",SMALL(P136:P137,1)-SUM(O136:O137),0),SMALL(P136:P137,1)-SUM(O136:O137))),IF(S136&lt;0,IF(I138="",SMALL(P136:P138,1)-SUM(O136:O138),0),LARGE(P136:P138,1)-SUM(O136:O138))),S136)+V133,IF(I138="",IF(OR(AND(I136="DNB1",I137="DNB2"),AND(OR(I136="DNB1",I136="DNB2"),J137=0),AND(OR(I137="DNB1",I137="DNB2"),J136=0),AND(I136="DNB2",I137="DNB1"),AND(IF(J136=0,(J136+1)/ROUND(J136+1,0),J136/ROUND(J136,0))=1,IF(J137=0,(IF(J137="",0,J137)+1)/ROUND(IF(J137="",0,J137)+1,0),IF(J137="",0,J137)/ROUND(IF(J137="",0,J137)+1,0))=1,OR(J136&lt;&gt;""),J137&lt;&gt;"")),0,IF(S136&lt;0,IF(I138="",SMALL(P136:P137,1)-SUM(O136:O137),0),SMALL(P136:P138,1)-SUM(O136:O138))),IF(S136&lt;0,IF(I138="",SMALL(P136:P138,1)-SUM(O136:O138),0),LARGE(P136:P138,1)-SUM(O136:O138)))))</f>
        <v>39.992</v>
      </c>
      <c r="W136" s="266">
        <f>IF($D136=$D133,IF(S136&lt;0,IF(I138="",S136,0),S136)+W133,S136)</f>
        <v>39.99</v>
      </c>
      <c r="X136" t="s" s="267">
        <f>IF(OR(SUM(R136:R138)=0,V136=W136),ROUND(IF(W136=0,0,W136/Y136)*100,2)&amp;"%",ROUND(IF(V136=0,0,V136/Y136)*100,2)&amp;"% a "&amp;ROUND(IF(W136=0,0,W136/Y136)*100,2)&amp;"%")</f>
        <v>171</v>
      </c>
      <c r="Y136" s="268">
        <f>IF($D136=$D133,Y133+SUM(O136:O138),SUM(O136:O138))</f>
        <v>1011.28</v>
      </c>
      <c r="Z136" s="266">
        <f>IF($B136=" ",SUM(O136:O138),0)+Z133</f>
        <v>0</v>
      </c>
      <c r="AA136" s="266">
        <f>IF(G136="","",IF($B136="Anulado",LARGE(P136:P138,1)-SUM(O136:O138)+AA133,AA133))</f>
        <v>14.1564</v>
      </c>
      <c r="AB136" s="266">
        <f>IF($D136="","",AB133+S136)</f>
        <v>118.09</v>
      </c>
      <c r="AC136" s="269">
        <f>IF($D136="","",IF($B136=" ",IF(DAY(G136)=DAY(TODAY()),1+AC133,0+AC133),0+AC133))</f>
        <v>0</v>
      </c>
      <c r="AD136" s="270">
        <f>(1-_xlfn.XLOOKUP(K134,'Janeiro 2023 - Valor Real'!A3:A15,'Janeiro 2023 - Valor Real'!C3:C15,0))+1</f>
        <v>1.935</v>
      </c>
      <c r="AE136" s="271">
        <f>IF(L136="","",IF(L138&gt;0,(SUM(((L136-1)*(1-_xlfn.XLOOKUP(K136,'Janeiro 2023 - Valor Real'!A3:A15,'Janeiro 2023 - Valor Real'!C3:C15,0))+1),((L137-1)*(1-_xlfn.XLOOKUP(K137,'Janeiro 2023 - Valor Real'!A3:A15,'Janeiro 2023 - Valor Real'!C3:C15,0))+1),((L138-1)*(1-_xlfn.XLOOKUP(K138,'Janeiro 2023 - Valor Real'!A3:A15,'Janeiro 2023 - Valor Real'!C3:C15,0))+1))/((L136-1)*(1-_xlfn.XLOOKUP(K136,'Janeiro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Real'!C3:C15,0))+1))/((L136-1)*(1-_xlfn.XLOOKUP(K136,'Janeiro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Real'!C3:C15,0))+1))/((L137-1)*(1-_xlfn.XLOOKUP(K137,'Janeiro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Real'!C3:C15,0))+1))/((L138-1)*(1-_xlfn.XLOOKUP(K138,'Janeiro 2023 - Valor Real'!A3:A15,'Janeiro 2023 - Valor Real'!C3:C15,0))+1)),IF(I136="Lay",IF(I137="Lay",((L137/(L137-1)-1)*(1-_xlfn.XLOOKUP(K137,'Janeiro 2023 - Valor Real'!A3:A15,'Janeiro 2023 - Valor Real'!C3:C15,0))+1)/(((L137/(L137-1)-1)*(1-_xlfn.XLOOKUP(K137,'Janeiro 2023 - Valor Real'!A3:A15,'Janeiro 2023 - Valor Real'!C3:C15,0))+1)+((L136/(L136-1)-1)*(1-_xlfn.XLOOKUP(K136,'Janeiro 2023 - Valor Real'!A3:A15,'Janeiro 2023 - Valor Real'!C3:C15,0))+1)),((L137-1)*(1-_xlfn.XLOOKUP(K137,'Janeiro 2023 - Valor Real'!A3:A15,'Janeiro 2023 - Valor Real'!C3:C15,0))+1)/(((L137-1)*(1-_xlfn.XLOOKUP(K137,'Janeiro 2023 - Valor Real'!A3:A15,'Janeiro 2023 - Valor Real'!C3:C15,0))+1)+((L136/(L136-1)-1)*(1-_xlfn.XLOOKUP(K136,'Janeiro 2023 - Valor Real'!A3:A15,'Janeiro 2023 - Valor Real'!C3:C15,0))+1))),IF(I137="Lay",(((L137/(L137-1)-1)*(1-_xlfn.XLOOKUP(K137,'Janeiro 2023 - Valor Real'!A3:A15,'Janeiro 2023 - Valor Real'!C3:C15,0))+1))/(((L136-1)*(1-_xlfn.XLOOKUP(K136,'Janeiro 2023 - Valor Real'!A3:A15,'Janeiro 2023 - Valor Real'!C3:C15,0))+1)+((L137/(L137-1)-1)*(1-_xlfn.XLOOKUP(K137,'Janeiro 2023 - Valor Real'!A3:A15,'Janeiro 2023 - Valor Real'!C3:C15,0))+1)),((L137-1)*(1-_xlfn.XLOOKUP(K137,'Janeiro 2023 - Valor Real'!A3:A15,'Janeiro 2023 - Valor Real'!C3:C15,0))+1)/(((L137-1)*(1-_xlfn.XLOOKUP(K137,'Janeiro 2023 - Valor Real'!A3:A15,'Janeiro 2023 - Valor Real'!C3:C15,0))+1)+((L136-1)*(1-_xlfn.XLOOKUP(K136,'Janeiro 2023 - Valor Real'!A3:A15,'Janeiro 2023 - Valor Real'!C3:C15,0))+1))))))</f>
        <v>0.600461893764434</v>
      </c>
      <c r="AF136" s="132">
        <f>IF($K136=AF$3,ROUND(IF(OR($C136="W",$C136="1/2W",$C136="1/2L"),$P136-$O136,IF($C136="X",0,-$O136)),2),0)</f>
        <v>0</v>
      </c>
      <c r="AG136" s="133">
        <f>IF($K136=AG$3,ROUND(IF(OR($C136="W",$C136="1/2W",$C136="1/2L"),$P136-$O136,IF($C136="X",0,-$O136)),2),0)</f>
        <v>0</v>
      </c>
      <c r="AH136" s="133">
        <f>IF($K136=AH$3,ROUND(IF(OR($C136="W",$C136="1/2W",$C136="1/2L"),$P136-$O136,IF($C136="X",0,-$O136)),2),0)</f>
        <v>0</v>
      </c>
      <c r="AI136" s="133">
        <f>IF($K136=AI$3,ROUND(IF(OR($C136="W",$C136="1/2W",$C136="1/2L"),$P136-$O136,IF($C136="X",0,-$O136)),2),0)</f>
        <v>0</v>
      </c>
      <c r="AJ136" s="133">
        <f>IF($K136=AJ$3,ROUND(IF(OR($C136="W",$C136="1/2W",$C136="1/2L"),$P136-$O136,IF($C136="X",0,-$O136)),2),0)</f>
        <v>0</v>
      </c>
      <c r="AK136" s="133">
        <f>IF($K136=AK$3,ROUND(IF(OR($C136="W",$C136="1/2W",$C136="1/2L"),$P136-$O136,IF($C136="X",0,-$O136)),2),0)</f>
        <v>0</v>
      </c>
      <c r="AL136" s="133">
        <f>IF($K136=AL$3,ROUND(IF(OR($C136="W",$C136="1/2W",$C136="1/2L"),$P136-$O136,IF($C136="X",0,-$O136)),2),0)</f>
        <v>0</v>
      </c>
      <c r="AM136" s="133">
        <f>IF($K136=AM$3,ROUND(IF(OR($C136="W",$C136="1/2W",$C136="1/2L"),$P136-$O136,IF($C136="X",0,-$O136)),2),0)</f>
        <v>0</v>
      </c>
      <c r="AN136" s="133">
        <f>IF($K136=AN$3,ROUND(IF(OR($C136="W",$C136="1/2W",$C136="1/2L"),$P136-$O136,IF($C136="X",0,-$O136)),2),0)</f>
        <v>0</v>
      </c>
      <c r="AO136" s="133">
        <f>IF($K136=AO$3,ROUND(IF(OR($C136="W",$C136="1/2W",$C136="1/2L"),$P136-$O136,IF($C136="X",0,-$O136)),2),0)</f>
        <v>0</v>
      </c>
      <c r="AP136" s="133">
        <f>IF($K136=AP$3,ROUND(IF(OR($C136="W",$C136="1/2W",$C136="1/2L"),$P136-$O136,IF($C136="X",0,-$O136)),2),0)</f>
        <v>0</v>
      </c>
      <c r="AQ136" s="133">
        <f>IF($K136=AQ$3,ROUND(IF(OR($C136="W",$C136="1/2W",$C136="1/2L"),$P136-$O136,IF($C136="X",0,-$O136)),2),0)</f>
        <v>-36.19</v>
      </c>
      <c r="AR136" s="134">
        <f>IF($K136=AR$3,ROUND(IF(OR($C136="W",$C136="1/2W",$C136="1/2L"),$P136-$O136,IF($C136="X",0,-$O136)),2),0)</f>
        <v>0</v>
      </c>
      <c r="AS136" s="132">
        <f>IF(AND($B136=" ",$K136=AS$3),$O136,0)</f>
        <v>0</v>
      </c>
      <c r="AT136" s="133">
        <f>IF(AND($B136=" ",$K136=AT$3),$O136,0)</f>
        <v>0</v>
      </c>
      <c r="AU136" s="133">
        <f>IF(AND($B136=" ",$K136=AU$3),$O136,0)</f>
        <v>0</v>
      </c>
      <c r="AV136" s="133">
        <f>IF(AND($B136=" ",$K136=AV$3),$O136,0)</f>
        <v>0</v>
      </c>
      <c r="AW136" s="133">
        <f>IF(AND($B136=" ",$K136=AW$3),$O136,0)</f>
        <v>0</v>
      </c>
      <c r="AX136" s="133">
        <f>IF(AND($B136=" ",$K136=AX$3),$O136,0)</f>
        <v>0</v>
      </c>
      <c r="AY136" s="135">
        <f>IF(AND($B136=" ",$K136=AY$3),$O136,0)</f>
        <v>0</v>
      </c>
      <c r="AZ136" s="136">
        <f>IF(AND($B136=" ",$K136=AZ$3),$O136,0)</f>
        <v>0</v>
      </c>
      <c r="BA136" s="136">
        <f>IF(AND($B136=" ",$K136=BA$3),$O136,0)</f>
        <v>0</v>
      </c>
      <c r="BB136" s="136">
        <f>IF(AND($B136=" ",$K136=BB$3),$O136,0)</f>
        <v>0</v>
      </c>
      <c r="BC136" s="137">
        <f>IF(AND($B136=" ",$K136=BC$3),$O136,0)</f>
        <v>0</v>
      </c>
      <c r="BD136" s="133">
        <f>IF(AND($B136=" ",$K136=BD$3),$O136,0)</f>
        <v>0</v>
      </c>
      <c r="BE136" s="134">
        <f>IF(AND($B136=" ",$K136=BE$3),$O136,0)</f>
        <v>0</v>
      </c>
      <c r="BF136" s="132">
        <f>IF($K136=BF$3,IF($C136="X",0,$O136),0)</f>
        <v>0</v>
      </c>
      <c r="BG136" s="133">
        <f>IF($K136=BG$3,IF($C136="X",0,$O136),0)</f>
        <v>0</v>
      </c>
      <c r="BH136" s="133">
        <f>IF($K136=BH$3,IF($C136="X",0,$O136),0)</f>
        <v>0</v>
      </c>
      <c r="BI136" s="133">
        <f>IF($K136=BI$3,IF($C136="X",0,$O136),0)</f>
        <v>0</v>
      </c>
      <c r="BJ136" s="133">
        <f>IF($K136=BJ$3,IF($C136="X",0,$O136),0)</f>
        <v>0</v>
      </c>
      <c r="BK136" s="133">
        <f>IF($K136=BK$3,IF($C136="X",0,$O136),0)</f>
        <v>0</v>
      </c>
      <c r="BL136" s="133">
        <f>IF($K136=BL$3,IF($C136="X",0,$O136),0)</f>
        <v>0</v>
      </c>
      <c r="BM136" s="135">
        <f>IF($K136=BM$3,IF($C136="X",0,$O136),0)</f>
        <v>0</v>
      </c>
      <c r="BN136" s="136">
        <f>IF($K136=BN$3,IF($C136="X",0,$O136),0)</f>
        <v>0</v>
      </c>
      <c r="BO136" s="136">
        <f>IF($K136=BO$3,IF($C136="X",0,$O136),0)</f>
        <v>0</v>
      </c>
      <c r="BP136" s="136">
        <f>IF($K136=BP$3,IF($C136="X",0,$O136),0)</f>
        <v>0</v>
      </c>
      <c r="BQ136" s="137">
        <f>IF($K136=BQ$3,IF($C136="X",0,$O136),0)</f>
        <v>36.19</v>
      </c>
      <c r="BR136" s="134">
        <f>IF($K136=BR$3,IF($C136="X",0,$O136),0)</f>
        <v>0</v>
      </c>
      <c r="BS136" s="170">
        <f>IF($B136="LOSS",IF(AND($K136=BS$3,$C136="L"),-$O136,0)+IF(AND($K137=BS$3,$C137="L"),-$O137,0)+IF(AND($K138=BS$3,$C138="L"),-$O138,0),IF(OR(AND($K136=BS$3,OR($C136="W",$C136="1/2W")),AND($K137=BS$3,OR($C137="W",$C137="1/2W")),AND($K138=BS$3,OR($C138="W",$C138="1/2W"))),$S136,0))</f>
        <v>0</v>
      </c>
      <c r="BT136" s="272">
        <f>IF($B136="LOSS",IF(AND($K136=BT$3,$C136="L"),-$O136,0)+IF(AND($K137=BT$3,$C137="L"),-$O137,0)+IF(AND($K137=BT$3,$C138="L"),-$O138,0),IF(OR(AND($K137=BT$3,OR($C136="W",$C136="1/2W")),AND($K137=BT$3,OR($C137="W",$C137="1/2W")),AND($K137=BT$3,OR($C138="W",$C138="1/2W"))),$S136,0))</f>
        <v>2.34</v>
      </c>
      <c r="BU136" s="136">
        <f>IF($B136="LOSS",IF(AND($K136=BU$3,$C136="L"),-$O136,0)+IF(AND($K137=BU$3,$C137="L"),-$O137,0)+IF(AND($K137=BU$3,$C138="L"),-$O138,0),IF(OR(AND($K137=BU$3,OR($C136="W",$C136="1/2W")),AND($K137=BU$3,OR($C137="W",$C137="1/2W")),AND($K137=BU$3,OR($C138="W",$C138="1/2W"))),$S136,0))</f>
        <v>0</v>
      </c>
      <c r="BV136" s="136">
        <f>IF($B136="LOSS",IF(AND($K136=BV$3,$C136="L"),-$O136,0)+IF(AND($K137=BV$3,$C137="L"),-$O137,0)+IF(AND($K138=BV$3,$C138="L"),-$O138,0),IF(OR(AND($K136=BV$3,OR($C136="W",$C136="1/2W")),AND($K137=BV$3,OR($C137="W",$C137="1/2W")),AND($K138=BV$3,OR($C138="W",$C138="1/2W"))),$S136,0))</f>
        <v>0</v>
      </c>
      <c r="BW136" s="136">
        <f>IF($B136="LOSS",IF(AND($K136=BW$3,$C136="L"),-$O136,0)+IF(AND($K137=BW$3,$C137="L"),-$O137,0)+IF(AND($K138=BW$3,$C138="L"),-$O138,0),IF(OR(AND($K136=BW$3,OR($C136="W",$C136="1/2W")),AND($K137=BW$3,OR($C137="W",$C137="1/2W")),AND($K138=BW$3,OR($C138="W",$C138="1/2W"))),$S136,0))</f>
        <v>0</v>
      </c>
      <c r="BX136" s="136">
        <f>IF($B136="LOSS",IF(AND($K136=BX$3,$C136="L"),-$O136,0)+IF(AND($K137=BX$3,$C137="L"),-$O137,0)+IF(AND($K138=BX$3,$C138="L"),-$O138,0),IF(OR(AND($K136=BX$3,OR($C136="W",$C136="1/2W")),AND($K137=BX$3,OR($C137="W",$C137="1/2W")),AND($K138=BX$3,OR($C138="W",$C138="1/2W"))),$S136,0))</f>
        <v>0</v>
      </c>
      <c r="BY136" s="136">
        <f>IF($B136="LOSS",IF(AND($K136=BY$3,$C136="L"),-$O136,0)+IF(AND($K137=BY$3,$C137="L"),-$O137,0)+IF(AND($K138=BY$3,$C138="L"),-$O138,0),IF(OR(AND($K136=BY$3,OR($C136="W",$C136="1/2W")),AND($K137=BY$3,OR($C137="W",$C137="1/2W")),AND($K138=BY$3,OR($C138="W",$C138="1/2W"))),$S136,0))</f>
        <v>0</v>
      </c>
      <c r="BZ136" s="136">
        <f>IF($B136="LOSS",IF(AND($K136=BZ$3,$C136="L"),-$O136,0)+IF(AND($K137=BZ$3,$C137="L"),-$O137,0)+IF(AND($K138=BZ$3,$C138="L"),-$O138,0),IF(OR(AND($K136=BZ$3,OR($C136="W",$C136="1/2W")),AND($K137=BZ$3,OR($C137="W",$C137="1/2W")),AND($K138=BZ$3,OR($C138="W",$C138="1/2W"))),$S136,0))</f>
        <v>0</v>
      </c>
      <c r="CA136" s="136">
        <f>IF($B136="LOSS",IF(AND($K136=CA$3,$C136="L"),-$O136,0)+IF(AND($K137=CA$3,$C137="L"),-$O137,0)+IF(AND($K138=CA$3,$C138="L"),-$O138,0),IF(OR(AND($K136=CA$3,OR($C136="W",$C136="1/2W")),AND($K137=CA$3,OR($C137="W",$C137="1/2W")),AND($K138=CA$3,OR($C138="W",$C138="1/2W"))),$S136,0))</f>
        <v>0</v>
      </c>
      <c r="CB136" s="136">
        <f>IF($B136="LOSS",IF(AND($K136=CB$3,$C136="L"),-$O136,0)+IF(AND($K137=CB$3,$C137="L"),-$O137,0)+IF(AND($K138=CB$3,$C138="L"),-$O138,0),IF(OR(AND($K136=CB$3,OR($C136="W",$C136="1/2W")),AND($K137=CB$3,OR($C137="W",$C137="1/2W")),AND($K138=CB$3,OR($C138="W",$C138="1/2W"))),$S136,0))</f>
        <v>0</v>
      </c>
      <c r="CC136" s="136">
        <f>IF($B136="LOSS",IF(AND($K136=CC$3,$C136="L"),-$O136,0)+IF(AND($K137=CC$3,$C137="L"),-$O137,0)+IF(AND($K138=CC$3,$C138="L"),-$O138,0),IF(OR(AND($K136=CC$3,OR($C136="W",$C136="1/2W")),AND($K137=CC$3,OR($C137="W",$C137="1/2W")),AND($K138=CC$3,OR($C138="W",$C138="1/2W"))),$S136,0))</f>
        <v>0</v>
      </c>
      <c r="CD136" s="137">
        <f>IF($B136="LOSS",IF(AND($K136=CD$3,$C136="L"),-$O136,0)+IF(AND($K137=CD$3,$C137="L"),-$O137,0)+IF(AND($K138=CD$3,$C138="L"),-$O138,0),IF(OR(AND($K136=CD$3,OR($C136="W",$C136="1/2W")),AND($K137=CD$3,OR($C137="W",$C137="1/2W")),AND($K138=CD$3,OR($C138="W",$C138="1/2W"))),$S136,0))</f>
        <v>0</v>
      </c>
      <c r="CE136" s="134">
        <f>IF($B136="LOSS",IF(AND($K136=CE$3,$C136="L"),-$O136,0)+IF(AND($K137=CE$3,$C137="L"),-$O137,0)+IF(AND($K138=CE$3,$C138="L"),-$O138,0),IF(OR(AND($K136=CE$3,OR($C136="W",$C136="1/2W")),AND($K137=CE$3,OR($C137="W",$C137="1/2W")),AND($K138=CE$3,OR($C138="W",$C138="1/2W"))),$S136,0))</f>
        <v>0</v>
      </c>
      <c r="CF136" s="273">
        <f>IF(CF$3=$K136,IF($C136="W",1,IF($C136="1/2W",0.5,0)),0)</f>
        <v>0</v>
      </c>
      <c r="CG136" s="274">
        <f>IF(CF$3=$K136,IF($C136="L",1,IF($C136="1/2L",0.5,0)),0)</f>
        <v>0</v>
      </c>
      <c r="CH136" s="274">
        <f>IF(CH$3=$K136,IF($C136="W",1,IF($C136="1/2W",0.5,0)),0)</f>
        <v>0</v>
      </c>
      <c r="CI136" s="274">
        <f>IF(CH$3=$K136,IF($C136="L",1,IF($C136="1/2L",0.5,0)),0)</f>
        <v>0</v>
      </c>
      <c r="CJ136" s="274">
        <f>IF(CJ$3=$K136,IF($C136="W",1,IF($C136="1/2W",0.5,0)),0)</f>
        <v>0</v>
      </c>
      <c r="CK136" s="274">
        <f>IF(CJ$3=$K136,IF($C136="L",1,IF($C136="1/2L",0.5,0)),0)</f>
        <v>0</v>
      </c>
      <c r="CL136" s="274">
        <f>IF(CL$3=$K136,IF($C136="W",1,IF($C136="1/2W",0.5,0)),0)</f>
        <v>0</v>
      </c>
      <c r="CM136" s="274">
        <f>IF(CL$3=$K136,IF($C136="L",1,IF($C136="1/2L",0.5,0)),0)</f>
        <v>0</v>
      </c>
      <c r="CN136" s="274">
        <f>IF(CN$3=$K136,IF($C136="W",1,IF($C136="1/2W",0.5,0)),0)</f>
        <v>0</v>
      </c>
      <c r="CO136" s="274">
        <f>IF(CN$3=$K136,IF($C136="L",1,IF($C136="1/2L",0.5,0)),0)</f>
        <v>0</v>
      </c>
      <c r="CP136" s="274">
        <f>IF(CP$3=$K136,IF($C136="W",1,IF($C136="1/2W",0.5,0)),0)</f>
        <v>0</v>
      </c>
      <c r="CQ136" s="274">
        <f>IF(CP$3=$K136,IF($C136="L",1,IF($C136="1/2L",0.5,0)),0)</f>
        <v>0</v>
      </c>
      <c r="CR136" s="274">
        <f>IF(CR$3=$K136,IF($C136="W",1,IF($C136="1/2W",0.5,0)),0)</f>
        <v>0</v>
      </c>
      <c r="CS136" s="274">
        <f>IF(CR$3=$K136,IF($C136="L",1,IF($C136="1/2L",0.5,0)),0)</f>
        <v>0</v>
      </c>
      <c r="CT136" s="145">
        <f>IF(CT$3=$K136,IF($C136="W",1,IF($C136="1/2W",0.5,0)),0)</f>
        <v>0</v>
      </c>
      <c r="CU136" s="146">
        <f>IF(CT$3=$K136,IF($C136="L",1,IF($C136="1/2L",0.5,0)),0)</f>
        <v>0</v>
      </c>
      <c r="CV136" s="146">
        <f>IF(CV$3=$K136,IF($C136="W",1,IF($C136="1/2W",0.5,0)),0)</f>
        <v>0</v>
      </c>
      <c r="CW136" s="146">
        <f>IF(CV$3=$K136,IF($C136="L",1,IF($C136="1/2L",0.5,0)),0)</f>
        <v>0</v>
      </c>
      <c r="CX136" s="146">
        <f>IF(CX$3=$K136,IF($C136="W",1,IF($C136="1/2W",0.5,0)),0)</f>
        <v>0</v>
      </c>
      <c r="CY136" s="146">
        <f>IF(CX$3=$K136,IF($C136="L",1,IF($C136="1/2L",0.5,0)),0)</f>
        <v>0</v>
      </c>
      <c r="CZ136" s="146">
        <f>IF(CZ$3=$K136,IF($C136="W",1,IF($C136="1/2W",0.5,0)),0)</f>
        <v>0</v>
      </c>
      <c r="DA136" s="146">
        <f>IF(CZ$3=$K136,IF($C136="L",1,IF($C136="1/2L",0.5,0)),0)</f>
        <v>0</v>
      </c>
      <c r="DB136" s="146">
        <f>IF(DB$3=$K136,IF($C136="W",1,IF($C136="1/2W",0.5,0)),0)</f>
        <v>0</v>
      </c>
      <c r="DC136" s="146">
        <f>IF(DB$3=$K136,IF($C136="L",1,IF($C136="1/2L",0.5,0)),0)</f>
        <v>1</v>
      </c>
      <c r="DD136" s="146">
        <f>IF(DD$3=$K136,IF($C136="W",1,IF($C136="1/2W",0.5,0)),0)</f>
        <v>0</v>
      </c>
      <c r="DE136" s="147">
        <f>IF(DD$3=$K136,IF($C136="L",1,IF($C136="1/2L",0.5,0)),0)</f>
        <v>0</v>
      </c>
      <c r="DF136" s="143">
        <f>IF(AND(L136&lt;DF$3,$C136="W"),1+DF135,DF135)</f>
        <v>7</v>
      </c>
      <c r="DG136" s="133">
        <f>IF(DF136&gt;DF135,L136+DG135,DG135)</f>
        <v>9.247999999999999</v>
      </c>
      <c r="DH136" s="146">
        <f>IF(AND(L136&gt;DH$3,$C136="W"),1+DH135,0+DH135)</f>
        <v>1</v>
      </c>
      <c r="DI136" s="133">
        <f>IF(DH136&gt;DH135,L136+DI135,DI135)</f>
        <v>4.33</v>
      </c>
      <c r="DJ136" t="s" s="304">
        <f>IF($D136="","",$D136)</f>
        <v>101</v>
      </c>
      <c r="DK136" s="146">
        <f>IF(AND($B136=" ",$D136&lt;&gt;""),1,0)</f>
        <v>0</v>
      </c>
    </row>
    <row r="137" ht="14.55" customHeight="1">
      <c r="A137" s="107"/>
      <c r="B137" s="108"/>
      <c r="C137" t="s" s="109">
        <v>56</v>
      </c>
      <c r="D137" s="110"/>
      <c r="E137" s="111"/>
      <c r="F137" s="113"/>
      <c r="G137" s="252"/>
      <c r="H137" s="114"/>
      <c r="I137" t="s" s="275">
        <v>172</v>
      </c>
      <c r="J137" t="s" s="295">
        <f>IF(OR(I136="TO",I136="TU",I136="TO1",I136="TU1",I136="TO2",I136="TU2"),J136,IF(OR(I136="AH1",I136="AH2"),IF(OR(I137="AH1",I137="AH2"),-J136,IF(OR(I137="EH1",I137="EH2"),-J136+0.5,"")),IF(OR(I136="EH1",I136="EH2"),IF(OR(I137="AH1",I137="AH2"),-J136+0.5,IF(OR(I137="EH1",I137="EH2"),-J136+1,"")),IF(AND(OR(I136="DNB1",I136="DNB2"),OR(I137="AH1",I137="AH2")),0,IF(AND(I136="Not ScoreBoth",OR(I137="TO1",I137="TO2")),0.5,"")))))</f>
      </c>
      <c r="K137" t="s" s="117">
        <v>38</v>
      </c>
      <c r="L137" s="277">
        <v>2.6</v>
      </c>
      <c r="M137" s="278"/>
      <c r="N137" s="120"/>
      <c r="O137" s="121">
        <f>IF(OR(AE136="",AE137=""),"",ROUND(IF(L138&gt;0,IF(M137&gt;0,M137,IF(M136&gt;0,IF(N136=TRUE,ROUND((M136*AE137)/AE136,0),(M136*AE137)/AE136),IF(M137&gt;0,ROUND(M137,IF(N136=0,2,IF(N136=0.1,1,0))),IF(M138&gt;0,ROUND(O138*AE137/AE138,IF(N136=0,2,IF(N136=0.1,1,0))),0)))),IF(M137&gt;0,M137,ROUND((M136*AE137)/AE136,IF(N136=0,2,IF(N136=0.1,1,0))))),2))</f>
        <v>24.08</v>
      </c>
      <c r="P137" s="122">
        <f>IF(OR(L137="",O137=""),"",IF($C137="1/2W",O137/2+O137/2*L137,IF($C137="1/2L",O137/2,IF(I137="Lay",((O137*(L137/(L137-1)))-O137)*(1-_xlfn.XLOOKUP(K137,'Janeiro 2023 - Valor Real'!A3:A15,'Janeiro 2023 - Valor Real'!C3:C15,0))+O137,(O137*L137-O137)*(1-_xlfn.XLOOKUP(K137,'Janeiro 2023 - Valor Real'!A3:A15,'Janeiro 2023 - Valor Real'!C3:C15,0))+O137))))</f>
        <v>62.608</v>
      </c>
      <c r="Q137" s="279">
        <v>5</v>
      </c>
      <c r="R137" s="280">
        <v>0</v>
      </c>
      <c r="S137" s="125"/>
      <c r="T137" s="126"/>
      <c r="U137" s="126"/>
      <c r="V137" s="224"/>
      <c r="W137" s="126"/>
      <c r="X137" s="127"/>
      <c r="Y137" s="128"/>
      <c r="Z137" s="129"/>
      <c r="AA137" s="129"/>
      <c r="AB137" s="129"/>
      <c r="AC137" s="129"/>
      <c r="AD137" s="130"/>
      <c r="AE137" s="131">
        <f>IF(L137="","",IF(L138&gt;0,(SUM(((L136-1)*(1-_xlfn.XLOOKUP(K136,'Janeiro 2023 - Valor Real'!A3:A15,'Janeiro 2023 - Valor Real'!C3:C15,0))+1),((L137-1)*(1-_xlfn.XLOOKUP(K137,'Janeiro 2023 - Valor Real'!A3:A15,'Janeiro 2023 - Valor Real'!C3:C15,0))+1),((L138-1)*(1-_xlfn.XLOOKUP(K138,'Janeiro 2023 - Valor Real'!A3:A15,'Janeiro 2023 - Valor Real'!C3:C15,0))+1))/((L137-1)*(1-_xlfn.XLOOKUP(K137,'Janeiro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Real'!C3:C15,0))+1))/((L136-1)*(1-_xlfn.XLOOKUP(K136,'Janeiro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Real'!C3:C15,0))+1))/((L137-1)*(1-_xlfn.XLOOKUP(K137,'Janeiro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Real'!C3:C15,0))+1))/((L138-1)*(1-_xlfn.XLOOKUP(K138,'Janeiro 2023 - Valor Real'!A3:A15,'Janeiro 2023 - Valor Real'!C3:C15,0))+1)),IF(I137="Lay",IF(I136="Lay",((L136/(L136-1)-1)*(1-_xlfn.XLOOKUP(K136,'Janeiro 2023 - Valor Real'!A3:A15,'Janeiro 2023 - Valor Real'!C3:C15,0))+1)/(((L136/(L136-1)-1)*(1-_xlfn.XLOOKUP(K136,'Janeiro 2023 - Valor Real'!A3:A15,'Janeiro 2023 - Valor Real'!C3:C15,0))+1)+((L137/(L137-1)-1)*(1-_xlfn.XLOOKUP(K137,'Janeiro 2023 - Valor Real'!A3:A15,'Janeiro 2023 - Valor Real'!C3:C15,0))+1)),((L136-1)*(1-_xlfn.XLOOKUP(K136,'Janeiro 2023 - Valor Real'!A3:A15,'Janeiro 2023 - Valor Real'!C3:C15,0))+1)/(((L136-1)*(1-_xlfn.XLOOKUP(K136,'Janeiro 2023 - Valor Real'!A3:A15,'Janeiro 2023 - Valor Real'!C3:C15,0))+1)+((L137/(L137-1)-1)*(1-_xlfn.XLOOKUP(K137,'Janeiro 2023 - Valor Real'!A3:A15,'Janeiro 2023 - Valor Real'!C3:C15,0))+1))),IF(I136="Lay",((L136/(L136-1)-1)*(1-_xlfn.XLOOKUP(K136,'Janeiro 2023 - Valor Real'!A3:A15,'Janeiro 2023 - Valor Real'!C3:C15,0))+1)/((((L136/(L136-1)-1)*(1-_xlfn.XLOOKUP(K136,'Janeiro 2023 - Valor Real'!A3:A15,'Janeiro 2023 - Valor Real'!C3:C15,0))+1))+((L137-1)*(1-_xlfn.XLOOKUP(K137,'Janeiro 2023 - Valor Real'!A3:A15,'Janeiro 2023 - Valor Real'!C3:C15,0))+1)),((L136-1)*(1-_xlfn.XLOOKUP(K136,'Janeiro 2023 - Valor Real'!A3:A15,'Janeiro 2023 - Valor Real'!C3:C15,0))+1)/(((L136-1)*(1-_xlfn.XLOOKUP(K136,'Janeiro 2023 - Valor Real'!A3:A15,'Janeiro 2023 - Valor Real'!C3:C15,0))+1)+((L137-1)*(1-_xlfn.XLOOKUP(K137,'Janeiro 2023 - Valor Real'!A3:A15,'Janeiro 2023 - Valor Real'!C3:C15,0))+1))))))</f>
        <v>0.399538106235566</v>
      </c>
      <c r="AF137" s="132">
        <f>IF($K137=AF$3,ROUND(IF(OR($C137="W",$C137="1/2W",$C137="1/2L"),$P137-$O137,IF($C137="X",0,-$O137)),2),0)</f>
        <v>0</v>
      </c>
      <c r="AG137" s="133">
        <f>IF($K137=AG$3,ROUND(IF(OR($C137="W",$C137="1/2W",$C137="1/2L"),$P137-$O137,IF($C137="X",0,-$O137)),2),0)</f>
        <v>38.53</v>
      </c>
      <c r="AH137" s="133">
        <f>IF($K137=AH$3,ROUND(IF(OR($C137="W",$C137="1/2W",$C137="1/2L"),$P137-$O137,IF($C137="X",0,-$O137)),2),0)</f>
        <v>0</v>
      </c>
      <c r="AI137" s="133">
        <f>IF($K137=AI$3,ROUND(IF(OR($C137="W",$C137="1/2W",$C137="1/2L"),$P137-$O137,IF($C137="X",0,-$O137)),2),0)</f>
        <v>0</v>
      </c>
      <c r="AJ137" s="133">
        <f>IF($K137=AJ$3,ROUND(IF(OR($C137="W",$C137="1/2W",$C137="1/2L"),$P137-$O137,IF($C137="X",0,-$O137)),2),0)</f>
        <v>0</v>
      </c>
      <c r="AK137" s="133">
        <f>IF($K137=AK$3,ROUND(IF(OR($C137="W",$C137="1/2W",$C137="1/2L"),$P137-$O137,IF($C137="X",0,-$O137)),2),0)</f>
        <v>0</v>
      </c>
      <c r="AL137" s="133">
        <f>IF($K137=AL$3,ROUND(IF(OR($C137="W",$C137="1/2W",$C137="1/2L"),$P137-$O137,IF($C137="X",0,-$O137)),2),0)</f>
        <v>0</v>
      </c>
      <c r="AM137" s="133">
        <f>IF($K137=AM$3,ROUND(IF(OR($C137="W",$C137="1/2W",$C137="1/2L"),$P137-$O137,IF($C137="X",0,-$O137)),2),0)</f>
        <v>0</v>
      </c>
      <c r="AN137" s="133">
        <f>IF($K137=AN$3,ROUND(IF(OR($C137="W",$C137="1/2W",$C137="1/2L"),$P137-$O137,IF($C137="X",0,-$O137)),2),0)</f>
        <v>0</v>
      </c>
      <c r="AO137" s="133">
        <f>IF($K137=AO$3,ROUND(IF(OR($C137="W",$C137="1/2W",$C137="1/2L"),$P137-$O137,IF($C137="X",0,-$O137)),2),0)</f>
        <v>0</v>
      </c>
      <c r="AP137" s="133">
        <f>IF($K137=AP$3,ROUND(IF(OR($C137="W",$C137="1/2W",$C137="1/2L"),$P137-$O137,IF($C137="X",0,-$O137)),2),0)</f>
        <v>0</v>
      </c>
      <c r="AQ137" s="133">
        <f>IF($K137=AQ$3,ROUND(IF(OR($C137="W",$C137="1/2W",$C137="1/2L"),$P137-$O137,IF($C137="X",0,-$O137)),2),0)</f>
        <v>0</v>
      </c>
      <c r="AR137" s="134">
        <f>IF($K137=AR$3,ROUND(IF(OR($C137="W",$C137="1/2W",$C137="1/2L"),$P137-$O137,IF($C137="X",0,-$O137)),2),0)</f>
        <v>0</v>
      </c>
      <c r="AS137" s="132">
        <f>IF(AND($B136=" ",$K137=AS$3),$O137,0)</f>
        <v>0</v>
      </c>
      <c r="AT137" s="133">
        <f>IF(AND($B136=" ",K137=AT$3),$O137,0)</f>
        <v>0</v>
      </c>
      <c r="AU137" s="133">
        <f>IF(AND($B136=" ",$K137=AU$3),$O137,0)</f>
        <v>0</v>
      </c>
      <c r="AV137" s="133">
        <f>IF(AND($B136=" ",$K137=AV$3),$O137,0)</f>
        <v>0</v>
      </c>
      <c r="AW137" s="133">
        <f>IF(AND($B136=" ",$K137=AW$3),$O137,0)</f>
        <v>0</v>
      </c>
      <c r="AX137" s="133">
        <f>IF(AND($B136=" ",$K137=AX$3),$O137,0)</f>
        <v>0</v>
      </c>
      <c r="AY137" s="135">
        <f>IF(AND($B136=" ",$K137=AY$3),$O137,0)</f>
        <v>0</v>
      </c>
      <c r="AZ137" s="136">
        <f>IF(AND($B136=" ",$K137=AZ$3),$O137,0)</f>
        <v>0</v>
      </c>
      <c r="BA137" s="136">
        <f>IF(AND($B136=" ",$K137=BA$3),$O137,0)</f>
        <v>0</v>
      </c>
      <c r="BB137" s="136">
        <f>IF(AND($B136=" ",$K137=BB$3),$O137,0)</f>
        <v>0</v>
      </c>
      <c r="BC137" s="137">
        <f>IF(AND($B136=" ",$K137=BC$3),$O137,0)</f>
        <v>0</v>
      </c>
      <c r="BD137" s="133">
        <f>IF(AND($B136=" ",$K137=BD$3),$O137,0)</f>
        <v>0</v>
      </c>
      <c r="BE137" s="134">
        <f>IF(AND($B136=" ",$K137=BE$3),$O137,0)</f>
        <v>0</v>
      </c>
      <c r="BF137" s="132">
        <f>IF($K137=BF$3,IF($C137="X",0,$O137),0)</f>
        <v>0</v>
      </c>
      <c r="BG137" s="281">
        <f>IF($K137=BG$3,IF($C137="X",0,$O137),0)</f>
        <v>24.08</v>
      </c>
      <c r="BH137" s="133">
        <f>IF($K137=BH$3,IF($C137="X",0,$O137),0)</f>
        <v>0</v>
      </c>
      <c r="BI137" s="133">
        <f>IF($K137=BI$3,IF($C137="X",0,$O137),0)</f>
        <v>0</v>
      </c>
      <c r="BJ137" s="133">
        <f>IF($K137=BJ$3,IF($C137="X",0,$O137),0)</f>
        <v>0</v>
      </c>
      <c r="BK137" s="133">
        <f>IF($K137=BK$3,IF($C137="X",0,$O137),0)</f>
        <v>0</v>
      </c>
      <c r="BL137" s="133">
        <f>IF($K137=BL$3,IF($C137="X",0,$O137),0)</f>
        <v>0</v>
      </c>
      <c r="BM137" s="135">
        <f>IF($K137=BM$3,IF($C137="X",0,$O137),0)</f>
        <v>0</v>
      </c>
      <c r="BN137" s="136">
        <f>IF($K137=BN$3,IF($C137="X",0,$O137),0)</f>
        <v>0</v>
      </c>
      <c r="BO137" s="136">
        <f>IF($K137=BO$3,IF($C137="X",0,$O137),0)</f>
        <v>0</v>
      </c>
      <c r="BP137" s="136">
        <f>IF($K137=BP$3,IF($C137="X",0,$O137),0)</f>
        <v>0</v>
      </c>
      <c r="BQ137" s="137">
        <f>IF($K137=BQ$3,IF($C137="X",0,$O137),0)</f>
        <v>0</v>
      </c>
      <c r="BR137" s="134">
        <f>IF($K137=BR$3,IF($C137="X",0,$O137),0)</f>
        <v>0</v>
      </c>
      <c r="BS137" s="282"/>
      <c r="BT137" s="283"/>
      <c r="BU137" s="140"/>
      <c r="BV137" s="283"/>
      <c r="BW137" s="140"/>
      <c r="BX137" s="140"/>
      <c r="BY137" s="140"/>
      <c r="BZ137" s="283"/>
      <c r="CA137" s="140"/>
      <c r="CB137" s="140"/>
      <c r="CC137" s="140"/>
      <c r="CD137" s="141"/>
      <c r="CE137" s="142"/>
      <c r="CF137" s="284">
        <f>IF(CF$3=$K137,IF($C137="W",1,IF($C137="1/2W",0.5,0)),0)</f>
        <v>0</v>
      </c>
      <c r="CG137" s="285">
        <f>IF(CF$3=$K137,IF($C137="L",1,IF($C137="1/2L",0.5,0)),0)</f>
        <v>0</v>
      </c>
      <c r="CH137" s="285">
        <f>IF(CH$3=$K137,IF($C137="W",1,IF($C137="1/2W",0.5,0)),0)</f>
        <v>1</v>
      </c>
      <c r="CI137" s="285">
        <f>IF(CH$3=$K137,IF($C137="L",1,IF($C137="1/2L",0.5,0)),0)</f>
        <v>0</v>
      </c>
      <c r="CJ137" s="285">
        <f>IF(CJ$3=$K137,IF($C137="W",1,IF($C137="1/2W",0.5,0)),0)</f>
        <v>0</v>
      </c>
      <c r="CK137" s="285">
        <f>IF(CJ$3=$K137,IF($C137="L",1,IF($C137="1/2L",0.5,0)),0)</f>
        <v>0</v>
      </c>
      <c r="CL137" s="285">
        <f>IF(CL$3=$K137,IF($C137="W",1,IF($C137="1/2W",0.5,0)),0)</f>
        <v>0</v>
      </c>
      <c r="CM137" s="285">
        <f>IF(CL$3=$K137,IF($C137="L",1,IF($C137="1/2L",0.5,0)),0)</f>
        <v>0</v>
      </c>
      <c r="CN137" s="285">
        <f>IF(CN$3=$K137,IF($C137="W",1,IF($C137="1/2W",0.5,0)),0)</f>
        <v>0</v>
      </c>
      <c r="CO137" s="285">
        <f>IF(CN$3=$K137,IF($C137="L",1,IF($C137="1/2L",0.5,0)),0)</f>
        <v>0</v>
      </c>
      <c r="CP137" s="285">
        <f>IF(CP$3=$K137,IF($C137="W",1,IF($C137="1/2W",0.5,0)),0)</f>
        <v>0</v>
      </c>
      <c r="CQ137" s="285">
        <f>IF(CP$3=$K137,IF($C137="L",1,IF($C137="1/2L",0.5,0)),0)</f>
        <v>0</v>
      </c>
      <c r="CR137" s="285">
        <f>IF(CR$3=$K137,IF($C137="W",1,IF($C137="1/2W",0.5,0)),0)</f>
        <v>0</v>
      </c>
      <c r="CS137" s="285">
        <f>IF(CR$3=$K137,IF($C137="L",1,IF($C137="1/2L",0.5,0)),0)</f>
        <v>0</v>
      </c>
      <c r="CT137" s="145">
        <f>IF(CT$3=$K137,IF($C137="W",1,IF($C137="1/2W",0.5,0)),0)</f>
        <v>0</v>
      </c>
      <c r="CU137" s="146">
        <f>IF(CT$3=$K137,IF($C137="L",1,IF($C137="1/2L",0.5,0)),0)</f>
        <v>0</v>
      </c>
      <c r="CV137" s="146">
        <f>IF(CV$3=$K137,IF($C137="W",1,IF($C137="1/2W",0.5,0)),0)</f>
        <v>0</v>
      </c>
      <c r="CW137" s="146">
        <f>IF(CV$3=$K137,IF($C137="L",1,IF($C137="1/2L",0.5,0)),0)</f>
        <v>0</v>
      </c>
      <c r="CX137" s="146">
        <f>IF(CX$3=$K137,IF($C137="W",1,IF($C137="1/2W",0.5,0)),0)</f>
        <v>0</v>
      </c>
      <c r="CY137" s="146">
        <f>IF(CX$3=$K137,IF($C137="L",1,IF($C137="1/2L",0.5,0)),0)</f>
        <v>0</v>
      </c>
      <c r="CZ137" s="146">
        <f>IF(CZ$3=$K137,IF($C137="W",1,IF($C137="1/2W",0.5,0)),0)</f>
        <v>0</v>
      </c>
      <c r="DA137" s="146">
        <f>IF(CZ$3=$K137,IF($C137="L",1,IF($C137="1/2L",0.5,0)),0)</f>
        <v>0</v>
      </c>
      <c r="DB137" s="146">
        <f>IF(DB$3=$K137,IF($C137="W",1,IF($C137="1/2W",0.5,0)),0)</f>
        <v>0</v>
      </c>
      <c r="DC137" s="146">
        <f>IF(DB$3=$K137,IF($C137="L",1,IF($C137="1/2L",0.5,0)),0)</f>
        <v>0</v>
      </c>
      <c r="DD137" s="146">
        <f>IF(DD$3=$K137,IF($C137="W",1,IF($C137="1/2W",0.5,0)),0)</f>
        <v>0</v>
      </c>
      <c r="DE137" s="147">
        <f>IF(DD$3=$K137,IF($C137="L",1,IF($C137="1/2L",0.5,0)),0)</f>
        <v>0</v>
      </c>
      <c r="DF137" s="143">
        <f>IF(AND(L137&lt;DF$3,$C137="W"),1+DF136,DF136)</f>
        <v>7</v>
      </c>
      <c r="DG137" s="133">
        <f>IF(DF137&gt;DF136,L137+DG136,DG136)</f>
        <v>9.247999999999999</v>
      </c>
      <c r="DH137" s="146">
        <f>IF(AND(L137&gt;DH$3,$C137="W"),1+DH136,0+DH136)</f>
        <v>1</v>
      </c>
      <c r="DI137" s="133">
        <f>IF(DH137&gt;DH136,L137+DI136,DI136)</f>
        <v>4.33</v>
      </c>
      <c r="DJ137" t="s" s="304">
        <f>IF($D136="","",$D136)</f>
        <v>101</v>
      </c>
      <c r="DK137" s="286"/>
    </row>
    <row r="138" ht="14.55" customHeight="1">
      <c r="A138" s="149"/>
      <c r="B138" s="150"/>
      <c r="C138" t="s" s="151">
        <v>58</v>
      </c>
      <c r="D138" s="152"/>
      <c r="E138" s="153"/>
      <c r="F138" s="155"/>
      <c r="G138" s="252"/>
      <c r="H138" s="156"/>
      <c r="I138" s="287"/>
      <c r="J138" s="288"/>
      <c r="K138" s="156"/>
      <c r="L138" s="289"/>
      <c r="M138" s="290"/>
      <c r="N138" s="161"/>
      <c r="O138" t="s" s="162">
        <f>IF(OR(AE136="",AE137=""),"",IF(L138&gt;0,ROUND(IF(M138&gt;0,M138,IF(M136&gt;0,ROUND((M136*AE138)/AE136,IF(N136=0,2,IF(N136=0.1,1,0))),IF(M137&gt;0,ROUND((M137*AE138)/AE137,IF(N136=0,2,IF(N136=0.1,1,0))),IF(M138&gt;0,M138,0)))),2),""))</f>
      </c>
      <c r="P138" t="s" s="163">
        <f>IF(I137="Lay",O137*(L137/(L137-1))-O137,IF(I136="Lay",O136*(L136/(L136-1))-O136,IF(OR(L138="",O138=""),"",IF($C138="1/2W",O138/2+O138/2*L138,IF($C138="1/2L",O138/2,(O138*L138-O138)*(1-_xlfn.XLOOKUP(K138,'Janeiro 2023 - Valor Real'!A3:A15,'Janeiro 2023 - Valor Real'!C3:C15,0))+O138)))))</f>
      </c>
      <c r="Q138" t="s" s="154"/>
      <c r="R138" t="s" s="163"/>
      <c r="S138" s="166"/>
      <c r="T138" s="155"/>
      <c r="U138" s="155"/>
      <c r="V138" s="166"/>
      <c r="W138" s="155"/>
      <c r="X138" s="167"/>
      <c r="Y138" s="128"/>
      <c r="Z138" s="129"/>
      <c r="AA138" s="129"/>
      <c r="AB138" s="129"/>
      <c r="AC138" s="129"/>
      <c r="AD138" s="168"/>
      <c r="AE138" t="s" s="169">
        <f>IF(L138="","",(SUM(((L136-1)*(1-_xlfn.XLOOKUP(K136,'Janeiro 2023 - Valor Real'!A3:A15,'Janeiro 2023 - Valor Real'!C3:C15,0))+1),((L137-1)*(1-_xlfn.XLOOKUP(K137,'Janeiro 2023 - Valor Real'!A3:A15,'Janeiro 2023 - Valor Real'!C3:C15,0))+1),((L138-1)*(1-_xlfn.XLOOKUP(K138,'Janeiro 2023 - Valor Real'!A3:A15,'Janeiro 2023 - Valor Real'!C3:C15,0))+1))/((L138-1)*(1-_xlfn.XLOOKUP(K138,'Janeiro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Real'!C3:C15,0))+1))/((L136-1)*(1-_xlfn.XLOOKUP(K136,'Janeiro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Real'!C3:C15,0))+1))/((L137-1)*(1-_xlfn.XLOOKUP(K137,'Janeiro 2023 - Valor Real'!A3:A15,'Janeiro 2023 - Valor Real'!C3:C15,0))+1)+SUM(((L136-1)*(1-_xlfn.XLOOKUP(K136,'Janeiro 2023 - Valor Real'!A3:A15,'Janeiro 2023 - Valor Real'!C3:C15,0))+1),((L137-1)*(1-_xlfn.XLOOKUP(K137,'Janeiro 2023 - Valor Real'!A3:A15,'Janeiro 2023 - Valor Real'!C3:C15,0))+1),((L138-1)*(1-_xlfn.XLOOKUP(K138,'Janeiro 2023 - Valor Real'!A3:A15,'Janeiro 2023 - Valor Real'!C3:C15,0))+1))/((L138-1)*(1-_xlfn.XLOOKUP(K138,'Janeiro 2023 - Valor Real'!A3:A15,'Janeiro 2023 - Valor Real'!C3:C15,0))+1)))</f>
      </c>
      <c r="AF138" s="132">
        <f>IF($K138=AF$3,ROUND(IF(OR($C138="W",$C138="1/2W",$C138="1/2L"),$P138-$O138,IF($C138="X",0,-$O138)),2),0)</f>
        <v>0</v>
      </c>
      <c r="AG138" s="133">
        <f>IF($K138=AG$3,ROUND(IF(OR($C138="W",$C138="1/2W",$C138="1/2L"),$P138-$O138,IF($C138="X",0,-$O138)),2),0)</f>
        <v>0</v>
      </c>
      <c r="AH138" s="133">
        <f>IF($K138=AH$3,ROUND(IF(OR($C138="W",$C138="1/2W",$C138="1/2L"),$P138-$O138,IF($C138="X",0,-$O138)),2),0)</f>
        <v>0</v>
      </c>
      <c r="AI138" s="133">
        <f>IF($K138=AI$3,ROUND(IF(OR($C138="W",$C138="1/2W",$C138="1/2L"),$P138-$O138,IF($C138="X",0,-$O138)),2),0)</f>
        <v>0</v>
      </c>
      <c r="AJ138" s="133">
        <f>IF($K138=AJ$3,ROUND(IF(OR($C138="W",$C138="1/2W",$C138="1/2L"),$P138-$O138,IF($C138="X",0,-$O138)),2),0)</f>
        <v>0</v>
      </c>
      <c r="AK138" s="133">
        <f>IF($K138=AK$3,ROUND(IF(OR($C138="W",$C138="1/2W",$C138="1/2L"),$P138-$O138,IF($C138="X",0,-$O138)),2),0)</f>
        <v>0</v>
      </c>
      <c r="AL138" s="133">
        <f>IF($K138=AL$3,ROUND(IF(OR($C138="W",$C138="1/2W",$C138="1/2L"),$P138-$O138,IF($C138="X",0,-$O138)),2),0)</f>
        <v>0</v>
      </c>
      <c r="AM138" s="133">
        <f>IF($K138=AM$3,ROUND(IF(OR($C138="W",$C138="1/2W",$C138="1/2L"),$P138-$O138,IF($C138="X",0,-$O138)),2),0)</f>
        <v>0</v>
      </c>
      <c r="AN138" s="133">
        <f>IF($K138=AN$3,ROUND(IF(OR($C138="W",$C138="1/2W",$C138="1/2L"),$P138-$O138,IF($C138="X",0,-$O138)),2),0)</f>
        <v>0</v>
      </c>
      <c r="AO138" s="133">
        <f>IF($K138=AO$3,ROUND(IF(OR($C138="W",$C138="1/2W",$C138="1/2L"),$P138-$O138,IF($C138="X",0,-$O138)),2),0)</f>
        <v>0</v>
      </c>
      <c r="AP138" s="133">
        <f>IF($K138=AP$3,ROUND(IF(OR($C138="W",$C138="1/2W",$C138="1/2L"),$P138-$O138,IF($C138="X",0,-$O138)),2),0)</f>
        <v>0</v>
      </c>
      <c r="AQ138" s="133">
        <f>IF($K138=AQ$3,ROUND(IF(OR($C138="W",$C138="1/2W",$C138="1/2L"),$P138-$O138,IF($C138="X",0,-$O138)),2),0)</f>
        <v>0</v>
      </c>
      <c r="AR138" s="134">
        <f>IF($K138=AR$3,ROUND(IF(OR($C138="W",$C138="1/2W",$C138="1/2L"),$P138-$O138,IF($C138="X",0,-$O138)),2),0)</f>
        <v>0</v>
      </c>
      <c r="AS138" s="132">
        <f>IF(AND($B136=" ",$K138=AS$3),$O138,0)</f>
        <v>0</v>
      </c>
      <c r="AT138" s="133">
        <f>IF(AND($B136=" ",K138=AT$3),$O138,0)</f>
        <v>0</v>
      </c>
      <c r="AU138" s="133">
        <f>IF(AND($B136=" ",$K138=AU$3),$O138,0)</f>
        <v>0</v>
      </c>
      <c r="AV138" s="133">
        <f>IF(AND($B136=" ",$K138=AV$3),$O138,0)</f>
        <v>0</v>
      </c>
      <c r="AW138" s="133">
        <f>IF(AND($B136=" ",$K138=AW$3),$O138,0)</f>
        <v>0</v>
      </c>
      <c r="AX138" s="133">
        <f>IF(AND($B136=" ",$K138=AX$3),$O138,0)</f>
        <v>0</v>
      </c>
      <c r="AY138" s="135">
        <f>IF(AND($B136=" ",$K138=AY$3),$O138,0)</f>
        <v>0</v>
      </c>
      <c r="AZ138" s="136">
        <f>IF(AND($B136=" ",$K138=AZ$3),$O138,0)</f>
        <v>0</v>
      </c>
      <c r="BA138" s="136">
        <f>IF(AND($B136=" ",$K138=BA$3),$O138,0)</f>
        <v>0</v>
      </c>
      <c r="BB138" s="136">
        <f>IF(AND($B136=" ",$K138=BB$3),$O138,0)</f>
        <v>0</v>
      </c>
      <c r="BC138" s="137">
        <f>IF(AND($B136=" ",$K138=BC$3),$O138,0)</f>
        <v>0</v>
      </c>
      <c r="BD138" s="133">
        <f>IF(AND($B136=" ",$K138=BD$3),$O138,0)</f>
        <v>0</v>
      </c>
      <c r="BE138" s="134">
        <f>IF(AND($B136=" ",$K138=BE$3),$O138,0)</f>
        <v>0</v>
      </c>
      <c r="BF138" s="132">
        <f>IF($K138=BF$3,IF($C138="X",0,$O138),0)</f>
        <v>0</v>
      </c>
      <c r="BG138" s="281">
        <f>IF($K138=BG$3,IF($C138="X",0,$O138),0)</f>
        <v>0</v>
      </c>
      <c r="BH138" s="133">
        <f>IF($K138=BH$3,IF($C138="X",0,$O138),0)</f>
        <v>0</v>
      </c>
      <c r="BI138" s="133">
        <f>IF($K138=BI$3,IF($C138="X",0,$O138),0)</f>
        <v>0</v>
      </c>
      <c r="BJ138" s="133">
        <f>IF($K138=BJ$3,IF($C138="X",0,$O138),0)</f>
        <v>0</v>
      </c>
      <c r="BK138" s="133">
        <f>IF($K138=BK$3,IF($C138="X",0,$O138),0)</f>
        <v>0</v>
      </c>
      <c r="BL138" s="133">
        <f>IF($K138=BL$3,IF($C138="X",0,$O138),0)</f>
        <v>0</v>
      </c>
      <c r="BM138" s="135">
        <f>IF($K138=BM$3,IF($C138="X",0,$O138),0)</f>
        <v>0</v>
      </c>
      <c r="BN138" s="136">
        <f>IF($K138=BN$3,IF($C138="X",0,$O138),0)</f>
        <v>0</v>
      </c>
      <c r="BO138" s="136">
        <f>IF($K138=BO$3,IF($C138="X",0,$O138),0)</f>
        <v>0</v>
      </c>
      <c r="BP138" s="136">
        <f>IF($K138=BP$3,IF($C138="X",0,$O138),0)</f>
        <v>0</v>
      </c>
      <c r="BQ138" s="137">
        <f>IF($K138=BQ$3,IF($C138="X",0,$O138),0)</f>
        <v>0</v>
      </c>
      <c r="BR138" s="134">
        <f>IF($K138=BR$3,IF($C138="X",0,$O138),0)</f>
        <v>0</v>
      </c>
      <c r="BS138" s="282"/>
      <c r="BT138" s="283"/>
      <c r="BU138" s="140"/>
      <c r="BV138" s="283"/>
      <c r="BW138" s="140"/>
      <c r="BX138" s="140"/>
      <c r="BY138" s="140"/>
      <c r="BZ138" s="283"/>
      <c r="CA138" s="140"/>
      <c r="CB138" s="140"/>
      <c r="CC138" s="140"/>
      <c r="CD138" s="141"/>
      <c r="CE138" s="142"/>
      <c r="CF138" s="284">
        <f>IF(CF$3=$K138,IF($C138="W",1,IF($C138="1/2W",0.5,0)),0)</f>
        <v>0</v>
      </c>
      <c r="CG138" s="285">
        <f>IF(CF$3=$K138,IF($C138="L",1,IF($C138="1/2L",0.5,0)),0)</f>
        <v>0</v>
      </c>
      <c r="CH138" s="285">
        <f>IF(CH$3=$K138,IF($C138="W",1,IF($C138="1/2W",0.5,0)),0)</f>
        <v>0</v>
      </c>
      <c r="CI138" s="285">
        <f>IF(CH$3=$K138,IF($C138="L",1,IF($C138="1/2L",0.5,0)),0)</f>
        <v>0</v>
      </c>
      <c r="CJ138" s="285">
        <f>IF(CJ$3=$K138,IF($C138="W",1,IF($C138="1/2W",0.5,0)),0)</f>
        <v>0</v>
      </c>
      <c r="CK138" s="285">
        <f>IF(CJ$3=$K138,IF($C138="L",1,IF($C138="1/2L",0.5,0)),0)</f>
        <v>0</v>
      </c>
      <c r="CL138" s="285">
        <f>IF(CL$3=$K138,IF($C138="W",1,IF($C138="1/2W",0.5,0)),0)</f>
        <v>0</v>
      </c>
      <c r="CM138" s="285">
        <f>IF(CL$3=$K138,IF($C138="L",1,IF($C138="1/2L",0.5,0)),0)</f>
        <v>0</v>
      </c>
      <c r="CN138" s="285">
        <f>IF(CN$3=$K138,IF($C138="W",1,IF($C138="1/2W",0.5,0)),0)</f>
        <v>0</v>
      </c>
      <c r="CO138" s="285">
        <f>IF(CN$3=$K138,IF($C138="L",1,IF($C138="1/2L",0.5,0)),0)</f>
        <v>0</v>
      </c>
      <c r="CP138" s="285">
        <f>IF(CP$3=$K138,IF($C138="W",1,IF($C138="1/2W",0.5,0)),0)</f>
        <v>0</v>
      </c>
      <c r="CQ138" s="285">
        <f>IF(CP$3=$K138,IF($C138="L",1,IF($C138="1/2L",0.5,0)),0)</f>
        <v>0</v>
      </c>
      <c r="CR138" s="285">
        <f>IF(CR$3=$K138,IF($C138="W",1,IF($C138="1/2W",0.5,0)),0)</f>
        <v>0</v>
      </c>
      <c r="CS138" s="285">
        <f>IF(CR$3=$K138,IF($C138="L",1,IF($C138="1/2L",0.5,0)),0)</f>
        <v>0</v>
      </c>
      <c r="CT138" s="145">
        <f>IF(CT$3=$K138,IF($C138="W",1,IF($C138="1/2W",0.5,0)),0)</f>
        <v>0</v>
      </c>
      <c r="CU138" s="146">
        <f>IF(CT$3=$K138,IF($C138="L",1,IF($C138="1/2L",0.5,0)),0)</f>
        <v>0</v>
      </c>
      <c r="CV138" s="146">
        <f>IF(CV$3=$K138,IF($C138="W",1,IF($C138="1/2W",0.5,0)),0)</f>
        <v>0</v>
      </c>
      <c r="CW138" s="146">
        <f>IF(CV$3=$K138,IF($C138="L",1,IF($C138="1/2L",0.5,0)),0)</f>
        <v>0</v>
      </c>
      <c r="CX138" s="146">
        <f>IF(CX$3=$K138,IF($C138="W",1,IF($C138="1/2W",0.5,0)),0)</f>
        <v>0</v>
      </c>
      <c r="CY138" s="146">
        <f>IF(CX$3=$K138,IF($C138="L",1,IF($C138="1/2L",0.5,0)),0)</f>
        <v>0</v>
      </c>
      <c r="CZ138" s="146">
        <f>IF(CZ$3=$K138,IF($C138="W",1,IF($C138="1/2W",0.5,0)),0)</f>
        <v>0</v>
      </c>
      <c r="DA138" s="146">
        <f>IF(CZ$3=$K138,IF($C138="L",1,IF($C138="1/2L",0.5,0)),0)</f>
        <v>0</v>
      </c>
      <c r="DB138" s="146">
        <f>IF(DB$3=$K138,IF($C138="W",1,IF($C138="1/2W",0.5,0)),0)</f>
        <v>0</v>
      </c>
      <c r="DC138" s="146">
        <f>IF(DB$3=$K138,IF($C138="L",1,IF($C138="1/2L",0.5,0)),0)</f>
        <v>0</v>
      </c>
      <c r="DD138" s="146">
        <f>IF(DD$3=$K138,IF($C138="W",1,IF($C138="1/2W",0.5,0)),0)</f>
        <v>0</v>
      </c>
      <c r="DE138" s="147">
        <f>IF(DD$3=$K138,IF($C138="L",1,IF($C138="1/2L",0.5,0)),0)</f>
        <v>0</v>
      </c>
      <c r="DF138" s="143">
        <f>IF(AND(L138&lt;DF$3,$C138="W"),1+DF137,DF137)</f>
        <v>7</v>
      </c>
      <c r="DG138" s="133">
        <f>IF(DF138&gt;DF137,L138+DG137,DG137)</f>
        <v>9.247999999999999</v>
      </c>
      <c r="DH138" s="146">
        <f>IF(AND(L138&gt;DH$3,$C138="W"),1+DH137,0+DH137)</f>
        <v>1</v>
      </c>
      <c r="DI138" s="133">
        <f>IF(DH138&gt;DH137,L138+DI137,DI137)</f>
        <v>4.33</v>
      </c>
      <c r="DJ138" t="s" s="304">
        <f>IF($D136="","",$D136)</f>
        <v>101</v>
      </c>
      <c r="DK138" s="286"/>
    </row>
    <row r="139" ht="14.55" customHeight="1">
      <c r="A139" s="171">
        <f>$A136+1</f>
        <v>46</v>
      </c>
      <c r="B139" t="s" s="172">
        <f>IF(AND(_xlfn.XLOOKUP(H139,H56:H$84,G56:G$84,0)=G139,_xlfn.XLOOKUP("TempoBet",K139:K141,L139:L141,0)&gt;0),"X",IF(OR(C139="W",C140="W",C141="W",C139="1/2W",C140="1/2W",C141="1/2W",C139="1/2L",C140="1/2L",C141="1/2L"),"OK",IF(OR(C139="L",C140="L",C141="L"),"LOSS",IF(OR(C139="X",C140="X",C141="X"),"Anulado"," "))))</f>
        <v>50</v>
      </c>
      <c r="C139" t="s" s="173">
        <v>56</v>
      </c>
      <c r="D139" t="s" s="305">
        <f>IF(G139="","",$D136)</f>
        <v>101</v>
      </c>
      <c r="E139" t="s" s="175">
        <f>IF(G139=""," ","– "&amp;COUNTIF(D$4:D141,$D139))</f>
        <v>173</v>
      </c>
      <c r="F139" t="s" s="176">
        <f>IF(G139="","",IF(OR(AND($C139&lt;&gt;" ",$C140=" "),AND($C140&lt;&gt;" ",$C139=" "),AND(L141&gt;0,OR(AND($C141&lt;&gt;" ",OR($C139=" ",$C140=" ")),AND($C141=" ",OR($C139&lt;&gt;" ",$C140&lt;&gt;" "))))),IF(SUM(F$4:F138)=0,1,LARGE(F$4:F138,1)+1),IF(MONTH(G139)=MONTH(TODAY()),IF(AND(DAY(G139)&lt;DAY(TODAY()),$B139=" "),IF(SUM(F$4:F138)=0,1,LARGE(F$4:F138,1)+1),IF($B139=" ",IF(AND(DAY(G139)=DAY(TODAY()),HOUR(G139)&lt;=HOUR(NOW())+1),IF(AND(HOUR(G139)+2&lt;=HOUR(NOW()),DAY(G139)&lt;=DAY(TODAY()),MINUTE(G139)&lt;=MINUTE(NOW())),IF(SUM(F$4:F138)=0,1,LARGE(F$4:F138,1)+1),IF(OR(MINUTE(G139)&lt;=MINUTE(NOW()),HOUR(G139)&lt;=HOUR(NOW())),"!!!","")),""),"")),"")))</f>
      </c>
      <c r="G139" s="177">
        <v>44944.416666666664</v>
      </c>
      <c r="H139" t="s" s="178">
        <v>174</v>
      </c>
      <c r="I139" t="s" s="179">
        <v>62</v>
      </c>
      <c r="J139" s="180"/>
      <c r="K139" t="s" s="181">
        <v>38</v>
      </c>
      <c r="L139" s="182">
        <v>7.25</v>
      </c>
      <c r="M139" s="183">
        <v>3.47</v>
      </c>
      <c r="N139" s="184">
        <v>0</v>
      </c>
      <c r="O139" s="185">
        <f>IF(OR(AE139="",AE140=""),"",ROUND(IF(L141&gt;0,IF(M139&gt;0,M139,IF(M140&gt;0,ROUND((M140*AE139)/AE140,IF(N139=0,2,IF(N139=0.1,1,0))),ROUND((M141*AE139)/AE141,IF(N139=0,2,IF(N139=0.1,1,0))))),IF(M139&gt;0,M139,ROUND((M140*AE139)/AE140,IF(N139=0,2,IF(N139=0.1,1,0))))),2))</f>
        <v>3.47</v>
      </c>
      <c r="P139" s="186">
        <f>IF(OR(L139="",O139=""),"",IF($C139="1/2W",O139/2+O139/2*L139,IF($C139="1/2L",O139/2,IF(I139="Lay",(O139*(L139/(L139-1))-O139)*(1-_xlfn.XLOOKUP(K139,'Janeiro 2023 - Valor Real'!A3:A15,'Janeiro 2023 - Valor Real'!C3:C15,0))+O139,(O139*L139-O139)*(1-_xlfn.XLOOKUP(K139,'Janeiro 2023 - Valor Real'!A3:A15,'Janeiro 2023 - Valor Real'!C3:C15,0))+O139))))</f>
        <v>25.1575</v>
      </c>
      <c r="Q139" s="187">
        <f>IF(K139="","",IF(_xlfn.XLOOKUP(K139,K56:K$84,DJ56:DJ$84,0,,-1)=DJ139,_xlfn.XLOOKUP(K139,K56:K$84,Q56:Q$84,1,,-1)+1,1))</f>
        <v>5</v>
      </c>
      <c r="R139" s="188">
        <f>IF(K139="","",_xlfn.XLOOKUP(K139,K56:K$84,R56:R$84,0,,-1)+IF($C139=" ",1,0))</f>
        <v>0</v>
      </c>
      <c r="S139" s="189">
        <f>IF($B139="Anulado",0,ROUND(IF(OR($B139="LOSS",$B139="OK"),IF(OR($C139="W",$C139="1/2W",$C139="1/2L"),P139-O139,IF($C139="L",-O139,0))+IF(OR($C140="W",$C140="1/2W",$C140="1/2L"),P140-O140,IF($C140="L",-O140,0))+IF(OR($C141="W",$C141="1/2W",$C141="1/2L"),P141-O141,IF($C141="L",-O141,0)),IF(AND(OR($C139="W",$C139="1/2W",$C139="1/2L"),C140="W"),P139+P140-SUM(O139:O141)+_xlfn.XLOOKUP("X",C139:C141,O139:O141,0),IF(AND(C139=TRUE,C141="W"),P139+P141-SUM(O139:O141),IF(AND(C140="W",C141="W"),P140+P141-SUM(O139:O141)+_xlfn.XLOOKUP("X",C139:C141,O139:O141,0),IF(L141&gt;0,IF(OR($C139="W",$C139="1/2W",$C139="1/2L"),P139-SUM(O139:O141)+_xlfn.XLOOKUP("X",C139:C141,O139:O141,0),IF(OR($C139="W",$C139="1/2W",$C139="1/2L"),P140-SUM(O139:O141)+_xlfn.XLOOKUP("X",C139:C141,O139:O141,0),IF(OR($C139="W",$C139="1/2W",$C139="1/2L"),P141-SUM(O139:O141)+_xlfn.XLOOKUP("X",C139:C141,O139:O141,0),IF(SUM(P139:P141)/3-SUM(O139:O141)+_xlfn.XLOOKUP("X",C139:C141,O139:O141,0)&gt;0,SUM(P139:P141)/3-SUM(O139:O141)+_xlfn.XLOOKUP("X",C139:C141,O139:O141,0),LARGE(P139:P141,1)-SUM(O139:O141))))),IF(OR($C139="W",$C139="1/2W",$C139="1/2L"),P139-SUM(O139:O140)+_xlfn.XLOOKUP("X",C139:C141,O139:O141,0),IF(OR($C139="W",$C139="1/2W",$C139="1/2L"),P140-SUM(O139:O140)+_xlfn.XLOOKUP("X",C139:C141,O139:O141,0),SUM(P139:P140)/2-SUM(O139:O140)+_xlfn.XLOOKUP("X",C139:C141,O139:O141,0)))))))),2))</f>
        <v>1.69</v>
      </c>
      <c r="T139" s="190">
        <f>IF(S139=0,0,S139/SUM(O139:O141))</f>
        <v>0.072006817213464</v>
      </c>
      <c r="U139" s="191">
        <f>IF($D139=$D136,IF(OR($B139="LOSS",$B139="OK",$B139="Anulada"),S139,0)+U136,IF(OR($B139="LOSS",$B139="OK",$B139="Anulada"),S139,0))</f>
        <v>41.68</v>
      </c>
      <c r="V139" s="191">
        <f>IF($D139="",0,IF($D139=$D136,IF($B139=" ",IF(I141="",IF(OR(AND(I139="DNB1",I140="DNB2"),AND(OR(I139="DNB1",I139="DNB2"),J140=0),AND(OR(I140="DNB1",I140="DNB2"),J139=0),AND(I139="DNB2",I140="DNB1"),AND(IF(J139=0,(J139+1)/ROUND(J139+1,0),J139/ROUND(J139,0))=1,IF(J140=0,(J140+1)/ROUND(IF(J140="",0,J140)+1,0),IF(J140="",0,J140)/ROUND(IF(J140="",1,J140),0))=1,OR(J139&lt;&gt;""),J140&lt;&gt;"")),0,IF(S139&lt;0,IF(I141="",SMALL(P139:P140,1)-SUM(O139:O140),0),SMALL(P139:P140,1)-SUM(O139:O140))),IF(S139&lt;0,IF(I141="",SMALL(P139:P141,1)-SUM(O139:O141),0),LARGE(P139:P141,1)-SUM(O139:O141))),S139)+V136,IF(I141="",IF(OR(AND(I139="DNB1",I140="DNB2"),AND(OR(I139="DNB1",I139="DNB2"),J140=0),AND(OR(I140="DNB1",I140="DNB2"),J139=0),AND(I139="DNB2",I140="DNB1"),AND(IF(J139=0,(J139+1)/ROUND(J139+1,0),J139/ROUND(J139,0))=1,IF(J140=0,(IF(J140="",0,J140)+1)/ROUND(IF(J140="",0,J140)+1,0),IF(J140="",0,J140)/ROUND(IF(J140="",0,J140)+1,0))=1,OR(J139&lt;&gt;""),J140&lt;&gt;"")),0,IF(S139&lt;0,IF(I141="",SMALL(P139:P140,1)-SUM(O139:O140),0),SMALL(P139:P141,1)-SUM(O139:O141))),IF(S139&lt;0,IF(I141="",SMALL(P139:P141,1)-SUM(O139:O141),0),LARGE(P139:P141,1)-SUM(O139:O141)))))</f>
        <v>41.682</v>
      </c>
      <c r="W139" s="191">
        <f>IF($D139=$D136,IF(S139&lt;0,IF(I141="",S139,0),S139)+W136,S139)</f>
        <v>41.68</v>
      </c>
      <c r="X139" t="s" s="192">
        <f>IF(OR(SUM(R139:R141)=0,V139=W139),ROUND(IF(W139=0,0,W139/Y139)*100,2)&amp;"%",ROUND(IF(V139=0,0,V139/Y139)*100,2)&amp;"% a "&amp;ROUND(IF(W139=0,0,W139/Y139)*100,2)&amp;"%")</f>
        <v>175</v>
      </c>
      <c r="Y139" s="193">
        <f>IF($D139=$D136,Y136+SUM(O139:O141),SUM(O139:O141))</f>
        <v>1034.75</v>
      </c>
      <c r="Z139" s="191">
        <f>IF($B139=" ",SUM(O139:O141),0)+Z136</f>
        <v>0</v>
      </c>
      <c r="AA139" s="191">
        <f>IF(G139="","",IF($B139="Anulado",LARGE(P139:P141,1)-SUM(O139:O141)+AA136,AA136))</f>
        <v>14.1564</v>
      </c>
      <c r="AB139" s="191">
        <f>IF($D139="","",AB136+S139)</f>
        <v>119.78</v>
      </c>
      <c r="AC139" s="194">
        <f>IF($D139="","",IF($B139=" ",IF(DAY(G139)=DAY(TODAY()),1+AC136,0+AC136),0+AC136))</f>
        <v>0</v>
      </c>
      <c r="AD139" s="195">
        <f>(((L140/(L140-1)-1)*(1-_xlfn.XLOOKUP(K140,'Janeiro 2023 - Valor Real'!A3:A15,'Janeiro 2023 - Valor Real'!C3:C15,0))+1))/(((L139-1)*(1-_xlfn.XLOOKUP(K139,'Janeiro 2023 - Valor Real'!A3:A15,'Janeiro 2023 - Valor Real'!C3:C15,0))+1)+((L140/(L140-1)-1)*(1-_xlfn.XLOOKUP(K140,'Janeiro 2023 - Valor Real'!A3:A15,'Janeiro 2023 - Valor Real'!C3:C15,0))+1))</f>
        <v>0.383439015292801</v>
      </c>
      <c r="AE139" s="196">
        <f>IF(L139="","",IF(L141&gt;0,(SUM(((L139-1)*(1-_xlfn.XLOOKUP(K139,'Janeiro 2023 - Valor Real'!A3:A15,'Janeiro 2023 - Valor Real'!C3:C15,0))+1),((L140-1)*(1-_xlfn.XLOOKUP(K140,'Janeiro 2023 - Valor Real'!A3:A15,'Janeiro 2023 - Valor Real'!C3:C15,0))+1),((L141-1)*(1-_xlfn.XLOOKUP(K141,'Janeiro 2023 - Valor Real'!A3:A15,'Janeiro 2023 - Valor Real'!C3:C15,0))+1))/((L139-1)*(1-_xlfn.XLOOKUP(K139,'Janeiro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Real'!C3:C15,0))+1))/((L139-1)*(1-_xlfn.XLOOKUP(K139,'Janeiro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Real'!C3:C15,0))+1))/((L140-1)*(1-_xlfn.XLOOKUP(K140,'Janeiro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Real'!C3:C15,0))+1))/((L141-1)*(1-_xlfn.XLOOKUP(K141,'Janeiro 2023 - Valor Real'!A3:A15,'Janeiro 2023 - Valor Real'!C3:C15,0))+1)),IF(I139="Lay",IF(I140="Lay",((L140/(L140-1)-1)*(1-_xlfn.XLOOKUP(K140,'Janeiro 2023 - Valor Real'!A3:A15,'Janeiro 2023 - Valor Real'!C3:C15,0))+1)/(((L140/(L140-1)-1)*(1-_xlfn.XLOOKUP(K140,'Janeiro 2023 - Valor Real'!A3:A15,'Janeiro 2023 - Valor Real'!C3:C15,0))+1)+((L139/(L139-1)-1)*(1-_xlfn.XLOOKUP(K139,'Janeiro 2023 - Valor Real'!A3:A15,'Janeiro 2023 - Valor Real'!C3:C15,0))+1)),((L140-1)*(1-_xlfn.XLOOKUP(K140,'Janeiro 2023 - Valor Real'!A3:A15,'Janeiro 2023 - Valor Real'!C3:C15,0))+1)/(((L140-1)*(1-_xlfn.XLOOKUP(K140,'Janeiro 2023 - Valor Real'!A3:A15,'Janeiro 2023 - Valor Real'!C3:C15,0))+1)+((L139/(L139-1)-1)*(1-_xlfn.XLOOKUP(K139,'Janeiro 2023 - Valor Real'!A3:A15,'Janeiro 2023 - Valor Real'!C3:C15,0))+1))),IF(I140="Lay",(((L140/(L140-1)-1)*(1-_xlfn.XLOOKUP(K140,'Janeiro 2023 - Valor Real'!A3:A15,'Janeiro 2023 - Valor Real'!C3:C15,0))+1))/(((L139-1)*(1-_xlfn.XLOOKUP(K139,'Janeiro 2023 - Valor Real'!A3:A15,'Janeiro 2023 - Valor Real'!C3:C15,0))+1)+((L140/(L140-1)-1)*(1-_xlfn.XLOOKUP(K140,'Janeiro 2023 - Valor Real'!A3:A15,'Janeiro 2023 - Valor Real'!C3:C15,0))+1)),((L140-1)*(1-_xlfn.XLOOKUP(K140,'Janeiro 2023 - Valor Real'!A3:A15,'Janeiro 2023 - Valor Real'!C3:C15,0))+1)/(((L140-1)*(1-_xlfn.XLOOKUP(K140,'Janeiro 2023 - Valor Real'!A3:A15,'Janeiro 2023 - Valor Real'!C3:C15,0))+1)+((L139-1)*(1-_xlfn.XLOOKUP(K139,'Janeiro 2023 - Valor Real'!A3:A15,'Janeiro 2023 - Valor Real'!C3:C15,0))+1))))))</f>
        <v>0.150556531927358</v>
      </c>
      <c r="AF139" s="197">
        <f>IF($K139=AF$3,ROUND(IF(OR($C139="W",$C139="1/2W",$C139="1/2L"),$P139-$O139,IF($C139="X",0,-$O139)),2),0)</f>
        <v>0</v>
      </c>
      <c r="AG139" s="198">
        <f>IF($K139=AG$3,ROUND(IF(OR($C139="W",$C139="1/2W",$C139="1/2L"),$P139-$O139,IF($C139="X",0,-$O139)),2),0)</f>
        <v>21.69</v>
      </c>
      <c r="AH139" s="198">
        <f>IF($K139=AH$3,ROUND(IF(OR($C139="W",$C139="1/2W",$C139="1/2L"),$P139-$O139,IF($C139="X",0,-$O139)),2),0)</f>
        <v>0</v>
      </c>
      <c r="AI139" s="198">
        <f>IF($K139=AI$3,ROUND(IF(OR($C139="W",$C139="1/2W",$C139="1/2L"),$P139-$O139,IF($C139="X",0,-$O139)),2),0)</f>
        <v>0</v>
      </c>
      <c r="AJ139" s="198">
        <f>IF($K139=AJ$3,ROUND(IF(OR($C139="W",$C139="1/2W",$C139="1/2L"),$P139-$O139,IF($C139="X",0,-$O139)),2),0)</f>
        <v>0</v>
      </c>
      <c r="AK139" s="198">
        <f>IF($K139=AK$3,ROUND(IF(OR($C139="W",$C139="1/2W",$C139="1/2L"),$P139-$O139,IF($C139="X",0,-$O139)),2),0)</f>
        <v>0</v>
      </c>
      <c r="AL139" s="198">
        <f>IF($K139=AL$3,ROUND(IF(OR($C139="W",$C139="1/2W",$C139="1/2L"),$P139-$O139,IF($C139="X",0,-$O139)),2),0)</f>
        <v>0</v>
      </c>
      <c r="AM139" s="198">
        <f>IF($K139=AM$3,ROUND(IF(OR($C139="W",$C139="1/2W",$C139="1/2L"),$P139-$O139,IF($C139="X",0,-$O139)),2),0)</f>
        <v>0</v>
      </c>
      <c r="AN139" s="198">
        <f>IF($K139=AN$3,ROUND(IF(OR($C139="W",$C139="1/2W",$C139="1/2L"),$P139-$O139,IF($C139="X",0,-$O139)),2),0)</f>
        <v>0</v>
      </c>
      <c r="AO139" s="198">
        <f>IF($K139=AO$3,ROUND(IF(OR($C139="W",$C139="1/2W",$C139="1/2L"),$P139-$O139,IF($C139="X",0,-$O139)),2),0)</f>
        <v>0</v>
      </c>
      <c r="AP139" s="198">
        <f>IF($K139=AP$3,ROUND(IF(OR($C139="W",$C139="1/2W",$C139="1/2L"),$P139-$O139,IF($C139="X",0,-$O139)),2),0)</f>
        <v>0</v>
      </c>
      <c r="AQ139" s="198">
        <f>IF($K139=AQ$3,ROUND(IF(OR($C139="W",$C139="1/2W",$C139="1/2L"),$P139-$O139,IF($C139="X",0,-$O139)),2),0)</f>
        <v>0</v>
      </c>
      <c r="AR139" s="199">
        <f>IF($K139=AR$3,ROUND(IF(OR($C139="W",$C139="1/2W",$C139="1/2L"),$P139-$O139,IF($C139="X",0,-$O139)),2),0)</f>
        <v>0</v>
      </c>
      <c r="AS139" s="197">
        <f>IF(AND($B139=" ",$K139=AS$3),$O139,0)</f>
        <v>0</v>
      </c>
      <c r="AT139" s="198">
        <f>IF(AND($B139=" ",$K139=AT$3),$O139,0)</f>
        <v>0</v>
      </c>
      <c r="AU139" s="198">
        <f>IF(AND($B139=" ",$K139=AU$3),$O139,0)</f>
        <v>0</v>
      </c>
      <c r="AV139" s="198">
        <f>IF(AND($B139=" ",$K139=AV$3),$O139,0)</f>
        <v>0</v>
      </c>
      <c r="AW139" s="198">
        <f>IF(AND($B139=" ",$K139=AW$3),$O139,0)</f>
        <v>0</v>
      </c>
      <c r="AX139" s="198">
        <f>IF(AND($B139=" ",$K139=AX$3),$O139,0)</f>
        <v>0</v>
      </c>
      <c r="AY139" s="200">
        <f>IF(AND($B139=" ",$K139=AY$3),$O139,0)</f>
        <v>0</v>
      </c>
      <c r="AZ139" s="201">
        <f>IF(AND($B139=" ",$K139=AZ$3),$O139,0)</f>
        <v>0</v>
      </c>
      <c r="BA139" s="201">
        <f>IF(AND($B139=" ",$K139=BA$3),$O139,0)</f>
        <v>0</v>
      </c>
      <c r="BB139" s="201">
        <f>IF(AND($B139=" ",$K139=BB$3),$O139,0)</f>
        <v>0</v>
      </c>
      <c r="BC139" s="202">
        <f>IF(AND($B139=" ",$K139=BC$3),$O139,0)</f>
        <v>0</v>
      </c>
      <c r="BD139" s="198">
        <f>IF(AND($B139=" ",$K139=BD$3),$O139,0)</f>
        <v>0</v>
      </c>
      <c r="BE139" s="199">
        <f>IF(AND($B139=" ",$K139=BE$3),$O139,0)</f>
        <v>0</v>
      </c>
      <c r="BF139" s="203">
        <f>IF($K139=BF$3,IF($C139="X",0,$O139),0)</f>
        <v>0</v>
      </c>
      <c r="BG139" s="198">
        <f>IF($K139=BG$3,IF($C139="X",0,$O139),0)</f>
        <v>3.47</v>
      </c>
      <c r="BH139" s="198">
        <f>IF($K139=BH$3,IF($C139="X",0,$O139),0)</f>
        <v>0</v>
      </c>
      <c r="BI139" s="198">
        <f>IF($K139=BI$3,IF($C139="X",0,$O139),0)</f>
        <v>0</v>
      </c>
      <c r="BJ139" s="198">
        <f>IF($K139=BJ$3,IF($C139="X",0,$O139),0)</f>
        <v>0</v>
      </c>
      <c r="BK139" s="198">
        <f>IF($K139=BK$3,IF($C139="X",0,$O139),0)</f>
        <v>0</v>
      </c>
      <c r="BL139" s="198">
        <f>IF($K139=BL$3,IF($C139="X",0,$O139),0)</f>
        <v>0</v>
      </c>
      <c r="BM139" s="200">
        <f>IF($K139=BM$3,IF($C139="X",0,$O139),0)</f>
        <v>0</v>
      </c>
      <c r="BN139" s="201">
        <f>IF($K139=BN$3,IF($C139="X",0,$O139),0)</f>
        <v>0</v>
      </c>
      <c r="BO139" s="201">
        <f>IF($K139=BO$3,IF($C139="X",0,$O139),0)</f>
        <v>0</v>
      </c>
      <c r="BP139" s="201">
        <f>IF($K139=BP$3,IF($C139="X",0,$O139),0)</f>
        <v>0</v>
      </c>
      <c r="BQ139" s="202">
        <f>IF($K139=BQ$3,IF($C139="X",0,$O139),0)</f>
        <v>0</v>
      </c>
      <c r="BR139" s="199">
        <f>IF($K139=BR$3,IF($C139="X",0,$O139),0)</f>
        <v>0</v>
      </c>
      <c r="BS139" s="204">
        <f>IF($B139="LOSS",IF(AND($K139=BS$3,$C139="L"),-$O139,0)+IF(AND($K140=BS$3,$C140="L"),-$O140,0)+IF(AND($K141=BS$3,$C141="L"),-$O141,0),IF(OR(AND($K139=BS$3,OR($C139="W",$C139="1/2W")),AND($K140=BS$3,OR($C140="W",$C140="1/2W")),AND($K141=BS$3,OR($C141="W",$C141="1/2W"))),$S139,0))</f>
        <v>0</v>
      </c>
      <c r="BT139" s="201">
        <f>IF($B139="LOSS",IF(AND($K139=BT$3,$C139="L"),-$O139,0)+IF(AND($K140=BT$3,$C140="L"),-$O140,0)+IF(AND($K140=BT$3,$C141="L"),-$O141,0),IF(OR(AND($K140=BT$3,OR($C139="W",$C139="1/2W")),AND($K140=BT$3,OR($C140="W",$C140="1/2W")),AND($K140=BT$3,OR($C141="W",$C141="1/2W"))),$S139,0))</f>
        <v>0</v>
      </c>
      <c r="BU139" s="201">
        <f>IF($B139="LOSS",IF(AND($K139=BU$3,$C139="L"),-$O139,0)+IF(AND($K140=BU$3,$C140="L"),-$O140,0)+IF(AND($K140=BU$3,$C141="L"),-$O141,0),IF(OR(AND($K140=BU$3,OR($C139="W",$C139="1/2W")),AND($K140=BU$3,OR($C140="W",$C140="1/2W")),AND($K140=BU$3,OR($C141="W",$C141="1/2W"))),$S139,0))</f>
        <v>0</v>
      </c>
      <c r="BV139" s="201">
        <f>IF($B139="LOSS",IF(AND($K139=BV$3,$C139="L"),-$O139,0)+IF(AND($K140=BV$3,$C140="L"),-$O140,0)+IF(AND($K141=BV$3,$C141="L"),-$O141,0),IF(OR(AND($K139=BV$3,OR($C139="W",$C139="1/2W")),AND($K140=BV$3,OR($C140="W",$C140="1/2W")),AND($K141=BV$3,OR($C141="W",$C141="1/2W"))),$S139,0))</f>
        <v>0</v>
      </c>
      <c r="BW139" s="201">
        <f>IF($B139="LOSS",IF(AND($K139=BW$3,$C139="L"),-$O139,0)+IF(AND($K140=BW$3,$C140="L"),-$O140,0)+IF(AND($K141=BW$3,$C141="L"),-$O141,0),IF(OR(AND($K139=BW$3,OR($C139="W",$C139="1/2W")),AND($K140=BW$3,OR($C140="W",$C140="1/2W")),AND($K141=BW$3,OR($C141="W",$C141="1/2W"))),$S139,0))</f>
        <v>0</v>
      </c>
      <c r="BX139" s="201">
        <f>IF($B139="LOSS",IF(AND($K139=BX$3,$C139="L"),-$O139,0)+IF(AND($K140=BX$3,$C140="L"),-$O140,0)+IF(AND($K141=BX$3,$C141="L"),-$O141,0),IF(OR(AND($K139=BX$3,OR($C139="W",$C139="1/2W")),AND($K140=BX$3,OR($C140="W",$C140="1/2W")),AND($K141=BX$3,OR($C141="W",$C141="1/2W"))),$S139,0))</f>
        <v>0</v>
      </c>
      <c r="BY139" s="201">
        <f>IF($B139="LOSS",IF(AND($K139=BY$3,$C139="L"),-$O139,0)+IF(AND($K140=BY$3,$C140="L"),-$O140,0)+IF(AND($K141=BY$3,$C141="L"),-$O141,0),IF(OR(AND($K139=BY$3,OR($C139="W",$C139="1/2W")),AND($K140=BY$3,OR($C140="W",$C140="1/2W")),AND($K141=BY$3,OR($C141="W",$C141="1/2W"))),$S139,0))</f>
        <v>0</v>
      </c>
      <c r="BZ139" s="205">
        <f>IF($B139="LOSS",IF(AND($K139=BZ$3,$C139="L"),-$O139,0)+IF(AND($K140=BZ$3,$C140="L"),-$O140,0)+IF(AND($K141=BZ$3,$C141="L"),-$O141,0),IF(OR(AND($K139=BZ$3,OR($C139="W",$C139="1/2W")),AND($K140=BZ$3,OR($C140="W",$C140="1/2W")),AND($K141=BZ$3,OR($C141="W",$C141="1/2W"))),$S139,0))</f>
        <v>0</v>
      </c>
      <c r="CA139" s="205">
        <f>IF($B139="LOSS",IF(AND($K139=CA$3,$C139="L"),-$O139,0)+IF(AND($K140=CA$3,$C140="L"),-$O140,0)+IF(AND($K141=CA$3,$C141="L"),-$O141,0),IF(OR(AND($K139=CA$3,OR($C139="W",$C139="1/2W")),AND($K140=CA$3,OR($C140="W",$C140="1/2W")),AND($K141=CA$3,OR($C141="W",$C141="1/2W"))),$S139,0))</f>
        <v>0</v>
      </c>
      <c r="CB139" s="205">
        <f>IF($B139="LOSS",IF(AND($K139=CB$3,$C139="L"),-$O139,0)+IF(AND($K140=CB$3,$C140="L"),-$O140,0)+IF(AND($K141=CB$3,$C141="L"),-$O141,0),IF(OR(AND($K139=CB$3,OR($C139="W",$C139="1/2W")),AND($K140=CB$3,OR($C140="W",$C140="1/2W")),AND($K141=CB$3,OR($C141="W",$C141="1/2W"))),$S139,0))</f>
        <v>0</v>
      </c>
      <c r="CC139" s="205">
        <f>IF($B139="LOSS",IF(AND($K139=CC$3,$C139="L"),-$O139,0)+IF(AND($K140=CC$3,$C140="L"),-$O140,0)+IF(AND($K141=CC$3,$C141="L"),-$O141,0),IF(OR(AND($K139=CC$3,OR($C139="W",$C139="1/2W")),AND($K140=CC$3,OR($C140="W",$C140="1/2W")),AND($K141=CC$3,OR($C141="W",$C141="1/2W"))),$S139,0))</f>
        <v>0</v>
      </c>
      <c r="CD139" s="202">
        <f>IF($B139="LOSS",IF(AND($K139=CD$3,$C139="L"),-$O139,0)+IF(AND($K140=CD$3,$C140="L"),-$O140,0)+IF(AND($K141=CD$3,$C141="L"),-$O141,0),IF(OR(AND($K139=CD$3,OR($C139="W",$C139="1/2W")),AND($K140=CD$3,OR($C140="W",$C140="1/2W")),AND($K141=CD$3,OR($C141="W",$C141="1/2W"))),$S139,0))</f>
        <v>0</v>
      </c>
      <c r="CE139" s="199">
        <f>IF($B139="LOSS",IF(AND($K139=CE$3,$C139="L"),-$O139,0)+IF(AND($K140=CE$3,$C140="L"),-$O140,0)+IF(AND($K141=CE$3,$C141="L"),-$O141,0),IF(OR(AND($K139=CE$3,OR($C139="W",$C139="1/2W")),AND($K140=CE$3,OR($C140="W",$C140="1/2W")),AND($K141=CE$3,OR($C141="W",$C141="1/2W"))),$S139,0))</f>
        <v>0</v>
      </c>
      <c r="CF139" s="206">
        <f>IF(CF$3=$K139,IF($C139="W",1,IF($C139="1/2W",0.5,0)),0)</f>
        <v>0</v>
      </c>
      <c r="CG139" s="207">
        <f>IF(CF$3=$K139,IF($C139="L",1,IF($C139="1/2L",0.5,0)),0)</f>
        <v>0</v>
      </c>
      <c r="CH139" s="207">
        <f>IF(CH$3=$K139,IF($C139="W",1,IF($C139="1/2W",0.5,0)),0)</f>
        <v>1</v>
      </c>
      <c r="CI139" s="207">
        <f>IF(CH$3=$K139,IF($C139="L",1,IF($C139="1/2L",0.5,0)),0)</f>
        <v>0</v>
      </c>
      <c r="CJ139" s="207">
        <f>IF(CJ$3=$K139,IF($C139="W",1,IF($C139="1/2W",0.5,0)),0)</f>
        <v>0</v>
      </c>
      <c r="CK139" s="207">
        <f>IF(CJ$3=$K139,IF($C139="L",1,IF($C139="1/2L",0.5,0)),0)</f>
        <v>0</v>
      </c>
      <c r="CL139" s="207">
        <f>IF(CL$3=$K139,IF($C139="W",1,IF($C139="1/2W",0.5,0)),0)</f>
        <v>0</v>
      </c>
      <c r="CM139" s="207">
        <f>IF(CL$3=$K139,IF($C139="L",1,IF($C139="1/2L",0.5,0)),0)</f>
        <v>0</v>
      </c>
      <c r="CN139" s="207">
        <f>IF(CN$3=$K139,IF($C139="W",1,IF($C139="1/2W",0.5,0)),0)</f>
        <v>0</v>
      </c>
      <c r="CO139" s="207">
        <f>IF(CN$3=$K139,IF($C139="L",1,IF($C139="1/2L",0.5,0)),0)</f>
        <v>0</v>
      </c>
      <c r="CP139" s="207">
        <f>IF(CP$3=$K139,IF($C139="W",1,IF($C139="1/2W",0.5,0)),0)</f>
        <v>0</v>
      </c>
      <c r="CQ139" s="207">
        <f>IF(CP$3=$K139,IF($C139="L",1,IF($C139="1/2L",0.5,0)),0)</f>
        <v>0</v>
      </c>
      <c r="CR139" s="207">
        <f>IF(CR$3=$K139,IF($C139="W",1,IF($C139="1/2W",0.5,0)),0)</f>
        <v>0</v>
      </c>
      <c r="CS139" s="207">
        <f>IF(CR$3=$K139,IF($C139="L",1,IF($C139="1/2L",0.5,0)),0)</f>
        <v>0</v>
      </c>
      <c r="CT139" s="208">
        <f>IF(CT$3=$K139,IF($C139="W",1,IF($C139="1/2W",0.5,0)),0)</f>
        <v>0</v>
      </c>
      <c r="CU139" s="209">
        <f>IF(CT$3=$K139,IF($C139="L",1,IF($C139="1/2L",0.5,0)),0)</f>
        <v>0</v>
      </c>
      <c r="CV139" s="209">
        <f>IF(CV$3=$K139,IF($C139="W",1,IF($C139="1/2W",0.5,0)),0)</f>
        <v>0</v>
      </c>
      <c r="CW139" s="209">
        <f>IF(CV$3=$K139,IF($C139="L",1,IF($C139="1/2L",0.5,0)),0)</f>
        <v>0</v>
      </c>
      <c r="CX139" s="209">
        <f>IF(CX$3=$K139,IF($C139="W",1,IF($C139="1/2W",0.5,0)),0)</f>
        <v>0</v>
      </c>
      <c r="CY139" s="209">
        <f>IF(CX$3=$K139,IF($C139="L",1,IF($C139="1/2L",0.5,0)),0)</f>
        <v>0</v>
      </c>
      <c r="CZ139" s="209">
        <f>IF(CZ$3=$K139,IF($C139="W",1,IF($C139="1/2W",0.5,0)),0)</f>
        <v>0</v>
      </c>
      <c r="DA139" s="209">
        <f>IF(CZ$3=$K139,IF($C139="L",1,IF($C139="1/2L",0.5,0)),0)</f>
        <v>0</v>
      </c>
      <c r="DB139" s="209">
        <f>IF(DB$3=$K139,IF($C139="W",1,IF($C139="1/2W",0.5,0)),0)</f>
        <v>0</v>
      </c>
      <c r="DC139" s="209">
        <f>IF(DB$3=$K139,IF($C139="L",1,IF($C139="1/2L",0.5,0)),0)</f>
        <v>0</v>
      </c>
      <c r="DD139" s="209">
        <f>IF(DD$3=$K139,IF($C139="W",1,IF($C139="1/2W",0.5,0)),0)</f>
        <v>0</v>
      </c>
      <c r="DE139" s="210">
        <f>IF(DD$3=$K139,IF($C139="L",1,IF($C139="1/2L",0.5,0)),0)</f>
        <v>0</v>
      </c>
      <c r="DF139" s="211">
        <f>IF(AND(L139&lt;DF$3,$C139="W"),1+DF138,DF138)</f>
        <v>7</v>
      </c>
      <c r="DG139" s="198">
        <f>IF(DF139&gt;DF138,L139+DG138,DG138)</f>
        <v>9.247999999999999</v>
      </c>
      <c r="DH139" s="209">
        <f>IF(AND(L139&gt;DH$3,$C139="W"),1+DH138,0+DH138)</f>
        <v>2</v>
      </c>
      <c r="DI139" s="198">
        <f>IF(DH139&gt;DH138,L139+DI138,DI138)</f>
        <v>11.58</v>
      </c>
      <c r="DJ139" t="s" s="306">
        <f>IF($D139="","",$D139)</f>
        <v>101</v>
      </c>
      <c r="DK139" s="209">
        <f>IF(AND($B139=" ",$D139&lt;&gt;""),1,0)</f>
        <v>0</v>
      </c>
    </row>
    <row r="140" ht="14.55" customHeight="1">
      <c r="A140" s="107"/>
      <c r="B140" s="108"/>
      <c r="C140" t="s" s="213">
        <v>51</v>
      </c>
      <c r="D140" s="110"/>
      <c r="E140" s="111"/>
      <c r="F140" s="113"/>
      <c r="G140" s="214"/>
      <c r="H140" s="114"/>
      <c r="I140" t="s" s="215">
        <v>60</v>
      </c>
      <c r="J140" t="s" s="216">
        <f>IF(OR(I139="TO",I139="TU",I139="TO1",I139="TU1",I139="TO2",I139="TU2"),J139,IF(OR(I139="AH1",I139="AH2"),IF(OR(I140="AH1",I140="AH2"),-J139,IF(OR(I140="EH1",I140="EH2"),-J139+0.5,"")),IF(OR(I139="EH1",I139="EH2"),IF(OR(I140="AH1",I140="AH2"),-J139+0.5,IF(OR(I140="EH1",I140="EH2"),-J139+1,"")),IF(AND(OR(I139="DNB1",I139="DNB2"),OR(I140="AH1",I140="AH2")),0,IF(AND(I139="Not ScoreBoth",OR(I140="TO1",I140="TO2")),0.5,"")))))</f>
      </c>
      <c r="K140" t="s" s="217">
        <v>37</v>
      </c>
      <c r="L140" s="218">
        <v>1.285</v>
      </c>
      <c r="M140" s="219">
        <v>20</v>
      </c>
      <c r="N140" s="120"/>
      <c r="O140" s="220">
        <f>IF(OR(AE139="",AE140=""),"",ROUND(IF(L141&gt;0,IF(M140&gt;0,M140,IF(M139&gt;0,IF(N139=TRUE,ROUND((M139*AE140)/AE139,0),(M139*AE140)/AE139),IF(M140&gt;0,ROUND(M140,IF(N139=0,2,IF(N139=0.1,1,0))),IF(M141&gt;0,ROUND(O141*AE140/AE141,IF(N139=0,2,IF(N139=0.1,1,0))),0)))),IF(M140&gt;0,M140,ROUND((M139*AE140)/AE139,IF(N139=0,2,IF(N139=0.1,1,0))))),2))</f>
        <v>20</v>
      </c>
      <c r="P140" s="221">
        <f>IF(OR(L140="",O140=""),"",IF($C140="1/2W",O140/2+O140/2*L140,IF($C140="1/2L",O140/2,IF(I140="Lay",((O140*(L140/(L140-1)))-O140)*(1-_xlfn.XLOOKUP(K140,'Janeiro 2023 - Valor Real'!A3:A15,'Janeiro 2023 - Valor Real'!C3:C15,0))+O140,(O140*L140-O140)*(1-_xlfn.XLOOKUP(K140,'Janeiro 2023 - Valor Real'!A3:A15,'Janeiro 2023 - Valor Real'!C3:C15,0))+O140))))</f>
        <v>25.7</v>
      </c>
      <c r="Q140" s="222">
        <f>IF(K140="","",IF(_xlfn.XLOOKUP(K140,K56:K$85,DJ56:DJ$85,0,,-1)=DJ140,_xlfn.XLOOKUP(K140,K56:K$85,Q56:Q$85,1,,-1)+1,1))</f>
        <v>5</v>
      </c>
      <c r="R140" s="223">
        <f>IF(K140="","",_xlfn.XLOOKUP(K140,K56:K$85,R56:R$85,0,,-1)+IF($C140=" ",1,0))</f>
        <v>0</v>
      </c>
      <c r="S140" s="125"/>
      <c r="T140" s="126"/>
      <c r="U140" s="126"/>
      <c r="V140" s="224"/>
      <c r="W140" s="126"/>
      <c r="X140" s="127"/>
      <c r="Y140" s="128"/>
      <c r="Z140" s="129"/>
      <c r="AA140" s="129"/>
      <c r="AB140" s="129"/>
      <c r="AC140" s="129"/>
      <c r="AD140" s="225">
        <f>(((L140/(L140-1)-1)*(1-_xlfn.XLOOKUP(K140,'Janeiro 2023 - Valor Real'!A3:A15,'Janeiro 2023 - Valor Real'!C3:C15,0))+1))</f>
        <v>4.50877192982456</v>
      </c>
      <c r="AE140" s="226">
        <f>IF(L140="","",IF(L141&gt;0,(SUM(((L139-1)*(1-_xlfn.XLOOKUP(K139,'Janeiro 2023 - Valor Real'!A3:A15,'Janeiro 2023 - Valor Real'!C3:C15,0))+1),((L140-1)*(1-_xlfn.XLOOKUP(K140,'Janeiro 2023 - Valor Real'!A3:A15,'Janeiro 2023 - Valor Real'!C3:C15,0))+1),((L141-1)*(1-_xlfn.XLOOKUP(K141,'Janeiro 2023 - Valor Real'!A3:A15,'Janeiro 2023 - Valor Real'!C3:C15,0))+1))/((L140-1)*(1-_xlfn.XLOOKUP(K140,'Janeiro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Real'!C3:C15,0))+1))/((L139-1)*(1-_xlfn.XLOOKUP(K139,'Janeiro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Real'!C3:C15,0))+1))/((L140-1)*(1-_xlfn.XLOOKUP(K140,'Janeiro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Real'!C3:C15,0))+1))/((L141-1)*(1-_xlfn.XLOOKUP(K141,'Janeiro 2023 - Valor Real'!A3:A15,'Janeiro 2023 - Valor Real'!C3:C15,0))+1)),IF(I140="Lay",IF(I139="Lay",((L139/(L139-1)-1)*(1-_xlfn.XLOOKUP(K139,'Janeiro 2023 - Valor Real'!A3:A15,'Janeiro 2023 - Valor Real'!C3:C15,0))+1)/(((L139/(L139-1)-1)*(1-_xlfn.XLOOKUP(K139,'Janeiro 2023 - Valor Real'!A3:A15,'Janeiro 2023 - Valor Real'!C3:C15,0))+1)+((L140/(L140-1)-1)*(1-_xlfn.XLOOKUP(K140,'Janeiro 2023 - Valor Real'!A3:A15,'Janeiro 2023 - Valor Real'!C3:C15,0))+1)),((L139-1)*(1-_xlfn.XLOOKUP(K139,'Janeiro 2023 - Valor Real'!A3:A15,'Janeiro 2023 - Valor Real'!C3:C15,0))+1)/(((L139-1)*(1-_xlfn.XLOOKUP(K139,'Janeiro 2023 - Valor Real'!A3:A15,'Janeiro 2023 - Valor Real'!C3:C15,0))+1)+((L140/(L140-1)-1)*(1-_xlfn.XLOOKUP(K140,'Janeiro 2023 - Valor Real'!A3:A15,'Janeiro 2023 - Valor Real'!C3:C15,0))+1))),IF(I139="Lay",((L139/(L139-1)-1)*(1-_xlfn.XLOOKUP(K139,'Janeiro 2023 - Valor Real'!A3:A15,'Janeiro 2023 - Valor Real'!C3:C15,0))+1)/((((L139/(L139-1)-1)*(1-_xlfn.XLOOKUP(K139,'Janeiro 2023 - Valor Real'!A3:A15,'Janeiro 2023 - Valor Real'!C3:C15,0))+1))+((L140-1)*(1-_xlfn.XLOOKUP(K140,'Janeiro 2023 - Valor Real'!A3:A15,'Janeiro 2023 - Valor Real'!C3:C15,0))+1)),((L139-1)*(1-_xlfn.XLOOKUP(K139,'Janeiro 2023 - Valor Real'!A3:A15,'Janeiro 2023 - Valor Real'!C3:C15,0))+1)/(((L139-1)*(1-_xlfn.XLOOKUP(K139,'Janeiro 2023 - Valor Real'!A3:A15,'Janeiro 2023 - Valor Real'!C3:C15,0))+1)+((L140-1)*(1-_xlfn.XLOOKUP(K140,'Janeiro 2023 - Valor Real'!A3:A15,'Janeiro 2023 - Valor Real'!C3:C15,0))+1))))))</f>
        <v>0.849443468072642</v>
      </c>
      <c r="AF140" s="197">
        <f>IF($K140=AF$3,ROUND(IF(OR($C140="W",$C140="1/2W",$C140="1/2L"),$P140-$O140,IF($C140="X",0,-$O140)),2),0)</f>
        <v>-20</v>
      </c>
      <c r="AG140" s="198">
        <f>IF($K140=AG$3,ROUND(IF(OR($C140="W",$C140="1/2W",$C140="1/2L"),$P140-$O140,IF($C140="X",0,-$O140)),2),0)</f>
        <v>0</v>
      </c>
      <c r="AH140" s="198">
        <f>IF($K140=AH$3,ROUND(IF(OR($C140="W",$C140="1/2W",$C140="1/2L"),$P140-$O140,IF($C140="X",0,-$O140)),2),0)</f>
        <v>0</v>
      </c>
      <c r="AI140" s="198">
        <f>IF($K140=AI$3,ROUND(IF(OR($C140="W",$C140="1/2W",$C140="1/2L"),$P140-$O140,IF($C140="X",0,-$O140)),2),0)</f>
        <v>0</v>
      </c>
      <c r="AJ140" s="198">
        <f>IF($K140=AJ$3,ROUND(IF(OR($C140="W",$C140="1/2W",$C140="1/2L"),$P140-$O140,IF($C140="X",0,-$O140)),2),0)</f>
        <v>0</v>
      </c>
      <c r="AK140" s="198">
        <f>IF($K140=AK$3,ROUND(IF(OR($C140="W",$C140="1/2W",$C140="1/2L"),$P140-$O140,IF($C140="X",0,-$O140)),2),0)</f>
        <v>0</v>
      </c>
      <c r="AL140" s="198">
        <f>IF($K140=AL$3,ROUND(IF(OR($C140="W",$C140="1/2W",$C140="1/2L"),$P140-$O140,IF($C140="X",0,-$O140)),2),0)</f>
        <v>0</v>
      </c>
      <c r="AM140" s="198">
        <f>IF($K140=AM$3,ROUND(IF(OR($C140="W",$C140="1/2W",$C140="1/2L"),$P140-$O140,IF($C140="X",0,-$O140)),2),0)</f>
        <v>0</v>
      </c>
      <c r="AN140" s="198">
        <f>IF($K140=AN$3,ROUND(IF(OR($C140="W",$C140="1/2W",$C140="1/2L"),$P140-$O140,IF($C140="X",0,-$O140)),2),0)</f>
        <v>0</v>
      </c>
      <c r="AO140" s="198">
        <f>IF($K140=AO$3,ROUND(IF(OR($C140="W",$C140="1/2W",$C140="1/2L"),$P140-$O140,IF($C140="X",0,-$O140)),2),0)</f>
        <v>0</v>
      </c>
      <c r="AP140" s="198">
        <f>IF($K140=AP$3,ROUND(IF(OR($C140="W",$C140="1/2W",$C140="1/2L"),$P140-$O140,IF($C140="X",0,-$O140)),2),0)</f>
        <v>0</v>
      </c>
      <c r="AQ140" s="198">
        <f>IF($K140=AQ$3,ROUND(IF(OR($C140="W",$C140="1/2W",$C140="1/2L"),$P140-$O140,IF($C140="X",0,-$O140)),2),0)</f>
        <v>0</v>
      </c>
      <c r="AR140" s="199">
        <f>IF($K140=AR$3,ROUND(IF(OR($C140="W",$C140="1/2W",$C140="1/2L"),$P140-$O140,IF($C140="X",0,-$O140)),2),0)</f>
        <v>0</v>
      </c>
      <c r="AS140" s="197">
        <f>IF(AND($B139=" ",$K140=AS$3),$O140,0)</f>
        <v>0</v>
      </c>
      <c r="AT140" s="198">
        <f>IF(AND($B139=" ",K140=AT$3),$O140,0)</f>
        <v>0</v>
      </c>
      <c r="AU140" s="198">
        <f>IF(AND($B139=" ",$K140=AU$3),$O140,0)</f>
        <v>0</v>
      </c>
      <c r="AV140" s="198">
        <f>IF(AND($B139=" ",$K140=AV$3),$O140,0)</f>
        <v>0</v>
      </c>
      <c r="AW140" s="198">
        <f>IF(AND($B139=" ",$K140=AW$3),$O140,0)</f>
        <v>0</v>
      </c>
      <c r="AX140" s="198">
        <f>IF(AND($B139=" ",$K140=AX$3),$O140,0)</f>
        <v>0</v>
      </c>
      <c r="AY140" s="200">
        <f>IF(AND($B139=" ",$K140=AY$3),$O140,0)</f>
        <v>0</v>
      </c>
      <c r="AZ140" s="201">
        <f>IF(AND($B139=" ",$K140=AZ$3),$O140,0)</f>
        <v>0</v>
      </c>
      <c r="BA140" s="201">
        <f>IF(AND($B139=" ",$K140=BA$3),$O140,0)</f>
        <v>0</v>
      </c>
      <c r="BB140" s="201">
        <f>IF(AND($B139=" ",$K140=BB$3),$O140,0)</f>
        <v>0</v>
      </c>
      <c r="BC140" s="202">
        <f>IF(AND($B139=" ",$K140=BC$3),$O140,0)</f>
        <v>0</v>
      </c>
      <c r="BD140" s="198">
        <f>IF(AND($B139=" ",$K140=BD$3),$O140,0)</f>
        <v>0</v>
      </c>
      <c r="BE140" s="199">
        <f>IF(AND($B139=" ",$K140=BE$3),$O140,0)</f>
        <v>0</v>
      </c>
      <c r="BF140" s="197">
        <f>IF($K140=BF$3,IF($C140="X",0,$O140),0)</f>
        <v>20</v>
      </c>
      <c r="BG140" s="198">
        <f>IF($K140=BG$3,IF($C140="X",0,$O140),0)</f>
        <v>0</v>
      </c>
      <c r="BH140" s="198">
        <f>IF($K140=BH$3,IF($C140="X",0,$O140),0)</f>
        <v>0</v>
      </c>
      <c r="BI140" s="198">
        <f>IF($K140=BI$3,IF($C140="X",0,$O140),0)</f>
        <v>0</v>
      </c>
      <c r="BJ140" s="198">
        <f>IF($K140=BJ$3,IF($C140="X",0,$O140),0)</f>
        <v>0</v>
      </c>
      <c r="BK140" s="198">
        <f>IF($K140=BK$3,IF($C140="X",0,$O140),0)</f>
        <v>0</v>
      </c>
      <c r="BL140" s="198">
        <f>IF($K140=BL$3,IF($C140="X",0,$O140),0)</f>
        <v>0</v>
      </c>
      <c r="BM140" s="227">
        <f>IF($K140=BM$3,IF($C140="X",0,$O140),0)</f>
        <v>0</v>
      </c>
      <c r="BN140" s="205">
        <f>IF($K140=BN$3,IF($C140="X",0,$O140),0)</f>
        <v>0</v>
      </c>
      <c r="BO140" s="205">
        <f>IF($K140=BO$3,IF($C140="X",0,$O140),0)</f>
        <v>0</v>
      </c>
      <c r="BP140" s="205">
        <f>IF($K140=BP$3,IF($C140="X",0,$O140),0)</f>
        <v>0</v>
      </c>
      <c r="BQ140" s="202">
        <f>IF($K140=BQ$3,IF($C140="X",0,$O140),0)</f>
        <v>0</v>
      </c>
      <c r="BR140" s="199">
        <f>IF($K140=BR$3,IF($C140="X",0,$O140),0)</f>
        <v>0</v>
      </c>
      <c r="BS140" s="228"/>
      <c r="BT140" s="229"/>
      <c r="BU140" s="140"/>
      <c r="BV140" s="229"/>
      <c r="BW140" s="140"/>
      <c r="BX140" s="140"/>
      <c r="BY140" s="140"/>
      <c r="BZ140" s="229"/>
      <c r="CA140" s="140"/>
      <c r="CB140" s="140"/>
      <c r="CC140" s="140"/>
      <c r="CD140" s="141"/>
      <c r="CE140" s="142"/>
      <c r="CF140" s="230">
        <f>IF(CF$3=$K140,IF($C140="W",1,IF($C140="1/2W",0.5,0)),0)</f>
        <v>0</v>
      </c>
      <c r="CG140" s="231">
        <f>IF(CF$3=$K140,IF($C140="L",1,IF($C140="1/2L",0.5,0)),0)</f>
        <v>1</v>
      </c>
      <c r="CH140" s="231">
        <f>IF(CH$3=$K140,IF($C140="W",1,IF($C140="1/2W",0.5,0)),0)</f>
        <v>0</v>
      </c>
      <c r="CI140" s="231">
        <f>IF(CH$3=$K140,IF($C140="L",1,IF($C140="1/2L",0.5,0)),0)</f>
        <v>0</v>
      </c>
      <c r="CJ140" s="231">
        <f>IF(CJ$3=$K140,IF($C140="W",1,IF($C140="1/2W",0.5,0)),0)</f>
        <v>0</v>
      </c>
      <c r="CK140" s="231">
        <f>IF(CJ$3=$K140,IF($C140="L",1,IF($C140="1/2L",0.5,0)),0)</f>
        <v>0</v>
      </c>
      <c r="CL140" s="231">
        <f>IF(CL$3=$K140,IF($C140="W",1,IF($C140="1/2W",0.5,0)),0)</f>
        <v>0</v>
      </c>
      <c r="CM140" s="231">
        <f>IF(CL$3=$K140,IF($C140="L",1,IF($C140="1/2L",0.5,0)),0)</f>
        <v>0</v>
      </c>
      <c r="CN140" s="231">
        <f>IF(CN$3=$K140,IF($C140="W",1,IF($C140="1/2W",0.5,0)),0)</f>
        <v>0</v>
      </c>
      <c r="CO140" s="231">
        <f>IF(CN$3=$K140,IF($C140="L",1,IF($C140="1/2L",0.5,0)),0)</f>
        <v>0</v>
      </c>
      <c r="CP140" s="231">
        <f>IF(CP$3=$K140,IF($C140="W",1,IF($C140="1/2W",0.5,0)),0)</f>
        <v>0</v>
      </c>
      <c r="CQ140" s="231">
        <f>IF(CP$3=$K140,IF($C140="L",1,IF($C140="1/2L",0.5,0)),0)</f>
        <v>0</v>
      </c>
      <c r="CR140" s="231">
        <f>IF(CR$3=$K140,IF($C140="W",1,IF($C140="1/2W",0.5,0)),0)</f>
        <v>0</v>
      </c>
      <c r="CS140" s="231">
        <f>IF(CR$3=$K140,IF($C140="L",1,IF($C140="1/2L",0.5,0)),0)</f>
        <v>0</v>
      </c>
      <c r="CT140" s="208">
        <f>IF(CT$3=$K140,IF($C140="W",1,IF($C140="1/2W",0.5,0)),0)</f>
        <v>0</v>
      </c>
      <c r="CU140" s="209">
        <f>IF(CT$3=$K140,IF($C140="L",1,IF($C140="1/2L",0.5,0)),0)</f>
        <v>0</v>
      </c>
      <c r="CV140" s="209">
        <f>IF(CV$3=$K140,IF($C140="W",1,IF($C140="1/2W",0.5,0)),0)</f>
        <v>0</v>
      </c>
      <c r="CW140" s="209">
        <f>IF(CV$3=$K140,IF($C140="L",1,IF($C140="1/2L",0.5,0)),0)</f>
        <v>0</v>
      </c>
      <c r="CX140" s="209">
        <f>IF(CX$3=$K140,IF($C140="W",1,IF($C140="1/2W",0.5,0)),0)</f>
        <v>0</v>
      </c>
      <c r="CY140" s="209">
        <f>IF(CX$3=$K140,IF($C140="L",1,IF($C140="1/2L",0.5,0)),0)</f>
        <v>0</v>
      </c>
      <c r="CZ140" s="209">
        <f>IF(CZ$3=$K140,IF($C140="W",1,IF($C140="1/2W",0.5,0)),0)</f>
        <v>0</v>
      </c>
      <c r="DA140" s="209">
        <f>IF(CZ$3=$K140,IF($C140="L",1,IF($C140="1/2L",0.5,0)),0)</f>
        <v>0</v>
      </c>
      <c r="DB140" s="209">
        <f>IF(DB$3=$K140,IF($C140="W",1,IF($C140="1/2W",0.5,0)),0)</f>
        <v>0</v>
      </c>
      <c r="DC140" s="209">
        <f>IF(DB$3=$K140,IF($C140="L",1,IF($C140="1/2L",0.5,0)),0)</f>
        <v>0</v>
      </c>
      <c r="DD140" s="209">
        <f>IF(DD$3=$K140,IF($C140="W",1,IF($C140="1/2W",0.5,0)),0)</f>
        <v>0</v>
      </c>
      <c r="DE140" s="210">
        <f>IF(DD$3=$K140,IF($C140="L",1,IF($C140="1/2L",0.5,0)),0)</f>
        <v>0</v>
      </c>
      <c r="DF140" s="211">
        <f>IF(AND(L140&lt;DF$3,$C140="W"),1+DF139,DF139)</f>
        <v>7</v>
      </c>
      <c r="DG140" s="198">
        <f>IF(DF140&gt;DF139,L140+DG139,DG139)</f>
        <v>9.247999999999999</v>
      </c>
      <c r="DH140" s="209">
        <f>IF(AND(L140&gt;DH$3,$C140="W"),1+DH139,0+DH139)</f>
        <v>2</v>
      </c>
      <c r="DI140" s="198">
        <f>IF(DH140&gt;DH139,L140+DI139,DI139)</f>
        <v>11.58</v>
      </c>
      <c r="DJ140" t="s" s="306">
        <f>IF($D139="","",$D139)</f>
        <v>101</v>
      </c>
      <c r="DK140" s="232"/>
    </row>
    <row r="141" ht="14.55" customHeight="1">
      <c r="A141" s="149"/>
      <c r="B141" s="150"/>
      <c r="C141" t="s" s="233">
        <v>58</v>
      </c>
      <c r="D141" s="152"/>
      <c r="E141" s="153"/>
      <c r="F141" s="155"/>
      <c r="G141" s="234"/>
      <c r="H141" s="156"/>
      <c r="I141" s="235"/>
      <c r="J141" s="236"/>
      <c r="K141" s="237"/>
      <c r="L141" s="238"/>
      <c r="M141" s="239"/>
      <c r="N141" s="161"/>
      <c r="O141" t="s" s="240">
        <f>IF(OR(AE139="",AE140=""),"",IF(L141&gt;0,ROUND(IF(M141&gt;0,M141,IF(M139&gt;0,ROUND((M139*AE141)/AE139,IF(N139=0,2,IF(N139=0.1,1,0))),IF(M140&gt;0,ROUND((M140*AE141)/AE140,IF(N139=0,2,IF(N139=0.1,1,0))),IF(M141&gt;0,M141,0)))),2),""))</f>
      </c>
      <c r="P141" t="s" s="241">
        <f>IF(I140="Lay",O140*(L140/(L140-1))-O140,IF(I139="Lay",O139*(L139/(L139-1))-O139,IF(OR(L141="",O141=""),"",IF($C141="1/2W",O141/2+O141/2*L141,IF($C141="1/2L",O141/2,(O141*L141-O141)*(1-_xlfn.XLOOKUP(K141,'Janeiro 2023 - Valor Real'!A3:A15,'Janeiro 2023 - Valor Real'!C3:C15,0))+O141)))))</f>
      </c>
      <c r="Q141" t="s" s="242">
        <f>IF(K141="","",IF(_xlfn.XLOOKUP(K141,K56:K$86,DJ56:DJ$86,0,,-1)=DJ141,_xlfn.XLOOKUP(K141,K56:K$86,Q56:Q$86,1,,-1)+1,1))</f>
      </c>
      <c r="R141" t="s" s="243">
        <f>IF(K141="","",_xlfn.XLOOKUP(K141,K56:K$86,R56:R$86,0,,-1)+IF($C141=" ",1,0))</f>
      </c>
      <c r="S141" s="166"/>
      <c r="T141" s="155"/>
      <c r="U141" s="155"/>
      <c r="V141" s="166"/>
      <c r="W141" s="155"/>
      <c r="X141" s="167"/>
      <c r="Y141" s="128"/>
      <c r="Z141" s="129"/>
      <c r="AA141" s="129"/>
      <c r="AB141" s="129"/>
      <c r="AC141" s="129"/>
      <c r="AD141" s="244">
        <f>((L140/(L140-1)-1))</f>
        <v>3.50877192982456</v>
      </c>
      <c r="AE141" t="s" s="245">
        <f>IF(L141="","",(SUM(((L139-1)*(1-_xlfn.XLOOKUP(K139,'Janeiro 2023 - Valor Real'!A3:A15,'Janeiro 2023 - Valor Real'!C3:C15,0))+1),((L140-1)*(1-_xlfn.XLOOKUP(K140,'Janeiro 2023 - Valor Real'!A3:A15,'Janeiro 2023 - Valor Real'!C3:C15,0))+1),((L141-1)*(1-_xlfn.XLOOKUP(K141,'Janeiro 2023 - Valor Real'!A3:A15,'Janeiro 2023 - Valor Real'!C3:C15,0))+1))/((L141-1)*(1-_xlfn.XLOOKUP(K141,'Janeiro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Real'!C3:C15,0))+1))/((L139-1)*(1-_xlfn.XLOOKUP(K139,'Janeiro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Real'!C3:C15,0))+1))/((L140-1)*(1-_xlfn.XLOOKUP(K140,'Janeiro 2023 - Valor Real'!A3:A15,'Janeiro 2023 - Valor Real'!C3:C15,0))+1)+SUM(((L139-1)*(1-_xlfn.XLOOKUP(K139,'Janeiro 2023 - Valor Real'!A3:A15,'Janeiro 2023 - Valor Real'!C3:C15,0))+1),((L140-1)*(1-_xlfn.XLOOKUP(K140,'Janeiro 2023 - Valor Real'!A3:A15,'Janeiro 2023 - Valor Real'!C3:C15,0))+1),((L141-1)*(1-_xlfn.XLOOKUP(K141,'Janeiro 2023 - Valor Real'!A3:A15,'Janeiro 2023 - Valor Real'!C3:C15,0))+1))/((L141-1)*(1-_xlfn.XLOOKUP(K141,'Janeiro 2023 - Valor Real'!A3:A15,'Janeiro 2023 - Valor Real'!C3:C15,0))+1)))</f>
      </c>
      <c r="AF141" s="197">
        <f>IF($K141=AF$3,ROUND(IF(OR($C141="W",$C141="1/2W",$C141="1/2L"),$P141-$O141,IF($C141="X",0,-$O141)),2),0)</f>
        <v>0</v>
      </c>
      <c r="AG141" s="198">
        <f>IF($K141=AG$3,ROUND(IF(OR($C141="W",$C141="1/2W",$C141="1/2L"),$P141-$O141,IF($C141="X",0,-$O141)),2),0)</f>
        <v>0</v>
      </c>
      <c r="AH141" s="198">
        <f>IF($K141=AH$3,ROUND(IF(OR($C141="W",$C141="1/2W",$C141="1/2L"),$P141-$O141,IF($C141="X",0,-$O141)),2),0)</f>
        <v>0</v>
      </c>
      <c r="AI141" s="198">
        <f>IF($K141=AI$3,ROUND(IF(OR($C141="W",$C141="1/2W",$C141="1/2L"),$P141-$O141,IF($C141="X",0,-$O141)),2),0)</f>
        <v>0</v>
      </c>
      <c r="AJ141" s="198">
        <f>IF($K141=AJ$3,ROUND(IF(OR($C141="W",$C141="1/2W",$C141="1/2L"),$P141-$O141,IF($C141="X",0,-$O141)),2),0)</f>
        <v>0</v>
      </c>
      <c r="AK141" s="198">
        <f>IF($K141=AK$3,ROUND(IF(OR($C141="W",$C141="1/2W",$C141="1/2L"),$P141-$O141,IF($C141="X",0,-$O141)),2),0)</f>
        <v>0</v>
      </c>
      <c r="AL141" s="198">
        <f>IF($K141=AL$3,ROUND(IF(OR($C141="W",$C141="1/2W",$C141="1/2L"),$P141-$O141,IF($C141="X",0,-$O141)),2),0)</f>
        <v>0</v>
      </c>
      <c r="AM141" s="198">
        <f>IF($K141=AM$3,ROUND(IF(OR($C141="W",$C141="1/2W",$C141="1/2L"),$P141-$O141,IF($C141="X",0,-$O141)),2),0)</f>
        <v>0</v>
      </c>
      <c r="AN141" s="198">
        <f>IF($K141=AN$3,ROUND(IF(OR($C141="W",$C141="1/2W",$C141="1/2L"),$P141-$O141,IF($C141="X",0,-$O141)),2),0)</f>
        <v>0</v>
      </c>
      <c r="AO141" s="198">
        <f>IF($K141=AO$3,ROUND(IF(OR($C141="W",$C141="1/2W",$C141="1/2L"),$P141-$O141,IF($C141="X",0,-$O141)),2),0)</f>
        <v>0</v>
      </c>
      <c r="AP141" s="198">
        <f>IF($K141=AP$3,ROUND(IF(OR($C141="W",$C141="1/2W",$C141="1/2L"),$P141-$O141,IF($C141="X",0,-$O141)),2),0)</f>
        <v>0</v>
      </c>
      <c r="AQ141" s="198">
        <f>IF($K141=AQ$3,ROUND(IF(OR($C141="W",$C141="1/2W",$C141="1/2L"),$P141-$O141,IF($C141="X",0,-$O141)),2),0)</f>
        <v>0</v>
      </c>
      <c r="AR141" s="199">
        <f>IF($K141=AR$3,ROUND(IF(OR($C141="W",$C141="1/2W",$C141="1/2L"),$P141-$O141,IF($C141="X",0,-$O141)),2),0)</f>
        <v>0</v>
      </c>
      <c r="AS141" s="197">
        <f>IF(AND($B139=" ",$K141=AS$3),$O141,0)</f>
        <v>0</v>
      </c>
      <c r="AT141" s="198">
        <f>IF(AND($B139=" ",K141=AT$3),$O141,0)</f>
        <v>0</v>
      </c>
      <c r="AU141" s="198">
        <f>IF(AND($B139=" ",$K141=AU$3),$O141,0)</f>
        <v>0</v>
      </c>
      <c r="AV141" s="198">
        <f>IF(AND($B139=" ",$K141=AV$3),$O141,0)</f>
        <v>0</v>
      </c>
      <c r="AW141" s="198">
        <f>IF(AND($B139=" ",$K141=AW$3),$O141,0)</f>
        <v>0</v>
      </c>
      <c r="AX141" s="198">
        <f>IF(AND($B139=" ",$K141=AX$3),$O141,0)</f>
        <v>0</v>
      </c>
      <c r="AY141" s="200">
        <f>IF(AND($B139=" ",$K141=AY$3),$O141,0)</f>
        <v>0</v>
      </c>
      <c r="AZ141" s="201">
        <f>IF(AND($B139=" ",$K141=AZ$3),$O141,0)</f>
        <v>0</v>
      </c>
      <c r="BA141" s="201">
        <f>IF(AND($B139=" ",$K141=BA$3),$O141,0)</f>
        <v>0</v>
      </c>
      <c r="BB141" s="201">
        <f>IF(AND($B139=" ",$K141=BB$3),$O141,0)</f>
        <v>0</v>
      </c>
      <c r="BC141" s="202">
        <f>IF(AND($B139=" ",$K141=BC$3),$O141,0)</f>
        <v>0</v>
      </c>
      <c r="BD141" s="198">
        <f>IF(AND($B139=" ",$K141=BD$3),$O141,0)</f>
        <v>0</v>
      </c>
      <c r="BE141" s="199">
        <f>IF(AND($B139=" ",$K141=BE$3),$O141,0)</f>
        <v>0</v>
      </c>
      <c r="BF141" s="197">
        <f>IF($K141=BF$3,IF($C141="X",0,$O141),0)</f>
        <v>0</v>
      </c>
      <c r="BG141" s="198">
        <f>IF($K141=BG$3,IF($C141="X",0,$O141),0)</f>
        <v>0</v>
      </c>
      <c r="BH141" s="198">
        <f>IF($K141=BH$3,IF($C141="X",0,$O141),0)</f>
        <v>0</v>
      </c>
      <c r="BI141" s="198">
        <f>IF($K141=BI$3,IF($C141="X",0,$O141),0)</f>
        <v>0</v>
      </c>
      <c r="BJ141" s="198">
        <f>IF($K141=BJ$3,IF($C141="X",0,$O141),0)</f>
        <v>0</v>
      </c>
      <c r="BK141" s="198">
        <f>IF($K141=BK$3,IF($C141="X",0,$O141),0)</f>
        <v>0</v>
      </c>
      <c r="BL141" s="198">
        <f>IF($K141=BL$3,IF($C141="X",0,$O141),0)</f>
        <v>0</v>
      </c>
      <c r="BM141" s="200">
        <f>IF($K141=BM$3,IF($C141="X",0,$O141),0)</f>
        <v>0</v>
      </c>
      <c r="BN141" s="201">
        <f>IF($K141=BN$3,IF($C141="X",0,$O141),0)</f>
        <v>0</v>
      </c>
      <c r="BO141" s="201">
        <f>IF($K141=BO$3,IF($C141="X",0,$O141),0)</f>
        <v>0</v>
      </c>
      <c r="BP141" s="201">
        <f>IF($K141=BP$3,IF($C141="X",0,$O141),0)</f>
        <v>0</v>
      </c>
      <c r="BQ141" s="202">
        <f>IF($K141=BQ$3,IF($C141="X",0,$O141),0)</f>
        <v>0</v>
      </c>
      <c r="BR141" s="199">
        <f>IF($K141=BR$3,IF($C141="X",0,$O141),0)</f>
        <v>0</v>
      </c>
      <c r="BS141" s="228"/>
      <c r="BT141" s="229"/>
      <c r="BU141" s="140"/>
      <c r="BV141" s="229"/>
      <c r="BW141" s="140"/>
      <c r="BX141" s="140"/>
      <c r="BY141" s="140"/>
      <c r="BZ141" s="229"/>
      <c r="CA141" s="140"/>
      <c r="CB141" s="140"/>
      <c r="CC141" s="140"/>
      <c r="CD141" s="141"/>
      <c r="CE141" s="142"/>
      <c r="CF141" s="230">
        <f>IF(CF$3=$K141,IF($C141="W",1,IF($C141="1/2W",0.5,0)),0)</f>
        <v>0</v>
      </c>
      <c r="CG141" s="231">
        <f>IF(CF$3=$K141,IF($C141="L",1,IF($C141="1/2L",0.5,0)),0)</f>
        <v>0</v>
      </c>
      <c r="CH141" s="231">
        <f>IF(CH$3=$K141,IF($C141="W",1,IF($C141="1/2W",0.5,0)),0)</f>
        <v>0</v>
      </c>
      <c r="CI141" s="231">
        <f>IF(CH$3=$K141,IF($C141="L",1,IF($C141="1/2L",0.5,0)),0)</f>
        <v>0</v>
      </c>
      <c r="CJ141" s="231">
        <f>IF(CJ$3=$K141,IF($C141="W",1,IF($C141="1/2W",0.5,0)),0)</f>
        <v>0</v>
      </c>
      <c r="CK141" s="231">
        <f>IF(CJ$3=$K141,IF($C141="L",1,IF($C141="1/2L",0.5,0)),0)</f>
        <v>0</v>
      </c>
      <c r="CL141" s="231">
        <f>IF(CL$3=$K141,IF($C141="W",1,IF($C141="1/2W",0.5,0)),0)</f>
        <v>0</v>
      </c>
      <c r="CM141" s="231">
        <f>IF(CL$3=$K141,IF($C141="L",1,IF($C141="1/2L",0.5,0)),0)</f>
        <v>0</v>
      </c>
      <c r="CN141" s="231">
        <f>IF(CN$3=$K141,IF($C141="W",1,IF($C141="1/2W",0.5,0)),0)</f>
        <v>0</v>
      </c>
      <c r="CO141" s="231">
        <f>IF(CN$3=$K141,IF($C141="L",1,IF($C141="1/2L",0.5,0)),0)</f>
        <v>0</v>
      </c>
      <c r="CP141" s="231">
        <f>IF(CP$3=$K141,IF($C141="W",1,IF($C141="1/2W",0.5,0)),0)</f>
        <v>0</v>
      </c>
      <c r="CQ141" s="231">
        <f>IF(CP$3=$K141,IF($C141="L",1,IF($C141="1/2L",0.5,0)),0)</f>
        <v>0</v>
      </c>
      <c r="CR141" s="231">
        <f>IF(CR$3=$K141,IF($C141="W",1,IF($C141="1/2W",0.5,0)),0)</f>
        <v>0</v>
      </c>
      <c r="CS141" s="231">
        <f>IF(CR$3=$K141,IF($C141="L",1,IF($C141="1/2L",0.5,0)),0)</f>
        <v>0</v>
      </c>
      <c r="CT141" s="208">
        <f>IF(CT$3=$K141,IF($C141="W",1,IF($C141="1/2W",0.5,0)),0)</f>
        <v>0</v>
      </c>
      <c r="CU141" s="209">
        <f>IF(CT$3=$K141,IF($C141="L",1,IF($C141="1/2L",0.5,0)),0)</f>
        <v>0</v>
      </c>
      <c r="CV141" s="209">
        <f>IF(CV$3=$K141,IF($C141="W",1,IF($C141="1/2W",0.5,0)),0)</f>
        <v>0</v>
      </c>
      <c r="CW141" s="209">
        <f>IF(CV$3=$K141,IF($C141="L",1,IF($C141="1/2L",0.5,0)),0)</f>
        <v>0</v>
      </c>
      <c r="CX141" s="209">
        <f>IF(CX$3=$K141,IF($C141="W",1,IF($C141="1/2W",0.5,0)),0)</f>
        <v>0</v>
      </c>
      <c r="CY141" s="209">
        <f>IF(CX$3=$K141,IF($C141="L",1,IF($C141="1/2L",0.5,0)),0)</f>
        <v>0</v>
      </c>
      <c r="CZ141" s="209">
        <f>IF(CZ$3=$K141,IF($C141="W",1,IF($C141="1/2W",0.5,0)),0)</f>
        <v>0</v>
      </c>
      <c r="DA141" s="209">
        <f>IF(CZ$3=$K141,IF($C141="L",1,IF($C141="1/2L",0.5,0)),0)</f>
        <v>0</v>
      </c>
      <c r="DB141" s="209">
        <f>IF(DB$3=$K141,IF($C141="W",1,IF($C141="1/2W",0.5,0)),0)</f>
        <v>0</v>
      </c>
      <c r="DC141" s="209">
        <f>IF(DB$3=$K141,IF($C141="L",1,IF($C141="1/2L",0.5,0)),0)</f>
        <v>0</v>
      </c>
      <c r="DD141" s="209">
        <f>IF(DD$3=$K141,IF($C141="W",1,IF($C141="1/2W",0.5,0)),0)</f>
        <v>0</v>
      </c>
      <c r="DE141" s="210">
        <f>IF(DD$3=$K141,IF($C141="L",1,IF($C141="1/2L",0.5,0)),0)</f>
        <v>0</v>
      </c>
      <c r="DF141" s="211">
        <f>IF(AND(L141&lt;DF$3,$C141="W"),1+DF140,DF140)</f>
        <v>7</v>
      </c>
      <c r="DG141" s="198">
        <f>IF(DF141&gt;DF140,L141+DG140,DG140)</f>
        <v>9.247999999999999</v>
      </c>
      <c r="DH141" s="209">
        <f>IF(AND(L141&gt;DH$3,$C141="W"),1+DH140,0+DH140)</f>
        <v>2</v>
      </c>
      <c r="DI141" s="198">
        <f>IF(DH141&gt;DH140,L141+DI140,DI140)</f>
        <v>11.58</v>
      </c>
      <c r="DJ141" t="s" s="306">
        <f>IF($D139="","",$D139)</f>
        <v>101</v>
      </c>
      <c r="DK141" s="232"/>
    </row>
    <row r="142" ht="14.55" customHeight="1">
      <c r="A142" s="246">
        <f>$A139+1</f>
        <v>47</v>
      </c>
      <c r="B142" t="s" s="247">
        <v>50</v>
      </c>
      <c r="C142" t="s" s="248">
        <v>56</v>
      </c>
      <c r="D142" t="s" s="303">
        <f>IF(G142="","",$D139)</f>
        <v>101</v>
      </c>
      <c r="E142" t="s" s="250">
        <v>176</v>
      </c>
      <c r="F142" t="s" s="251">
        <f>IF(G142="","",IF(OR(AND($C142&lt;&gt;" ",$C143=" "),AND($C143&lt;&gt;" ",$C142=" "),AND(L144&gt;0,OR(AND($C144&lt;&gt;" ",OR($C142=" ",$C143=" ")),AND($C144=" ",OR($C142&lt;&gt;" ",$C143&lt;&gt;" "))))),IF(SUM(F$4:F141)=0,1,LARGE(F$4:F141,1)+1),IF(MONTH(G142)=MONTH(TODAY()),IF(AND(DAY(G142)&lt;DAY(TODAY()),$B142=" "),IF(SUM(F$4:F141)=0,1,LARGE(F$4:F141,1)+1),IF($B142=" ",IF(AND(DAY(G142)=DAY(TODAY()),HOUR(G142)&lt;=HOUR(NOW())+1),IF(AND(HOUR(G142)+2&lt;=HOUR(NOW()),DAY(G142)&lt;=DAY(TODAY()),MINUTE(G142)&lt;=MINUTE(NOW())),IF(SUM(F$4:F141)=0,1,LARGE(F$4:F141,1)+1),IF(OR(MINUTE(G142)&lt;=MINUTE(NOW()),HOUR(G142)&lt;=HOUR(NOW())),"!!!","")),""),"")),"")))</f>
      </c>
      <c r="G142" s="252">
        <v>44944.416666666664</v>
      </c>
      <c r="H142" t="s" s="253">
        <v>174</v>
      </c>
      <c r="I142" t="s" s="254">
        <v>87</v>
      </c>
      <c r="J142" s="293"/>
      <c r="K142" t="s" s="256">
        <v>38</v>
      </c>
      <c r="L142" s="257">
        <v>2.7</v>
      </c>
      <c r="M142" s="258">
        <v>19.16</v>
      </c>
      <c r="N142" s="259">
        <v>0.1</v>
      </c>
      <c r="O142" s="260">
        <f>IF(OR(AE142="",AE143=""),"",ROUND(IF(L144&gt;0,IF(M142&gt;0,M142,IF(M143&gt;0,ROUND((M143*AE142)/AE143,IF(N142=0,2,IF(N142=0.1,1,0))),ROUND((M144*AE142)/AE144,IF(N142=0,2,IF(N142=0.1,1,0))))),IF(M142&gt;0,M142,ROUND((M143*AE142)/AE143,IF(N142=0,2,IF(N142=0.1,1,0))))),2))</f>
        <v>19.16</v>
      </c>
      <c r="P142" s="261">
        <f>IF(OR(L142="",O142=""),"",IF($C142="1/2W",O142/2+O142/2*L142,IF($C142="1/2L",O142/2,IF(I142="Lay",(O142*(L142/(L142-1))-O142)*(1-_xlfn.XLOOKUP(K142,'Janeiro 2023 - Valor Real'!A3:A15,'Janeiro 2023 - Valor Real'!C3:C15,0))+O142,(O142*L142-O142)*(1-_xlfn.XLOOKUP(K142,'Janeiro 2023 - Valor Real'!A3:A15,'Janeiro 2023 - Valor Real'!C3:C15,0))+O142))))</f>
        <v>51.732</v>
      </c>
      <c r="Q142" s="262">
        <v>5</v>
      </c>
      <c r="R142" s="263">
        <v>0</v>
      </c>
      <c r="S142" s="264">
        <f>IF($B142="Anulado",0,ROUND(IF(OR($B142="LOSS",$B142="OK"),IF(OR($C142="W",$C142="1/2W",$C142="1/2L"),P142-O142,IF($C142="L",-O142,0))+IF(OR($C143="W",$C143="1/2W",$C143="1/2L"),P143-O143,IF($C143="L",-O143,0))+IF(OR($C144="W",$C144="1/2W",$C144="1/2L"),P144-O144,IF($C144="L",-O144,0)),IF(AND(OR($C142="W",$C142="1/2W",$C142="1/2L"),C143="W"),P142+P143-SUM(O142:O144)+_xlfn.XLOOKUP("X",C142:C144,O142:O144,0),IF(AND(C142=TRUE,C144="W"),P142+P144-SUM(O142:O144),IF(AND(C143="W",C144="W"),P143+P144-SUM(O142:O144)+_xlfn.XLOOKUP("X",C142:C144,O142:O144,0),IF(L144&gt;0,IF(OR($C142="W",$C142="1/2W",$C142="1/2L"),P142-SUM(O142:O144)+_xlfn.XLOOKUP("X",C142:C144,O142:O144,0),IF(OR($C142="W",$C142="1/2W",$C142="1/2L"),P143-SUM(O142:O144)+_xlfn.XLOOKUP("X",C142:C144,O142:O144,0),IF(OR($C142="W",$C142="1/2W",$C142="1/2L"),P144-SUM(O142:O144)+_xlfn.XLOOKUP("X",C142:C144,O142:O144,0),IF(SUM(P142:P144)/3-SUM(O142:O144)+_xlfn.XLOOKUP("X",C142:C144,O142:O144,0)&gt;0,SUM(P142:P144)/3-SUM(O142:O144)+_xlfn.XLOOKUP("X",C142:C144,O142:O144,0),LARGE(P142:P144,1)-SUM(O142:O144))))),IF(OR($C142="W",$C142="1/2W",$C142="1/2L"),P142-SUM(O142:O143)+_xlfn.XLOOKUP("X",C142:C144,O142:O144,0),IF(OR($C142="W",$C142="1/2W",$C142="1/2L"),P143-SUM(O142:O143)+_xlfn.XLOOKUP("X",C142:C144,O142:O144,0),SUM(P142:P143)/2-SUM(O142:O143)+_xlfn.XLOOKUP("X",C142:C144,O142:O144,0)))))))),2))</f>
        <v>2.47</v>
      </c>
      <c r="T142" s="265">
        <f>IF(S142=0,0,S142/SUM(O142:O144))</f>
        <v>0.0501421031262688</v>
      </c>
      <c r="U142" s="266">
        <f>IF($D142=$D139,IF(OR($B142="LOSS",$B142="OK",$B142="Anulada"),S142,0)+U139,IF(OR($B142="LOSS",$B142="OK",$B142="Anulada"),S142,0))</f>
        <v>44.15</v>
      </c>
      <c r="V142" s="266">
        <f>IF($D142="",0,IF($D142=$D139,IF($B142=" ",IF(I144="",IF(OR(AND(I142="DNB1",I143="DNB2"),AND(OR(I142="DNB1",I142="DNB2"),J143=0),AND(OR(I143="DNB1",I143="DNB2"),J142=0),AND(I142="DNB2",I143="DNB1"),AND(IF(J142=0,(J142+1)/ROUND(J142+1,0),J142/ROUND(J142,0))=1,IF(J143=0,(J143+1)/ROUND(IF(J143="",0,J143)+1,0),IF(J143="",0,J143)/ROUND(IF(J143="",1,J143),0))=1,OR(J142&lt;&gt;""),J143&lt;&gt;"")),0,IF(S142&lt;0,IF(I144="",SMALL(P142:P143,1)-SUM(O142:O143),0),SMALL(P142:P143,1)-SUM(O142:O143))),IF(S142&lt;0,IF(I144="",SMALL(P142:P144,1)-SUM(O142:O144),0),LARGE(P142:P144,1)-SUM(O142:O144))),S142)+V139,IF(I144="",IF(OR(AND(I142="DNB1",I143="DNB2"),AND(OR(I142="DNB1",I142="DNB2"),J143=0),AND(OR(I143="DNB1",I143="DNB2"),J142=0),AND(I142="DNB2",I143="DNB1"),AND(IF(J142=0,(J142+1)/ROUND(J142+1,0),J142/ROUND(J142,0))=1,IF(J143=0,(IF(J143="",0,J143)+1)/ROUND(IF(J143="",0,J143)+1,0),IF(J143="",0,J143)/ROUND(IF(J143="",0,J143)+1,0))=1,OR(J142&lt;&gt;""),J143&lt;&gt;"")),0,IF(S142&lt;0,IF(I144="",SMALL(P142:P143,1)-SUM(O142:O143),0),SMALL(P142:P144,1)-SUM(O142:O144))),IF(S142&lt;0,IF(I144="",SMALL(P142:P144,1)-SUM(O142:O144),0),LARGE(P142:P144,1)-SUM(O142:O144)))))</f>
        <v>44.152</v>
      </c>
      <c r="W142" s="266">
        <f>IF($D142=$D139,IF(S142&lt;0,IF(I144="",S142,0),S142)+W139,S142)</f>
        <v>44.15</v>
      </c>
      <c r="X142" t="s" s="267">
        <f>IF(OR(SUM(R142:R144)=0,V142=W142),ROUND(IF(W142=0,0,W142/Y142)*100,2)&amp;"%",ROUND(IF(V142=0,0,V142/Y142)*100,2)&amp;"% a "&amp;ROUND(IF(W142=0,0,W142/Y142)*100,2)&amp;"%")</f>
        <v>177</v>
      </c>
      <c r="Y142" s="268">
        <f>IF($D142=$D139,Y139+SUM(O142:O144),SUM(O142:O144))</f>
        <v>1084.01</v>
      </c>
      <c r="Z142" s="266">
        <f>IF($B142=" ",SUM(O142:O144),0)+Z139</f>
        <v>0</v>
      </c>
      <c r="AA142" s="266">
        <f>IF(G142="","",IF($B142="Anulado",LARGE(P142:P144,1)-SUM(O142:O144)+AA139,AA139))</f>
        <v>14.1564</v>
      </c>
      <c r="AB142" s="266">
        <f>IF($D142="","",AB139+S142)</f>
        <v>122.25</v>
      </c>
      <c r="AC142" s="269">
        <f>IF($D142="","",IF($B142=" ",IF(DAY(G142)=DAY(TODAY()),1+AC139,0+AC139),0+AC139))</f>
        <v>0</v>
      </c>
      <c r="AD142" s="270">
        <f>(1-_xlfn.XLOOKUP(K140,'Janeiro 2023 - Valor Real'!A3:A15,'Janeiro 2023 - Valor Real'!C3:C15,0))+1</f>
        <v>2</v>
      </c>
      <c r="AE142" s="271">
        <f>IF(L142="","",IF(L144&gt;0,(SUM(((L142-1)*(1-_xlfn.XLOOKUP(K142,'Janeiro 2023 - Valor Real'!A3:A15,'Janeiro 2023 - Valor Real'!C3:C15,0))+1),((L143-1)*(1-_xlfn.XLOOKUP(K143,'Janeiro 2023 - Valor Real'!A3:A15,'Janeiro 2023 - Valor Real'!C3:C15,0))+1),((L144-1)*(1-_xlfn.XLOOKUP(K144,'Janeiro 2023 - Valor Real'!A3:A15,'Janeiro 2023 - Valor Real'!C3:C15,0))+1))/((L142-1)*(1-_xlfn.XLOOKUP(K142,'Janeiro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Real'!C3:C15,0))+1))/((L142-1)*(1-_xlfn.XLOOKUP(K142,'Janeiro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Real'!C3:C15,0))+1))/((L143-1)*(1-_xlfn.XLOOKUP(K143,'Janeiro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Real'!C3:C15,0))+1))/((L144-1)*(1-_xlfn.XLOOKUP(K144,'Janeiro 2023 - Valor Real'!A3:A15,'Janeiro 2023 - Valor Real'!C3:C15,0))+1)),IF(I142="Lay",IF(I143="Lay",((L143/(L143-1)-1)*(1-_xlfn.XLOOKUP(K143,'Janeiro 2023 - Valor Real'!A3:A15,'Janeiro 2023 - Valor Real'!C3:C15,0))+1)/(((L143/(L143-1)-1)*(1-_xlfn.XLOOKUP(K143,'Janeiro 2023 - Valor Real'!A3:A15,'Janeiro 2023 - Valor Real'!C3:C15,0))+1)+((L142/(L142-1)-1)*(1-_xlfn.XLOOKUP(K142,'Janeiro 2023 - Valor Real'!A3:A15,'Janeiro 2023 - Valor Real'!C3:C15,0))+1)),((L143-1)*(1-_xlfn.XLOOKUP(K143,'Janeiro 2023 - Valor Real'!A3:A15,'Janeiro 2023 - Valor Real'!C3:C15,0))+1)/(((L143-1)*(1-_xlfn.XLOOKUP(K143,'Janeiro 2023 - Valor Real'!A3:A15,'Janeiro 2023 - Valor Real'!C3:C15,0))+1)+((L142/(L142-1)-1)*(1-_xlfn.XLOOKUP(K142,'Janeiro 2023 - Valor Real'!A3:A15,'Janeiro 2023 - Valor Real'!C3:C15,0))+1))),IF(I143="Lay",(((L143/(L143-1)-1)*(1-_xlfn.XLOOKUP(K143,'Janeiro 2023 - Valor Real'!A3:A15,'Janeiro 2023 - Valor Real'!C3:C15,0))+1))/(((L142-1)*(1-_xlfn.XLOOKUP(K142,'Janeiro 2023 - Valor Real'!A3:A15,'Janeiro 2023 - Valor Real'!C3:C15,0))+1)+((L143/(L143-1)-1)*(1-_xlfn.XLOOKUP(K143,'Janeiro 2023 - Valor Real'!A3:A15,'Janeiro 2023 - Valor Real'!C3:C15,0))+1)),((L143-1)*(1-_xlfn.XLOOKUP(K143,'Janeiro 2023 - Valor Real'!A3:A15,'Janeiro 2023 - Valor Real'!C3:C15,0))+1)/(((L143-1)*(1-_xlfn.XLOOKUP(K143,'Janeiro 2023 - Valor Real'!A3:A15,'Janeiro 2023 - Valor Real'!C3:C15,0))+1)+((L142-1)*(1-_xlfn.XLOOKUP(K142,'Janeiro 2023 - Valor Real'!A3:A15,'Janeiro 2023 - Valor Real'!C3:C15,0))+1))))))</f>
        <v>0.389140271493213</v>
      </c>
      <c r="AF142" s="132">
        <f>IF($K142=AF$3,ROUND(IF(OR($C142="W",$C142="1/2W",$C142="1/2L"),$P142-$O142,IF($C142="X",0,-$O142)),2),0)</f>
        <v>0</v>
      </c>
      <c r="AG142" s="133">
        <f>IF($K142=AG$3,ROUND(IF(OR($C142="W",$C142="1/2W",$C142="1/2L"),$P142-$O142,IF($C142="X",0,-$O142)),2),0)</f>
        <v>32.57</v>
      </c>
      <c r="AH142" s="133">
        <f>IF($K142=AH$3,ROUND(IF(OR($C142="W",$C142="1/2W",$C142="1/2L"),$P142-$O142,IF($C142="X",0,-$O142)),2),0)</f>
        <v>0</v>
      </c>
      <c r="AI142" s="133">
        <f>IF($K142=AI$3,ROUND(IF(OR($C142="W",$C142="1/2W",$C142="1/2L"),$P142-$O142,IF($C142="X",0,-$O142)),2),0)</f>
        <v>0</v>
      </c>
      <c r="AJ142" s="133">
        <f>IF($K142=AJ$3,ROUND(IF(OR($C142="W",$C142="1/2W",$C142="1/2L"),$P142-$O142,IF($C142="X",0,-$O142)),2),0)</f>
        <v>0</v>
      </c>
      <c r="AK142" s="133">
        <f>IF($K142=AK$3,ROUND(IF(OR($C142="W",$C142="1/2W",$C142="1/2L"),$P142-$O142,IF($C142="X",0,-$O142)),2),0)</f>
        <v>0</v>
      </c>
      <c r="AL142" s="133">
        <f>IF($K142=AL$3,ROUND(IF(OR($C142="W",$C142="1/2W",$C142="1/2L"),$P142-$O142,IF($C142="X",0,-$O142)),2),0)</f>
        <v>0</v>
      </c>
      <c r="AM142" s="133">
        <f>IF($K142=AM$3,ROUND(IF(OR($C142="W",$C142="1/2W",$C142="1/2L"),$P142-$O142,IF($C142="X",0,-$O142)),2),0)</f>
        <v>0</v>
      </c>
      <c r="AN142" s="133">
        <f>IF($K142=AN$3,ROUND(IF(OR($C142="W",$C142="1/2W",$C142="1/2L"),$P142-$O142,IF($C142="X",0,-$O142)),2),0)</f>
        <v>0</v>
      </c>
      <c r="AO142" s="133">
        <f>IF($K142=AO$3,ROUND(IF(OR($C142="W",$C142="1/2W",$C142="1/2L"),$P142-$O142,IF($C142="X",0,-$O142)),2),0)</f>
        <v>0</v>
      </c>
      <c r="AP142" s="133">
        <f>IF($K142=AP$3,ROUND(IF(OR($C142="W",$C142="1/2W",$C142="1/2L"),$P142-$O142,IF($C142="X",0,-$O142)),2),0)</f>
        <v>0</v>
      </c>
      <c r="AQ142" s="133">
        <f>IF($K142=AQ$3,ROUND(IF(OR($C142="W",$C142="1/2W",$C142="1/2L"),$P142-$O142,IF($C142="X",0,-$O142)),2),0)</f>
        <v>0</v>
      </c>
      <c r="AR142" s="134">
        <f>IF($K142=AR$3,ROUND(IF(OR($C142="W",$C142="1/2W",$C142="1/2L"),$P142-$O142,IF($C142="X",0,-$O142)),2),0)</f>
        <v>0</v>
      </c>
      <c r="AS142" s="132">
        <f>IF(AND($B142=" ",$K142=AS$3),$O142,0)</f>
        <v>0</v>
      </c>
      <c r="AT142" s="133">
        <f>IF(AND($B142=" ",$K142=AT$3),$O142,0)</f>
        <v>0</v>
      </c>
      <c r="AU142" s="133">
        <f>IF(AND($B142=" ",$K142=AU$3),$O142,0)</f>
        <v>0</v>
      </c>
      <c r="AV142" s="133">
        <f>IF(AND($B142=" ",$K142=AV$3),$O142,0)</f>
        <v>0</v>
      </c>
      <c r="AW142" s="133">
        <f>IF(AND($B142=" ",$K142=AW$3),$O142,0)</f>
        <v>0</v>
      </c>
      <c r="AX142" s="133">
        <f>IF(AND($B142=" ",$K142=AX$3),$O142,0)</f>
        <v>0</v>
      </c>
      <c r="AY142" s="135">
        <f>IF(AND($B142=" ",$K142=AY$3),$O142,0)</f>
        <v>0</v>
      </c>
      <c r="AZ142" s="136">
        <f>IF(AND($B142=" ",$K142=AZ$3),$O142,0)</f>
        <v>0</v>
      </c>
      <c r="BA142" s="136">
        <f>IF(AND($B142=" ",$K142=BA$3),$O142,0)</f>
        <v>0</v>
      </c>
      <c r="BB142" s="136">
        <f>IF(AND($B142=" ",$K142=BB$3),$O142,0)</f>
        <v>0</v>
      </c>
      <c r="BC142" s="137">
        <f>IF(AND($B142=" ",$K142=BC$3),$O142,0)</f>
        <v>0</v>
      </c>
      <c r="BD142" s="133">
        <f>IF(AND($B142=" ",$K142=BD$3),$O142,0)</f>
        <v>0</v>
      </c>
      <c r="BE142" s="134">
        <f>IF(AND($B142=" ",$K142=BE$3),$O142,0)</f>
        <v>0</v>
      </c>
      <c r="BF142" s="132">
        <f>IF($K142=BF$3,IF($C142="X",0,$O142),0)</f>
        <v>0</v>
      </c>
      <c r="BG142" s="133">
        <f>IF($K142=BG$3,IF($C142="X",0,$O142),0)</f>
        <v>19.16</v>
      </c>
      <c r="BH142" s="133">
        <f>IF($K142=BH$3,IF($C142="X",0,$O142),0)</f>
        <v>0</v>
      </c>
      <c r="BI142" s="133">
        <f>IF($K142=BI$3,IF($C142="X",0,$O142),0)</f>
        <v>0</v>
      </c>
      <c r="BJ142" s="133">
        <f>IF($K142=BJ$3,IF($C142="X",0,$O142),0)</f>
        <v>0</v>
      </c>
      <c r="BK142" s="133">
        <f>IF($K142=BK$3,IF($C142="X",0,$O142),0)</f>
        <v>0</v>
      </c>
      <c r="BL142" s="133">
        <f>IF($K142=BL$3,IF($C142="X",0,$O142),0)</f>
        <v>0</v>
      </c>
      <c r="BM142" s="135">
        <f>IF($K142=BM$3,IF($C142="X",0,$O142),0)</f>
        <v>0</v>
      </c>
      <c r="BN142" s="136">
        <f>IF($K142=BN$3,IF($C142="X",0,$O142),0)</f>
        <v>0</v>
      </c>
      <c r="BO142" s="136">
        <f>IF($K142=BO$3,IF($C142="X",0,$O142),0)</f>
        <v>0</v>
      </c>
      <c r="BP142" s="136">
        <f>IF($K142=BP$3,IF($C142="X",0,$O142),0)</f>
        <v>0</v>
      </c>
      <c r="BQ142" s="137">
        <f>IF($K142=BQ$3,IF($C142="X",0,$O142),0)</f>
        <v>0</v>
      </c>
      <c r="BR142" s="134">
        <f>IF($K142=BR$3,IF($C142="X",0,$O142),0)</f>
        <v>0</v>
      </c>
      <c r="BS142" s="170">
        <f>IF($B142="LOSS",IF(AND($K142=BS$3,$C142="L"),-$O142,0)+IF(AND($K143=BS$3,$C143="L"),-$O143,0)+IF(AND($K144=BS$3,$C144="L"),-$O144,0),IF(OR(AND($K142=BS$3,OR($C142="W",$C142="1/2W")),AND($K143=BS$3,OR($C143="W",$C143="1/2W")),AND($K144=BS$3,OR($C144="W",$C144="1/2W"))),$S142,0))</f>
        <v>0</v>
      </c>
      <c r="BT142" s="272">
        <f>IF($B142="LOSS",IF(AND($K142=BT$3,$C142="L"),-$O142,0)+IF(AND($K143=BT$3,$C143="L"),-$O143,0)+IF(AND($K143=BT$3,$C144="L"),-$O144,0),IF(OR(AND($K143=BT$3,OR($C142="W",$C142="1/2W")),AND($K143=BT$3,OR($C143="W",$C143="1/2W")),AND($K143=BT$3,OR($C144="W",$C144="1/2W"))),$S142,0))</f>
        <v>0</v>
      </c>
      <c r="BU142" s="136">
        <f>IF($B142="LOSS",IF(AND($K142=BU$3,$C142="L"),-$O142,0)+IF(AND($K143=BU$3,$C143="L"),-$O143,0)+IF(AND($K143=BU$3,$C144="L"),-$O144,0),IF(OR(AND($K143=BU$3,OR($C142="W",$C142="1/2W")),AND($K143=BU$3,OR($C143="W",$C143="1/2W")),AND($K143=BU$3,OR($C144="W",$C144="1/2W"))),$S142,0))</f>
        <v>0</v>
      </c>
      <c r="BV142" s="136">
        <f>IF($B142="LOSS",IF(AND($K142=BV$3,$C142="L"),-$O142,0)+IF(AND($K143=BV$3,$C143="L"),-$O143,0)+IF(AND($K144=BV$3,$C144="L"),-$O144,0),IF(OR(AND($K142=BV$3,OR($C142="W",$C142="1/2W")),AND($K143=BV$3,OR($C143="W",$C143="1/2W")),AND($K144=BV$3,OR($C144="W",$C144="1/2W"))),$S142,0))</f>
        <v>0</v>
      </c>
      <c r="BW142" s="136">
        <f>IF($B142="LOSS",IF(AND($K142=BW$3,$C142="L"),-$O142,0)+IF(AND($K143=BW$3,$C143="L"),-$O143,0)+IF(AND($K144=BW$3,$C144="L"),-$O144,0),IF(OR(AND($K142=BW$3,OR($C142="W",$C142="1/2W")),AND($K143=BW$3,OR($C143="W",$C143="1/2W")),AND($K144=BW$3,OR($C144="W",$C144="1/2W"))),$S142,0))</f>
        <v>0</v>
      </c>
      <c r="BX142" s="136">
        <f>IF($B142="LOSS",IF(AND($K142=BX$3,$C142="L"),-$O142,0)+IF(AND($K143=BX$3,$C143="L"),-$O143,0)+IF(AND($K144=BX$3,$C144="L"),-$O144,0),IF(OR(AND($K142=BX$3,OR($C142="W",$C142="1/2W")),AND($K143=BX$3,OR($C143="W",$C143="1/2W")),AND($K144=BX$3,OR($C144="W",$C144="1/2W"))),$S142,0))</f>
        <v>0</v>
      </c>
      <c r="BY142" s="136">
        <f>IF($B142="LOSS",IF(AND($K142=BY$3,$C142="L"),-$O142,0)+IF(AND($K143=BY$3,$C143="L"),-$O143,0)+IF(AND($K144=BY$3,$C144="L"),-$O144,0),IF(OR(AND($K142=BY$3,OR($C142="W",$C142="1/2W")),AND($K143=BY$3,OR($C143="W",$C143="1/2W")),AND($K144=BY$3,OR($C144="W",$C144="1/2W"))),$S142,0))</f>
        <v>0</v>
      </c>
      <c r="BZ142" s="136">
        <f>IF($B142="LOSS",IF(AND($K142=BZ$3,$C142="L"),-$O142,0)+IF(AND($K143=BZ$3,$C143="L"),-$O143,0)+IF(AND($K144=BZ$3,$C144="L"),-$O144,0),IF(OR(AND($K142=BZ$3,OR($C142="W",$C142="1/2W")),AND($K143=BZ$3,OR($C143="W",$C143="1/2W")),AND($K144=BZ$3,OR($C144="W",$C144="1/2W"))),$S142,0))</f>
        <v>0</v>
      </c>
      <c r="CA142" s="136">
        <f>IF($B142="LOSS",IF(AND($K142=CA$3,$C142="L"),-$O142,0)+IF(AND($K143=CA$3,$C143="L"),-$O143,0)+IF(AND($K144=CA$3,$C144="L"),-$O144,0),IF(OR(AND($K142=CA$3,OR($C142="W",$C142="1/2W")),AND($K143=CA$3,OR($C143="W",$C143="1/2W")),AND($K144=CA$3,OR($C144="W",$C144="1/2W"))),$S142,0))</f>
        <v>0</v>
      </c>
      <c r="CB142" s="136">
        <f>IF($B142="LOSS",IF(AND($K142=CB$3,$C142="L"),-$O142,0)+IF(AND($K143=CB$3,$C143="L"),-$O143,0)+IF(AND($K144=CB$3,$C144="L"),-$O144,0),IF(OR(AND($K142=CB$3,OR($C142="W",$C142="1/2W")),AND($K143=CB$3,OR($C143="W",$C143="1/2W")),AND($K144=CB$3,OR($C144="W",$C144="1/2W"))),$S142,0))</f>
        <v>0</v>
      </c>
      <c r="CC142" s="136">
        <f>IF($B142="LOSS",IF(AND($K142=CC$3,$C142="L"),-$O142,0)+IF(AND($K143=CC$3,$C143="L"),-$O143,0)+IF(AND($K144=CC$3,$C144="L"),-$O144,0),IF(OR(AND($K142=CC$3,OR($C142="W",$C142="1/2W")),AND($K143=CC$3,OR($C143="W",$C143="1/2W")),AND($K144=CC$3,OR($C144="W",$C144="1/2W"))),$S142,0))</f>
        <v>0</v>
      </c>
      <c r="CD142" s="137">
        <f>IF($B142="LOSS",IF(AND($K142=CD$3,$C142="L"),-$O142,0)+IF(AND($K143=CD$3,$C143="L"),-$O143,0)+IF(AND($K144=CD$3,$C144="L"),-$O144,0),IF(OR(AND($K142=CD$3,OR($C142="W",$C142="1/2W")),AND($K143=CD$3,OR($C143="W",$C143="1/2W")),AND($K144=CD$3,OR($C144="W",$C144="1/2W"))),$S142,0))</f>
        <v>0</v>
      </c>
      <c r="CE142" s="134">
        <f>IF($B142="LOSS",IF(AND($K142=CE$3,$C142="L"),-$O142,0)+IF(AND($K143=CE$3,$C143="L"),-$O143,0)+IF(AND($K144=CE$3,$C144="L"),-$O144,0),IF(OR(AND($K142=CE$3,OR($C142="W",$C142="1/2W")),AND($K143=CE$3,OR($C143="W",$C143="1/2W")),AND($K144=CE$3,OR($C144="W",$C144="1/2W"))),$S142,0))</f>
        <v>0</v>
      </c>
      <c r="CF142" s="273">
        <f>IF(CF$3=$K142,IF($C142="W",1,IF($C142="1/2W",0.5,0)),0)</f>
        <v>0</v>
      </c>
      <c r="CG142" s="274">
        <f>IF(CF$3=$K142,IF($C142="L",1,IF($C142="1/2L",0.5,0)),0)</f>
        <v>0</v>
      </c>
      <c r="CH142" s="274">
        <f>IF(CH$3=$K142,IF($C142="W",1,IF($C142="1/2W",0.5,0)),0)</f>
        <v>1</v>
      </c>
      <c r="CI142" s="274">
        <f>IF(CH$3=$K142,IF($C142="L",1,IF($C142="1/2L",0.5,0)),0)</f>
        <v>0</v>
      </c>
      <c r="CJ142" s="274">
        <f>IF(CJ$3=$K142,IF($C142="W",1,IF($C142="1/2W",0.5,0)),0)</f>
        <v>0</v>
      </c>
      <c r="CK142" s="274">
        <f>IF(CJ$3=$K142,IF($C142="L",1,IF($C142="1/2L",0.5,0)),0)</f>
        <v>0</v>
      </c>
      <c r="CL142" s="274">
        <f>IF(CL$3=$K142,IF($C142="W",1,IF($C142="1/2W",0.5,0)),0)</f>
        <v>0</v>
      </c>
      <c r="CM142" s="274">
        <f>IF(CL$3=$K142,IF($C142="L",1,IF($C142="1/2L",0.5,0)),0)</f>
        <v>0</v>
      </c>
      <c r="CN142" s="274">
        <f>IF(CN$3=$K142,IF($C142="W",1,IF($C142="1/2W",0.5,0)),0)</f>
        <v>0</v>
      </c>
      <c r="CO142" s="274">
        <f>IF(CN$3=$K142,IF($C142="L",1,IF($C142="1/2L",0.5,0)),0)</f>
        <v>0</v>
      </c>
      <c r="CP142" s="274">
        <f>IF(CP$3=$K142,IF($C142="W",1,IF($C142="1/2W",0.5,0)),0)</f>
        <v>0</v>
      </c>
      <c r="CQ142" s="274">
        <f>IF(CP$3=$K142,IF($C142="L",1,IF($C142="1/2L",0.5,0)),0)</f>
        <v>0</v>
      </c>
      <c r="CR142" s="274">
        <f>IF(CR$3=$K142,IF($C142="W",1,IF($C142="1/2W",0.5,0)),0)</f>
        <v>0</v>
      </c>
      <c r="CS142" s="274">
        <f>IF(CR$3=$K142,IF($C142="L",1,IF($C142="1/2L",0.5,0)),0)</f>
        <v>0</v>
      </c>
      <c r="CT142" s="145">
        <f>IF(CT$3=$K142,IF($C142="W",1,IF($C142="1/2W",0.5,0)),0)</f>
        <v>0</v>
      </c>
      <c r="CU142" s="146">
        <f>IF(CT$3=$K142,IF($C142="L",1,IF($C142="1/2L",0.5,0)),0)</f>
        <v>0</v>
      </c>
      <c r="CV142" s="146">
        <f>IF(CV$3=$K142,IF($C142="W",1,IF($C142="1/2W",0.5,0)),0)</f>
        <v>0</v>
      </c>
      <c r="CW142" s="146">
        <f>IF(CV$3=$K142,IF($C142="L",1,IF($C142="1/2L",0.5,0)),0)</f>
        <v>0</v>
      </c>
      <c r="CX142" s="146">
        <f>IF(CX$3=$K142,IF($C142="W",1,IF($C142="1/2W",0.5,0)),0)</f>
        <v>0</v>
      </c>
      <c r="CY142" s="146">
        <f>IF(CX$3=$K142,IF($C142="L",1,IF($C142="1/2L",0.5,0)),0)</f>
        <v>0</v>
      </c>
      <c r="CZ142" s="146">
        <f>IF(CZ$3=$K142,IF($C142="W",1,IF($C142="1/2W",0.5,0)),0)</f>
        <v>0</v>
      </c>
      <c r="DA142" s="146">
        <f>IF(CZ$3=$K142,IF($C142="L",1,IF($C142="1/2L",0.5,0)),0)</f>
        <v>0</v>
      </c>
      <c r="DB142" s="146">
        <f>IF(DB$3=$K142,IF($C142="W",1,IF($C142="1/2W",0.5,0)),0)</f>
        <v>0</v>
      </c>
      <c r="DC142" s="146">
        <f>IF(DB$3=$K142,IF($C142="L",1,IF($C142="1/2L",0.5,0)),0)</f>
        <v>0</v>
      </c>
      <c r="DD142" s="146">
        <f>IF(DD$3=$K142,IF($C142="W",1,IF($C142="1/2W",0.5,0)),0)</f>
        <v>0</v>
      </c>
      <c r="DE142" s="147">
        <f>IF(DD$3=$K142,IF($C142="L",1,IF($C142="1/2L",0.5,0)),0)</f>
        <v>0</v>
      </c>
      <c r="DF142" s="143">
        <f>IF(AND(L142&lt;DF$3,$C142="W"),1+DF141,DF141)</f>
        <v>7</v>
      </c>
      <c r="DG142" s="133">
        <f>IF(DF142&gt;DF141,L142+DG141,DG141)</f>
        <v>9.247999999999999</v>
      </c>
      <c r="DH142" s="146">
        <f>IF(AND(L142&gt;DH$3,$C142="W"),1+DH141,0+DH141)</f>
        <v>2</v>
      </c>
      <c r="DI142" s="133">
        <f>IF(DH142&gt;DH141,L142+DI141,DI141)</f>
        <v>11.58</v>
      </c>
      <c r="DJ142" t="s" s="304">
        <f>IF($D142="","",$D142)</f>
        <v>101</v>
      </c>
      <c r="DK142" s="146">
        <f>IF(AND($B142=" ",$D142&lt;&gt;""),1,0)</f>
        <v>0</v>
      </c>
    </row>
    <row r="143" ht="14.55" customHeight="1">
      <c r="A143" s="107"/>
      <c r="B143" s="108"/>
      <c r="C143" t="s" s="109">
        <v>51</v>
      </c>
      <c r="D143" s="110"/>
      <c r="E143" s="111"/>
      <c r="F143" s="113"/>
      <c r="G143" s="252"/>
      <c r="H143" s="114"/>
      <c r="I143" s="294">
        <v>1</v>
      </c>
      <c r="J143" t="s" s="295">
        <f>IF(OR(I142="TO",I142="TU",I142="TO1",I142="TU1",I142="TO2",I142="TU2"),J142,IF(OR(I142="AH1",I142="AH2"),IF(OR(I143="AH1",I143="AH2"),-J142,IF(OR(I143="EH1",I143="EH2"),-J142+0.5,"")),IF(OR(I142="EH1",I142="EH2"),IF(OR(I143="AH1",I143="AH2"),-J142+0.5,IF(OR(I143="EH1",I143="EH2"),-J142+1,"")),IF(AND(OR(I142="DNB1",I142="DNB2"),OR(I143="AH1",I143="AH2")),0,IF(AND(I142="Not ScoreBoth",OR(I143="TO1",I143="TO2")),0.5,"")))))</f>
      </c>
      <c r="K143" t="s" s="117">
        <v>48</v>
      </c>
      <c r="L143" s="277">
        <v>1.72</v>
      </c>
      <c r="M143" s="278"/>
      <c r="N143" s="120"/>
      <c r="O143" s="121">
        <f>IF(OR(AE142="",AE143=""),"",ROUND(IF(L144&gt;0,IF(M143&gt;0,M143,IF(M142&gt;0,IF(N142=TRUE,ROUND((M142*AE143)/AE142,0),(M142*AE143)/AE142),IF(M143&gt;0,ROUND(M143,IF(N142=0,2,IF(N142=0.1,1,0))),IF(M144&gt;0,ROUND(O144*AE143/AE144,IF(N142=0,2,IF(N142=0.1,1,0))),0)))),IF(M143&gt;0,M143,ROUND((M142*AE143)/AE142,IF(N142=0,2,IF(N142=0.1,1,0))))),2))</f>
        <v>30.1</v>
      </c>
      <c r="P143" s="122">
        <f>IF(OR(L143="",O143=""),"",IF($C143="1/2W",O143/2+O143/2*L143,IF($C143="1/2L",O143/2,IF(I143="Lay",((O143*(L143/(L143-1)))-O143)*(1-_xlfn.XLOOKUP(K143,'Janeiro 2023 - Valor Real'!A3:A15,'Janeiro 2023 - Valor Real'!C3:C15,0))+O143,(O143*L143-O143)*(1-_xlfn.XLOOKUP(K143,'Janeiro 2023 - Valor Real'!A3:A15,'Janeiro 2023 - Valor Real'!C3:C15,0))+O143))))</f>
        <v>51.772</v>
      </c>
      <c r="Q143" s="279">
        <v>2</v>
      </c>
      <c r="R143" s="280">
        <v>0</v>
      </c>
      <c r="S143" s="125"/>
      <c r="T143" s="126"/>
      <c r="U143" s="126"/>
      <c r="V143" s="224"/>
      <c r="W143" s="126"/>
      <c r="X143" s="127"/>
      <c r="Y143" s="128"/>
      <c r="Z143" s="129"/>
      <c r="AA143" s="129"/>
      <c r="AB143" s="129"/>
      <c r="AC143" s="129"/>
      <c r="AD143" s="130"/>
      <c r="AE143" s="131">
        <f>IF(L143="","",IF(L144&gt;0,(SUM(((L142-1)*(1-_xlfn.XLOOKUP(K142,'Janeiro 2023 - Valor Real'!A3:A15,'Janeiro 2023 - Valor Real'!C3:C15,0))+1),((L143-1)*(1-_xlfn.XLOOKUP(K143,'Janeiro 2023 - Valor Real'!A3:A15,'Janeiro 2023 - Valor Real'!C3:C15,0))+1),((L144-1)*(1-_xlfn.XLOOKUP(K144,'Janeiro 2023 - Valor Real'!A3:A15,'Janeiro 2023 - Valor Real'!C3:C15,0))+1))/((L143-1)*(1-_xlfn.XLOOKUP(K143,'Janeiro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Real'!C3:C15,0))+1))/((L142-1)*(1-_xlfn.XLOOKUP(K142,'Janeiro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Real'!C3:C15,0))+1))/((L143-1)*(1-_xlfn.XLOOKUP(K143,'Janeiro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Real'!C3:C15,0))+1))/((L144-1)*(1-_xlfn.XLOOKUP(K144,'Janeiro 2023 - Valor Real'!A3:A15,'Janeiro 2023 - Valor Real'!C3:C15,0))+1)),IF(I143="Lay",IF(I142="Lay",((L142/(L142-1)-1)*(1-_xlfn.XLOOKUP(K142,'Janeiro 2023 - Valor Real'!A3:A15,'Janeiro 2023 - Valor Real'!C3:C15,0))+1)/(((L142/(L142-1)-1)*(1-_xlfn.XLOOKUP(K142,'Janeiro 2023 - Valor Real'!A3:A15,'Janeiro 2023 - Valor Real'!C3:C15,0))+1)+((L143/(L143-1)-1)*(1-_xlfn.XLOOKUP(K143,'Janeiro 2023 - Valor Real'!A3:A15,'Janeiro 2023 - Valor Real'!C3:C15,0))+1)),((L142-1)*(1-_xlfn.XLOOKUP(K142,'Janeiro 2023 - Valor Real'!A3:A15,'Janeiro 2023 - Valor Real'!C3:C15,0))+1)/(((L142-1)*(1-_xlfn.XLOOKUP(K142,'Janeiro 2023 - Valor Real'!A3:A15,'Janeiro 2023 - Valor Real'!C3:C15,0))+1)+((L143/(L143-1)-1)*(1-_xlfn.XLOOKUP(K143,'Janeiro 2023 - Valor Real'!A3:A15,'Janeiro 2023 - Valor Real'!C3:C15,0))+1))),IF(I142="Lay",((L142/(L142-1)-1)*(1-_xlfn.XLOOKUP(K142,'Janeiro 2023 - Valor Real'!A3:A15,'Janeiro 2023 - Valor Real'!C3:C15,0))+1)/((((L142/(L142-1)-1)*(1-_xlfn.XLOOKUP(K142,'Janeiro 2023 - Valor Real'!A3:A15,'Janeiro 2023 - Valor Real'!C3:C15,0))+1))+((L143-1)*(1-_xlfn.XLOOKUP(K143,'Janeiro 2023 - Valor Real'!A3:A15,'Janeiro 2023 - Valor Real'!C3:C15,0))+1)),((L142-1)*(1-_xlfn.XLOOKUP(K142,'Janeiro 2023 - Valor Real'!A3:A15,'Janeiro 2023 - Valor Real'!C3:C15,0))+1)/(((L142-1)*(1-_xlfn.XLOOKUP(K142,'Janeiro 2023 - Valor Real'!A3:A15,'Janeiro 2023 - Valor Real'!C3:C15,0))+1)+((L143-1)*(1-_xlfn.XLOOKUP(K143,'Janeiro 2023 - Valor Real'!A3:A15,'Janeiro 2023 - Valor Real'!C3:C15,0))+1))))))</f>
        <v>0.610859728506787</v>
      </c>
      <c r="AF143" s="132">
        <f>IF($K143=AF$3,ROUND(IF(OR($C143="W",$C143="1/2W",$C143="1/2L"),$P143-$O143,IF($C143="X",0,-$O143)),2),0)</f>
        <v>0</v>
      </c>
      <c r="AG143" s="133">
        <f>IF($K143=AG$3,ROUND(IF(OR($C143="W",$C143="1/2W",$C143="1/2L"),$P143-$O143,IF($C143="X",0,-$O143)),2),0)</f>
        <v>0</v>
      </c>
      <c r="AH143" s="133">
        <f>IF($K143=AH$3,ROUND(IF(OR($C143="W",$C143="1/2W",$C143="1/2L"),$P143-$O143,IF($C143="X",0,-$O143)),2),0)</f>
        <v>0</v>
      </c>
      <c r="AI143" s="133">
        <f>IF($K143=AI$3,ROUND(IF(OR($C143="W",$C143="1/2W",$C143="1/2L"),$P143-$O143,IF($C143="X",0,-$O143)),2),0)</f>
        <v>0</v>
      </c>
      <c r="AJ143" s="133">
        <f>IF($K143=AJ$3,ROUND(IF(OR($C143="W",$C143="1/2W",$C143="1/2L"),$P143-$O143,IF($C143="X",0,-$O143)),2),0)</f>
        <v>0</v>
      </c>
      <c r="AK143" s="133">
        <f>IF($K143=AK$3,ROUND(IF(OR($C143="W",$C143="1/2W",$C143="1/2L"),$P143-$O143,IF($C143="X",0,-$O143)),2),0)</f>
        <v>0</v>
      </c>
      <c r="AL143" s="133">
        <f>IF($K143=AL$3,ROUND(IF(OR($C143="W",$C143="1/2W",$C143="1/2L"),$P143-$O143,IF($C143="X",0,-$O143)),2),0)</f>
        <v>0</v>
      </c>
      <c r="AM143" s="133">
        <f>IF($K143=AM$3,ROUND(IF(OR($C143="W",$C143="1/2W",$C143="1/2L"),$P143-$O143,IF($C143="X",0,-$O143)),2),0)</f>
        <v>0</v>
      </c>
      <c r="AN143" s="133">
        <f>IF($K143=AN$3,ROUND(IF(OR($C143="W",$C143="1/2W",$C143="1/2L"),$P143-$O143,IF($C143="X",0,-$O143)),2),0)</f>
        <v>0</v>
      </c>
      <c r="AO143" s="133">
        <f>IF($K143=AO$3,ROUND(IF(OR($C143="W",$C143="1/2W",$C143="1/2L"),$P143-$O143,IF($C143="X",0,-$O143)),2),0)</f>
        <v>0</v>
      </c>
      <c r="AP143" s="133">
        <f>IF($K143=AP$3,ROUND(IF(OR($C143="W",$C143="1/2W",$C143="1/2L"),$P143-$O143,IF($C143="X",0,-$O143)),2),0)</f>
        <v>0</v>
      </c>
      <c r="AQ143" s="133">
        <f>IF($K143=AQ$3,ROUND(IF(OR($C143="W",$C143="1/2W",$C143="1/2L"),$P143-$O143,IF($C143="X",0,-$O143)),2),0)</f>
        <v>-30.1</v>
      </c>
      <c r="AR143" s="134">
        <f>IF($K143=AR$3,ROUND(IF(OR($C143="W",$C143="1/2W",$C143="1/2L"),$P143-$O143,IF($C143="X",0,-$O143)),2),0)</f>
        <v>0</v>
      </c>
      <c r="AS143" s="132">
        <f>IF(AND($B142=" ",$K143=AS$3),$O143,0)</f>
        <v>0</v>
      </c>
      <c r="AT143" s="133">
        <f>IF(AND($B142=" ",K143=AT$3),$O143,0)</f>
        <v>0</v>
      </c>
      <c r="AU143" s="133">
        <f>IF(AND($B142=" ",$K143=AU$3),$O143,0)</f>
        <v>0</v>
      </c>
      <c r="AV143" s="133">
        <f>IF(AND($B142=" ",$K143=AV$3),$O143,0)</f>
        <v>0</v>
      </c>
      <c r="AW143" s="133">
        <f>IF(AND($B142=" ",$K143=AW$3),$O143,0)</f>
        <v>0</v>
      </c>
      <c r="AX143" s="133">
        <f>IF(AND($B142=" ",$K143=AX$3),$O143,0)</f>
        <v>0</v>
      </c>
      <c r="AY143" s="135">
        <f>IF(AND($B142=" ",$K143=AY$3),$O143,0)</f>
        <v>0</v>
      </c>
      <c r="AZ143" s="136">
        <f>IF(AND($B142=" ",$K143=AZ$3),$O143,0)</f>
        <v>0</v>
      </c>
      <c r="BA143" s="136">
        <f>IF(AND($B142=" ",$K143=BA$3),$O143,0)</f>
        <v>0</v>
      </c>
      <c r="BB143" s="136">
        <f>IF(AND($B142=" ",$K143=BB$3),$O143,0)</f>
        <v>0</v>
      </c>
      <c r="BC143" s="137">
        <f>IF(AND($B142=" ",$K143=BC$3),$O143,0)</f>
        <v>0</v>
      </c>
      <c r="BD143" s="133">
        <f>IF(AND($B142=" ",$K143=BD$3),$O143,0)</f>
        <v>0</v>
      </c>
      <c r="BE143" s="134">
        <f>IF(AND($B142=" ",$K143=BE$3),$O143,0)</f>
        <v>0</v>
      </c>
      <c r="BF143" s="132">
        <f>IF($K143=BF$3,IF($C143="X",0,$O143),0)</f>
        <v>0</v>
      </c>
      <c r="BG143" s="281">
        <f>IF($K143=BG$3,IF($C143="X",0,$O143),0)</f>
        <v>0</v>
      </c>
      <c r="BH143" s="133">
        <f>IF($K143=BH$3,IF($C143="X",0,$O143),0)</f>
        <v>0</v>
      </c>
      <c r="BI143" s="133">
        <f>IF($K143=BI$3,IF($C143="X",0,$O143),0)</f>
        <v>0</v>
      </c>
      <c r="BJ143" s="133">
        <f>IF($K143=BJ$3,IF($C143="X",0,$O143),0)</f>
        <v>0</v>
      </c>
      <c r="BK143" s="133">
        <f>IF($K143=BK$3,IF($C143="X",0,$O143),0)</f>
        <v>0</v>
      </c>
      <c r="BL143" s="133">
        <f>IF($K143=BL$3,IF($C143="X",0,$O143),0)</f>
        <v>0</v>
      </c>
      <c r="BM143" s="135">
        <f>IF($K143=BM$3,IF($C143="X",0,$O143),0)</f>
        <v>0</v>
      </c>
      <c r="BN143" s="136">
        <f>IF($K143=BN$3,IF($C143="X",0,$O143),0)</f>
        <v>0</v>
      </c>
      <c r="BO143" s="136">
        <f>IF($K143=BO$3,IF($C143="X",0,$O143),0)</f>
        <v>0</v>
      </c>
      <c r="BP143" s="136">
        <f>IF($K143=BP$3,IF($C143="X",0,$O143),0)</f>
        <v>0</v>
      </c>
      <c r="BQ143" s="137">
        <f>IF($K143=BQ$3,IF($C143="X",0,$O143),0)</f>
        <v>30.1</v>
      </c>
      <c r="BR143" s="134">
        <f>IF($K143=BR$3,IF($C143="X",0,$O143),0)</f>
        <v>0</v>
      </c>
      <c r="BS143" s="282"/>
      <c r="BT143" s="283"/>
      <c r="BU143" s="140"/>
      <c r="BV143" s="283"/>
      <c r="BW143" s="140"/>
      <c r="BX143" s="140"/>
      <c r="BY143" s="140"/>
      <c r="BZ143" s="283"/>
      <c r="CA143" s="140"/>
      <c r="CB143" s="140"/>
      <c r="CC143" s="140"/>
      <c r="CD143" s="141"/>
      <c r="CE143" s="142"/>
      <c r="CF143" s="284">
        <f>IF(CF$3=$K143,IF($C143="W",1,IF($C143="1/2W",0.5,0)),0)</f>
        <v>0</v>
      </c>
      <c r="CG143" s="285">
        <f>IF(CF$3=$K143,IF($C143="L",1,IF($C143="1/2L",0.5,0)),0)</f>
        <v>0</v>
      </c>
      <c r="CH143" s="285">
        <f>IF(CH$3=$K143,IF($C143="W",1,IF($C143="1/2W",0.5,0)),0)</f>
        <v>0</v>
      </c>
      <c r="CI143" s="285">
        <f>IF(CH$3=$K143,IF($C143="L",1,IF($C143="1/2L",0.5,0)),0)</f>
        <v>0</v>
      </c>
      <c r="CJ143" s="285">
        <f>IF(CJ$3=$K143,IF($C143="W",1,IF($C143="1/2W",0.5,0)),0)</f>
        <v>0</v>
      </c>
      <c r="CK143" s="285">
        <f>IF(CJ$3=$K143,IF($C143="L",1,IF($C143="1/2L",0.5,0)),0)</f>
        <v>0</v>
      </c>
      <c r="CL143" s="285">
        <f>IF(CL$3=$K143,IF($C143="W",1,IF($C143="1/2W",0.5,0)),0)</f>
        <v>0</v>
      </c>
      <c r="CM143" s="285">
        <f>IF(CL$3=$K143,IF($C143="L",1,IF($C143="1/2L",0.5,0)),0)</f>
        <v>0</v>
      </c>
      <c r="CN143" s="285">
        <f>IF(CN$3=$K143,IF($C143="W",1,IF($C143="1/2W",0.5,0)),0)</f>
        <v>0</v>
      </c>
      <c r="CO143" s="285">
        <f>IF(CN$3=$K143,IF($C143="L",1,IF($C143="1/2L",0.5,0)),0)</f>
        <v>0</v>
      </c>
      <c r="CP143" s="285">
        <f>IF(CP$3=$K143,IF($C143="W",1,IF($C143="1/2W",0.5,0)),0)</f>
        <v>0</v>
      </c>
      <c r="CQ143" s="285">
        <f>IF(CP$3=$K143,IF($C143="L",1,IF($C143="1/2L",0.5,0)),0)</f>
        <v>0</v>
      </c>
      <c r="CR143" s="285">
        <f>IF(CR$3=$K143,IF($C143="W",1,IF($C143="1/2W",0.5,0)),0)</f>
        <v>0</v>
      </c>
      <c r="CS143" s="285">
        <f>IF(CR$3=$K143,IF($C143="L",1,IF($C143="1/2L",0.5,0)),0)</f>
        <v>0</v>
      </c>
      <c r="CT143" s="145">
        <f>IF(CT$3=$K143,IF($C143="W",1,IF($C143="1/2W",0.5,0)),0)</f>
        <v>0</v>
      </c>
      <c r="CU143" s="146">
        <f>IF(CT$3=$K143,IF($C143="L",1,IF($C143="1/2L",0.5,0)),0)</f>
        <v>0</v>
      </c>
      <c r="CV143" s="146">
        <f>IF(CV$3=$K143,IF($C143="W",1,IF($C143="1/2W",0.5,0)),0)</f>
        <v>0</v>
      </c>
      <c r="CW143" s="146">
        <f>IF(CV$3=$K143,IF($C143="L",1,IF($C143="1/2L",0.5,0)),0)</f>
        <v>0</v>
      </c>
      <c r="CX143" s="146">
        <f>IF(CX$3=$K143,IF($C143="W",1,IF($C143="1/2W",0.5,0)),0)</f>
        <v>0</v>
      </c>
      <c r="CY143" s="146">
        <f>IF(CX$3=$K143,IF($C143="L",1,IF($C143="1/2L",0.5,0)),0)</f>
        <v>0</v>
      </c>
      <c r="CZ143" s="146">
        <f>IF(CZ$3=$K143,IF($C143="W",1,IF($C143="1/2W",0.5,0)),0)</f>
        <v>0</v>
      </c>
      <c r="DA143" s="146">
        <f>IF(CZ$3=$K143,IF($C143="L",1,IF($C143="1/2L",0.5,0)),0)</f>
        <v>0</v>
      </c>
      <c r="DB143" s="146">
        <f>IF(DB$3=$K143,IF($C143="W",1,IF($C143="1/2W",0.5,0)),0)</f>
        <v>0</v>
      </c>
      <c r="DC143" s="146">
        <f>IF(DB$3=$K143,IF($C143="L",1,IF($C143="1/2L",0.5,0)),0)</f>
        <v>1</v>
      </c>
      <c r="DD143" s="146">
        <f>IF(DD$3=$K143,IF($C143="W",1,IF($C143="1/2W",0.5,0)),0)</f>
        <v>0</v>
      </c>
      <c r="DE143" s="147">
        <f>IF(DD$3=$K143,IF($C143="L",1,IF($C143="1/2L",0.5,0)),0)</f>
        <v>0</v>
      </c>
      <c r="DF143" s="143">
        <f>IF(AND(L143&lt;DF$3,$C143="W"),1+DF142,DF142)</f>
        <v>7</v>
      </c>
      <c r="DG143" s="133">
        <f>IF(DF143&gt;DF142,L143+DG142,DG142)</f>
        <v>9.247999999999999</v>
      </c>
      <c r="DH143" s="146">
        <f>IF(AND(L143&gt;DH$3,$C143="W"),1+DH142,0+DH142)</f>
        <v>2</v>
      </c>
      <c r="DI143" s="133">
        <f>IF(DH143&gt;DH142,L143+DI142,DI142)</f>
        <v>11.58</v>
      </c>
      <c r="DJ143" t="s" s="304">
        <f>IF($D142="","",$D142)</f>
        <v>101</v>
      </c>
      <c r="DK143" s="286"/>
    </row>
    <row r="144" ht="14.55" customHeight="1">
      <c r="A144" s="149"/>
      <c r="B144" s="150"/>
      <c r="C144" t="s" s="151">
        <v>58</v>
      </c>
      <c r="D144" s="152"/>
      <c r="E144" s="153"/>
      <c r="F144" s="155"/>
      <c r="G144" s="252"/>
      <c r="H144" s="156"/>
      <c r="I144" s="287"/>
      <c r="J144" s="288"/>
      <c r="K144" s="156"/>
      <c r="L144" s="289"/>
      <c r="M144" s="290"/>
      <c r="N144" s="161"/>
      <c r="O144" t="s" s="162">
        <f>IF(OR(AE142="",AE143=""),"",IF(L144&gt;0,ROUND(IF(M144&gt;0,M144,IF(M142&gt;0,ROUND((M142*AE144)/AE142,IF(N142=0,2,IF(N142=0.1,1,0))),IF(M143&gt;0,ROUND((M143*AE144)/AE143,IF(N142=0,2,IF(N142=0.1,1,0))),IF(M144&gt;0,M144,0)))),2),""))</f>
      </c>
      <c r="P144" t="s" s="163">
        <f>IF(I143="Lay",O143*(L143/(L143-1))-O143,IF(I142="Lay",O142*(L142/(L142-1))-O142,IF(OR(L144="",O144=""),"",IF($C144="1/2W",O144/2+O144/2*L144,IF($C144="1/2L",O144/2,(O144*L144-O144)*(1-_xlfn.XLOOKUP(K144,'Janeiro 2023 - Valor Real'!A3:A15,'Janeiro 2023 - Valor Real'!C3:C15,0))+O144)))))</f>
      </c>
      <c r="Q144" t="s" s="154"/>
      <c r="R144" t="s" s="163"/>
      <c r="S144" s="166"/>
      <c r="T144" s="155"/>
      <c r="U144" s="155"/>
      <c r="V144" s="166"/>
      <c r="W144" s="155"/>
      <c r="X144" s="167"/>
      <c r="Y144" s="128"/>
      <c r="Z144" s="129"/>
      <c r="AA144" s="129"/>
      <c r="AB144" s="129"/>
      <c r="AC144" s="129"/>
      <c r="AD144" s="168"/>
      <c r="AE144" t="s" s="169">
        <f>IF(L144="","",(SUM(((L142-1)*(1-_xlfn.XLOOKUP(K142,'Janeiro 2023 - Valor Real'!A3:A15,'Janeiro 2023 - Valor Real'!C3:C15,0))+1),((L143-1)*(1-_xlfn.XLOOKUP(K143,'Janeiro 2023 - Valor Real'!A3:A15,'Janeiro 2023 - Valor Real'!C3:C15,0))+1),((L144-1)*(1-_xlfn.XLOOKUP(K144,'Janeiro 2023 - Valor Real'!A3:A15,'Janeiro 2023 - Valor Real'!C3:C15,0))+1))/((L144-1)*(1-_xlfn.XLOOKUP(K144,'Janeiro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Real'!C3:C15,0))+1))/((L142-1)*(1-_xlfn.XLOOKUP(K142,'Janeiro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Real'!C3:C15,0))+1))/((L143-1)*(1-_xlfn.XLOOKUP(K143,'Janeiro 2023 - Valor Real'!A3:A15,'Janeiro 2023 - Valor Real'!C3:C15,0))+1)+SUM(((L142-1)*(1-_xlfn.XLOOKUP(K142,'Janeiro 2023 - Valor Real'!A3:A15,'Janeiro 2023 - Valor Real'!C3:C15,0))+1),((L143-1)*(1-_xlfn.XLOOKUP(K143,'Janeiro 2023 - Valor Real'!A3:A15,'Janeiro 2023 - Valor Real'!C3:C15,0))+1),((L144-1)*(1-_xlfn.XLOOKUP(K144,'Janeiro 2023 - Valor Real'!A3:A15,'Janeiro 2023 - Valor Real'!C3:C15,0))+1))/((L144-1)*(1-_xlfn.XLOOKUP(K144,'Janeiro 2023 - Valor Real'!A3:A15,'Janeiro 2023 - Valor Real'!C3:C15,0))+1)))</f>
      </c>
      <c r="AF144" s="132">
        <f>IF($K144=AF$3,ROUND(IF(OR($C144="W",$C144="1/2W",$C144="1/2L"),$P144-$O144,IF($C144="X",0,-$O144)),2),0)</f>
        <v>0</v>
      </c>
      <c r="AG144" s="133">
        <f>IF($K144=AG$3,ROUND(IF(OR($C144="W",$C144="1/2W",$C144="1/2L"),$P144-$O144,IF($C144="X",0,-$O144)),2),0)</f>
        <v>0</v>
      </c>
      <c r="AH144" s="133">
        <f>IF($K144=AH$3,ROUND(IF(OR($C144="W",$C144="1/2W",$C144="1/2L"),$P144-$O144,IF($C144="X",0,-$O144)),2),0)</f>
        <v>0</v>
      </c>
      <c r="AI144" s="133">
        <f>IF($K144=AI$3,ROUND(IF(OR($C144="W",$C144="1/2W",$C144="1/2L"),$P144-$O144,IF($C144="X",0,-$O144)),2),0)</f>
        <v>0</v>
      </c>
      <c r="AJ144" s="133">
        <f>IF($K144=AJ$3,ROUND(IF(OR($C144="W",$C144="1/2W",$C144="1/2L"),$P144-$O144,IF($C144="X",0,-$O144)),2),0)</f>
        <v>0</v>
      </c>
      <c r="AK144" s="133">
        <f>IF($K144=AK$3,ROUND(IF(OR($C144="W",$C144="1/2W",$C144="1/2L"),$P144-$O144,IF($C144="X",0,-$O144)),2),0)</f>
        <v>0</v>
      </c>
      <c r="AL144" s="133">
        <f>IF($K144=AL$3,ROUND(IF(OR($C144="W",$C144="1/2W",$C144="1/2L"),$P144-$O144,IF($C144="X",0,-$O144)),2),0)</f>
        <v>0</v>
      </c>
      <c r="AM144" s="133">
        <f>IF($K144=AM$3,ROUND(IF(OR($C144="W",$C144="1/2W",$C144="1/2L"),$P144-$O144,IF($C144="X",0,-$O144)),2),0)</f>
        <v>0</v>
      </c>
      <c r="AN144" s="133">
        <f>IF($K144=AN$3,ROUND(IF(OR($C144="W",$C144="1/2W",$C144="1/2L"),$P144-$O144,IF($C144="X",0,-$O144)),2),0)</f>
        <v>0</v>
      </c>
      <c r="AO144" s="133">
        <f>IF($K144=AO$3,ROUND(IF(OR($C144="W",$C144="1/2W",$C144="1/2L"),$P144-$O144,IF($C144="X",0,-$O144)),2),0)</f>
        <v>0</v>
      </c>
      <c r="AP144" s="133">
        <f>IF($K144=AP$3,ROUND(IF(OR($C144="W",$C144="1/2W",$C144="1/2L"),$P144-$O144,IF($C144="X",0,-$O144)),2),0)</f>
        <v>0</v>
      </c>
      <c r="AQ144" s="133">
        <f>IF($K144=AQ$3,ROUND(IF(OR($C144="W",$C144="1/2W",$C144="1/2L"),$P144-$O144,IF($C144="X",0,-$O144)),2),0)</f>
        <v>0</v>
      </c>
      <c r="AR144" s="134">
        <f>IF($K144=AR$3,ROUND(IF(OR($C144="W",$C144="1/2W",$C144="1/2L"),$P144-$O144,IF($C144="X",0,-$O144)),2),0)</f>
        <v>0</v>
      </c>
      <c r="AS144" s="132">
        <f>IF(AND($B142=" ",$K144=AS$3),$O144,0)</f>
        <v>0</v>
      </c>
      <c r="AT144" s="133">
        <f>IF(AND($B142=" ",K144=AT$3),$O144,0)</f>
        <v>0</v>
      </c>
      <c r="AU144" s="133">
        <f>IF(AND($B142=" ",$K144=AU$3),$O144,0)</f>
        <v>0</v>
      </c>
      <c r="AV144" s="133">
        <f>IF(AND($B142=" ",$K144=AV$3),$O144,0)</f>
        <v>0</v>
      </c>
      <c r="AW144" s="133">
        <f>IF(AND($B142=" ",$K144=AW$3),$O144,0)</f>
        <v>0</v>
      </c>
      <c r="AX144" s="133">
        <f>IF(AND($B142=" ",$K144=AX$3),$O144,0)</f>
        <v>0</v>
      </c>
      <c r="AY144" s="135">
        <f>IF(AND($B142=" ",$K144=AY$3),$O144,0)</f>
        <v>0</v>
      </c>
      <c r="AZ144" s="136">
        <f>IF(AND($B142=" ",$K144=AZ$3),$O144,0)</f>
        <v>0</v>
      </c>
      <c r="BA144" s="136">
        <f>IF(AND($B142=" ",$K144=BA$3),$O144,0)</f>
        <v>0</v>
      </c>
      <c r="BB144" s="136">
        <f>IF(AND($B142=" ",$K144=BB$3),$O144,0)</f>
        <v>0</v>
      </c>
      <c r="BC144" s="137">
        <f>IF(AND($B142=" ",$K144=BC$3),$O144,0)</f>
        <v>0</v>
      </c>
      <c r="BD144" s="133">
        <f>IF(AND($B142=" ",$K144=BD$3),$O144,0)</f>
        <v>0</v>
      </c>
      <c r="BE144" s="134">
        <f>IF(AND($B142=" ",$K144=BE$3),$O144,0)</f>
        <v>0</v>
      </c>
      <c r="BF144" s="132">
        <f>IF($K144=BF$3,IF($C144="X",0,$O144),0)</f>
        <v>0</v>
      </c>
      <c r="BG144" s="281">
        <f>IF($K144=BG$3,IF($C144="X",0,$O144),0)</f>
        <v>0</v>
      </c>
      <c r="BH144" s="133">
        <f>IF($K144=BH$3,IF($C144="X",0,$O144),0)</f>
        <v>0</v>
      </c>
      <c r="BI144" s="133">
        <f>IF($K144=BI$3,IF($C144="X",0,$O144),0)</f>
        <v>0</v>
      </c>
      <c r="BJ144" s="133">
        <f>IF($K144=BJ$3,IF($C144="X",0,$O144),0)</f>
        <v>0</v>
      </c>
      <c r="BK144" s="133">
        <f>IF($K144=BK$3,IF($C144="X",0,$O144),0)</f>
        <v>0</v>
      </c>
      <c r="BL144" s="133">
        <f>IF($K144=BL$3,IF($C144="X",0,$O144),0)</f>
        <v>0</v>
      </c>
      <c r="BM144" s="135">
        <f>IF($K144=BM$3,IF($C144="X",0,$O144),0)</f>
        <v>0</v>
      </c>
      <c r="BN144" s="136">
        <f>IF($K144=BN$3,IF($C144="X",0,$O144),0)</f>
        <v>0</v>
      </c>
      <c r="BO144" s="136">
        <f>IF($K144=BO$3,IF($C144="X",0,$O144),0)</f>
        <v>0</v>
      </c>
      <c r="BP144" s="136">
        <f>IF($K144=BP$3,IF($C144="X",0,$O144),0)</f>
        <v>0</v>
      </c>
      <c r="BQ144" s="137">
        <f>IF($K144=BQ$3,IF($C144="X",0,$O144),0)</f>
        <v>0</v>
      </c>
      <c r="BR144" s="134">
        <f>IF($K144=BR$3,IF($C144="X",0,$O144),0)</f>
        <v>0</v>
      </c>
      <c r="BS144" s="282"/>
      <c r="BT144" s="283"/>
      <c r="BU144" s="140"/>
      <c r="BV144" s="283"/>
      <c r="BW144" s="140"/>
      <c r="BX144" s="140"/>
      <c r="BY144" s="140"/>
      <c r="BZ144" s="283"/>
      <c r="CA144" s="140"/>
      <c r="CB144" s="140"/>
      <c r="CC144" s="140"/>
      <c r="CD144" s="141"/>
      <c r="CE144" s="142"/>
      <c r="CF144" s="284">
        <f>IF(CF$3=$K144,IF($C144="W",1,IF($C144="1/2W",0.5,0)),0)</f>
        <v>0</v>
      </c>
      <c r="CG144" s="285">
        <f>IF(CF$3=$K144,IF($C144="L",1,IF($C144="1/2L",0.5,0)),0)</f>
        <v>0</v>
      </c>
      <c r="CH144" s="285">
        <f>IF(CH$3=$K144,IF($C144="W",1,IF($C144="1/2W",0.5,0)),0)</f>
        <v>0</v>
      </c>
      <c r="CI144" s="285">
        <f>IF(CH$3=$K144,IF($C144="L",1,IF($C144="1/2L",0.5,0)),0)</f>
        <v>0</v>
      </c>
      <c r="CJ144" s="285">
        <f>IF(CJ$3=$K144,IF($C144="W",1,IF($C144="1/2W",0.5,0)),0)</f>
        <v>0</v>
      </c>
      <c r="CK144" s="285">
        <f>IF(CJ$3=$K144,IF($C144="L",1,IF($C144="1/2L",0.5,0)),0)</f>
        <v>0</v>
      </c>
      <c r="CL144" s="285">
        <f>IF(CL$3=$K144,IF($C144="W",1,IF($C144="1/2W",0.5,0)),0)</f>
        <v>0</v>
      </c>
      <c r="CM144" s="285">
        <f>IF(CL$3=$K144,IF($C144="L",1,IF($C144="1/2L",0.5,0)),0)</f>
        <v>0</v>
      </c>
      <c r="CN144" s="285">
        <f>IF(CN$3=$K144,IF($C144="W",1,IF($C144="1/2W",0.5,0)),0)</f>
        <v>0</v>
      </c>
      <c r="CO144" s="285">
        <f>IF(CN$3=$K144,IF($C144="L",1,IF($C144="1/2L",0.5,0)),0)</f>
        <v>0</v>
      </c>
      <c r="CP144" s="285">
        <f>IF(CP$3=$K144,IF($C144="W",1,IF($C144="1/2W",0.5,0)),0)</f>
        <v>0</v>
      </c>
      <c r="CQ144" s="285">
        <f>IF(CP$3=$K144,IF($C144="L",1,IF($C144="1/2L",0.5,0)),0)</f>
        <v>0</v>
      </c>
      <c r="CR144" s="285">
        <f>IF(CR$3=$K144,IF($C144="W",1,IF($C144="1/2W",0.5,0)),0)</f>
        <v>0</v>
      </c>
      <c r="CS144" s="285">
        <f>IF(CR$3=$K144,IF($C144="L",1,IF($C144="1/2L",0.5,0)),0)</f>
        <v>0</v>
      </c>
      <c r="CT144" s="145">
        <f>IF(CT$3=$K144,IF($C144="W",1,IF($C144="1/2W",0.5,0)),0)</f>
        <v>0</v>
      </c>
      <c r="CU144" s="146">
        <f>IF(CT$3=$K144,IF($C144="L",1,IF($C144="1/2L",0.5,0)),0)</f>
        <v>0</v>
      </c>
      <c r="CV144" s="146">
        <f>IF(CV$3=$K144,IF($C144="W",1,IF($C144="1/2W",0.5,0)),0)</f>
        <v>0</v>
      </c>
      <c r="CW144" s="146">
        <f>IF(CV$3=$K144,IF($C144="L",1,IF($C144="1/2L",0.5,0)),0)</f>
        <v>0</v>
      </c>
      <c r="CX144" s="146">
        <f>IF(CX$3=$K144,IF($C144="W",1,IF($C144="1/2W",0.5,0)),0)</f>
        <v>0</v>
      </c>
      <c r="CY144" s="146">
        <f>IF(CX$3=$K144,IF($C144="L",1,IF($C144="1/2L",0.5,0)),0)</f>
        <v>0</v>
      </c>
      <c r="CZ144" s="146">
        <f>IF(CZ$3=$K144,IF($C144="W",1,IF($C144="1/2W",0.5,0)),0)</f>
        <v>0</v>
      </c>
      <c r="DA144" s="146">
        <f>IF(CZ$3=$K144,IF($C144="L",1,IF($C144="1/2L",0.5,0)),0)</f>
        <v>0</v>
      </c>
      <c r="DB144" s="146">
        <f>IF(DB$3=$K144,IF($C144="W",1,IF($C144="1/2W",0.5,0)),0)</f>
        <v>0</v>
      </c>
      <c r="DC144" s="146">
        <f>IF(DB$3=$K144,IF($C144="L",1,IF($C144="1/2L",0.5,0)),0)</f>
        <v>0</v>
      </c>
      <c r="DD144" s="146">
        <f>IF(DD$3=$K144,IF($C144="W",1,IF($C144="1/2W",0.5,0)),0)</f>
        <v>0</v>
      </c>
      <c r="DE144" s="147">
        <f>IF(DD$3=$K144,IF($C144="L",1,IF($C144="1/2L",0.5,0)),0)</f>
        <v>0</v>
      </c>
      <c r="DF144" s="143">
        <f>IF(AND(L144&lt;DF$3,$C144="W"),1+DF143,DF143)</f>
        <v>7</v>
      </c>
      <c r="DG144" s="133">
        <f>IF(DF144&gt;DF143,L144+DG143,DG143)</f>
        <v>9.247999999999999</v>
      </c>
      <c r="DH144" s="146">
        <f>IF(AND(L144&gt;DH$3,$C144="W"),1+DH143,0+DH143)</f>
        <v>2</v>
      </c>
      <c r="DI144" s="133">
        <f>IF(DH144&gt;DH143,L144+DI143,DI143)</f>
        <v>11.58</v>
      </c>
      <c r="DJ144" t="s" s="304">
        <f>IF($D142="","",$D142)</f>
        <v>101</v>
      </c>
      <c r="DK144" s="286"/>
    </row>
    <row r="145" ht="14.55" customHeight="1">
      <c r="A145" s="171">
        <f>$A142+1</f>
        <v>48</v>
      </c>
      <c r="B145" t="s" s="172">
        <f>IF(AND(_xlfn.XLOOKUP(H145,H62:H$84,G62:G$84,0)=G145,_xlfn.XLOOKUP("TempoBet",K145:K147,L145:L147,0)&gt;0),"X",IF(OR(C145="W",C146="W",C147="W",C145="1/2W",C146="1/2W",C147="1/2W",C145="1/2L",C146="1/2L",C147="1/2L"),"OK",IF(OR(C145="L",C146="L",C147="L"),"LOSS",IF(OR(C145="X",C146="X",C147="X"),"Anulado"," "))))</f>
        <v>50</v>
      </c>
      <c r="C145" t="s" s="173">
        <v>51</v>
      </c>
      <c r="D145" t="s" s="305">
        <f>IF(G145="","",$D142)</f>
        <v>101</v>
      </c>
      <c r="E145" t="s" s="175">
        <f>IF(G145=""," ","– "&amp;COUNTIF(D$4:D147,$D145))</f>
        <v>178</v>
      </c>
      <c r="F145" t="s" s="176">
        <f>IF(G145="","",IF(OR(AND($C145&lt;&gt;" ",$C146=" "),AND($C146&lt;&gt;" ",$C145=" "),AND(L147&gt;0,OR(AND($C147&lt;&gt;" ",OR($C145=" ",$C146=" ")),AND($C147=" ",OR($C145&lt;&gt;" ",$C146&lt;&gt;" "))))),IF(SUM(F$4:F144)=0,1,LARGE(F$4:F144,1)+1),IF(MONTH(G145)=MONTH(TODAY()),IF(AND(DAY(G145)&lt;DAY(TODAY()),$B145=" "),IF(SUM(F$4:F144)=0,1,LARGE(F$4:F144,1)+1),IF($B145=" ",IF(AND(DAY(G145)=DAY(TODAY()),HOUR(G145)&lt;=HOUR(NOW())+1),IF(AND(HOUR(G145)+2&lt;=HOUR(NOW()),DAY(G145)&lt;=DAY(TODAY()),MINUTE(G145)&lt;=MINUTE(NOW())),IF(SUM(F$4:F144)=0,1,LARGE(F$4:F144,1)+1),IF(OR(MINUTE(G145)&lt;=MINUTE(NOW()),HOUR(G145)&lt;=HOUR(NOW())),"!!!","")),""),"")),"")))</f>
      </c>
      <c r="G145" s="177">
        <v>44944.385416666664</v>
      </c>
      <c r="H145" t="s" s="178">
        <v>179</v>
      </c>
      <c r="I145" s="298">
        <v>1</v>
      </c>
      <c r="J145" s="180"/>
      <c r="K145" t="s" s="181">
        <v>37</v>
      </c>
      <c r="L145" s="182">
        <v>3.25</v>
      </c>
      <c r="M145" s="183">
        <v>18.67</v>
      </c>
      <c r="N145" s="184">
        <v>0</v>
      </c>
      <c r="O145" s="185">
        <f>IF(OR(AE145="",AE146=""),"",ROUND(IF(L147&gt;0,IF(M145&gt;0,M145,IF(M146&gt;0,ROUND((M146*AE145)/AE146,IF(N145=0,2,IF(N145=0.1,1,0))),ROUND((M147*AE145)/AE147,IF(N145=0,2,IF(N145=0.1,1,0))))),IF(M145&gt;0,M145,ROUND((M146*AE145)/AE146,IF(N145=0,2,IF(N145=0.1,1,0))))),2))</f>
        <v>18.67</v>
      </c>
      <c r="P145" s="186">
        <f>IF(OR(L145="",O145=""),"",IF($C145="1/2W",O145/2+O145/2*L145,IF($C145="1/2L",O145/2,IF(I145="Lay",(O145*(L145/(L145-1))-O145)*(1-_xlfn.XLOOKUP(K145,'Janeiro 2023 - Valor Real'!A3:A15,'Janeiro 2023 - Valor Real'!C3:C15,0))+O145,(O145*L145-O145)*(1-_xlfn.XLOOKUP(K145,'Janeiro 2023 - Valor Real'!A3:A15,'Janeiro 2023 - Valor Real'!C3:C15,0))+O145))))</f>
        <v>60.6775</v>
      </c>
      <c r="Q145" s="187">
        <f>IF(K145="","",IF(_xlfn.XLOOKUP(K145,K62:K$84,DJ62:DJ$84,0,,-1)=DJ145,_xlfn.XLOOKUP(K145,K62:K$84,Q62:Q$84,1,,-1)+1,1))</f>
        <v>5</v>
      </c>
      <c r="R145" s="188">
        <f>IF(K145="","",_xlfn.XLOOKUP(K145,K62:K$84,R62:R$84,0,,-1)+IF($C145=" ",1,0))</f>
        <v>0</v>
      </c>
      <c r="S145" s="189">
        <f>IF($B145="Anulado",0,ROUND(IF(OR($B145="LOSS",$B145="OK"),IF(OR($C145="W",$C145="1/2W",$C145="1/2L"),P145-O145,IF($C145="L",-O145,0))+IF(OR($C146="W",$C146="1/2W",$C146="1/2L"),P146-O146,IF($C146="L",-O146,0))+IF(OR($C147="W",$C147="1/2W",$C147="1/2L"),P147-O147,IF($C147="L",-O147,0)),IF(AND(OR($C145="W",$C145="1/2W",$C145="1/2L"),C146="W"),P145+P146-SUM(O145:O147)+_xlfn.XLOOKUP("X",C145:C147,O145:O147,0),IF(AND(C145=TRUE,C147="W"),P145+P147-SUM(O145:O147),IF(AND(C146="W",C147="W"),P146+P147-SUM(O145:O147)+_xlfn.XLOOKUP("X",C145:C147,O145:O147,0),IF(L147&gt;0,IF(OR($C145="W",$C145="1/2W",$C145="1/2L"),P145-SUM(O145:O147)+_xlfn.XLOOKUP("X",C145:C147,O145:O147,0),IF(OR($C145="W",$C145="1/2W",$C145="1/2L"),P146-SUM(O145:O147)+_xlfn.XLOOKUP("X",C145:C147,O145:O147,0),IF(OR($C145="W",$C145="1/2W",$C145="1/2L"),P147-SUM(O145:O147)+_xlfn.XLOOKUP("X",C145:C147,O145:O147,0),IF(SUM(P145:P147)/3-SUM(O145:O147)+_xlfn.XLOOKUP("X",C145:C147,O145:O147,0)&gt;0,SUM(P145:P147)/3-SUM(O145:O147)+_xlfn.XLOOKUP("X",C145:C147,O145:O147,0),LARGE(P145:P147,1)-SUM(O145:O147))))),IF(OR($C145="W",$C145="1/2W",$C145="1/2L"),P145-SUM(O145:O146)+_xlfn.XLOOKUP("X",C145:C147,O145:O147,0),IF(OR($C145="W",$C145="1/2W",$C145="1/2L"),P146-SUM(O145:O146)+_xlfn.XLOOKUP("X",C145:C147,O145:O147,0),SUM(P145:P146)/2-SUM(O145:O146)+_xlfn.XLOOKUP("X",C145:C147,O145:O147,0)))))))),2))</f>
        <v>2.86</v>
      </c>
      <c r="T145" s="190">
        <f>IF(S145=0,0,S145/SUM(O145:O147))</f>
        <v>0.0494638533379453</v>
      </c>
      <c r="U145" s="191">
        <f>IF($D145=$D142,IF(OR($B145="LOSS",$B145="OK",$B145="Anulada"),S145,0)+U142,IF(OR($B145="LOSS",$B145="OK",$B145="Anulada"),S145,0))</f>
        <v>47.01</v>
      </c>
      <c r="V145" s="191">
        <f>IF($D145="",0,IF($D145=$D142,IF($B145=" ",IF(I147="",IF(OR(AND(I145="DNB1",I146="DNB2"),AND(OR(I145="DNB1",I145="DNB2"),J146=0),AND(OR(I146="DNB1",I146="DNB2"),J145=0),AND(I145="DNB2",I146="DNB1"),AND(IF(J145=0,(J145+1)/ROUND(J145+1,0),J145/ROUND(J145,0))=1,IF(J146=0,(J146+1)/ROUND(IF(J146="",0,J146)+1,0),IF(J146="",0,J146)/ROUND(IF(J146="",1,J146),0))=1,OR(J145&lt;&gt;""),J146&lt;&gt;"")),0,IF(S145&lt;0,IF(I147="",SMALL(P145:P146,1)-SUM(O145:O146),0),SMALL(P145:P146,1)-SUM(O145:O146))),IF(S145&lt;0,IF(I147="",SMALL(P145:P147,1)-SUM(O145:O147),0),LARGE(P145:P147,1)-SUM(O145:O147))),S145)+V142,IF(I147="",IF(OR(AND(I145="DNB1",I146="DNB2"),AND(OR(I145="DNB1",I145="DNB2"),J146=0),AND(OR(I146="DNB1",I146="DNB2"),J145=0),AND(I145="DNB2",I146="DNB1"),AND(IF(J145=0,(J145+1)/ROUND(J145+1,0),J145/ROUND(J145,0))=1,IF(J146=0,(IF(J146="",0,J146)+1)/ROUND(IF(J146="",0,J146)+1,0),IF(J146="",0,J146)/ROUND(IF(J146="",0,J146)+1,0))=1,OR(J145&lt;&gt;""),J146&lt;&gt;"")),0,IF(S145&lt;0,IF(I147="",SMALL(P145:P146,1)-SUM(O145:O146),0),SMALL(P145:P147,1)-SUM(O145:O147))),IF(S145&lt;0,IF(I147="",SMALL(P145:P147,1)-SUM(O145:O147),0),LARGE(P145:P147,1)-SUM(O145:O147)))))</f>
        <v>47.012</v>
      </c>
      <c r="W145" s="191">
        <f>IF($D145=$D142,IF(S145&lt;0,IF(I147="",S145,0),S145)+W142,S145)</f>
        <v>47.01</v>
      </c>
      <c r="X145" t="s" s="192">
        <f>IF(OR(SUM(R145:R147)=0,V145=W145),ROUND(IF(W145=0,0,W145/Y145)*100,2)&amp;"%",ROUND(IF(V145=0,0,V145/Y145)*100,2)&amp;"% a "&amp;ROUND(IF(W145=0,0,W145/Y145)*100,2)&amp;"%")</f>
        <v>180</v>
      </c>
      <c r="Y145" s="193">
        <f>IF($D145=$D142,Y142+SUM(O145:O147),SUM(O145:O147))</f>
        <v>1141.83</v>
      </c>
      <c r="Z145" s="191">
        <f>IF($B145=" ",SUM(O145:O147),0)+Z142</f>
        <v>0</v>
      </c>
      <c r="AA145" s="191">
        <f>IF(G145="","",IF($B145="Anulado",LARGE(P145:P147,1)-SUM(O145:O147)+AA142,AA142))</f>
        <v>14.1564</v>
      </c>
      <c r="AB145" s="191">
        <f>IF($D145="","",AB142+S145)</f>
        <v>125.11</v>
      </c>
      <c r="AC145" s="194">
        <f>IF($D145="","",IF($B145=" ",IF(DAY(G145)=DAY(TODAY()),1+AC142,0+AC142),0+AC142))</f>
        <v>0</v>
      </c>
      <c r="AD145" s="195">
        <f>(((L146/(L146-1)-1)*(1-_xlfn.XLOOKUP(K146,'Janeiro 2023 - Valor Real'!A3:A15,'Janeiro 2023 - Valor Real'!C3:C15,0))+1))/(((L145-1)*(1-_xlfn.XLOOKUP(K145,'Janeiro 2023 - Valor Real'!A3:A15,'Janeiro 2023 - Valor Real'!C3:C15,0))+1)+((L146/(L146-1)-1)*(1-_xlfn.XLOOKUP(K146,'Janeiro 2023 - Valor Real'!A3:A15,'Janeiro 2023 - Valor Real'!C3:C15,0))+1))</f>
        <v>0.464419475655431</v>
      </c>
      <c r="AE145" s="196">
        <f>IF(L145="","",IF(L147&gt;0,(SUM(((L145-1)*(1-_xlfn.XLOOKUP(K145,'Janeiro 2023 - Valor Real'!A3:A15,'Janeiro 2023 - Valor Real'!C3:C15,0))+1),((L146-1)*(1-_xlfn.XLOOKUP(K146,'Janeiro 2023 - Valor Real'!A3:A15,'Janeiro 2023 - Valor Real'!C3:C15,0))+1),((L147-1)*(1-_xlfn.XLOOKUP(K147,'Janeiro 2023 - Valor Real'!A3:A15,'Janeiro 2023 - Valor Real'!C3:C15,0))+1))/((L145-1)*(1-_xlfn.XLOOKUP(K145,'Janeiro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Real'!C3:C15,0))+1))/((L145-1)*(1-_xlfn.XLOOKUP(K145,'Janeiro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Real'!C3:C15,0))+1))/((L146-1)*(1-_xlfn.XLOOKUP(K146,'Janeiro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Real'!C3:C15,0))+1))/((L147-1)*(1-_xlfn.XLOOKUP(K147,'Janeiro 2023 - Valor Real'!A3:A15,'Janeiro 2023 - Valor Real'!C3:C15,0))+1)),IF(I145="Lay",IF(I146="Lay",((L146/(L146-1)-1)*(1-_xlfn.XLOOKUP(K146,'Janeiro 2023 - Valor Real'!A3:A15,'Janeiro 2023 - Valor Real'!C3:C15,0))+1)/(((L146/(L146-1)-1)*(1-_xlfn.XLOOKUP(K146,'Janeiro 2023 - Valor Real'!A3:A15,'Janeiro 2023 - Valor Real'!C3:C15,0))+1)+((L145/(L145-1)-1)*(1-_xlfn.XLOOKUP(K145,'Janeiro 2023 - Valor Real'!A3:A15,'Janeiro 2023 - Valor Real'!C3:C15,0))+1)),((L146-1)*(1-_xlfn.XLOOKUP(K146,'Janeiro 2023 - Valor Real'!A3:A15,'Janeiro 2023 - Valor Real'!C3:C15,0))+1)/(((L146-1)*(1-_xlfn.XLOOKUP(K146,'Janeiro 2023 - Valor Real'!A3:A15,'Janeiro 2023 - Valor Real'!C3:C15,0))+1)+((L145/(L145-1)-1)*(1-_xlfn.XLOOKUP(K145,'Janeiro 2023 - Valor Real'!A3:A15,'Janeiro 2023 - Valor Real'!C3:C15,0))+1))),IF(I146="Lay",(((L146/(L146-1)-1)*(1-_xlfn.XLOOKUP(K146,'Janeiro 2023 - Valor Real'!A3:A15,'Janeiro 2023 - Valor Real'!C3:C15,0))+1))/(((L145-1)*(1-_xlfn.XLOOKUP(K145,'Janeiro 2023 - Valor Real'!A3:A15,'Janeiro 2023 - Valor Real'!C3:C15,0))+1)+((L146/(L146-1)-1)*(1-_xlfn.XLOOKUP(K146,'Janeiro 2023 - Valor Real'!A3:A15,'Janeiro 2023 - Valor Real'!C3:C15,0))+1)),((L146-1)*(1-_xlfn.XLOOKUP(K146,'Janeiro 2023 - Valor Real'!A3:A15,'Janeiro 2023 - Valor Real'!C3:C15,0))+1)/(((L146-1)*(1-_xlfn.XLOOKUP(K146,'Janeiro 2023 - Valor Real'!A3:A15,'Janeiro 2023 - Valor Real'!C3:C15,0))+1)+((L145-1)*(1-_xlfn.XLOOKUP(K145,'Janeiro 2023 - Valor Real'!A3:A15,'Janeiro 2023 - Valor Real'!C3:C15,0))+1))))))</f>
        <v>0.322916666666667</v>
      </c>
      <c r="AF145" s="197">
        <f>IF($K145=AF$3,ROUND(IF(OR($C145="W",$C145="1/2W",$C145="1/2L"),$P145-$O145,IF($C145="X",0,-$O145)),2),0)</f>
        <v>-18.67</v>
      </c>
      <c r="AG145" s="198">
        <f>IF($K145=AG$3,ROUND(IF(OR($C145="W",$C145="1/2W",$C145="1/2L"),$P145-$O145,IF($C145="X",0,-$O145)),2),0)</f>
        <v>0</v>
      </c>
      <c r="AH145" s="198">
        <f>IF($K145=AH$3,ROUND(IF(OR($C145="W",$C145="1/2W",$C145="1/2L"),$P145-$O145,IF($C145="X",0,-$O145)),2),0)</f>
        <v>0</v>
      </c>
      <c r="AI145" s="198">
        <f>IF($K145=AI$3,ROUND(IF(OR($C145="W",$C145="1/2W",$C145="1/2L"),$P145-$O145,IF($C145="X",0,-$O145)),2),0)</f>
        <v>0</v>
      </c>
      <c r="AJ145" s="198">
        <f>IF($K145=AJ$3,ROUND(IF(OR($C145="W",$C145="1/2W",$C145="1/2L"),$P145-$O145,IF($C145="X",0,-$O145)),2),0)</f>
        <v>0</v>
      </c>
      <c r="AK145" s="198">
        <f>IF($K145=AK$3,ROUND(IF(OR($C145="W",$C145="1/2W",$C145="1/2L"),$P145-$O145,IF($C145="X",0,-$O145)),2),0)</f>
        <v>0</v>
      </c>
      <c r="AL145" s="198">
        <f>IF($K145=AL$3,ROUND(IF(OR($C145="W",$C145="1/2W",$C145="1/2L"),$P145-$O145,IF($C145="X",0,-$O145)),2),0)</f>
        <v>0</v>
      </c>
      <c r="AM145" s="198">
        <f>IF($K145=AM$3,ROUND(IF(OR($C145="W",$C145="1/2W",$C145="1/2L"),$P145-$O145,IF($C145="X",0,-$O145)),2),0)</f>
        <v>0</v>
      </c>
      <c r="AN145" s="198">
        <f>IF($K145=AN$3,ROUND(IF(OR($C145="W",$C145="1/2W",$C145="1/2L"),$P145-$O145,IF($C145="X",0,-$O145)),2),0)</f>
        <v>0</v>
      </c>
      <c r="AO145" s="198">
        <f>IF($K145=AO$3,ROUND(IF(OR($C145="W",$C145="1/2W",$C145="1/2L"),$P145-$O145,IF($C145="X",0,-$O145)),2),0)</f>
        <v>0</v>
      </c>
      <c r="AP145" s="198">
        <f>IF($K145=AP$3,ROUND(IF(OR($C145="W",$C145="1/2W",$C145="1/2L"),$P145-$O145,IF($C145="X",0,-$O145)),2),0)</f>
        <v>0</v>
      </c>
      <c r="AQ145" s="198">
        <f>IF($K145=AQ$3,ROUND(IF(OR($C145="W",$C145="1/2W",$C145="1/2L"),$P145-$O145,IF($C145="X",0,-$O145)),2),0)</f>
        <v>0</v>
      </c>
      <c r="AR145" s="199">
        <f>IF($K145=AR$3,ROUND(IF(OR($C145="W",$C145="1/2W",$C145="1/2L"),$P145-$O145,IF($C145="X",0,-$O145)),2),0)</f>
        <v>0</v>
      </c>
      <c r="AS145" s="197">
        <f>IF(AND($B145=" ",$K145=AS$3),$O145,0)</f>
        <v>0</v>
      </c>
      <c r="AT145" s="198">
        <f>IF(AND($B145=" ",$K145=AT$3),$O145,0)</f>
        <v>0</v>
      </c>
      <c r="AU145" s="198">
        <f>IF(AND($B145=" ",$K145=AU$3),$O145,0)</f>
        <v>0</v>
      </c>
      <c r="AV145" s="198">
        <f>IF(AND($B145=" ",$K145=AV$3),$O145,0)</f>
        <v>0</v>
      </c>
      <c r="AW145" s="198">
        <f>IF(AND($B145=" ",$K145=AW$3),$O145,0)</f>
        <v>0</v>
      </c>
      <c r="AX145" s="198">
        <f>IF(AND($B145=" ",$K145=AX$3),$O145,0)</f>
        <v>0</v>
      </c>
      <c r="AY145" s="200">
        <f>IF(AND($B145=" ",$K145=AY$3),$O145,0)</f>
        <v>0</v>
      </c>
      <c r="AZ145" s="201">
        <f>IF(AND($B145=" ",$K145=AZ$3),$O145,0)</f>
        <v>0</v>
      </c>
      <c r="BA145" s="201">
        <f>IF(AND($B145=" ",$K145=BA$3),$O145,0)</f>
        <v>0</v>
      </c>
      <c r="BB145" s="201">
        <f>IF(AND($B145=" ",$K145=BB$3),$O145,0)</f>
        <v>0</v>
      </c>
      <c r="BC145" s="202">
        <f>IF(AND($B145=" ",$K145=BC$3),$O145,0)</f>
        <v>0</v>
      </c>
      <c r="BD145" s="198">
        <f>IF(AND($B145=" ",$K145=BD$3),$O145,0)</f>
        <v>0</v>
      </c>
      <c r="BE145" s="199">
        <f>IF(AND($B145=" ",$K145=BE$3),$O145,0)</f>
        <v>0</v>
      </c>
      <c r="BF145" s="203">
        <f>IF($K145=BF$3,IF($C145="X",0,$O145),0)</f>
        <v>18.67</v>
      </c>
      <c r="BG145" s="198">
        <f>IF($K145=BG$3,IF($C145="X",0,$O145),0)</f>
        <v>0</v>
      </c>
      <c r="BH145" s="198">
        <f>IF($K145=BH$3,IF($C145="X",0,$O145),0)</f>
        <v>0</v>
      </c>
      <c r="BI145" s="198">
        <f>IF($K145=BI$3,IF($C145="X",0,$O145),0)</f>
        <v>0</v>
      </c>
      <c r="BJ145" s="198">
        <f>IF($K145=BJ$3,IF($C145="X",0,$O145),0)</f>
        <v>0</v>
      </c>
      <c r="BK145" s="198">
        <f>IF($K145=BK$3,IF($C145="X",0,$O145),0)</f>
        <v>0</v>
      </c>
      <c r="BL145" s="198">
        <f>IF($K145=BL$3,IF($C145="X",0,$O145),0)</f>
        <v>0</v>
      </c>
      <c r="BM145" s="200">
        <f>IF($K145=BM$3,IF($C145="X",0,$O145),0)</f>
        <v>0</v>
      </c>
      <c r="BN145" s="201">
        <f>IF($K145=BN$3,IF($C145="X",0,$O145),0)</f>
        <v>0</v>
      </c>
      <c r="BO145" s="201">
        <f>IF($K145=BO$3,IF($C145="X",0,$O145),0)</f>
        <v>0</v>
      </c>
      <c r="BP145" s="201">
        <f>IF($K145=BP$3,IF($C145="X",0,$O145),0)</f>
        <v>0</v>
      </c>
      <c r="BQ145" s="202">
        <f>IF($K145=BQ$3,IF($C145="X",0,$O145),0)</f>
        <v>0</v>
      </c>
      <c r="BR145" s="199">
        <f>IF($K145=BR$3,IF($C145="X",0,$O145),0)</f>
        <v>0</v>
      </c>
      <c r="BS145" s="204">
        <f>IF($B145="LOSS",IF(AND($K145=BS$3,$C145="L"),-$O145,0)+IF(AND($K146=BS$3,$C146="L"),-$O146,0)+IF(AND($K147=BS$3,$C147="L"),-$O147,0),IF(OR(AND($K145=BS$3,OR($C145="W",$C145="1/2W")),AND($K146=BS$3,OR($C146="W",$C146="1/2W")),AND($K147=BS$3,OR($C147="W",$C147="1/2W"))),$S145,0))</f>
        <v>0</v>
      </c>
      <c r="BT145" s="201">
        <f>IF($B145="LOSS",IF(AND($K145=BT$3,$C145="L"),-$O145,0)+IF(AND($K146=BT$3,$C146="L"),-$O146,0)+IF(AND($K146=BT$3,$C147="L"),-$O147,0),IF(OR(AND($K146=BT$3,OR($C145="W",$C145="1/2W")),AND($K146=BT$3,OR($C146="W",$C146="1/2W")),AND($K146=BT$3,OR($C147="W",$C147="1/2W"))),$S145,0))</f>
        <v>0</v>
      </c>
      <c r="BU145" s="201">
        <f>IF($B145="LOSS",IF(AND($K145=BU$3,$C145="L"),-$O145,0)+IF(AND($K146=BU$3,$C146="L"),-$O146,0)+IF(AND($K146=BU$3,$C147="L"),-$O147,0),IF(OR(AND($K146=BU$3,OR($C145="W",$C145="1/2W")),AND($K146=BU$3,OR($C146="W",$C146="1/2W")),AND($K146=BU$3,OR($C147="W",$C147="1/2W"))),$S145,0))</f>
        <v>0</v>
      </c>
      <c r="BV145" s="201">
        <f>IF($B145="LOSS",IF(AND($K145=BV$3,$C145="L"),-$O145,0)+IF(AND($K146=BV$3,$C146="L"),-$O146,0)+IF(AND($K147=BV$3,$C147="L"),-$O147,0),IF(OR(AND($K145=BV$3,OR($C145="W",$C145="1/2W")),AND($K146=BV$3,OR($C146="W",$C146="1/2W")),AND($K147=BV$3,OR($C147="W",$C147="1/2W"))),$S145,0))</f>
        <v>0</v>
      </c>
      <c r="BW145" s="201">
        <f>IF($B145="LOSS",IF(AND($K145=BW$3,$C145="L"),-$O145,0)+IF(AND($K146=BW$3,$C146="L"),-$O146,0)+IF(AND($K147=BW$3,$C147="L"),-$O147,0),IF(OR(AND($K145=BW$3,OR($C145="W",$C145="1/2W")),AND($K146=BW$3,OR($C146="W",$C146="1/2W")),AND($K147=BW$3,OR($C147="W",$C147="1/2W"))),$S145,0))</f>
        <v>2.86</v>
      </c>
      <c r="BX145" s="201">
        <f>IF($B145="LOSS",IF(AND($K145=BX$3,$C145="L"),-$O145,0)+IF(AND($K146=BX$3,$C146="L"),-$O146,0)+IF(AND($K147=BX$3,$C147="L"),-$O147,0),IF(OR(AND($K145=BX$3,OR($C145="W",$C145="1/2W")),AND($K146=BX$3,OR($C146="W",$C146="1/2W")),AND($K147=BX$3,OR($C147="W",$C147="1/2W"))),$S145,0))</f>
        <v>0</v>
      </c>
      <c r="BY145" s="201">
        <f>IF($B145="LOSS",IF(AND($K145=BY$3,$C145="L"),-$O145,0)+IF(AND($K146=BY$3,$C146="L"),-$O146,0)+IF(AND($K147=BY$3,$C147="L"),-$O147,0),IF(OR(AND($K145=BY$3,OR($C145="W",$C145="1/2W")),AND($K146=BY$3,OR($C146="W",$C146="1/2W")),AND($K147=BY$3,OR($C147="W",$C147="1/2W"))),$S145,0))</f>
        <v>0</v>
      </c>
      <c r="BZ145" s="205">
        <f>IF($B145="LOSS",IF(AND($K145=BZ$3,$C145="L"),-$O145,0)+IF(AND($K146=BZ$3,$C146="L"),-$O146,0)+IF(AND($K147=BZ$3,$C147="L"),-$O147,0),IF(OR(AND($K145=BZ$3,OR($C145="W",$C145="1/2W")),AND($K146=BZ$3,OR($C146="W",$C146="1/2W")),AND($K147=BZ$3,OR($C147="W",$C147="1/2W"))),$S145,0))</f>
        <v>0</v>
      </c>
      <c r="CA145" s="205">
        <f>IF($B145="LOSS",IF(AND($K145=CA$3,$C145="L"),-$O145,0)+IF(AND($K146=CA$3,$C146="L"),-$O146,0)+IF(AND($K147=CA$3,$C147="L"),-$O147,0),IF(OR(AND($K145=CA$3,OR($C145="W",$C145="1/2W")),AND($K146=CA$3,OR($C146="W",$C146="1/2W")),AND($K147=CA$3,OR($C147="W",$C147="1/2W"))),$S145,0))</f>
        <v>0</v>
      </c>
      <c r="CB145" s="205">
        <f>IF($B145="LOSS",IF(AND($K145=CB$3,$C145="L"),-$O145,0)+IF(AND($K146=CB$3,$C146="L"),-$O146,0)+IF(AND($K147=CB$3,$C147="L"),-$O147,0),IF(OR(AND($K145=CB$3,OR($C145="W",$C145="1/2W")),AND($K146=CB$3,OR($C146="W",$C146="1/2W")),AND($K147=CB$3,OR($C147="W",$C147="1/2W"))),$S145,0))</f>
        <v>0</v>
      </c>
      <c r="CC145" s="205">
        <f>IF($B145="LOSS",IF(AND($K145=CC$3,$C145="L"),-$O145,0)+IF(AND($K146=CC$3,$C146="L"),-$O146,0)+IF(AND($K147=CC$3,$C147="L"),-$O147,0),IF(OR(AND($K145=CC$3,OR($C145="W",$C145="1/2W")),AND($K146=CC$3,OR($C146="W",$C146="1/2W")),AND($K147=CC$3,OR($C147="W",$C147="1/2W"))),$S145,0))</f>
        <v>0</v>
      </c>
      <c r="CD145" s="202">
        <f>IF($B145="LOSS",IF(AND($K145=CD$3,$C145="L"),-$O145,0)+IF(AND($K146=CD$3,$C146="L"),-$O146,0)+IF(AND($K147=CD$3,$C147="L"),-$O147,0),IF(OR(AND($K145=CD$3,OR($C145="W",$C145="1/2W")),AND($K146=CD$3,OR($C146="W",$C146="1/2W")),AND($K147=CD$3,OR($C147="W",$C147="1/2W"))),$S145,0))</f>
        <v>0</v>
      </c>
      <c r="CE145" s="199">
        <f>IF($B145="LOSS",IF(AND($K145=CE$3,$C145="L"),-$O145,0)+IF(AND($K146=CE$3,$C146="L"),-$O146,0)+IF(AND($K147=CE$3,$C147="L"),-$O147,0),IF(OR(AND($K145=CE$3,OR($C145="W",$C145="1/2W")),AND($K146=CE$3,OR($C146="W",$C146="1/2W")),AND($K147=CE$3,OR($C147="W",$C147="1/2W"))),$S145,0))</f>
        <v>0</v>
      </c>
      <c r="CF145" s="206">
        <f>IF(CF$3=$K145,IF($C145="W",1,IF($C145="1/2W",0.5,0)),0)</f>
        <v>0</v>
      </c>
      <c r="CG145" s="207">
        <f>IF(CF$3=$K145,IF($C145="L",1,IF($C145="1/2L",0.5,0)),0)</f>
        <v>1</v>
      </c>
      <c r="CH145" s="207">
        <f>IF(CH$3=$K145,IF($C145="W",1,IF($C145="1/2W",0.5,0)),0)</f>
        <v>0</v>
      </c>
      <c r="CI145" s="207">
        <f>IF(CH$3=$K145,IF($C145="L",1,IF($C145="1/2L",0.5,0)),0)</f>
        <v>0</v>
      </c>
      <c r="CJ145" s="207">
        <f>IF(CJ$3=$K145,IF($C145="W",1,IF($C145="1/2W",0.5,0)),0)</f>
        <v>0</v>
      </c>
      <c r="CK145" s="207">
        <f>IF(CJ$3=$K145,IF($C145="L",1,IF($C145="1/2L",0.5,0)),0)</f>
        <v>0</v>
      </c>
      <c r="CL145" s="207">
        <f>IF(CL$3=$K145,IF($C145="W",1,IF($C145="1/2W",0.5,0)),0)</f>
        <v>0</v>
      </c>
      <c r="CM145" s="207">
        <f>IF(CL$3=$K145,IF($C145="L",1,IF($C145="1/2L",0.5,0)),0)</f>
        <v>0</v>
      </c>
      <c r="CN145" s="207">
        <f>IF(CN$3=$K145,IF($C145="W",1,IF($C145="1/2W",0.5,0)),0)</f>
        <v>0</v>
      </c>
      <c r="CO145" s="207">
        <f>IF(CN$3=$K145,IF($C145="L",1,IF($C145="1/2L",0.5,0)),0)</f>
        <v>0</v>
      </c>
      <c r="CP145" s="207">
        <f>IF(CP$3=$K145,IF($C145="W",1,IF($C145="1/2W",0.5,0)),0)</f>
        <v>0</v>
      </c>
      <c r="CQ145" s="207">
        <f>IF(CP$3=$K145,IF($C145="L",1,IF($C145="1/2L",0.5,0)),0)</f>
        <v>0</v>
      </c>
      <c r="CR145" s="207">
        <f>IF(CR$3=$K145,IF($C145="W",1,IF($C145="1/2W",0.5,0)),0)</f>
        <v>0</v>
      </c>
      <c r="CS145" s="207">
        <f>IF(CR$3=$K145,IF($C145="L",1,IF($C145="1/2L",0.5,0)),0)</f>
        <v>0</v>
      </c>
      <c r="CT145" s="208">
        <f>IF(CT$3=$K145,IF($C145="W",1,IF($C145="1/2W",0.5,0)),0)</f>
        <v>0</v>
      </c>
      <c r="CU145" s="209">
        <f>IF(CT$3=$K145,IF($C145="L",1,IF($C145="1/2L",0.5,0)),0)</f>
        <v>0</v>
      </c>
      <c r="CV145" s="209">
        <f>IF(CV$3=$K145,IF($C145="W",1,IF($C145="1/2W",0.5,0)),0)</f>
        <v>0</v>
      </c>
      <c r="CW145" s="209">
        <f>IF(CV$3=$K145,IF($C145="L",1,IF($C145="1/2L",0.5,0)),0)</f>
        <v>0</v>
      </c>
      <c r="CX145" s="209">
        <f>IF(CX$3=$K145,IF($C145="W",1,IF($C145="1/2W",0.5,0)),0)</f>
        <v>0</v>
      </c>
      <c r="CY145" s="209">
        <f>IF(CX$3=$K145,IF($C145="L",1,IF($C145="1/2L",0.5,0)),0)</f>
        <v>0</v>
      </c>
      <c r="CZ145" s="209">
        <f>IF(CZ$3=$K145,IF($C145="W",1,IF($C145="1/2W",0.5,0)),0)</f>
        <v>0</v>
      </c>
      <c r="DA145" s="209">
        <f>IF(CZ$3=$K145,IF($C145="L",1,IF($C145="1/2L",0.5,0)),0)</f>
        <v>0</v>
      </c>
      <c r="DB145" s="209">
        <f>IF(DB$3=$K145,IF($C145="W",1,IF($C145="1/2W",0.5,0)),0)</f>
        <v>0</v>
      </c>
      <c r="DC145" s="209">
        <f>IF(DB$3=$K145,IF($C145="L",1,IF($C145="1/2L",0.5,0)),0)</f>
        <v>0</v>
      </c>
      <c r="DD145" s="209">
        <f>IF(DD$3=$K145,IF($C145="W",1,IF($C145="1/2W",0.5,0)),0)</f>
        <v>0</v>
      </c>
      <c r="DE145" s="210">
        <f>IF(DD$3=$K145,IF($C145="L",1,IF($C145="1/2L",0.5,0)),0)</f>
        <v>0</v>
      </c>
      <c r="DF145" s="211">
        <f>IF(AND(L145&lt;DF$3,$C145="W"),1+DF144,DF144)</f>
        <v>7</v>
      </c>
      <c r="DG145" s="198">
        <f>IF(DF145&gt;DF144,L145+DG144,DG144)</f>
        <v>9.247999999999999</v>
      </c>
      <c r="DH145" s="209">
        <f>IF(AND(L145&gt;DH$3,$C145="W"),1+DH144,0+DH144)</f>
        <v>2</v>
      </c>
      <c r="DI145" s="198">
        <f>IF(DH145&gt;DH144,L145+DI144,DI144)</f>
        <v>11.58</v>
      </c>
      <c r="DJ145" t="s" s="306">
        <f>IF($D145="","",$D145)</f>
        <v>101</v>
      </c>
      <c r="DK145" s="209">
        <f>IF(AND($B145=" ",$D145&lt;&gt;""),1,0)</f>
        <v>0</v>
      </c>
    </row>
    <row r="146" ht="14.55" customHeight="1">
      <c r="A146" s="107"/>
      <c r="B146" s="108"/>
      <c r="C146" t="s" s="213">
        <v>56</v>
      </c>
      <c r="D146" s="110"/>
      <c r="E146" s="111"/>
      <c r="F146" s="112"/>
      <c r="G146" s="214"/>
      <c r="H146" s="114"/>
      <c r="I146" s="299">
        <v>2</v>
      </c>
      <c r="J146" t="s" s="216">
        <f>IF(OR(I145="TO",I145="TU",I145="TO1",I145="TU1",I145="TO2",I145="TU2"),J145,IF(OR(I145="AH1",I145="AH2"),IF(OR(I146="AH1",I146="AH2"),-J145,IF(OR(I146="EH1",I146="EH2"),-J145+0.5,"")),IF(OR(I145="EH1",I145="EH2"),IF(OR(I146="AH1",I146="AH2"),-J145+0.5,IF(OR(I146="EH1",I146="EH2"),-J145+1,"")),IF(AND(OR(I145="DNB1",I145="DNB2"),OR(I146="AH1",I146="AH2")),0,IF(AND(I145="Not ScoreBoth",OR(I146="TO1",I146="TO2")),0.5,"")))))</f>
      </c>
      <c r="K146" t="s" s="217">
        <v>41</v>
      </c>
      <c r="L146" s="218">
        <v>1.55</v>
      </c>
      <c r="M146" s="219"/>
      <c r="N146" s="120"/>
      <c r="O146" s="220">
        <f>IF(OR(AE145="",AE146=""),"",ROUND(IF(L147&gt;0,IF(M146&gt;0,M146,IF(M145&gt;0,IF(N145=TRUE,ROUND((M145*AE146)/AE145,0),(M145*AE146)/AE145),IF(M146&gt;0,ROUND(M146,IF(N145=0,2,IF(N145=0.1,1,0))),IF(M147&gt;0,ROUND(O147*AE146/AE147,IF(N145=0,2,IF(N145=0.1,1,0))),0)))),IF(M146&gt;0,M146,ROUND((M145*AE146)/AE145,IF(N145=0,2,IF(N145=0.1,1,0))))),2))</f>
        <v>39.15</v>
      </c>
      <c r="P146" s="221">
        <f>IF(OR(L146="",O146=""),"",IF($C146="1/2W",O146/2+O146/2*L146,IF($C146="1/2L",O146/2,IF(I146="Lay",((O146*(L146/(L146-1)))-O146)*(1-_xlfn.XLOOKUP(K146,'Janeiro 2023 - Valor Real'!A3:A15,'Janeiro 2023 - Valor Real'!C3:C15,0))+O146,(O146*L146-O146)*(1-_xlfn.XLOOKUP(K146,'Janeiro 2023 - Valor Real'!A3:A15,'Janeiro 2023 - Valor Real'!C3:C15,0))+O146))))</f>
        <v>60.6825</v>
      </c>
      <c r="Q146" s="222">
        <f>IF(K146="","",IF(_xlfn.XLOOKUP(K146,K62:K$85,DJ62:DJ$85,0,,-1)=DJ146,_xlfn.XLOOKUP(K146,K62:K$85,Q62:Q$85,1,,-1)+1,1))</f>
        <v>6</v>
      </c>
      <c r="R146" s="223">
        <f>IF(K146="","",_xlfn.XLOOKUP(K146,K62:K$85,R62:R$85,0,,-1)+IF($C146=" ",1,0))</f>
        <v>0</v>
      </c>
      <c r="S146" s="125"/>
      <c r="T146" s="126"/>
      <c r="U146" s="126"/>
      <c r="V146" s="224"/>
      <c r="W146" s="126"/>
      <c r="X146" s="127"/>
      <c r="Y146" s="128"/>
      <c r="Z146" s="129"/>
      <c r="AA146" s="129"/>
      <c r="AB146" s="129"/>
      <c r="AC146" s="129"/>
      <c r="AD146" s="225">
        <f>(((L146/(L146-1)-1)*(1-_xlfn.XLOOKUP(K146,'Janeiro 2023 - Valor Real'!A3:A15,'Janeiro 2023 - Valor Real'!C3:C15,0))+1))</f>
        <v>2.81818181818182</v>
      </c>
      <c r="AE146" s="226">
        <f>IF(L146="","",IF(L147&gt;0,(SUM(((L145-1)*(1-_xlfn.XLOOKUP(K145,'Janeiro 2023 - Valor Real'!A3:A15,'Janeiro 2023 - Valor Real'!C3:C15,0))+1),((L146-1)*(1-_xlfn.XLOOKUP(K146,'Janeiro 2023 - Valor Real'!A3:A15,'Janeiro 2023 - Valor Real'!C3:C15,0))+1),((L147-1)*(1-_xlfn.XLOOKUP(K147,'Janeiro 2023 - Valor Real'!A3:A15,'Janeiro 2023 - Valor Real'!C3:C15,0))+1))/((L146-1)*(1-_xlfn.XLOOKUP(K146,'Janeiro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Real'!C3:C15,0))+1))/((L145-1)*(1-_xlfn.XLOOKUP(K145,'Janeiro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Real'!C3:C15,0))+1))/((L146-1)*(1-_xlfn.XLOOKUP(K146,'Janeiro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Real'!C3:C15,0))+1))/((L147-1)*(1-_xlfn.XLOOKUP(K147,'Janeiro 2023 - Valor Real'!A3:A15,'Janeiro 2023 - Valor Real'!C3:C15,0))+1)),IF(I146="Lay",IF(I145="Lay",((L145/(L145-1)-1)*(1-_xlfn.XLOOKUP(K145,'Janeiro 2023 - Valor Real'!A3:A15,'Janeiro 2023 - Valor Real'!C3:C15,0))+1)/(((L145/(L145-1)-1)*(1-_xlfn.XLOOKUP(K145,'Janeiro 2023 - Valor Real'!A3:A15,'Janeiro 2023 - Valor Real'!C3:C15,0))+1)+((L146/(L146-1)-1)*(1-_xlfn.XLOOKUP(K146,'Janeiro 2023 - Valor Real'!A3:A15,'Janeiro 2023 - Valor Real'!C3:C15,0))+1)),((L145-1)*(1-_xlfn.XLOOKUP(K145,'Janeiro 2023 - Valor Real'!A3:A15,'Janeiro 2023 - Valor Real'!C3:C15,0))+1)/(((L145-1)*(1-_xlfn.XLOOKUP(K145,'Janeiro 2023 - Valor Real'!A3:A15,'Janeiro 2023 - Valor Real'!C3:C15,0))+1)+((L146/(L146-1)-1)*(1-_xlfn.XLOOKUP(K146,'Janeiro 2023 - Valor Real'!A3:A15,'Janeiro 2023 - Valor Real'!C3:C15,0))+1))),IF(I145="Lay",((L145/(L145-1)-1)*(1-_xlfn.XLOOKUP(K145,'Janeiro 2023 - Valor Real'!A3:A15,'Janeiro 2023 - Valor Real'!C3:C15,0))+1)/((((L145/(L145-1)-1)*(1-_xlfn.XLOOKUP(K145,'Janeiro 2023 - Valor Real'!A3:A15,'Janeiro 2023 - Valor Real'!C3:C15,0))+1))+((L146-1)*(1-_xlfn.XLOOKUP(K146,'Janeiro 2023 - Valor Real'!A3:A15,'Janeiro 2023 - Valor Real'!C3:C15,0))+1)),((L145-1)*(1-_xlfn.XLOOKUP(K145,'Janeiro 2023 - Valor Real'!A3:A15,'Janeiro 2023 - Valor Real'!C3:C15,0))+1)/(((L145-1)*(1-_xlfn.XLOOKUP(K145,'Janeiro 2023 - Valor Real'!A3:A15,'Janeiro 2023 - Valor Real'!C3:C15,0))+1)+((L146-1)*(1-_xlfn.XLOOKUP(K146,'Janeiro 2023 - Valor Real'!A3:A15,'Janeiro 2023 - Valor Real'!C3:C15,0))+1))))))</f>
        <v>0.677083333333333</v>
      </c>
      <c r="AF146" s="197">
        <f>IF($K146=AF$3,ROUND(IF(OR($C146="W",$C146="1/2W",$C146="1/2L"),$P146-$O146,IF($C146="X",0,-$O146)),2),0)</f>
        <v>0</v>
      </c>
      <c r="AG146" s="198">
        <f>IF($K146=AG$3,ROUND(IF(OR($C146="W",$C146="1/2W",$C146="1/2L"),$P146-$O146,IF($C146="X",0,-$O146)),2),0)</f>
        <v>0</v>
      </c>
      <c r="AH146" s="198">
        <f>IF($K146=AH$3,ROUND(IF(OR($C146="W",$C146="1/2W",$C146="1/2L"),$P146-$O146,IF($C146="X",0,-$O146)),2),0)</f>
        <v>0</v>
      </c>
      <c r="AI146" s="198">
        <f>IF($K146=AI$3,ROUND(IF(OR($C146="W",$C146="1/2W",$C146="1/2L"),$P146-$O146,IF($C146="X",0,-$O146)),2),0)</f>
        <v>0</v>
      </c>
      <c r="AJ146" s="198">
        <f>IF($K146=AJ$3,ROUND(IF(OR($C146="W",$C146="1/2W",$C146="1/2L"),$P146-$O146,IF($C146="X",0,-$O146)),2),0)</f>
        <v>21.53</v>
      </c>
      <c r="AK146" s="198">
        <f>IF($K146=AK$3,ROUND(IF(OR($C146="W",$C146="1/2W",$C146="1/2L"),$P146-$O146,IF($C146="X",0,-$O146)),2),0)</f>
        <v>0</v>
      </c>
      <c r="AL146" s="198">
        <f>IF($K146=AL$3,ROUND(IF(OR($C146="W",$C146="1/2W",$C146="1/2L"),$P146-$O146,IF($C146="X",0,-$O146)),2),0)</f>
        <v>0</v>
      </c>
      <c r="AM146" s="198">
        <f>IF($K146=AM$3,ROUND(IF(OR($C146="W",$C146="1/2W",$C146="1/2L"),$P146-$O146,IF($C146="X",0,-$O146)),2),0)</f>
        <v>0</v>
      </c>
      <c r="AN146" s="198">
        <f>IF($K146=AN$3,ROUND(IF(OR($C146="W",$C146="1/2W",$C146="1/2L"),$P146-$O146,IF($C146="X",0,-$O146)),2),0)</f>
        <v>0</v>
      </c>
      <c r="AO146" s="198">
        <f>IF($K146=AO$3,ROUND(IF(OR($C146="W",$C146="1/2W",$C146="1/2L"),$P146-$O146,IF($C146="X",0,-$O146)),2),0)</f>
        <v>0</v>
      </c>
      <c r="AP146" s="198">
        <f>IF($K146=AP$3,ROUND(IF(OR($C146="W",$C146="1/2W",$C146="1/2L"),$P146-$O146,IF($C146="X",0,-$O146)),2),0)</f>
        <v>0</v>
      </c>
      <c r="AQ146" s="198">
        <f>IF($K146=AQ$3,ROUND(IF(OR($C146="W",$C146="1/2W",$C146="1/2L"),$P146-$O146,IF($C146="X",0,-$O146)),2),0)</f>
        <v>0</v>
      </c>
      <c r="AR146" s="199">
        <f>IF($K146=AR$3,ROUND(IF(OR($C146="W",$C146="1/2W",$C146="1/2L"),$P146-$O146,IF($C146="X",0,-$O146)),2),0)</f>
        <v>0</v>
      </c>
      <c r="AS146" s="197">
        <f>IF(AND($B145=" ",$K146=AS$3),$O146,0)</f>
        <v>0</v>
      </c>
      <c r="AT146" s="198">
        <f>IF(AND($B145=" ",K146=AT$3),$O146,0)</f>
        <v>0</v>
      </c>
      <c r="AU146" s="198">
        <f>IF(AND($B145=" ",$K146=AU$3),$O146,0)</f>
        <v>0</v>
      </c>
      <c r="AV146" s="198">
        <f>IF(AND($B145=" ",$K146=AV$3),$O146,0)</f>
        <v>0</v>
      </c>
      <c r="AW146" s="198">
        <f>IF(AND($B145=" ",$K146=AW$3),$O146,0)</f>
        <v>0</v>
      </c>
      <c r="AX146" s="198">
        <f>IF(AND($B145=" ",$K146=AX$3),$O146,0)</f>
        <v>0</v>
      </c>
      <c r="AY146" s="200">
        <f>IF(AND($B145=" ",$K146=AY$3),$O146,0)</f>
        <v>0</v>
      </c>
      <c r="AZ146" s="201">
        <f>IF(AND($B145=" ",$K146=AZ$3),$O146,0)</f>
        <v>0</v>
      </c>
      <c r="BA146" s="201">
        <f>IF(AND($B145=" ",$K146=BA$3),$O146,0)</f>
        <v>0</v>
      </c>
      <c r="BB146" s="201">
        <f>IF(AND($B145=" ",$K146=BB$3),$O146,0)</f>
        <v>0</v>
      </c>
      <c r="BC146" s="202">
        <f>IF(AND($B145=" ",$K146=BC$3),$O146,0)</f>
        <v>0</v>
      </c>
      <c r="BD146" s="198">
        <f>IF(AND($B145=" ",$K146=BD$3),$O146,0)</f>
        <v>0</v>
      </c>
      <c r="BE146" s="199">
        <f>IF(AND($B145=" ",$K146=BE$3),$O146,0)</f>
        <v>0</v>
      </c>
      <c r="BF146" s="197">
        <f>IF($K146=BF$3,IF($C146="X",0,$O146),0)</f>
        <v>0</v>
      </c>
      <c r="BG146" s="198">
        <f>IF($K146=BG$3,IF($C146="X",0,$O146),0)</f>
        <v>0</v>
      </c>
      <c r="BH146" s="198">
        <f>IF($K146=BH$3,IF($C146="X",0,$O146),0)</f>
        <v>0</v>
      </c>
      <c r="BI146" s="198">
        <f>IF($K146=BI$3,IF($C146="X",0,$O146),0)</f>
        <v>0</v>
      </c>
      <c r="BJ146" s="198">
        <f>IF($K146=BJ$3,IF($C146="X",0,$O146),0)</f>
        <v>39.15</v>
      </c>
      <c r="BK146" s="198">
        <f>IF($K146=BK$3,IF($C146="X",0,$O146),0)</f>
        <v>0</v>
      </c>
      <c r="BL146" s="198">
        <f>IF($K146=BL$3,IF($C146="X",0,$O146),0)</f>
        <v>0</v>
      </c>
      <c r="BM146" s="227">
        <f>IF($K146=BM$3,IF($C146="X",0,$O146),0)</f>
        <v>0</v>
      </c>
      <c r="BN146" s="205">
        <f>IF($K146=BN$3,IF($C146="X",0,$O146),0)</f>
        <v>0</v>
      </c>
      <c r="BO146" s="205">
        <f>IF($K146=BO$3,IF($C146="X",0,$O146),0)</f>
        <v>0</v>
      </c>
      <c r="BP146" s="205">
        <f>IF($K146=BP$3,IF($C146="X",0,$O146),0)</f>
        <v>0</v>
      </c>
      <c r="BQ146" s="202">
        <f>IF($K146=BQ$3,IF($C146="X",0,$O146),0)</f>
        <v>0</v>
      </c>
      <c r="BR146" s="199">
        <f>IF($K146=BR$3,IF($C146="X",0,$O146),0)</f>
        <v>0</v>
      </c>
      <c r="BS146" s="228"/>
      <c r="BT146" s="229"/>
      <c r="BU146" s="140"/>
      <c r="BV146" s="229"/>
      <c r="BW146" s="140"/>
      <c r="BX146" s="140"/>
      <c r="BY146" s="140"/>
      <c r="BZ146" s="229"/>
      <c r="CA146" s="140"/>
      <c r="CB146" s="140"/>
      <c r="CC146" s="140"/>
      <c r="CD146" s="141"/>
      <c r="CE146" s="142"/>
      <c r="CF146" s="230">
        <f>IF(CF$3=$K146,IF($C146="W",1,IF($C146="1/2W",0.5,0)),0)</f>
        <v>0</v>
      </c>
      <c r="CG146" s="231">
        <f>IF(CF$3=$K146,IF($C146="L",1,IF($C146="1/2L",0.5,0)),0)</f>
        <v>0</v>
      </c>
      <c r="CH146" s="231">
        <f>IF(CH$3=$K146,IF($C146="W",1,IF($C146="1/2W",0.5,0)),0)</f>
        <v>0</v>
      </c>
      <c r="CI146" s="231">
        <f>IF(CH$3=$K146,IF($C146="L",1,IF($C146="1/2L",0.5,0)),0)</f>
        <v>0</v>
      </c>
      <c r="CJ146" s="231">
        <f>IF(CJ$3=$K146,IF($C146="W",1,IF($C146="1/2W",0.5,0)),0)</f>
        <v>0</v>
      </c>
      <c r="CK146" s="231">
        <f>IF(CJ$3=$K146,IF($C146="L",1,IF($C146="1/2L",0.5,0)),0)</f>
        <v>0</v>
      </c>
      <c r="CL146" s="231">
        <f>IF(CL$3=$K146,IF($C146="W",1,IF($C146="1/2W",0.5,0)),0)</f>
        <v>0</v>
      </c>
      <c r="CM146" s="231">
        <f>IF(CL$3=$K146,IF($C146="L",1,IF($C146="1/2L",0.5,0)),0)</f>
        <v>0</v>
      </c>
      <c r="CN146" s="231">
        <f>IF(CN$3=$K146,IF($C146="W",1,IF($C146="1/2W",0.5,0)),0)</f>
        <v>1</v>
      </c>
      <c r="CO146" s="231">
        <f>IF(CN$3=$K146,IF($C146="L",1,IF($C146="1/2L",0.5,0)),0)</f>
        <v>0</v>
      </c>
      <c r="CP146" s="231">
        <f>IF(CP$3=$K146,IF($C146="W",1,IF($C146="1/2W",0.5,0)),0)</f>
        <v>0</v>
      </c>
      <c r="CQ146" s="231">
        <f>IF(CP$3=$K146,IF($C146="L",1,IF($C146="1/2L",0.5,0)),0)</f>
        <v>0</v>
      </c>
      <c r="CR146" s="231">
        <f>IF(CR$3=$K146,IF($C146="W",1,IF($C146="1/2W",0.5,0)),0)</f>
        <v>0</v>
      </c>
      <c r="CS146" s="231">
        <f>IF(CR$3=$K146,IF($C146="L",1,IF($C146="1/2L",0.5,0)),0)</f>
        <v>0</v>
      </c>
      <c r="CT146" s="208">
        <f>IF(CT$3=$K146,IF($C146="W",1,IF($C146="1/2W",0.5,0)),0)</f>
        <v>0</v>
      </c>
      <c r="CU146" s="209">
        <f>IF(CT$3=$K146,IF($C146="L",1,IF($C146="1/2L",0.5,0)),0)</f>
        <v>0</v>
      </c>
      <c r="CV146" s="209">
        <f>IF(CV$3=$K146,IF($C146="W",1,IF($C146="1/2W",0.5,0)),0)</f>
        <v>0</v>
      </c>
      <c r="CW146" s="209">
        <f>IF(CV$3=$K146,IF($C146="L",1,IF($C146="1/2L",0.5,0)),0)</f>
        <v>0</v>
      </c>
      <c r="CX146" s="209">
        <f>IF(CX$3=$K146,IF($C146="W",1,IF($C146="1/2W",0.5,0)),0)</f>
        <v>0</v>
      </c>
      <c r="CY146" s="209">
        <f>IF(CX$3=$K146,IF($C146="L",1,IF($C146="1/2L",0.5,0)),0)</f>
        <v>0</v>
      </c>
      <c r="CZ146" s="209">
        <f>IF(CZ$3=$K146,IF($C146="W",1,IF($C146="1/2W",0.5,0)),0)</f>
        <v>0</v>
      </c>
      <c r="DA146" s="209">
        <f>IF(CZ$3=$K146,IF($C146="L",1,IF($C146="1/2L",0.5,0)),0)</f>
        <v>0</v>
      </c>
      <c r="DB146" s="209">
        <f>IF(DB$3=$K146,IF($C146="W",1,IF($C146="1/2W",0.5,0)),0)</f>
        <v>0</v>
      </c>
      <c r="DC146" s="209">
        <f>IF(DB$3=$K146,IF($C146="L",1,IF($C146="1/2L",0.5,0)),0)</f>
        <v>0</v>
      </c>
      <c r="DD146" s="209">
        <f>IF(DD$3=$K146,IF($C146="W",1,IF($C146="1/2W",0.5,0)),0)</f>
        <v>0</v>
      </c>
      <c r="DE146" s="210">
        <f>IF(DD$3=$K146,IF($C146="L",1,IF($C146="1/2L",0.5,0)),0)</f>
        <v>0</v>
      </c>
      <c r="DF146" s="211">
        <f>IF(AND(L146&lt;DF$3,$C146="W"),1+DF145,DF145)</f>
        <v>7</v>
      </c>
      <c r="DG146" s="198">
        <f>IF(DF146&gt;DF145,L146+DG145,DG145)</f>
        <v>9.247999999999999</v>
      </c>
      <c r="DH146" s="209">
        <f>IF(AND(L146&gt;DH$3,$C146="W"),1+DH145,0+DH145)</f>
        <v>2</v>
      </c>
      <c r="DI146" s="198">
        <f>IF(DH146&gt;DH145,L146+DI145,DI145)</f>
        <v>11.58</v>
      </c>
      <c r="DJ146" t="s" s="306">
        <f>IF($D145="","",$D145)</f>
        <v>101</v>
      </c>
      <c r="DK146" s="232"/>
    </row>
    <row r="147" ht="14.55" customHeight="1">
      <c r="A147" s="149"/>
      <c r="B147" s="150"/>
      <c r="C147" t="s" s="233">
        <v>58</v>
      </c>
      <c r="D147" s="152"/>
      <c r="E147" s="153"/>
      <c r="F147" s="300"/>
      <c r="G147" s="234"/>
      <c r="H147" s="156"/>
      <c r="I147" s="235"/>
      <c r="J147" s="236"/>
      <c r="K147" s="237"/>
      <c r="L147" s="238"/>
      <c r="M147" s="239"/>
      <c r="N147" s="161"/>
      <c r="O147" t="s" s="240">
        <f>IF(OR(AE145="",AE146=""),"",IF(L147&gt;0,ROUND(IF(M147&gt;0,M147,IF(M145&gt;0,ROUND((M145*AE147)/AE145,IF(N145=0,2,IF(N145=0.1,1,0))),IF(M146&gt;0,ROUND((M146*AE147)/AE146,IF(N145=0,2,IF(N145=0.1,1,0))),IF(M147&gt;0,M147,0)))),2),""))</f>
      </c>
      <c r="P147" t="s" s="241">
        <f>IF(I146="Lay",O146*(L146/(L146-1))-O146,IF(I145="Lay",O145*(L145/(L145-1))-O145,IF(OR(L147="",O147=""),"",IF($C147="1/2W",O147/2+O147/2*L147,IF($C147="1/2L",O147/2,(O147*L147-O147)*(1-_xlfn.XLOOKUP(K147,'Janeiro 2023 - Valor Real'!A3:A15,'Janeiro 2023 - Valor Real'!C3:C15,0))+O147)))))</f>
      </c>
      <c r="Q147" t="s" s="242">
        <f>IF(K147="","",IF(_xlfn.XLOOKUP(K147,K62:K$86,DJ62:DJ$86,0,,-1)=DJ147,_xlfn.XLOOKUP(K147,K62:K$86,Q62:Q$86,1,,-1)+1,1))</f>
      </c>
      <c r="R147" t="s" s="243">
        <f>IF(K147="","",_xlfn.XLOOKUP(K147,K62:K$86,R62:R$86,0,,-1)+IF($C147=" ",1,0))</f>
      </c>
      <c r="S147" s="166"/>
      <c r="T147" s="155"/>
      <c r="U147" s="155"/>
      <c r="V147" s="166"/>
      <c r="W147" s="155"/>
      <c r="X147" s="167"/>
      <c r="Y147" s="128"/>
      <c r="Z147" s="129"/>
      <c r="AA147" s="129"/>
      <c r="AB147" s="129"/>
      <c r="AC147" s="129"/>
      <c r="AD147" s="244">
        <f>((L146/(L146-1)-1))</f>
        <v>1.81818181818182</v>
      </c>
      <c r="AE147" t="s" s="245">
        <f>IF(L147="","",(SUM(((L145-1)*(1-_xlfn.XLOOKUP(K145,'Janeiro 2023 - Valor Real'!A3:A15,'Janeiro 2023 - Valor Real'!C3:C15,0))+1),((L146-1)*(1-_xlfn.XLOOKUP(K146,'Janeiro 2023 - Valor Real'!A3:A15,'Janeiro 2023 - Valor Real'!C3:C15,0))+1),((L147-1)*(1-_xlfn.XLOOKUP(K147,'Janeiro 2023 - Valor Real'!A3:A15,'Janeiro 2023 - Valor Real'!C3:C15,0))+1))/((L147-1)*(1-_xlfn.XLOOKUP(K147,'Janeiro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Real'!C3:C15,0))+1))/((L145-1)*(1-_xlfn.XLOOKUP(K145,'Janeiro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Real'!C3:C15,0))+1))/((L146-1)*(1-_xlfn.XLOOKUP(K146,'Janeiro 2023 - Valor Real'!A3:A15,'Janeiro 2023 - Valor Real'!C3:C15,0))+1)+SUM(((L145-1)*(1-_xlfn.XLOOKUP(K145,'Janeiro 2023 - Valor Real'!A3:A15,'Janeiro 2023 - Valor Real'!C3:C15,0))+1),((L146-1)*(1-_xlfn.XLOOKUP(K146,'Janeiro 2023 - Valor Real'!A3:A15,'Janeiro 2023 - Valor Real'!C3:C15,0))+1),((L147-1)*(1-_xlfn.XLOOKUP(K147,'Janeiro 2023 - Valor Real'!A3:A15,'Janeiro 2023 - Valor Real'!C3:C15,0))+1))/((L147-1)*(1-_xlfn.XLOOKUP(K147,'Janeiro 2023 - Valor Real'!A3:A15,'Janeiro 2023 - Valor Real'!C3:C15,0))+1)))</f>
      </c>
      <c r="AF147" s="197">
        <f>IF($K147=AF$3,ROUND(IF(OR($C147="W",$C147="1/2W",$C147="1/2L"),$P147-$O147,IF($C147="X",0,-$O147)),2),0)</f>
        <v>0</v>
      </c>
      <c r="AG147" s="198">
        <f>IF($K147=AG$3,ROUND(IF(OR($C147="W",$C147="1/2W",$C147="1/2L"),$P147-$O147,IF($C147="X",0,-$O147)),2),0)</f>
        <v>0</v>
      </c>
      <c r="AH147" s="198">
        <f>IF($K147=AH$3,ROUND(IF(OR($C147="W",$C147="1/2W",$C147="1/2L"),$P147-$O147,IF($C147="X",0,-$O147)),2),0)</f>
        <v>0</v>
      </c>
      <c r="AI147" s="198">
        <f>IF($K147=AI$3,ROUND(IF(OR($C147="W",$C147="1/2W",$C147="1/2L"),$P147-$O147,IF($C147="X",0,-$O147)),2),0)</f>
        <v>0</v>
      </c>
      <c r="AJ147" s="198">
        <f>IF($K147=AJ$3,ROUND(IF(OR($C147="W",$C147="1/2W",$C147="1/2L"),$P147-$O147,IF($C147="X",0,-$O147)),2),0)</f>
        <v>0</v>
      </c>
      <c r="AK147" s="198">
        <f>IF($K147=AK$3,ROUND(IF(OR($C147="W",$C147="1/2W",$C147="1/2L"),$P147-$O147,IF($C147="X",0,-$O147)),2),0)</f>
        <v>0</v>
      </c>
      <c r="AL147" s="198">
        <f>IF($K147=AL$3,ROUND(IF(OR($C147="W",$C147="1/2W",$C147="1/2L"),$P147-$O147,IF($C147="X",0,-$O147)),2),0)</f>
        <v>0</v>
      </c>
      <c r="AM147" s="198">
        <f>IF($K147=AM$3,ROUND(IF(OR($C147="W",$C147="1/2W",$C147="1/2L"),$P147-$O147,IF($C147="X",0,-$O147)),2),0)</f>
        <v>0</v>
      </c>
      <c r="AN147" s="198">
        <f>IF($K147=AN$3,ROUND(IF(OR($C147="W",$C147="1/2W",$C147="1/2L"),$P147-$O147,IF($C147="X",0,-$O147)),2),0)</f>
        <v>0</v>
      </c>
      <c r="AO147" s="198">
        <f>IF($K147=AO$3,ROUND(IF(OR($C147="W",$C147="1/2W",$C147="1/2L"),$P147-$O147,IF($C147="X",0,-$O147)),2),0)</f>
        <v>0</v>
      </c>
      <c r="AP147" s="198">
        <f>IF($K147=AP$3,ROUND(IF(OR($C147="W",$C147="1/2W",$C147="1/2L"),$P147-$O147,IF($C147="X",0,-$O147)),2),0)</f>
        <v>0</v>
      </c>
      <c r="AQ147" s="198">
        <f>IF($K147=AQ$3,ROUND(IF(OR($C147="W",$C147="1/2W",$C147="1/2L"),$P147-$O147,IF($C147="X",0,-$O147)),2),0)</f>
        <v>0</v>
      </c>
      <c r="AR147" s="199">
        <f>IF($K147=AR$3,ROUND(IF(OR($C147="W",$C147="1/2W",$C147="1/2L"),$P147-$O147,IF($C147="X",0,-$O147)),2),0)</f>
        <v>0</v>
      </c>
      <c r="AS147" s="197">
        <f>IF(AND($B145=" ",$K147=AS$3),$O147,0)</f>
        <v>0</v>
      </c>
      <c r="AT147" s="198">
        <f>IF(AND($B145=" ",K147=AT$3),$O147,0)</f>
        <v>0</v>
      </c>
      <c r="AU147" s="198">
        <f>IF(AND($B145=" ",$K147=AU$3),$O147,0)</f>
        <v>0</v>
      </c>
      <c r="AV147" s="198">
        <f>IF(AND($B145=" ",$K147=AV$3),$O147,0)</f>
        <v>0</v>
      </c>
      <c r="AW147" s="198">
        <f>IF(AND($B145=" ",$K147=AW$3),$O147,0)</f>
        <v>0</v>
      </c>
      <c r="AX147" s="198">
        <f>IF(AND($B145=" ",$K147=AX$3),$O147,0)</f>
        <v>0</v>
      </c>
      <c r="AY147" s="200">
        <f>IF(AND($B145=" ",$K147=AY$3),$O147,0)</f>
        <v>0</v>
      </c>
      <c r="AZ147" s="201">
        <f>IF(AND($B145=" ",$K147=AZ$3),$O147,0)</f>
        <v>0</v>
      </c>
      <c r="BA147" s="201">
        <f>IF(AND($B145=" ",$K147=BA$3),$O147,0)</f>
        <v>0</v>
      </c>
      <c r="BB147" s="201">
        <f>IF(AND($B145=" ",$K147=BB$3),$O147,0)</f>
        <v>0</v>
      </c>
      <c r="BC147" s="202">
        <f>IF(AND($B145=" ",$K147=BC$3),$O147,0)</f>
        <v>0</v>
      </c>
      <c r="BD147" s="198">
        <f>IF(AND($B145=" ",$K147=BD$3),$O147,0)</f>
        <v>0</v>
      </c>
      <c r="BE147" s="199">
        <f>IF(AND($B145=" ",$K147=BE$3),$O147,0)</f>
        <v>0</v>
      </c>
      <c r="BF147" s="197">
        <f>IF($K147=BF$3,IF($C147="X",0,$O147),0)</f>
        <v>0</v>
      </c>
      <c r="BG147" s="198">
        <f>IF($K147=BG$3,IF($C147="X",0,$O147),0)</f>
        <v>0</v>
      </c>
      <c r="BH147" s="198">
        <f>IF($K147=BH$3,IF($C147="X",0,$O147),0)</f>
        <v>0</v>
      </c>
      <c r="BI147" s="198">
        <f>IF($K147=BI$3,IF($C147="X",0,$O147),0)</f>
        <v>0</v>
      </c>
      <c r="BJ147" s="198">
        <f>IF($K147=BJ$3,IF($C147="X",0,$O147),0)</f>
        <v>0</v>
      </c>
      <c r="BK147" s="198">
        <f>IF($K147=BK$3,IF($C147="X",0,$O147),0)</f>
        <v>0</v>
      </c>
      <c r="BL147" s="198">
        <f>IF($K147=BL$3,IF($C147="X",0,$O147),0)</f>
        <v>0</v>
      </c>
      <c r="BM147" s="200">
        <f>IF($K147=BM$3,IF($C147="X",0,$O147),0)</f>
        <v>0</v>
      </c>
      <c r="BN147" s="201">
        <f>IF($K147=BN$3,IF($C147="X",0,$O147),0)</f>
        <v>0</v>
      </c>
      <c r="BO147" s="201">
        <f>IF($K147=BO$3,IF($C147="X",0,$O147),0)</f>
        <v>0</v>
      </c>
      <c r="BP147" s="201">
        <f>IF($K147=BP$3,IF($C147="X",0,$O147),0)</f>
        <v>0</v>
      </c>
      <c r="BQ147" s="202">
        <f>IF($K147=BQ$3,IF($C147="X",0,$O147),0)</f>
        <v>0</v>
      </c>
      <c r="BR147" s="199">
        <f>IF($K147=BR$3,IF($C147="X",0,$O147),0)</f>
        <v>0</v>
      </c>
      <c r="BS147" s="228"/>
      <c r="BT147" s="229"/>
      <c r="BU147" s="140"/>
      <c r="BV147" s="229"/>
      <c r="BW147" s="140"/>
      <c r="BX147" s="140"/>
      <c r="BY147" s="140"/>
      <c r="BZ147" s="229"/>
      <c r="CA147" s="140"/>
      <c r="CB147" s="140"/>
      <c r="CC147" s="140"/>
      <c r="CD147" s="141"/>
      <c r="CE147" s="142"/>
      <c r="CF147" s="230">
        <f>IF(CF$3=$K147,IF($C147="W",1,IF($C147="1/2W",0.5,0)),0)</f>
        <v>0</v>
      </c>
      <c r="CG147" s="231">
        <f>IF(CF$3=$K147,IF($C147="L",1,IF($C147="1/2L",0.5,0)),0)</f>
        <v>0</v>
      </c>
      <c r="CH147" s="231">
        <f>IF(CH$3=$K147,IF($C147="W",1,IF($C147="1/2W",0.5,0)),0)</f>
        <v>0</v>
      </c>
      <c r="CI147" s="231">
        <f>IF(CH$3=$K147,IF($C147="L",1,IF($C147="1/2L",0.5,0)),0)</f>
        <v>0</v>
      </c>
      <c r="CJ147" s="231">
        <f>IF(CJ$3=$K147,IF($C147="W",1,IF($C147="1/2W",0.5,0)),0)</f>
        <v>0</v>
      </c>
      <c r="CK147" s="231">
        <f>IF(CJ$3=$K147,IF($C147="L",1,IF($C147="1/2L",0.5,0)),0)</f>
        <v>0</v>
      </c>
      <c r="CL147" s="231">
        <f>IF(CL$3=$K147,IF($C147="W",1,IF($C147="1/2W",0.5,0)),0)</f>
        <v>0</v>
      </c>
      <c r="CM147" s="231">
        <f>IF(CL$3=$K147,IF($C147="L",1,IF($C147="1/2L",0.5,0)),0)</f>
        <v>0</v>
      </c>
      <c r="CN147" s="231">
        <f>IF(CN$3=$K147,IF($C147="W",1,IF($C147="1/2W",0.5,0)),0)</f>
        <v>0</v>
      </c>
      <c r="CO147" s="231">
        <f>IF(CN$3=$K147,IF($C147="L",1,IF($C147="1/2L",0.5,0)),0)</f>
        <v>0</v>
      </c>
      <c r="CP147" s="231">
        <f>IF(CP$3=$K147,IF($C147="W",1,IF($C147="1/2W",0.5,0)),0)</f>
        <v>0</v>
      </c>
      <c r="CQ147" s="231">
        <f>IF(CP$3=$K147,IF($C147="L",1,IF($C147="1/2L",0.5,0)),0)</f>
        <v>0</v>
      </c>
      <c r="CR147" s="231">
        <f>IF(CR$3=$K147,IF($C147="W",1,IF($C147="1/2W",0.5,0)),0)</f>
        <v>0</v>
      </c>
      <c r="CS147" s="231">
        <f>IF(CR$3=$K147,IF($C147="L",1,IF($C147="1/2L",0.5,0)),0)</f>
        <v>0</v>
      </c>
      <c r="CT147" s="208">
        <f>IF(CT$3=$K147,IF($C147="W",1,IF($C147="1/2W",0.5,0)),0)</f>
        <v>0</v>
      </c>
      <c r="CU147" s="209">
        <f>IF(CT$3=$K147,IF($C147="L",1,IF($C147="1/2L",0.5,0)),0)</f>
        <v>0</v>
      </c>
      <c r="CV147" s="209">
        <f>IF(CV$3=$K147,IF($C147="W",1,IF($C147="1/2W",0.5,0)),0)</f>
        <v>0</v>
      </c>
      <c r="CW147" s="209">
        <f>IF(CV$3=$K147,IF($C147="L",1,IF($C147="1/2L",0.5,0)),0)</f>
        <v>0</v>
      </c>
      <c r="CX147" s="209">
        <f>IF(CX$3=$K147,IF($C147="W",1,IF($C147="1/2W",0.5,0)),0)</f>
        <v>0</v>
      </c>
      <c r="CY147" s="209">
        <f>IF(CX$3=$K147,IF($C147="L",1,IF($C147="1/2L",0.5,0)),0)</f>
        <v>0</v>
      </c>
      <c r="CZ147" s="209">
        <f>IF(CZ$3=$K147,IF($C147="W",1,IF($C147="1/2W",0.5,0)),0)</f>
        <v>0</v>
      </c>
      <c r="DA147" s="209">
        <f>IF(CZ$3=$K147,IF($C147="L",1,IF($C147="1/2L",0.5,0)),0)</f>
        <v>0</v>
      </c>
      <c r="DB147" s="209">
        <f>IF(DB$3=$K147,IF($C147="W",1,IF($C147="1/2W",0.5,0)),0)</f>
        <v>0</v>
      </c>
      <c r="DC147" s="209">
        <f>IF(DB$3=$K147,IF($C147="L",1,IF($C147="1/2L",0.5,0)),0)</f>
        <v>0</v>
      </c>
      <c r="DD147" s="209">
        <f>IF(DD$3=$K147,IF($C147="W",1,IF($C147="1/2W",0.5,0)),0)</f>
        <v>0</v>
      </c>
      <c r="DE147" s="210">
        <f>IF(DD$3=$K147,IF($C147="L",1,IF($C147="1/2L",0.5,0)),0)</f>
        <v>0</v>
      </c>
      <c r="DF147" s="211">
        <f>IF(AND(L147&lt;DF$3,$C147="W"),1+DF146,DF146)</f>
        <v>7</v>
      </c>
      <c r="DG147" s="198">
        <f>IF(DF147&gt;DF146,L147+DG146,DG146)</f>
        <v>9.247999999999999</v>
      </c>
      <c r="DH147" s="209">
        <f>IF(AND(L147&gt;DH$3,$C147="W"),1+DH146,0+DH146)</f>
        <v>2</v>
      </c>
      <c r="DI147" s="198">
        <f>IF(DH147&gt;DH146,L147+DI146,DI146)</f>
        <v>11.58</v>
      </c>
      <c r="DJ147" t="s" s="306">
        <f>IF($D145="","",$D145)</f>
        <v>101</v>
      </c>
      <c r="DK147" s="232"/>
    </row>
    <row r="148" ht="14.55" customHeight="1">
      <c r="A148" s="246">
        <f>$A145+1</f>
        <v>49</v>
      </c>
      <c r="B148" t="s" s="247">
        <v>50</v>
      </c>
      <c r="C148" t="s" s="248">
        <v>51</v>
      </c>
      <c r="D148" t="s" s="303">
        <v>181</v>
      </c>
      <c r="E148" t="s" s="250">
        <v>52</v>
      </c>
      <c r="F148" t="s" s="302">
        <f>IF(G148="","",IF(OR(AND($C148&lt;&gt;" ",$C149=" "),AND($C149&lt;&gt;" ",$C148=" "),AND(L150&gt;0,OR(AND($C150&lt;&gt;" ",OR($C148=" ",$C149=" ")),AND($C150=" ",OR($C148&lt;&gt;" ",$C149&lt;&gt;" "))))),IF(SUM(F$4:F147)=0,1,LARGE(F$4:F147,1)+1),IF(MONTH(G148)=MONTH(TODAY()),IF(AND(DAY(G148)&lt;DAY(TODAY()),$B148=" "),IF(SUM(F$4:F147)=0,1,LARGE(F$4:F147,1)+1),IF($B148=" ",IF(AND(DAY(G148)=DAY(TODAY()),HOUR(G148)&lt;=HOUR(NOW())+1),IF(AND(HOUR(G148)+2&lt;=HOUR(NOW()),DAY(G148)&lt;=DAY(TODAY()),MINUTE(G148)&lt;=MINUTE(NOW())),IF(SUM(F$4:F147)=0,1,LARGE(F$4:F147,1)+1),IF(OR(MINUTE(G148)&lt;=MINUTE(NOW()),HOUR(G148)&lt;=HOUR(NOW())),"!!!","")),""),"")),"")))</f>
      </c>
      <c r="G148" s="252">
        <v>44944.208333333336</v>
      </c>
      <c r="H148" t="s" s="253">
        <v>182</v>
      </c>
      <c r="I148" t="s" s="254">
        <v>65</v>
      </c>
      <c r="J148" s="255">
        <v>22.5</v>
      </c>
      <c r="K148" t="s" s="256">
        <v>40</v>
      </c>
      <c r="L148" s="257">
        <v>2.05</v>
      </c>
      <c r="M148" s="258">
        <v>5.57</v>
      </c>
      <c r="N148" s="259">
        <v>0</v>
      </c>
      <c r="O148" s="260">
        <f>IF(OR(AE148="",AE149=""),"",ROUND(IF(L150&gt;0,IF(M148&gt;0,M148,IF(M149&gt;0,ROUND((M149*AE148)/AE149,IF(N148=0,2,IF(N148=0.1,1,0))),ROUND((M150*AE148)/AE150,IF(N148=0,2,IF(N148=0.1,1,0))))),IF(M148&gt;0,M148,ROUND((M149*AE148)/AE149,IF(N148=0,2,IF(N148=0.1,1,0))))),2))</f>
        <v>5.57</v>
      </c>
      <c r="P148" s="261">
        <f>IF(OR(L148="",O148=""),"",IF($C148="1/2W",O148/2+O148/2*L148,IF($C148="1/2L",O148/2,IF(I148="Lay",(O148*(L148/(L148-1))-O148)*(1-_xlfn.XLOOKUP(K148,'Janeiro 2023 - Valor Real'!A3:A15,'Janeiro 2023 - Valor Real'!C3:C15,0))+O148,(O148*L148-O148)*(1-_xlfn.XLOOKUP(K148,'Janeiro 2023 - Valor Real'!A3:A15,'Janeiro 2023 - Valor Real'!C3:C15,0))+O148))))</f>
        <v>11.4185</v>
      </c>
      <c r="Q148" s="262">
        <v>1</v>
      </c>
      <c r="R148" s="263">
        <v>0</v>
      </c>
      <c r="S148" s="264">
        <f>IF($B148="Anulado",0,ROUND(IF(OR($B148="LOSS",$B148="OK"),IF(OR($C148="W",$C148="1/2W",$C148="1/2L"),P148-O148,IF($C148="L",-O148,0))+IF(OR($C149="W",$C149="1/2W",$C149="1/2L"),P149-O149,IF($C149="L",-O149,0))+IF(OR($C150="W",$C150="1/2W",$C150="1/2L"),P150-O150,IF($C150="L",-O150,0)),IF(AND(OR($C148="W",$C148="1/2W",$C148="1/2L"),C149="W"),P148+P149-SUM(O148:O150)+_xlfn.XLOOKUP("X",C148:C150,O148:O150,0),IF(AND(C148=TRUE,C150="W"),P148+P150-SUM(O148:O150),IF(AND(C149="W",C150="W"),P149+P150-SUM(O148:O150)+_xlfn.XLOOKUP("X",C148:C150,O148:O150,0),IF(L150&gt;0,IF(OR($C148="W",$C148="1/2W",$C148="1/2L"),P148-SUM(O148:O150)+_xlfn.XLOOKUP("X",C148:C150,O148:O150,0),IF(OR($C148="W",$C148="1/2W",$C148="1/2L"),P149-SUM(O148:O150)+_xlfn.XLOOKUP("X",C148:C150,O148:O150,0),IF(OR($C148="W",$C148="1/2W",$C148="1/2L"),P150-SUM(O148:O150)+_xlfn.XLOOKUP("X",C148:C150,O148:O150,0),IF(SUM(P148:P150)/3-SUM(O148:O150)+_xlfn.XLOOKUP("X",C148:C150,O148:O150,0)&gt;0,SUM(P148:P150)/3-SUM(O148:O150)+_xlfn.XLOOKUP("X",C148:C150,O148:O150,0),LARGE(P148:P150,1)-SUM(O148:O150))))),IF(OR($C148="W",$C148="1/2W",$C148="1/2L"),P148-SUM(O148:O149)+_xlfn.XLOOKUP("X",C148:C150,O148:O150,0),IF(OR($C148="W",$C148="1/2W",$C148="1/2L"),P149-SUM(O148:O149)+_xlfn.XLOOKUP("X",C148:C150,O148:O150,0),SUM(P148:P149)/2-SUM(O148:O149)+_xlfn.XLOOKUP("X",C148:C150,O148:O150,0)))))))),2))</f>
        <v>0.98</v>
      </c>
      <c r="T148" s="265">
        <f>IF(S148=0,0,S148/SUM(O148:O150))</f>
        <v>0.0940499040307102</v>
      </c>
      <c r="U148" s="266">
        <f>IF($D148=$D145,IF(OR($B148="LOSS",$B148="OK",$B148="Anulada"),S148,0)+U145,IF(OR($B148="LOSS",$B148="OK",$B148="Anulada"),S148,0))</f>
        <v>0.98</v>
      </c>
      <c r="V148" s="266">
        <f>IF($D148="",0,IF($D148=$D145,IF($B148=" ",IF(I150="",IF(OR(AND(I148="DNB1",I149="DNB2"),AND(OR(I148="DNB1",I148="DNB2"),J149=0),AND(OR(I149="DNB1",I149="DNB2"),J148=0),AND(I148="DNB2",I149="DNB1"),AND(IF(J148=0,(J148+1)/ROUND(J148+1,0),J148/ROUND(J148,0))=1,IF(J149=0,(J149+1)/ROUND(IF(J149="",0,J149)+1,0),IF(J149="",0,J149)/ROUND(IF(J149="",1,J149),0))=1,OR(J148&lt;&gt;""),J149&lt;&gt;"")),0,IF(S148&lt;0,IF(I150="",SMALL(P148:P149,1)-SUM(O148:O149),0),SMALL(P148:P149,1)-SUM(O148:O149))),IF(S148&lt;0,IF(I150="",SMALL(P148:P150,1)-SUM(O148:O150),0),LARGE(P148:P150,1)-SUM(O148:O150))),S148)+V145,IF(I150="",IF(OR(AND(I148="DNB1",I149="DNB2"),AND(OR(I148="DNB1",I148="DNB2"),J149=0),AND(OR(I149="DNB1",I149="DNB2"),J148=0),AND(I148="DNB2",I149="DNB1"),AND(IF(J148=0,(J148+1)/ROUND(J148+1,0),J148/ROUND(J148,0))=1,IF(J149=0,(IF(J149="",0,J149)+1)/ROUND(IF(J149="",0,J149)+1,0),IF(J149="",0,J149)/ROUND(IF(J149="",0,J149)+1,0))=1,OR(J148&lt;&gt;""),J149&lt;&gt;"")),0,IF(S148&lt;0,IF(I150="",SMALL(P148:P149,1)-SUM(O148:O149),0),SMALL(P148:P150,1)-SUM(O148:O150))),IF(S148&lt;0,IF(I150="",SMALL(P148:P150,1)-SUM(O148:O150),0),LARGE(P148:P150,1)-SUM(O148:O150)))))</f>
        <v>0.9775</v>
      </c>
      <c r="W148" s="266">
        <f>IF($D148=$D145,IF(S148&lt;0,IF(I150="",S148,0),S148)+W145,S148)</f>
        <v>0.98</v>
      </c>
      <c r="X148" t="s" s="267">
        <f>IF(OR(SUM(R148:R150)=0,V148=W148),ROUND(IF(W148=0,0,W148/Y148)*100,2)&amp;"%",ROUND(IF(V148=0,0,V148/Y148)*100,2)&amp;"% a "&amp;ROUND(IF(W148=0,0,W148/Y148)*100,2)&amp;"%")</f>
        <v>183</v>
      </c>
      <c r="Y148" s="268">
        <f>IF($D148=$D145,Y145+SUM(O148:O150),SUM(O148:O150))</f>
        <v>10.42</v>
      </c>
      <c r="Z148" s="266">
        <f>IF($B148=" ",SUM(O148:O150),0)+Z145</f>
        <v>0</v>
      </c>
      <c r="AA148" s="266">
        <f>IF(G148="","",IF($B148="Anulado",LARGE(P148:P150,1)-SUM(O148:O150)+AA145,AA145))</f>
        <v>14.1564</v>
      </c>
      <c r="AB148" s="266">
        <f>IF($D148="","",AB145+S148)</f>
        <v>126.09</v>
      </c>
      <c r="AC148" s="269">
        <f>IF($D148="","",IF($B148=" ",IF(DAY(G148)=DAY(TODAY()),1+AC145,0+AC145),0+AC145))</f>
        <v>0</v>
      </c>
      <c r="AD148" s="270">
        <f>(1-_xlfn.XLOOKUP(K146,'Janeiro 2023 - Valor Real'!A3:A15,'Janeiro 2023 - Valor Real'!C3:C15,0))+1</f>
        <v>2</v>
      </c>
      <c r="AE148" s="271">
        <f>IF(L148="","",IF(L150&gt;0,(SUM(((L148-1)*(1-_xlfn.XLOOKUP(K148,'Janeiro 2023 - Valor Real'!A3:A15,'Janeiro 2023 - Valor Real'!C3:C15,0))+1),((L149-1)*(1-_xlfn.XLOOKUP(K149,'Janeiro 2023 - Valor Real'!A3:A15,'Janeiro 2023 - Valor Real'!C3:C15,0))+1),((L150-1)*(1-_xlfn.XLOOKUP(K150,'Janeiro 2023 - Valor Real'!A3:A15,'Janeiro 2023 - Valor Real'!C3:C15,0))+1))/((L148-1)*(1-_xlfn.XLOOKUP(K148,'Janeiro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Real'!C3:C15,0))+1))/((L148-1)*(1-_xlfn.XLOOKUP(K148,'Janeiro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Real'!C3:C15,0))+1))/((L149-1)*(1-_xlfn.XLOOKUP(K149,'Janeiro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Real'!C3:C15,0))+1))/((L150-1)*(1-_xlfn.XLOOKUP(K150,'Janeiro 2023 - Valor Real'!A3:A15,'Janeiro 2023 - Valor Real'!C3:C15,0))+1)),IF(I148="Lay",IF(I149="Lay",((L149/(L149-1)-1)*(1-_xlfn.XLOOKUP(K149,'Janeiro 2023 - Valor Real'!A3:A15,'Janeiro 2023 - Valor Real'!C3:C15,0))+1)/(((L149/(L149-1)-1)*(1-_xlfn.XLOOKUP(K149,'Janeiro 2023 - Valor Real'!A3:A15,'Janeiro 2023 - Valor Real'!C3:C15,0))+1)+((L148/(L148-1)-1)*(1-_xlfn.XLOOKUP(K148,'Janeiro 2023 - Valor Real'!A3:A15,'Janeiro 2023 - Valor Real'!C3:C15,0))+1)),((L149-1)*(1-_xlfn.XLOOKUP(K149,'Janeiro 2023 - Valor Real'!A3:A15,'Janeiro 2023 - Valor Real'!C3:C15,0))+1)/(((L149-1)*(1-_xlfn.XLOOKUP(K149,'Janeiro 2023 - Valor Real'!A3:A15,'Janeiro 2023 - Valor Real'!C3:C15,0))+1)+((L148/(L148-1)-1)*(1-_xlfn.XLOOKUP(K148,'Janeiro 2023 - Valor Real'!A3:A15,'Janeiro 2023 - Valor Real'!C3:C15,0))+1))),IF(I149="Lay",(((L149/(L149-1)-1)*(1-_xlfn.XLOOKUP(K149,'Janeiro 2023 - Valor Real'!A3:A15,'Janeiro 2023 - Valor Real'!C3:C15,0))+1))/(((L148-1)*(1-_xlfn.XLOOKUP(K148,'Janeiro 2023 - Valor Real'!A3:A15,'Janeiro 2023 - Valor Real'!C3:C15,0))+1)+((L149/(L149-1)-1)*(1-_xlfn.XLOOKUP(K149,'Janeiro 2023 - Valor Real'!A3:A15,'Janeiro 2023 - Valor Real'!C3:C15,0))+1)),((L149-1)*(1-_xlfn.XLOOKUP(K149,'Janeiro 2023 - Valor Real'!A3:A15,'Janeiro 2023 - Valor Real'!C3:C15,0))+1)/(((L149-1)*(1-_xlfn.XLOOKUP(K149,'Janeiro 2023 - Valor Real'!A3:A15,'Janeiro 2023 - Valor Real'!C3:C15,0))+1)+((L148-1)*(1-_xlfn.XLOOKUP(K148,'Janeiro 2023 - Valor Real'!A3:A15,'Janeiro 2023 - Valor Real'!C3:C15,0))+1))))))</f>
        <v>0.5340909090909089</v>
      </c>
      <c r="AF148" s="132">
        <f>IF($K148=AF$3,ROUND(IF(OR($C148="W",$C148="1/2W",$C148="1/2L"),$P148-$O148,IF($C148="X",0,-$O148)),2),0)</f>
        <v>0</v>
      </c>
      <c r="AG148" s="133">
        <f>IF($K148=AG$3,ROUND(IF(OR($C148="W",$C148="1/2W",$C148="1/2L"),$P148-$O148,IF($C148="X",0,-$O148)),2),0)</f>
        <v>0</v>
      </c>
      <c r="AH148" s="133">
        <f>IF($K148=AH$3,ROUND(IF(OR($C148="W",$C148="1/2W",$C148="1/2L"),$P148-$O148,IF($C148="X",0,-$O148)),2),0)</f>
        <v>0</v>
      </c>
      <c r="AI148" s="133">
        <f>IF($K148=AI$3,ROUND(IF(OR($C148="W",$C148="1/2W",$C148="1/2L"),$P148-$O148,IF($C148="X",0,-$O148)),2),0)</f>
        <v>-5.57</v>
      </c>
      <c r="AJ148" s="133">
        <f>IF($K148=AJ$3,ROUND(IF(OR($C148="W",$C148="1/2W",$C148="1/2L"),$P148-$O148,IF($C148="X",0,-$O148)),2),0)</f>
        <v>0</v>
      </c>
      <c r="AK148" s="133">
        <f>IF($K148=AK$3,ROUND(IF(OR($C148="W",$C148="1/2W",$C148="1/2L"),$P148-$O148,IF($C148="X",0,-$O148)),2),0)</f>
        <v>0</v>
      </c>
      <c r="AL148" s="133">
        <f>IF($K148=AL$3,ROUND(IF(OR($C148="W",$C148="1/2W",$C148="1/2L"),$P148-$O148,IF($C148="X",0,-$O148)),2),0)</f>
        <v>0</v>
      </c>
      <c r="AM148" s="133">
        <f>IF($K148=AM$3,ROUND(IF(OR($C148="W",$C148="1/2W",$C148="1/2L"),$P148-$O148,IF($C148="X",0,-$O148)),2),0)</f>
        <v>0</v>
      </c>
      <c r="AN148" s="133">
        <f>IF($K148=AN$3,ROUND(IF(OR($C148="W",$C148="1/2W",$C148="1/2L"),$P148-$O148,IF($C148="X",0,-$O148)),2),0)</f>
        <v>0</v>
      </c>
      <c r="AO148" s="133">
        <f>IF($K148=AO$3,ROUND(IF(OR($C148="W",$C148="1/2W",$C148="1/2L"),$P148-$O148,IF($C148="X",0,-$O148)),2),0)</f>
        <v>0</v>
      </c>
      <c r="AP148" s="133">
        <f>IF($K148=AP$3,ROUND(IF(OR($C148="W",$C148="1/2W",$C148="1/2L"),$P148-$O148,IF($C148="X",0,-$O148)),2),0)</f>
        <v>0</v>
      </c>
      <c r="AQ148" s="133">
        <f>IF($K148=AQ$3,ROUND(IF(OR($C148="W",$C148="1/2W",$C148="1/2L"),$P148-$O148,IF($C148="X",0,-$O148)),2),0)</f>
        <v>0</v>
      </c>
      <c r="AR148" s="134">
        <f>IF($K148=AR$3,ROUND(IF(OR($C148="W",$C148="1/2W",$C148="1/2L"),$P148-$O148,IF($C148="X",0,-$O148)),2),0)</f>
        <v>0</v>
      </c>
      <c r="AS148" s="132">
        <f>IF(AND($B148=" ",$K148=AS$3),$O148,0)</f>
        <v>0</v>
      </c>
      <c r="AT148" s="133">
        <f>IF(AND($B148=" ",$K148=AT$3),$O148,0)</f>
        <v>0</v>
      </c>
      <c r="AU148" s="133">
        <f>IF(AND($B148=" ",$K148=AU$3),$O148,0)</f>
        <v>0</v>
      </c>
      <c r="AV148" s="133">
        <f>IF(AND($B148=" ",$K148=AV$3),$O148,0)</f>
        <v>0</v>
      </c>
      <c r="AW148" s="133">
        <f>IF(AND($B148=" ",$K148=AW$3),$O148,0)</f>
        <v>0</v>
      </c>
      <c r="AX148" s="133">
        <f>IF(AND($B148=" ",$K148=AX$3),$O148,0)</f>
        <v>0</v>
      </c>
      <c r="AY148" s="135">
        <f>IF(AND($B148=" ",$K148=AY$3),$O148,0)</f>
        <v>0</v>
      </c>
      <c r="AZ148" s="136">
        <f>IF(AND($B148=" ",$K148=AZ$3),$O148,0)</f>
        <v>0</v>
      </c>
      <c r="BA148" s="136">
        <f>IF(AND($B148=" ",$K148=BA$3),$O148,0)</f>
        <v>0</v>
      </c>
      <c r="BB148" s="136">
        <f>IF(AND($B148=" ",$K148=BB$3),$O148,0)</f>
        <v>0</v>
      </c>
      <c r="BC148" s="137">
        <f>IF(AND($B148=" ",$K148=BC$3),$O148,0)</f>
        <v>0</v>
      </c>
      <c r="BD148" s="133">
        <f>IF(AND($B148=" ",$K148=BD$3),$O148,0)</f>
        <v>0</v>
      </c>
      <c r="BE148" s="134">
        <f>IF(AND($B148=" ",$K148=BE$3),$O148,0)</f>
        <v>0</v>
      </c>
      <c r="BF148" s="132">
        <f>IF($K148=BF$3,IF($C148="X",0,$O148),0)</f>
        <v>0</v>
      </c>
      <c r="BG148" s="133">
        <f>IF($K148=BG$3,IF($C148="X",0,$O148),0)</f>
        <v>0</v>
      </c>
      <c r="BH148" s="133">
        <f>IF($K148=BH$3,IF($C148="X",0,$O148),0)</f>
        <v>0</v>
      </c>
      <c r="BI148" s="133">
        <f>IF($K148=BI$3,IF($C148="X",0,$O148),0)</f>
        <v>5.57</v>
      </c>
      <c r="BJ148" s="133">
        <f>IF($K148=BJ$3,IF($C148="X",0,$O148),0)</f>
        <v>0</v>
      </c>
      <c r="BK148" s="133">
        <f>IF($K148=BK$3,IF($C148="X",0,$O148),0)</f>
        <v>0</v>
      </c>
      <c r="BL148" s="133">
        <f>IF($K148=BL$3,IF($C148="X",0,$O148),0)</f>
        <v>0</v>
      </c>
      <c r="BM148" s="135">
        <f>IF($K148=BM$3,IF($C148="X",0,$O148),0)</f>
        <v>0</v>
      </c>
      <c r="BN148" s="136">
        <f>IF($K148=BN$3,IF($C148="X",0,$O148),0)</f>
        <v>0</v>
      </c>
      <c r="BO148" s="136">
        <f>IF($K148=BO$3,IF($C148="X",0,$O148),0)</f>
        <v>0</v>
      </c>
      <c r="BP148" s="136">
        <f>IF($K148=BP$3,IF($C148="X",0,$O148),0)</f>
        <v>0</v>
      </c>
      <c r="BQ148" s="137">
        <f>IF($K148=BQ$3,IF($C148="X",0,$O148),0)</f>
        <v>0</v>
      </c>
      <c r="BR148" s="134">
        <f>IF($K148=BR$3,IF($C148="X",0,$O148),0)</f>
        <v>0</v>
      </c>
      <c r="BS148" s="170">
        <f>IF($B148="LOSS",IF(AND($K148=BS$3,$C148="L"),-$O148,0)+IF(AND($K149=BS$3,$C149="L"),-$O149,0)+IF(AND($K150=BS$3,$C150="L"),-$O150,0),IF(OR(AND($K148=BS$3,OR($C148="W",$C148="1/2W")),AND($K149=BS$3,OR($C149="W",$C149="1/2W")),AND($K150=BS$3,OR($C150="W",$C150="1/2W"))),$S148,0))</f>
        <v>0</v>
      </c>
      <c r="BT148" s="272">
        <f>IF($B148="LOSS",IF(AND($K148=BT$3,$C148="L"),-$O148,0)+IF(AND($K149=BT$3,$C149="L"),-$O149,0)+IF(AND($K149=BT$3,$C150="L"),-$O150,0),IF(OR(AND($K149=BT$3,OR($C148="W",$C148="1/2W")),AND($K149=BT$3,OR($C149="W",$C149="1/2W")),AND($K149=BT$3,OR($C150="W",$C150="1/2W"))),$S148,0))</f>
        <v>0</v>
      </c>
      <c r="BU148" s="136">
        <f>IF($B148="LOSS",IF(AND($K148=BU$3,$C148="L"),-$O148,0)+IF(AND($K149=BU$3,$C149="L"),-$O149,0)+IF(AND($K149=BU$3,$C150="L"),-$O150,0),IF(OR(AND($K149=BU$3,OR($C148="W",$C148="1/2W")),AND($K149=BU$3,OR($C149="W",$C149="1/2W")),AND($K149=BU$3,OR($C150="W",$C150="1/2W"))),$S148,0))</f>
        <v>0</v>
      </c>
      <c r="BV148" s="136">
        <f>IF($B148="LOSS",IF(AND($K148=BV$3,$C148="L"),-$O148,0)+IF(AND($K149=BV$3,$C149="L"),-$O149,0)+IF(AND($K150=BV$3,$C150="L"),-$O150,0),IF(OR(AND($K148=BV$3,OR($C148="W",$C148="1/2W")),AND($K149=BV$3,OR($C149="W",$C149="1/2W")),AND($K150=BV$3,OR($C150="W",$C150="1/2W"))),$S148,0))</f>
        <v>0</v>
      </c>
      <c r="BW148" s="136">
        <f>IF($B148="LOSS",IF(AND($K148=BW$3,$C148="L"),-$O148,0)+IF(AND($K149=BW$3,$C149="L"),-$O149,0)+IF(AND($K150=BW$3,$C150="L"),-$O150,0),IF(OR(AND($K148=BW$3,OR($C148="W",$C148="1/2W")),AND($K149=BW$3,OR($C149="W",$C149="1/2W")),AND($K150=BW$3,OR($C150="W",$C150="1/2W"))),$S148,0))</f>
        <v>0.98</v>
      </c>
      <c r="BX148" s="136">
        <f>IF($B148="LOSS",IF(AND($K148=BX$3,$C148="L"),-$O148,0)+IF(AND($K149=BX$3,$C149="L"),-$O149,0)+IF(AND($K150=BX$3,$C150="L"),-$O150,0),IF(OR(AND($K148=BX$3,OR($C148="W",$C148="1/2W")),AND($K149=BX$3,OR($C149="W",$C149="1/2W")),AND($K150=BX$3,OR($C150="W",$C150="1/2W"))),$S148,0))</f>
        <v>0</v>
      </c>
      <c r="BY148" s="136">
        <f>IF($B148="LOSS",IF(AND($K148=BY$3,$C148="L"),-$O148,0)+IF(AND($K149=BY$3,$C149="L"),-$O149,0)+IF(AND($K150=BY$3,$C150="L"),-$O150,0),IF(OR(AND($K148=BY$3,OR($C148="W",$C148="1/2W")),AND($K149=BY$3,OR($C149="W",$C149="1/2W")),AND($K150=BY$3,OR($C150="W",$C150="1/2W"))),$S148,0))</f>
        <v>0</v>
      </c>
      <c r="BZ148" s="136">
        <f>IF($B148="LOSS",IF(AND($K148=BZ$3,$C148="L"),-$O148,0)+IF(AND($K149=BZ$3,$C149="L"),-$O149,0)+IF(AND($K150=BZ$3,$C150="L"),-$O150,0),IF(OR(AND($K148=BZ$3,OR($C148="W",$C148="1/2W")),AND($K149=BZ$3,OR($C149="W",$C149="1/2W")),AND($K150=BZ$3,OR($C150="W",$C150="1/2W"))),$S148,0))</f>
        <v>0</v>
      </c>
      <c r="CA148" s="136">
        <f>IF($B148="LOSS",IF(AND($K148=CA$3,$C148="L"),-$O148,0)+IF(AND($K149=CA$3,$C149="L"),-$O149,0)+IF(AND($K150=CA$3,$C150="L"),-$O150,0),IF(OR(AND($K148=CA$3,OR($C148="W",$C148="1/2W")),AND($K149=CA$3,OR($C149="W",$C149="1/2W")),AND($K150=CA$3,OR($C150="W",$C150="1/2W"))),$S148,0))</f>
        <v>0</v>
      </c>
      <c r="CB148" s="136">
        <f>IF($B148="LOSS",IF(AND($K148=CB$3,$C148="L"),-$O148,0)+IF(AND($K149=CB$3,$C149="L"),-$O149,0)+IF(AND($K150=CB$3,$C150="L"),-$O150,0),IF(OR(AND($K148=CB$3,OR($C148="W",$C148="1/2W")),AND($K149=CB$3,OR($C149="W",$C149="1/2W")),AND($K150=CB$3,OR($C150="W",$C150="1/2W"))),$S148,0))</f>
        <v>0</v>
      </c>
      <c r="CC148" s="136">
        <f>IF($B148="LOSS",IF(AND($K148=CC$3,$C148="L"),-$O148,0)+IF(AND($K149=CC$3,$C149="L"),-$O149,0)+IF(AND($K150=CC$3,$C150="L"),-$O150,0),IF(OR(AND($K148=CC$3,OR($C148="W",$C148="1/2W")),AND($K149=CC$3,OR($C149="W",$C149="1/2W")),AND($K150=CC$3,OR($C150="W",$C150="1/2W"))),$S148,0))</f>
        <v>0</v>
      </c>
      <c r="CD148" s="137">
        <f>IF($B148="LOSS",IF(AND($K148=CD$3,$C148="L"),-$O148,0)+IF(AND($K149=CD$3,$C149="L"),-$O149,0)+IF(AND($K150=CD$3,$C150="L"),-$O150,0),IF(OR(AND($K148=CD$3,OR($C148="W",$C148="1/2W")),AND($K149=CD$3,OR($C149="W",$C149="1/2W")),AND($K150=CD$3,OR($C150="W",$C150="1/2W"))),$S148,0))</f>
        <v>0</v>
      </c>
      <c r="CE148" s="134">
        <f>IF($B148="LOSS",IF(AND($K148=CE$3,$C148="L"),-$O148,0)+IF(AND($K149=CE$3,$C149="L"),-$O149,0)+IF(AND($K150=CE$3,$C150="L"),-$O150,0),IF(OR(AND($K148=CE$3,OR($C148="W",$C148="1/2W")),AND($K149=CE$3,OR($C149="W",$C149="1/2W")),AND($K150=CE$3,OR($C150="W",$C150="1/2W"))),$S148,0))</f>
        <v>0</v>
      </c>
      <c r="CF148" s="273">
        <f>IF(CF$3=$K148,IF($C148="W",1,IF($C148="1/2W",0.5,0)),0)</f>
        <v>0</v>
      </c>
      <c r="CG148" s="274">
        <f>IF(CF$3=$K148,IF($C148="L",1,IF($C148="1/2L",0.5,0)),0)</f>
        <v>0</v>
      </c>
      <c r="CH148" s="274">
        <f>IF(CH$3=$K148,IF($C148="W",1,IF($C148="1/2W",0.5,0)),0)</f>
        <v>0</v>
      </c>
      <c r="CI148" s="274">
        <f>IF(CH$3=$K148,IF($C148="L",1,IF($C148="1/2L",0.5,0)),0)</f>
        <v>0</v>
      </c>
      <c r="CJ148" s="274">
        <f>IF(CJ$3=$K148,IF($C148="W",1,IF($C148="1/2W",0.5,0)),0)</f>
        <v>0</v>
      </c>
      <c r="CK148" s="274">
        <f>IF(CJ$3=$K148,IF($C148="L",1,IF($C148="1/2L",0.5,0)),0)</f>
        <v>0</v>
      </c>
      <c r="CL148" s="274">
        <f>IF(CL$3=$K148,IF($C148="W",1,IF($C148="1/2W",0.5,0)),0)</f>
        <v>0</v>
      </c>
      <c r="CM148" s="274">
        <f>IF(CL$3=$K148,IF($C148="L",1,IF($C148="1/2L",0.5,0)),0)</f>
        <v>1</v>
      </c>
      <c r="CN148" s="274">
        <f>IF(CN$3=$K148,IF($C148="W",1,IF($C148="1/2W",0.5,0)),0)</f>
        <v>0</v>
      </c>
      <c r="CO148" s="274">
        <f>IF(CN$3=$K148,IF($C148="L",1,IF($C148="1/2L",0.5,0)),0)</f>
        <v>0</v>
      </c>
      <c r="CP148" s="274">
        <f>IF(CP$3=$K148,IF($C148="W",1,IF($C148="1/2W",0.5,0)),0)</f>
        <v>0</v>
      </c>
      <c r="CQ148" s="274">
        <f>IF(CP$3=$K148,IF($C148="L",1,IF($C148="1/2L",0.5,0)),0)</f>
        <v>0</v>
      </c>
      <c r="CR148" s="274">
        <f>IF(CR$3=$K148,IF($C148="W",1,IF($C148="1/2W",0.5,0)),0)</f>
        <v>0</v>
      </c>
      <c r="CS148" s="274">
        <f>IF(CR$3=$K148,IF($C148="L",1,IF($C148="1/2L",0.5,0)),0)</f>
        <v>0</v>
      </c>
      <c r="CT148" s="145">
        <f>IF(CT$3=$K148,IF($C148="W",1,IF($C148="1/2W",0.5,0)),0)</f>
        <v>0</v>
      </c>
      <c r="CU148" s="146">
        <f>IF(CT$3=$K148,IF($C148="L",1,IF($C148="1/2L",0.5,0)),0)</f>
        <v>0</v>
      </c>
      <c r="CV148" s="146">
        <f>IF(CV$3=$K148,IF($C148="W",1,IF($C148="1/2W",0.5,0)),0)</f>
        <v>0</v>
      </c>
      <c r="CW148" s="146">
        <f>IF(CV$3=$K148,IF($C148="L",1,IF($C148="1/2L",0.5,0)),0)</f>
        <v>0</v>
      </c>
      <c r="CX148" s="146">
        <f>IF(CX$3=$K148,IF($C148="W",1,IF($C148="1/2W",0.5,0)),0)</f>
        <v>0</v>
      </c>
      <c r="CY148" s="146">
        <f>IF(CX$3=$K148,IF($C148="L",1,IF($C148="1/2L",0.5,0)),0)</f>
        <v>0</v>
      </c>
      <c r="CZ148" s="146">
        <f>IF(CZ$3=$K148,IF($C148="W",1,IF($C148="1/2W",0.5,0)),0)</f>
        <v>0</v>
      </c>
      <c r="DA148" s="146">
        <f>IF(CZ$3=$K148,IF($C148="L",1,IF($C148="1/2L",0.5,0)),0)</f>
        <v>0</v>
      </c>
      <c r="DB148" s="146">
        <f>IF(DB$3=$K148,IF($C148="W",1,IF($C148="1/2W",0.5,0)),0)</f>
        <v>0</v>
      </c>
      <c r="DC148" s="146">
        <f>IF(DB$3=$K148,IF($C148="L",1,IF($C148="1/2L",0.5,0)),0)</f>
        <v>0</v>
      </c>
      <c r="DD148" s="146">
        <f>IF(DD$3=$K148,IF($C148="W",1,IF($C148="1/2W",0.5,0)),0)</f>
        <v>0</v>
      </c>
      <c r="DE148" s="147">
        <f>IF(DD$3=$K148,IF($C148="L",1,IF($C148="1/2L",0.5,0)),0)</f>
        <v>0</v>
      </c>
      <c r="DF148" s="143">
        <f>IF(AND(L148&lt;DF$3,$C148="W"),1+DF147,DF147)</f>
        <v>7</v>
      </c>
      <c r="DG148" s="133">
        <f>IF(DF148&gt;DF147,L148+DG147,DG147)</f>
        <v>9.247999999999999</v>
      </c>
      <c r="DH148" s="146">
        <f>IF(AND(L148&gt;DH$3,$C148="W"),1+DH147,0+DH147)</f>
        <v>2</v>
      </c>
      <c r="DI148" s="133">
        <f>IF(DH148&gt;DH147,L148+DI147,DI147)</f>
        <v>11.58</v>
      </c>
      <c r="DJ148" t="s" s="304">
        <f>IF($D148="","",$D148)</f>
        <v>184</v>
      </c>
      <c r="DK148" s="146">
        <f>IF(AND($B148=" ",$D148&lt;&gt;""),1,0)</f>
        <v>0</v>
      </c>
    </row>
    <row r="149" ht="14.55" customHeight="1">
      <c r="A149" s="107"/>
      <c r="B149" s="108"/>
      <c r="C149" t="s" s="109">
        <v>56</v>
      </c>
      <c r="D149" s="110"/>
      <c r="E149" s="111"/>
      <c r="F149" s="113"/>
      <c r="G149" s="252"/>
      <c r="H149" s="114"/>
      <c r="I149" t="s" s="275">
        <v>67</v>
      </c>
      <c r="J149" s="276">
        <f>IF(OR(I148="TO",I148="TU",I148="TO1",I148="TU1",I148="TO2",I148="TU2"),J148,IF(OR(I148="AH1",I148="AH2"),IF(OR(I149="AH1",I149="AH2"),-J148,IF(OR(I149="EH1",I149="EH2"),-J148+0.5,"")),IF(OR(I148="EH1",I148="EH2"),IF(OR(I149="AH1",I149="AH2"),-J148+0.5,IF(OR(I149="EH1",I149="EH2"),-J148+1,"")),IF(AND(OR(I148="DNB1",I148="DNB2"),OR(I149="AH1",I149="AH2")),0,IF(AND(I148="Not ScoreBoth",OR(I149="TO1",I149="TO2")),0.5,"")))))</f>
        <v>22.5</v>
      </c>
      <c r="K149" t="s" s="117">
        <v>41</v>
      </c>
      <c r="L149" s="277">
        <v>2.35</v>
      </c>
      <c r="M149" s="278">
        <v>4.85</v>
      </c>
      <c r="N149" s="120"/>
      <c r="O149" s="121">
        <f>IF(OR(AE148="",AE149=""),"",ROUND(IF(L150&gt;0,IF(M149&gt;0,M149,IF(M148&gt;0,IF(N148=TRUE,ROUND((M148*AE149)/AE148,0),(M148*AE149)/AE148),IF(M149&gt;0,ROUND(M149,IF(N148=0,2,IF(N148=0.1,1,0))),IF(M150&gt;0,ROUND(O150*AE149/AE150,IF(N148=0,2,IF(N148=0.1,1,0))),0)))),IF(M149&gt;0,M149,ROUND((M148*AE149)/AE148,IF(N148=0,2,IF(N148=0.1,1,0))))),2))</f>
        <v>4.85</v>
      </c>
      <c r="P149" s="122">
        <f>IF(OR(L149="",O149=""),"",IF($C149="1/2W",O149/2+O149/2*L149,IF($C149="1/2L",O149/2,IF(I149="Lay",((O149*(L149/(L149-1)))-O149)*(1-_xlfn.XLOOKUP(K149,'Janeiro 2023 - Valor Real'!A3:A15,'Janeiro 2023 - Valor Real'!C3:C15,0))+O149,(O149*L149-O149)*(1-_xlfn.XLOOKUP(K149,'Janeiro 2023 - Valor Real'!A3:A15,'Janeiro 2023 - Valor Real'!C3:C15,0))+O149))))</f>
        <v>11.3975</v>
      </c>
      <c r="Q149" s="279">
        <v>1</v>
      </c>
      <c r="R149" s="280">
        <v>0</v>
      </c>
      <c r="S149" s="125"/>
      <c r="T149" s="126"/>
      <c r="U149" s="126"/>
      <c r="V149" s="224"/>
      <c r="W149" s="126"/>
      <c r="X149" s="127"/>
      <c r="Y149" s="128"/>
      <c r="Z149" s="129"/>
      <c r="AA149" s="129"/>
      <c r="AB149" s="129"/>
      <c r="AC149" s="129"/>
      <c r="AD149" s="130"/>
      <c r="AE149" s="131">
        <f>IF(L149="","",IF(L150&gt;0,(SUM(((L148-1)*(1-_xlfn.XLOOKUP(K148,'Janeiro 2023 - Valor Real'!A3:A15,'Janeiro 2023 - Valor Real'!C3:C15,0))+1),((L149-1)*(1-_xlfn.XLOOKUP(K149,'Janeiro 2023 - Valor Real'!A3:A15,'Janeiro 2023 - Valor Real'!C3:C15,0))+1),((L150-1)*(1-_xlfn.XLOOKUP(K150,'Janeiro 2023 - Valor Real'!A3:A15,'Janeiro 2023 - Valor Real'!C3:C15,0))+1))/((L149-1)*(1-_xlfn.XLOOKUP(K149,'Janeiro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Real'!C3:C15,0))+1))/((L148-1)*(1-_xlfn.XLOOKUP(K148,'Janeiro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Real'!C3:C15,0))+1))/((L149-1)*(1-_xlfn.XLOOKUP(K149,'Janeiro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Real'!C3:C15,0))+1))/((L150-1)*(1-_xlfn.XLOOKUP(K150,'Janeiro 2023 - Valor Real'!A3:A15,'Janeiro 2023 - Valor Real'!C3:C15,0))+1)),IF(I149="Lay",IF(I148="Lay",((L148/(L148-1)-1)*(1-_xlfn.XLOOKUP(K148,'Janeiro 2023 - Valor Real'!A3:A15,'Janeiro 2023 - Valor Real'!C3:C15,0))+1)/(((L148/(L148-1)-1)*(1-_xlfn.XLOOKUP(K148,'Janeiro 2023 - Valor Real'!A3:A15,'Janeiro 2023 - Valor Real'!C3:C15,0))+1)+((L149/(L149-1)-1)*(1-_xlfn.XLOOKUP(K149,'Janeiro 2023 - Valor Real'!A3:A15,'Janeiro 2023 - Valor Real'!C3:C15,0))+1)),((L148-1)*(1-_xlfn.XLOOKUP(K148,'Janeiro 2023 - Valor Real'!A3:A15,'Janeiro 2023 - Valor Real'!C3:C15,0))+1)/(((L148-1)*(1-_xlfn.XLOOKUP(K148,'Janeiro 2023 - Valor Real'!A3:A15,'Janeiro 2023 - Valor Real'!C3:C15,0))+1)+((L149/(L149-1)-1)*(1-_xlfn.XLOOKUP(K149,'Janeiro 2023 - Valor Real'!A3:A15,'Janeiro 2023 - Valor Real'!C3:C15,0))+1))),IF(I148="Lay",((L148/(L148-1)-1)*(1-_xlfn.XLOOKUP(K148,'Janeiro 2023 - Valor Real'!A3:A15,'Janeiro 2023 - Valor Real'!C3:C15,0))+1)/((((L148/(L148-1)-1)*(1-_xlfn.XLOOKUP(K148,'Janeiro 2023 - Valor Real'!A3:A15,'Janeiro 2023 - Valor Real'!C3:C15,0))+1))+((L149-1)*(1-_xlfn.XLOOKUP(K149,'Janeiro 2023 - Valor Real'!A3:A15,'Janeiro 2023 - Valor Real'!C3:C15,0))+1)),((L148-1)*(1-_xlfn.XLOOKUP(K148,'Janeiro 2023 - Valor Real'!A3:A15,'Janeiro 2023 - Valor Real'!C3:C15,0))+1)/(((L148-1)*(1-_xlfn.XLOOKUP(K148,'Janeiro 2023 - Valor Real'!A3:A15,'Janeiro 2023 - Valor Real'!C3:C15,0))+1)+((L149-1)*(1-_xlfn.XLOOKUP(K149,'Janeiro 2023 - Valor Real'!A3:A15,'Janeiro 2023 - Valor Real'!C3:C15,0))+1))))))</f>
        <v>0.465909090909091</v>
      </c>
      <c r="AF149" s="132">
        <f>IF($K149=AF$3,ROUND(IF(OR($C149="W",$C149="1/2W",$C149="1/2L"),$P149-$O149,IF($C149="X",0,-$O149)),2),0)</f>
        <v>0</v>
      </c>
      <c r="AG149" s="133">
        <f>IF($K149=AG$3,ROUND(IF(OR($C149="W",$C149="1/2W",$C149="1/2L"),$P149-$O149,IF($C149="X",0,-$O149)),2),0)</f>
        <v>0</v>
      </c>
      <c r="AH149" s="133">
        <f>IF($K149=AH$3,ROUND(IF(OR($C149="W",$C149="1/2W",$C149="1/2L"),$P149-$O149,IF($C149="X",0,-$O149)),2),0)</f>
        <v>0</v>
      </c>
      <c r="AI149" s="133">
        <f>IF($K149=AI$3,ROUND(IF(OR($C149="W",$C149="1/2W",$C149="1/2L"),$P149-$O149,IF($C149="X",0,-$O149)),2),0)</f>
        <v>0</v>
      </c>
      <c r="AJ149" s="133">
        <f>IF($K149=AJ$3,ROUND(IF(OR($C149="W",$C149="1/2W",$C149="1/2L"),$P149-$O149,IF($C149="X",0,-$O149)),2),0)</f>
        <v>6.55</v>
      </c>
      <c r="AK149" s="133">
        <f>IF($K149=AK$3,ROUND(IF(OR($C149="W",$C149="1/2W",$C149="1/2L"),$P149-$O149,IF($C149="X",0,-$O149)),2),0)</f>
        <v>0</v>
      </c>
      <c r="AL149" s="133">
        <f>IF($K149=AL$3,ROUND(IF(OR($C149="W",$C149="1/2W",$C149="1/2L"),$P149-$O149,IF($C149="X",0,-$O149)),2),0)</f>
        <v>0</v>
      </c>
      <c r="AM149" s="133">
        <f>IF($K149=AM$3,ROUND(IF(OR($C149="W",$C149="1/2W",$C149="1/2L"),$P149-$O149,IF($C149="X",0,-$O149)),2),0)</f>
        <v>0</v>
      </c>
      <c r="AN149" s="133">
        <f>IF($K149=AN$3,ROUND(IF(OR($C149="W",$C149="1/2W",$C149="1/2L"),$P149-$O149,IF($C149="X",0,-$O149)),2),0)</f>
        <v>0</v>
      </c>
      <c r="AO149" s="133">
        <f>IF($K149=AO$3,ROUND(IF(OR($C149="W",$C149="1/2W",$C149="1/2L"),$P149-$O149,IF($C149="X",0,-$O149)),2),0)</f>
        <v>0</v>
      </c>
      <c r="AP149" s="133">
        <f>IF($K149=AP$3,ROUND(IF(OR($C149="W",$C149="1/2W",$C149="1/2L"),$P149-$O149,IF($C149="X",0,-$O149)),2),0)</f>
        <v>0</v>
      </c>
      <c r="AQ149" s="133">
        <f>IF($K149=AQ$3,ROUND(IF(OR($C149="W",$C149="1/2W",$C149="1/2L"),$P149-$O149,IF($C149="X",0,-$O149)),2),0)</f>
        <v>0</v>
      </c>
      <c r="AR149" s="134">
        <f>IF($K149=AR$3,ROUND(IF(OR($C149="W",$C149="1/2W",$C149="1/2L"),$P149-$O149,IF($C149="X",0,-$O149)),2),0)</f>
        <v>0</v>
      </c>
      <c r="AS149" s="132">
        <f>IF(AND($B148=" ",$K149=AS$3),$O149,0)</f>
        <v>0</v>
      </c>
      <c r="AT149" s="133">
        <f>IF(AND($B148=" ",K149=AT$3),$O149,0)</f>
        <v>0</v>
      </c>
      <c r="AU149" s="133">
        <f>IF(AND($B148=" ",$K149=AU$3),$O149,0)</f>
        <v>0</v>
      </c>
      <c r="AV149" s="133">
        <f>IF(AND($B148=" ",$K149=AV$3),$O149,0)</f>
        <v>0</v>
      </c>
      <c r="AW149" s="133">
        <f>IF(AND($B148=" ",$K149=AW$3),$O149,0)</f>
        <v>0</v>
      </c>
      <c r="AX149" s="133">
        <f>IF(AND($B148=" ",$K149=AX$3),$O149,0)</f>
        <v>0</v>
      </c>
      <c r="AY149" s="135">
        <f>IF(AND($B148=" ",$K149=AY$3),$O149,0)</f>
        <v>0</v>
      </c>
      <c r="AZ149" s="136">
        <f>IF(AND($B148=" ",$K149=AZ$3),$O149,0)</f>
        <v>0</v>
      </c>
      <c r="BA149" s="136">
        <f>IF(AND($B148=" ",$K149=BA$3),$O149,0)</f>
        <v>0</v>
      </c>
      <c r="BB149" s="136">
        <f>IF(AND($B148=" ",$K149=BB$3),$O149,0)</f>
        <v>0</v>
      </c>
      <c r="BC149" s="137">
        <f>IF(AND($B148=" ",$K149=BC$3),$O149,0)</f>
        <v>0</v>
      </c>
      <c r="BD149" s="133">
        <f>IF(AND($B148=" ",$K149=BD$3),$O149,0)</f>
        <v>0</v>
      </c>
      <c r="BE149" s="134">
        <f>IF(AND($B148=" ",$K149=BE$3),$O149,0)</f>
        <v>0</v>
      </c>
      <c r="BF149" s="132">
        <f>IF($K149=BF$3,IF($C149="X",0,$O149),0)</f>
        <v>0</v>
      </c>
      <c r="BG149" s="281">
        <f>IF($K149=BG$3,IF($C149="X",0,$O149),0)</f>
        <v>0</v>
      </c>
      <c r="BH149" s="133">
        <f>IF($K149=BH$3,IF($C149="X",0,$O149),0)</f>
        <v>0</v>
      </c>
      <c r="BI149" s="133">
        <f>IF($K149=BI$3,IF($C149="X",0,$O149),0)</f>
        <v>0</v>
      </c>
      <c r="BJ149" s="133">
        <f>IF($K149=BJ$3,IF($C149="X",0,$O149),0)</f>
        <v>4.85</v>
      </c>
      <c r="BK149" s="133">
        <f>IF($K149=BK$3,IF($C149="X",0,$O149),0)</f>
        <v>0</v>
      </c>
      <c r="BL149" s="133">
        <f>IF($K149=BL$3,IF($C149="X",0,$O149),0)</f>
        <v>0</v>
      </c>
      <c r="BM149" s="135">
        <f>IF($K149=BM$3,IF($C149="X",0,$O149),0)</f>
        <v>0</v>
      </c>
      <c r="BN149" s="136">
        <f>IF($K149=BN$3,IF($C149="X",0,$O149),0)</f>
        <v>0</v>
      </c>
      <c r="BO149" s="136">
        <f>IF($K149=BO$3,IF($C149="X",0,$O149),0)</f>
        <v>0</v>
      </c>
      <c r="BP149" s="136">
        <f>IF($K149=BP$3,IF($C149="X",0,$O149),0)</f>
        <v>0</v>
      </c>
      <c r="BQ149" s="137">
        <f>IF($K149=BQ$3,IF($C149="X",0,$O149),0)</f>
        <v>0</v>
      </c>
      <c r="BR149" s="134">
        <f>IF($K149=BR$3,IF($C149="X",0,$O149),0)</f>
        <v>0</v>
      </c>
      <c r="BS149" s="282"/>
      <c r="BT149" s="283"/>
      <c r="BU149" s="140"/>
      <c r="BV149" s="283"/>
      <c r="BW149" s="140"/>
      <c r="BX149" s="140"/>
      <c r="BY149" s="140"/>
      <c r="BZ149" s="283"/>
      <c r="CA149" s="140"/>
      <c r="CB149" s="140"/>
      <c r="CC149" s="140"/>
      <c r="CD149" s="141"/>
      <c r="CE149" s="142"/>
      <c r="CF149" s="284">
        <f>IF(CF$3=$K149,IF($C149="W",1,IF($C149="1/2W",0.5,0)),0)</f>
        <v>0</v>
      </c>
      <c r="CG149" s="285">
        <f>IF(CF$3=$K149,IF($C149="L",1,IF($C149="1/2L",0.5,0)),0)</f>
        <v>0</v>
      </c>
      <c r="CH149" s="285">
        <f>IF(CH$3=$K149,IF($C149="W",1,IF($C149="1/2W",0.5,0)),0)</f>
        <v>0</v>
      </c>
      <c r="CI149" s="285">
        <f>IF(CH$3=$K149,IF($C149="L",1,IF($C149="1/2L",0.5,0)),0)</f>
        <v>0</v>
      </c>
      <c r="CJ149" s="285">
        <f>IF(CJ$3=$K149,IF($C149="W",1,IF($C149="1/2W",0.5,0)),0)</f>
        <v>0</v>
      </c>
      <c r="CK149" s="285">
        <f>IF(CJ$3=$K149,IF($C149="L",1,IF($C149="1/2L",0.5,0)),0)</f>
        <v>0</v>
      </c>
      <c r="CL149" s="285">
        <f>IF(CL$3=$K149,IF($C149="W",1,IF($C149="1/2W",0.5,0)),0)</f>
        <v>0</v>
      </c>
      <c r="CM149" s="285">
        <f>IF(CL$3=$K149,IF($C149="L",1,IF($C149="1/2L",0.5,0)),0)</f>
        <v>0</v>
      </c>
      <c r="CN149" s="285">
        <f>IF(CN$3=$K149,IF($C149="W",1,IF($C149="1/2W",0.5,0)),0)</f>
        <v>1</v>
      </c>
      <c r="CO149" s="285">
        <f>IF(CN$3=$K149,IF($C149="L",1,IF($C149="1/2L",0.5,0)),0)</f>
        <v>0</v>
      </c>
      <c r="CP149" s="285">
        <f>IF(CP$3=$K149,IF($C149="W",1,IF($C149="1/2W",0.5,0)),0)</f>
        <v>0</v>
      </c>
      <c r="CQ149" s="285">
        <f>IF(CP$3=$K149,IF($C149="L",1,IF($C149="1/2L",0.5,0)),0)</f>
        <v>0</v>
      </c>
      <c r="CR149" s="285">
        <f>IF(CR$3=$K149,IF($C149="W",1,IF($C149="1/2W",0.5,0)),0)</f>
        <v>0</v>
      </c>
      <c r="CS149" s="285">
        <f>IF(CR$3=$K149,IF($C149="L",1,IF($C149="1/2L",0.5,0)),0)</f>
        <v>0</v>
      </c>
      <c r="CT149" s="145">
        <f>IF(CT$3=$K149,IF($C149="W",1,IF($C149="1/2W",0.5,0)),0)</f>
        <v>0</v>
      </c>
      <c r="CU149" s="146">
        <f>IF(CT$3=$K149,IF($C149="L",1,IF($C149="1/2L",0.5,0)),0)</f>
        <v>0</v>
      </c>
      <c r="CV149" s="146">
        <f>IF(CV$3=$K149,IF($C149="W",1,IF($C149="1/2W",0.5,0)),0)</f>
        <v>0</v>
      </c>
      <c r="CW149" s="146">
        <f>IF(CV$3=$K149,IF($C149="L",1,IF($C149="1/2L",0.5,0)),0)</f>
        <v>0</v>
      </c>
      <c r="CX149" s="146">
        <f>IF(CX$3=$K149,IF($C149="W",1,IF($C149="1/2W",0.5,0)),0)</f>
        <v>0</v>
      </c>
      <c r="CY149" s="146">
        <f>IF(CX$3=$K149,IF($C149="L",1,IF($C149="1/2L",0.5,0)),0)</f>
        <v>0</v>
      </c>
      <c r="CZ149" s="146">
        <f>IF(CZ$3=$K149,IF($C149="W",1,IF($C149="1/2W",0.5,0)),0)</f>
        <v>0</v>
      </c>
      <c r="DA149" s="146">
        <f>IF(CZ$3=$K149,IF($C149="L",1,IF($C149="1/2L",0.5,0)),0)</f>
        <v>0</v>
      </c>
      <c r="DB149" s="146">
        <f>IF(DB$3=$K149,IF($C149="W",1,IF($C149="1/2W",0.5,0)),0)</f>
        <v>0</v>
      </c>
      <c r="DC149" s="146">
        <f>IF(DB$3=$K149,IF($C149="L",1,IF($C149="1/2L",0.5,0)),0)</f>
        <v>0</v>
      </c>
      <c r="DD149" s="146">
        <f>IF(DD$3=$K149,IF($C149="W",1,IF($C149="1/2W",0.5,0)),0)</f>
        <v>0</v>
      </c>
      <c r="DE149" s="147">
        <f>IF(DD$3=$K149,IF($C149="L",1,IF($C149="1/2L",0.5,0)),0)</f>
        <v>0</v>
      </c>
      <c r="DF149" s="143">
        <f>IF(AND(L149&lt;DF$3,$C149="W"),1+DF148,DF148)</f>
        <v>7</v>
      </c>
      <c r="DG149" s="133">
        <f>IF(DF149&gt;DF148,L149+DG148,DG148)</f>
        <v>9.247999999999999</v>
      </c>
      <c r="DH149" s="146">
        <f>IF(AND(L149&gt;DH$3,$C149="W"),1+DH148,0+DH148)</f>
        <v>2</v>
      </c>
      <c r="DI149" s="133">
        <f>IF(DH149&gt;DH148,L149+DI148,DI148)</f>
        <v>11.58</v>
      </c>
      <c r="DJ149" t="s" s="304">
        <f>IF($D148="","",$D148)</f>
        <v>184</v>
      </c>
      <c r="DK149" s="286"/>
    </row>
    <row r="150" ht="14.55" customHeight="1">
      <c r="A150" s="149"/>
      <c r="B150" s="150"/>
      <c r="C150" t="s" s="151">
        <v>58</v>
      </c>
      <c r="D150" s="152"/>
      <c r="E150" s="153"/>
      <c r="F150" s="155"/>
      <c r="G150" s="252"/>
      <c r="H150" s="156"/>
      <c r="I150" s="287"/>
      <c r="J150" s="288"/>
      <c r="K150" s="156"/>
      <c r="L150" s="289"/>
      <c r="M150" s="290"/>
      <c r="N150" s="161"/>
      <c r="O150" t="s" s="162">
        <f>IF(OR(AE148="",AE149=""),"",IF(L150&gt;0,ROUND(IF(M150&gt;0,M150,IF(M148&gt;0,ROUND((M148*AE150)/AE148,IF(N148=0,2,IF(N148=0.1,1,0))),IF(M149&gt;0,ROUND((M149*AE150)/AE149,IF(N148=0,2,IF(N148=0.1,1,0))),IF(M150&gt;0,M150,0)))),2),""))</f>
      </c>
      <c r="P150" t="s" s="163">
        <f>IF(I149="Lay",O149*(L149/(L149-1))-O149,IF(I148="Lay",O148*(L148/(L148-1))-O148,IF(OR(L150="",O150=""),"",IF($C150="1/2W",O150/2+O150/2*L150,IF($C150="1/2L",O150/2,(O150*L150-O150)*(1-_xlfn.XLOOKUP(K150,'Janeiro 2023 - Valor Real'!A3:A15,'Janeiro 2023 - Valor Real'!C3:C15,0))+O150)))))</f>
      </c>
      <c r="Q150" t="s" s="154"/>
      <c r="R150" t="s" s="163"/>
      <c r="S150" s="166"/>
      <c r="T150" s="155"/>
      <c r="U150" s="155"/>
      <c r="V150" s="166"/>
      <c r="W150" s="155"/>
      <c r="X150" s="167"/>
      <c r="Y150" s="128"/>
      <c r="Z150" s="129"/>
      <c r="AA150" s="129"/>
      <c r="AB150" s="129"/>
      <c r="AC150" s="129"/>
      <c r="AD150" s="168"/>
      <c r="AE150" t="s" s="169">
        <f>IF(L150="","",(SUM(((L148-1)*(1-_xlfn.XLOOKUP(K148,'Janeiro 2023 - Valor Real'!A3:A15,'Janeiro 2023 - Valor Real'!C3:C15,0))+1),((L149-1)*(1-_xlfn.XLOOKUP(K149,'Janeiro 2023 - Valor Real'!A3:A15,'Janeiro 2023 - Valor Real'!C3:C15,0))+1),((L150-1)*(1-_xlfn.XLOOKUP(K150,'Janeiro 2023 - Valor Real'!A3:A15,'Janeiro 2023 - Valor Real'!C3:C15,0))+1))/((L150-1)*(1-_xlfn.XLOOKUP(K150,'Janeiro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Real'!C3:C15,0))+1))/((L148-1)*(1-_xlfn.XLOOKUP(K148,'Janeiro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Real'!C3:C15,0))+1))/((L149-1)*(1-_xlfn.XLOOKUP(K149,'Janeiro 2023 - Valor Real'!A3:A15,'Janeiro 2023 - Valor Real'!C3:C15,0))+1)+SUM(((L148-1)*(1-_xlfn.XLOOKUP(K148,'Janeiro 2023 - Valor Real'!A3:A15,'Janeiro 2023 - Valor Real'!C3:C15,0))+1),((L149-1)*(1-_xlfn.XLOOKUP(K149,'Janeiro 2023 - Valor Real'!A3:A15,'Janeiro 2023 - Valor Real'!C3:C15,0))+1),((L150-1)*(1-_xlfn.XLOOKUP(K150,'Janeiro 2023 - Valor Real'!A3:A15,'Janeiro 2023 - Valor Real'!C3:C15,0))+1))/((L150-1)*(1-_xlfn.XLOOKUP(K150,'Janeiro 2023 - Valor Real'!A3:A15,'Janeiro 2023 - Valor Real'!C3:C15,0))+1)))</f>
      </c>
      <c r="AF150" s="132">
        <f>IF($K150=AF$3,ROUND(IF(OR($C150="W",$C150="1/2W",$C150="1/2L"),$P150-$O150,IF($C150="X",0,-$O150)),2),0)</f>
        <v>0</v>
      </c>
      <c r="AG150" s="133">
        <f>IF($K150=AG$3,ROUND(IF(OR($C150="W",$C150="1/2W",$C150="1/2L"),$P150-$O150,IF($C150="X",0,-$O150)),2),0)</f>
        <v>0</v>
      </c>
      <c r="AH150" s="133">
        <f>IF($K150=AH$3,ROUND(IF(OR($C150="W",$C150="1/2W",$C150="1/2L"),$P150-$O150,IF($C150="X",0,-$O150)),2),0)</f>
        <v>0</v>
      </c>
      <c r="AI150" s="133">
        <f>IF($K150=AI$3,ROUND(IF(OR($C150="W",$C150="1/2W",$C150="1/2L"),$P150-$O150,IF($C150="X",0,-$O150)),2),0)</f>
        <v>0</v>
      </c>
      <c r="AJ150" s="133">
        <f>IF($K150=AJ$3,ROUND(IF(OR($C150="W",$C150="1/2W",$C150="1/2L"),$P150-$O150,IF($C150="X",0,-$O150)),2),0)</f>
        <v>0</v>
      </c>
      <c r="AK150" s="133">
        <f>IF($K150=AK$3,ROUND(IF(OR($C150="W",$C150="1/2W",$C150="1/2L"),$P150-$O150,IF($C150="X",0,-$O150)),2),0)</f>
        <v>0</v>
      </c>
      <c r="AL150" s="133">
        <f>IF($K150=AL$3,ROUND(IF(OR($C150="W",$C150="1/2W",$C150="1/2L"),$P150-$O150,IF($C150="X",0,-$O150)),2),0)</f>
        <v>0</v>
      </c>
      <c r="AM150" s="133">
        <f>IF($K150=AM$3,ROUND(IF(OR($C150="W",$C150="1/2W",$C150="1/2L"),$P150-$O150,IF($C150="X",0,-$O150)),2),0)</f>
        <v>0</v>
      </c>
      <c r="AN150" s="133">
        <f>IF($K150=AN$3,ROUND(IF(OR($C150="W",$C150="1/2W",$C150="1/2L"),$P150-$O150,IF($C150="X",0,-$O150)),2),0)</f>
        <v>0</v>
      </c>
      <c r="AO150" s="133">
        <f>IF($K150=AO$3,ROUND(IF(OR($C150="W",$C150="1/2W",$C150="1/2L"),$P150-$O150,IF($C150="X",0,-$O150)),2),0)</f>
        <v>0</v>
      </c>
      <c r="AP150" s="133">
        <f>IF($K150=AP$3,ROUND(IF(OR($C150="W",$C150="1/2W",$C150="1/2L"),$P150-$O150,IF($C150="X",0,-$O150)),2),0)</f>
        <v>0</v>
      </c>
      <c r="AQ150" s="133">
        <f>IF($K150=AQ$3,ROUND(IF(OR($C150="W",$C150="1/2W",$C150="1/2L"),$P150-$O150,IF($C150="X",0,-$O150)),2),0)</f>
        <v>0</v>
      </c>
      <c r="AR150" s="134">
        <f>IF($K150=AR$3,ROUND(IF(OR($C150="W",$C150="1/2W",$C150="1/2L"),$P150-$O150,IF($C150="X",0,-$O150)),2),0)</f>
        <v>0</v>
      </c>
      <c r="AS150" s="132">
        <f>IF(AND($B148=" ",$K150=AS$3),$O150,0)</f>
        <v>0</v>
      </c>
      <c r="AT150" s="133">
        <f>IF(AND($B148=" ",K150=AT$3),$O150,0)</f>
        <v>0</v>
      </c>
      <c r="AU150" s="133">
        <f>IF(AND($B148=" ",$K150=AU$3),$O150,0)</f>
        <v>0</v>
      </c>
      <c r="AV150" s="133">
        <f>IF(AND($B148=" ",$K150=AV$3),$O150,0)</f>
        <v>0</v>
      </c>
      <c r="AW150" s="133">
        <f>IF(AND($B148=" ",$K150=AW$3),$O150,0)</f>
        <v>0</v>
      </c>
      <c r="AX150" s="133">
        <f>IF(AND($B148=" ",$K150=AX$3),$O150,0)</f>
        <v>0</v>
      </c>
      <c r="AY150" s="135">
        <f>IF(AND($B148=" ",$K150=AY$3),$O150,0)</f>
        <v>0</v>
      </c>
      <c r="AZ150" s="136">
        <f>IF(AND($B148=" ",$K150=AZ$3),$O150,0)</f>
        <v>0</v>
      </c>
      <c r="BA150" s="136">
        <f>IF(AND($B148=" ",$K150=BA$3),$O150,0)</f>
        <v>0</v>
      </c>
      <c r="BB150" s="136">
        <f>IF(AND($B148=" ",$K150=BB$3),$O150,0)</f>
        <v>0</v>
      </c>
      <c r="BC150" s="137">
        <f>IF(AND($B148=" ",$K150=BC$3),$O150,0)</f>
        <v>0</v>
      </c>
      <c r="BD150" s="133">
        <f>IF(AND($B148=" ",$K150=BD$3),$O150,0)</f>
        <v>0</v>
      </c>
      <c r="BE150" s="134">
        <f>IF(AND($B148=" ",$K150=BE$3),$O150,0)</f>
        <v>0</v>
      </c>
      <c r="BF150" s="132">
        <f>IF($K150=BF$3,IF($C150="X",0,$O150),0)</f>
        <v>0</v>
      </c>
      <c r="BG150" s="281">
        <f>IF($K150=BG$3,IF($C150="X",0,$O150),0)</f>
        <v>0</v>
      </c>
      <c r="BH150" s="133">
        <f>IF($K150=BH$3,IF($C150="X",0,$O150),0)</f>
        <v>0</v>
      </c>
      <c r="BI150" s="133">
        <f>IF($K150=BI$3,IF($C150="X",0,$O150),0)</f>
        <v>0</v>
      </c>
      <c r="BJ150" s="133">
        <f>IF($K150=BJ$3,IF($C150="X",0,$O150),0)</f>
        <v>0</v>
      </c>
      <c r="BK150" s="133">
        <f>IF($K150=BK$3,IF($C150="X",0,$O150),0)</f>
        <v>0</v>
      </c>
      <c r="BL150" s="133">
        <f>IF($K150=BL$3,IF($C150="X",0,$O150),0)</f>
        <v>0</v>
      </c>
      <c r="BM150" s="135">
        <f>IF($K150=BM$3,IF($C150="X",0,$O150),0)</f>
        <v>0</v>
      </c>
      <c r="BN150" s="136">
        <f>IF($K150=BN$3,IF($C150="X",0,$O150),0)</f>
        <v>0</v>
      </c>
      <c r="BO150" s="136">
        <f>IF($K150=BO$3,IF($C150="X",0,$O150),0)</f>
        <v>0</v>
      </c>
      <c r="BP150" s="136">
        <f>IF($K150=BP$3,IF($C150="X",0,$O150),0)</f>
        <v>0</v>
      </c>
      <c r="BQ150" s="137">
        <f>IF($K150=BQ$3,IF($C150="X",0,$O150),0)</f>
        <v>0</v>
      </c>
      <c r="BR150" s="134">
        <f>IF($K150=BR$3,IF($C150="X",0,$O150),0)</f>
        <v>0</v>
      </c>
      <c r="BS150" s="282"/>
      <c r="BT150" s="283"/>
      <c r="BU150" s="140"/>
      <c r="BV150" s="283"/>
      <c r="BW150" s="140"/>
      <c r="BX150" s="140"/>
      <c r="BY150" s="140"/>
      <c r="BZ150" s="283"/>
      <c r="CA150" s="140"/>
      <c r="CB150" s="140"/>
      <c r="CC150" s="140"/>
      <c r="CD150" s="141"/>
      <c r="CE150" s="142"/>
      <c r="CF150" s="284">
        <f>IF(CF$3=$K150,IF($C150="W",1,IF($C150="1/2W",0.5,0)),0)</f>
        <v>0</v>
      </c>
      <c r="CG150" s="285">
        <f>IF(CF$3=$K150,IF($C150="L",1,IF($C150="1/2L",0.5,0)),0)</f>
        <v>0</v>
      </c>
      <c r="CH150" s="285">
        <f>IF(CH$3=$K150,IF($C150="W",1,IF($C150="1/2W",0.5,0)),0)</f>
        <v>0</v>
      </c>
      <c r="CI150" s="285">
        <f>IF(CH$3=$K150,IF($C150="L",1,IF($C150="1/2L",0.5,0)),0)</f>
        <v>0</v>
      </c>
      <c r="CJ150" s="285">
        <f>IF(CJ$3=$K150,IF($C150="W",1,IF($C150="1/2W",0.5,0)),0)</f>
        <v>0</v>
      </c>
      <c r="CK150" s="285">
        <f>IF(CJ$3=$K150,IF($C150="L",1,IF($C150="1/2L",0.5,0)),0)</f>
        <v>0</v>
      </c>
      <c r="CL150" s="285">
        <f>IF(CL$3=$K150,IF($C150="W",1,IF($C150="1/2W",0.5,0)),0)</f>
        <v>0</v>
      </c>
      <c r="CM150" s="285">
        <f>IF(CL$3=$K150,IF($C150="L",1,IF($C150="1/2L",0.5,0)),0)</f>
        <v>0</v>
      </c>
      <c r="CN150" s="285">
        <f>IF(CN$3=$K150,IF($C150="W",1,IF($C150="1/2W",0.5,0)),0)</f>
        <v>0</v>
      </c>
      <c r="CO150" s="285">
        <f>IF(CN$3=$K150,IF($C150="L",1,IF($C150="1/2L",0.5,0)),0)</f>
        <v>0</v>
      </c>
      <c r="CP150" s="285">
        <f>IF(CP$3=$K150,IF($C150="W",1,IF($C150="1/2W",0.5,0)),0)</f>
        <v>0</v>
      </c>
      <c r="CQ150" s="285">
        <f>IF(CP$3=$K150,IF($C150="L",1,IF($C150="1/2L",0.5,0)),0)</f>
        <v>0</v>
      </c>
      <c r="CR150" s="285">
        <f>IF(CR$3=$K150,IF($C150="W",1,IF($C150="1/2W",0.5,0)),0)</f>
        <v>0</v>
      </c>
      <c r="CS150" s="285">
        <f>IF(CR$3=$K150,IF($C150="L",1,IF($C150="1/2L",0.5,0)),0)</f>
        <v>0</v>
      </c>
      <c r="CT150" s="145">
        <f>IF(CT$3=$K150,IF($C150="W",1,IF($C150="1/2W",0.5,0)),0)</f>
        <v>0</v>
      </c>
      <c r="CU150" s="146">
        <f>IF(CT$3=$K150,IF($C150="L",1,IF($C150="1/2L",0.5,0)),0)</f>
        <v>0</v>
      </c>
      <c r="CV150" s="146">
        <f>IF(CV$3=$K150,IF($C150="W",1,IF($C150="1/2W",0.5,0)),0)</f>
        <v>0</v>
      </c>
      <c r="CW150" s="146">
        <f>IF(CV$3=$K150,IF($C150="L",1,IF($C150="1/2L",0.5,0)),0)</f>
        <v>0</v>
      </c>
      <c r="CX150" s="146">
        <f>IF(CX$3=$K150,IF($C150="W",1,IF($C150="1/2W",0.5,0)),0)</f>
        <v>0</v>
      </c>
      <c r="CY150" s="146">
        <f>IF(CX$3=$K150,IF($C150="L",1,IF($C150="1/2L",0.5,0)),0)</f>
        <v>0</v>
      </c>
      <c r="CZ150" s="146">
        <f>IF(CZ$3=$K150,IF($C150="W",1,IF($C150="1/2W",0.5,0)),0)</f>
        <v>0</v>
      </c>
      <c r="DA150" s="146">
        <f>IF(CZ$3=$K150,IF($C150="L",1,IF($C150="1/2L",0.5,0)),0)</f>
        <v>0</v>
      </c>
      <c r="DB150" s="146">
        <f>IF(DB$3=$K150,IF($C150="W",1,IF($C150="1/2W",0.5,0)),0)</f>
        <v>0</v>
      </c>
      <c r="DC150" s="146">
        <f>IF(DB$3=$K150,IF($C150="L",1,IF($C150="1/2L",0.5,0)),0)</f>
        <v>0</v>
      </c>
      <c r="DD150" s="146">
        <f>IF(DD$3=$K150,IF($C150="W",1,IF($C150="1/2W",0.5,0)),0)</f>
        <v>0</v>
      </c>
      <c r="DE150" s="147">
        <f>IF(DD$3=$K150,IF($C150="L",1,IF($C150="1/2L",0.5,0)),0)</f>
        <v>0</v>
      </c>
      <c r="DF150" s="143">
        <f>IF(AND(L150&lt;DF$3,$C150="W"),1+DF149,DF149)</f>
        <v>7</v>
      </c>
      <c r="DG150" s="133">
        <f>IF(DF150&gt;DF149,L150+DG149,DG149)</f>
        <v>9.247999999999999</v>
      </c>
      <c r="DH150" s="146">
        <f>IF(AND(L150&gt;DH$3,$C150="W"),1+DH149,0+DH149)</f>
        <v>2</v>
      </c>
      <c r="DI150" s="133">
        <f>IF(DH150&gt;DH149,L150+DI149,DI149)</f>
        <v>11.58</v>
      </c>
      <c r="DJ150" t="s" s="304">
        <f>IF($D148="","",$D148)</f>
        <v>184</v>
      </c>
      <c r="DK150" s="286"/>
    </row>
    <row r="151" ht="14.55" customHeight="1">
      <c r="A151" s="171">
        <f>$A148+1</f>
        <v>50</v>
      </c>
      <c r="B151" t="s" s="172">
        <f>IF(AND(_xlfn.XLOOKUP(H151,H68:H$84,G68:G$84,0)=G151,_xlfn.XLOOKUP("TempoBet",K151:K153,L151:L153,0)&gt;0),"X",IF(OR(C151="W",C152="W",C153="W",C151="1/2W",C152="1/2W",C153="1/2W",C151="1/2L",C152="1/2L",C153="1/2L"),"OK",IF(OR(C151="L",C152="L",C153="L"),"LOSS",IF(OR(C151="X",C152="X",C153="X"),"Anulado"," "))))</f>
        <v>50</v>
      </c>
      <c r="C151" t="s" s="173">
        <v>56</v>
      </c>
      <c r="D151" t="s" s="305">
        <f>IF(G151="","",$D148)</f>
        <v>184</v>
      </c>
      <c r="E151" t="s" s="175">
        <f>IF(G151=""," ","– "&amp;COUNTIF(D$4:D153,$D151))</f>
        <v>59</v>
      </c>
      <c r="F151" t="s" s="176">
        <f>IF(G151="","",IF(OR(AND($C151&lt;&gt;" ",$C152=" "),AND($C152&lt;&gt;" ",$C151=" "),AND(L153&gt;0,OR(AND($C153&lt;&gt;" ",OR($C151=" ",$C152=" ")),AND($C153=" ",OR($C151&lt;&gt;" ",$C152&lt;&gt;" "))))),IF(SUM(F$4:F150)=0,1,LARGE(F$4:F150,1)+1),IF(MONTH(G151)=MONTH(TODAY()),IF(AND(DAY(G151)&lt;DAY(TODAY()),$B151=" "),IF(SUM(F$4:F150)=0,1,LARGE(F$4:F150,1)+1),IF($B151=" ",IF(AND(DAY(G151)=DAY(TODAY()),HOUR(G151)&lt;=HOUR(NOW())+1),IF(AND(HOUR(G151)+2&lt;=HOUR(NOW()),DAY(G151)&lt;=DAY(TODAY()),MINUTE(G151)&lt;=MINUTE(NOW())),IF(SUM(F$4:F150)=0,1,LARGE(F$4:F150,1)+1),IF(OR(MINUTE(G151)&lt;=MINUTE(NOW()),HOUR(G151)&lt;=HOUR(NOW())),"!!!","")),""),"")),"")))</f>
      </c>
      <c r="G151" s="177">
        <v>44945.604166666664</v>
      </c>
      <c r="H151" t="s" s="178">
        <v>185</v>
      </c>
      <c r="I151" t="s" s="179">
        <v>65</v>
      </c>
      <c r="J151" s="291">
        <v>6.5</v>
      </c>
      <c r="K151" t="s" s="181">
        <v>37</v>
      </c>
      <c r="L151" s="182">
        <v>2.15</v>
      </c>
      <c r="M151" s="183">
        <v>12.17</v>
      </c>
      <c r="N151" s="184">
        <v>1</v>
      </c>
      <c r="O151" s="185">
        <f>IF(OR(AE151="",AE152=""),"",ROUND(IF(L153&gt;0,IF(M151&gt;0,M151,IF(M152&gt;0,ROUND((M152*AE151)/AE152,IF(N151=0,2,IF(N151=0.1,1,0))),ROUND((M153*AE151)/AE153,IF(N151=0,2,IF(N151=0.1,1,0))))),IF(M151&gt;0,M151,ROUND((M152*AE151)/AE152,IF(N151=0,2,IF(N151=0.1,1,0))))),2))</f>
        <v>12.17</v>
      </c>
      <c r="P151" s="186">
        <f>IF(OR(L151="",O151=""),"",IF($C151="1/2W",O151/2+O151/2*L151,IF($C151="1/2L",O151/2,IF(I151="Lay",(O151*(L151/(L151-1))-O151)*(1-_xlfn.XLOOKUP(K151,'Janeiro 2023 - Valor Real'!A3:A15,'Janeiro 2023 - Valor Real'!C3:C15,0))+O151,(O151*L151-O151)*(1-_xlfn.XLOOKUP(K151,'Janeiro 2023 - Valor Real'!A3:A15,'Janeiro 2023 - Valor Real'!C3:C15,0))+O151))))</f>
        <v>26.1655</v>
      </c>
      <c r="Q151" s="187">
        <f>IF(K151="","",IF(_xlfn.XLOOKUP(K151,K68:K$84,DJ68:DJ$84,0,,-1)=DJ151,_xlfn.XLOOKUP(K151,K68:K$84,Q68:Q$84,1,,-1)+1,1))</f>
        <v>1</v>
      </c>
      <c r="R151" s="188">
        <f>IF(K151="","",_xlfn.XLOOKUP(K151,K68:K$84,R68:R$84,0,,-1)+IF($C151=" ",1,0))</f>
        <v>0</v>
      </c>
      <c r="S151" s="189">
        <f>IF($B151="Anulado",0,ROUND(IF(OR($B151="LOSS",$B151="OK"),IF(OR($C151="W",$C151="1/2W",$C151="1/2L"),P151-O151,IF($C151="L",-O151,0))+IF(OR($C152="W",$C152="1/2W",$C152="1/2L"),P152-O152,IF($C152="L",-O152,0))+IF(OR($C153="W",$C153="1/2W",$C153="1/2L"),P153-O153,IF($C153="L",-O153,0)),IF(AND(OR($C151="W",$C151="1/2W",$C151="1/2L"),C152="W"),P151+P152-SUM(O151:O153)+_xlfn.XLOOKUP("X",C151:C153,O151:O153,0),IF(AND(C151=TRUE,C153="W"),P151+P153-SUM(O151:O153),IF(AND(C152="W",C153="W"),P152+P153-SUM(O151:O153)+_xlfn.XLOOKUP("X",C151:C153,O151:O153,0),IF(L153&gt;0,IF(OR($C151="W",$C151="1/2W",$C151="1/2L"),P151-SUM(O151:O153)+_xlfn.XLOOKUP("X",C151:C153,O151:O153,0),IF(OR($C151="W",$C151="1/2W",$C151="1/2L"),P152-SUM(O151:O153)+_xlfn.XLOOKUP("X",C151:C153,O151:O153,0),IF(OR($C151="W",$C151="1/2W",$C151="1/2L"),P153-SUM(O151:O153)+_xlfn.XLOOKUP("X",C151:C153,O151:O153,0),IF(SUM(P151:P153)/3-SUM(O151:O153)+_xlfn.XLOOKUP("X",C151:C153,O151:O153,0)&gt;0,SUM(P151:P153)/3-SUM(O151:O153)+_xlfn.XLOOKUP("X",C151:C153,O151:O153,0),LARGE(P151:P153,1)-SUM(O151:O153))))),IF(OR($C151="W",$C151="1/2W",$C151="1/2L"),P151-SUM(O151:O152)+_xlfn.XLOOKUP("X",C151:C153,O151:O153,0),IF(OR($C151="W",$C151="1/2W",$C151="1/2L"),P152-SUM(O151:O152)+_xlfn.XLOOKUP("X",C151:C153,O151:O153,0),SUM(P151:P152)/2-SUM(O151:O152)+_xlfn.XLOOKUP("X",C151:C153,O151:O153,0)))))))),2))</f>
        <v>1</v>
      </c>
      <c r="T151" s="190">
        <f>IF(S151=0,0,S151/SUM(O151:O153))</f>
        <v>0.0397298371076679</v>
      </c>
      <c r="U151" s="191">
        <f>IF($D151=$D148,IF(OR($B151="LOSS",$B151="OK",$B151="Anulada"),S151,0)+U148,IF(OR($B151="LOSS",$B151="OK",$B151="Anulada"),S151,0))</f>
        <v>1.98</v>
      </c>
      <c r="V151" s="191">
        <f>IF($D151="",0,IF($D151=$D148,IF($B151=" ",IF(I153="",IF(OR(AND(I151="DNB1",I152="DNB2"),AND(OR(I151="DNB1",I151="DNB2"),J152=0),AND(OR(I152="DNB1",I152="DNB2"),J151=0),AND(I151="DNB2",I152="DNB1"),AND(IF(J151=0,(J151+1)/ROUND(J151+1,0),J151/ROUND(J151,0))=1,IF(J152=0,(J152+1)/ROUND(IF(J152="",0,J152)+1,0),IF(J152="",0,J152)/ROUND(IF(J152="",1,J152),0))=1,OR(J151&lt;&gt;""),J152&lt;&gt;"")),0,IF(S151&lt;0,IF(I153="",SMALL(P151:P152,1)-SUM(O151:O152),0),SMALL(P151:P152,1)-SUM(O151:O152))),IF(S151&lt;0,IF(I153="",SMALL(P151:P153,1)-SUM(O151:O153),0),LARGE(P151:P153,1)-SUM(O151:O153))),S151)+V148,IF(I153="",IF(OR(AND(I151="DNB1",I152="DNB2"),AND(OR(I151="DNB1",I151="DNB2"),J152=0),AND(OR(I152="DNB1",I152="DNB2"),J151=0),AND(I151="DNB2",I152="DNB1"),AND(IF(J151=0,(J151+1)/ROUND(J151+1,0),J151/ROUND(J151,0))=1,IF(J152=0,(IF(J152="",0,J152)+1)/ROUND(IF(J152="",0,J152)+1,0),IF(J152="",0,J152)/ROUND(IF(J152="",0,J152)+1,0))=1,OR(J151&lt;&gt;""),J152&lt;&gt;"")),0,IF(S151&lt;0,IF(I153="",SMALL(P151:P152,1)-SUM(O151:O152),0),SMALL(P151:P153,1)-SUM(O151:O153))),IF(S151&lt;0,IF(I153="",SMALL(P151:P153,1)-SUM(O151:O153),0),LARGE(P151:P153,1)-SUM(O151:O153)))))</f>
        <v>1.9775</v>
      </c>
      <c r="W151" s="191">
        <f>IF($D151=$D148,IF(S151&lt;0,IF(I153="",S151,0),S151)+W148,S151)</f>
        <v>1.98</v>
      </c>
      <c r="X151" t="s" s="192">
        <f>IF(OR(SUM(R151:R153)=0,V151=W151),ROUND(IF(W151=0,0,W151/Y151)*100,2)&amp;"%",ROUND(IF(V151=0,0,V151/Y151)*100,2)&amp;"% a "&amp;ROUND(IF(W151=0,0,W151/Y151)*100,2)&amp;"%")</f>
        <v>186</v>
      </c>
      <c r="Y151" s="193">
        <f>IF($D151=$D148,Y148+SUM(O151:O153),SUM(O151:O153))</f>
        <v>35.59</v>
      </c>
      <c r="Z151" s="191">
        <f>IF($B151=" ",SUM(O151:O153),0)+Z148</f>
        <v>0</v>
      </c>
      <c r="AA151" s="191">
        <f>IF(G151="","",IF($B151="Anulado",LARGE(P151:P153,1)-SUM(O151:O153)+AA148,AA148))</f>
        <v>14.1564</v>
      </c>
      <c r="AB151" s="191">
        <f>IF($D151="","",AB148+S151)</f>
        <v>127.09</v>
      </c>
      <c r="AC151" s="194">
        <f>IF($D151="","",IF($B151=" ",IF(DAY(G151)=DAY(TODAY()),1+AC148,0+AC148),0+AC148))</f>
        <v>0</v>
      </c>
      <c r="AD151" s="195">
        <f>(((L152/(L152-1)-1)*(1-_xlfn.XLOOKUP(K152,'Janeiro 2023 - Valor Real'!A3:A15,'Janeiro 2023 - Valor Real'!C3:C15,0))+1))/(((L151-1)*(1-_xlfn.XLOOKUP(K151,'Janeiro 2023 - Valor Real'!A3:A15,'Janeiro 2023 - Valor Real'!C3:C15,0))+1)+((L152/(L152-1)-1)*(1-_xlfn.XLOOKUP(K152,'Janeiro 2023 - Valor Real'!A3:A15,'Janeiro 2023 - Valor Real'!C3:C15,0))+1))</f>
        <v>0.471410849216195</v>
      </c>
      <c r="AE151" s="196">
        <f>IF(L151="","",IF(L153&gt;0,(SUM(((L151-1)*(1-_xlfn.XLOOKUP(K151,'Janeiro 2023 - Valor Real'!A3:A15,'Janeiro 2023 - Valor Real'!C3:C15,0))+1),((L152-1)*(1-_xlfn.XLOOKUP(K152,'Janeiro 2023 - Valor Real'!A3:A15,'Janeiro 2023 - Valor Real'!C3:C15,0))+1),((L153-1)*(1-_xlfn.XLOOKUP(K153,'Janeiro 2023 - Valor Real'!A3:A15,'Janeiro 2023 - Valor Real'!C3:C15,0))+1))/((L151-1)*(1-_xlfn.XLOOKUP(K151,'Janeiro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Real'!C3:C15,0))+1))/((L151-1)*(1-_xlfn.XLOOKUP(K151,'Janeiro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Real'!C3:C15,0))+1))/((L152-1)*(1-_xlfn.XLOOKUP(K152,'Janeiro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Real'!C3:C15,0))+1))/((L153-1)*(1-_xlfn.XLOOKUP(K153,'Janeiro 2023 - Valor Real'!A3:A15,'Janeiro 2023 - Valor Real'!C3:C15,0))+1)),IF(I151="Lay",IF(I152="Lay",((L152/(L152-1)-1)*(1-_xlfn.XLOOKUP(K152,'Janeiro 2023 - Valor Real'!A3:A15,'Janeiro 2023 - Valor Real'!C3:C15,0))+1)/(((L152/(L152-1)-1)*(1-_xlfn.XLOOKUP(K152,'Janeiro 2023 - Valor Real'!A3:A15,'Janeiro 2023 - Valor Real'!C3:C15,0))+1)+((L151/(L151-1)-1)*(1-_xlfn.XLOOKUP(K151,'Janeiro 2023 - Valor Real'!A3:A15,'Janeiro 2023 - Valor Real'!C3:C15,0))+1)),((L152-1)*(1-_xlfn.XLOOKUP(K152,'Janeiro 2023 - Valor Real'!A3:A15,'Janeiro 2023 - Valor Real'!C3:C15,0))+1)/(((L152-1)*(1-_xlfn.XLOOKUP(K152,'Janeiro 2023 - Valor Real'!A3:A15,'Janeiro 2023 - Valor Real'!C3:C15,0))+1)+((L151/(L151-1)-1)*(1-_xlfn.XLOOKUP(K151,'Janeiro 2023 - Valor Real'!A3:A15,'Janeiro 2023 - Valor Real'!C3:C15,0))+1))),IF(I152="Lay",(((L152/(L152-1)-1)*(1-_xlfn.XLOOKUP(K152,'Janeiro 2023 - Valor Real'!A3:A15,'Janeiro 2023 - Valor Real'!C3:C15,0))+1))/(((L151-1)*(1-_xlfn.XLOOKUP(K151,'Janeiro 2023 - Valor Real'!A3:A15,'Janeiro 2023 - Valor Real'!C3:C15,0))+1)+((L152/(L152-1)-1)*(1-_xlfn.XLOOKUP(K152,'Janeiro 2023 - Valor Real'!A3:A15,'Janeiro 2023 - Valor Real'!C3:C15,0))+1)),((L152-1)*(1-_xlfn.XLOOKUP(K152,'Janeiro 2023 - Valor Real'!A3:A15,'Janeiro 2023 - Valor Real'!C3:C15,0))+1)/(((L152-1)*(1-_xlfn.XLOOKUP(K152,'Janeiro 2023 - Valor Real'!A3:A15,'Janeiro 2023 - Valor Real'!C3:C15,0))+1)+((L151-1)*(1-_xlfn.XLOOKUP(K151,'Janeiro 2023 - Valor Real'!A3:A15,'Janeiro 2023 - Valor Real'!C3:C15,0))+1))))))</f>
        <v>0.492924528301887</v>
      </c>
      <c r="AF151" s="197">
        <f>IF($K151=AF$3,ROUND(IF(OR($C151="W",$C151="1/2W",$C151="1/2L"),$P151-$O151,IF($C151="X",0,-$O151)),2),0)</f>
        <v>14</v>
      </c>
      <c r="AG151" s="198">
        <f>IF($K151=AG$3,ROUND(IF(OR($C151="W",$C151="1/2W",$C151="1/2L"),$P151-$O151,IF($C151="X",0,-$O151)),2),0)</f>
        <v>0</v>
      </c>
      <c r="AH151" s="198">
        <f>IF($K151=AH$3,ROUND(IF(OR($C151="W",$C151="1/2W",$C151="1/2L"),$P151-$O151,IF($C151="X",0,-$O151)),2),0)</f>
        <v>0</v>
      </c>
      <c r="AI151" s="198">
        <f>IF($K151=AI$3,ROUND(IF(OR($C151="W",$C151="1/2W",$C151="1/2L"),$P151-$O151,IF($C151="X",0,-$O151)),2),0)</f>
        <v>0</v>
      </c>
      <c r="AJ151" s="198">
        <f>IF($K151=AJ$3,ROUND(IF(OR($C151="W",$C151="1/2W",$C151="1/2L"),$P151-$O151,IF($C151="X",0,-$O151)),2),0)</f>
        <v>0</v>
      </c>
      <c r="AK151" s="198">
        <f>IF($K151=AK$3,ROUND(IF(OR($C151="W",$C151="1/2W",$C151="1/2L"),$P151-$O151,IF($C151="X",0,-$O151)),2),0)</f>
        <v>0</v>
      </c>
      <c r="AL151" s="198">
        <f>IF($K151=AL$3,ROUND(IF(OR($C151="W",$C151="1/2W",$C151="1/2L"),$P151-$O151,IF($C151="X",0,-$O151)),2),0)</f>
        <v>0</v>
      </c>
      <c r="AM151" s="198">
        <f>IF($K151=AM$3,ROUND(IF(OR($C151="W",$C151="1/2W",$C151="1/2L"),$P151-$O151,IF($C151="X",0,-$O151)),2),0)</f>
        <v>0</v>
      </c>
      <c r="AN151" s="198">
        <f>IF($K151=AN$3,ROUND(IF(OR($C151="W",$C151="1/2W",$C151="1/2L"),$P151-$O151,IF($C151="X",0,-$O151)),2),0)</f>
        <v>0</v>
      </c>
      <c r="AO151" s="198">
        <f>IF($K151=AO$3,ROUND(IF(OR($C151="W",$C151="1/2W",$C151="1/2L"),$P151-$O151,IF($C151="X",0,-$O151)),2),0)</f>
        <v>0</v>
      </c>
      <c r="AP151" s="198">
        <f>IF($K151=AP$3,ROUND(IF(OR($C151="W",$C151="1/2W",$C151="1/2L"),$P151-$O151,IF($C151="X",0,-$O151)),2),0)</f>
        <v>0</v>
      </c>
      <c r="AQ151" s="198">
        <f>IF($K151=AQ$3,ROUND(IF(OR($C151="W",$C151="1/2W",$C151="1/2L"),$P151-$O151,IF($C151="X",0,-$O151)),2),0)</f>
        <v>0</v>
      </c>
      <c r="AR151" s="199">
        <f>IF($K151=AR$3,ROUND(IF(OR($C151="W",$C151="1/2W",$C151="1/2L"),$P151-$O151,IF($C151="X",0,-$O151)),2),0)</f>
        <v>0</v>
      </c>
      <c r="AS151" s="197">
        <f>IF(AND($B151=" ",$K151=AS$3),$O151,0)</f>
        <v>0</v>
      </c>
      <c r="AT151" s="198">
        <f>IF(AND($B151=" ",$K151=AT$3),$O151,0)</f>
        <v>0</v>
      </c>
      <c r="AU151" s="198">
        <f>IF(AND($B151=" ",$K151=AU$3),$O151,0)</f>
        <v>0</v>
      </c>
      <c r="AV151" s="198">
        <f>IF(AND($B151=" ",$K151=AV$3),$O151,0)</f>
        <v>0</v>
      </c>
      <c r="AW151" s="198">
        <f>IF(AND($B151=" ",$K151=AW$3),$O151,0)</f>
        <v>0</v>
      </c>
      <c r="AX151" s="198">
        <f>IF(AND($B151=" ",$K151=AX$3),$O151,0)</f>
        <v>0</v>
      </c>
      <c r="AY151" s="200">
        <f>IF(AND($B151=" ",$K151=AY$3),$O151,0)</f>
        <v>0</v>
      </c>
      <c r="AZ151" s="201">
        <f>IF(AND($B151=" ",$K151=AZ$3),$O151,0)</f>
        <v>0</v>
      </c>
      <c r="BA151" s="201">
        <f>IF(AND($B151=" ",$K151=BA$3),$O151,0)</f>
        <v>0</v>
      </c>
      <c r="BB151" s="201">
        <f>IF(AND($B151=" ",$K151=BB$3),$O151,0)</f>
        <v>0</v>
      </c>
      <c r="BC151" s="202">
        <f>IF(AND($B151=" ",$K151=BC$3),$O151,0)</f>
        <v>0</v>
      </c>
      <c r="BD151" s="198">
        <f>IF(AND($B151=" ",$K151=BD$3),$O151,0)</f>
        <v>0</v>
      </c>
      <c r="BE151" s="199">
        <f>IF(AND($B151=" ",$K151=BE$3),$O151,0)</f>
        <v>0</v>
      </c>
      <c r="BF151" s="203">
        <f>IF($K151=BF$3,IF($C151="X",0,$O151),0)</f>
        <v>12.17</v>
      </c>
      <c r="BG151" s="198">
        <f>IF($K151=BG$3,IF($C151="X",0,$O151),0)</f>
        <v>0</v>
      </c>
      <c r="BH151" s="198">
        <f>IF($K151=BH$3,IF($C151="X",0,$O151),0)</f>
        <v>0</v>
      </c>
      <c r="BI151" s="198">
        <f>IF($K151=BI$3,IF($C151="X",0,$O151),0)</f>
        <v>0</v>
      </c>
      <c r="BJ151" s="198">
        <f>IF($K151=BJ$3,IF($C151="X",0,$O151),0)</f>
        <v>0</v>
      </c>
      <c r="BK151" s="198">
        <f>IF($K151=BK$3,IF($C151="X",0,$O151),0)</f>
        <v>0</v>
      </c>
      <c r="BL151" s="198">
        <f>IF($K151=BL$3,IF($C151="X",0,$O151),0)</f>
        <v>0</v>
      </c>
      <c r="BM151" s="200">
        <f>IF($K151=BM$3,IF($C151="X",0,$O151),0)</f>
        <v>0</v>
      </c>
      <c r="BN151" s="201">
        <f>IF($K151=BN$3,IF($C151="X",0,$O151),0)</f>
        <v>0</v>
      </c>
      <c r="BO151" s="201">
        <f>IF($K151=BO$3,IF($C151="X",0,$O151),0)</f>
        <v>0</v>
      </c>
      <c r="BP151" s="201">
        <f>IF($K151=BP$3,IF($C151="X",0,$O151),0)</f>
        <v>0</v>
      </c>
      <c r="BQ151" s="202">
        <f>IF($K151=BQ$3,IF($C151="X",0,$O151),0)</f>
        <v>0</v>
      </c>
      <c r="BR151" s="199">
        <f>IF($K151=BR$3,IF($C151="X",0,$O151),0)</f>
        <v>0</v>
      </c>
      <c r="BS151" s="204">
        <f>IF($B151="LOSS",IF(AND($K151=BS$3,$C151="L"),-$O151,0)+IF(AND($K152=BS$3,$C152="L"),-$O152,0)+IF(AND($K153=BS$3,$C153="L"),-$O153,0),IF(OR(AND($K151=BS$3,OR($C151="W",$C151="1/2W")),AND($K152=BS$3,OR($C152="W",$C152="1/2W")),AND($K153=BS$3,OR($C153="W",$C153="1/2W"))),$S151,0))</f>
        <v>1</v>
      </c>
      <c r="BT151" s="201">
        <f>IF($B151="LOSS",IF(AND($K151=BT$3,$C151="L"),-$O151,0)+IF(AND($K152=BT$3,$C152="L"),-$O152,0)+IF(AND($K152=BT$3,$C153="L"),-$O153,0),IF(OR(AND($K152=BT$3,OR($C151="W",$C151="1/2W")),AND($K152=BT$3,OR($C152="W",$C152="1/2W")),AND($K152=BT$3,OR($C153="W",$C153="1/2W"))),$S151,0))</f>
        <v>0</v>
      </c>
      <c r="BU151" s="201">
        <f>IF($B151="LOSS",IF(AND($K151=BU$3,$C151="L"),-$O151,0)+IF(AND($K152=BU$3,$C152="L"),-$O152,0)+IF(AND($K152=BU$3,$C153="L"),-$O153,0),IF(OR(AND($K152=BU$3,OR($C151="W",$C151="1/2W")),AND($K152=BU$3,OR($C152="W",$C152="1/2W")),AND($K152=BU$3,OR($C153="W",$C153="1/2W"))),$S151,0))</f>
        <v>0</v>
      </c>
      <c r="BV151" s="201">
        <f>IF($B151="LOSS",IF(AND($K151=BV$3,$C151="L"),-$O151,0)+IF(AND($K152=BV$3,$C152="L"),-$O152,0)+IF(AND($K153=BV$3,$C153="L"),-$O153,0),IF(OR(AND($K151=BV$3,OR($C151="W",$C151="1/2W")),AND($K152=BV$3,OR($C152="W",$C152="1/2W")),AND($K153=BV$3,OR($C153="W",$C153="1/2W"))),$S151,0))</f>
        <v>0</v>
      </c>
      <c r="BW151" s="201">
        <f>IF($B151="LOSS",IF(AND($K151=BW$3,$C151="L"),-$O151,0)+IF(AND($K152=BW$3,$C152="L"),-$O152,0)+IF(AND($K153=BW$3,$C153="L"),-$O153,0),IF(OR(AND($K151=BW$3,OR($C151="W",$C151="1/2W")),AND($K152=BW$3,OR($C152="W",$C152="1/2W")),AND($K153=BW$3,OR($C153="W",$C153="1/2W"))),$S151,0))</f>
        <v>0</v>
      </c>
      <c r="BX151" s="201">
        <f>IF($B151="LOSS",IF(AND($K151=BX$3,$C151="L"),-$O151,0)+IF(AND($K152=BX$3,$C152="L"),-$O152,0)+IF(AND($K153=BX$3,$C153="L"),-$O153,0),IF(OR(AND($K151=BX$3,OR($C151="W",$C151="1/2W")),AND($K152=BX$3,OR($C152="W",$C152="1/2W")),AND($K153=BX$3,OR($C153="W",$C153="1/2W"))),$S151,0))</f>
        <v>0</v>
      </c>
      <c r="BY151" s="201">
        <f>IF($B151="LOSS",IF(AND($K151=BY$3,$C151="L"),-$O151,0)+IF(AND($K152=BY$3,$C152="L"),-$O152,0)+IF(AND($K153=BY$3,$C153="L"),-$O153,0),IF(OR(AND($K151=BY$3,OR($C151="W",$C151="1/2W")),AND($K152=BY$3,OR($C152="W",$C152="1/2W")),AND($K153=BY$3,OR($C153="W",$C153="1/2W"))),$S151,0))</f>
        <v>0</v>
      </c>
      <c r="BZ151" s="205">
        <f>IF($B151="LOSS",IF(AND($K151=BZ$3,$C151="L"),-$O151,0)+IF(AND($K152=BZ$3,$C152="L"),-$O152,0)+IF(AND($K153=BZ$3,$C153="L"),-$O153,0),IF(OR(AND($K151=BZ$3,OR($C151="W",$C151="1/2W")),AND($K152=BZ$3,OR($C152="W",$C152="1/2W")),AND($K153=BZ$3,OR($C153="W",$C153="1/2W"))),$S151,0))</f>
        <v>0</v>
      </c>
      <c r="CA151" s="205">
        <f>IF($B151="LOSS",IF(AND($K151=CA$3,$C151="L"),-$O151,0)+IF(AND($K152=CA$3,$C152="L"),-$O152,0)+IF(AND($K153=CA$3,$C153="L"),-$O153,0),IF(OR(AND($K151=CA$3,OR($C151="W",$C151="1/2W")),AND($K152=CA$3,OR($C152="W",$C152="1/2W")),AND($K153=CA$3,OR($C153="W",$C153="1/2W"))),$S151,0))</f>
        <v>0</v>
      </c>
      <c r="CB151" s="205">
        <f>IF($B151="LOSS",IF(AND($K151=CB$3,$C151="L"),-$O151,0)+IF(AND($K152=CB$3,$C152="L"),-$O152,0)+IF(AND($K153=CB$3,$C153="L"),-$O153,0),IF(OR(AND($K151=CB$3,OR($C151="W",$C151="1/2W")),AND($K152=CB$3,OR($C152="W",$C152="1/2W")),AND($K153=CB$3,OR($C153="W",$C153="1/2W"))),$S151,0))</f>
        <v>0</v>
      </c>
      <c r="CC151" s="205">
        <f>IF($B151="LOSS",IF(AND($K151=CC$3,$C151="L"),-$O151,0)+IF(AND($K152=CC$3,$C152="L"),-$O152,0)+IF(AND($K153=CC$3,$C153="L"),-$O153,0),IF(OR(AND($K151=CC$3,OR($C151="W",$C151="1/2W")),AND($K152=CC$3,OR($C152="W",$C152="1/2W")),AND($K153=CC$3,OR($C153="W",$C153="1/2W"))),$S151,0))</f>
        <v>0</v>
      </c>
      <c r="CD151" s="202">
        <f>IF($B151="LOSS",IF(AND($K151=CD$3,$C151="L"),-$O151,0)+IF(AND($K152=CD$3,$C152="L"),-$O152,0)+IF(AND($K153=CD$3,$C153="L"),-$O153,0),IF(OR(AND($K151=CD$3,OR($C151="W",$C151="1/2W")),AND($K152=CD$3,OR($C152="W",$C152="1/2W")),AND($K153=CD$3,OR($C153="W",$C153="1/2W"))),$S151,0))</f>
        <v>0</v>
      </c>
      <c r="CE151" s="199">
        <f>IF($B151="LOSS",IF(AND($K151=CE$3,$C151="L"),-$O151,0)+IF(AND($K152=CE$3,$C152="L"),-$O152,0)+IF(AND($K153=CE$3,$C153="L"),-$O153,0),IF(OR(AND($K151=CE$3,OR($C151="W",$C151="1/2W")),AND($K152=CE$3,OR($C152="W",$C152="1/2W")),AND($K153=CE$3,OR($C153="W",$C153="1/2W"))),$S151,0))</f>
        <v>0</v>
      </c>
      <c r="CF151" s="206">
        <f>IF(CF$3=$K151,IF($C151="W",1,IF($C151="1/2W",0.5,0)),0)</f>
        <v>1</v>
      </c>
      <c r="CG151" s="207">
        <f>IF(CF$3=$K151,IF($C151="L",1,IF($C151="1/2L",0.5,0)),0)</f>
        <v>0</v>
      </c>
      <c r="CH151" s="207">
        <f>IF(CH$3=$K151,IF($C151="W",1,IF($C151="1/2W",0.5,0)),0)</f>
        <v>0</v>
      </c>
      <c r="CI151" s="207">
        <f>IF(CH$3=$K151,IF($C151="L",1,IF($C151="1/2L",0.5,0)),0)</f>
        <v>0</v>
      </c>
      <c r="CJ151" s="207">
        <f>IF(CJ$3=$K151,IF($C151="W",1,IF($C151="1/2W",0.5,0)),0)</f>
        <v>0</v>
      </c>
      <c r="CK151" s="207">
        <f>IF(CJ$3=$K151,IF($C151="L",1,IF($C151="1/2L",0.5,0)),0)</f>
        <v>0</v>
      </c>
      <c r="CL151" s="207">
        <f>IF(CL$3=$K151,IF($C151="W",1,IF($C151="1/2W",0.5,0)),0)</f>
        <v>0</v>
      </c>
      <c r="CM151" s="207">
        <f>IF(CL$3=$K151,IF($C151="L",1,IF($C151="1/2L",0.5,0)),0)</f>
        <v>0</v>
      </c>
      <c r="CN151" s="207">
        <f>IF(CN$3=$K151,IF($C151="W",1,IF($C151="1/2W",0.5,0)),0)</f>
        <v>0</v>
      </c>
      <c r="CO151" s="207">
        <f>IF(CN$3=$K151,IF($C151="L",1,IF($C151="1/2L",0.5,0)),0)</f>
        <v>0</v>
      </c>
      <c r="CP151" s="207">
        <f>IF(CP$3=$K151,IF($C151="W",1,IF($C151="1/2W",0.5,0)),0)</f>
        <v>0</v>
      </c>
      <c r="CQ151" s="207">
        <f>IF(CP$3=$K151,IF($C151="L",1,IF($C151="1/2L",0.5,0)),0)</f>
        <v>0</v>
      </c>
      <c r="CR151" s="207">
        <f>IF(CR$3=$K151,IF($C151="W",1,IF($C151="1/2W",0.5,0)),0)</f>
        <v>0</v>
      </c>
      <c r="CS151" s="207">
        <f>IF(CR$3=$K151,IF($C151="L",1,IF($C151="1/2L",0.5,0)),0)</f>
        <v>0</v>
      </c>
      <c r="CT151" s="208">
        <f>IF(CT$3=$K151,IF($C151="W",1,IF($C151="1/2W",0.5,0)),0)</f>
        <v>0</v>
      </c>
      <c r="CU151" s="209">
        <f>IF(CT$3=$K151,IF($C151="L",1,IF($C151="1/2L",0.5,0)),0)</f>
        <v>0</v>
      </c>
      <c r="CV151" s="209">
        <f>IF(CV$3=$K151,IF($C151="W",1,IF($C151="1/2W",0.5,0)),0)</f>
        <v>0</v>
      </c>
      <c r="CW151" s="209">
        <f>IF(CV$3=$K151,IF($C151="L",1,IF($C151="1/2L",0.5,0)),0)</f>
        <v>0</v>
      </c>
      <c r="CX151" s="209">
        <f>IF(CX$3=$K151,IF($C151="W",1,IF($C151="1/2W",0.5,0)),0)</f>
        <v>0</v>
      </c>
      <c r="CY151" s="209">
        <f>IF(CX$3=$K151,IF($C151="L",1,IF($C151="1/2L",0.5,0)),0)</f>
        <v>0</v>
      </c>
      <c r="CZ151" s="209">
        <f>IF(CZ$3=$K151,IF($C151="W",1,IF($C151="1/2W",0.5,0)),0)</f>
        <v>0</v>
      </c>
      <c r="DA151" s="209">
        <f>IF(CZ$3=$K151,IF($C151="L",1,IF($C151="1/2L",0.5,0)),0)</f>
        <v>0</v>
      </c>
      <c r="DB151" s="209">
        <f>IF(DB$3=$K151,IF($C151="W",1,IF($C151="1/2W",0.5,0)),0)</f>
        <v>0</v>
      </c>
      <c r="DC151" s="209">
        <f>IF(DB$3=$K151,IF($C151="L",1,IF($C151="1/2L",0.5,0)),0)</f>
        <v>0</v>
      </c>
      <c r="DD151" s="209">
        <f>IF(DD$3=$K151,IF($C151="W",1,IF($C151="1/2W",0.5,0)),0)</f>
        <v>0</v>
      </c>
      <c r="DE151" s="210">
        <f>IF(DD$3=$K151,IF($C151="L",1,IF($C151="1/2L",0.5,0)),0)</f>
        <v>0</v>
      </c>
      <c r="DF151" s="211">
        <f>IF(AND(L151&lt;DF$3,$C151="W"),1+DF150,DF150)</f>
        <v>7</v>
      </c>
      <c r="DG151" s="198">
        <f>IF(DF151&gt;DF150,L151+DG150,DG150)</f>
        <v>9.247999999999999</v>
      </c>
      <c r="DH151" s="209">
        <f>IF(AND(L151&gt;DH$3,$C151="W"),1+DH150,0+DH150)</f>
        <v>2</v>
      </c>
      <c r="DI151" s="198">
        <f>IF(DH151&gt;DH150,L151+DI150,DI150)</f>
        <v>11.58</v>
      </c>
      <c r="DJ151" t="s" s="306">
        <f>IF($D151="","",$D151)</f>
        <v>184</v>
      </c>
      <c r="DK151" s="209">
        <f>IF(AND($B151=" ",$D151&lt;&gt;""),1,0)</f>
        <v>0</v>
      </c>
    </row>
    <row r="152" ht="14.55" customHeight="1">
      <c r="A152" s="107"/>
      <c r="B152" s="108"/>
      <c r="C152" t="s" s="213">
        <v>51</v>
      </c>
      <c r="D152" s="110"/>
      <c r="E152" s="111"/>
      <c r="F152" s="113"/>
      <c r="G152" s="214"/>
      <c r="H152" s="114"/>
      <c r="I152" t="s" s="215">
        <v>67</v>
      </c>
      <c r="J152" s="296">
        <f>IF(OR(I151="TO",I151="TU",I151="TO1",I151="TU1",I151="TO2",I151="TU2"),J151,IF(OR(I151="AH1",I151="AH2"),IF(OR(I152="AH1",I152="AH2"),-J151,IF(OR(I152="EH1",I152="EH2"),-J151+0.5,"")),IF(OR(I151="EH1",I151="EH2"),IF(OR(I152="AH1",I152="AH2"),-J151+0.5,IF(OR(I152="EH1",I152="EH2"),-J151+1,"")),IF(AND(OR(I151="DNB1",I151="DNB2"),OR(I152="AH1",I152="AH2")),0,IF(AND(I151="Not ScoreBoth",OR(I152="TO1",I152="TO2")),0.5,"")))))</f>
        <v>6.5</v>
      </c>
      <c r="K152" t="s" s="217">
        <v>41</v>
      </c>
      <c r="L152" s="218">
        <v>2.09</v>
      </c>
      <c r="M152" s="219">
        <v>13</v>
      </c>
      <c r="N152" s="120"/>
      <c r="O152" s="220">
        <f>IF(OR(AE151="",AE152=""),"",ROUND(IF(L153&gt;0,IF(M152&gt;0,M152,IF(M151&gt;0,IF(N151=TRUE,ROUND((M151*AE152)/AE151,0),(M151*AE152)/AE151),IF(M152&gt;0,ROUND(M152,IF(N151=0,2,IF(N151=0.1,1,0))),IF(M153&gt;0,ROUND(O153*AE152/AE153,IF(N151=0,2,IF(N151=0.1,1,0))),0)))),IF(M152&gt;0,M152,ROUND((M151*AE152)/AE151,IF(N151=0,2,IF(N151=0.1,1,0))))),2))</f>
        <v>13</v>
      </c>
      <c r="P152" s="221">
        <f>IF(OR(L152="",O152=""),"",IF($C152="1/2W",O152/2+O152/2*L152,IF($C152="1/2L",O152/2,IF(I152="Lay",((O152*(L152/(L152-1)))-O152)*(1-_xlfn.XLOOKUP(K152,'Janeiro 2023 - Valor Real'!A3:A15,'Janeiro 2023 - Valor Real'!C3:C15,0))+O152,(O152*L152-O152)*(1-_xlfn.XLOOKUP(K152,'Janeiro 2023 - Valor Real'!A3:A15,'Janeiro 2023 - Valor Real'!C3:C15,0))+O152))))</f>
        <v>27.17</v>
      </c>
      <c r="Q152" s="222">
        <f>IF(K152="","",IF(_xlfn.XLOOKUP(K152,K68:K$85,DJ68:DJ$85,0,,-1)=DJ152,_xlfn.XLOOKUP(K152,K68:K$85,Q68:Q$85,1,,-1)+1,1))</f>
        <v>1</v>
      </c>
      <c r="R152" s="223">
        <f>IF(K152="","",_xlfn.XLOOKUP(K152,K68:K$85,R68:R$85,0,,-1)+IF($C152=" ",1,0))</f>
        <v>0</v>
      </c>
      <c r="S152" s="125"/>
      <c r="T152" s="126"/>
      <c r="U152" s="126"/>
      <c r="V152" s="224"/>
      <c r="W152" s="126"/>
      <c r="X152" s="127"/>
      <c r="Y152" s="128"/>
      <c r="Z152" s="129"/>
      <c r="AA152" s="129"/>
      <c r="AB152" s="129"/>
      <c r="AC152" s="129"/>
      <c r="AD152" s="225">
        <f>(((L152/(L152-1)-1)*(1-_xlfn.XLOOKUP(K152,'Janeiro 2023 - Valor Real'!A3:A15,'Janeiro 2023 - Valor Real'!C3:C15,0))+1))</f>
        <v>1.91743119266055</v>
      </c>
      <c r="AE152" s="226">
        <f>IF(L152="","",IF(L153&gt;0,(SUM(((L151-1)*(1-_xlfn.XLOOKUP(K151,'Janeiro 2023 - Valor Real'!A3:A15,'Janeiro 2023 - Valor Real'!C3:C15,0))+1),((L152-1)*(1-_xlfn.XLOOKUP(K152,'Janeiro 2023 - Valor Real'!A3:A15,'Janeiro 2023 - Valor Real'!C3:C15,0))+1),((L153-1)*(1-_xlfn.XLOOKUP(K153,'Janeiro 2023 - Valor Real'!A3:A15,'Janeiro 2023 - Valor Real'!C3:C15,0))+1))/((L152-1)*(1-_xlfn.XLOOKUP(K152,'Janeiro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Real'!C3:C15,0))+1))/((L151-1)*(1-_xlfn.XLOOKUP(K151,'Janeiro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Real'!C3:C15,0))+1))/((L152-1)*(1-_xlfn.XLOOKUP(K152,'Janeiro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Real'!C3:C15,0))+1))/((L153-1)*(1-_xlfn.XLOOKUP(K153,'Janeiro 2023 - Valor Real'!A3:A15,'Janeiro 2023 - Valor Real'!C3:C15,0))+1)),IF(I152="Lay",IF(I151="Lay",((L151/(L151-1)-1)*(1-_xlfn.XLOOKUP(K151,'Janeiro 2023 - Valor Real'!A3:A15,'Janeiro 2023 - Valor Real'!C3:C15,0))+1)/(((L151/(L151-1)-1)*(1-_xlfn.XLOOKUP(K151,'Janeiro 2023 - Valor Real'!A3:A15,'Janeiro 2023 - Valor Real'!C3:C15,0))+1)+((L152/(L152-1)-1)*(1-_xlfn.XLOOKUP(K152,'Janeiro 2023 - Valor Real'!A3:A15,'Janeiro 2023 - Valor Real'!C3:C15,0))+1)),((L151-1)*(1-_xlfn.XLOOKUP(K151,'Janeiro 2023 - Valor Real'!A3:A15,'Janeiro 2023 - Valor Real'!C3:C15,0))+1)/(((L151-1)*(1-_xlfn.XLOOKUP(K151,'Janeiro 2023 - Valor Real'!A3:A15,'Janeiro 2023 - Valor Real'!C3:C15,0))+1)+((L152/(L152-1)-1)*(1-_xlfn.XLOOKUP(K152,'Janeiro 2023 - Valor Real'!A3:A15,'Janeiro 2023 - Valor Real'!C3:C15,0))+1))),IF(I151="Lay",((L151/(L151-1)-1)*(1-_xlfn.XLOOKUP(K151,'Janeiro 2023 - Valor Real'!A3:A15,'Janeiro 2023 - Valor Real'!C3:C15,0))+1)/((((L151/(L151-1)-1)*(1-_xlfn.XLOOKUP(K151,'Janeiro 2023 - Valor Real'!A3:A15,'Janeiro 2023 - Valor Real'!C3:C15,0))+1))+((L152-1)*(1-_xlfn.XLOOKUP(K152,'Janeiro 2023 - Valor Real'!A3:A15,'Janeiro 2023 - Valor Real'!C3:C15,0))+1)),((L151-1)*(1-_xlfn.XLOOKUP(K151,'Janeiro 2023 - Valor Real'!A3:A15,'Janeiro 2023 - Valor Real'!C3:C15,0))+1)/(((L151-1)*(1-_xlfn.XLOOKUP(K151,'Janeiro 2023 - Valor Real'!A3:A15,'Janeiro 2023 - Valor Real'!C3:C15,0))+1)+((L152-1)*(1-_xlfn.XLOOKUP(K152,'Janeiro 2023 - Valor Real'!A3:A15,'Janeiro 2023 - Valor Real'!C3:C15,0))+1))))))</f>
        <v>0.507075471698113</v>
      </c>
      <c r="AF152" s="197">
        <f>IF($K152=AF$3,ROUND(IF(OR($C152="W",$C152="1/2W",$C152="1/2L"),$P152-$O152,IF($C152="X",0,-$O152)),2),0)</f>
        <v>0</v>
      </c>
      <c r="AG152" s="198">
        <f>IF($K152=AG$3,ROUND(IF(OR($C152="W",$C152="1/2W",$C152="1/2L"),$P152-$O152,IF($C152="X",0,-$O152)),2),0)</f>
        <v>0</v>
      </c>
      <c r="AH152" s="198">
        <f>IF($K152=AH$3,ROUND(IF(OR($C152="W",$C152="1/2W",$C152="1/2L"),$P152-$O152,IF($C152="X",0,-$O152)),2),0)</f>
        <v>0</v>
      </c>
      <c r="AI152" s="198">
        <f>IF($K152=AI$3,ROUND(IF(OR($C152="W",$C152="1/2W",$C152="1/2L"),$P152-$O152,IF($C152="X",0,-$O152)),2),0)</f>
        <v>0</v>
      </c>
      <c r="AJ152" s="198">
        <f>IF($K152=AJ$3,ROUND(IF(OR($C152="W",$C152="1/2W",$C152="1/2L"),$P152-$O152,IF($C152="X",0,-$O152)),2),0)</f>
        <v>-13</v>
      </c>
      <c r="AK152" s="198">
        <f>IF($K152=AK$3,ROUND(IF(OR($C152="W",$C152="1/2W",$C152="1/2L"),$P152-$O152,IF($C152="X",0,-$O152)),2),0)</f>
        <v>0</v>
      </c>
      <c r="AL152" s="198">
        <f>IF($K152=AL$3,ROUND(IF(OR($C152="W",$C152="1/2W",$C152="1/2L"),$P152-$O152,IF($C152="X",0,-$O152)),2),0)</f>
        <v>0</v>
      </c>
      <c r="AM152" s="198">
        <f>IF($K152=AM$3,ROUND(IF(OR($C152="W",$C152="1/2W",$C152="1/2L"),$P152-$O152,IF($C152="X",0,-$O152)),2),0)</f>
        <v>0</v>
      </c>
      <c r="AN152" s="198">
        <f>IF($K152=AN$3,ROUND(IF(OR($C152="W",$C152="1/2W",$C152="1/2L"),$P152-$O152,IF($C152="X",0,-$O152)),2),0)</f>
        <v>0</v>
      </c>
      <c r="AO152" s="198">
        <f>IF($K152=AO$3,ROUND(IF(OR($C152="W",$C152="1/2W",$C152="1/2L"),$P152-$O152,IF($C152="X",0,-$O152)),2),0)</f>
        <v>0</v>
      </c>
      <c r="AP152" s="198">
        <f>IF($K152=AP$3,ROUND(IF(OR($C152="W",$C152="1/2W",$C152="1/2L"),$P152-$O152,IF($C152="X",0,-$O152)),2),0)</f>
        <v>0</v>
      </c>
      <c r="AQ152" s="198">
        <f>IF($K152=AQ$3,ROUND(IF(OR($C152="W",$C152="1/2W",$C152="1/2L"),$P152-$O152,IF($C152="X",0,-$O152)),2),0)</f>
        <v>0</v>
      </c>
      <c r="AR152" s="199">
        <f>IF($K152=AR$3,ROUND(IF(OR($C152="W",$C152="1/2W",$C152="1/2L"),$P152-$O152,IF($C152="X",0,-$O152)),2),0)</f>
        <v>0</v>
      </c>
      <c r="AS152" s="197">
        <f>IF(AND($B151=" ",$K152=AS$3),$O152,0)</f>
        <v>0</v>
      </c>
      <c r="AT152" s="198">
        <f>IF(AND($B151=" ",K152=AT$3),$O152,0)</f>
        <v>0</v>
      </c>
      <c r="AU152" s="198">
        <f>IF(AND($B151=" ",$K152=AU$3),$O152,0)</f>
        <v>0</v>
      </c>
      <c r="AV152" s="198">
        <f>IF(AND($B151=" ",$K152=AV$3),$O152,0)</f>
        <v>0</v>
      </c>
      <c r="AW152" s="198">
        <f>IF(AND($B151=" ",$K152=AW$3),$O152,0)</f>
        <v>0</v>
      </c>
      <c r="AX152" s="198">
        <f>IF(AND($B151=" ",$K152=AX$3),$O152,0)</f>
        <v>0</v>
      </c>
      <c r="AY152" s="200">
        <f>IF(AND($B151=" ",$K152=AY$3),$O152,0)</f>
        <v>0</v>
      </c>
      <c r="AZ152" s="201">
        <f>IF(AND($B151=" ",$K152=AZ$3),$O152,0)</f>
        <v>0</v>
      </c>
      <c r="BA152" s="201">
        <f>IF(AND($B151=" ",$K152=BA$3),$O152,0)</f>
        <v>0</v>
      </c>
      <c r="BB152" s="201">
        <f>IF(AND($B151=" ",$K152=BB$3),$O152,0)</f>
        <v>0</v>
      </c>
      <c r="BC152" s="202">
        <f>IF(AND($B151=" ",$K152=BC$3),$O152,0)</f>
        <v>0</v>
      </c>
      <c r="BD152" s="198">
        <f>IF(AND($B151=" ",$K152=BD$3),$O152,0)</f>
        <v>0</v>
      </c>
      <c r="BE152" s="199">
        <f>IF(AND($B151=" ",$K152=BE$3),$O152,0)</f>
        <v>0</v>
      </c>
      <c r="BF152" s="197">
        <f>IF($K152=BF$3,IF($C152="X",0,$O152),0)</f>
        <v>0</v>
      </c>
      <c r="BG152" s="198">
        <f>IF($K152=BG$3,IF($C152="X",0,$O152),0)</f>
        <v>0</v>
      </c>
      <c r="BH152" s="198">
        <f>IF($K152=BH$3,IF($C152="X",0,$O152),0)</f>
        <v>0</v>
      </c>
      <c r="BI152" s="198">
        <f>IF($K152=BI$3,IF($C152="X",0,$O152),0)</f>
        <v>0</v>
      </c>
      <c r="BJ152" s="198">
        <f>IF($K152=BJ$3,IF($C152="X",0,$O152),0)</f>
        <v>13</v>
      </c>
      <c r="BK152" s="198">
        <f>IF($K152=BK$3,IF($C152="X",0,$O152),0)</f>
        <v>0</v>
      </c>
      <c r="BL152" s="198">
        <f>IF($K152=BL$3,IF($C152="X",0,$O152),0)</f>
        <v>0</v>
      </c>
      <c r="BM152" s="227">
        <f>IF($K152=BM$3,IF($C152="X",0,$O152),0)</f>
        <v>0</v>
      </c>
      <c r="BN152" s="205">
        <f>IF($K152=BN$3,IF($C152="X",0,$O152),0)</f>
        <v>0</v>
      </c>
      <c r="BO152" s="205">
        <f>IF($K152=BO$3,IF($C152="X",0,$O152),0)</f>
        <v>0</v>
      </c>
      <c r="BP152" s="205">
        <f>IF($K152=BP$3,IF($C152="X",0,$O152),0)</f>
        <v>0</v>
      </c>
      <c r="BQ152" s="202">
        <f>IF($K152=BQ$3,IF($C152="X",0,$O152),0)</f>
        <v>0</v>
      </c>
      <c r="BR152" s="199">
        <f>IF($K152=BR$3,IF($C152="X",0,$O152),0)</f>
        <v>0</v>
      </c>
      <c r="BS152" s="228"/>
      <c r="BT152" s="229"/>
      <c r="BU152" s="140"/>
      <c r="BV152" s="229"/>
      <c r="BW152" s="140"/>
      <c r="BX152" s="140"/>
      <c r="BY152" s="140"/>
      <c r="BZ152" s="229"/>
      <c r="CA152" s="140"/>
      <c r="CB152" s="140"/>
      <c r="CC152" s="140"/>
      <c r="CD152" s="141"/>
      <c r="CE152" s="142"/>
      <c r="CF152" s="230">
        <f>IF(CF$3=$K152,IF($C152="W",1,IF($C152="1/2W",0.5,0)),0)</f>
        <v>0</v>
      </c>
      <c r="CG152" s="231">
        <f>IF(CF$3=$K152,IF($C152="L",1,IF($C152="1/2L",0.5,0)),0)</f>
        <v>0</v>
      </c>
      <c r="CH152" s="231">
        <f>IF(CH$3=$K152,IF($C152="W",1,IF($C152="1/2W",0.5,0)),0)</f>
        <v>0</v>
      </c>
      <c r="CI152" s="231">
        <f>IF(CH$3=$K152,IF($C152="L",1,IF($C152="1/2L",0.5,0)),0)</f>
        <v>0</v>
      </c>
      <c r="CJ152" s="231">
        <f>IF(CJ$3=$K152,IF($C152="W",1,IF($C152="1/2W",0.5,0)),0)</f>
        <v>0</v>
      </c>
      <c r="CK152" s="231">
        <f>IF(CJ$3=$K152,IF($C152="L",1,IF($C152="1/2L",0.5,0)),0)</f>
        <v>0</v>
      </c>
      <c r="CL152" s="231">
        <f>IF(CL$3=$K152,IF($C152="W",1,IF($C152="1/2W",0.5,0)),0)</f>
        <v>0</v>
      </c>
      <c r="CM152" s="231">
        <f>IF(CL$3=$K152,IF($C152="L",1,IF($C152="1/2L",0.5,0)),0)</f>
        <v>0</v>
      </c>
      <c r="CN152" s="231">
        <f>IF(CN$3=$K152,IF($C152="W",1,IF($C152="1/2W",0.5,0)),0)</f>
        <v>0</v>
      </c>
      <c r="CO152" s="231">
        <f>IF(CN$3=$K152,IF($C152="L",1,IF($C152="1/2L",0.5,0)),0)</f>
        <v>1</v>
      </c>
      <c r="CP152" s="231">
        <f>IF(CP$3=$K152,IF($C152="W",1,IF($C152="1/2W",0.5,0)),0)</f>
        <v>0</v>
      </c>
      <c r="CQ152" s="231">
        <f>IF(CP$3=$K152,IF($C152="L",1,IF($C152="1/2L",0.5,0)),0)</f>
        <v>0</v>
      </c>
      <c r="CR152" s="231">
        <f>IF(CR$3=$K152,IF($C152="W",1,IF($C152="1/2W",0.5,0)),0)</f>
        <v>0</v>
      </c>
      <c r="CS152" s="231">
        <f>IF(CR$3=$K152,IF($C152="L",1,IF($C152="1/2L",0.5,0)),0)</f>
        <v>0</v>
      </c>
      <c r="CT152" s="208">
        <f>IF(CT$3=$K152,IF($C152="W",1,IF($C152="1/2W",0.5,0)),0)</f>
        <v>0</v>
      </c>
      <c r="CU152" s="209">
        <f>IF(CT$3=$K152,IF($C152="L",1,IF($C152="1/2L",0.5,0)),0)</f>
        <v>0</v>
      </c>
      <c r="CV152" s="209">
        <f>IF(CV$3=$K152,IF($C152="W",1,IF($C152="1/2W",0.5,0)),0)</f>
        <v>0</v>
      </c>
      <c r="CW152" s="209">
        <f>IF(CV$3=$K152,IF($C152="L",1,IF($C152="1/2L",0.5,0)),0)</f>
        <v>0</v>
      </c>
      <c r="CX152" s="209">
        <f>IF(CX$3=$K152,IF($C152="W",1,IF($C152="1/2W",0.5,0)),0)</f>
        <v>0</v>
      </c>
      <c r="CY152" s="209">
        <f>IF(CX$3=$K152,IF($C152="L",1,IF($C152="1/2L",0.5,0)),0)</f>
        <v>0</v>
      </c>
      <c r="CZ152" s="209">
        <f>IF(CZ$3=$K152,IF($C152="W",1,IF($C152="1/2W",0.5,0)),0)</f>
        <v>0</v>
      </c>
      <c r="DA152" s="209">
        <f>IF(CZ$3=$K152,IF($C152="L",1,IF($C152="1/2L",0.5,0)),0)</f>
        <v>0</v>
      </c>
      <c r="DB152" s="209">
        <f>IF(DB$3=$K152,IF($C152="W",1,IF($C152="1/2W",0.5,0)),0)</f>
        <v>0</v>
      </c>
      <c r="DC152" s="209">
        <f>IF(DB$3=$K152,IF($C152="L",1,IF($C152="1/2L",0.5,0)),0)</f>
        <v>0</v>
      </c>
      <c r="DD152" s="209">
        <f>IF(DD$3=$K152,IF($C152="W",1,IF($C152="1/2W",0.5,0)),0)</f>
        <v>0</v>
      </c>
      <c r="DE152" s="210">
        <f>IF(DD$3=$K152,IF($C152="L",1,IF($C152="1/2L",0.5,0)),0)</f>
        <v>0</v>
      </c>
      <c r="DF152" s="211">
        <f>IF(AND(L152&lt;DF$3,$C152="W"),1+DF151,DF151)</f>
        <v>7</v>
      </c>
      <c r="DG152" s="198">
        <f>IF(DF152&gt;DF151,L152+DG151,DG151)</f>
        <v>9.247999999999999</v>
      </c>
      <c r="DH152" s="209">
        <f>IF(AND(L152&gt;DH$3,$C152="W"),1+DH151,0+DH151)</f>
        <v>2</v>
      </c>
      <c r="DI152" s="198">
        <f>IF(DH152&gt;DH151,L152+DI151,DI151)</f>
        <v>11.58</v>
      </c>
      <c r="DJ152" t="s" s="306">
        <f>IF($D151="","",$D151)</f>
        <v>184</v>
      </c>
      <c r="DK152" s="232"/>
    </row>
    <row r="153" ht="14.55" customHeight="1">
      <c r="A153" s="149"/>
      <c r="B153" s="150"/>
      <c r="C153" t="s" s="233">
        <v>58</v>
      </c>
      <c r="D153" s="152"/>
      <c r="E153" s="153"/>
      <c r="F153" s="310"/>
      <c r="G153" s="234"/>
      <c r="H153" s="156"/>
      <c r="I153" s="235"/>
      <c r="J153" s="236"/>
      <c r="K153" s="237"/>
      <c r="L153" s="238"/>
      <c r="M153" s="239"/>
      <c r="N153" s="161"/>
      <c r="O153" t="s" s="240">
        <f>IF(OR(AE151="",AE152=""),"",IF(L153&gt;0,ROUND(IF(M153&gt;0,M153,IF(M151&gt;0,ROUND((M151*AE153)/AE151,IF(N151=0,2,IF(N151=0.1,1,0))),IF(M152&gt;0,ROUND((M152*AE153)/AE152,IF(N151=0,2,IF(N151=0.1,1,0))),IF(M153&gt;0,M153,0)))),2),""))</f>
      </c>
      <c r="P153" t="s" s="241">
        <f>IF(I152="Lay",O152*(L152/(L152-1))-O152,IF(I151="Lay",O151*(L151/(L151-1))-O151,IF(OR(L153="",O153=""),"",IF($C153="1/2W",O153/2+O153/2*L153,IF($C153="1/2L",O153/2,(O153*L153-O153)*(1-_xlfn.XLOOKUP(K153,'Janeiro 2023 - Valor Real'!A3:A15,'Janeiro 2023 - Valor Real'!C3:C15,0))+O153)))))</f>
      </c>
      <c r="Q153" t="s" s="242">
        <f>IF(K153="","",IF(_xlfn.XLOOKUP(K153,K68:K$86,DJ68:DJ$86,0,,-1)=DJ153,_xlfn.XLOOKUP(K153,K68:K$86,Q68:Q$86,1,,-1)+1,1))</f>
      </c>
      <c r="R153" t="s" s="243">
        <f>IF(K153="","",_xlfn.XLOOKUP(K153,K68:K$86,R68:R$86,0,,-1)+IF($C153=" ",1,0))</f>
      </c>
      <c r="S153" s="166"/>
      <c r="T153" s="155"/>
      <c r="U153" s="155"/>
      <c r="V153" s="166"/>
      <c r="W153" s="155"/>
      <c r="X153" s="167"/>
      <c r="Y153" s="128"/>
      <c r="Z153" s="129"/>
      <c r="AA153" s="129"/>
      <c r="AB153" s="129"/>
      <c r="AC153" s="129"/>
      <c r="AD153" s="244">
        <f>((L152/(L152-1)-1))</f>
        <v>0.91743119266055</v>
      </c>
      <c r="AE153" t="s" s="245">
        <f>IF(L153="","",(SUM(((L151-1)*(1-_xlfn.XLOOKUP(K151,'Janeiro 2023 - Valor Real'!A3:A15,'Janeiro 2023 - Valor Real'!C3:C15,0))+1),((L152-1)*(1-_xlfn.XLOOKUP(K152,'Janeiro 2023 - Valor Real'!A3:A15,'Janeiro 2023 - Valor Real'!C3:C15,0))+1),((L153-1)*(1-_xlfn.XLOOKUP(K153,'Janeiro 2023 - Valor Real'!A3:A15,'Janeiro 2023 - Valor Real'!C3:C15,0))+1))/((L153-1)*(1-_xlfn.XLOOKUP(K153,'Janeiro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Real'!C3:C15,0))+1))/((L151-1)*(1-_xlfn.XLOOKUP(K151,'Janeiro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Real'!C3:C15,0))+1))/((L152-1)*(1-_xlfn.XLOOKUP(K152,'Janeiro 2023 - Valor Real'!A3:A15,'Janeiro 2023 - Valor Real'!C3:C15,0))+1)+SUM(((L151-1)*(1-_xlfn.XLOOKUP(K151,'Janeiro 2023 - Valor Real'!A3:A15,'Janeiro 2023 - Valor Real'!C3:C15,0))+1),((L152-1)*(1-_xlfn.XLOOKUP(K152,'Janeiro 2023 - Valor Real'!A3:A15,'Janeiro 2023 - Valor Real'!C3:C15,0))+1),((L153-1)*(1-_xlfn.XLOOKUP(K153,'Janeiro 2023 - Valor Real'!A3:A15,'Janeiro 2023 - Valor Real'!C3:C15,0))+1))/((L153-1)*(1-_xlfn.XLOOKUP(K153,'Janeiro 2023 - Valor Real'!A3:A15,'Janeiro 2023 - Valor Real'!C3:C15,0))+1)))</f>
      </c>
      <c r="AF153" s="197">
        <f>IF($K153=AF$3,ROUND(IF(OR($C153="W",$C153="1/2W",$C153="1/2L"),$P153-$O153,IF($C153="X",0,-$O153)),2),0)</f>
        <v>0</v>
      </c>
      <c r="AG153" s="198">
        <f>IF($K153=AG$3,ROUND(IF(OR($C153="W",$C153="1/2W",$C153="1/2L"),$P153-$O153,IF($C153="X",0,-$O153)),2),0)</f>
        <v>0</v>
      </c>
      <c r="AH153" s="198">
        <f>IF($K153=AH$3,ROUND(IF(OR($C153="W",$C153="1/2W",$C153="1/2L"),$P153-$O153,IF($C153="X",0,-$O153)),2),0)</f>
        <v>0</v>
      </c>
      <c r="AI153" s="198">
        <f>IF($K153=AI$3,ROUND(IF(OR($C153="W",$C153="1/2W",$C153="1/2L"),$P153-$O153,IF($C153="X",0,-$O153)),2),0)</f>
        <v>0</v>
      </c>
      <c r="AJ153" s="198">
        <f>IF($K153=AJ$3,ROUND(IF(OR($C153="W",$C153="1/2W",$C153="1/2L"),$P153-$O153,IF($C153="X",0,-$O153)),2),0)</f>
        <v>0</v>
      </c>
      <c r="AK153" s="198">
        <f>IF($K153=AK$3,ROUND(IF(OR($C153="W",$C153="1/2W",$C153="1/2L"),$P153-$O153,IF($C153="X",0,-$O153)),2),0)</f>
        <v>0</v>
      </c>
      <c r="AL153" s="198">
        <f>IF($K153=AL$3,ROUND(IF(OR($C153="W",$C153="1/2W",$C153="1/2L"),$P153-$O153,IF($C153="X",0,-$O153)),2),0)</f>
        <v>0</v>
      </c>
      <c r="AM153" s="198">
        <f>IF($K153=AM$3,ROUND(IF(OR($C153="W",$C153="1/2W",$C153="1/2L"),$P153-$O153,IF($C153="X",0,-$O153)),2),0)</f>
        <v>0</v>
      </c>
      <c r="AN153" s="198">
        <f>IF($K153=AN$3,ROUND(IF(OR($C153="W",$C153="1/2W",$C153="1/2L"),$P153-$O153,IF($C153="X",0,-$O153)),2),0)</f>
        <v>0</v>
      </c>
      <c r="AO153" s="198">
        <f>IF($K153=AO$3,ROUND(IF(OR($C153="W",$C153="1/2W",$C153="1/2L"),$P153-$O153,IF($C153="X",0,-$O153)),2),0)</f>
        <v>0</v>
      </c>
      <c r="AP153" s="198">
        <f>IF($K153=AP$3,ROUND(IF(OR($C153="W",$C153="1/2W",$C153="1/2L"),$P153-$O153,IF($C153="X",0,-$O153)),2),0)</f>
        <v>0</v>
      </c>
      <c r="AQ153" s="198">
        <f>IF($K153=AQ$3,ROUND(IF(OR($C153="W",$C153="1/2W",$C153="1/2L"),$P153-$O153,IF($C153="X",0,-$O153)),2),0)</f>
        <v>0</v>
      </c>
      <c r="AR153" s="199">
        <f>IF($K153=AR$3,ROUND(IF(OR($C153="W",$C153="1/2W",$C153="1/2L"),$P153-$O153,IF($C153="X",0,-$O153)),2),0)</f>
        <v>0</v>
      </c>
      <c r="AS153" s="197">
        <f>IF(AND($B151=" ",$K153=AS$3),$O153,0)</f>
        <v>0</v>
      </c>
      <c r="AT153" s="198">
        <f>IF(AND($B151=" ",K153=AT$3),$O153,0)</f>
        <v>0</v>
      </c>
      <c r="AU153" s="198">
        <f>IF(AND($B151=" ",$K153=AU$3),$O153,0)</f>
        <v>0</v>
      </c>
      <c r="AV153" s="198">
        <f>IF(AND($B151=" ",$K153=AV$3),$O153,0)</f>
        <v>0</v>
      </c>
      <c r="AW153" s="198">
        <f>IF(AND($B151=" ",$K153=AW$3),$O153,0)</f>
        <v>0</v>
      </c>
      <c r="AX153" s="198">
        <f>IF(AND($B151=" ",$K153=AX$3),$O153,0)</f>
        <v>0</v>
      </c>
      <c r="AY153" s="200">
        <f>IF(AND($B151=" ",$K153=AY$3),$O153,0)</f>
        <v>0</v>
      </c>
      <c r="AZ153" s="201">
        <f>IF(AND($B151=" ",$K153=AZ$3),$O153,0)</f>
        <v>0</v>
      </c>
      <c r="BA153" s="201">
        <f>IF(AND($B151=" ",$K153=BA$3),$O153,0)</f>
        <v>0</v>
      </c>
      <c r="BB153" s="201">
        <f>IF(AND($B151=" ",$K153=BB$3),$O153,0)</f>
        <v>0</v>
      </c>
      <c r="BC153" s="202">
        <f>IF(AND($B151=" ",$K153=BC$3),$O153,0)</f>
        <v>0</v>
      </c>
      <c r="BD153" s="198">
        <f>IF(AND($B151=" ",$K153=BD$3),$O153,0)</f>
        <v>0</v>
      </c>
      <c r="BE153" s="199">
        <f>IF(AND($B151=" ",$K153=BE$3),$O153,0)</f>
        <v>0</v>
      </c>
      <c r="BF153" s="197">
        <f>IF($K153=BF$3,IF($C153="X",0,$O153),0)</f>
        <v>0</v>
      </c>
      <c r="BG153" s="198">
        <f>IF($K153=BG$3,IF($C153="X",0,$O153),0)</f>
        <v>0</v>
      </c>
      <c r="BH153" s="198">
        <f>IF($K153=BH$3,IF($C153="X",0,$O153),0)</f>
        <v>0</v>
      </c>
      <c r="BI153" s="198">
        <f>IF($K153=BI$3,IF($C153="X",0,$O153),0)</f>
        <v>0</v>
      </c>
      <c r="BJ153" s="198">
        <f>IF($K153=BJ$3,IF($C153="X",0,$O153),0)</f>
        <v>0</v>
      </c>
      <c r="BK153" s="198">
        <f>IF($K153=BK$3,IF($C153="X",0,$O153),0)</f>
        <v>0</v>
      </c>
      <c r="BL153" s="198">
        <f>IF($K153=BL$3,IF($C153="X",0,$O153),0)</f>
        <v>0</v>
      </c>
      <c r="BM153" s="200">
        <f>IF($K153=BM$3,IF($C153="X",0,$O153),0)</f>
        <v>0</v>
      </c>
      <c r="BN153" s="201">
        <f>IF($K153=BN$3,IF($C153="X",0,$O153),0)</f>
        <v>0</v>
      </c>
      <c r="BO153" s="201">
        <f>IF($K153=BO$3,IF($C153="X",0,$O153),0)</f>
        <v>0</v>
      </c>
      <c r="BP153" s="201">
        <f>IF($K153=BP$3,IF($C153="X",0,$O153),0)</f>
        <v>0</v>
      </c>
      <c r="BQ153" s="202">
        <f>IF($K153=BQ$3,IF($C153="X",0,$O153),0)</f>
        <v>0</v>
      </c>
      <c r="BR153" s="199">
        <f>IF($K153=BR$3,IF($C153="X",0,$O153),0)</f>
        <v>0</v>
      </c>
      <c r="BS153" s="228"/>
      <c r="BT153" s="229"/>
      <c r="BU153" s="140"/>
      <c r="BV153" s="229"/>
      <c r="BW153" s="140"/>
      <c r="BX153" s="140"/>
      <c r="BY153" s="140"/>
      <c r="BZ153" s="229"/>
      <c r="CA153" s="140"/>
      <c r="CB153" s="140"/>
      <c r="CC153" s="140"/>
      <c r="CD153" s="141"/>
      <c r="CE153" s="142"/>
      <c r="CF153" s="230">
        <f>IF(CF$3=$K153,IF($C153="W",1,IF($C153="1/2W",0.5,0)),0)</f>
        <v>0</v>
      </c>
      <c r="CG153" s="231">
        <f>IF(CF$3=$K153,IF($C153="L",1,IF($C153="1/2L",0.5,0)),0)</f>
        <v>0</v>
      </c>
      <c r="CH153" s="231">
        <f>IF(CH$3=$K153,IF($C153="W",1,IF($C153="1/2W",0.5,0)),0)</f>
        <v>0</v>
      </c>
      <c r="CI153" s="231">
        <f>IF(CH$3=$K153,IF($C153="L",1,IF($C153="1/2L",0.5,0)),0)</f>
        <v>0</v>
      </c>
      <c r="CJ153" s="231">
        <f>IF(CJ$3=$K153,IF($C153="W",1,IF($C153="1/2W",0.5,0)),0)</f>
        <v>0</v>
      </c>
      <c r="CK153" s="231">
        <f>IF(CJ$3=$K153,IF($C153="L",1,IF($C153="1/2L",0.5,0)),0)</f>
        <v>0</v>
      </c>
      <c r="CL153" s="231">
        <f>IF(CL$3=$K153,IF($C153="W",1,IF($C153="1/2W",0.5,0)),0)</f>
        <v>0</v>
      </c>
      <c r="CM153" s="231">
        <f>IF(CL$3=$K153,IF($C153="L",1,IF($C153="1/2L",0.5,0)),0)</f>
        <v>0</v>
      </c>
      <c r="CN153" s="231">
        <f>IF(CN$3=$K153,IF($C153="W",1,IF($C153="1/2W",0.5,0)),0)</f>
        <v>0</v>
      </c>
      <c r="CO153" s="231">
        <f>IF(CN$3=$K153,IF($C153="L",1,IF($C153="1/2L",0.5,0)),0)</f>
        <v>0</v>
      </c>
      <c r="CP153" s="231">
        <f>IF(CP$3=$K153,IF($C153="W",1,IF($C153="1/2W",0.5,0)),0)</f>
        <v>0</v>
      </c>
      <c r="CQ153" s="231">
        <f>IF(CP$3=$K153,IF($C153="L",1,IF($C153="1/2L",0.5,0)),0)</f>
        <v>0</v>
      </c>
      <c r="CR153" s="231">
        <f>IF(CR$3=$K153,IF($C153="W",1,IF($C153="1/2W",0.5,0)),0)</f>
        <v>0</v>
      </c>
      <c r="CS153" s="231">
        <f>IF(CR$3=$K153,IF($C153="L",1,IF($C153="1/2L",0.5,0)),0)</f>
        <v>0</v>
      </c>
      <c r="CT153" s="208">
        <f>IF(CT$3=$K153,IF($C153="W",1,IF($C153="1/2W",0.5,0)),0)</f>
        <v>0</v>
      </c>
      <c r="CU153" s="209">
        <f>IF(CT$3=$K153,IF($C153="L",1,IF($C153="1/2L",0.5,0)),0)</f>
        <v>0</v>
      </c>
      <c r="CV153" s="209">
        <f>IF(CV$3=$K153,IF($C153="W",1,IF($C153="1/2W",0.5,0)),0)</f>
        <v>0</v>
      </c>
      <c r="CW153" s="209">
        <f>IF(CV$3=$K153,IF($C153="L",1,IF($C153="1/2L",0.5,0)),0)</f>
        <v>0</v>
      </c>
      <c r="CX153" s="209">
        <f>IF(CX$3=$K153,IF($C153="W",1,IF($C153="1/2W",0.5,0)),0)</f>
        <v>0</v>
      </c>
      <c r="CY153" s="209">
        <f>IF(CX$3=$K153,IF($C153="L",1,IF($C153="1/2L",0.5,0)),0)</f>
        <v>0</v>
      </c>
      <c r="CZ153" s="209">
        <f>IF(CZ$3=$K153,IF($C153="W",1,IF($C153="1/2W",0.5,0)),0)</f>
        <v>0</v>
      </c>
      <c r="DA153" s="209">
        <f>IF(CZ$3=$K153,IF($C153="L",1,IF($C153="1/2L",0.5,0)),0)</f>
        <v>0</v>
      </c>
      <c r="DB153" s="209">
        <f>IF(DB$3=$K153,IF($C153="W",1,IF($C153="1/2W",0.5,0)),0)</f>
        <v>0</v>
      </c>
      <c r="DC153" s="209">
        <f>IF(DB$3=$K153,IF($C153="L",1,IF($C153="1/2L",0.5,0)),0)</f>
        <v>0</v>
      </c>
      <c r="DD153" s="209">
        <f>IF(DD$3=$K153,IF($C153="W",1,IF($C153="1/2W",0.5,0)),0)</f>
        <v>0</v>
      </c>
      <c r="DE153" s="210">
        <f>IF(DD$3=$K153,IF($C153="L",1,IF($C153="1/2L",0.5,0)),0)</f>
        <v>0</v>
      </c>
      <c r="DF153" s="211">
        <f>IF(AND(L153&lt;DF$3,$C153="W"),1+DF152,DF152)</f>
        <v>7</v>
      </c>
      <c r="DG153" s="198">
        <f>IF(DF153&gt;DF152,L153+DG152,DG152)</f>
        <v>9.247999999999999</v>
      </c>
      <c r="DH153" s="209">
        <f>IF(AND(L153&gt;DH$3,$C153="W"),1+DH152,0+DH152)</f>
        <v>2</v>
      </c>
      <c r="DI153" s="198">
        <f>IF(DH153&gt;DH152,L153+DI152,DI152)</f>
        <v>11.58</v>
      </c>
      <c r="DJ153" t="s" s="306">
        <f>IF($D151="","",$D151)</f>
        <v>184</v>
      </c>
      <c r="DK153" s="232"/>
    </row>
    <row r="154" ht="14.55" customHeight="1">
      <c r="A154" s="246">
        <f>$A151+1</f>
        <v>51</v>
      </c>
      <c r="B154" t="s" s="247">
        <v>50</v>
      </c>
      <c r="C154" t="s" s="248">
        <v>51</v>
      </c>
      <c r="D154" t="s" s="303">
        <f>IF(G154="","",$D151)</f>
        <v>184</v>
      </c>
      <c r="E154" t="s" s="250">
        <v>63</v>
      </c>
      <c r="F154" t="s" s="302"/>
      <c r="G154" s="252">
        <v>44944.833333333336</v>
      </c>
      <c r="H154" t="s" s="253">
        <v>187</v>
      </c>
      <c r="I154" t="s" s="254">
        <v>79</v>
      </c>
      <c r="J154" s="293"/>
      <c r="K154" t="s" s="256">
        <v>40</v>
      </c>
      <c r="L154" s="257">
        <v>5</v>
      </c>
      <c r="M154" s="258">
        <v>3.48</v>
      </c>
      <c r="N154" s="259">
        <v>0</v>
      </c>
      <c r="O154" s="260">
        <f>IF(OR(AE154="",AE155=""),"",ROUND(IF(L156&gt;0,IF(M154&gt;0,M154,IF(M155&gt;0,ROUND((M155*AE154)/AE155,IF(N154=0,2,IF(N154=0.1,1,0))),ROUND((M156*AE154)/AE156,IF(N154=0,2,IF(N154=0.1,1,0))))),IF(M154&gt;0,M154,ROUND((M155*AE154)/AE155,IF(N154=0,2,IF(N154=0.1,1,0))))),2))</f>
        <v>3.48</v>
      </c>
      <c r="P154" s="261">
        <f>IF(OR(L154="",O154=""),"",IF($C154="1/2W",O154/2+O154/2*L154,IF($C154="1/2L",O154/2,IF(I154="Lay",(O154*(L154/(L154-1))-O154)*(1-_xlfn.XLOOKUP(K154,'Janeiro 2023 - Valor Real'!A3:A15,'Janeiro 2023 - Valor Real'!C3:C15,0))+O154,(O154*L154-O154)*(1-_xlfn.XLOOKUP(K154,'Janeiro 2023 - Valor Real'!A3:A15,'Janeiro 2023 - Valor Real'!C3:C15,0))+O154))))</f>
        <v>17.4</v>
      </c>
      <c r="Q154" s="262">
        <v>1</v>
      </c>
      <c r="R154" s="263">
        <v>0</v>
      </c>
      <c r="S154" s="264">
        <f>IF($B154="Anulado",0,ROUND(IF(OR($B154="LOSS",$B154="OK"),IF(OR($C154="W",$C154="1/2W",$C154="1/2L"),P154-O154,IF($C154="L",-O154,0))+IF(OR($C155="W",$C155="1/2W",$C155="1/2L"),P155-O155,IF($C155="L",-O155,0))+IF(OR($C156="W",$C156="1/2W",$C156="1/2L"),P156-O156,IF($C156="L",-O156,0)),IF(AND(OR($C154="W",$C154="1/2W",$C154="1/2L"),C155="W"),P154+P155-SUM(O154:O156)+_xlfn.XLOOKUP("X",C154:C156,O154:O156,0),IF(AND(C154=TRUE,C156="W"),P154+P156-SUM(O154:O156),IF(AND(C155="W",C156="W"),P155+P156-SUM(O154:O156)+_xlfn.XLOOKUP("X",C154:C156,O154:O156,0),IF(L156&gt;0,IF(OR($C154="W",$C154="1/2W",$C154="1/2L"),P154-SUM(O154:O156)+_xlfn.XLOOKUP("X",C154:C156,O154:O156,0),IF(OR($C154="W",$C154="1/2W",$C154="1/2L"),P155-SUM(O154:O156)+_xlfn.XLOOKUP("X",C154:C156,O154:O156,0),IF(OR($C154="W",$C154="1/2W",$C154="1/2L"),P156-SUM(O154:O156)+_xlfn.XLOOKUP("X",C154:C156,O154:O156,0),IF(SUM(P154:P156)/3-SUM(O154:O156)+_xlfn.XLOOKUP("X",C154:C156,O154:O156,0)&gt;0,SUM(P154:P156)/3-SUM(O154:O156)+_xlfn.XLOOKUP("X",C154:C156,O154:O156,0),LARGE(P154:P156,1)-SUM(O154:O156))))),IF(OR($C154="W",$C154="1/2W",$C154="1/2L"),P154-SUM(O154:O155)+_xlfn.XLOOKUP("X",C154:C156,O154:O156,0),IF(OR($C154="W",$C154="1/2W",$C154="1/2L"),P155-SUM(O154:O155)+_xlfn.XLOOKUP("X",C154:C156,O154:O156,0),SUM(P154:P155)/2-SUM(O154:O155)+_xlfn.XLOOKUP("X",C154:C156,O154:O156,0)))))))),2))</f>
        <v>1.03</v>
      </c>
      <c r="T154" s="265">
        <f>IF(S154=0,0,S154/SUM(O154:O156))</f>
        <v>0.062919975565058</v>
      </c>
      <c r="U154" s="266">
        <f>IF($D154=$D151,IF(OR($B154="LOSS",$B154="OK",$B154="Anulada"),S154,0)+U151,IF(OR($B154="LOSS",$B154="OK",$B154="Anulada"),S154,0))</f>
        <v>3.01</v>
      </c>
      <c r="V154" s="266">
        <f>IF($D154="",0,IF($D154=$D151,IF($B154=" ",IF(I156="",IF(OR(AND(I154="DNB1",I155="DNB2"),AND(OR(I154="DNB1",I154="DNB2"),J155=0),AND(OR(I155="DNB1",I155="DNB2"),J154=0),AND(I154="DNB2",I155="DNB1"),AND(IF(J154=0,(J154+1)/ROUND(J154+1,0),J154/ROUND(J154,0))=1,IF(J155=0,(J155+1)/ROUND(IF(J155="",0,J155)+1,0),IF(J155="",0,J155)/ROUND(IF(J155="",1,J155),0))=1,OR(J154&lt;&gt;""),J155&lt;&gt;"")),0,IF(S154&lt;0,IF(I156="",SMALL(P154:P155,1)-SUM(O154:O155),0),SMALL(P154:P155,1)-SUM(O154:O155))),IF(S154&lt;0,IF(I156="",SMALL(P154:P156,1)-SUM(O154:O156),0),LARGE(P154:P156,1)-SUM(O154:O156))),S154)+V151,IF(I156="",IF(OR(AND(I154="DNB1",I155="DNB2"),AND(OR(I154="DNB1",I154="DNB2"),J155=0),AND(OR(I155="DNB1",I155="DNB2"),J154=0),AND(I154="DNB2",I155="DNB1"),AND(IF(J154=0,(J154+1)/ROUND(J154+1,0),J154/ROUND(J154,0))=1,IF(J155=0,(IF(J155="",0,J155)+1)/ROUND(IF(J155="",0,J155)+1,0),IF(J155="",0,J155)/ROUND(IF(J155="",0,J155)+1,0))=1,OR(J154&lt;&gt;""),J155&lt;&gt;"")),0,IF(S154&lt;0,IF(I156="",SMALL(P154:P155,1)-SUM(O154:O155),0),SMALL(P154:P156,1)-SUM(O154:O156))),IF(S154&lt;0,IF(I156="",SMALL(P154:P156,1)-SUM(O154:O156),0),LARGE(P154:P156,1)-SUM(O154:O156)))))</f>
        <v>3.0075</v>
      </c>
      <c r="W154" s="266">
        <f>IF($D154=$D151,IF(S154&lt;0,IF(I156="",S154,0),S154)+W151,S154)</f>
        <v>3.01</v>
      </c>
      <c r="X154" t="s" s="267">
        <f>IF(OR(SUM(R154:R156)=0,V154=W154),ROUND(IF(W154=0,0,W154/Y154)*100,2)&amp;"%",ROUND(IF(V154=0,0,V154/Y154)*100,2)&amp;"% a "&amp;ROUND(IF(W154=0,0,W154/Y154)*100,2)&amp;"%")</f>
        <v>188</v>
      </c>
      <c r="Y154" s="268">
        <f>IF($D154=$D151,Y151+SUM(O154:O156),SUM(O154:O156))</f>
        <v>51.96</v>
      </c>
      <c r="Z154" s="266">
        <f>IF($B154=" ",SUM(O154:O156),0)+Z151</f>
        <v>0</v>
      </c>
      <c r="AA154" s="266">
        <f>IF(G154="","",IF($B154="Anulado",LARGE(P154:P156,1)-SUM(O154:O156)+AA151,AA151))</f>
        <v>14.1564</v>
      </c>
      <c r="AB154" s="266">
        <f>IF($D154="","",AB151+S154)</f>
        <v>128.12</v>
      </c>
      <c r="AC154" s="269">
        <f>IF($D154="","",IF($B154=" ",IF(DAY(G154)=DAY(TODAY()),1+AC151,0+AC151),0+AC151))</f>
        <v>0</v>
      </c>
      <c r="AD154" s="270">
        <f>(1-_xlfn.XLOOKUP(K152,'Janeiro 2023 - Valor Real'!A3:A15,'Janeiro 2023 - Valor Real'!C3:C15,0))+1</f>
        <v>2</v>
      </c>
      <c r="AE154" s="271">
        <f>IF(L154="","",IF(L156&gt;0,(SUM(((L154-1)*(1-_xlfn.XLOOKUP(K154,'Janeiro 2023 - Valor Real'!A3:A15,'Janeiro 2023 - Valor Real'!C3:C15,0))+1),((L155-1)*(1-_xlfn.XLOOKUP(K155,'Janeiro 2023 - Valor Real'!A3:A15,'Janeiro 2023 - Valor Real'!C3:C15,0))+1),((L156-1)*(1-_xlfn.XLOOKUP(K156,'Janeiro 2023 - Valor Real'!A3:A15,'Janeiro 2023 - Valor Real'!C3:C15,0))+1))/((L154-1)*(1-_xlfn.XLOOKUP(K154,'Janeiro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Real'!C3:C15,0))+1))/((L154-1)*(1-_xlfn.XLOOKUP(K154,'Janeiro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Real'!C3:C15,0))+1))/((L155-1)*(1-_xlfn.XLOOKUP(K155,'Janeiro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Real'!C3:C15,0))+1))/((L156-1)*(1-_xlfn.XLOOKUP(K156,'Janeiro 2023 - Valor Real'!A3:A15,'Janeiro 2023 - Valor Real'!C3:C15,0))+1)),IF(I154="Lay",IF(I155="Lay",((L155/(L155-1)-1)*(1-_xlfn.XLOOKUP(K155,'Janeiro 2023 - Valor Real'!A3:A15,'Janeiro 2023 - Valor Real'!C3:C15,0))+1)/(((L155/(L155-1)-1)*(1-_xlfn.XLOOKUP(K155,'Janeiro 2023 - Valor Real'!A3:A15,'Janeiro 2023 - Valor Real'!C3:C15,0))+1)+((L154/(L154-1)-1)*(1-_xlfn.XLOOKUP(K154,'Janeiro 2023 - Valor Real'!A3:A15,'Janeiro 2023 - Valor Real'!C3:C15,0))+1)),((L155-1)*(1-_xlfn.XLOOKUP(K155,'Janeiro 2023 - Valor Real'!A3:A15,'Janeiro 2023 - Valor Real'!C3:C15,0))+1)/(((L155-1)*(1-_xlfn.XLOOKUP(K155,'Janeiro 2023 - Valor Real'!A3:A15,'Janeiro 2023 - Valor Real'!C3:C15,0))+1)+((L154/(L154-1)-1)*(1-_xlfn.XLOOKUP(K154,'Janeiro 2023 - Valor Real'!A3:A15,'Janeiro 2023 - Valor Real'!C3:C15,0))+1))),IF(I155="Lay",(((L155/(L155-1)-1)*(1-_xlfn.XLOOKUP(K155,'Janeiro 2023 - Valor Real'!A3:A15,'Janeiro 2023 - Valor Real'!C3:C15,0))+1))/(((L154-1)*(1-_xlfn.XLOOKUP(K154,'Janeiro 2023 - Valor Real'!A3:A15,'Janeiro 2023 - Valor Real'!C3:C15,0))+1)+((L155/(L155-1)-1)*(1-_xlfn.XLOOKUP(K155,'Janeiro 2023 - Valor Real'!A3:A15,'Janeiro 2023 - Valor Real'!C3:C15,0))+1)),((L155-1)*(1-_xlfn.XLOOKUP(K155,'Janeiro 2023 - Valor Real'!A3:A15,'Janeiro 2023 - Valor Real'!C3:C15,0))+1)/(((L155-1)*(1-_xlfn.XLOOKUP(K155,'Janeiro 2023 - Valor Real'!A3:A15,'Janeiro 2023 - Valor Real'!C3:C15,0))+1)+((L154-1)*(1-_xlfn.XLOOKUP(K154,'Janeiro 2023 - Valor Real'!A3:A15,'Janeiro 2023 - Valor Real'!C3:C15,0))+1))))))</f>
        <v>0.21259842519685</v>
      </c>
      <c r="AF154" s="132">
        <f>IF($K154=AF$3,ROUND(IF(OR($C154="W",$C154="1/2W",$C154="1/2L"),$P154-$O154,IF($C154="X",0,-$O154)),2),0)</f>
        <v>0</v>
      </c>
      <c r="AG154" s="133">
        <f>IF($K154=AG$3,ROUND(IF(OR($C154="W",$C154="1/2W",$C154="1/2L"),$P154-$O154,IF($C154="X",0,-$O154)),2),0)</f>
        <v>0</v>
      </c>
      <c r="AH154" s="133">
        <f>IF($K154=AH$3,ROUND(IF(OR($C154="W",$C154="1/2W",$C154="1/2L"),$P154-$O154,IF($C154="X",0,-$O154)),2),0)</f>
        <v>0</v>
      </c>
      <c r="AI154" s="133">
        <f>IF($K154=AI$3,ROUND(IF(OR($C154="W",$C154="1/2W",$C154="1/2L"),$P154-$O154,IF($C154="X",0,-$O154)),2),0)</f>
        <v>-3.48</v>
      </c>
      <c r="AJ154" s="133">
        <f>IF($K154=AJ$3,ROUND(IF(OR($C154="W",$C154="1/2W",$C154="1/2L"),$P154-$O154,IF($C154="X",0,-$O154)),2),0)</f>
        <v>0</v>
      </c>
      <c r="AK154" s="133">
        <f>IF($K154=AK$3,ROUND(IF(OR($C154="W",$C154="1/2W",$C154="1/2L"),$P154-$O154,IF($C154="X",0,-$O154)),2),0)</f>
        <v>0</v>
      </c>
      <c r="AL154" s="133">
        <f>IF($K154=AL$3,ROUND(IF(OR($C154="W",$C154="1/2W",$C154="1/2L"),$P154-$O154,IF($C154="X",0,-$O154)),2),0)</f>
        <v>0</v>
      </c>
      <c r="AM154" s="133">
        <f>IF($K154=AM$3,ROUND(IF(OR($C154="W",$C154="1/2W",$C154="1/2L"),$P154-$O154,IF($C154="X",0,-$O154)),2),0)</f>
        <v>0</v>
      </c>
      <c r="AN154" s="133">
        <f>IF($K154=AN$3,ROUND(IF(OR($C154="W",$C154="1/2W",$C154="1/2L"),$P154-$O154,IF($C154="X",0,-$O154)),2),0)</f>
        <v>0</v>
      </c>
      <c r="AO154" s="133">
        <f>IF($K154=AO$3,ROUND(IF(OR($C154="W",$C154="1/2W",$C154="1/2L"),$P154-$O154,IF($C154="X",0,-$O154)),2),0)</f>
        <v>0</v>
      </c>
      <c r="AP154" s="133">
        <f>IF($K154=AP$3,ROUND(IF(OR($C154="W",$C154="1/2W",$C154="1/2L"),$P154-$O154,IF($C154="X",0,-$O154)),2),0)</f>
        <v>0</v>
      </c>
      <c r="AQ154" s="133">
        <f>IF($K154=AQ$3,ROUND(IF(OR($C154="W",$C154="1/2W",$C154="1/2L"),$P154-$O154,IF($C154="X",0,-$O154)),2),0)</f>
        <v>0</v>
      </c>
      <c r="AR154" s="134">
        <f>IF($K154=AR$3,ROUND(IF(OR($C154="W",$C154="1/2W",$C154="1/2L"),$P154-$O154,IF($C154="X",0,-$O154)),2),0)</f>
        <v>0</v>
      </c>
      <c r="AS154" s="132">
        <f>IF(AND($B154=" ",$K154=AS$3),$O154,0)</f>
        <v>0</v>
      </c>
      <c r="AT154" s="133">
        <f>IF(AND($B154=" ",$K154=AT$3),$O154,0)</f>
        <v>0</v>
      </c>
      <c r="AU154" s="133">
        <f>IF(AND($B154=" ",$K154=AU$3),$O154,0)</f>
        <v>0</v>
      </c>
      <c r="AV154" s="133">
        <f>IF(AND($B154=" ",$K154=AV$3),$O154,0)</f>
        <v>0</v>
      </c>
      <c r="AW154" s="133">
        <f>IF(AND($B154=" ",$K154=AW$3),$O154,0)</f>
        <v>0</v>
      </c>
      <c r="AX154" s="133">
        <f>IF(AND($B154=" ",$K154=AX$3),$O154,0)</f>
        <v>0</v>
      </c>
      <c r="AY154" s="135">
        <f>IF(AND($B154=" ",$K154=AY$3),$O154,0)</f>
        <v>0</v>
      </c>
      <c r="AZ154" s="136">
        <f>IF(AND($B154=" ",$K154=AZ$3),$O154,0)</f>
        <v>0</v>
      </c>
      <c r="BA154" s="136">
        <f>IF(AND($B154=" ",$K154=BA$3),$O154,0)</f>
        <v>0</v>
      </c>
      <c r="BB154" s="136">
        <f>IF(AND($B154=" ",$K154=BB$3),$O154,0)</f>
        <v>0</v>
      </c>
      <c r="BC154" s="137">
        <f>IF(AND($B154=" ",$K154=BC$3),$O154,0)</f>
        <v>0</v>
      </c>
      <c r="BD154" s="133">
        <f>IF(AND($B154=" ",$K154=BD$3),$O154,0)</f>
        <v>0</v>
      </c>
      <c r="BE154" s="134">
        <f>IF(AND($B154=" ",$K154=BE$3),$O154,0)</f>
        <v>0</v>
      </c>
      <c r="BF154" s="132">
        <f>IF($K154=BF$3,IF($C154="X",0,$O154),0)</f>
        <v>0</v>
      </c>
      <c r="BG154" s="133">
        <f>IF($K154=BG$3,IF($C154="X",0,$O154),0)</f>
        <v>0</v>
      </c>
      <c r="BH154" s="133">
        <f>IF($K154=BH$3,IF($C154="X",0,$O154),0)</f>
        <v>0</v>
      </c>
      <c r="BI154" s="133">
        <f>IF($K154=BI$3,IF($C154="X",0,$O154),0)</f>
        <v>3.48</v>
      </c>
      <c r="BJ154" s="133">
        <f>IF($K154=BJ$3,IF($C154="X",0,$O154),0)</f>
        <v>0</v>
      </c>
      <c r="BK154" s="133">
        <f>IF($K154=BK$3,IF($C154="X",0,$O154),0)</f>
        <v>0</v>
      </c>
      <c r="BL154" s="133">
        <f>IF($K154=BL$3,IF($C154="X",0,$O154),0)</f>
        <v>0</v>
      </c>
      <c r="BM154" s="135">
        <f>IF($K154=BM$3,IF($C154="X",0,$O154),0)</f>
        <v>0</v>
      </c>
      <c r="BN154" s="136">
        <f>IF($K154=BN$3,IF($C154="X",0,$O154),0)</f>
        <v>0</v>
      </c>
      <c r="BO154" s="136">
        <f>IF($K154=BO$3,IF($C154="X",0,$O154),0)</f>
        <v>0</v>
      </c>
      <c r="BP154" s="136">
        <f>IF($K154=BP$3,IF($C154="X",0,$O154),0)</f>
        <v>0</v>
      </c>
      <c r="BQ154" s="137">
        <f>IF($K154=BQ$3,IF($C154="X",0,$O154),0)</f>
        <v>0</v>
      </c>
      <c r="BR154" s="134">
        <f>IF($K154=BR$3,IF($C154="X",0,$O154),0)</f>
        <v>0</v>
      </c>
      <c r="BS154" s="170">
        <f>IF($B154="LOSS",IF(AND($K154=BS$3,$C154="L"),-$O154,0)+IF(AND($K155=BS$3,$C155="L"),-$O155,0)+IF(AND($K156=BS$3,$C156="L"),-$O156,0),IF(OR(AND($K154=BS$3,OR($C154="W",$C154="1/2W")),AND($K155=BS$3,OR($C155="W",$C155="1/2W")),AND($K156=BS$3,OR($C156="W",$C156="1/2W"))),$S154,0))</f>
        <v>0</v>
      </c>
      <c r="BT154" s="272">
        <f>IF($B154="LOSS",IF(AND($K154=BT$3,$C154="L"),-$O154,0)+IF(AND($K155=BT$3,$C155="L"),-$O155,0)+IF(AND($K155=BT$3,$C156="L"),-$O156,0),IF(OR(AND($K155=BT$3,OR($C154="W",$C154="1/2W")),AND($K155=BT$3,OR($C155="W",$C155="1/2W")),AND($K155=BT$3,OR($C156="W",$C156="1/2W"))),$S154,0))</f>
        <v>1.03</v>
      </c>
      <c r="BU154" s="136">
        <f>IF($B154="LOSS",IF(AND($K154=BU$3,$C154="L"),-$O154,0)+IF(AND($K155=BU$3,$C155="L"),-$O155,0)+IF(AND($K155=BU$3,$C156="L"),-$O156,0),IF(OR(AND($K155=BU$3,OR($C154="W",$C154="1/2W")),AND($K155=BU$3,OR($C155="W",$C155="1/2W")),AND($K155=BU$3,OR($C156="W",$C156="1/2W"))),$S154,0))</f>
        <v>0</v>
      </c>
      <c r="BV154" s="136">
        <f>IF($B154="LOSS",IF(AND($K154=BV$3,$C154="L"),-$O154,0)+IF(AND($K155=BV$3,$C155="L"),-$O155,0)+IF(AND($K156=BV$3,$C156="L"),-$O156,0),IF(OR(AND($K154=BV$3,OR($C154="W",$C154="1/2W")),AND($K155=BV$3,OR($C155="W",$C155="1/2W")),AND($K156=BV$3,OR($C156="W",$C156="1/2W"))),$S154,0))</f>
        <v>0</v>
      </c>
      <c r="BW154" s="136">
        <f>IF($B154="LOSS",IF(AND($K154=BW$3,$C154="L"),-$O154,0)+IF(AND($K155=BW$3,$C155="L"),-$O155,0)+IF(AND($K156=BW$3,$C156="L"),-$O156,0),IF(OR(AND($K154=BW$3,OR($C154="W",$C154="1/2W")),AND($K155=BW$3,OR($C155="W",$C155="1/2W")),AND($K156=BW$3,OR($C156="W",$C156="1/2W"))),$S154,0))</f>
        <v>0</v>
      </c>
      <c r="BX154" s="136">
        <f>IF($B154="LOSS",IF(AND($K154=BX$3,$C154="L"),-$O154,0)+IF(AND($K155=BX$3,$C155="L"),-$O155,0)+IF(AND($K156=BX$3,$C156="L"),-$O156,0),IF(OR(AND($K154=BX$3,OR($C154="W",$C154="1/2W")),AND($K155=BX$3,OR($C155="W",$C155="1/2W")),AND($K156=BX$3,OR($C156="W",$C156="1/2W"))),$S154,0))</f>
        <v>0</v>
      </c>
      <c r="BY154" s="136">
        <f>IF($B154="LOSS",IF(AND($K154=BY$3,$C154="L"),-$O154,0)+IF(AND($K155=BY$3,$C155="L"),-$O155,0)+IF(AND($K156=BY$3,$C156="L"),-$O156,0),IF(OR(AND($K154=BY$3,OR($C154="W",$C154="1/2W")),AND($K155=BY$3,OR($C155="W",$C155="1/2W")),AND($K156=BY$3,OR($C156="W",$C156="1/2W"))),$S154,0))</f>
        <v>0</v>
      </c>
      <c r="BZ154" s="136">
        <f>IF($B154="LOSS",IF(AND($K154=BZ$3,$C154="L"),-$O154,0)+IF(AND($K155=BZ$3,$C155="L"),-$O155,0)+IF(AND($K156=BZ$3,$C156="L"),-$O156,0),IF(OR(AND($K154=BZ$3,OR($C154="W",$C154="1/2W")),AND($K155=BZ$3,OR($C155="W",$C155="1/2W")),AND($K156=BZ$3,OR($C156="W",$C156="1/2W"))),$S154,0))</f>
        <v>0</v>
      </c>
      <c r="CA154" s="136">
        <f>IF($B154="LOSS",IF(AND($K154=CA$3,$C154="L"),-$O154,0)+IF(AND($K155=CA$3,$C155="L"),-$O155,0)+IF(AND($K156=CA$3,$C156="L"),-$O156,0),IF(OR(AND($K154=CA$3,OR($C154="W",$C154="1/2W")),AND($K155=CA$3,OR($C155="W",$C155="1/2W")),AND($K156=CA$3,OR($C156="W",$C156="1/2W"))),$S154,0))</f>
        <v>0</v>
      </c>
      <c r="CB154" s="136">
        <f>IF($B154="LOSS",IF(AND($K154=CB$3,$C154="L"),-$O154,0)+IF(AND($K155=CB$3,$C155="L"),-$O155,0)+IF(AND($K156=CB$3,$C156="L"),-$O156,0),IF(OR(AND($K154=CB$3,OR($C154="W",$C154="1/2W")),AND($K155=CB$3,OR($C155="W",$C155="1/2W")),AND($K156=CB$3,OR($C156="W",$C156="1/2W"))),$S154,0))</f>
        <v>0</v>
      </c>
      <c r="CC154" s="136">
        <f>IF($B154="LOSS",IF(AND($K154=CC$3,$C154="L"),-$O154,0)+IF(AND($K155=CC$3,$C155="L"),-$O155,0)+IF(AND($K156=CC$3,$C156="L"),-$O156,0),IF(OR(AND($K154=CC$3,OR($C154="W",$C154="1/2W")),AND($K155=CC$3,OR($C155="W",$C155="1/2W")),AND($K156=CC$3,OR($C156="W",$C156="1/2W"))),$S154,0))</f>
        <v>0</v>
      </c>
      <c r="CD154" s="137">
        <f>IF($B154="LOSS",IF(AND($K154=CD$3,$C154="L"),-$O154,0)+IF(AND($K155=CD$3,$C155="L"),-$O155,0)+IF(AND($K156=CD$3,$C156="L"),-$O156,0),IF(OR(AND($K154=CD$3,OR($C154="W",$C154="1/2W")),AND($K155=CD$3,OR($C155="W",$C155="1/2W")),AND($K156=CD$3,OR($C156="W",$C156="1/2W"))),$S154,0))</f>
        <v>0</v>
      </c>
      <c r="CE154" s="134">
        <f>IF($B154="LOSS",IF(AND($K154=CE$3,$C154="L"),-$O154,0)+IF(AND($K155=CE$3,$C155="L"),-$O155,0)+IF(AND($K156=CE$3,$C156="L"),-$O156,0),IF(OR(AND($K154=CE$3,OR($C154="W",$C154="1/2W")),AND($K155=CE$3,OR($C155="W",$C155="1/2W")),AND($K156=CE$3,OR($C156="W",$C156="1/2W"))),$S154,0))</f>
        <v>0</v>
      </c>
      <c r="CF154" s="273">
        <f>IF(CF$3=$K154,IF($C154="W",1,IF($C154="1/2W",0.5,0)),0)</f>
        <v>0</v>
      </c>
      <c r="CG154" s="274">
        <f>IF(CF$3=$K154,IF($C154="L",1,IF($C154="1/2L",0.5,0)),0)</f>
        <v>0</v>
      </c>
      <c r="CH154" s="274">
        <f>IF(CH$3=$K154,IF($C154="W",1,IF($C154="1/2W",0.5,0)),0)</f>
        <v>0</v>
      </c>
      <c r="CI154" s="274">
        <f>IF(CH$3=$K154,IF($C154="L",1,IF($C154="1/2L",0.5,0)),0)</f>
        <v>0</v>
      </c>
      <c r="CJ154" s="274">
        <f>IF(CJ$3=$K154,IF($C154="W",1,IF($C154="1/2W",0.5,0)),0)</f>
        <v>0</v>
      </c>
      <c r="CK154" s="274">
        <f>IF(CJ$3=$K154,IF($C154="L",1,IF($C154="1/2L",0.5,0)),0)</f>
        <v>0</v>
      </c>
      <c r="CL154" s="274">
        <f>IF(CL$3=$K154,IF($C154="W",1,IF($C154="1/2W",0.5,0)),0)</f>
        <v>0</v>
      </c>
      <c r="CM154" s="274">
        <f>IF(CL$3=$K154,IF($C154="L",1,IF($C154="1/2L",0.5,0)),0)</f>
        <v>1</v>
      </c>
      <c r="CN154" s="274">
        <f>IF(CN$3=$K154,IF($C154="W",1,IF($C154="1/2W",0.5,0)),0)</f>
        <v>0</v>
      </c>
      <c r="CO154" s="274">
        <f>IF(CN$3=$K154,IF($C154="L",1,IF($C154="1/2L",0.5,0)),0)</f>
        <v>0</v>
      </c>
      <c r="CP154" s="274">
        <f>IF(CP$3=$K154,IF($C154="W",1,IF($C154="1/2W",0.5,0)),0)</f>
        <v>0</v>
      </c>
      <c r="CQ154" s="274">
        <f>IF(CP$3=$K154,IF($C154="L",1,IF($C154="1/2L",0.5,0)),0)</f>
        <v>0</v>
      </c>
      <c r="CR154" s="274">
        <f>IF(CR$3=$K154,IF($C154="W",1,IF($C154="1/2W",0.5,0)),0)</f>
        <v>0</v>
      </c>
      <c r="CS154" s="274">
        <f>IF(CR$3=$K154,IF($C154="L",1,IF($C154="1/2L",0.5,0)),0)</f>
        <v>0</v>
      </c>
      <c r="CT154" s="145">
        <f>IF(CT$3=$K154,IF($C154="W",1,IF($C154="1/2W",0.5,0)),0)</f>
        <v>0</v>
      </c>
      <c r="CU154" s="146">
        <f>IF(CT$3=$K154,IF($C154="L",1,IF($C154="1/2L",0.5,0)),0)</f>
        <v>0</v>
      </c>
      <c r="CV154" s="146">
        <f>IF(CV$3=$K154,IF($C154="W",1,IF($C154="1/2W",0.5,0)),0)</f>
        <v>0</v>
      </c>
      <c r="CW154" s="146">
        <f>IF(CV$3=$K154,IF($C154="L",1,IF($C154="1/2L",0.5,0)),0)</f>
        <v>0</v>
      </c>
      <c r="CX154" s="146">
        <f>IF(CX$3=$K154,IF($C154="W",1,IF($C154="1/2W",0.5,0)),0)</f>
        <v>0</v>
      </c>
      <c r="CY154" s="146">
        <f>IF(CX$3=$K154,IF($C154="L",1,IF($C154="1/2L",0.5,0)),0)</f>
        <v>0</v>
      </c>
      <c r="CZ154" s="146">
        <f>IF(CZ$3=$K154,IF($C154="W",1,IF($C154="1/2W",0.5,0)),0)</f>
        <v>0</v>
      </c>
      <c r="DA154" s="146">
        <f>IF(CZ$3=$K154,IF($C154="L",1,IF($C154="1/2L",0.5,0)),0)</f>
        <v>0</v>
      </c>
      <c r="DB154" s="146">
        <f>IF(DB$3=$K154,IF($C154="W",1,IF($C154="1/2W",0.5,0)),0)</f>
        <v>0</v>
      </c>
      <c r="DC154" s="146">
        <f>IF(DB$3=$K154,IF($C154="L",1,IF($C154="1/2L",0.5,0)),0)</f>
        <v>0</v>
      </c>
      <c r="DD154" s="146">
        <f>IF(DD$3=$K154,IF($C154="W",1,IF($C154="1/2W",0.5,0)),0)</f>
        <v>0</v>
      </c>
      <c r="DE154" s="147">
        <f>IF(DD$3=$K154,IF($C154="L",1,IF($C154="1/2L",0.5,0)),0)</f>
        <v>0</v>
      </c>
      <c r="DF154" s="143">
        <f>IF(AND(L154&lt;DF$3,$C154="W"),1+DF153,DF153)</f>
        <v>7</v>
      </c>
      <c r="DG154" s="133">
        <f>IF(DF154&gt;DF153,L154+DG153,DG153)</f>
        <v>9.247999999999999</v>
      </c>
      <c r="DH154" s="146">
        <f>IF(AND(L154&gt;DH$3,$C154="W"),1+DH153,0+DH153)</f>
        <v>2</v>
      </c>
      <c r="DI154" s="133">
        <f>IF(DH154&gt;DH153,L154+DI153,DI153)</f>
        <v>11.58</v>
      </c>
      <c r="DJ154" t="s" s="304">
        <f>IF($D154="","",$D154)</f>
        <v>184</v>
      </c>
      <c r="DK154" s="146">
        <f>IF(AND($B154=" ",$D154&lt;&gt;""),1,0)</f>
        <v>0</v>
      </c>
    </row>
    <row r="155" ht="14.55" customHeight="1">
      <c r="A155" s="107"/>
      <c r="B155" s="108"/>
      <c r="C155" t="s" s="109">
        <v>56</v>
      </c>
      <c r="D155" s="110"/>
      <c r="E155" s="111"/>
      <c r="F155" s="113"/>
      <c r="G155" s="252"/>
      <c r="H155" s="114"/>
      <c r="I155" t="s" s="275">
        <v>81</v>
      </c>
      <c r="J155" t="s" s="295">
        <f>IF(OR(I154="TO",I154="TU",I154="TO1",I154="TU1",I154="TO2",I154="TU2"),J154,IF(OR(I154="AH1",I154="AH2"),IF(OR(I155="AH1",I155="AH2"),-J154,IF(OR(I155="EH1",I155="EH2"),-J154+0.5,"")),IF(OR(I154="EH1",I154="EH2"),IF(OR(I155="AH1",I155="AH2"),-J154+0.5,IF(OR(I155="EH1",I155="EH2"),-J154+1,"")),IF(AND(OR(I154="DNB1",I154="DNB2"),OR(I155="AH1",I155="AH2")),0,IF(AND(I154="Not ScoreBoth",OR(I155="TO1",I155="TO2")),0.5,"")))))</f>
      </c>
      <c r="K155" t="s" s="117">
        <v>38</v>
      </c>
      <c r="L155" s="277">
        <v>1.35</v>
      </c>
      <c r="M155" s="278"/>
      <c r="N155" s="120"/>
      <c r="O155" s="121">
        <f>IF(OR(AE154="",AE155=""),"",ROUND(IF(L156&gt;0,IF(M155&gt;0,M155,IF(M154&gt;0,IF(N154=TRUE,ROUND((M154*AE155)/AE154,0),(M154*AE155)/AE154),IF(M155&gt;0,ROUND(M155,IF(N154=0,2,IF(N154=0.1,1,0))),IF(M156&gt;0,ROUND(O156*AE155/AE156,IF(N154=0,2,IF(N154=0.1,1,0))),0)))),IF(M155&gt;0,M155,ROUND((M154*AE155)/AE154,IF(N154=0,2,IF(N154=0.1,1,0))))),2))</f>
        <v>12.89</v>
      </c>
      <c r="P155" s="122">
        <f>IF(OR(L155="",O155=""),"",IF($C155="1/2W",O155/2+O155/2*L155,IF($C155="1/2L",O155/2,IF(I155="Lay",((O155*(L155/(L155-1)))-O155)*(1-_xlfn.XLOOKUP(K155,'Janeiro 2023 - Valor Real'!A3:A15,'Janeiro 2023 - Valor Real'!C3:C15,0))+O155,(O155*L155-O155)*(1-_xlfn.XLOOKUP(K155,'Janeiro 2023 - Valor Real'!A3:A15,'Janeiro 2023 - Valor Real'!C3:C15,0))+O155))))</f>
        <v>17.4015</v>
      </c>
      <c r="Q155" s="279">
        <v>1</v>
      </c>
      <c r="R155" s="280">
        <v>0</v>
      </c>
      <c r="S155" s="125"/>
      <c r="T155" s="126"/>
      <c r="U155" s="126"/>
      <c r="V155" s="224"/>
      <c r="W155" s="126"/>
      <c r="X155" s="127"/>
      <c r="Y155" s="128"/>
      <c r="Z155" s="129"/>
      <c r="AA155" s="129"/>
      <c r="AB155" s="129"/>
      <c r="AC155" s="129"/>
      <c r="AD155" s="130"/>
      <c r="AE155" s="131">
        <f>IF(L155="","",IF(L156&gt;0,(SUM(((L154-1)*(1-_xlfn.XLOOKUP(K154,'Janeiro 2023 - Valor Real'!A3:A15,'Janeiro 2023 - Valor Real'!C3:C15,0))+1),((L155-1)*(1-_xlfn.XLOOKUP(K155,'Janeiro 2023 - Valor Real'!A3:A15,'Janeiro 2023 - Valor Real'!C3:C15,0))+1),((L156-1)*(1-_xlfn.XLOOKUP(K156,'Janeiro 2023 - Valor Real'!A3:A15,'Janeiro 2023 - Valor Real'!C3:C15,0))+1))/((L155-1)*(1-_xlfn.XLOOKUP(K155,'Janeiro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Real'!C3:C15,0))+1))/((L154-1)*(1-_xlfn.XLOOKUP(K154,'Janeiro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Real'!C3:C15,0))+1))/((L155-1)*(1-_xlfn.XLOOKUP(K155,'Janeiro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Real'!C3:C15,0))+1))/((L156-1)*(1-_xlfn.XLOOKUP(K156,'Janeiro 2023 - Valor Real'!A3:A15,'Janeiro 2023 - Valor Real'!C3:C15,0))+1)),IF(I155="Lay",IF(I154="Lay",((L154/(L154-1)-1)*(1-_xlfn.XLOOKUP(K154,'Janeiro 2023 - Valor Real'!A3:A15,'Janeiro 2023 - Valor Real'!C3:C15,0))+1)/(((L154/(L154-1)-1)*(1-_xlfn.XLOOKUP(K154,'Janeiro 2023 - Valor Real'!A3:A15,'Janeiro 2023 - Valor Real'!C3:C15,0))+1)+((L155/(L155-1)-1)*(1-_xlfn.XLOOKUP(K155,'Janeiro 2023 - Valor Real'!A3:A15,'Janeiro 2023 - Valor Real'!C3:C15,0))+1)),((L154-1)*(1-_xlfn.XLOOKUP(K154,'Janeiro 2023 - Valor Real'!A3:A15,'Janeiro 2023 - Valor Real'!C3:C15,0))+1)/(((L154-1)*(1-_xlfn.XLOOKUP(K154,'Janeiro 2023 - Valor Real'!A3:A15,'Janeiro 2023 - Valor Real'!C3:C15,0))+1)+((L155/(L155-1)-1)*(1-_xlfn.XLOOKUP(K155,'Janeiro 2023 - Valor Real'!A3:A15,'Janeiro 2023 - Valor Real'!C3:C15,0))+1))),IF(I154="Lay",((L154/(L154-1)-1)*(1-_xlfn.XLOOKUP(K154,'Janeiro 2023 - Valor Real'!A3:A15,'Janeiro 2023 - Valor Real'!C3:C15,0))+1)/((((L154/(L154-1)-1)*(1-_xlfn.XLOOKUP(K154,'Janeiro 2023 - Valor Real'!A3:A15,'Janeiro 2023 - Valor Real'!C3:C15,0))+1))+((L155-1)*(1-_xlfn.XLOOKUP(K155,'Janeiro 2023 - Valor Real'!A3:A15,'Janeiro 2023 - Valor Real'!C3:C15,0))+1)),((L154-1)*(1-_xlfn.XLOOKUP(K154,'Janeiro 2023 - Valor Real'!A3:A15,'Janeiro 2023 - Valor Real'!C3:C15,0))+1)/(((L154-1)*(1-_xlfn.XLOOKUP(K154,'Janeiro 2023 - Valor Real'!A3:A15,'Janeiro 2023 - Valor Real'!C3:C15,0))+1)+((L155-1)*(1-_xlfn.XLOOKUP(K155,'Janeiro 2023 - Valor Real'!A3:A15,'Janeiro 2023 - Valor Real'!C3:C15,0))+1))))))</f>
        <v>0.78740157480315</v>
      </c>
      <c r="AF155" s="132">
        <f>IF($K155=AF$3,ROUND(IF(OR($C155="W",$C155="1/2W",$C155="1/2L"),$P155-$O155,IF($C155="X",0,-$O155)),2),0)</f>
        <v>0</v>
      </c>
      <c r="AG155" s="133">
        <f>IF($K155=AG$3,ROUND(IF(OR($C155="W",$C155="1/2W",$C155="1/2L"),$P155-$O155,IF($C155="X",0,-$O155)),2),0)</f>
        <v>4.51</v>
      </c>
      <c r="AH155" s="133">
        <f>IF($K155=AH$3,ROUND(IF(OR($C155="W",$C155="1/2W",$C155="1/2L"),$P155-$O155,IF($C155="X",0,-$O155)),2),0)</f>
        <v>0</v>
      </c>
      <c r="AI155" s="133">
        <f>IF($K155=AI$3,ROUND(IF(OR($C155="W",$C155="1/2W",$C155="1/2L"),$P155-$O155,IF($C155="X",0,-$O155)),2),0)</f>
        <v>0</v>
      </c>
      <c r="AJ155" s="133">
        <f>IF($K155=AJ$3,ROUND(IF(OR($C155="W",$C155="1/2W",$C155="1/2L"),$P155-$O155,IF($C155="X",0,-$O155)),2),0)</f>
        <v>0</v>
      </c>
      <c r="AK155" s="133">
        <f>IF($K155=AK$3,ROUND(IF(OR($C155="W",$C155="1/2W",$C155="1/2L"),$P155-$O155,IF($C155="X",0,-$O155)),2),0)</f>
        <v>0</v>
      </c>
      <c r="AL155" s="133">
        <f>IF($K155=AL$3,ROUND(IF(OR($C155="W",$C155="1/2W",$C155="1/2L"),$P155-$O155,IF($C155="X",0,-$O155)),2),0)</f>
        <v>0</v>
      </c>
      <c r="AM155" s="133">
        <f>IF($K155=AM$3,ROUND(IF(OR($C155="W",$C155="1/2W",$C155="1/2L"),$P155-$O155,IF($C155="X",0,-$O155)),2),0)</f>
        <v>0</v>
      </c>
      <c r="AN155" s="133">
        <f>IF($K155=AN$3,ROUND(IF(OR($C155="W",$C155="1/2W",$C155="1/2L"),$P155-$O155,IF($C155="X",0,-$O155)),2),0)</f>
        <v>0</v>
      </c>
      <c r="AO155" s="133">
        <f>IF($K155=AO$3,ROUND(IF(OR($C155="W",$C155="1/2W",$C155="1/2L"),$P155-$O155,IF($C155="X",0,-$O155)),2),0)</f>
        <v>0</v>
      </c>
      <c r="AP155" s="133">
        <f>IF($K155=AP$3,ROUND(IF(OR($C155="W",$C155="1/2W",$C155="1/2L"),$P155-$O155,IF($C155="X",0,-$O155)),2),0)</f>
        <v>0</v>
      </c>
      <c r="AQ155" s="133">
        <f>IF($K155=AQ$3,ROUND(IF(OR($C155="W",$C155="1/2W",$C155="1/2L"),$P155-$O155,IF($C155="X",0,-$O155)),2),0)</f>
        <v>0</v>
      </c>
      <c r="AR155" s="134">
        <f>IF($K155=AR$3,ROUND(IF(OR($C155="W",$C155="1/2W",$C155="1/2L"),$P155-$O155,IF($C155="X",0,-$O155)),2),0)</f>
        <v>0</v>
      </c>
      <c r="AS155" s="132">
        <f>IF(AND($B154=" ",$K155=AS$3),$O155,0)</f>
        <v>0</v>
      </c>
      <c r="AT155" s="133">
        <f>IF(AND($B154=" ",K155=AT$3),$O155,0)</f>
        <v>0</v>
      </c>
      <c r="AU155" s="133">
        <f>IF(AND($B154=" ",$K155=AU$3),$O155,0)</f>
        <v>0</v>
      </c>
      <c r="AV155" s="133">
        <f>IF(AND($B154=" ",$K155=AV$3),$O155,0)</f>
        <v>0</v>
      </c>
      <c r="AW155" s="133">
        <f>IF(AND($B154=" ",$K155=AW$3),$O155,0)</f>
        <v>0</v>
      </c>
      <c r="AX155" s="133">
        <f>IF(AND($B154=" ",$K155=AX$3),$O155,0)</f>
        <v>0</v>
      </c>
      <c r="AY155" s="135">
        <f>IF(AND($B154=" ",$K155=AY$3),$O155,0)</f>
        <v>0</v>
      </c>
      <c r="AZ155" s="136">
        <f>IF(AND($B154=" ",$K155=AZ$3),$O155,0)</f>
        <v>0</v>
      </c>
      <c r="BA155" s="136">
        <f>IF(AND($B154=" ",$K155=BA$3),$O155,0)</f>
        <v>0</v>
      </c>
      <c r="BB155" s="136">
        <f>IF(AND($B154=" ",$K155=BB$3),$O155,0)</f>
        <v>0</v>
      </c>
      <c r="BC155" s="137">
        <f>IF(AND($B154=" ",$K155=BC$3),$O155,0)</f>
        <v>0</v>
      </c>
      <c r="BD155" s="133">
        <f>IF(AND($B154=" ",$K155=BD$3),$O155,0)</f>
        <v>0</v>
      </c>
      <c r="BE155" s="134">
        <f>IF(AND($B154=" ",$K155=BE$3),$O155,0)</f>
        <v>0</v>
      </c>
      <c r="BF155" s="132">
        <f>IF($K155=BF$3,IF($C155="X",0,$O155),0)</f>
        <v>0</v>
      </c>
      <c r="BG155" s="281">
        <f>IF($K155=BG$3,IF($C155="X",0,$O155),0)</f>
        <v>12.89</v>
      </c>
      <c r="BH155" s="133">
        <f>IF($K155=BH$3,IF($C155="X",0,$O155),0)</f>
        <v>0</v>
      </c>
      <c r="BI155" s="133">
        <f>IF($K155=BI$3,IF($C155="X",0,$O155),0)</f>
        <v>0</v>
      </c>
      <c r="BJ155" s="133">
        <f>IF($K155=BJ$3,IF($C155="X",0,$O155),0)</f>
        <v>0</v>
      </c>
      <c r="BK155" s="133">
        <f>IF($K155=BK$3,IF($C155="X",0,$O155),0)</f>
        <v>0</v>
      </c>
      <c r="BL155" s="133">
        <f>IF($K155=BL$3,IF($C155="X",0,$O155),0)</f>
        <v>0</v>
      </c>
      <c r="BM155" s="135">
        <f>IF($K155=BM$3,IF($C155="X",0,$O155),0)</f>
        <v>0</v>
      </c>
      <c r="BN155" s="136">
        <f>IF($K155=BN$3,IF($C155="X",0,$O155),0)</f>
        <v>0</v>
      </c>
      <c r="BO155" s="136">
        <f>IF($K155=BO$3,IF($C155="X",0,$O155),0)</f>
        <v>0</v>
      </c>
      <c r="BP155" s="136">
        <f>IF($K155=BP$3,IF($C155="X",0,$O155),0)</f>
        <v>0</v>
      </c>
      <c r="BQ155" s="137">
        <f>IF($K155=BQ$3,IF($C155="X",0,$O155),0)</f>
        <v>0</v>
      </c>
      <c r="BR155" s="134">
        <f>IF($K155=BR$3,IF($C155="X",0,$O155),0)</f>
        <v>0</v>
      </c>
      <c r="BS155" s="282"/>
      <c r="BT155" s="283"/>
      <c r="BU155" s="140"/>
      <c r="BV155" s="283"/>
      <c r="BW155" s="140"/>
      <c r="BX155" s="140"/>
      <c r="BY155" s="140"/>
      <c r="BZ155" s="283"/>
      <c r="CA155" s="140"/>
      <c r="CB155" s="140"/>
      <c r="CC155" s="140"/>
      <c r="CD155" s="141"/>
      <c r="CE155" s="142"/>
      <c r="CF155" s="284">
        <f>IF(CF$3=$K155,IF($C155="W",1,IF($C155="1/2W",0.5,0)),0)</f>
        <v>0</v>
      </c>
      <c r="CG155" s="285">
        <f>IF(CF$3=$K155,IF($C155="L",1,IF($C155="1/2L",0.5,0)),0)</f>
        <v>0</v>
      </c>
      <c r="CH155" s="285">
        <f>IF(CH$3=$K155,IF($C155="W",1,IF($C155="1/2W",0.5,0)),0)</f>
        <v>1</v>
      </c>
      <c r="CI155" s="285">
        <f>IF(CH$3=$K155,IF($C155="L",1,IF($C155="1/2L",0.5,0)),0)</f>
        <v>0</v>
      </c>
      <c r="CJ155" s="285">
        <f>IF(CJ$3=$K155,IF($C155="W",1,IF($C155="1/2W",0.5,0)),0)</f>
        <v>0</v>
      </c>
      <c r="CK155" s="285">
        <f>IF(CJ$3=$K155,IF($C155="L",1,IF($C155="1/2L",0.5,0)),0)</f>
        <v>0</v>
      </c>
      <c r="CL155" s="285">
        <f>IF(CL$3=$K155,IF($C155="W",1,IF($C155="1/2W",0.5,0)),0)</f>
        <v>0</v>
      </c>
      <c r="CM155" s="285">
        <f>IF(CL$3=$K155,IF($C155="L",1,IF($C155="1/2L",0.5,0)),0)</f>
        <v>0</v>
      </c>
      <c r="CN155" s="285">
        <f>IF(CN$3=$K155,IF($C155="W",1,IF($C155="1/2W",0.5,0)),0)</f>
        <v>0</v>
      </c>
      <c r="CO155" s="285">
        <f>IF(CN$3=$K155,IF($C155="L",1,IF($C155="1/2L",0.5,0)),0)</f>
        <v>0</v>
      </c>
      <c r="CP155" s="285">
        <f>IF(CP$3=$K155,IF($C155="W",1,IF($C155="1/2W",0.5,0)),0)</f>
        <v>0</v>
      </c>
      <c r="CQ155" s="285">
        <f>IF(CP$3=$K155,IF($C155="L",1,IF($C155="1/2L",0.5,0)),0)</f>
        <v>0</v>
      </c>
      <c r="CR155" s="285">
        <f>IF(CR$3=$K155,IF($C155="W",1,IF($C155="1/2W",0.5,0)),0)</f>
        <v>0</v>
      </c>
      <c r="CS155" s="285">
        <f>IF(CR$3=$K155,IF($C155="L",1,IF($C155="1/2L",0.5,0)),0)</f>
        <v>0</v>
      </c>
      <c r="CT155" s="145">
        <f>IF(CT$3=$K155,IF($C155="W",1,IF($C155="1/2W",0.5,0)),0)</f>
        <v>0</v>
      </c>
      <c r="CU155" s="146">
        <f>IF(CT$3=$K155,IF($C155="L",1,IF($C155="1/2L",0.5,0)),0)</f>
        <v>0</v>
      </c>
      <c r="CV155" s="146">
        <f>IF(CV$3=$K155,IF($C155="W",1,IF($C155="1/2W",0.5,0)),0)</f>
        <v>0</v>
      </c>
      <c r="CW155" s="146">
        <f>IF(CV$3=$K155,IF($C155="L",1,IF($C155="1/2L",0.5,0)),0)</f>
        <v>0</v>
      </c>
      <c r="CX155" s="146">
        <f>IF(CX$3=$K155,IF($C155="W",1,IF($C155="1/2W",0.5,0)),0)</f>
        <v>0</v>
      </c>
      <c r="CY155" s="146">
        <f>IF(CX$3=$K155,IF($C155="L",1,IF($C155="1/2L",0.5,0)),0)</f>
        <v>0</v>
      </c>
      <c r="CZ155" s="146">
        <f>IF(CZ$3=$K155,IF($C155="W",1,IF($C155="1/2W",0.5,0)),0)</f>
        <v>0</v>
      </c>
      <c r="DA155" s="146">
        <f>IF(CZ$3=$K155,IF($C155="L",1,IF($C155="1/2L",0.5,0)),0)</f>
        <v>0</v>
      </c>
      <c r="DB155" s="146">
        <f>IF(DB$3=$K155,IF($C155="W",1,IF($C155="1/2W",0.5,0)),0)</f>
        <v>0</v>
      </c>
      <c r="DC155" s="146">
        <f>IF(DB$3=$K155,IF($C155="L",1,IF($C155="1/2L",0.5,0)),0)</f>
        <v>0</v>
      </c>
      <c r="DD155" s="146">
        <f>IF(DD$3=$K155,IF($C155="W",1,IF($C155="1/2W",0.5,0)),0)</f>
        <v>0</v>
      </c>
      <c r="DE155" s="147">
        <f>IF(DD$3=$K155,IF($C155="L",1,IF($C155="1/2L",0.5,0)),0)</f>
        <v>0</v>
      </c>
      <c r="DF155" s="143">
        <f>IF(AND(L155&lt;DF$3,$C155="W"),1+DF154,DF154)</f>
        <v>8</v>
      </c>
      <c r="DG155" s="133">
        <f>IF(DF155&gt;DF154,L155+DG154,DG154)</f>
        <v>10.598</v>
      </c>
      <c r="DH155" s="146">
        <f>IF(AND(L155&gt;DH$3,$C155="W"),1+DH154,0+DH154)</f>
        <v>2</v>
      </c>
      <c r="DI155" s="133">
        <f>IF(DH155&gt;DH154,L155+DI154,DI154)</f>
        <v>11.58</v>
      </c>
      <c r="DJ155" t="s" s="304">
        <f>IF($D154="","",$D154)</f>
        <v>184</v>
      </c>
      <c r="DK155" s="286"/>
    </row>
    <row r="156" ht="14.55" customHeight="1">
      <c r="A156" s="149"/>
      <c r="B156" s="150"/>
      <c r="C156" t="s" s="151">
        <v>58</v>
      </c>
      <c r="D156" s="152"/>
      <c r="E156" s="153"/>
      <c r="F156" s="155"/>
      <c r="G156" s="252"/>
      <c r="H156" s="156"/>
      <c r="I156" s="287"/>
      <c r="J156" s="288"/>
      <c r="K156" s="156"/>
      <c r="L156" s="289"/>
      <c r="M156" s="290"/>
      <c r="N156" s="161"/>
      <c r="O156" t="s" s="162">
        <f>IF(OR(AE154="",AE155=""),"",IF(L156&gt;0,ROUND(IF(M156&gt;0,M156,IF(M154&gt;0,ROUND((M154*AE156)/AE154,IF(N154=0,2,IF(N154=0.1,1,0))),IF(M155&gt;0,ROUND((M155*AE156)/AE155,IF(N154=0,2,IF(N154=0.1,1,0))),IF(M156&gt;0,M156,0)))),2),""))</f>
      </c>
      <c r="P156" t="s" s="163">
        <f>IF(I155="Lay",O155*(L155/(L155-1))-O155,IF(I154="Lay",O154*(L154/(L154-1))-O154,IF(OR(L156="",O156=""),"",IF($C156="1/2W",O156/2+O156/2*L156,IF($C156="1/2L",O156/2,(O156*L156-O156)*(1-_xlfn.XLOOKUP(K156,'Janeiro 2023 - Valor Real'!A3:A15,'Janeiro 2023 - Valor Real'!C3:C15,0))+O156)))))</f>
      </c>
      <c r="Q156" t="s" s="154"/>
      <c r="R156" t="s" s="163"/>
      <c r="S156" s="166"/>
      <c r="T156" s="155"/>
      <c r="U156" s="155"/>
      <c r="V156" s="166"/>
      <c r="W156" s="155"/>
      <c r="X156" s="167"/>
      <c r="Y156" s="128"/>
      <c r="Z156" s="129"/>
      <c r="AA156" s="129"/>
      <c r="AB156" s="129"/>
      <c r="AC156" s="129"/>
      <c r="AD156" s="168"/>
      <c r="AE156" t="s" s="169">
        <f>IF(L156="","",(SUM(((L154-1)*(1-_xlfn.XLOOKUP(K154,'Janeiro 2023 - Valor Real'!A3:A15,'Janeiro 2023 - Valor Real'!C3:C15,0))+1),((L155-1)*(1-_xlfn.XLOOKUP(K155,'Janeiro 2023 - Valor Real'!A3:A15,'Janeiro 2023 - Valor Real'!C3:C15,0))+1),((L156-1)*(1-_xlfn.XLOOKUP(K156,'Janeiro 2023 - Valor Real'!A3:A15,'Janeiro 2023 - Valor Real'!C3:C15,0))+1))/((L156-1)*(1-_xlfn.XLOOKUP(K156,'Janeiro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Real'!C3:C15,0))+1))/((L154-1)*(1-_xlfn.XLOOKUP(K154,'Janeiro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Real'!C3:C15,0))+1))/((L155-1)*(1-_xlfn.XLOOKUP(K155,'Janeiro 2023 - Valor Real'!A3:A15,'Janeiro 2023 - Valor Real'!C3:C15,0))+1)+SUM(((L154-1)*(1-_xlfn.XLOOKUP(K154,'Janeiro 2023 - Valor Real'!A3:A15,'Janeiro 2023 - Valor Real'!C3:C15,0))+1),((L155-1)*(1-_xlfn.XLOOKUP(K155,'Janeiro 2023 - Valor Real'!A3:A15,'Janeiro 2023 - Valor Real'!C3:C15,0))+1),((L156-1)*(1-_xlfn.XLOOKUP(K156,'Janeiro 2023 - Valor Real'!A3:A15,'Janeiro 2023 - Valor Real'!C3:C15,0))+1))/((L156-1)*(1-_xlfn.XLOOKUP(K156,'Janeiro 2023 - Valor Real'!A3:A15,'Janeiro 2023 - Valor Real'!C3:C15,0))+1)))</f>
      </c>
      <c r="AF156" s="132">
        <f>IF($K156=AF$3,ROUND(IF(OR($C156="W",$C156="1/2W",$C156="1/2L"),$P156-$O156,IF($C156="X",0,-$O156)),2),0)</f>
        <v>0</v>
      </c>
      <c r="AG156" s="133">
        <f>IF($K156=AG$3,ROUND(IF(OR($C156="W",$C156="1/2W",$C156="1/2L"),$P156-$O156,IF($C156="X",0,-$O156)),2),0)</f>
        <v>0</v>
      </c>
      <c r="AH156" s="133">
        <f>IF($K156=AH$3,ROUND(IF(OR($C156="W",$C156="1/2W",$C156="1/2L"),$P156-$O156,IF($C156="X",0,-$O156)),2),0)</f>
        <v>0</v>
      </c>
      <c r="AI156" s="133">
        <f>IF($K156=AI$3,ROUND(IF(OR($C156="W",$C156="1/2W",$C156="1/2L"),$P156-$O156,IF($C156="X",0,-$O156)),2),0)</f>
        <v>0</v>
      </c>
      <c r="AJ156" s="133">
        <f>IF($K156=AJ$3,ROUND(IF(OR($C156="W",$C156="1/2W",$C156="1/2L"),$P156-$O156,IF($C156="X",0,-$O156)),2),0)</f>
        <v>0</v>
      </c>
      <c r="AK156" s="133">
        <f>IF($K156=AK$3,ROUND(IF(OR($C156="W",$C156="1/2W",$C156="1/2L"),$P156-$O156,IF($C156="X",0,-$O156)),2),0)</f>
        <v>0</v>
      </c>
      <c r="AL156" s="133">
        <f>IF($K156=AL$3,ROUND(IF(OR($C156="W",$C156="1/2W",$C156="1/2L"),$P156-$O156,IF($C156="X",0,-$O156)),2),0)</f>
        <v>0</v>
      </c>
      <c r="AM156" s="133">
        <f>IF($K156=AM$3,ROUND(IF(OR($C156="W",$C156="1/2W",$C156="1/2L"),$P156-$O156,IF($C156="X",0,-$O156)),2),0)</f>
        <v>0</v>
      </c>
      <c r="AN156" s="133">
        <f>IF($K156=AN$3,ROUND(IF(OR($C156="W",$C156="1/2W",$C156="1/2L"),$P156-$O156,IF($C156="X",0,-$O156)),2),0)</f>
        <v>0</v>
      </c>
      <c r="AO156" s="133">
        <f>IF($K156=AO$3,ROUND(IF(OR($C156="W",$C156="1/2W",$C156="1/2L"),$P156-$O156,IF($C156="X",0,-$O156)),2),0)</f>
        <v>0</v>
      </c>
      <c r="AP156" s="133">
        <f>IF($K156=AP$3,ROUND(IF(OR($C156="W",$C156="1/2W",$C156="1/2L"),$P156-$O156,IF($C156="X",0,-$O156)),2),0)</f>
        <v>0</v>
      </c>
      <c r="AQ156" s="133">
        <f>IF($K156=AQ$3,ROUND(IF(OR($C156="W",$C156="1/2W",$C156="1/2L"),$P156-$O156,IF($C156="X",0,-$O156)),2),0)</f>
        <v>0</v>
      </c>
      <c r="AR156" s="134">
        <f>IF($K156=AR$3,ROUND(IF(OR($C156="W",$C156="1/2W",$C156="1/2L"),$P156-$O156,IF($C156="X",0,-$O156)),2),0)</f>
        <v>0</v>
      </c>
      <c r="AS156" s="132">
        <f>IF(AND($B154=" ",$K156=AS$3),$O156,0)</f>
        <v>0</v>
      </c>
      <c r="AT156" s="133">
        <f>IF(AND($B154=" ",K156=AT$3),$O156,0)</f>
        <v>0</v>
      </c>
      <c r="AU156" s="133">
        <f>IF(AND($B154=" ",$K156=AU$3),$O156,0)</f>
        <v>0</v>
      </c>
      <c r="AV156" s="133">
        <f>IF(AND($B154=" ",$K156=AV$3),$O156,0)</f>
        <v>0</v>
      </c>
      <c r="AW156" s="133">
        <f>IF(AND($B154=" ",$K156=AW$3),$O156,0)</f>
        <v>0</v>
      </c>
      <c r="AX156" s="133">
        <f>IF(AND($B154=" ",$K156=AX$3),$O156,0)</f>
        <v>0</v>
      </c>
      <c r="AY156" s="135">
        <f>IF(AND($B154=" ",$K156=AY$3),$O156,0)</f>
        <v>0</v>
      </c>
      <c r="AZ156" s="136">
        <f>IF(AND($B154=" ",$K156=AZ$3),$O156,0)</f>
        <v>0</v>
      </c>
      <c r="BA156" s="136">
        <f>IF(AND($B154=" ",$K156=BA$3),$O156,0)</f>
        <v>0</v>
      </c>
      <c r="BB156" s="136">
        <f>IF(AND($B154=" ",$K156=BB$3),$O156,0)</f>
        <v>0</v>
      </c>
      <c r="BC156" s="137">
        <f>IF(AND($B154=" ",$K156=BC$3),$O156,0)</f>
        <v>0</v>
      </c>
      <c r="BD156" s="133">
        <f>IF(AND($B154=" ",$K156=BD$3),$O156,0)</f>
        <v>0</v>
      </c>
      <c r="BE156" s="134">
        <f>IF(AND($B154=" ",$K156=BE$3),$O156,0)</f>
        <v>0</v>
      </c>
      <c r="BF156" s="132">
        <f>IF($K156=BF$3,IF($C156="X",0,$O156),0)</f>
        <v>0</v>
      </c>
      <c r="BG156" s="281">
        <f>IF($K156=BG$3,IF($C156="X",0,$O156),0)</f>
        <v>0</v>
      </c>
      <c r="BH156" s="133">
        <f>IF($K156=BH$3,IF($C156="X",0,$O156),0)</f>
        <v>0</v>
      </c>
      <c r="BI156" s="133">
        <f>IF($K156=BI$3,IF($C156="X",0,$O156),0)</f>
        <v>0</v>
      </c>
      <c r="BJ156" s="133">
        <f>IF($K156=BJ$3,IF($C156="X",0,$O156),0)</f>
        <v>0</v>
      </c>
      <c r="BK156" s="133">
        <f>IF($K156=BK$3,IF($C156="X",0,$O156),0)</f>
        <v>0</v>
      </c>
      <c r="BL156" s="133">
        <f>IF($K156=BL$3,IF($C156="X",0,$O156),0)</f>
        <v>0</v>
      </c>
      <c r="BM156" s="135">
        <f>IF($K156=BM$3,IF($C156="X",0,$O156),0)</f>
        <v>0</v>
      </c>
      <c r="BN156" s="136">
        <f>IF($K156=BN$3,IF($C156="X",0,$O156),0)</f>
        <v>0</v>
      </c>
      <c r="BO156" s="136">
        <f>IF($K156=BO$3,IF($C156="X",0,$O156),0)</f>
        <v>0</v>
      </c>
      <c r="BP156" s="136">
        <f>IF($K156=BP$3,IF($C156="X",0,$O156),0)</f>
        <v>0</v>
      </c>
      <c r="BQ156" s="137">
        <f>IF($K156=BQ$3,IF($C156="X",0,$O156),0)</f>
        <v>0</v>
      </c>
      <c r="BR156" s="134">
        <f>IF($K156=BR$3,IF($C156="X",0,$O156),0)</f>
        <v>0</v>
      </c>
      <c r="BS156" s="282"/>
      <c r="BT156" s="283"/>
      <c r="BU156" s="140"/>
      <c r="BV156" s="283"/>
      <c r="BW156" s="140"/>
      <c r="BX156" s="140"/>
      <c r="BY156" s="140"/>
      <c r="BZ156" s="283"/>
      <c r="CA156" s="140"/>
      <c r="CB156" s="140"/>
      <c r="CC156" s="140"/>
      <c r="CD156" s="141"/>
      <c r="CE156" s="142"/>
      <c r="CF156" s="284">
        <f>IF(CF$3=$K156,IF($C156="W",1,IF($C156="1/2W",0.5,0)),0)</f>
        <v>0</v>
      </c>
      <c r="CG156" s="285">
        <f>IF(CF$3=$K156,IF($C156="L",1,IF($C156="1/2L",0.5,0)),0)</f>
        <v>0</v>
      </c>
      <c r="CH156" s="285">
        <f>IF(CH$3=$K156,IF($C156="W",1,IF($C156="1/2W",0.5,0)),0)</f>
        <v>0</v>
      </c>
      <c r="CI156" s="285">
        <f>IF(CH$3=$K156,IF($C156="L",1,IF($C156="1/2L",0.5,0)),0)</f>
        <v>0</v>
      </c>
      <c r="CJ156" s="285">
        <f>IF(CJ$3=$K156,IF($C156="W",1,IF($C156="1/2W",0.5,0)),0)</f>
        <v>0</v>
      </c>
      <c r="CK156" s="285">
        <f>IF(CJ$3=$K156,IF($C156="L",1,IF($C156="1/2L",0.5,0)),0)</f>
        <v>0</v>
      </c>
      <c r="CL156" s="285">
        <f>IF(CL$3=$K156,IF($C156="W",1,IF($C156="1/2W",0.5,0)),0)</f>
        <v>0</v>
      </c>
      <c r="CM156" s="285">
        <f>IF(CL$3=$K156,IF($C156="L",1,IF($C156="1/2L",0.5,0)),0)</f>
        <v>0</v>
      </c>
      <c r="CN156" s="285">
        <f>IF(CN$3=$K156,IF($C156="W",1,IF($C156="1/2W",0.5,0)),0)</f>
        <v>0</v>
      </c>
      <c r="CO156" s="285">
        <f>IF(CN$3=$K156,IF($C156="L",1,IF($C156="1/2L",0.5,0)),0)</f>
        <v>0</v>
      </c>
      <c r="CP156" s="285">
        <f>IF(CP$3=$K156,IF($C156="W",1,IF($C156="1/2W",0.5,0)),0)</f>
        <v>0</v>
      </c>
      <c r="CQ156" s="285">
        <f>IF(CP$3=$K156,IF($C156="L",1,IF($C156="1/2L",0.5,0)),0)</f>
        <v>0</v>
      </c>
      <c r="CR156" s="285">
        <f>IF(CR$3=$K156,IF($C156="W",1,IF($C156="1/2W",0.5,0)),0)</f>
        <v>0</v>
      </c>
      <c r="CS156" s="285">
        <f>IF(CR$3=$K156,IF($C156="L",1,IF($C156="1/2L",0.5,0)),0)</f>
        <v>0</v>
      </c>
      <c r="CT156" s="145">
        <f>IF(CT$3=$K156,IF($C156="W",1,IF($C156="1/2W",0.5,0)),0)</f>
        <v>0</v>
      </c>
      <c r="CU156" s="146">
        <f>IF(CT$3=$K156,IF($C156="L",1,IF($C156="1/2L",0.5,0)),0)</f>
        <v>0</v>
      </c>
      <c r="CV156" s="146">
        <f>IF(CV$3=$K156,IF($C156="W",1,IF($C156="1/2W",0.5,0)),0)</f>
        <v>0</v>
      </c>
      <c r="CW156" s="146">
        <f>IF(CV$3=$K156,IF($C156="L",1,IF($C156="1/2L",0.5,0)),0)</f>
        <v>0</v>
      </c>
      <c r="CX156" s="146">
        <f>IF(CX$3=$K156,IF($C156="W",1,IF($C156="1/2W",0.5,0)),0)</f>
        <v>0</v>
      </c>
      <c r="CY156" s="146">
        <f>IF(CX$3=$K156,IF($C156="L",1,IF($C156="1/2L",0.5,0)),0)</f>
        <v>0</v>
      </c>
      <c r="CZ156" s="146">
        <f>IF(CZ$3=$K156,IF($C156="W",1,IF($C156="1/2W",0.5,0)),0)</f>
        <v>0</v>
      </c>
      <c r="DA156" s="146">
        <f>IF(CZ$3=$K156,IF($C156="L",1,IF($C156="1/2L",0.5,0)),0)</f>
        <v>0</v>
      </c>
      <c r="DB156" s="146">
        <f>IF(DB$3=$K156,IF($C156="W",1,IF($C156="1/2W",0.5,0)),0)</f>
        <v>0</v>
      </c>
      <c r="DC156" s="146">
        <f>IF(DB$3=$K156,IF($C156="L",1,IF($C156="1/2L",0.5,0)),0)</f>
        <v>0</v>
      </c>
      <c r="DD156" s="146">
        <f>IF(DD$3=$K156,IF($C156="W",1,IF($C156="1/2W",0.5,0)),0)</f>
        <v>0</v>
      </c>
      <c r="DE156" s="147">
        <f>IF(DD$3=$K156,IF($C156="L",1,IF($C156="1/2L",0.5,0)),0)</f>
        <v>0</v>
      </c>
      <c r="DF156" s="143">
        <f>IF(AND(L156&lt;DF$3,$C156="W"),1+DF155,DF155)</f>
        <v>8</v>
      </c>
      <c r="DG156" s="133">
        <f>IF(DF156&gt;DF155,L156+DG155,DG155)</f>
        <v>10.598</v>
      </c>
      <c r="DH156" s="146">
        <f>IF(AND(L156&gt;DH$3,$C156="W"),1+DH155,0+DH155)</f>
        <v>2</v>
      </c>
      <c r="DI156" s="133">
        <f>IF(DH156&gt;DH155,L156+DI155,DI155)</f>
        <v>11.58</v>
      </c>
      <c r="DJ156" t="s" s="304">
        <f>IF($D154="","",$D154)</f>
        <v>184</v>
      </c>
      <c r="DK156" s="286"/>
    </row>
    <row r="157" ht="14.55" customHeight="1">
      <c r="A157" s="171">
        <f>$A154+1</f>
        <v>52</v>
      </c>
      <c r="B157" t="s" s="172">
        <f>IF(AND(_xlfn.XLOOKUP(H157,H74:H$84,G74:G$84,0)=G157,_xlfn.XLOOKUP("TempoBet",K157:K159,L157:L159,0)&gt;0),"X",IF(OR(C157="W",C158="W",C159="W",C157="1/2W",C158="1/2W",C159="1/2W",C157="1/2L",C158="1/2L",C159="1/2L"),"OK",IF(OR(C157="L",C158="L",C159="L"),"LOSS",IF(OR(C157="X",C158="X",C159="X"),"Anulado"," "))))</f>
        <v>50</v>
      </c>
      <c r="C157" t="s" s="173">
        <v>56</v>
      </c>
      <c r="D157" t="s" s="305">
        <f>IF(G157="","",$D154)</f>
        <v>184</v>
      </c>
      <c r="E157" t="s" s="175">
        <f>IF(G157=""," ","– "&amp;COUNTIF(D$4:D159,$D157))</f>
        <v>106</v>
      </c>
      <c r="F157" t="s" s="176"/>
      <c r="G157" s="177">
        <v>44944.25</v>
      </c>
      <c r="H157" t="s" s="178">
        <v>189</v>
      </c>
      <c r="I157" t="s" s="179">
        <v>79</v>
      </c>
      <c r="J157" s="180"/>
      <c r="K157" t="s" s="181">
        <v>40</v>
      </c>
      <c r="L157" s="182">
        <v>2.8</v>
      </c>
      <c r="M157" s="183">
        <v>5.57</v>
      </c>
      <c r="N157" s="184">
        <v>0</v>
      </c>
      <c r="O157" s="185">
        <f>IF(OR(AE157="",AE158=""),"",ROUND(IF(L159&gt;0,IF(M157&gt;0,M157,IF(M158&gt;0,ROUND((M158*AE157)/AE158,IF(N157=0,2,IF(N157=0.1,1,0))),ROUND((M159*AE157)/AE159,IF(N157=0,2,IF(N157=0.1,1,0))))),IF(M157&gt;0,M157,ROUND((M158*AE157)/AE158,IF(N157=0,2,IF(N157=0.1,1,0))))),2))</f>
        <v>5.57</v>
      </c>
      <c r="P157" s="186">
        <f>IF(OR(L157="",O157=""),"",IF($C157="1/2W",O157/2+O157/2*L157,IF($C157="1/2L",O157/2,IF(I157="Lay",(O157*(L157/(L157-1))-O157)*(1-_xlfn.XLOOKUP(K157,'Janeiro 2023 - Valor Real'!A3:A15,'Janeiro 2023 - Valor Real'!C3:C15,0))+O157,(O157*L157-O157)*(1-_xlfn.XLOOKUP(K157,'Janeiro 2023 - Valor Real'!A3:A15,'Janeiro 2023 - Valor Real'!C3:C15,0))+O157))))</f>
        <v>15.596</v>
      </c>
      <c r="Q157" s="187">
        <f>IF(K157="","",IF(_xlfn.XLOOKUP(K157,K74:K$84,DJ74:DJ$84,0,,-1)=DJ157,_xlfn.XLOOKUP(K157,K74:K$84,Q74:Q$84,1,,-1)+1,1))</f>
        <v>1</v>
      </c>
      <c r="R157" s="188">
        <f>IF(K157="","",_xlfn.XLOOKUP(K157,K74:K$84,R74:R$84,0,,-1)+IF($C157=" ",1,0))</f>
        <v>0</v>
      </c>
      <c r="S157" s="189">
        <f>IF($B157="Anulado",0,ROUND(IF(OR($B157="LOSS",$B157="OK"),IF(OR($C157="W",$C157="1/2W",$C157="1/2L"),P157-O157,IF($C157="L",-O157,0))+IF(OR($C158="W",$C158="1/2W",$C158="1/2L"),P158-O158,IF($C158="L",-O158,0))+IF(OR($C159="W",$C159="1/2W",$C159="1/2L"),P159-O159,IF($C159="L",-O159,0)),IF(AND(OR($C157="W",$C157="1/2W",$C157="1/2L"),C158="W"),P157+P158-SUM(O157:O159)+_xlfn.XLOOKUP("X",C157:C159,O157:O159,0),IF(AND(C157=TRUE,C159="W"),P157+P159-SUM(O157:O159),IF(AND(C158="W",C159="W"),P158+P159-SUM(O157:O159)+_xlfn.XLOOKUP("X",C157:C159,O157:O159,0),IF(L159&gt;0,IF(OR($C157="W",$C157="1/2W",$C157="1/2L"),P157-SUM(O157:O159)+_xlfn.XLOOKUP("X",C157:C159,O157:O159,0),IF(OR($C157="W",$C157="1/2W",$C157="1/2L"),P158-SUM(O157:O159)+_xlfn.XLOOKUP("X",C157:C159,O157:O159,0),IF(OR($C157="W",$C157="1/2W",$C157="1/2L"),P159-SUM(O157:O159)+_xlfn.XLOOKUP("X",C157:C159,O157:O159,0),IF(SUM(P157:P159)/3-SUM(O157:O159)+_xlfn.XLOOKUP("X",C157:C159,O157:O159,0)&gt;0,SUM(P157:P159)/3-SUM(O157:O159)+_xlfn.XLOOKUP("X",C157:C159,O157:O159,0),LARGE(P157:P159,1)-SUM(O157:O159))))),IF(OR($C157="W",$C157="1/2W",$C157="1/2L"),P157-SUM(O157:O158)+_xlfn.XLOOKUP("X",C157:C159,O157:O159,0),IF(OR($C157="W",$C157="1/2W",$C157="1/2L"),P158-SUM(O157:O158)+_xlfn.XLOOKUP("X",C157:C159,O157:O159,0),SUM(P157:P158)/2-SUM(O157:O158)+_xlfn.XLOOKUP("X",C157:C159,O157:O159,0)))))))),2))</f>
        <v>0.91</v>
      </c>
      <c r="T157" s="190">
        <f>IF(S157=0,0,S157/SUM(O157:O159))</f>
        <v>0.0619469026548673</v>
      </c>
      <c r="U157" s="191">
        <f>IF($D157=$D154,IF(OR($B157="LOSS",$B157="OK",$B157="Anulada"),S157,0)+U154,IF(OR($B157="LOSS",$B157="OK",$B157="Anulada"),S157,0))</f>
        <v>3.92</v>
      </c>
      <c r="V157" s="191">
        <f>IF($D157="",0,IF($D157=$D154,IF($B157=" ",IF(I159="",IF(OR(AND(I157="DNB1",I158="DNB2"),AND(OR(I157="DNB1",I157="DNB2"),J158=0),AND(OR(I158="DNB1",I158="DNB2"),J157=0),AND(I157="DNB2",I158="DNB1"),AND(IF(J157=0,(J157+1)/ROUND(J157+1,0),J157/ROUND(J157,0))=1,IF(J158=0,(J158+1)/ROUND(IF(J158="",0,J158)+1,0),IF(J158="",0,J158)/ROUND(IF(J158="",1,J158),0))=1,OR(J157&lt;&gt;""),J158&lt;&gt;"")),0,IF(S157&lt;0,IF(I159="",SMALL(P157:P158,1)-SUM(O157:O158),0),SMALL(P157:P158,1)-SUM(O157:O158))),IF(S157&lt;0,IF(I159="",SMALL(P157:P159,1)-SUM(O157:O159),0),LARGE(P157:P159,1)-SUM(O157:O159))),S157)+V154,IF(I159="",IF(OR(AND(I157="DNB1",I158="DNB2"),AND(OR(I157="DNB1",I157="DNB2"),J158=0),AND(OR(I158="DNB1",I158="DNB2"),J157=0),AND(I157="DNB2",I158="DNB1"),AND(IF(J157=0,(J157+1)/ROUND(J157+1,0),J157/ROUND(J157,0))=1,IF(J158=0,(IF(J158="",0,J158)+1)/ROUND(IF(J158="",0,J158)+1,0),IF(J158="",0,J158)/ROUND(IF(J158="",0,J158)+1,0))=1,OR(J157&lt;&gt;""),J158&lt;&gt;"")),0,IF(S157&lt;0,IF(I159="",SMALL(P157:P158,1)-SUM(O157:O158),0),SMALL(P157:P159,1)-SUM(O157:O159))),IF(S157&lt;0,IF(I159="",SMALL(P157:P159,1)-SUM(O157:O159),0),LARGE(P157:P159,1)-SUM(O157:O159)))))</f>
        <v>3.9175</v>
      </c>
      <c r="W157" s="191">
        <f>IF($D157=$D154,IF(S157&lt;0,IF(I159="",S157,0),S157)+W154,S157)</f>
        <v>3.92</v>
      </c>
      <c r="X157" t="s" s="192">
        <f>IF(OR(SUM(R157:R159)=0,V157=W157),ROUND(IF(W157=0,0,W157/Y157)*100,2)&amp;"%",ROUND(IF(V157=0,0,V157/Y157)*100,2)&amp;"% a "&amp;ROUND(IF(W157=0,0,W157/Y157)*100,2)&amp;"%")</f>
        <v>190</v>
      </c>
      <c r="Y157" s="193">
        <f>IF($D157=$D154,Y154+SUM(O157:O159),SUM(O157:O159))</f>
        <v>66.65000000000001</v>
      </c>
      <c r="Z157" s="191">
        <f>IF($B157=" ",SUM(O157:O159),0)+Z154</f>
        <v>0</v>
      </c>
      <c r="AA157" s="191">
        <f>IF(G157="","",IF($B157="Anulado",LARGE(P157:P159,1)-SUM(O157:O159)+AA154,AA154))</f>
        <v>14.1564</v>
      </c>
      <c r="AB157" s="191">
        <f>IF($D157="","",AB154+S157)</f>
        <v>129.03</v>
      </c>
      <c r="AC157" s="194">
        <f>IF($D157="","",IF($B157=" ",IF(DAY(G157)=DAY(TODAY()),1+AC154,0+AC154),0+AC154))</f>
        <v>0</v>
      </c>
      <c r="AD157" s="195">
        <f>(((L158/(L158-1)-1)*(1-_xlfn.XLOOKUP(K158,'Janeiro 2023 - Valor Real'!A3:A15,'Janeiro 2023 - Valor Real'!C3:C15,0))+1))/(((L157-1)*(1-_xlfn.XLOOKUP(K157,'Janeiro 2023 - Valor Real'!A3:A15,'Janeiro 2023 - Valor Real'!C3:C15,0))+1)+((L158/(L158-1)-1)*(1-_xlfn.XLOOKUP(K158,'Janeiro 2023 - Valor Real'!A3:A15,'Janeiro 2023 - Valor Real'!C3:C15,0))+1))</f>
        <v>0.443369081872875</v>
      </c>
      <c r="AE157" s="196">
        <f>IF(L157="","",IF(L159&gt;0,(SUM(((L157-1)*(1-_xlfn.XLOOKUP(K157,'Janeiro 2023 - Valor Real'!A3:A15,'Janeiro 2023 - Valor Real'!C3:C15,0))+1),((L158-1)*(1-_xlfn.XLOOKUP(K158,'Janeiro 2023 - Valor Real'!A3:A15,'Janeiro 2023 - Valor Real'!C3:C15,0))+1),((L159-1)*(1-_xlfn.XLOOKUP(K159,'Janeiro 2023 - Valor Real'!A3:A15,'Janeiro 2023 - Valor Real'!C3:C15,0))+1))/((L157-1)*(1-_xlfn.XLOOKUP(K157,'Janeiro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Real'!C3:C15,0))+1))/((L157-1)*(1-_xlfn.XLOOKUP(K157,'Janeiro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Real'!C3:C15,0))+1))/((L158-1)*(1-_xlfn.XLOOKUP(K158,'Janeiro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Real'!C3:C15,0))+1))/((L159-1)*(1-_xlfn.XLOOKUP(K159,'Janeiro 2023 - Valor Real'!A3:A15,'Janeiro 2023 - Valor Real'!C3:C15,0))+1)),IF(I157="Lay",IF(I158="Lay",((L158/(L158-1)-1)*(1-_xlfn.XLOOKUP(K158,'Janeiro 2023 - Valor Real'!A3:A15,'Janeiro 2023 - Valor Real'!C3:C15,0))+1)/(((L158/(L158-1)-1)*(1-_xlfn.XLOOKUP(K158,'Janeiro 2023 - Valor Real'!A3:A15,'Janeiro 2023 - Valor Real'!C3:C15,0))+1)+((L157/(L157-1)-1)*(1-_xlfn.XLOOKUP(K157,'Janeiro 2023 - Valor Real'!A3:A15,'Janeiro 2023 - Valor Real'!C3:C15,0))+1)),((L158-1)*(1-_xlfn.XLOOKUP(K158,'Janeiro 2023 - Valor Real'!A3:A15,'Janeiro 2023 - Valor Real'!C3:C15,0))+1)/(((L158-1)*(1-_xlfn.XLOOKUP(K158,'Janeiro 2023 - Valor Real'!A3:A15,'Janeiro 2023 - Valor Real'!C3:C15,0))+1)+((L157/(L157-1)-1)*(1-_xlfn.XLOOKUP(K157,'Janeiro 2023 - Valor Real'!A3:A15,'Janeiro 2023 - Valor Real'!C3:C15,0))+1))),IF(I158="Lay",(((L158/(L158-1)-1)*(1-_xlfn.XLOOKUP(K158,'Janeiro 2023 - Valor Real'!A3:A15,'Janeiro 2023 - Valor Real'!C3:C15,0))+1))/(((L157-1)*(1-_xlfn.XLOOKUP(K157,'Janeiro 2023 - Valor Real'!A3:A15,'Janeiro 2023 - Valor Real'!C3:C15,0))+1)+((L158/(L158-1)-1)*(1-_xlfn.XLOOKUP(K158,'Janeiro 2023 - Valor Real'!A3:A15,'Janeiro 2023 - Valor Real'!C3:C15,0))+1)),((L158-1)*(1-_xlfn.XLOOKUP(K158,'Janeiro 2023 - Valor Real'!A3:A15,'Janeiro 2023 - Valor Real'!C3:C15,0))+1)/(((L158-1)*(1-_xlfn.XLOOKUP(K158,'Janeiro 2023 - Valor Real'!A3:A15,'Janeiro 2023 - Valor Real'!C3:C15,0))+1)+((L157-1)*(1-_xlfn.XLOOKUP(K157,'Janeiro 2023 - Valor Real'!A3:A15,'Janeiro 2023 - Valor Real'!C3:C15,0))+1))))))</f>
        <v>0.3792400124152</v>
      </c>
      <c r="AF157" s="197">
        <f>IF($K157=AF$3,ROUND(IF(OR($C157="W",$C157="1/2W",$C157="1/2L"),$P157-$O157,IF($C157="X",0,-$O157)),2),0)</f>
        <v>0</v>
      </c>
      <c r="AG157" s="198">
        <f>IF($K157=AG$3,ROUND(IF(OR($C157="W",$C157="1/2W",$C157="1/2L"),$P157-$O157,IF($C157="X",0,-$O157)),2),0)</f>
        <v>0</v>
      </c>
      <c r="AH157" s="198">
        <f>IF($K157=AH$3,ROUND(IF(OR($C157="W",$C157="1/2W",$C157="1/2L"),$P157-$O157,IF($C157="X",0,-$O157)),2),0)</f>
        <v>0</v>
      </c>
      <c r="AI157" s="198">
        <f>IF($K157=AI$3,ROUND(IF(OR($C157="W",$C157="1/2W",$C157="1/2L"),$P157-$O157,IF($C157="X",0,-$O157)),2),0)</f>
        <v>10.03</v>
      </c>
      <c r="AJ157" s="198">
        <f>IF($K157=AJ$3,ROUND(IF(OR($C157="W",$C157="1/2W",$C157="1/2L"),$P157-$O157,IF($C157="X",0,-$O157)),2),0)</f>
        <v>0</v>
      </c>
      <c r="AK157" s="198">
        <f>IF($K157=AK$3,ROUND(IF(OR($C157="W",$C157="1/2W",$C157="1/2L"),$P157-$O157,IF($C157="X",0,-$O157)),2),0)</f>
        <v>0</v>
      </c>
      <c r="AL157" s="198">
        <f>IF($K157=AL$3,ROUND(IF(OR($C157="W",$C157="1/2W",$C157="1/2L"),$P157-$O157,IF($C157="X",0,-$O157)),2),0)</f>
        <v>0</v>
      </c>
      <c r="AM157" s="198">
        <f>IF($K157=AM$3,ROUND(IF(OR($C157="W",$C157="1/2W",$C157="1/2L"),$P157-$O157,IF($C157="X",0,-$O157)),2),0)</f>
        <v>0</v>
      </c>
      <c r="AN157" s="198">
        <f>IF($K157=AN$3,ROUND(IF(OR($C157="W",$C157="1/2W",$C157="1/2L"),$P157-$O157,IF($C157="X",0,-$O157)),2),0)</f>
        <v>0</v>
      </c>
      <c r="AO157" s="198">
        <f>IF($K157=AO$3,ROUND(IF(OR($C157="W",$C157="1/2W",$C157="1/2L"),$P157-$O157,IF($C157="X",0,-$O157)),2),0)</f>
        <v>0</v>
      </c>
      <c r="AP157" s="198">
        <f>IF($K157=AP$3,ROUND(IF(OR($C157="W",$C157="1/2W",$C157="1/2L"),$P157-$O157,IF($C157="X",0,-$O157)),2),0)</f>
        <v>0</v>
      </c>
      <c r="AQ157" s="198">
        <f>IF($K157=AQ$3,ROUND(IF(OR($C157="W",$C157="1/2W",$C157="1/2L"),$P157-$O157,IF($C157="X",0,-$O157)),2),0)</f>
        <v>0</v>
      </c>
      <c r="AR157" s="199">
        <f>IF($K157=AR$3,ROUND(IF(OR($C157="W",$C157="1/2W",$C157="1/2L"),$P157-$O157,IF($C157="X",0,-$O157)),2),0)</f>
        <v>0</v>
      </c>
      <c r="AS157" s="197">
        <f>IF(AND($B157=" ",$K157=AS$3),$O157,0)</f>
        <v>0</v>
      </c>
      <c r="AT157" s="198">
        <f>IF(AND($B157=" ",$K157=AT$3),$O157,0)</f>
        <v>0</v>
      </c>
      <c r="AU157" s="198">
        <f>IF(AND($B157=" ",$K157=AU$3),$O157,0)</f>
        <v>0</v>
      </c>
      <c r="AV157" s="198">
        <f>IF(AND($B157=" ",$K157=AV$3),$O157,0)</f>
        <v>0</v>
      </c>
      <c r="AW157" s="198">
        <f>IF(AND($B157=" ",$K157=AW$3),$O157,0)</f>
        <v>0</v>
      </c>
      <c r="AX157" s="198">
        <f>IF(AND($B157=" ",$K157=AX$3),$O157,0)</f>
        <v>0</v>
      </c>
      <c r="AY157" s="200">
        <f>IF(AND($B157=" ",$K157=AY$3),$O157,0)</f>
        <v>0</v>
      </c>
      <c r="AZ157" s="201">
        <f>IF(AND($B157=" ",$K157=AZ$3),$O157,0)</f>
        <v>0</v>
      </c>
      <c r="BA157" s="201">
        <f>IF(AND($B157=" ",$K157=BA$3),$O157,0)</f>
        <v>0</v>
      </c>
      <c r="BB157" s="201">
        <f>IF(AND($B157=" ",$K157=BB$3),$O157,0)</f>
        <v>0</v>
      </c>
      <c r="BC157" s="202">
        <f>IF(AND($B157=" ",$K157=BC$3),$O157,0)</f>
        <v>0</v>
      </c>
      <c r="BD157" s="198">
        <f>IF(AND($B157=" ",$K157=BD$3),$O157,0)</f>
        <v>0</v>
      </c>
      <c r="BE157" s="199">
        <f>IF(AND($B157=" ",$K157=BE$3),$O157,0)</f>
        <v>0</v>
      </c>
      <c r="BF157" s="203">
        <f>IF($K157=BF$3,IF($C157="X",0,$O157),0)</f>
        <v>0</v>
      </c>
      <c r="BG157" s="198">
        <f>IF($K157=BG$3,IF($C157="X",0,$O157),0)</f>
        <v>0</v>
      </c>
      <c r="BH157" s="198">
        <f>IF($K157=BH$3,IF($C157="X",0,$O157),0)</f>
        <v>0</v>
      </c>
      <c r="BI157" s="198">
        <f>IF($K157=BI$3,IF($C157="X",0,$O157),0)</f>
        <v>5.57</v>
      </c>
      <c r="BJ157" s="198">
        <f>IF($K157=BJ$3,IF($C157="X",0,$O157),0)</f>
        <v>0</v>
      </c>
      <c r="BK157" s="198">
        <f>IF($K157=BK$3,IF($C157="X",0,$O157),0)</f>
        <v>0</v>
      </c>
      <c r="BL157" s="198">
        <f>IF($K157=BL$3,IF($C157="X",0,$O157),0)</f>
        <v>0</v>
      </c>
      <c r="BM157" s="200">
        <f>IF($K157=BM$3,IF($C157="X",0,$O157),0)</f>
        <v>0</v>
      </c>
      <c r="BN157" s="201">
        <f>IF($K157=BN$3,IF($C157="X",0,$O157),0)</f>
        <v>0</v>
      </c>
      <c r="BO157" s="201">
        <f>IF($K157=BO$3,IF($C157="X",0,$O157),0)</f>
        <v>0</v>
      </c>
      <c r="BP157" s="201">
        <f>IF($K157=BP$3,IF($C157="X",0,$O157),0)</f>
        <v>0</v>
      </c>
      <c r="BQ157" s="202">
        <f>IF($K157=BQ$3,IF($C157="X",0,$O157),0)</f>
        <v>0</v>
      </c>
      <c r="BR157" s="199">
        <f>IF($K157=BR$3,IF($C157="X",0,$O157),0)</f>
        <v>0</v>
      </c>
      <c r="BS157" s="204">
        <f>IF($B157="LOSS",IF(AND($K157=BS$3,$C157="L"),-$O157,0)+IF(AND($K158=BS$3,$C158="L"),-$O158,0)+IF(AND($K159=BS$3,$C159="L"),-$O159,0),IF(OR(AND($K157=BS$3,OR($C157="W",$C157="1/2W")),AND($K158=BS$3,OR($C158="W",$C158="1/2W")),AND($K159=BS$3,OR($C159="W",$C159="1/2W"))),$S157,0))</f>
        <v>0</v>
      </c>
      <c r="BT157" s="201">
        <f>IF($B157="LOSS",IF(AND($K157=BT$3,$C157="L"),-$O157,0)+IF(AND($K158=BT$3,$C158="L"),-$O158,0)+IF(AND($K158=BT$3,$C159="L"),-$O159,0),IF(OR(AND($K158=BT$3,OR($C157="W",$C157="1/2W")),AND($K158=BT$3,OR($C158="W",$C158="1/2W")),AND($K158=BT$3,OR($C159="W",$C159="1/2W"))),$S157,0))</f>
        <v>0</v>
      </c>
      <c r="BU157" s="201">
        <f>IF($B157="LOSS",IF(AND($K157=BU$3,$C157="L"),-$O157,0)+IF(AND($K158=BU$3,$C158="L"),-$O158,0)+IF(AND($K158=BU$3,$C159="L"),-$O159,0),IF(OR(AND($K158=BU$3,OR($C157="W",$C157="1/2W")),AND($K158=BU$3,OR($C158="W",$C158="1/2W")),AND($K158=BU$3,OR($C159="W",$C159="1/2W"))),$S157,0))</f>
        <v>0.91</v>
      </c>
      <c r="BV157" s="201">
        <f>IF($B157="LOSS",IF(AND($K157=BV$3,$C157="L"),-$O157,0)+IF(AND($K158=BV$3,$C158="L"),-$O158,0)+IF(AND($K159=BV$3,$C159="L"),-$O159,0),IF(OR(AND($K157=BV$3,OR($C157="W",$C157="1/2W")),AND($K158=BV$3,OR($C158="W",$C158="1/2W")),AND($K159=BV$3,OR($C159="W",$C159="1/2W"))),$S157,0))</f>
        <v>0.91</v>
      </c>
      <c r="BW157" s="201">
        <f>IF($B157="LOSS",IF(AND($K157=BW$3,$C157="L"),-$O157,0)+IF(AND($K158=BW$3,$C158="L"),-$O158,0)+IF(AND($K159=BW$3,$C159="L"),-$O159,0),IF(OR(AND($K157=BW$3,OR($C157="W",$C157="1/2W")),AND($K158=BW$3,OR($C158="W",$C158="1/2W")),AND($K159=BW$3,OR($C159="W",$C159="1/2W"))),$S157,0))</f>
        <v>0</v>
      </c>
      <c r="BX157" s="201">
        <f>IF($B157="LOSS",IF(AND($K157=BX$3,$C157="L"),-$O157,0)+IF(AND($K158=BX$3,$C158="L"),-$O158,0)+IF(AND($K159=BX$3,$C159="L"),-$O159,0),IF(OR(AND($K157=BX$3,OR($C157="W",$C157="1/2W")),AND($K158=BX$3,OR($C158="W",$C158="1/2W")),AND($K159=BX$3,OR($C159="W",$C159="1/2W"))),$S157,0))</f>
        <v>0</v>
      </c>
      <c r="BY157" s="201">
        <f>IF($B157="LOSS",IF(AND($K157=BY$3,$C157="L"),-$O157,0)+IF(AND($K158=BY$3,$C158="L"),-$O158,0)+IF(AND($K159=BY$3,$C159="L"),-$O159,0),IF(OR(AND($K157=BY$3,OR($C157="W",$C157="1/2W")),AND($K158=BY$3,OR($C158="W",$C158="1/2W")),AND($K159=BY$3,OR($C159="W",$C159="1/2W"))),$S157,0))</f>
        <v>0</v>
      </c>
      <c r="BZ157" s="205">
        <f>IF($B157="LOSS",IF(AND($K157=BZ$3,$C157="L"),-$O157,0)+IF(AND($K158=BZ$3,$C158="L"),-$O158,0)+IF(AND($K159=BZ$3,$C159="L"),-$O159,0),IF(OR(AND($K157=BZ$3,OR($C157="W",$C157="1/2W")),AND($K158=BZ$3,OR($C158="W",$C158="1/2W")),AND($K159=BZ$3,OR($C159="W",$C159="1/2W"))),$S157,0))</f>
        <v>0</v>
      </c>
      <c r="CA157" s="205">
        <f>IF($B157="LOSS",IF(AND($K157=CA$3,$C157="L"),-$O157,0)+IF(AND($K158=CA$3,$C158="L"),-$O158,0)+IF(AND($K159=CA$3,$C159="L"),-$O159,0),IF(OR(AND($K157=CA$3,OR($C157="W",$C157="1/2W")),AND($K158=CA$3,OR($C158="W",$C158="1/2W")),AND($K159=CA$3,OR($C159="W",$C159="1/2W"))),$S157,0))</f>
        <v>0</v>
      </c>
      <c r="CB157" s="205">
        <f>IF($B157="LOSS",IF(AND($K157=CB$3,$C157="L"),-$O157,0)+IF(AND($K158=CB$3,$C158="L"),-$O158,0)+IF(AND($K159=CB$3,$C159="L"),-$O159,0),IF(OR(AND($K157=CB$3,OR($C157="W",$C157="1/2W")),AND($K158=CB$3,OR($C158="W",$C158="1/2W")),AND($K159=CB$3,OR($C159="W",$C159="1/2W"))),$S157,0))</f>
        <v>0</v>
      </c>
      <c r="CC157" s="205">
        <f>IF($B157="LOSS",IF(AND($K157=CC$3,$C157="L"),-$O157,0)+IF(AND($K158=CC$3,$C158="L"),-$O158,0)+IF(AND($K159=CC$3,$C159="L"),-$O159,0),IF(OR(AND($K157=CC$3,OR($C157="W",$C157="1/2W")),AND($K158=CC$3,OR($C158="W",$C158="1/2W")),AND($K159=CC$3,OR($C159="W",$C159="1/2W"))),$S157,0))</f>
        <v>0</v>
      </c>
      <c r="CD157" s="202">
        <f>IF($B157="LOSS",IF(AND($K157=CD$3,$C157="L"),-$O157,0)+IF(AND($K158=CD$3,$C158="L"),-$O158,0)+IF(AND($K159=CD$3,$C159="L"),-$O159,0),IF(OR(AND($K157=CD$3,OR($C157="W",$C157="1/2W")),AND($K158=CD$3,OR($C158="W",$C158="1/2W")),AND($K159=CD$3,OR($C159="W",$C159="1/2W"))),$S157,0))</f>
        <v>0</v>
      </c>
      <c r="CE157" s="199">
        <f>IF($B157="LOSS",IF(AND($K157=CE$3,$C157="L"),-$O157,0)+IF(AND($K158=CE$3,$C158="L"),-$O158,0)+IF(AND($K159=CE$3,$C159="L"),-$O159,0),IF(OR(AND($K157=CE$3,OR($C157="W",$C157="1/2W")),AND($K158=CE$3,OR($C158="W",$C158="1/2W")),AND($K159=CE$3,OR($C159="W",$C159="1/2W"))),$S157,0))</f>
        <v>0</v>
      </c>
      <c r="CF157" s="206">
        <f>IF(CF$3=$K157,IF($C157="W",1,IF($C157="1/2W",0.5,0)),0)</f>
        <v>0</v>
      </c>
      <c r="CG157" s="207">
        <f>IF(CF$3=$K157,IF($C157="L",1,IF($C157="1/2L",0.5,0)),0)</f>
        <v>0</v>
      </c>
      <c r="CH157" s="207">
        <f>IF(CH$3=$K157,IF($C157="W",1,IF($C157="1/2W",0.5,0)),0)</f>
        <v>0</v>
      </c>
      <c r="CI157" s="207">
        <f>IF(CH$3=$K157,IF($C157="L",1,IF($C157="1/2L",0.5,0)),0)</f>
        <v>0</v>
      </c>
      <c r="CJ157" s="207">
        <f>IF(CJ$3=$K157,IF($C157="W",1,IF($C157="1/2W",0.5,0)),0)</f>
        <v>0</v>
      </c>
      <c r="CK157" s="207">
        <f>IF(CJ$3=$K157,IF($C157="L",1,IF($C157="1/2L",0.5,0)),0)</f>
        <v>0</v>
      </c>
      <c r="CL157" s="207">
        <f>IF(CL$3=$K157,IF($C157="W",1,IF($C157="1/2W",0.5,0)),0)</f>
        <v>1</v>
      </c>
      <c r="CM157" s="207">
        <f>IF(CL$3=$K157,IF($C157="L",1,IF($C157="1/2L",0.5,0)),0)</f>
        <v>0</v>
      </c>
      <c r="CN157" s="207">
        <f>IF(CN$3=$K157,IF($C157="W",1,IF($C157="1/2W",0.5,0)),0)</f>
        <v>0</v>
      </c>
      <c r="CO157" s="207">
        <f>IF(CN$3=$K157,IF($C157="L",1,IF($C157="1/2L",0.5,0)),0)</f>
        <v>0</v>
      </c>
      <c r="CP157" s="207">
        <f>IF(CP$3=$K157,IF($C157="W",1,IF($C157="1/2W",0.5,0)),0)</f>
        <v>0</v>
      </c>
      <c r="CQ157" s="207">
        <f>IF(CP$3=$K157,IF($C157="L",1,IF($C157="1/2L",0.5,0)),0)</f>
        <v>0</v>
      </c>
      <c r="CR157" s="207">
        <f>IF(CR$3=$K157,IF($C157="W",1,IF($C157="1/2W",0.5,0)),0)</f>
        <v>0</v>
      </c>
      <c r="CS157" s="207">
        <f>IF(CR$3=$K157,IF($C157="L",1,IF($C157="1/2L",0.5,0)),0)</f>
        <v>0</v>
      </c>
      <c r="CT157" s="208">
        <f>IF(CT$3=$K157,IF($C157="W",1,IF($C157="1/2W",0.5,0)),0)</f>
        <v>0</v>
      </c>
      <c r="CU157" s="209">
        <f>IF(CT$3=$K157,IF($C157="L",1,IF($C157="1/2L",0.5,0)),0)</f>
        <v>0</v>
      </c>
      <c r="CV157" s="209">
        <f>IF(CV$3=$K157,IF($C157="W",1,IF($C157="1/2W",0.5,0)),0)</f>
        <v>0</v>
      </c>
      <c r="CW157" s="209">
        <f>IF(CV$3=$K157,IF($C157="L",1,IF($C157="1/2L",0.5,0)),0)</f>
        <v>0</v>
      </c>
      <c r="CX157" s="209">
        <f>IF(CX$3=$K157,IF($C157="W",1,IF($C157="1/2W",0.5,0)),0)</f>
        <v>0</v>
      </c>
      <c r="CY157" s="209">
        <f>IF(CX$3=$K157,IF($C157="L",1,IF($C157="1/2L",0.5,0)),0)</f>
        <v>0</v>
      </c>
      <c r="CZ157" s="209">
        <f>IF(CZ$3=$K157,IF($C157="W",1,IF($C157="1/2W",0.5,0)),0)</f>
        <v>0</v>
      </c>
      <c r="DA157" s="209">
        <f>IF(CZ$3=$K157,IF($C157="L",1,IF($C157="1/2L",0.5,0)),0)</f>
        <v>0</v>
      </c>
      <c r="DB157" s="209">
        <f>IF(DB$3=$K157,IF($C157="W",1,IF($C157="1/2W",0.5,0)),0)</f>
        <v>0</v>
      </c>
      <c r="DC157" s="209">
        <f>IF(DB$3=$K157,IF($C157="L",1,IF($C157="1/2L",0.5,0)),0)</f>
        <v>0</v>
      </c>
      <c r="DD157" s="209">
        <f>IF(DD$3=$K157,IF($C157="W",1,IF($C157="1/2W",0.5,0)),0)</f>
        <v>0</v>
      </c>
      <c r="DE157" s="210">
        <f>IF(DD$3=$K157,IF($C157="L",1,IF($C157="1/2L",0.5,0)),0)</f>
        <v>0</v>
      </c>
      <c r="DF157" s="211">
        <f>IF(AND(L157&lt;DF$3,$C157="W"),1+DF156,DF156)</f>
        <v>8</v>
      </c>
      <c r="DG157" s="198">
        <f>IF(DF157&gt;DF156,L157+DG156,DG156)</f>
        <v>10.598</v>
      </c>
      <c r="DH157" s="209">
        <f>IF(AND(L157&gt;DH$3,$C157="W"),1+DH156,0+DH156)</f>
        <v>2</v>
      </c>
      <c r="DI157" s="198">
        <f>IF(DH157&gt;DH156,L157+DI156,DI156)</f>
        <v>11.58</v>
      </c>
      <c r="DJ157" t="s" s="306">
        <f>IF($D157="","",$D157)</f>
        <v>184</v>
      </c>
      <c r="DK157" s="209">
        <f>IF(AND($B157=" ",$D157&lt;&gt;""),1,0)</f>
        <v>0</v>
      </c>
    </row>
    <row r="158" ht="14.55" customHeight="1">
      <c r="A158" s="107"/>
      <c r="B158" s="108"/>
      <c r="C158" t="s" s="213">
        <v>51</v>
      </c>
      <c r="D158" s="110"/>
      <c r="E158" s="111"/>
      <c r="F158" s="113"/>
      <c r="G158" s="214"/>
      <c r="H158" s="114"/>
      <c r="I158" t="s" s="215">
        <v>81</v>
      </c>
      <c r="J158" t="s" s="216">
        <f>IF(OR(I157="TO",I157="TU",I157="TO1",I157="TU1",I157="TO2",I157="TU2"),J157,IF(OR(I157="AH1",I157="AH2"),IF(OR(I158="AH1",I158="AH2"),-J157,IF(OR(I158="EH1",I158="EH2"),-J157+0.5,"")),IF(OR(I157="EH1",I157="EH2"),IF(OR(I158="AH1",I158="AH2"),-J157+0.5,IF(OR(I158="EH1",I158="EH2"),-J157+1,"")),IF(AND(OR(I157="DNB1",I157="DNB2"),OR(I158="AH1",I158="AH2")),0,IF(AND(I157="Not ScoreBoth",OR(I158="TO1",I158="TO2")),0.5,"")))))</f>
      </c>
      <c r="K158" t="s" s="217">
        <v>39</v>
      </c>
      <c r="L158" s="218">
        <v>1.76</v>
      </c>
      <c r="M158" s="219"/>
      <c r="N158" s="120"/>
      <c r="O158" s="220">
        <f>IF(OR(AE157="",AE158=""),"",ROUND(IF(L159&gt;0,IF(M158&gt;0,M158,IF(M157&gt;0,IF(N157=TRUE,ROUND((M157*AE158)/AE157,0),(M157*AE158)/AE157),IF(M158&gt;0,ROUND(M158,IF(N157=0,2,IF(N157=0.1,1,0))),IF(M159&gt;0,ROUND(O159*AE158/AE159,IF(N157=0,2,IF(N157=0.1,1,0))),0)))),IF(M158&gt;0,M158,ROUND((M157*AE158)/AE157,IF(N157=0,2,IF(N157=0.1,1,0))))),2))</f>
        <v>9.119999999999999</v>
      </c>
      <c r="P158" s="221">
        <f>IF(OR(L158="",O158=""),"",IF($C158="1/2W",O158/2+O158/2*L158,IF($C158="1/2L",O158/2,IF(I158="Lay",((O158*(L158/(L158-1)))-O158)*(1-_xlfn.XLOOKUP(K158,'Janeiro 2023 - Valor Real'!A3:A15,'Janeiro 2023 - Valor Real'!C3:C15,0))+O158,(O158*L158-O158)*(1-_xlfn.XLOOKUP(K158,'Janeiro 2023 - Valor Real'!A3:A15,'Janeiro 2023 - Valor Real'!C3:C15,0))+O158))))</f>
        <v>15.600672</v>
      </c>
      <c r="Q158" s="222">
        <f>IF(K158="","",IF(_xlfn.XLOOKUP(K158,K74:K$85,DJ74:DJ$85,0,,-1)=DJ158,_xlfn.XLOOKUP(K158,K74:K$85,Q74:Q$85,1,,-1)+1,1))</f>
        <v>1</v>
      </c>
      <c r="R158" s="223">
        <f>IF(K158="","",_xlfn.XLOOKUP(K158,K74:K$85,R74:R$85,0,,-1)+IF($C158=" ",1,0))</f>
        <v>0</v>
      </c>
      <c r="S158" s="125"/>
      <c r="T158" s="126"/>
      <c r="U158" s="126"/>
      <c r="V158" s="224"/>
      <c r="W158" s="126"/>
      <c r="X158" s="127"/>
      <c r="Y158" s="128"/>
      <c r="Z158" s="129"/>
      <c r="AA158" s="129"/>
      <c r="AB158" s="129"/>
      <c r="AC158" s="129"/>
      <c r="AD158" s="225">
        <f>(((L158/(L158-1)-1)*(1-_xlfn.XLOOKUP(K158,'Janeiro 2023 - Valor Real'!A3:A15,'Janeiro 2023 - Valor Real'!C3:C15,0))+1))</f>
        <v>2.23026315789474</v>
      </c>
      <c r="AE158" s="226">
        <f>IF(L158="","",IF(L159&gt;0,(SUM(((L157-1)*(1-_xlfn.XLOOKUP(K157,'Janeiro 2023 - Valor Real'!A3:A15,'Janeiro 2023 - Valor Real'!C3:C15,0))+1),((L158-1)*(1-_xlfn.XLOOKUP(K158,'Janeiro 2023 - Valor Real'!A3:A15,'Janeiro 2023 - Valor Real'!C3:C15,0))+1),((L159-1)*(1-_xlfn.XLOOKUP(K159,'Janeiro 2023 - Valor Real'!A3:A15,'Janeiro 2023 - Valor Real'!C3:C15,0))+1))/((L158-1)*(1-_xlfn.XLOOKUP(K158,'Janeiro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Real'!C3:C15,0))+1))/((L157-1)*(1-_xlfn.XLOOKUP(K157,'Janeiro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Real'!C3:C15,0))+1))/((L158-1)*(1-_xlfn.XLOOKUP(K158,'Janeiro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Real'!C3:C15,0))+1))/((L159-1)*(1-_xlfn.XLOOKUP(K159,'Janeiro 2023 - Valor Real'!A3:A15,'Janeiro 2023 - Valor Real'!C3:C15,0))+1)),IF(I158="Lay",IF(I157="Lay",((L157/(L157-1)-1)*(1-_xlfn.XLOOKUP(K157,'Janeiro 2023 - Valor Real'!A3:A15,'Janeiro 2023 - Valor Real'!C3:C15,0))+1)/(((L157/(L157-1)-1)*(1-_xlfn.XLOOKUP(K157,'Janeiro 2023 - Valor Real'!A3:A15,'Janeiro 2023 - Valor Real'!C3:C15,0))+1)+((L158/(L158-1)-1)*(1-_xlfn.XLOOKUP(K158,'Janeiro 2023 - Valor Real'!A3:A15,'Janeiro 2023 - Valor Real'!C3:C15,0))+1)),((L157-1)*(1-_xlfn.XLOOKUP(K157,'Janeiro 2023 - Valor Real'!A3:A15,'Janeiro 2023 - Valor Real'!C3:C15,0))+1)/(((L157-1)*(1-_xlfn.XLOOKUP(K157,'Janeiro 2023 - Valor Real'!A3:A15,'Janeiro 2023 - Valor Real'!C3:C15,0))+1)+((L158/(L158-1)-1)*(1-_xlfn.XLOOKUP(K158,'Janeiro 2023 - Valor Real'!A3:A15,'Janeiro 2023 - Valor Real'!C3:C15,0))+1))),IF(I157="Lay",((L157/(L157-1)-1)*(1-_xlfn.XLOOKUP(K157,'Janeiro 2023 - Valor Real'!A3:A15,'Janeiro 2023 - Valor Real'!C3:C15,0))+1)/((((L157/(L157-1)-1)*(1-_xlfn.XLOOKUP(K157,'Janeiro 2023 - Valor Real'!A3:A15,'Janeiro 2023 - Valor Real'!C3:C15,0))+1))+((L158-1)*(1-_xlfn.XLOOKUP(K158,'Janeiro 2023 - Valor Real'!A3:A15,'Janeiro 2023 - Valor Real'!C3:C15,0))+1)),((L157-1)*(1-_xlfn.XLOOKUP(K157,'Janeiro 2023 - Valor Real'!A3:A15,'Janeiro 2023 - Valor Real'!C3:C15,0))+1)/(((L157-1)*(1-_xlfn.XLOOKUP(K157,'Janeiro 2023 - Valor Real'!A3:A15,'Janeiro 2023 - Valor Real'!C3:C15,0))+1)+((L158-1)*(1-_xlfn.XLOOKUP(K158,'Janeiro 2023 - Valor Real'!A3:A15,'Janeiro 2023 - Valor Real'!C3:C15,0))+1))))))</f>
        <v>0.6207599875848</v>
      </c>
      <c r="AF158" s="197">
        <f>IF($K158=AF$3,ROUND(IF(OR($C158="W",$C158="1/2W",$C158="1/2L"),$P158-$O158,IF($C158="X",0,-$O158)),2),0)</f>
        <v>0</v>
      </c>
      <c r="AG158" s="198">
        <f>IF($K158=AG$3,ROUND(IF(OR($C158="W",$C158="1/2W",$C158="1/2L"),$P158-$O158,IF($C158="X",0,-$O158)),2),0)</f>
        <v>0</v>
      </c>
      <c r="AH158" s="198">
        <f>IF($K158=AH$3,ROUND(IF(OR($C158="W",$C158="1/2W",$C158="1/2L"),$P158-$O158,IF($C158="X",0,-$O158)),2),0)</f>
        <v>-9.119999999999999</v>
      </c>
      <c r="AI158" s="198">
        <f>IF($K158=AI$3,ROUND(IF(OR($C158="W",$C158="1/2W",$C158="1/2L"),$P158-$O158,IF($C158="X",0,-$O158)),2),0)</f>
        <v>0</v>
      </c>
      <c r="AJ158" s="198">
        <f>IF($K158=AJ$3,ROUND(IF(OR($C158="W",$C158="1/2W",$C158="1/2L"),$P158-$O158,IF($C158="X",0,-$O158)),2),0)</f>
        <v>0</v>
      </c>
      <c r="AK158" s="198">
        <f>IF($K158=AK$3,ROUND(IF(OR($C158="W",$C158="1/2W",$C158="1/2L"),$P158-$O158,IF($C158="X",0,-$O158)),2),0)</f>
        <v>0</v>
      </c>
      <c r="AL158" s="198">
        <f>IF($K158=AL$3,ROUND(IF(OR($C158="W",$C158="1/2W",$C158="1/2L"),$P158-$O158,IF($C158="X",0,-$O158)),2),0)</f>
        <v>0</v>
      </c>
      <c r="AM158" s="198">
        <f>IF($K158=AM$3,ROUND(IF(OR($C158="W",$C158="1/2W",$C158="1/2L"),$P158-$O158,IF($C158="X",0,-$O158)),2),0)</f>
        <v>0</v>
      </c>
      <c r="AN158" s="198">
        <f>IF($K158=AN$3,ROUND(IF(OR($C158="W",$C158="1/2W",$C158="1/2L"),$P158-$O158,IF($C158="X",0,-$O158)),2),0)</f>
        <v>0</v>
      </c>
      <c r="AO158" s="198">
        <f>IF($K158=AO$3,ROUND(IF(OR($C158="W",$C158="1/2W",$C158="1/2L"),$P158-$O158,IF($C158="X",0,-$O158)),2),0)</f>
        <v>0</v>
      </c>
      <c r="AP158" s="198">
        <f>IF($K158=AP$3,ROUND(IF(OR($C158="W",$C158="1/2W",$C158="1/2L"),$P158-$O158,IF($C158="X",0,-$O158)),2),0)</f>
        <v>0</v>
      </c>
      <c r="AQ158" s="198">
        <f>IF($K158=AQ$3,ROUND(IF(OR($C158="W",$C158="1/2W",$C158="1/2L"),$P158-$O158,IF($C158="X",0,-$O158)),2),0)</f>
        <v>0</v>
      </c>
      <c r="AR158" s="199">
        <f>IF($K158=AR$3,ROUND(IF(OR($C158="W",$C158="1/2W",$C158="1/2L"),$P158-$O158,IF($C158="X",0,-$O158)),2),0)</f>
        <v>0</v>
      </c>
      <c r="AS158" s="197">
        <f>IF(AND($B157=" ",$K158=AS$3),$O158,0)</f>
        <v>0</v>
      </c>
      <c r="AT158" s="198">
        <f>IF(AND($B157=" ",K158=AT$3),$O158,0)</f>
        <v>0</v>
      </c>
      <c r="AU158" s="198">
        <f>IF(AND($B157=" ",$K158=AU$3),$O158,0)</f>
        <v>0</v>
      </c>
      <c r="AV158" s="198">
        <f>IF(AND($B157=" ",$K158=AV$3),$O158,0)</f>
        <v>0</v>
      </c>
      <c r="AW158" s="198">
        <f>IF(AND($B157=" ",$K158=AW$3),$O158,0)</f>
        <v>0</v>
      </c>
      <c r="AX158" s="198">
        <f>IF(AND($B157=" ",$K158=AX$3),$O158,0)</f>
        <v>0</v>
      </c>
      <c r="AY158" s="200">
        <f>IF(AND($B157=" ",$K158=AY$3),$O158,0)</f>
        <v>0</v>
      </c>
      <c r="AZ158" s="201">
        <f>IF(AND($B157=" ",$K158=AZ$3),$O158,0)</f>
        <v>0</v>
      </c>
      <c r="BA158" s="201">
        <f>IF(AND($B157=" ",$K158=BA$3),$O158,0)</f>
        <v>0</v>
      </c>
      <c r="BB158" s="201">
        <f>IF(AND($B157=" ",$K158=BB$3),$O158,0)</f>
        <v>0</v>
      </c>
      <c r="BC158" s="202">
        <f>IF(AND($B157=" ",$K158=BC$3),$O158,0)</f>
        <v>0</v>
      </c>
      <c r="BD158" s="198">
        <f>IF(AND($B157=" ",$K158=BD$3),$O158,0)</f>
        <v>0</v>
      </c>
      <c r="BE158" s="199">
        <f>IF(AND($B157=" ",$K158=BE$3),$O158,0)</f>
        <v>0</v>
      </c>
      <c r="BF158" s="197">
        <f>IF($K158=BF$3,IF($C158="X",0,$O158),0)</f>
        <v>0</v>
      </c>
      <c r="BG158" s="198">
        <f>IF($K158=BG$3,IF($C158="X",0,$O158),0)</f>
        <v>0</v>
      </c>
      <c r="BH158" s="198">
        <f>IF($K158=BH$3,IF($C158="X",0,$O158),0)</f>
        <v>9.119999999999999</v>
      </c>
      <c r="BI158" s="198">
        <f>IF($K158=BI$3,IF($C158="X",0,$O158),0)</f>
        <v>0</v>
      </c>
      <c r="BJ158" s="198">
        <f>IF($K158=BJ$3,IF($C158="X",0,$O158),0)</f>
        <v>0</v>
      </c>
      <c r="BK158" s="198">
        <f>IF($K158=BK$3,IF($C158="X",0,$O158),0)</f>
        <v>0</v>
      </c>
      <c r="BL158" s="198">
        <f>IF($K158=BL$3,IF($C158="X",0,$O158),0)</f>
        <v>0</v>
      </c>
      <c r="BM158" s="227">
        <f>IF($K158=BM$3,IF($C158="X",0,$O158),0)</f>
        <v>0</v>
      </c>
      <c r="BN158" s="205">
        <f>IF($K158=BN$3,IF($C158="X",0,$O158),0)</f>
        <v>0</v>
      </c>
      <c r="BO158" s="205">
        <f>IF($K158=BO$3,IF($C158="X",0,$O158),0)</f>
        <v>0</v>
      </c>
      <c r="BP158" s="205">
        <f>IF($K158=BP$3,IF($C158="X",0,$O158),0)</f>
        <v>0</v>
      </c>
      <c r="BQ158" s="202">
        <f>IF($K158=BQ$3,IF($C158="X",0,$O158),0)</f>
        <v>0</v>
      </c>
      <c r="BR158" s="199">
        <f>IF($K158=BR$3,IF($C158="X",0,$O158),0)</f>
        <v>0</v>
      </c>
      <c r="BS158" s="228"/>
      <c r="BT158" s="229"/>
      <c r="BU158" s="140"/>
      <c r="BV158" s="229"/>
      <c r="BW158" s="140"/>
      <c r="BX158" s="140"/>
      <c r="BY158" s="140"/>
      <c r="BZ158" s="229"/>
      <c r="CA158" s="140"/>
      <c r="CB158" s="140"/>
      <c r="CC158" s="140"/>
      <c r="CD158" s="141"/>
      <c r="CE158" s="142"/>
      <c r="CF158" s="230">
        <f>IF(CF$3=$K158,IF($C158="W",1,IF($C158="1/2W",0.5,0)),0)</f>
        <v>0</v>
      </c>
      <c r="CG158" s="231">
        <f>IF(CF$3=$K158,IF($C158="L",1,IF($C158="1/2L",0.5,0)),0)</f>
        <v>0</v>
      </c>
      <c r="CH158" s="231">
        <f>IF(CH$3=$K158,IF($C158="W",1,IF($C158="1/2W",0.5,0)),0)</f>
        <v>0</v>
      </c>
      <c r="CI158" s="231">
        <f>IF(CH$3=$K158,IF($C158="L",1,IF($C158="1/2L",0.5,0)),0)</f>
        <v>0</v>
      </c>
      <c r="CJ158" s="231">
        <f>IF(CJ$3=$K158,IF($C158="W",1,IF($C158="1/2W",0.5,0)),0)</f>
        <v>0</v>
      </c>
      <c r="CK158" s="231">
        <f>IF(CJ$3=$K158,IF($C158="L",1,IF($C158="1/2L",0.5,0)),0)</f>
        <v>1</v>
      </c>
      <c r="CL158" s="231">
        <f>IF(CL$3=$K158,IF($C158="W",1,IF($C158="1/2W",0.5,0)),0)</f>
        <v>0</v>
      </c>
      <c r="CM158" s="231">
        <f>IF(CL$3=$K158,IF($C158="L",1,IF($C158="1/2L",0.5,0)),0)</f>
        <v>0</v>
      </c>
      <c r="CN158" s="231">
        <f>IF(CN$3=$K158,IF($C158="W",1,IF($C158="1/2W",0.5,0)),0)</f>
        <v>0</v>
      </c>
      <c r="CO158" s="231">
        <f>IF(CN$3=$K158,IF($C158="L",1,IF($C158="1/2L",0.5,0)),0)</f>
        <v>0</v>
      </c>
      <c r="CP158" s="231">
        <f>IF(CP$3=$K158,IF($C158="W",1,IF($C158="1/2W",0.5,0)),0)</f>
        <v>0</v>
      </c>
      <c r="CQ158" s="231">
        <f>IF(CP$3=$K158,IF($C158="L",1,IF($C158="1/2L",0.5,0)),0)</f>
        <v>0</v>
      </c>
      <c r="CR158" s="231">
        <f>IF(CR$3=$K158,IF($C158="W",1,IF($C158="1/2W",0.5,0)),0)</f>
        <v>0</v>
      </c>
      <c r="CS158" s="231">
        <f>IF(CR$3=$K158,IF($C158="L",1,IF($C158="1/2L",0.5,0)),0)</f>
        <v>0</v>
      </c>
      <c r="CT158" s="208">
        <f>IF(CT$3=$K158,IF($C158="W",1,IF($C158="1/2W",0.5,0)),0)</f>
        <v>0</v>
      </c>
      <c r="CU158" s="209">
        <f>IF(CT$3=$K158,IF($C158="L",1,IF($C158="1/2L",0.5,0)),0)</f>
        <v>0</v>
      </c>
      <c r="CV158" s="209">
        <f>IF(CV$3=$K158,IF($C158="W",1,IF($C158="1/2W",0.5,0)),0)</f>
        <v>0</v>
      </c>
      <c r="CW158" s="209">
        <f>IF(CV$3=$K158,IF($C158="L",1,IF($C158="1/2L",0.5,0)),0)</f>
        <v>0</v>
      </c>
      <c r="CX158" s="209">
        <f>IF(CX$3=$K158,IF($C158="W",1,IF($C158="1/2W",0.5,0)),0)</f>
        <v>0</v>
      </c>
      <c r="CY158" s="209">
        <f>IF(CX$3=$K158,IF($C158="L",1,IF($C158="1/2L",0.5,0)),0)</f>
        <v>0</v>
      </c>
      <c r="CZ158" s="209">
        <f>IF(CZ$3=$K158,IF($C158="W",1,IF($C158="1/2W",0.5,0)),0)</f>
        <v>0</v>
      </c>
      <c r="DA158" s="209">
        <f>IF(CZ$3=$K158,IF($C158="L",1,IF($C158="1/2L",0.5,0)),0)</f>
        <v>0</v>
      </c>
      <c r="DB158" s="209">
        <f>IF(DB$3=$K158,IF($C158="W",1,IF($C158="1/2W",0.5,0)),0)</f>
        <v>0</v>
      </c>
      <c r="DC158" s="209">
        <f>IF(DB$3=$K158,IF($C158="L",1,IF($C158="1/2L",0.5,0)),0)</f>
        <v>0</v>
      </c>
      <c r="DD158" s="209">
        <f>IF(DD$3=$K158,IF($C158="W",1,IF($C158="1/2W",0.5,0)),0)</f>
        <v>0</v>
      </c>
      <c r="DE158" s="210">
        <f>IF(DD$3=$K158,IF($C158="L",1,IF($C158="1/2L",0.5,0)),0)</f>
        <v>0</v>
      </c>
      <c r="DF158" s="211">
        <f>IF(AND(L158&lt;DF$3,$C158="W"),1+DF157,DF157)</f>
        <v>8</v>
      </c>
      <c r="DG158" s="198">
        <f>IF(DF158&gt;DF157,L158+DG157,DG157)</f>
        <v>10.598</v>
      </c>
      <c r="DH158" s="209">
        <f>IF(AND(L158&gt;DH$3,$C158="W"),1+DH157,0+DH157)</f>
        <v>2</v>
      </c>
      <c r="DI158" s="198">
        <f>IF(DH158&gt;DH157,L158+DI157,DI157)</f>
        <v>11.58</v>
      </c>
      <c r="DJ158" t="s" s="306">
        <f>IF($D157="","",$D157)</f>
        <v>184</v>
      </c>
      <c r="DK158" s="232"/>
    </row>
    <row r="159" ht="14.55" customHeight="1">
      <c r="A159" s="149"/>
      <c r="B159" s="150"/>
      <c r="C159" t="s" s="233">
        <v>58</v>
      </c>
      <c r="D159" s="152"/>
      <c r="E159" s="153"/>
      <c r="F159" s="155"/>
      <c r="G159" s="234"/>
      <c r="H159" s="156"/>
      <c r="I159" s="235"/>
      <c r="J159" s="236"/>
      <c r="K159" s="237"/>
      <c r="L159" s="238"/>
      <c r="M159" s="239"/>
      <c r="N159" s="161"/>
      <c r="O159" t="s" s="240">
        <f>IF(OR(AE157="",AE158=""),"",IF(L159&gt;0,ROUND(IF(M159&gt;0,M159,IF(M157&gt;0,ROUND((M157*AE159)/AE157,IF(N157=0,2,IF(N157=0.1,1,0))),IF(M158&gt;0,ROUND((M158*AE159)/AE158,IF(N157=0,2,IF(N157=0.1,1,0))),IF(M159&gt;0,M159,0)))),2),""))</f>
      </c>
      <c r="P159" t="s" s="241">
        <f>IF(I158="Lay",O158*(L158/(L158-1))-O158,IF(I157="Lay",O157*(L157/(L157-1))-O157,IF(OR(L159="",O159=""),"",IF($C159="1/2W",O159/2+O159/2*L159,IF($C159="1/2L",O159/2,(O159*L159-O159)*(1-_xlfn.XLOOKUP(K159,'Janeiro 2023 - Valor Real'!A3:A15,'Janeiro 2023 - Valor Real'!C3:C15,0))+O159)))))</f>
      </c>
      <c r="Q159" t="s" s="242">
        <f>IF(K159="","",IF(_xlfn.XLOOKUP(K159,K74:K$86,DJ74:DJ$86,0,,-1)=DJ159,_xlfn.XLOOKUP(K159,K74:K$86,Q74:Q$86,1,,-1)+1,1))</f>
      </c>
      <c r="R159" t="s" s="243">
        <f>IF(K159="","",_xlfn.XLOOKUP(K159,K74:K$86,R74:R$86,0,,-1)+IF($C159=" ",1,0))</f>
      </c>
      <c r="S159" s="166"/>
      <c r="T159" s="155"/>
      <c r="U159" s="155"/>
      <c r="V159" s="166"/>
      <c r="W159" s="155"/>
      <c r="X159" s="167"/>
      <c r="Y159" s="128"/>
      <c r="Z159" s="129"/>
      <c r="AA159" s="129"/>
      <c r="AB159" s="129"/>
      <c r="AC159" s="129"/>
      <c r="AD159" s="244">
        <f>((L158/(L158-1)-1))</f>
        <v>1.31578947368421</v>
      </c>
      <c r="AE159" t="s" s="245">
        <f>IF(L159="","",(SUM(((L157-1)*(1-_xlfn.XLOOKUP(K157,'Janeiro 2023 - Valor Real'!A3:A15,'Janeiro 2023 - Valor Real'!C3:C15,0))+1),((L158-1)*(1-_xlfn.XLOOKUP(K158,'Janeiro 2023 - Valor Real'!A3:A15,'Janeiro 2023 - Valor Real'!C3:C15,0))+1),((L159-1)*(1-_xlfn.XLOOKUP(K159,'Janeiro 2023 - Valor Real'!A3:A15,'Janeiro 2023 - Valor Real'!C3:C15,0))+1))/((L159-1)*(1-_xlfn.XLOOKUP(K159,'Janeiro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Real'!C3:C15,0))+1))/((L157-1)*(1-_xlfn.XLOOKUP(K157,'Janeiro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Real'!C3:C15,0))+1))/((L158-1)*(1-_xlfn.XLOOKUP(K158,'Janeiro 2023 - Valor Real'!A3:A15,'Janeiro 2023 - Valor Real'!C3:C15,0))+1)+SUM(((L157-1)*(1-_xlfn.XLOOKUP(K157,'Janeiro 2023 - Valor Real'!A3:A15,'Janeiro 2023 - Valor Real'!C3:C15,0))+1),((L158-1)*(1-_xlfn.XLOOKUP(K158,'Janeiro 2023 - Valor Real'!A3:A15,'Janeiro 2023 - Valor Real'!C3:C15,0))+1),((L159-1)*(1-_xlfn.XLOOKUP(K159,'Janeiro 2023 - Valor Real'!A3:A15,'Janeiro 2023 - Valor Real'!C3:C15,0))+1))/((L159-1)*(1-_xlfn.XLOOKUP(K159,'Janeiro 2023 - Valor Real'!A3:A15,'Janeiro 2023 - Valor Real'!C3:C15,0))+1)))</f>
      </c>
      <c r="AF159" s="197">
        <f>IF($K159=AF$3,ROUND(IF(OR($C159="W",$C159="1/2W",$C159="1/2L"),$P159-$O159,IF($C159="X",0,-$O159)),2),0)</f>
        <v>0</v>
      </c>
      <c r="AG159" s="198">
        <f>IF($K159=AG$3,ROUND(IF(OR($C159="W",$C159="1/2W",$C159="1/2L"),$P159-$O159,IF($C159="X",0,-$O159)),2),0)</f>
        <v>0</v>
      </c>
      <c r="AH159" s="198">
        <f>IF($K159=AH$3,ROUND(IF(OR($C159="W",$C159="1/2W",$C159="1/2L"),$P159-$O159,IF($C159="X",0,-$O159)),2),0)</f>
        <v>0</v>
      </c>
      <c r="AI159" s="198">
        <f>IF($K159=AI$3,ROUND(IF(OR($C159="W",$C159="1/2W",$C159="1/2L"),$P159-$O159,IF($C159="X",0,-$O159)),2),0)</f>
        <v>0</v>
      </c>
      <c r="AJ159" s="198">
        <f>IF($K159=AJ$3,ROUND(IF(OR($C159="W",$C159="1/2W",$C159="1/2L"),$P159-$O159,IF($C159="X",0,-$O159)),2),0)</f>
        <v>0</v>
      </c>
      <c r="AK159" s="198">
        <f>IF($K159=AK$3,ROUND(IF(OR($C159="W",$C159="1/2W",$C159="1/2L"),$P159-$O159,IF($C159="X",0,-$O159)),2),0)</f>
        <v>0</v>
      </c>
      <c r="AL159" s="198">
        <f>IF($K159=AL$3,ROUND(IF(OR($C159="W",$C159="1/2W",$C159="1/2L"),$P159-$O159,IF($C159="X",0,-$O159)),2),0)</f>
        <v>0</v>
      </c>
      <c r="AM159" s="198">
        <f>IF($K159=AM$3,ROUND(IF(OR($C159="W",$C159="1/2W",$C159="1/2L"),$P159-$O159,IF($C159="X",0,-$O159)),2),0)</f>
        <v>0</v>
      </c>
      <c r="AN159" s="198">
        <f>IF($K159=AN$3,ROUND(IF(OR($C159="W",$C159="1/2W",$C159="1/2L"),$P159-$O159,IF($C159="X",0,-$O159)),2),0)</f>
        <v>0</v>
      </c>
      <c r="AO159" s="198">
        <f>IF($K159=AO$3,ROUND(IF(OR($C159="W",$C159="1/2W",$C159="1/2L"),$P159-$O159,IF($C159="X",0,-$O159)),2),0)</f>
        <v>0</v>
      </c>
      <c r="AP159" s="198">
        <f>IF($K159=AP$3,ROUND(IF(OR($C159="W",$C159="1/2W",$C159="1/2L"),$P159-$O159,IF($C159="X",0,-$O159)),2),0)</f>
        <v>0</v>
      </c>
      <c r="AQ159" s="198">
        <f>IF($K159=AQ$3,ROUND(IF(OR($C159="W",$C159="1/2W",$C159="1/2L"),$P159-$O159,IF($C159="X",0,-$O159)),2),0)</f>
        <v>0</v>
      </c>
      <c r="AR159" s="199">
        <f>IF($K159=AR$3,ROUND(IF(OR($C159="W",$C159="1/2W",$C159="1/2L"),$P159-$O159,IF($C159="X",0,-$O159)),2),0)</f>
        <v>0</v>
      </c>
      <c r="AS159" s="197">
        <f>IF(AND($B157=" ",$K159=AS$3),$O159,0)</f>
        <v>0</v>
      </c>
      <c r="AT159" s="198">
        <f>IF(AND($B157=" ",K159=AT$3),$O159,0)</f>
        <v>0</v>
      </c>
      <c r="AU159" s="198">
        <f>IF(AND($B157=" ",$K159=AU$3),$O159,0)</f>
        <v>0</v>
      </c>
      <c r="AV159" s="198">
        <f>IF(AND($B157=" ",$K159=AV$3),$O159,0)</f>
        <v>0</v>
      </c>
      <c r="AW159" s="198">
        <f>IF(AND($B157=" ",$K159=AW$3),$O159,0)</f>
        <v>0</v>
      </c>
      <c r="AX159" s="198">
        <f>IF(AND($B157=" ",$K159=AX$3),$O159,0)</f>
        <v>0</v>
      </c>
      <c r="AY159" s="200">
        <f>IF(AND($B157=" ",$K159=AY$3),$O159,0)</f>
        <v>0</v>
      </c>
      <c r="AZ159" s="201">
        <f>IF(AND($B157=" ",$K159=AZ$3),$O159,0)</f>
        <v>0</v>
      </c>
      <c r="BA159" s="201">
        <f>IF(AND($B157=" ",$K159=BA$3),$O159,0)</f>
        <v>0</v>
      </c>
      <c r="BB159" s="201">
        <f>IF(AND($B157=" ",$K159=BB$3),$O159,0)</f>
        <v>0</v>
      </c>
      <c r="BC159" s="202">
        <f>IF(AND($B157=" ",$K159=BC$3),$O159,0)</f>
        <v>0</v>
      </c>
      <c r="BD159" s="198">
        <f>IF(AND($B157=" ",$K159=BD$3),$O159,0)</f>
        <v>0</v>
      </c>
      <c r="BE159" s="199">
        <f>IF(AND($B157=" ",$K159=BE$3),$O159,0)</f>
        <v>0</v>
      </c>
      <c r="BF159" s="197">
        <f>IF($K159=BF$3,IF($C159="X",0,$O159),0)</f>
        <v>0</v>
      </c>
      <c r="BG159" s="198">
        <f>IF($K159=BG$3,IF($C159="X",0,$O159),0)</f>
        <v>0</v>
      </c>
      <c r="BH159" s="198">
        <f>IF($K159=BH$3,IF($C159="X",0,$O159),0)</f>
        <v>0</v>
      </c>
      <c r="BI159" s="198">
        <f>IF($K159=BI$3,IF($C159="X",0,$O159),0)</f>
        <v>0</v>
      </c>
      <c r="BJ159" s="198">
        <f>IF($K159=BJ$3,IF($C159="X",0,$O159),0)</f>
        <v>0</v>
      </c>
      <c r="BK159" s="198">
        <f>IF($K159=BK$3,IF($C159="X",0,$O159),0)</f>
        <v>0</v>
      </c>
      <c r="BL159" s="198">
        <f>IF($K159=BL$3,IF($C159="X",0,$O159),0)</f>
        <v>0</v>
      </c>
      <c r="BM159" s="200">
        <f>IF($K159=BM$3,IF($C159="X",0,$O159),0)</f>
        <v>0</v>
      </c>
      <c r="BN159" s="201">
        <f>IF($K159=BN$3,IF($C159="X",0,$O159),0)</f>
        <v>0</v>
      </c>
      <c r="BO159" s="201">
        <f>IF($K159=BO$3,IF($C159="X",0,$O159),0)</f>
        <v>0</v>
      </c>
      <c r="BP159" s="201">
        <f>IF($K159=BP$3,IF($C159="X",0,$O159),0)</f>
        <v>0</v>
      </c>
      <c r="BQ159" s="202">
        <f>IF($K159=BQ$3,IF($C159="X",0,$O159),0)</f>
        <v>0</v>
      </c>
      <c r="BR159" s="199">
        <f>IF($K159=BR$3,IF($C159="X",0,$O159),0)</f>
        <v>0</v>
      </c>
      <c r="BS159" s="228"/>
      <c r="BT159" s="229"/>
      <c r="BU159" s="140"/>
      <c r="BV159" s="229"/>
      <c r="BW159" s="140"/>
      <c r="BX159" s="140"/>
      <c r="BY159" s="140"/>
      <c r="BZ159" s="229"/>
      <c r="CA159" s="140"/>
      <c r="CB159" s="140"/>
      <c r="CC159" s="140"/>
      <c r="CD159" s="141"/>
      <c r="CE159" s="142"/>
      <c r="CF159" s="230">
        <f>IF(CF$3=$K159,IF($C159="W",1,IF($C159="1/2W",0.5,0)),0)</f>
        <v>0</v>
      </c>
      <c r="CG159" s="231">
        <f>IF(CF$3=$K159,IF($C159="L",1,IF($C159="1/2L",0.5,0)),0)</f>
        <v>0</v>
      </c>
      <c r="CH159" s="231">
        <f>IF(CH$3=$K159,IF($C159="W",1,IF($C159="1/2W",0.5,0)),0)</f>
        <v>0</v>
      </c>
      <c r="CI159" s="231">
        <f>IF(CH$3=$K159,IF($C159="L",1,IF($C159="1/2L",0.5,0)),0)</f>
        <v>0</v>
      </c>
      <c r="CJ159" s="231">
        <f>IF(CJ$3=$K159,IF($C159="W",1,IF($C159="1/2W",0.5,0)),0)</f>
        <v>0</v>
      </c>
      <c r="CK159" s="231">
        <f>IF(CJ$3=$K159,IF($C159="L",1,IF($C159="1/2L",0.5,0)),0)</f>
        <v>0</v>
      </c>
      <c r="CL159" s="231">
        <f>IF(CL$3=$K159,IF($C159="W",1,IF($C159="1/2W",0.5,0)),0)</f>
        <v>0</v>
      </c>
      <c r="CM159" s="231">
        <f>IF(CL$3=$K159,IF($C159="L",1,IF($C159="1/2L",0.5,0)),0)</f>
        <v>0</v>
      </c>
      <c r="CN159" s="231">
        <f>IF(CN$3=$K159,IF($C159="W",1,IF($C159="1/2W",0.5,0)),0)</f>
        <v>0</v>
      </c>
      <c r="CO159" s="231">
        <f>IF(CN$3=$K159,IF($C159="L",1,IF($C159="1/2L",0.5,0)),0)</f>
        <v>0</v>
      </c>
      <c r="CP159" s="231">
        <f>IF(CP$3=$K159,IF($C159="W",1,IF($C159="1/2W",0.5,0)),0)</f>
        <v>0</v>
      </c>
      <c r="CQ159" s="231">
        <f>IF(CP$3=$K159,IF($C159="L",1,IF($C159="1/2L",0.5,0)),0)</f>
        <v>0</v>
      </c>
      <c r="CR159" s="231">
        <f>IF(CR$3=$K159,IF($C159="W",1,IF($C159="1/2W",0.5,0)),0)</f>
        <v>0</v>
      </c>
      <c r="CS159" s="231">
        <f>IF(CR$3=$K159,IF($C159="L",1,IF($C159="1/2L",0.5,0)),0)</f>
        <v>0</v>
      </c>
      <c r="CT159" s="208">
        <f>IF(CT$3=$K159,IF($C159="W",1,IF($C159="1/2W",0.5,0)),0)</f>
        <v>0</v>
      </c>
      <c r="CU159" s="209">
        <f>IF(CT$3=$K159,IF($C159="L",1,IF($C159="1/2L",0.5,0)),0)</f>
        <v>0</v>
      </c>
      <c r="CV159" s="209">
        <f>IF(CV$3=$K159,IF($C159="W",1,IF($C159="1/2W",0.5,0)),0)</f>
        <v>0</v>
      </c>
      <c r="CW159" s="209">
        <f>IF(CV$3=$K159,IF($C159="L",1,IF($C159="1/2L",0.5,0)),0)</f>
        <v>0</v>
      </c>
      <c r="CX159" s="209">
        <f>IF(CX$3=$K159,IF($C159="W",1,IF($C159="1/2W",0.5,0)),0)</f>
        <v>0</v>
      </c>
      <c r="CY159" s="209">
        <f>IF(CX$3=$K159,IF($C159="L",1,IF($C159="1/2L",0.5,0)),0)</f>
        <v>0</v>
      </c>
      <c r="CZ159" s="209">
        <f>IF(CZ$3=$K159,IF($C159="W",1,IF($C159="1/2W",0.5,0)),0)</f>
        <v>0</v>
      </c>
      <c r="DA159" s="209">
        <f>IF(CZ$3=$K159,IF($C159="L",1,IF($C159="1/2L",0.5,0)),0)</f>
        <v>0</v>
      </c>
      <c r="DB159" s="209">
        <f>IF(DB$3=$K159,IF($C159="W",1,IF($C159="1/2W",0.5,0)),0)</f>
        <v>0</v>
      </c>
      <c r="DC159" s="209">
        <f>IF(DB$3=$K159,IF($C159="L",1,IF($C159="1/2L",0.5,0)),0)</f>
        <v>0</v>
      </c>
      <c r="DD159" s="209">
        <f>IF(DD$3=$K159,IF($C159="W",1,IF($C159="1/2W",0.5,0)),0)</f>
        <v>0</v>
      </c>
      <c r="DE159" s="210">
        <f>IF(DD$3=$K159,IF($C159="L",1,IF($C159="1/2L",0.5,0)),0)</f>
        <v>0</v>
      </c>
      <c r="DF159" s="211">
        <f>IF(AND(L159&lt;DF$3,$C159="W"),1+DF158,DF158)</f>
        <v>8</v>
      </c>
      <c r="DG159" s="198">
        <f>IF(DF159&gt;DF158,L159+DG158,DG158)</f>
        <v>10.598</v>
      </c>
      <c r="DH159" s="209">
        <f>IF(AND(L159&gt;DH$3,$C159="W"),1+DH158,0+DH158)</f>
        <v>2</v>
      </c>
      <c r="DI159" s="198">
        <f>IF(DH159&gt;DH158,L159+DI158,DI158)</f>
        <v>11.58</v>
      </c>
      <c r="DJ159" t="s" s="306">
        <f>IF($D157="","",$D157)</f>
        <v>184</v>
      </c>
      <c r="DK159" s="232"/>
    </row>
    <row r="160" ht="14.55" customHeight="1">
      <c r="A160" s="246">
        <f>$A157+1</f>
        <v>53</v>
      </c>
      <c r="B160" t="s" s="247">
        <v>50</v>
      </c>
      <c r="C160" t="s" s="248">
        <v>51</v>
      </c>
      <c r="D160" t="s" s="303">
        <f>IF(G160="","",$D157)</f>
        <v>184</v>
      </c>
      <c r="E160" t="s" s="250">
        <v>108</v>
      </c>
      <c r="F160" t="s" s="251"/>
      <c r="G160" s="252">
        <v>44945.6875</v>
      </c>
      <c r="H160" t="s" s="253">
        <v>191</v>
      </c>
      <c r="I160" t="s" s="254">
        <v>54</v>
      </c>
      <c r="J160" s="255">
        <v>0</v>
      </c>
      <c r="K160" t="s" s="256">
        <v>41</v>
      </c>
      <c r="L160" s="257">
        <v>1.63</v>
      </c>
      <c r="M160" s="258">
        <v>89.29000000000001</v>
      </c>
      <c r="N160" s="259">
        <v>0</v>
      </c>
      <c r="O160" s="260">
        <f>IF(OR(AE160="",AE161=""),"",ROUND(IF(L162&gt;0,IF(M160&gt;0,M160,IF(M161&gt;0,ROUND((M161*AE160)/AE161,IF(N160=0,2,IF(N160=0.1,1,0))),ROUND((M162*AE160)/AE162,IF(N160=0,2,IF(N160=0.1,1,0))))),IF(M160&gt;0,M160,ROUND((M161*AE160)/AE161,IF(N160=0,2,IF(N160=0.1,1,0))))),2))</f>
        <v>89.29000000000001</v>
      </c>
      <c r="P160" s="261">
        <f>IF(OR(L160="",O160=""),"",IF($C160="1/2W",O160/2+O160/2*L160,IF($C160="1/2L",O160/2,IF(I160="Lay",(O160*(L160/(L160-1))-O160)*(1-_xlfn.XLOOKUP(K160,'Janeiro 2023 - Valor Real'!A3:A15,'Janeiro 2023 - Valor Real'!C3:C15,0))+O160,(O160*L160-O160)*(1-_xlfn.XLOOKUP(K160,'Janeiro 2023 - Valor Real'!A3:A15,'Janeiro 2023 - Valor Real'!C3:C15,0))+O160))))</f>
        <v>145.5427</v>
      </c>
      <c r="Q160" s="262">
        <v>1</v>
      </c>
      <c r="R160" s="263">
        <v>0</v>
      </c>
      <c r="S160" s="264">
        <f>IF($B160="Anulado",0,ROUND(IF(OR($B160="LOSS",$B160="OK"),IF(OR($C160="W",$C160="1/2W",$C160="1/2L"),P160-O160,IF($C160="L",-O160,0))+IF(OR($C161="W",$C161="1/2W",$C161="1/2L"),P161-O161,IF($C161="L",-O161,0))+IF(OR($C162="W",$C162="1/2W",$C162="1/2L"),P162-O162,IF($C162="L",-O162,0)),IF(AND(OR($C160="W",$C160="1/2W",$C160="1/2L"),C161="W"),P160+P161-SUM(O160:O162)+_xlfn.XLOOKUP("X",C160:C162,O160:O162,0),IF(AND(C160=TRUE,C162="W"),P160+P162-SUM(O160:O162),IF(AND(C161="W",C162="W"),P161+P162-SUM(O160:O162)+_xlfn.XLOOKUP("X",C160:C162,O160:O162,0),IF(L162&gt;0,IF(OR($C160="W",$C160="1/2W",$C160="1/2L"),P160-SUM(O160:O162)+_xlfn.XLOOKUP("X",C160:C162,O160:O162,0),IF(OR($C160="W",$C160="1/2W",$C160="1/2L"),P161-SUM(O160:O162)+_xlfn.XLOOKUP("X",C160:C162,O160:O162,0),IF(OR($C160="W",$C160="1/2W",$C160="1/2L"),P162-SUM(O160:O162)+_xlfn.XLOOKUP("X",C160:C162,O160:O162,0),IF(SUM(P160:P162)/3-SUM(O160:O162)+_xlfn.XLOOKUP("X",C160:C162,O160:O162,0)&gt;0,SUM(P160:P162)/3-SUM(O160:O162)+_xlfn.XLOOKUP("X",C160:C162,O160:O162,0),LARGE(P160:P162,1)-SUM(O160:O162))))),IF(OR($C160="W",$C160="1/2W",$C160="1/2L"),P160-SUM(O160:O161)+_xlfn.XLOOKUP("X",C160:C162,O160:O162,0),IF(OR($C160="W",$C160="1/2W",$C160="1/2L"),P161-SUM(O160:O161)+_xlfn.XLOOKUP("X",C160:C162,O160:O162,0),SUM(P160:P161)/2-SUM(O160:O161)+_xlfn.XLOOKUP("X",C160:C162,O160:O162,0)))))))),2))</f>
        <v>11.19</v>
      </c>
      <c r="T160" s="265">
        <f>IF(S160=0,0,S160/SUM(O160:O162))</f>
        <v>0.0832899144026796</v>
      </c>
      <c r="U160" s="266">
        <f>IF($D160=$D157,IF(OR($B160="LOSS",$B160="OK",$B160="Anulada"),S160,0)+U157,IF(OR($B160="LOSS",$B160="OK",$B160="Anulada"),S160,0))</f>
        <v>15.11</v>
      </c>
      <c r="V160" s="266">
        <f>IF($D160="",0,IF($D160=$D157,IF($B160=" ",IF(I162="",IF(OR(AND(I160="DNB1",I161="DNB2"),AND(OR(I160="DNB1",I160="DNB2"),J161=0),AND(OR(I161="DNB1",I161="DNB2"),J160=0),AND(I160="DNB2",I161="DNB1"),AND(IF(J160=0,(J160+1)/ROUND(J160+1,0),J160/ROUND(J160,0))=1,IF(J161=0,(J161+1)/ROUND(IF(J161="",0,J161)+1,0),IF(J161="",0,J161)/ROUND(IF(J161="",1,J161),0))=1,OR(J160&lt;&gt;""),J161&lt;&gt;"")),0,IF(S160&lt;0,IF(I162="",SMALL(P160:P161,1)-SUM(O160:O161),0),SMALL(P160:P161,1)-SUM(O160:O161))),IF(S160&lt;0,IF(I162="",SMALL(P160:P162,1)-SUM(O160:O162),0),LARGE(P160:P162,1)-SUM(O160:O162))),S160)+V157,IF(I162="",IF(OR(AND(I160="DNB1",I161="DNB2"),AND(OR(I160="DNB1",I160="DNB2"),J161=0),AND(OR(I161="DNB1",I161="DNB2"),J160=0),AND(I160="DNB2",I161="DNB1"),AND(IF(J160=0,(J160+1)/ROUND(J160+1,0),J160/ROUND(J160,0))=1,IF(J161=0,(IF(J161="",0,J161)+1)/ROUND(IF(J161="",0,J161)+1,0),IF(J161="",0,J161)/ROUND(IF(J161="",0,J161)+1,0))=1,OR(J160&lt;&gt;""),J161&lt;&gt;"")),0,IF(S160&lt;0,IF(I162="",SMALL(P160:P161,1)-SUM(O160:O161),0),SMALL(P160:P162,1)-SUM(O160:O162))),IF(S160&lt;0,IF(I162="",SMALL(P160:P162,1)-SUM(O160:O162),0),LARGE(P160:P162,1)-SUM(O160:O162)))))</f>
        <v>15.1075</v>
      </c>
      <c r="W160" s="266">
        <f>IF($D160=$D157,IF(S160&lt;0,IF(I162="",S160,0),S160)+W157,S160)</f>
        <v>15.11</v>
      </c>
      <c r="X160" t="s" s="267">
        <f>IF(OR(SUM(R160:R162)=0,V160=W160),ROUND(IF(W160=0,0,W160/Y160)*100,2)&amp;"%",ROUND(IF(V160=0,0,V160/Y160)*100,2)&amp;"% a "&amp;ROUND(IF(W160=0,0,W160/Y160)*100,2)&amp;"%")</f>
        <v>192</v>
      </c>
      <c r="Y160" s="268">
        <f>IF($D160=$D157,Y157+SUM(O160:O162),SUM(O160:O162))</f>
        <v>201</v>
      </c>
      <c r="Z160" s="266">
        <f>IF($B160=" ",SUM(O160:O162),0)+Z157</f>
        <v>0</v>
      </c>
      <c r="AA160" s="266">
        <f>IF(G160="","",IF($B160="Anulado",LARGE(P160:P162,1)-SUM(O160:O162)+AA157,AA157))</f>
        <v>14.1564</v>
      </c>
      <c r="AB160" s="266">
        <f>IF($D160="","",AB157+S160)</f>
        <v>140.22</v>
      </c>
      <c r="AC160" s="269">
        <f>IF($D160="","",IF($B160=" ",IF(DAY(G160)=DAY(TODAY()),1+AC157,0+AC157),0+AC157))</f>
        <v>0</v>
      </c>
      <c r="AD160" s="270">
        <f>(1-_xlfn.XLOOKUP(K158,'Janeiro 2023 - Valor Real'!A3:A15,'Janeiro 2023 - Valor Real'!C3:C15,0))+1</f>
        <v>1.935</v>
      </c>
      <c r="AE160" s="271">
        <f>IF(L160="","",IF(L162&gt;0,(SUM(((L160-1)*(1-_xlfn.XLOOKUP(K160,'Janeiro 2023 - Valor Real'!A3:A15,'Janeiro 2023 - Valor Real'!C3:C15,0))+1),((L161-1)*(1-_xlfn.XLOOKUP(K161,'Janeiro 2023 - Valor Real'!A3:A15,'Janeiro 2023 - Valor Real'!C3:C15,0))+1),((L162-1)*(1-_xlfn.XLOOKUP(K162,'Janeiro 2023 - Valor Real'!A3:A15,'Janeiro 2023 - Valor Real'!C3:C15,0))+1))/((L160-1)*(1-_xlfn.XLOOKUP(K160,'Janeiro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Real'!C3:C15,0))+1))/((L160-1)*(1-_xlfn.XLOOKUP(K160,'Janeiro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Real'!C3:C15,0))+1))/((L161-1)*(1-_xlfn.XLOOKUP(K161,'Janeiro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Real'!C3:C15,0))+1))/((L162-1)*(1-_xlfn.XLOOKUP(K162,'Janeiro 2023 - Valor Real'!A3:A15,'Janeiro 2023 - Valor Real'!C3:C15,0))+1)),IF(I160="Lay",IF(I161="Lay",((L161/(L161-1)-1)*(1-_xlfn.XLOOKUP(K161,'Janeiro 2023 - Valor Real'!A3:A15,'Janeiro 2023 - Valor Real'!C3:C15,0))+1)/(((L161/(L161-1)-1)*(1-_xlfn.XLOOKUP(K161,'Janeiro 2023 - Valor Real'!A3:A15,'Janeiro 2023 - Valor Real'!C3:C15,0))+1)+((L160/(L160-1)-1)*(1-_xlfn.XLOOKUP(K160,'Janeiro 2023 - Valor Real'!A3:A15,'Janeiro 2023 - Valor Real'!C3:C15,0))+1)),((L161-1)*(1-_xlfn.XLOOKUP(K161,'Janeiro 2023 - Valor Real'!A3:A15,'Janeiro 2023 - Valor Real'!C3:C15,0))+1)/(((L161-1)*(1-_xlfn.XLOOKUP(K161,'Janeiro 2023 - Valor Real'!A3:A15,'Janeiro 2023 - Valor Real'!C3:C15,0))+1)+((L160/(L160-1)-1)*(1-_xlfn.XLOOKUP(K160,'Janeiro 2023 - Valor Real'!A3:A15,'Janeiro 2023 - Valor Real'!C3:C15,0))+1))),IF(I161="Lay",(((L161/(L161-1)-1)*(1-_xlfn.XLOOKUP(K161,'Janeiro 2023 - Valor Real'!A3:A15,'Janeiro 2023 - Valor Real'!C3:C15,0))+1))/(((L160-1)*(1-_xlfn.XLOOKUP(K160,'Janeiro 2023 - Valor Real'!A3:A15,'Janeiro 2023 - Valor Real'!C3:C15,0))+1)+((L161/(L161-1)-1)*(1-_xlfn.XLOOKUP(K161,'Janeiro 2023 - Valor Real'!A3:A15,'Janeiro 2023 - Valor Real'!C3:C15,0))+1)),((L161-1)*(1-_xlfn.XLOOKUP(K161,'Janeiro 2023 - Valor Real'!A3:A15,'Janeiro 2023 - Valor Real'!C3:C15,0))+1)/(((L161-1)*(1-_xlfn.XLOOKUP(K161,'Janeiro 2023 - Valor Real'!A3:A15,'Janeiro 2023 - Valor Real'!C3:C15,0))+1)+((L160-1)*(1-_xlfn.XLOOKUP(K160,'Janeiro 2023 - Valor Real'!A3:A15,'Janeiro 2023 - Valor Real'!C3:C15,0))+1))))))</f>
        <v>0.664609053497942</v>
      </c>
      <c r="AF160" s="132">
        <f>IF($K160=AF$3,ROUND(IF(OR($C160="W",$C160="1/2W",$C160="1/2L"),$P160-$O160,IF($C160="X",0,-$O160)),2),0)</f>
        <v>0</v>
      </c>
      <c r="AG160" s="133">
        <f>IF($K160=AG$3,ROUND(IF(OR($C160="W",$C160="1/2W",$C160="1/2L"),$P160-$O160,IF($C160="X",0,-$O160)),2),0)</f>
        <v>0</v>
      </c>
      <c r="AH160" s="133">
        <f>IF($K160=AH$3,ROUND(IF(OR($C160="W",$C160="1/2W",$C160="1/2L"),$P160-$O160,IF($C160="X",0,-$O160)),2),0)</f>
        <v>0</v>
      </c>
      <c r="AI160" s="133">
        <f>IF($K160=AI$3,ROUND(IF(OR($C160="W",$C160="1/2W",$C160="1/2L"),$P160-$O160,IF($C160="X",0,-$O160)),2),0)</f>
        <v>0</v>
      </c>
      <c r="AJ160" s="133">
        <f>IF($K160=AJ$3,ROUND(IF(OR($C160="W",$C160="1/2W",$C160="1/2L"),$P160-$O160,IF($C160="X",0,-$O160)),2),0)</f>
        <v>-89.29000000000001</v>
      </c>
      <c r="AK160" s="133">
        <f>IF($K160=AK$3,ROUND(IF(OR($C160="W",$C160="1/2W",$C160="1/2L"),$P160-$O160,IF($C160="X",0,-$O160)),2),0)</f>
        <v>0</v>
      </c>
      <c r="AL160" s="133">
        <f>IF($K160=AL$3,ROUND(IF(OR($C160="W",$C160="1/2W",$C160="1/2L"),$P160-$O160,IF($C160="X",0,-$O160)),2),0)</f>
        <v>0</v>
      </c>
      <c r="AM160" s="133">
        <f>IF($K160=AM$3,ROUND(IF(OR($C160="W",$C160="1/2W",$C160="1/2L"),$P160-$O160,IF($C160="X",0,-$O160)),2),0)</f>
        <v>0</v>
      </c>
      <c r="AN160" s="133">
        <f>IF($K160=AN$3,ROUND(IF(OR($C160="W",$C160="1/2W",$C160="1/2L"),$P160-$O160,IF($C160="X",0,-$O160)),2),0)</f>
        <v>0</v>
      </c>
      <c r="AO160" s="133">
        <f>IF($K160=AO$3,ROUND(IF(OR($C160="W",$C160="1/2W",$C160="1/2L"),$P160-$O160,IF($C160="X",0,-$O160)),2),0)</f>
        <v>0</v>
      </c>
      <c r="AP160" s="133">
        <f>IF($K160=AP$3,ROUND(IF(OR($C160="W",$C160="1/2W",$C160="1/2L"),$P160-$O160,IF($C160="X",0,-$O160)),2),0)</f>
        <v>0</v>
      </c>
      <c r="AQ160" s="133">
        <f>IF($K160=AQ$3,ROUND(IF(OR($C160="W",$C160="1/2W",$C160="1/2L"),$P160-$O160,IF($C160="X",0,-$O160)),2),0)</f>
        <v>0</v>
      </c>
      <c r="AR160" s="134">
        <f>IF($K160=AR$3,ROUND(IF(OR($C160="W",$C160="1/2W",$C160="1/2L"),$P160-$O160,IF($C160="X",0,-$O160)),2),0)</f>
        <v>0</v>
      </c>
      <c r="AS160" s="132">
        <f>IF(AND($B160=" ",$K160=AS$3),$O160,0)</f>
        <v>0</v>
      </c>
      <c r="AT160" s="133">
        <f>IF(AND($B160=" ",$K160=AT$3),$O160,0)</f>
        <v>0</v>
      </c>
      <c r="AU160" s="133">
        <f>IF(AND($B160=" ",$K160=AU$3),$O160,0)</f>
        <v>0</v>
      </c>
      <c r="AV160" s="133">
        <f>IF(AND($B160=" ",$K160=AV$3),$O160,0)</f>
        <v>0</v>
      </c>
      <c r="AW160" s="133">
        <f>IF(AND($B160=" ",$K160=AW$3),$O160,0)</f>
        <v>0</v>
      </c>
      <c r="AX160" s="133">
        <f>IF(AND($B160=" ",$K160=AX$3),$O160,0)</f>
        <v>0</v>
      </c>
      <c r="AY160" s="135">
        <f>IF(AND($B160=" ",$K160=AY$3),$O160,0)</f>
        <v>0</v>
      </c>
      <c r="AZ160" s="136">
        <f>IF(AND($B160=" ",$K160=AZ$3),$O160,0)</f>
        <v>0</v>
      </c>
      <c r="BA160" s="136">
        <f>IF(AND($B160=" ",$K160=BA$3),$O160,0)</f>
        <v>0</v>
      </c>
      <c r="BB160" s="136">
        <f>IF(AND($B160=" ",$K160=BB$3),$O160,0)</f>
        <v>0</v>
      </c>
      <c r="BC160" s="137">
        <f>IF(AND($B160=" ",$K160=BC$3),$O160,0)</f>
        <v>0</v>
      </c>
      <c r="BD160" s="133">
        <f>IF(AND($B160=" ",$K160=BD$3),$O160,0)</f>
        <v>0</v>
      </c>
      <c r="BE160" s="134">
        <f>IF(AND($B160=" ",$K160=BE$3),$O160,0)</f>
        <v>0</v>
      </c>
      <c r="BF160" s="132">
        <f>IF($K160=BF$3,IF($C160="X",0,$O160),0)</f>
        <v>0</v>
      </c>
      <c r="BG160" s="133">
        <f>IF($K160=BG$3,IF($C160="X",0,$O160),0)</f>
        <v>0</v>
      </c>
      <c r="BH160" s="133">
        <f>IF($K160=BH$3,IF($C160="X",0,$O160),0)</f>
        <v>0</v>
      </c>
      <c r="BI160" s="133">
        <f>IF($K160=BI$3,IF($C160="X",0,$O160),0)</f>
        <v>0</v>
      </c>
      <c r="BJ160" s="133">
        <f>IF($K160=BJ$3,IF($C160="X",0,$O160),0)</f>
        <v>89.29000000000001</v>
      </c>
      <c r="BK160" s="133">
        <f>IF($K160=BK$3,IF($C160="X",0,$O160),0)</f>
        <v>0</v>
      </c>
      <c r="BL160" s="133">
        <f>IF($K160=BL$3,IF($C160="X",0,$O160),0)</f>
        <v>0</v>
      </c>
      <c r="BM160" s="135">
        <f>IF($K160=BM$3,IF($C160="X",0,$O160),0)</f>
        <v>0</v>
      </c>
      <c r="BN160" s="136">
        <f>IF($K160=BN$3,IF($C160="X",0,$O160),0)</f>
        <v>0</v>
      </c>
      <c r="BO160" s="136">
        <f>IF($K160=BO$3,IF($C160="X",0,$O160),0)</f>
        <v>0</v>
      </c>
      <c r="BP160" s="136">
        <f>IF($K160=BP$3,IF($C160="X",0,$O160),0)</f>
        <v>0</v>
      </c>
      <c r="BQ160" s="137">
        <f>IF($K160=BQ$3,IF($C160="X",0,$O160),0)</f>
        <v>0</v>
      </c>
      <c r="BR160" s="134">
        <f>IF($K160=BR$3,IF($C160="X",0,$O160),0)</f>
        <v>0</v>
      </c>
      <c r="BS160" s="170">
        <f>IF($B160="LOSS",IF(AND($K160=BS$3,$C160="L"),-$O160,0)+IF(AND($K161=BS$3,$C161="L"),-$O161,0)+IF(AND($K162=BS$3,$C162="L"),-$O162,0),IF(OR(AND($K160=BS$3,OR($C160="W",$C160="1/2W")),AND($K161=BS$3,OR($C161="W",$C161="1/2W")),AND($K162=BS$3,OR($C162="W",$C162="1/2W"))),$S160,0))</f>
        <v>0</v>
      </c>
      <c r="BT160" s="272">
        <f>IF($B160="LOSS",IF(AND($K160=BT$3,$C160="L"),-$O160,0)+IF(AND($K161=BT$3,$C161="L"),-$O161,0)+IF(AND($K161=BT$3,$C162="L"),-$O162,0),IF(OR(AND($K161=BT$3,OR($C160="W",$C160="1/2W")),AND($K161=BT$3,OR($C161="W",$C161="1/2W")),AND($K161=BT$3,OR($C162="W",$C162="1/2W"))),$S160,0))</f>
        <v>0</v>
      </c>
      <c r="BU160" s="136">
        <f>IF($B160="LOSS",IF(AND($K160=BU$3,$C160="L"),-$O160,0)+IF(AND($K161=BU$3,$C161="L"),-$O161,0)+IF(AND($K161=BU$3,$C162="L"),-$O162,0),IF(OR(AND($K161=BU$3,OR($C160="W",$C160="1/2W")),AND($K161=BU$3,OR($C161="W",$C161="1/2W")),AND($K161=BU$3,OR($C162="W",$C162="1/2W"))),$S160,0))</f>
        <v>0</v>
      </c>
      <c r="BV160" s="136">
        <f>IF($B160="LOSS",IF(AND($K160=BV$3,$C160="L"),-$O160,0)+IF(AND($K161=BV$3,$C161="L"),-$O161,0)+IF(AND($K162=BV$3,$C162="L"),-$O162,0),IF(OR(AND($K160=BV$3,OR($C160="W",$C160="1/2W")),AND($K161=BV$3,OR($C161="W",$C161="1/2W")),AND($K162=BV$3,OR($C162="W",$C162="1/2W"))),$S160,0))</f>
        <v>0</v>
      </c>
      <c r="BW160" s="136">
        <f>IF($B160="LOSS",IF(AND($K160=BW$3,$C160="L"),-$O160,0)+IF(AND($K161=BW$3,$C161="L"),-$O161,0)+IF(AND($K162=BW$3,$C162="L"),-$O162,0),IF(OR(AND($K160=BW$3,OR($C160="W",$C160="1/2W")),AND($K161=BW$3,OR($C161="W",$C161="1/2W")),AND($K162=BW$3,OR($C162="W",$C162="1/2W"))),$S160,0))</f>
        <v>0</v>
      </c>
      <c r="BX160" s="136">
        <f>IF($B160="LOSS",IF(AND($K160=BX$3,$C160="L"),-$O160,0)+IF(AND($K161=BX$3,$C161="L"),-$O161,0)+IF(AND($K162=BX$3,$C162="L"),-$O162,0),IF(OR(AND($K160=BX$3,OR($C160="W",$C160="1/2W")),AND($K161=BX$3,OR($C161="W",$C161="1/2W")),AND($K162=BX$3,OR($C162="W",$C162="1/2W"))),$S160,0))</f>
        <v>0</v>
      </c>
      <c r="BY160" s="136">
        <f>IF($B160="LOSS",IF(AND($K160=BY$3,$C160="L"),-$O160,0)+IF(AND($K161=BY$3,$C161="L"),-$O161,0)+IF(AND($K162=BY$3,$C162="L"),-$O162,0),IF(OR(AND($K160=BY$3,OR($C160="W",$C160="1/2W")),AND($K161=BY$3,OR($C161="W",$C161="1/2W")),AND($K162=BY$3,OR($C162="W",$C162="1/2W"))),$S160,0))</f>
        <v>0</v>
      </c>
      <c r="BZ160" s="136">
        <f>IF($B160="LOSS",IF(AND($K160=BZ$3,$C160="L"),-$O160,0)+IF(AND($K161=BZ$3,$C161="L"),-$O161,0)+IF(AND($K162=BZ$3,$C162="L"),-$O162,0),IF(OR(AND($K160=BZ$3,OR($C160="W",$C160="1/2W")),AND($K161=BZ$3,OR($C161="W",$C161="1/2W")),AND($K162=BZ$3,OR($C162="W",$C162="1/2W"))),$S160,0))</f>
        <v>11.19</v>
      </c>
      <c r="CA160" s="136">
        <f>IF($B160="LOSS",IF(AND($K160=CA$3,$C160="L"),-$O160,0)+IF(AND($K161=CA$3,$C161="L"),-$O161,0)+IF(AND($K162=CA$3,$C162="L"),-$O162,0),IF(OR(AND($K160=CA$3,OR($C160="W",$C160="1/2W")),AND($K161=CA$3,OR($C161="W",$C161="1/2W")),AND($K162=CA$3,OR($C162="W",$C162="1/2W"))),$S160,0))</f>
        <v>0</v>
      </c>
      <c r="CB160" s="136">
        <f>IF($B160="LOSS",IF(AND($K160=CB$3,$C160="L"),-$O160,0)+IF(AND($K161=CB$3,$C161="L"),-$O161,0)+IF(AND($K162=CB$3,$C162="L"),-$O162,0),IF(OR(AND($K160=CB$3,OR($C160="W",$C160="1/2W")),AND($K161=CB$3,OR($C161="W",$C161="1/2W")),AND($K162=CB$3,OR($C162="W",$C162="1/2W"))),$S160,0))</f>
        <v>0</v>
      </c>
      <c r="CC160" s="136">
        <f>IF($B160="LOSS",IF(AND($K160=CC$3,$C160="L"),-$O160,0)+IF(AND($K161=CC$3,$C161="L"),-$O161,0)+IF(AND($K162=CC$3,$C162="L"),-$O162,0),IF(OR(AND($K160=CC$3,OR($C160="W",$C160="1/2W")),AND($K161=CC$3,OR($C161="W",$C161="1/2W")),AND($K162=CC$3,OR($C162="W",$C162="1/2W"))),$S160,0))</f>
        <v>0</v>
      </c>
      <c r="CD160" s="137">
        <f>IF($B160="LOSS",IF(AND($K160=CD$3,$C160="L"),-$O160,0)+IF(AND($K161=CD$3,$C161="L"),-$O161,0)+IF(AND($K162=CD$3,$C162="L"),-$O162,0),IF(OR(AND($K160=CD$3,OR($C160="W",$C160="1/2W")),AND($K161=CD$3,OR($C161="W",$C161="1/2W")),AND($K162=CD$3,OR($C162="W",$C162="1/2W"))),$S160,0))</f>
        <v>0</v>
      </c>
      <c r="CE160" s="134">
        <f>IF($B160="LOSS",IF(AND($K160=CE$3,$C160="L"),-$O160,0)+IF(AND($K161=CE$3,$C161="L"),-$O161,0)+IF(AND($K162=CE$3,$C162="L"),-$O162,0),IF(OR(AND($K160=CE$3,OR($C160="W",$C160="1/2W")),AND($K161=CE$3,OR($C161="W",$C161="1/2W")),AND($K162=CE$3,OR($C162="W",$C162="1/2W"))),$S160,0))</f>
        <v>0</v>
      </c>
      <c r="CF160" s="273">
        <f>IF(CF$3=$K160,IF($C160="W",1,IF($C160="1/2W",0.5,0)),0)</f>
        <v>0</v>
      </c>
      <c r="CG160" s="274">
        <f>IF(CF$3=$K160,IF($C160="L",1,IF($C160="1/2L",0.5,0)),0)</f>
        <v>0</v>
      </c>
      <c r="CH160" s="274">
        <f>IF(CH$3=$K160,IF($C160="W",1,IF($C160="1/2W",0.5,0)),0)</f>
        <v>0</v>
      </c>
      <c r="CI160" s="274">
        <f>IF(CH$3=$K160,IF($C160="L",1,IF($C160="1/2L",0.5,0)),0)</f>
        <v>0</v>
      </c>
      <c r="CJ160" s="274">
        <f>IF(CJ$3=$K160,IF($C160="W",1,IF($C160="1/2W",0.5,0)),0)</f>
        <v>0</v>
      </c>
      <c r="CK160" s="274">
        <f>IF(CJ$3=$K160,IF($C160="L",1,IF($C160="1/2L",0.5,0)),0)</f>
        <v>0</v>
      </c>
      <c r="CL160" s="274">
        <f>IF(CL$3=$K160,IF($C160="W",1,IF($C160="1/2W",0.5,0)),0)</f>
        <v>0</v>
      </c>
      <c r="CM160" s="274">
        <f>IF(CL$3=$K160,IF($C160="L",1,IF($C160="1/2L",0.5,0)),0)</f>
        <v>0</v>
      </c>
      <c r="CN160" s="274">
        <f>IF(CN$3=$K160,IF($C160="W",1,IF($C160="1/2W",0.5,0)),0)</f>
        <v>0</v>
      </c>
      <c r="CO160" s="274">
        <f>IF(CN$3=$K160,IF($C160="L",1,IF($C160="1/2L",0.5,0)),0)</f>
        <v>1</v>
      </c>
      <c r="CP160" s="274">
        <f>IF(CP$3=$K160,IF($C160="W",1,IF($C160="1/2W",0.5,0)),0)</f>
        <v>0</v>
      </c>
      <c r="CQ160" s="274">
        <f>IF(CP$3=$K160,IF($C160="L",1,IF($C160="1/2L",0.5,0)),0)</f>
        <v>0</v>
      </c>
      <c r="CR160" s="274">
        <f>IF(CR$3=$K160,IF($C160="W",1,IF($C160="1/2W",0.5,0)),0)</f>
        <v>0</v>
      </c>
      <c r="CS160" s="274">
        <f>IF(CR$3=$K160,IF($C160="L",1,IF($C160="1/2L",0.5,0)),0)</f>
        <v>0</v>
      </c>
      <c r="CT160" s="145">
        <f>IF(CT$3=$K160,IF($C160="W",1,IF($C160="1/2W",0.5,0)),0)</f>
        <v>0</v>
      </c>
      <c r="CU160" s="146">
        <f>IF(CT$3=$K160,IF($C160="L",1,IF($C160="1/2L",0.5,0)),0)</f>
        <v>0</v>
      </c>
      <c r="CV160" s="146">
        <f>IF(CV$3=$K160,IF($C160="W",1,IF($C160="1/2W",0.5,0)),0)</f>
        <v>0</v>
      </c>
      <c r="CW160" s="146">
        <f>IF(CV$3=$K160,IF($C160="L",1,IF($C160="1/2L",0.5,0)),0)</f>
        <v>0</v>
      </c>
      <c r="CX160" s="146">
        <f>IF(CX$3=$K160,IF($C160="W",1,IF($C160="1/2W",0.5,0)),0)</f>
        <v>0</v>
      </c>
      <c r="CY160" s="146">
        <f>IF(CX$3=$K160,IF($C160="L",1,IF($C160="1/2L",0.5,0)),0)</f>
        <v>0</v>
      </c>
      <c r="CZ160" s="146">
        <f>IF(CZ$3=$K160,IF($C160="W",1,IF($C160="1/2W",0.5,0)),0)</f>
        <v>0</v>
      </c>
      <c r="DA160" s="146">
        <f>IF(CZ$3=$K160,IF($C160="L",1,IF($C160="1/2L",0.5,0)),0)</f>
        <v>0</v>
      </c>
      <c r="DB160" s="146">
        <f>IF(DB$3=$K160,IF($C160="W",1,IF($C160="1/2W",0.5,0)),0)</f>
        <v>0</v>
      </c>
      <c r="DC160" s="146">
        <f>IF(DB$3=$K160,IF($C160="L",1,IF($C160="1/2L",0.5,0)),0)</f>
        <v>0</v>
      </c>
      <c r="DD160" s="146">
        <f>IF(DD$3=$K160,IF($C160="W",1,IF($C160="1/2W",0.5,0)),0)</f>
        <v>0</v>
      </c>
      <c r="DE160" s="147">
        <f>IF(DD$3=$K160,IF($C160="L",1,IF($C160="1/2L",0.5,0)),0)</f>
        <v>0</v>
      </c>
      <c r="DF160" s="143">
        <f>IF(AND(L160&lt;DF$3,$C160="W"),1+DF159,DF159)</f>
        <v>8</v>
      </c>
      <c r="DG160" s="133">
        <f>IF(DF160&gt;DF159,L160+DG159,DG159)</f>
        <v>10.598</v>
      </c>
      <c r="DH160" s="146">
        <f>IF(AND(L160&gt;DH$3,$C160="W"),1+DH159,0+DH159)</f>
        <v>2</v>
      </c>
      <c r="DI160" s="133">
        <f>IF(DH160&gt;DH159,L160+DI159,DI159)</f>
        <v>11.58</v>
      </c>
      <c r="DJ160" t="s" s="304">
        <f>IF($D160="","",$D160)</f>
        <v>184</v>
      </c>
      <c r="DK160" s="146">
        <f>IF(AND($B160=" ",$D160&lt;&gt;""),1,0)</f>
        <v>0</v>
      </c>
    </row>
    <row r="161" ht="14.55" customHeight="1">
      <c r="A161" s="107"/>
      <c r="B161" s="108"/>
      <c r="C161" t="s" s="109">
        <v>56</v>
      </c>
      <c r="D161" s="110"/>
      <c r="E161" s="111"/>
      <c r="F161" s="113"/>
      <c r="G161" s="252"/>
      <c r="H161" s="114"/>
      <c r="I161" t="s" s="275">
        <v>57</v>
      </c>
      <c r="J161" s="276">
        <f>IF(OR(I160="TO",I160="TU",I160="TO1",I160="TU1",I160="TO2",I160="TU2"),J160,IF(OR(I160="AH1",I160="AH2"),IF(OR(I161="AH1",I161="AH2"),-J160,IF(OR(I161="EH1",I161="EH2"),-J160+0.5,"")),IF(OR(I160="EH1",I160="EH2"),IF(OR(I161="AH1",I161="AH2"),-J160+0.5,IF(OR(I161="EH1",I161="EH2"),-J160+1,"")),IF(AND(OR(I160="DNB1",I160="DNB2"),OR(I161="AH1",I161="AH2")),0,IF(AND(I160="Not ScoreBoth",OR(I161="TO1",I161="TO2")),0.5,"")))))</f>
        <v>0</v>
      </c>
      <c r="K161" t="s" s="117">
        <v>44</v>
      </c>
      <c r="L161" s="277">
        <v>3.23</v>
      </c>
      <c r="M161" s="278"/>
      <c r="N161" s="120"/>
      <c r="O161" s="121">
        <f>IF(OR(AE160="",AE161=""),"",ROUND(IF(L162&gt;0,IF(M161&gt;0,M161,IF(M160&gt;0,IF(N160=TRUE,ROUND((M160*AE161)/AE160,0),(M160*AE161)/AE160),IF(M161&gt;0,ROUND(M161,IF(N160=0,2,IF(N160=0.1,1,0))),IF(M162&gt;0,ROUND(O162*AE161/AE162,IF(N160=0,2,IF(N160=0.1,1,0))),0)))),IF(M161&gt;0,M161,ROUND((M160*AE161)/AE160,IF(N160=0,2,IF(N160=0.1,1,0))))),2))</f>
        <v>45.06</v>
      </c>
      <c r="P161" s="122">
        <f>IF(OR(L161="",O161=""),"",IF($C161="1/2W",O161/2+O161/2*L161,IF($C161="1/2L",O161/2,IF(I161="Lay",((O161*(L161/(L161-1)))-O161)*(1-_xlfn.XLOOKUP(K161,'Janeiro 2023 - Valor Real'!A3:A15,'Janeiro 2023 - Valor Real'!C3:C15,0))+O161,(O161*L161-O161)*(1-_xlfn.XLOOKUP(K161,'Janeiro 2023 - Valor Real'!A3:A15,'Janeiro 2023 - Valor Real'!C3:C15,0))+O161))))</f>
        <v>145.5438</v>
      </c>
      <c r="Q161" s="279">
        <v>1</v>
      </c>
      <c r="R161" s="280">
        <v>0</v>
      </c>
      <c r="S161" s="125"/>
      <c r="T161" s="126"/>
      <c r="U161" s="126"/>
      <c r="V161" s="224"/>
      <c r="W161" s="126"/>
      <c r="X161" s="127"/>
      <c r="Y161" s="128"/>
      <c r="Z161" s="129"/>
      <c r="AA161" s="129"/>
      <c r="AB161" s="129"/>
      <c r="AC161" s="129"/>
      <c r="AD161" s="130"/>
      <c r="AE161" s="131">
        <f>IF(L161="","",IF(L162&gt;0,(SUM(((L160-1)*(1-_xlfn.XLOOKUP(K160,'Janeiro 2023 - Valor Real'!A3:A15,'Janeiro 2023 - Valor Real'!C3:C15,0))+1),((L161-1)*(1-_xlfn.XLOOKUP(K161,'Janeiro 2023 - Valor Real'!A3:A15,'Janeiro 2023 - Valor Real'!C3:C15,0))+1),((L162-1)*(1-_xlfn.XLOOKUP(K162,'Janeiro 2023 - Valor Real'!A3:A15,'Janeiro 2023 - Valor Real'!C3:C15,0))+1))/((L161-1)*(1-_xlfn.XLOOKUP(K161,'Janeiro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Real'!C3:C15,0))+1))/((L160-1)*(1-_xlfn.XLOOKUP(K160,'Janeiro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Real'!C3:C15,0))+1))/((L161-1)*(1-_xlfn.XLOOKUP(K161,'Janeiro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Real'!C3:C15,0))+1))/((L162-1)*(1-_xlfn.XLOOKUP(K162,'Janeiro 2023 - Valor Real'!A3:A15,'Janeiro 2023 - Valor Real'!C3:C15,0))+1)),IF(I161="Lay",IF(I160="Lay",((L160/(L160-1)-1)*(1-_xlfn.XLOOKUP(K160,'Janeiro 2023 - Valor Real'!A3:A15,'Janeiro 2023 - Valor Real'!C3:C15,0))+1)/(((L160/(L160-1)-1)*(1-_xlfn.XLOOKUP(K160,'Janeiro 2023 - Valor Real'!A3:A15,'Janeiro 2023 - Valor Real'!C3:C15,0))+1)+((L161/(L161-1)-1)*(1-_xlfn.XLOOKUP(K161,'Janeiro 2023 - Valor Real'!A3:A15,'Janeiro 2023 - Valor Real'!C3:C15,0))+1)),((L160-1)*(1-_xlfn.XLOOKUP(K160,'Janeiro 2023 - Valor Real'!A3:A15,'Janeiro 2023 - Valor Real'!C3:C15,0))+1)/(((L160-1)*(1-_xlfn.XLOOKUP(K160,'Janeiro 2023 - Valor Real'!A3:A15,'Janeiro 2023 - Valor Real'!C3:C15,0))+1)+((L161/(L161-1)-1)*(1-_xlfn.XLOOKUP(K161,'Janeiro 2023 - Valor Real'!A3:A15,'Janeiro 2023 - Valor Real'!C3:C15,0))+1))),IF(I160="Lay",((L160/(L160-1)-1)*(1-_xlfn.XLOOKUP(K160,'Janeiro 2023 - Valor Real'!A3:A15,'Janeiro 2023 - Valor Real'!C3:C15,0))+1)/((((L160/(L160-1)-1)*(1-_xlfn.XLOOKUP(K160,'Janeiro 2023 - Valor Real'!A3:A15,'Janeiro 2023 - Valor Real'!C3:C15,0))+1))+((L161-1)*(1-_xlfn.XLOOKUP(K161,'Janeiro 2023 - Valor Real'!A3:A15,'Janeiro 2023 - Valor Real'!C3:C15,0))+1)),((L160-1)*(1-_xlfn.XLOOKUP(K160,'Janeiro 2023 - Valor Real'!A3:A15,'Janeiro 2023 - Valor Real'!C3:C15,0))+1)/(((L160-1)*(1-_xlfn.XLOOKUP(K160,'Janeiro 2023 - Valor Real'!A3:A15,'Janeiro 2023 - Valor Real'!C3:C15,0))+1)+((L161-1)*(1-_xlfn.XLOOKUP(K161,'Janeiro 2023 - Valor Real'!A3:A15,'Janeiro 2023 - Valor Real'!C3:C15,0))+1))))))</f>
        <v>0.335390946502058</v>
      </c>
      <c r="AF161" s="132">
        <f>IF($K161=AF$3,ROUND(IF(OR($C161="W",$C161="1/2W",$C161="1/2L"),$P161-$O161,IF($C161="X",0,-$O161)),2),0)</f>
        <v>0</v>
      </c>
      <c r="AG161" s="133">
        <f>IF($K161=AG$3,ROUND(IF(OR($C161="W",$C161="1/2W",$C161="1/2L"),$P161-$O161,IF($C161="X",0,-$O161)),2),0)</f>
        <v>0</v>
      </c>
      <c r="AH161" s="133">
        <f>IF($K161=AH$3,ROUND(IF(OR($C161="W",$C161="1/2W",$C161="1/2L"),$P161-$O161,IF($C161="X",0,-$O161)),2),0)</f>
        <v>0</v>
      </c>
      <c r="AI161" s="133">
        <f>IF($K161=AI$3,ROUND(IF(OR($C161="W",$C161="1/2W",$C161="1/2L"),$P161-$O161,IF($C161="X",0,-$O161)),2),0)</f>
        <v>0</v>
      </c>
      <c r="AJ161" s="133">
        <f>IF($K161=AJ$3,ROUND(IF(OR($C161="W",$C161="1/2W",$C161="1/2L"),$P161-$O161,IF($C161="X",0,-$O161)),2),0)</f>
        <v>0</v>
      </c>
      <c r="AK161" s="133">
        <f>IF($K161=AK$3,ROUND(IF(OR($C161="W",$C161="1/2W",$C161="1/2L"),$P161-$O161,IF($C161="X",0,-$O161)),2),0)</f>
        <v>0</v>
      </c>
      <c r="AL161" s="133">
        <f>IF($K161=AL$3,ROUND(IF(OR($C161="W",$C161="1/2W",$C161="1/2L"),$P161-$O161,IF($C161="X",0,-$O161)),2),0)</f>
        <v>0</v>
      </c>
      <c r="AM161" s="133">
        <f>IF($K161=AM$3,ROUND(IF(OR($C161="W",$C161="1/2W",$C161="1/2L"),$P161-$O161,IF($C161="X",0,-$O161)),2),0)</f>
        <v>100.48</v>
      </c>
      <c r="AN161" s="133">
        <f>IF($K161=AN$3,ROUND(IF(OR($C161="W",$C161="1/2W",$C161="1/2L"),$P161-$O161,IF($C161="X",0,-$O161)),2),0)</f>
        <v>0</v>
      </c>
      <c r="AO161" s="133">
        <f>IF($K161=AO$3,ROUND(IF(OR($C161="W",$C161="1/2W",$C161="1/2L"),$P161-$O161,IF($C161="X",0,-$O161)),2),0)</f>
        <v>0</v>
      </c>
      <c r="AP161" s="133">
        <f>IF($K161=AP$3,ROUND(IF(OR($C161="W",$C161="1/2W",$C161="1/2L"),$P161-$O161,IF($C161="X",0,-$O161)),2),0)</f>
        <v>0</v>
      </c>
      <c r="AQ161" s="133">
        <f>IF($K161=AQ$3,ROUND(IF(OR($C161="W",$C161="1/2W",$C161="1/2L"),$P161-$O161,IF($C161="X",0,-$O161)),2),0)</f>
        <v>0</v>
      </c>
      <c r="AR161" s="134">
        <f>IF($K161=AR$3,ROUND(IF(OR($C161="W",$C161="1/2W",$C161="1/2L"),$P161-$O161,IF($C161="X",0,-$O161)),2),0)</f>
        <v>0</v>
      </c>
      <c r="AS161" s="132">
        <f>IF(AND($B160=" ",$K161=AS$3),$O161,0)</f>
        <v>0</v>
      </c>
      <c r="AT161" s="133">
        <f>IF(AND($B160=" ",K161=AT$3),$O161,0)</f>
        <v>0</v>
      </c>
      <c r="AU161" s="133">
        <f>IF(AND($B160=" ",$K161=AU$3),$O161,0)</f>
        <v>0</v>
      </c>
      <c r="AV161" s="133">
        <f>IF(AND($B160=" ",$K161=AV$3),$O161,0)</f>
        <v>0</v>
      </c>
      <c r="AW161" s="133">
        <f>IF(AND($B160=" ",$K161=AW$3),$O161,0)</f>
        <v>0</v>
      </c>
      <c r="AX161" s="133">
        <f>IF(AND($B160=" ",$K161=AX$3),$O161,0)</f>
        <v>0</v>
      </c>
      <c r="AY161" s="135">
        <f>IF(AND($B160=" ",$K161=AY$3),$O161,0)</f>
        <v>0</v>
      </c>
      <c r="AZ161" s="136">
        <f>IF(AND($B160=" ",$K161=AZ$3),$O161,0)</f>
        <v>0</v>
      </c>
      <c r="BA161" s="136">
        <f>IF(AND($B160=" ",$K161=BA$3),$O161,0)</f>
        <v>0</v>
      </c>
      <c r="BB161" s="136">
        <f>IF(AND($B160=" ",$K161=BB$3),$O161,0)</f>
        <v>0</v>
      </c>
      <c r="BC161" s="137">
        <f>IF(AND($B160=" ",$K161=BC$3),$O161,0)</f>
        <v>0</v>
      </c>
      <c r="BD161" s="133">
        <f>IF(AND($B160=" ",$K161=BD$3),$O161,0)</f>
        <v>0</v>
      </c>
      <c r="BE161" s="134">
        <f>IF(AND($B160=" ",$K161=BE$3),$O161,0)</f>
        <v>0</v>
      </c>
      <c r="BF161" s="132">
        <f>IF($K161=BF$3,IF($C161="X",0,$O161),0)</f>
        <v>0</v>
      </c>
      <c r="BG161" s="281">
        <f>IF($K161=BG$3,IF($C161="X",0,$O161),0)</f>
        <v>0</v>
      </c>
      <c r="BH161" s="133">
        <f>IF($K161=BH$3,IF($C161="X",0,$O161),0)</f>
        <v>0</v>
      </c>
      <c r="BI161" s="133">
        <f>IF($K161=BI$3,IF($C161="X",0,$O161),0)</f>
        <v>0</v>
      </c>
      <c r="BJ161" s="133">
        <f>IF($K161=BJ$3,IF($C161="X",0,$O161),0)</f>
        <v>0</v>
      </c>
      <c r="BK161" s="133">
        <f>IF($K161=BK$3,IF($C161="X",0,$O161),0)</f>
        <v>0</v>
      </c>
      <c r="BL161" s="133">
        <f>IF($K161=BL$3,IF($C161="X",0,$O161),0)</f>
        <v>0</v>
      </c>
      <c r="BM161" s="135">
        <f>IF($K161=BM$3,IF($C161="X",0,$O161),0)</f>
        <v>45.06</v>
      </c>
      <c r="BN161" s="136">
        <f>IF($K161=BN$3,IF($C161="X",0,$O161),0)</f>
        <v>0</v>
      </c>
      <c r="BO161" s="136">
        <f>IF($K161=BO$3,IF($C161="X",0,$O161),0)</f>
        <v>0</v>
      </c>
      <c r="BP161" s="136">
        <f>IF($K161=BP$3,IF($C161="X",0,$O161),0)</f>
        <v>0</v>
      </c>
      <c r="BQ161" s="137">
        <f>IF($K161=BQ$3,IF($C161="X",0,$O161),0)</f>
        <v>0</v>
      </c>
      <c r="BR161" s="134">
        <f>IF($K161=BR$3,IF($C161="X",0,$O161),0)</f>
        <v>0</v>
      </c>
      <c r="BS161" s="282"/>
      <c r="BT161" s="283"/>
      <c r="BU161" s="140"/>
      <c r="BV161" s="283"/>
      <c r="BW161" s="140"/>
      <c r="BX161" s="140"/>
      <c r="BY161" s="140"/>
      <c r="BZ161" s="283"/>
      <c r="CA161" s="140"/>
      <c r="CB161" s="140"/>
      <c r="CC161" s="140"/>
      <c r="CD161" s="141"/>
      <c r="CE161" s="142"/>
      <c r="CF161" s="284">
        <f>IF(CF$3=$K161,IF($C161="W",1,IF($C161="1/2W",0.5,0)),0)</f>
        <v>0</v>
      </c>
      <c r="CG161" s="285">
        <f>IF(CF$3=$K161,IF($C161="L",1,IF($C161="1/2L",0.5,0)),0)</f>
        <v>0</v>
      </c>
      <c r="CH161" s="285">
        <f>IF(CH$3=$K161,IF($C161="W",1,IF($C161="1/2W",0.5,0)),0)</f>
        <v>0</v>
      </c>
      <c r="CI161" s="285">
        <f>IF(CH$3=$K161,IF($C161="L",1,IF($C161="1/2L",0.5,0)),0)</f>
        <v>0</v>
      </c>
      <c r="CJ161" s="285">
        <f>IF(CJ$3=$K161,IF($C161="W",1,IF($C161="1/2W",0.5,0)),0)</f>
        <v>0</v>
      </c>
      <c r="CK161" s="285">
        <f>IF(CJ$3=$K161,IF($C161="L",1,IF($C161="1/2L",0.5,0)),0)</f>
        <v>0</v>
      </c>
      <c r="CL161" s="285">
        <f>IF(CL$3=$K161,IF($C161="W",1,IF($C161="1/2W",0.5,0)),0)</f>
        <v>0</v>
      </c>
      <c r="CM161" s="285">
        <f>IF(CL$3=$K161,IF($C161="L",1,IF($C161="1/2L",0.5,0)),0)</f>
        <v>0</v>
      </c>
      <c r="CN161" s="285">
        <f>IF(CN$3=$K161,IF($C161="W",1,IF($C161="1/2W",0.5,0)),0)</f>
        <v>0</v>
      </c>
      <c r="CO161" s="285">
        <f>IF(CN$3=$K161,IF($C161="L",1,IF($C161="1/2L",0.5,0)),0)</f>
        <v>0</v>
      </c>
      <c r="CP161" s="285">
        <f>IF(CP$3=$K161,IF($C161="W",1,IF($C161="1/2W",0.5,0)),0)</f>
        <v>0</v>
      </c>
      <c r="CQ161" s="285">
        <f>IF(CP$3=$K161,IF($C161="L",1,IF($C161="1/2L",0.5,0)),0)</f>
        <v>0</v>
      </c>
      <c r="CR161" s="285">
        <f>IF(CR$3=$K161,IF($C161="W",1,IF($C161="1/2W",0.5,0)),0)</f>
        <v>0</v>
      </c>
      <c r="CS161" s="285">
        <f>IF(CR$3=$K161,IF($C161="L",1,IF($C161="1/2L",0.5,0)),0)</f>
        <v>0</v>
      </c>
      <c r="CT161" s="145">
        <f>IF(CT$3=$K161,IF($C161="W",1,IF($C161="1/2W",0.5,0)),0)</f>
        <v>1</v>
      </c>
      <c r="CU161" s="146">
        <f>IF(CT$3=$K161,IF($C161="L",1,IF($C161="1/2L",0.5,0)),0)</f>
        <v>0</v>
      </c>
      <c r="CV161" s="146">
        <f>IF(CV$3=$K161,IF($C161="W",1,IF($C161="1/2W",0.5,0)),0)</f>
        <v>0</v>
      </c>
      <c r="CW161" s="146">
        <f>IF(CV$3=$K161,IF($C161="L",1,IF($C161="1/2L",0.5,0)),0)</f>
        <v>0</v>
      </c>
      <c r="CX161" s="146">
        <f>IF(CX$3=$K161,IF($C161="W",1,IF($C161="1/2W",0.5,0)),0)</f>
        <v>0</v>
      </c>
      <c r="CY161" s="146">
        <f>IF(CX$3=$K161,IF($C161="L",1,IF($C161="1/2L",0.5,0)),0)</f>
        <v>0</v>
      </c>
      <c r="CZ161" s="146">
        <f>IF(CZ$3=$K161,IF($C161="W",1,IF($C161="1/2W",0.5,0)),0)</f>
        <v>0</v>
      </c>
      <c r="DA161" s="146">
        <f>IF(CZ$3=$K161,IF($C161="L",1,IF($C161="1/2L",0.5,0)),0)</f>
        <v>0</v>
      </c>
      <c r="DB161" s="146">
        <f>IF(DB$3=$K161,IF($C161="W",1,IF($C161="1/2W",0.5,0)),0)</f>
        <v>0</v>
      </c>
      <c r="DC161" s="146">
        <f>IF(DB$3=$K161,IF($C161="L",1,IF($C161="1/2L",0.5,0)),0)</f>
        <v>0</v>
      </c>
      <c r="DD161" s="146">
        <f>IF(DD$3=$K161,IF($C161="W",1,IF($C161="1/2W",0.5,0)),0)</f>
        <v>0</v>
      </c>
      <c r="DE161" s="147">
        <f>IF(DD$3=$K161,IF($C161="L",1,IF($C161="1/2L",0.5,0)),0)</f>
        <v>0</v>
      </c>
      <c r="DF161" s="143">
        <f>IF(AND(L161&lt;DF$3,$C161="W"),1+DF160,DF160)</f>
        <v>8</v>
      </c>
      <c r="DG161" s="133">
        <f>IF(DF161&gt;DF160,L161+DG160,DG160)</f>
        <v>10.598</v>
      </c>
      <c r="DH161" s="146">
        <f>IF(AND(L161&gt;DH$3,$C161="W"),1+DH160,0+DH160)</f>
        <v>2</v>
      </c>
      <c r="DI161" s="133">
        <f>IF(DH161&gt;DH160,L161+DI160,DI160)</f>
        <v>11.58</v>
      </c>
      <c r="DJ161" t="s" s="304">
        <f>IF($D160="","",$D160)</f>
        <v>184</v>
      </c>
      <c r="DK161" s="286"/>
    </row>
    <row r="162" ht="14.55" customHeight="1">
      <c r="A162" s="149"/>
      <c r="B162" s="150"/>
      <c r="C162" t="s" s="151">
        <v>58</v>
      </c>
      <c r="D162" s="152"/>
      <c r="E162" s="153"/>
      <c r="F162" s="155"/>
      <c r="G162" s="252"/>
      <c r="H162" s="156"/>
      <c r="I162" s="287"/>
      <c r="J162" s="288"/>
      <c r="K162" s="156"/>
      <c r="L162" s="289"/>
      <c r="M162" s="290"/>
      <c r="N162" s="161"/>
      <c r="O162" t="s" s="162">
        <f>IF(OR(AE160="",AE161=""),"",IF(L162&gt;0,ROUND(IF(M162&gt;0,M162,IF(M160&gt;0,ROUND((M160*AE162)/AE160,IF(N160=0,2,IF(N160=0.1,1,0))),IF(M161&gt;0,ROUND((M161*AE162)/AE161,IF(N160=0,2,IF(N160=0.1,1,0))),IF(M162&gt;0,M162,0)))),2),""))</f>
      </c>
      <c r="P162" t="s" s="163">
        <f>IF(I161="Lay",O161*(L161/(L161-1))-O161,IF(I160="Lay",O160*(L160/(L160-1))-O160,IF(OR(L162="",O162=""),"",IF($C162="1/2W",O162/2+O162/2*L162,IF($C162="1/2L",O162/2,(O162*L162-O162)*(1-_xlfn.XLOOKUP(K162,'Janeiro 2023 - Valor Real'!A3:A15,'Janeiro 2023 - Valor Real'!C3:C15,0))+O162)))))</f>
      </c>
      <c r="Q162" t="s" s="154"/>
      <c r="R162" t="s" s="163"/>
      <c r="S162" s="166"/>
      <c r="T162" s="155"/>
      <c r="U162" s="155"/>
      <c r="V162" s="166"/>
      <c r="W162" s="155"/>
      <c r="X162" s="167"/>
      <c r="Y162" s="128"/>
      <c r="Z162" s="129"/>
      <c r="AA162" s="129"/>
      <c r="AB162" s="129"/>
      <c r="AC162" s="129"/>
      <c r="AD162" s="168"/>
      <c r="AE162" t="s" s="169">
        <f>IF(L162="","",(SUM(((L160-1)*(1-_xlfn.XLOOKUP(K160,'Janeiro 2023 - Valor Real'!A3:A15,'Janeiro 2023 - Valor Real'!C3:C15,0))+1),((L161-1)*(1-_xlfn.XLOOKUP(K161,'Janeiro 2023 - Valor Real'!A3:A15,'Janeiro 2023 - Valor Real'!C3:C15,0))+1),((L162-1)*(1-_xlfn.XLOOKUP(K162,'Janeiro 2023 - Valor Real'!A3:A15,'Janeiro 2023 - Valor Real'!C3:C15,0))+1))/((L162-1)*(1-_xlfn.XLOOKUP(K162,'Janeiro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Real'!C3:C15,0))+1))/((L160-1)*(1-_xlfn.XLOOKUP(K160,'Janeiro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Real'!C3:C15,0))+1))/((L161-1)*(1-_xlfn.XLOOKUP(K161,'Janeiro 2023 - Valor Real'!A3:A15,'Janeiro 2023 - Valor Real'!C3:C15,0))+1)+SUM(((L160-1)*(1-_xlfn.XLOOKUP(K160,'Janeiro 2023 - Valor Real'!A3:A15,'Janeiro 2023 - Valor Real'!C3:C15,0))+1),((L161-1)*(1-_xlfn.XLOOKUP(K161,'Janeiro 2023 - Valor Real'!A3:A15,'Janeiro 2023 - Valor Real'!C3:C15,0))+1),((L162-1)*(1-_xlfn.XLOOKUP(K162,'Janeiro 2023 - Valor Real'!A3:A15,'Janeiro 2023 - Valor Real'!C3:C15,0))+1))/((L162-1)*(1-_xlfn.XLOOKUP(K162,'Janeiro 2023 - Valor Real'!A3:A15,'Janeiro 2023 - Valor Real'!C3:C15,0))+1)))</f>
      </c>
      <c r="AF162" s="132">
        <f>IF($K162=AF$3,ROUND(IF(OR($C162="W",$C162="1/2W",$C162="1/2L"),$P162-$O162,IF($C162="X",0,-$O162)),2),0)</f>
        <v>0</v>
      </c>
      <c r="AG162" s="133">
        <f>IF($K162=AG$3,ROUND(IF(OR($C162="W",$C162="1/2W",$C162="1/2L"),$P162-$O162,IF($C162="X",0,-$O162)),2),0)</f>
        <v>0</v>
      </c>
      <c r="AH162" s="133">
        <f>IF($K162=AH$3,ROUND(IF(OR($C162="W",$C162="1/2W",$C162="1/2L"),$P162-$O162,IF($C162="X",0,-$O162)),2),0)</f>
        <v>0</v>
      </c>
      <c r="AI162" s="133">
        <f>IF($K162=AI$3,ROUND(IF(OR($C162="W",$C162="1/2W",$C162="1/2L"),$P162-$O162,IF($C162="X",0,-$O162)),2),0)</f>
        <v>0</v>
      </c>
      <c r="AJ162" s="133">
        <f>IF($K162=AJ$3,ROUND(IF(OR($C162="W",$C162="1/2W",$C162="1/2L"),$P162-$O162,IF($C162="X",0,-$O162)),2),0)</f>
        <v>0</v>
      </c>
      <c r="AK162" s="133">
        <f>IF($K162=AK$3,ROUND(IF(OR($C162="W",$C162="1/2W",$C162="1/2L"),$P162-$O162,IF($C162="X",0,-$O162)),2),0)</f>
        <v>0</v>
      </c>
      <c r="AL162" s="133">
        <f>IF($K162=AL$3,ROUND(IF(OR($C162="W",$C162="1/2W",$C162="1/2L"),$P162-$O162,IF($C162="X",0,-$O162)),2),0)</f>
        <v>0</v>
      </c>
      <c r="AM162" s="133">
        <f>IF($K162=AM$3,ROUND(IF(OR($C162="W",$C162="1/2W",$C162="1/2L"),$P162-$O162,IF($C162="X",0,-$O162)),2),0)</f>
        <v>0</v>
      </c>
      <c r="AN162" s="133">
        <f>IF($K162=AN$3,ROUND(IF(OR($C162="W",$C162="1/2W",$C162="1/2L"),$P162-$O162,IF($C162="X",0,-$O162)),2),0)</f>
        <v>0</v>
      </c>
      <c r="AO162" s="133">
        <f>IF($K162=AO$3,ROUND(IF(OR($C162="W",$C162="1/2W",$C162="1/2L"),$P162-$O162,IF($C162="X",0,-$O162)),2),0)</f>
        <v>0</v>
      </c>
      <c r="AP162" s="133">
        <f>IF($K162=AP$3,ROUND(IF(OR($C162="W",$C162="1/2W",$C162="1/2L"),$P162-$O162,IF($C162="X",0,-$O162)),2),0)</f>
        <v>0</v>
      </c>
      <c r="AQ162" s="133">
        <f>IF($K162=AQ$3,ROUND(IF(OR($C162="W",$C162="1/2W",$C162="1/2L"),$P162-$O162,IF($C162="X",0,-$O162)),2),0)</f>
        <v>0</v>
      </c>
      <c r="AR162" s="134">
        <f>IF($K162=AR$3,ROUND(IF(OR($C162="W",$C162="1/2W",$C162="1/2L"),$P162-$O162,IF($C162="X",0,-$O162)),2),0)</f>
        <v>0</v>
      </c>
      <c r="AS162" s="132">
        <f>IF(AND($B160=" ",$K162=AS$3),$O162,0)</f>
        <v>0</v>
      </c>
      <c r="AT162" s="133">
        <f>IF(AND($B160=" ",K162=AT$3),$O162,0)</f>
        <v>0</v>
      </c>
      <c r="AU162" s="133">
        <f>IF(AND($B160=" ",$K162=AU$3),$O162,0)</f>
        <v>0</v>
      </c>
      <c r="AV162" s="133">
        <f>IF(AND($B160=" ",$K162=AV$3),$O162,0)</f>
        <v>0</v>
      </c>
      <c r="AW162" s="133">
        <f>IF(AND($B160=" ",$K162=AW$3),$O162,0)</f>
        <v>0</v>
      </c>
      <c r="AX162" s="133">
        <f>IF(AND($B160=" ",$K162=AX$3),$O162,0)</f>
        <v>0</v>
      </c>
      <c r="AY162" s="135">
        <f>IF(AND($B160=" ",$K162=AY$3),$O162,0)</f>
        <v>0</v>
      </c>
      <c r="AZ162" s="136">
        <f>IF(AND($B160=" ",$K162=AZ$3),$O162,0)</f>
        <v>0</v>
      </c>
      <c r="BA162" s="136">
        <f>IF(AND($B160=" ",$K162=BA$3),$O162,0)</f>
        <v>0</v>
      </c>
      <c r="BB162" s="136">
        <f>IF(AND($B160=" ",$K162=BB$3),$O162,0)</f>
        <v>0</v>
      </c>
      <c r="BC162" s="137">
        <f>IF(AND($B160=" ",$K162=BC$3),$O162,0)</f>
        <v>0</v>
      </c>
      <c r="BD162" s="133">
        <f>IF(AND($B160=" ",$K162=BD$3),$O162,0)</f>
        <v>0</v>
      </c>
      <c r="BE162" s="134">
        <f>IF(AND($B160=" ",$K162=BE$3),$O162,0)</f>
        <v>0</v>
      </c>
      <c r="BF162" s="132">
        <f>IF($K162=BF$3,IF($C162="X",0,$O162),0)</f>
        <v>0</v>
      </c>
      <c r="BG162" s="281">
        <f>IF($K162=BG$3,IF($C162="X",0,$O162),0)</f>
        <v>0</v>
      </c>
      <c r="BH162" s="133">
        <f>IF($K162=BH$3,IF($C162="X",0,$O162),0)</f>
        <v>0</v>
      </c>
      <c r="BI162" s="133">
        <f>IF($K162=BI$3,IF($C162="X",0,$O162),0)</f>
        <v>0</v>
      </c>
      <c r="BJ162" s="133">
        <f>IF($K162=BJ$3,IF($C162="X",0,$O162),0)</f>
        <v>0</v>
      </c>
      <c r="BK162" s="133">
        <f>IF($K162=BK$3,IF($C162="X",0,$O162),0)</f>
        <v>0</v>
      </c>
      <c r="BL162" s="133">
        <f>IF($K162=BL$3,IF($C162="X",0,$O162),0)</f>
        <v>0</v>
      </c>
      <c r="BM162" s="135">
        <f>IF($K162=BM$3,IF($C162="X",0,$O162),0)</f>
        <v>0</v>
      </c>
      <c r="BN162" s="136">
        <f>IF($K162=BN$3,IF($C162="X",0,$O162),0)</f>
        <v>0</v>
      </c>
      <c r="BO162" s="136">
        <f>IF($K162=BO$3,IF($C162="X",0,$O162),0)</f>
        <v>0</v>
      </c>
      <c r="BP162" s="136">
        <f>IF($K162=BP$3,IF($C162="X",0,$O162),0)</f>
        <v>0</v>
      </c>
      <c r="BQ162" s="137">
        <f>IF($K162=BQ$3,IF($C162="X",0,$O162),0)</f>
        <v>0</v>
      </c>
      <c r="BR162" s="134">
        <f>IF($K162=BR$3,IF($C162="X",0,$O162),0)</f>
        <v>0</v>
      </c>
      <c r="BS162" s="282"/>
      <c r="BT162" s="283"/>
      <c r="BU162" s="140"/>
      <c r="BV162" s="283"/>
      <c r="BW162" s="140"/>
      <c r="BX162" s="140"/>
      <c r="BY162" s="140"/>
      <c r="BZ162" s="283"/>
      <c r="CA162" s="140"/>
      <c r="CB162" s="140"/>
      <c r="CC162" s="140"/>
      <c r="CD162" s="141"/>
      <c r="CE162" s="142"/>
      <c r="CF162" s="284">
        <f>IF(CF$3=$K162,IF($C162="W",1,IF($C162="1/2W",0.5,0)),0)</f>
        <v>0</v>
      </c>
      <c r="CG162" s="285">
        <f>IF(CF$3=$K162,IF($C162="L",1,IF($C162="1/2L",0.5,0)),0)</f>
        <v>0</v>
      </c>
      <c r="CH162" s="285">
        <f>IF(CH$3=$K162,IF($C162="W",1,IF($C162="1/2W",0.5,0)),0)</f>
        <v>0</v>
      </c>
      <c r="CI162" s="285">
        <f>IF(CH$3=$K162,IF($C162="L",1,IF($C162="1/2L",0.5,0)),0)</f>
        <v>0</v>
      </c>
      <c r="CJ162" s="285">
        <f>IF(CJ$3=$K162,IF($C162="W",1,IF($C162="1/2W",0.5,0)),0)</f>
        <v>0</v>
      </c>
      <c r="CK162" s="285">
        <f>IF(CJ$3=$K162,IF($C162="L",1,IF($C162="1/2L",0.5,0)),0)</f>
        <v>0</v>
      </c>
      <c r="CL162" s="285">
        <f>IF(CL$3=$K162,IF($C162="W",1,IF($C162="1/2W",0.5,0)),0)</f>
        <v>0</v>
      </c>
      <c r="CM162" s="285">
        <f>IF(CL$3=$K162,IF($C162="L",1,IF($C162="1/2L",0.5,0)),0)</f>
        <v>0</v>
      </c>
      <c r="CN162" s="285">
        <f>IF(CN$3=$K162,IF($C162="W",1,IF($C162="1/2W",0.5,0)),0)</f>
        <v>0</v>
      </c>
      <c r="CO162" s="285">
        <f>IF(CN$3=$K162,IF($C162="L",1,IF($C162="1/2L",0.5,0)),0)</f>
        <v>0</v>
      </c>
      <c r="CP162" s="285">
        <f>IF(CP$3=$K162,IF($C162="W",1,IF($C162="1/2W",0.5,0)),0)</f>
        <v>0</v>
      </c>
      <c r="CQ162" s="285">
        <f>IF(CP$3=$K162,IF($C162="L",1,IF($C162="1/2L",0.5,0)),0)</f>
        <v>0</v>
      </c>
      <c r="CR162" s="285">
        <f>IF(CR$3=$K162,IF($C162="W",1,IF($C162="1/2W",0.5,0)),0)</f>
        <v>0</v>
      </c>
      <c r="CS162" s="285">
        <f>IF(CR$3=$K162,IF($C162="L",1,IF($C162="1/2L",0.5,0)),0)</f>
        <v>0</v>
      </c>
      <c r="CT162" s="145">
        <f>IF(CT$3=$K162,IF($C162="W",1,IF($C162="1/2W",0.5,0)),0)</f>
        <v>0</v>
      </c>
      <c r="CU162" s="146">
        <f>IF(CT$3=$K162,IF($C162="L",1,IF($C162="1/2L",0.5,0)),0)</f>
        <v>0</v>
      </c>
      <c r="CV162" s="146">
        <f>IF(CV$3=$K162,IF($C162="W",1,IF($C162="1/2W",0.5,0)),0)</f>
        <v>0</v>
      </c>
      <c r="CW162" s="146">
        <f>IF(CV$3=$K162,IF($C162="L",1,IF($C162="1/2L",0.5,0)),0)</f>
        <v>0</v>
      </c>
      <c r="CX162" s="146">
        <f>IF(CX$3=$K162,IF($C162="W",1,IF($C162="1/2W",0.5,0)),0)</f>
        <v>0</v>
      </c>
      <c r="CY162" s="146">
        <f>IF(CX$3=$K162,IF($C162="L",1,IF($C162="1/2L",0.5,0)),0)</f>
        <v>0</v>
      </c>
      <c r="CZ162" s="146">
        <f>IF(CZ$3=$K162,IF($C162="W",1,IF($C162="1/2W",0.5,0)),0)</f>
        <v>0</v>
      </c>
      <c r="DA162" s="146">
        <f>IF(CZ$3=$K162,IF($C162="L",1,IF($C162="1/2L",0.5,0)),0)</f>
        <v>0</v>
      </c>
      <c r="DB162" s="146">
        <f>IF(DB$3=$K162,IF($C162="W",1,IF($C162="1/2W",0.5,0)),0)</f>
        <v>0</v>
      </c>
      <c r="DC162" s="146">
        <f>IF(DB$3=$K162,IF($C162="L",1,IF($C162="1/2L",0.5,0)),0)</f>
        <v>0</v>
      </c>
      <c r="DD162" s="146">
        <f>IF(DD$3=$K162,IF($C162="W",1,IF($C162="1/2W",0.5,0)),0)</f>
        <v>0</v>
      </c>
      <c r="DE162" s="147">
        <f>IF(DD$3=$K162,IF($C162="L",1,IF($C162="1/2L",0.5,0)),0)</f>
        <v>0</v>
      </c>
      <c r="DF162" s="143">
        <f>IF(AND(L162&lt;DF$3,$C162="W"),1+DF161,DF161)</f>
        <v>8</v>
      </c>
      <c r="DG162" s="133">
        <f>IF(DF162&gt;DF161,L162+DG161,DG161)</f>
        <v>10.598</v>
      </c>
      <c r="DH162" s="146">
        <f>IF(AND(L162&gt;DH$3,$C162="W"),1+DH161,0+DH161)</f>
        <v>2</v>
      </c>
      <c r="DI162" s="133">
        <f>IF(DH162&gt;DH161,L162+DI161,DI161)</f>
        <v>11.58</v>
      </c>
      <c r="DJ162" t="s" s="304">
        <f>IF($D160="","",$D160)</f>
        <v>184</v>
      </c>
      <c r="DK162" s="286"/>
    </row>
    <row r="163" ht="14.55" customHeight="1">
      <c r="A163" s="171">
        <f>$A160+1</f>
        <v>54</v>
      </c>
      <c r="B163" t="s" s="172">
        <f>IF(AND(_xlfn.XLOOKUP(H163,H80:H$84,G80:G$84,0)=G163,_xlfn.XLOOKUP("TempoBet",K163:K165,L163:L165,0)&gt;0),"X",IF(OR(C163="W",C164="W",C165="W",C163="1/2W",C164="1/2W",C165="1/2W",C163="1/2L",C164="1/2L",C165="1/2L"),"OK",IF(OR(C163="L",C164="L",C165="L"),"LOSS",IF(OR(C163="X",C164="X",C165="X"),"Anulado"," "))))</f>
        <v>50</v>
      </c>
      <c r="C163" t="s" s="173">
        <v>56</v>
      </c>
      <c r="D163" t="s" s="305">
        <f>IF(G163="","",$D160)</f>
        <v>184</v>
      </c>
      <c r="E163" t="s" s="175">
        <f>IF(G163=""," ","– "&amp;COUNTIF(D$4:D165,$D163))</f>
        <v>111</v>
      </c>
      <c r="F163" t="s" s="176"/>
      <c r="G163" s="177">
        <v>44944.25</v>
      </c>
      <c r="H163" t="s" s="178">
        <v>193</v>
      </c>
      <c r="I163" t="s" s="179">
        <v>65</v>
      </c>
      <c r="J163" s="291">
        <v>4.5</v>
      </c>
      <c r="K163" t="s" s="181">
        <v>37</v>
      </c>
      <c r="L163" s="182">
        <v>1.875</v>
      </c>
      <c r="M163" s="183">
        <v>20</v>
      </c>
      <c r="N163" s="184">
        <v>0</v>
      </c>
      <c r="O163" s="185">
        <f>IF(OR(AE163="",AE164=""),"",ROUND(IF(L165&gt;0,IF(M163&gt;0,M163,IF(M164&gt;0,ROUND((M164*AE163)/AE164,IF(N163=0,2,IF(N163=0.1,1,0))),ROUND((M165*AE163)/AE165,IF(N163=0,2,IF(N163=0.1,1,0))))),IF(M163&gt;0,M163,ROUND((M164*AE163)/AE164,IF(N163=0,2,IF(N163=0.1,1,0))))),2))</f>
        <v>20</v>
      </c>
      <c r="P163" s="186">
        <f>IF(OR(L163="",O163=""),"",IF($C163="1/2W",O163/2+O163/2*L163,IF($C163="1/2L",O163/2,IF(I163="Lay",(O163*(L163/(L163-1))-O163)*(1-_xlfn.XLOOKUP(K163,'Janeiro 2023 - Valor Real'!A3:A15,'Janeiro 2023 - Valor Real'!C3:C15,0))+O163,(O163*L163-O163)*(1-_xlfn.XLOOKUP(K163,'Janeiro 2023 - Valor Real'!A3:A15,'Janeiro 2023 - Valor Real'!C3:C15,0))+O163))))</f>
        <v>37.5</v>
      </c>
      <c r="Q163" s="187">
        <f>IF(K163="","",IF(_xlfn.XLOOKUP(K163,K80:K$84,DJ80:DJ$84,0,,-1)=DJ163,_xlfn.XLOOKUP(K163,K80:K$84,Q80:Q$84,1,,-1)+1,1))</f>
        <v>1</v>
      </c>
      <c r="R163" s="188">
        <f>IF(K163="","",_xlfn.XLOOKUP(K163,K80:K$84,R80:R$84,0,,-1)+IF($C163=" ",1,0))</f>
        <v>0</v>
      </c>
      <c r="S163" s="189">
        <f>IF($B163="Anulado",0,ROUND(IF(OR($B163="LOSS",$B163="OK"),IF(OR($C163="W",$C163="1/2W",$C163="1/2L"),P163-O163,IF($C163="L",-O163,0))+IF(OR($C164="W",$C164="1/2W",$C164="1/2L"),P164-O164,IF($C164="L",-O164,0))+IF(OR($C165="W",$C165="1/2W",$C165="1/2L"),P165-O165,IF($C165="L",-O165,0)),IF(AND(OR($C163="W",$C163="1/2W",$C163="1/2L"),C164="W"),P163+P164-SUM(O163:O165)+_xlfn.XLOOKUP("X",C163:C165,O163:O165,0),IF(AND(C163=TRUE,C165="W"),P163+P165-SUM(O163:O165),IF(AND(C164="W",C165="W"),P164+P165-SUM(O163:O165)+_xlfn.XLOOKUP("X",C163:C165,O163:O165,0),IF(L165&gt;0,IF(OR($C163="W",$C163="1/2W",$C163="1/2L"),P163-SUM(O163:O165)+_xlfn.XLOOKUP("X",C163:C165,O163:O165,0),IF(OR($C163="W",$C163="1/2W",$C163="1/2L"),P164-SUM(O163:O165)+_xlfn.XLOOKUP("X",C163:C165,O163:O165,0),IF(OR($C163="W",$C163="1/2W",$C163="1/2L"),P165-SUM(O163:O165)+_xlfn.XLOOKUP("X",C163:C165,O163:O165,0),IF(SUM(P163:P165)/3-SUM(O163:O165)+_xlfn.XLOOKUP("X",C163:C165,O163:O165,0)&gt;0,SUM(P163:P165)/3-SUM(O163:O165)+_xlfn.XLOOKUP("X",C163:C165,O163:O165,0),LARGE(P163:P165,1)-SUM(O163:O165))))),IF(OR($C163="W",$C163="1/2W",$C163="1/2L"),P163-SUM(O163:O164)+_xlfn.XLOOKUP("X",C163:C165,O163:O165,0),IF(OR($C163="W",$C163="1/2W",$C163="1/2L"),P164-SUM(O163:O164)+_xlfn.XLOOKUP("X",C163:C165,O163:O165,0),SUM(P163:P164)/2-SUM(O163:O164)+_xlfn.XLOOKUP("X",C163:C165,O163:O165,0)))))))),2))</f>
        <v>4.43</v>
      </c>
      <c r="T163" s="190">
        <f>IF(S163=0,0,S163/SUM(O163:O165))</f>
        <v>0.133958270335652</v>
      </c>
      <c r="U163" s="191">
        <f>IF($D163=$D160,IF(OR($B163="LOSS",$B163="OK",$B163="Anulada"),S163,0)+U160,IF(OR($B163="LOSS",$B163="OK",$B163="Anulada"),S163,0))</f>
        <v>19.54</v>
      </c>
      <c r="V163" s="191">
        <f>IF($D163="",0,IF($D163=$D160,IF($B163=" ",IF(I165="",IF(OR(AND(I163="DNB1",I164="DNB2"),AND(OR(I163="DNB1",I163="DNB2"),J164=0),AND(OR(I164="DNB1",I164="DNB2"),J163=0),AND(I163="DNB2",I164="DNB1"),AND(IF(J163=0,(J163+1)/ROUND(J163+1,0),J163/ROUND(J163,0))=1,IF(J164=0,(J164+1)/ROUND(IF(J164="",0,J164)+1,0),IF(J164="",0,J164)/ROUND(IF(J164="",1,J164),0))=1,OR(J163&lt;&gt;""),J164&lt;&gt;"")),0,IF(S163&lt;0,IF(I165="",SMALL(P163:P164,1)-SUM(O163:O164),0),SMALL(P163:P164,1)-SUM(O163:O164))),IF(S163&lt;0,IF(I165="",SMALL(P163:P165,1)-SUM(O163:O165),0),LARGE(P163:P165,1)-SUM(O163:O165))),S163)+V160,IF(I165="",IF(OR(AND(I163="DNB1",I164="DNB2"),AND(OR(I163="DNB1",I163="DNB2"),J164=0),AND(OR(I164="DNB1",I164="DNB2"),J163=0),AND(I163="DNB2",I164="DNB1"),AND(IF(J163=0,(J163+1)/ROUND(J163+1,0),J163/ROUND(J163,0))=1,IF(J164=0,(IF(J164="",0,J164)+1)/ROUND(IF(J164="",0,J164)+1,0),IF(J164="",0,J164)/ROUND(IF(J164="",0,J164)+1,0))=1,OR(J163&lt;&gt;""),J164&lt;&gt;"")),0,IF(S163&lt;0,IF(I165="",SMALL(P163:P164,1)-SUM(O163:O164),0),SMALL(P163:P165,1)-SUM(O163:O165))),IF(S163&lt;0,IF(I165="",SMALL(P163:P165,1)-SUM(O163:O165),0),LARGE(P163:P165,1)-SUM(O163:O165)))))</f>
        <v>19.5375</v>
      </c>
      <c r="W163" s="191">
        <f>IF($D163=$D160,IF(S163&lt;0,IF(I165="",S163,0),S163)+W160,S163)</f>
        <v>19.54</v>
      </c>
      <c r="X163" t="s" s="192">
        <f>IF(OR(SUM(R163:R165)=0,V163=W163),ROUND(IF(W163=0,0,W163/Y163)*100,2)&amp;"%",ROUND(IF(V163=0,0,V163/Y163)*100,2)&amp;"% a "&amp;ROUND(IF(W163=0,0,W163/Y163)*100,2)&amp;"%")</f>
        <v>194</v>
      </c>
      <c r="Y163" s="193">
        <f>IF($D163=$D160,Y160+SUM(O163:O165),SUM(O163:O165))</f>
        <v>234.07</v>
      </c>
      <c r="Z163" s="191">
        <f>IF($B163=" ",SUM(O163:O165),0)+Z160</f>
        <v>0</v>
      </c>
      <c r="AA163" s="191">
        <f>IF(G163="","",IF($B163="Anulado",LARGE(P163:P165,1)-SUM(O163:O165)+AA160,AA160))</f>
        <v>14.1564</v>
      </c>
      <c r="AB163" s="191">
        <f>IF($D163="","",AB160+S163)</f>
        <v>144.65</v>
      </c>
      <c r="AC163" s="194">
        <f>IF($D163="","",IF($B163=" ",IF(DAY(G163)=DAY(TODAY()),1+AC160,0+AC160),0+AC160))</f>
        <v>0</v>
      </c>
      <c r="AD163" s="195">
        <f>(((L164/(L164-1)-1)*(1-_xlfn.XLOOKUP(K164,'Janeiro 2023 - Valor Real'!A3:A15,'Janeiro 2023 - Valor Real'!C3:C15,0))+1))/(((L163-1)*(1-_xlfn.XLOOKUP(K163,'Janeiro 2023 - Valor Real'!A3:A15,'Janeiro 2023 - Valor Real'!C3:C15,0))+1)+((L164/(L164-1)-1)*(1-_xlfn.XLOOKUP(K164,'Janeiro 2023 - Valor Real'!A3:A15,'Janeiro 2023 - Valor Real'!C3:C15,0))+1))</f>
        <v>0.43904263275991</v>
      </c>
      <c r="AE163" s="196">
        <f>IF(L163="","",IF(L165&gt;0,(SUM(((L163-1)*(1-_xlfn.XLOOKUP(K163,'Janeiro 2023 - Valor Real'!A3:A15,'Janeiro 2023 - Valor Real'!C3:C15,0))+1),((L164-1)*(1-_xlfn.XLOOKUP(K164,'Janeiro 2023 - Valor Real'!A3:A15,'Janeiro 2023 - Valor Real'!C3:C15,0))+1),((L165-1)*(1-_xlfn.XLOOKUP(K165,'Janeiro 2023 - Valor Real'!A3:A15,'Janeiro 2023 - Valor Real'!C3:C15,0))+1))/((L163-1)*(1-_xlfn.XLOOKUP(K163,'Janeiro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Real'!C3:C15,0))+1))/((L163-1)*(1-_xlfn.XLOOKUP(K163,'Janeiro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Real'!C3:C15,0))+1))/((L164-1)*(1-_xlfn.XLOOKUP(K164,'Janeiro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Real'!C3:C15,0))+1))/((L165-1)*(1-_xlfn.XLOOKUP(K165,'Janeiro 2023 - Valor Real'!A3:A15,'Janeiro 2023 - Valor Real'!C3:C15,0))+1)),IF(I163="Lay",IF(I164="Lay",((L164/(L164-1)-1)*(1-_xlfn.XLOOKUP(K164,'Janeiro 2023 - Valor Real'!A3:A15,'Janeiro 2023 - Valor Real'!C3:C15,0))+1)/(((L164/(L164-1)-1)*(1-_xlfn.XLOOKUP(K164,'Janeiro 2023 - Valor Real'!A3:A15,'Janeiro 2023 - Valor Real'!C3:C15,0))+1)+((L163/(L163-1)-1)*(1-_xlfn.XLOOKUP(K163,'Janeiro 2023 - Valor Real'!A3:A15,'Janeiro 2023 - Valor Real'!C3:C15,0))+1)),((L164-1)*(1-_xlfn.XLOOKUP(K164,'Janeiro 2023 - Valor Real'!A3:A15,'Janeiro 2023 - Valor Real'!C3:C15,0))+1)/(((L164-1)*(1-_xlfn.XLOOKUP(K164,'Janeiro 2023 - Valor Real'!A3:A15,'Janeiro 2023 - Valor Real'!C3:C15,0))+1)+((L163/(L163-1)-1)*(1-_xlfn.XLOOKUP(K163,'Janeiro 2023 - Valor Real'!A3:A15,'Janeiro 2023 - Valor Real'!C3:C15,0))+1))),IF(I164="Lay",(((L164/(L164-1)-1)*(1-_xlfn.XLOOKUP(K164,'Janeiro 2023 - Valor Real'!A3:A15,'Janeiro 2023 - Valor Real'!C3:C15,0))+1))/(((L163-1)*(1-_xlfn.XLOOKUP(K163,'Janeiro 2023 - Valor Real'!A3:A15,'Janeiro 2023 - Valor Real'!C3:C15,0))+1)+((L164/(L164-1)-1)*(1-_xlfn.XLOOKUP(K164,'Janeiro 2023 - Valor Real'!A3:A15,'Janeiro 2023 - Valor Real'!C3:C15,0))+1)),((L164-1)*(1-_xlfn.XLOOKUP(K164,'Janeiro 2023 - Valor Real'!A3:A15,'Janeiro 2023 - Valor Real'!C3:C15,0))+1)/(((L164-1)*(1-_xlfn.XLOOKUP(K164,'Janeiro 2023 - Valor Real'!A3:A15,'Janeiro 2023 - Valor Real'!C3:C15,0))+1)+((L163-1)*(1-_xlfn.XLOOKUP(K163,'Janeiro 2023 - Valor Real'!A3:A15,'Janeiro 2023 - Valor Real'!C3:C15,0))+1))))))</f>
        <v>0.604847207586934</v>
      </c>
      <c r="AF163" s="197">
        <f>IF($K163=AF$3,ROUND(IF(OR($C163="W",$C163="1/2W",$C163="1/2L"),$P163-$O163,IF($C163="X",0,-$O163)),2),0)</f>
        <v>17.5</v>
      </c>
      <c r="AG163" s="198">
        <f>IF($K163=AG$3,ROUND(IF(OR($C163="W",$C163="1/2W",$C163="1/2L"),$P163-$O163,IF($C163="X",0,-$O163)),2),0)</f>
        <v>0</v>
      </c>
      <c r="AH163" s="198">
        <f>IF($K163=AH$3,ROUND(IF(OR($C163="W",$C163="1/2W",$C163="1/2L"),$P163-$O163,IF($C163="X",0,-$O163)),2),0)</f>
        <v>0</v>
      </c>
      <c r="AI163" s="198">
        <f>IF($K163=AI$3,ROUND(IF(OR($C163="W",$C163="1/2W",$C163="1/2L"),$P163-$O163,IF($C163="X",0,-$O163)),2),0)</f>
        <v>0</v>
      </c>
      <c r="AJ163" s="198">
        <f>IF($K163=AJ$3,ROUND(IF(OR($C163="W",$C163="1/2W",$C163="1/2L"),$P163-$O163,IF($C163="X",0,-$O163)),2),0)</f>
        <v>0</v>
      </c>
      <c r="AK163" s="198">
        <f>IF($K163=AK$3,ROUND(IF(OR($C163="W",$C163="1/2W",$C163="1/2L"),$P163-$O163,IF($C163="X",0,-$O163)),2),0)</f>
        <v>0</v>
      </c>
      <c r="AL163" s="198">
        <f>IF($K163=AL$3,ROUND(IF(OR($C163="W",$C163="1/2W",$C163="1/2L"),$P163-$O163,IF($C163="X",0,-$O163)),2),0)</f>
        <v>0</v>
      </c>
      <c r="AM163" s="198">
        <f>IF($K163=AM$3,ROUND(IF(OR($C163="W",$C163="1/2W",$C163="1/2L"),$P163-$O163,IF($C163="X",0,-$O163)),2),0)</f>
        <v>0</v>
      </c>
      <c r="AN163" s="198">
        <f>IF($K163=AN$3,ROUND(IF(OR($C163="W",$C163="1/2W",$C163="1/2L"),$P163-$O163,IF($C163="X",0,-$O163)),2),0)</f>
        <v>0</v>
      </c>
      <c r="AO163" s="198">
        <f>IF($K163=AO$3,ROUND(IF(OR($C163="W",$C163="1/2W",$C163="1/2L"),$P163-$O163,IF($C163="X",0,-$O163)),2),0)</f>
        <v>0</v>
      </c>
      <c r="AP163" s="198">
        <f>IF($K163=AP$3,ROUND(IF(OR($C163="W",$C163="1/2W",$C163="1/2L"),$P163-$O163,IF($C163="X",0,-$O163)),2),0)</f>
        <v>0</v>
      </c>
      <c r="AQ163" s="198">
        <f>IF($K163=AQ$3,ROUND(IF(OR($C163="W",$C163="1/2W",$C163="1/2L"),$P163-$O163,IF($C163="X",0,-$O163)),2),0)</f>
        <v>0</v>
      </c>
      <c r="AR163" s="199">
        <f>IF($K163=AR$3,ROUND(IF(OR($C163="W",$C163="1/2W",$C163="1/2L"),$P163-$O163,IF($C163="X",0,-$O163)),2),0)</f>
        <v>0</v>
      </c>
      <c r="AS163" s="197">
        <f>IF(AND($B163=" ",$K163=AS$3),$O163,0)</f>
        <v>0</v>
      </c>
      <c r="AT163" s="198">
        <f>IF(AND($B163=" ",$K163=AT$3),$O163,0)</f>
        <v>0</v>
      </c>
      <c r="AU163" s="198">
        <f>IF(AND($B163=" ",$K163=AU$3),$O163,0)</f>
        <v>0</v>
      </c>
      <c r="AV163" s="198">
        <f>IF(AND($B163=" ",$K163=AV$3),$O163,0)</f>
        <v>0</v>
      </c>
      <c r="AW163" s="198">
        <f>IF(AND($B163=" ",$K163=AW$3),$O163,0)</f>
        <v>0</v>
      </c>
      <c r="AX163" s="198">
        <f>IF(AND($B163=" ",$K163=AX$3),$O163,0)</f>
        <v>0</v>
      </c>
      <c r="AY163" s="200">
        <f>IF(AND($B163=" ",$K163=AY$3),$O163,0)</f>
        <v>0</v>
      </c>
      <c r="AZ163" s="201">
        <f>IF(AND($B163=" ",$K163=AZ$3),$O163,0)</f>
        <v>0</v>
      </c>
      <c r="BA163" s="201">
        <f>IF(AND($B163=" ",$K163=BA$3),$O163,0)</f>
        <v>0</v>
      </c>
      <c r="BB163" s="201">
        <f>IF(AND($B163=" ",$K163=BB$3),$O163,0)</f>
        <v>0</v>
      </c>
      <c r="BC163" s="202">
        <f>IF(AND($B163=" ",$K163=BC$3),$O163,0)</f>
        <v>0</v>
      </c>
      <c r="BD163" s="198">
        <f>IF(AND($B163=" ",$K163=BD$3),$O163,0)</f>
        <v>0</v>
      </c>
      <c r="BE163" s="199">
        <f>IF(AND($B163=" ",$K163=BE$3),$O163,0)</f>
        <v>0</v>
      </c>
      <c r="BF163" s="203">
        <f>IF($K163=BF$3,IF($C163="X",0,$O163),0)</f>
        <v>20</v>
      </c>
      <c r="BG163" s="198">
        <f>IF($K163=BG$3,IF($C163="X",0,$O163),0)</f>
        <v>0</v>
      </c>
      <c r="BH163" s="198">
        <f>IF($K163=BH$3,IF($C163="X",0,$O163),0)</f>
        <v>0</v>
      </c>
      <c r="BI163" s="198">
        <f>IF($K163=BI$3,IF($C163="X",0,$O163),0)</f>
        <v>0</v>
      </c>
      <c r="BJ163" s="198">
        <f>IF($K163=BJ$3,IF($C163="X",0,$O163),0)</f>
        <v>0</v>
      </c>
      <c r="BK163" s="198">
        <f>IF($K163=BK$3,IF($C163="X",0,$O163),0)</f>
        <v>0</v>
      </c>
      <c r="BL163" s="198">
        <f>IF($K163=BL$3,IF($C163="X",0,$O163),0)</f>
        <v>0</v>
      </c>
      <c r="BM163" s="200">
        <f>IF($K163=BM$3,IF($C163="X",0,$O163),0)</f>
        <v>0</v>
      </c>
      <c r="BN163" s="201">
        <f>IF($K163=BN$3,IF($C163="X",0,$O163),0)</f>
        <v>0</v>
      </c>
      <c r="BO163" s="201">
        <f>IF($K163=BO$3,IF($C163="X",0,$O163),0)</f>
        <v>0</v>
      </c>
      <c r="BP163" s="201">
        <f>IF($K163=BP$3,IF($C163="X",0,$O163),0)</f>
        <v>0</v>
      </c>
      <c r="BQ163" s="202">
        <f>IF($K163=BQ$3,IF($C163="X",0,$O163),0)</f>
        <v>0</v>
      </c>
      <c r="BR163" s="199">
        <f>IF($K163=BR$3,IF($C163="X",0,$O163),0)</f>
        <v>0</v>
      </c>
      <c r="BS163" s="204">
        <f>IF($B163="LOSS",IF(AND($K163=BS$3,$C163="L"),-$O163,0)+IF(AND($K164=BS$3,$C164="L"),-$O164,0)+IF(AND($K165=BS$3,$C165="L"),-$O165,0),IF(OR(AND($K163=BS$3,OR($C163="W",$C163="1/2W")),AND($K164=BS$3,OR($C164="W",$C164="1/2W")),AND($K165=BS$3,OR($C165="W",$C165="1/2W"))),$S163,0))</f>
        <v>4.43</v>
      </c>
      <c r="BT163" s="201">
        <f>IF($B163="LOSS",IF(AND($K163=BT$3,$C163="L"),-$O163,0)+IF(AND($K164=BT$3,$C164="L"),-$O164,0)+IF(AND($K164=BT$3,$C165="L"),-$O165,0),IF(OR(AND($K164=BT$3,OR($C163="W",$C163="1/2W")),AND($K164=BT$3,OR($C164="W",$C164="1/2W")),AND($K164=BT$3,OR($C165="W",$C165="1/2W"))),$S163,0))</f>
        <v>0</v>
      </c>
      <c r="BU163" s="201">
        <f>IF($B163="LOSS",IF(AND($K163=BU$3,$C163="L"),-$O163,0)+IF(AND($K164=BU$3,$C164="L"),-$O164,0)+IF(AND($K164=BU$3,$C165="L"),-$O165,0),IF(OR(AND($K164=BU$3,OR($C163="W",$C163="1/2W")),AND($K164=BU$3,OR($C164="W",$C164="1/2W")),AND($K164=BU$3,OR($C165="W",$C165="1/2W"))),$S163,0))</f>
        <v>4.43</v>
      </c>
      <c r="BV163" s="201">
        <f>IF($B163="LOSS",IF(AND($K163=BV$3,$C163="L"),-$O163,0)+IF(AND($K164=BV$3,$C164="L"),-$O164,0)+IF(AND($K165=BV$3,$C165="L"),-$O165,0),IF(OR(AND($K163=BV$3,OR($C163="W",$C163="1/2W")),AND($K164=BV$3,OR($C164="W",$C164="1/2W")),AND($K165=BV$3,OR($C165="W",$C165="1/2W"))),$S163,0))</f>
        <v>0</v>
      </c>
      <c r="BW163" s="201">
        <f>IF($B163="LOSS",IF(AND($K163=BW$3,$C163="L"),-$O163,0)+IF(AND($K164=BW$3,$C164="L"),-$O164,0)+IF(AND($K165=BW$3,$C165="L"),-$O165,0),IF(OR(AND($K163=BW$3,OR($C163="W",$C163="1/2W")),AND($K164=BW$3,OR($C164="W",$C164="1/2W")),AND($K165=BW$3,OR($C165="W",$C165="1/2W"))),$S163,0))</f>
        <v>0</v>
      </c>
      <c r="BX163" s="201">
        <f>IF($B163="LOSS",IF(AND($K163=BX$3,$C163="L"),-$O163,0)+IF(AND($K164=BX$3,$C164="L"),-$O164,0)+IF(AND($K165=BX$3,$C165="L"),-$O165,0),IF(OR(AND($K163=BX$3,OR($C163="W",$C163="1/2W")),AND($K164=BX$3,OR($C164="W",$C164="1/2W")),AND($K165=BX$3,OR($C165="W",$C165="1/2W"))),$S163,0))</f>
        <v>0</v>
      </c>
      <c r="BY163" s="201">
        <f>IF($B163="LOSS",IF(AND($K163=BY$3,$C163="L"),-$O163,0)+IF(AND($K164=BY$3,$C164="L"),-$O164,0)+IF(AND($K165=BY$3,$C165="L"),-$O165,0),IF(OR(AND($K163=BY$3,OR($C163="W",$C163="1/2W")),AND($K164=BY$3,OR($C164="W",$C164="1/2W")),AND($K165=BY$3,OR($C165="W",$C165="1/2W"))),$S163,0))</f>
        <v>0</v>
      </c>
      <c r="BZ163" s="205">
        <f>IF($B163="LOSS",IF(AND($K163=BZ$3,$C163="L"),-$O163,0)+IF(AND($K164=BZ$3,$C164="L"),-$O164,0)+IF(AND($K165=BZ$3,$C165="L"),-$O165,0),IF(OR(AND($K163=BZ$3,OR($C163="W",$C163="1/2W")),AND($K164=BZ$3,OR($C164="W",$C164="1/2W")),AND($K165=BZ$3,OR($C165="W",$C165="1/2W"))),$S163,0))</f>
        <v>0</v>
      </c>
      <c r="CA163" s="205">
        <f>IF($B163="LOSS",IF(AND($K163=CA$3,$C163="L"),-$O163,0)+IF(AND($K164=CA$3,$C164="L"),-$O164,0)+IF(AND($K165=CA$3,$C165="L"),-$O165,0),IF(OR(AND($K163=CA$3,OR($C163="W",$C163="1/2W")),AND($K164=CA$3,OR($C164="W",$C164="1/2W")),AND($K165=CA$3,OR($C165="W",$C165="1/2W"))),$S163,0))</f>
        <v>0</v>
      </c>
      <c r="CB163" s="205">
        <f>IF($B163="LOSS",IF(AND($K163=CB$3,$C163="L"),-$O163,0)+IF(AND($K164=CB$3,$C164="L"),-$O164,0)+IF(AND($K165=CB$3,$C165="L"),-$O165,0),IF(OR(AND($K163=CB$3,OR($C163="W",$C163="1/2W")),AND($K164=CB$3,OR($C164="W",$C164="1/2W")),AND($K165=CB$3,OR($C165="W",$C165="1/2W"))),$S163,0))</f>
        <v>0</v>
      </c>
      <c r="CC163" s="205">
        <f>IF($B163="LOSS",IF(AND($K163=CC$3,$C163="L"),-$O163,0)+IF(AND($K164=CC$3,$C164="L"),-$O164,0)+IF(AND($K165=CC$3,$C165="L"),-$O165,0),IF(OR(AND($K163=CC$3,OR($C163="W",$C163="1/2W")),AND($K164=CC$3,OR($C164="W",$C164="1/2W")),AND($K165=CC$3,OR($C165="W",$C165="1/2W"))),$S163,0))</f>
        <v>0</v>
      </c>
      <c r="CD163" s="202">
        <f>IF($B163="LOSS",IF(AND($K163=CD$3,$C163="L"),-$O163,0)+IF(AND($K164=CD$3,$C164="L"),-$O164,0)+IF(AND($K165=CD$3,$C165="L"),-$O165,0),IF(OR(AND($K163=CD$3,OR($C163="W",$C163="1/2W")),AND($K164=CD$3,OR($C164="W",$C164="1/2W")),AND($K165=CD$3,OR($C165="W",$C165="1/2W"))),$S163,0))</f>
        <v>0</v>
      </c>
      <c r="CE163" s="199">
        <f>IF($B163="LOSS",IF(AND($K163=CE$3,$C163="L"),-$O163,0)+IF(AND($K164=CE$3,$C164="L"),-$O164,0)+IF(AND($K165=CE$3,$C165="L"),-$O165,0),IF(OR(AND($K163=CE$3,OR($C163="W",$C163="1/2W")),AND($K164=CE$3,OR($C164="W",$C164="1/2W")),AND($K165=CE$3,OR($C165="W",$C165="1/2W"))),$S163,0))</f>
        <v>0</v>
      </c>
      <c r="CF163" s="206">
        <f>IF(CF$3=$K163,IF($C163="W",1,IF($C163="1/2W",0.5,0)),0)</f>
        <v>1</v>
      </c>
      <c r="CG163" s="207">
        <f>IF(CF$3=$K163,IF($C163="L",1,IF($C163="1/2L",0.5,0)),0)</f>
        <v>0</v>
      </c>
      <c r="CH163" s="207">
        <f>IF(CH$3=$K163,IF($C163="W",1,IF($C163="1/2W",0.5,0)),0)</f>
        <v>0</v>
      </c>
      <c r="CI163" s="207">
        <f>IF(CH$3=$K163,IF($C163="L",1,IF($C163="1/2L",0.5,0)),0)</f>
        <v>0</v>
      </c>
      <c r="CJ163" s="207">
        <f>IF(CJ$3=$K163,IF($C163="W",1,IF($C163="1/2W",0.5,0)),0)</f>
        <v>0</v>
      </c>
      <c r="CK163" s="207">
        <f>IF(CJ$3=$K163,IF($C163="L",1,IF($C163="1/2L",0.5,0)),0)</f>
        <v>0</v>
      </c>
      <c r="CL163" s="207">
        <f>IF(CL$3=$K163,IF($C163="W",1,IF($C163="1/2W",0.5,0)),0)</f>
        <v>0</v>
      </c>
      <c r="CM163" s="207">
        <f>IF(CL$3=$K163,IF($C163="L",1,IF($C163="1/2L",0.5,0)),0)</f>
        <v>0</v>
      </c>
      <c r="CN163" s="207">
        <f>IF(CN$3=$K163,IF($C163="W",1,IF($C163="1/2W",0.5,0)),0)</f>
        <v>0</v>
      </c>
      <c r="CO163" s="207">
        <f>IF(CN$3=$K163,IF($C163="L",1,IF($C163="1/2L",0.5,0)),0)</f>
        <v>0</v>
      </c>
      <c r="CP163" s="207">
        <f>IF(CP$3=$K163,IF($C163="W",1,IF($C163="1/2W",0.5,0)),0)</f>
        <v>0</v>
      </c>
      <c r="CQ163" s="207">
        <f>IF(CP$3=$K163,IF($C163="L",1,IF($C163="1/2L",0.5,0)),0)</f>
        <v>0</v>
      </c>
      <c r="CR163" s="207">
        <f>IF(CR$3=$K163,IF($C163="W",1,IF($C163="1/2W",0.5,0)),0)</f>
        <v>0</v>
      </c>
      <c r="CS163" s="207">
        <f>IF(CR$3=$K163,IF($C163="L",1,IF($C163="1/2L",0.5,0)),0)</f>
        <v>0</v>
      </c>
      <c r="CT163" s="208">
        <f>IF(CT$3=$K163,IF($C163="W",1,IF($C163="1/2W",0.5,0)),0)</f>
        <v>0</v>
      </c>
      <c r="CU163" s="209">
        <f>IF(CT$3=$K163,IF($C163="L",1,IF($C163="1/2L",0.5,0)),0)</f>
        <v>0</v>
      </c>
      <c r="CV163" s="209">
        <f>IF(CV$3=$K163,IF($C163="W",1,IF($C163="1/2W",0.5,0)),0)</f>
        <v>0</v>
      </c>
      <c r="CW163" s="209">
        <f>IF(CV$3=$K163,IF($C163="L",1,IF($C163="1/2L",0.5,0)),0)</f>
        <v>0</v>
      </c>
      <c r="CX163" s="209">
        <f>IF(CX$3=$K163,IF($C163="W",1,IF($C163="1/2W",0.5,0)),0)</f>
        <v>0</v>
      </c>
      <c r="CY163" s="209">
        <f>IF(CX$3=$K163,IF($C163="L",1,IF($C163="1/2L",0.5,0)),0)</f>
        <v>0</v>
      </c>
      <c r="CZ163" s="209">
        <f>IF(CZ$3=$K163,IF($C163="W",1,IF($C163="1/2W",0.5,0)),0)</f>
        <v>0</v>
      </c>
      <c r="DA163" s="209">
        <f>IF(CZ$3=$K163,IF($C163="L",1,IF($C163="1/2L",0.5,0)),0)</f>
        <v>0</v>
      </c>
      <c r="DB163" s="209">
        <f>IF(DB$3=$K163,IF($C163="W",1,IF($C163="1/2W",0.5,0)),0)</f>
        <v>0</v>
      </c>
      <c r="DC163" s="209">
        <f>IF(DB$3=$K163,IF($C163="L",1,IF($C163="1/2L",0.5,0)),0)</f>
        <v>0</v>
      </c>
      <c r="DD163" s="209">
        <f>IF(DD$3=$K163,IF($C163="W",1,IF($C163="1/2W",0.5,0)),0)</f>
        <v>0</v>
      </c>
      <c r="DE163" s="210">
        <f>IF(DD$3=$K163,IF($C163="L",1,IF($C163="1/2L",0.5,0)),0)</f>
        <v>0</v>
      </c>
      <c r="DF163" s="211">
        <f>IF(AND(L163&lt;DF$3,$C163="W"),1+DF162,DF162)</f>
        <v>8</v>
      </c>
      <c r="DG163" s="198">
        <f>IF(DF163&gt;DF162,L163+DG162,DG162)</f>
        <v>10.598</v>
      </c>
      <c r="DH163" s="209">
        <f>IF(AND(L163&gt;DH$3,$C163="W"),1+DH162,0+DH162)</f>
        <v>2</v>
      </c>
      <c r="DI163" s="198">
        <f>IF(DH163&gt;DH162,L163+DI162,DI162)</f>
        <v>11.58</v>
      </c>
      <c r="DJ163" t="s" s="306">
        <f>IF($D163="","",$D163)</f>
        <v>184</v>
      </c>
      <c r="DK163" s="209">
        <f>IF(AND($B163=" ",$D163&lt;&gt;""),1,0)</f>
        <v>0</v>
      </c>
    </row>
    <row r="164" ht="14.55" customHeight="1">
      <c r="A164" s="107"/>
      <c r="B164" s="108"/>
      <c r="C164" t="s" s="213">
        <v>51</v>
      </c>
      <c r="D164" s="110"/>
      <c r="E164" s="111"/>
      <c r="F164" s="113"/>
      <c r="G164" s="214"/>
      <c r="H164" s="114"/>
      <c r="I164" t="s" s="215">
        <v>67</v>
      </c>
      <c r="J164" s="296">
        <f>IF(OR(I163="TO",I163="TU",I163="TO1",I163="TU1",I163="TO2",I163="TU2"),J163,IF(OR(I163="AH1",I163="AH2"),IF(OR(I164="AH1",I164="AH2"),-J163,IF(OR(I164="EH1",I164="EH2"),-J163+0.5,"")),IF(OR(I163="EH1",I163="EH2"),IF(OR(I164="AH1",I164="AH2"),-J163+0.5,IF(OR(I164="EH1",I164="EH2"),-J163+1,"")),IF(AND(OR(I163="DNB1",I163="DNB2"),OR(I164="AH1",I164="AH2")),0,IF(AND(I163="Not ScoreBoth",OR(I164="TO1",I164="TO2")),0.5,"")))))</f>
        <v>4.5</v>
      </c>
      <c r="K164" t="s" s="217">
        <v>39</v>
      </c>
      <c r="L164" s="218">
        <v>3</v>
      </c>
      <c r="M164" s="219"/>
      <c r="N164" s="120"/>
      <c r="O164" s="220">
        <f>IF(OR(AE163="",AE164=""),"",ROUND(IF(L165&gt;0,IF(M164&gt;0,M164,IF(M163&gt;0,IF(N163=TRUE,ROUND((M163*AE164)/AE163,0),(M163*AE164)/AE163),IF(M164&gt;0,ROUND(M164,IF(N163=0,2,IF(N163=0.1,1,0))),IF(M165&gt;0,ROUND(O165*AE164/AE165,IF(N163=0,2,IF(N163=0.1,1,0))),0)))),IF(M164&gt;0,M164,ROUND((M163*AE164)/AE163,IF(N163=0,2,IF(N163=0.1,1,0))))),2))</f>
        <v>13.07</v>
      </c>
      <c r="P164" s="221">
        <f>IF(OR(L164="",O164=""),"",IF($C164="1/2W",O164/2+O164/2*L164,IF($C164="1/2L",O164/2,IF(I164="Lay",((O164*(L164/(L164-1)))-O164)*(1-_xlfn.XLOOKUP(K164,'Janeiro 2023 - Valor Real'!A3:A15,'Janeiro 2023 - Valor Real'!C3:C15,0))+O164,(O164*L164-O164)*(1-_xlfn.XLOOKUP(K164,'Janeiro 2023 - Valor Real'!A3:A15,'Janeiro 2023 - Valor Real'!C3:C15,0))+O164))))</f>
        <v>37.5109</v>
      </c>
      <c r="Q164" s="222">
        <f>IF(K164="","",IF(_xlfn.XLOOKUP(K164,K80:K$85,DJ80:DJ$85,0,,-1)=DJ164,_xlfn.XLOOKUP(K164,K80:K$85,Q80:Q$85,1,,-1)+1,1))</f>
        <v>1</v>
      </c>
      <c r="R164" s="223">
        <f>IF(K164="","",_xlfn.XLOOKUP(K164,K80:K$85,R80:R$85,0,,-1)+IF($C164=" ",1,0))</f>
        <v>0</v>
      </c>
      <c r="S164" s="125"/>
      <c r="T164" s="126"/>
      <c r="U164" s="126"/>
      <c r="V164" s="224"/>
      <c r="W164" s="126"/>
      <c r="X164" s="127"/>
      <c r="Y164" s="128"/>
      <c r="Z164" s="129"/>
      <c r="AA164" s="129"/>
      <c r="AB164" s="129"/>
      <c r="AC164" s="129"/>
      <c r="AD164" s="225">
        <f>(((L164/(L164-1)-1)*(1-_xlfn.XLOOKUP(K164,'Janeiro 2023 - Valor Real'!A3:A15,'Janeiro 2023 - Valor Real'!C3:C15,0))+1))</f>
        <v>1.4675</v>
      </c>
      <c r="AE164" s="226">
        <f>IF(L164="","",IF(L165&gt;0,(SUM(((L163-1)*(1-_xlfn.XLOOKUP(K163,'Janeiro 2023 - Valor Real'!A3:A15,'Janeiro 2023 - Valor Real'!C3:C15,0))+1),((L164-1)*(1-_xlfn.XLOOKUP(K164,'Janeiro 2023 - Valor Real'!A3:A15,'Janeiro 2023 - Valor Real'!C3:C15,0))+1),((L165-1)*(1-_xlfn.XLOOKUP(K165,'Janeiro 2023 - Valor Real'!A3:A15,'Janeiro 2023 - Valor Real'!C3:C15,0))+1))/((L164-1)*(1-_xlfn.XLOOKUP(K164,'Janeiro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Real'!C3:C15,0))+1))/((L163-1)*(1-_xlfn.XLOOKUP(K163,'Janeiro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Real'!C3:C15,0))+1))/((L164-1)*(1-_xlfn.XLOOKUP(K164,'Janeiro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Real'!C3:C15,0))+1))/((L165-1)*(1-_xlfn.XLOOKUP(K165,'Janeiro 2023 - Valor Real'!A3:A15,'Janeiro 2023 - Valor Real'!C3:C15,0))+1)),IF(I164="Lay",IF(I163="Lay",((L163/(L163-1)-1)*(1-_xlfn.XLOOKUP(K163,'Janeiro 2023 - Valor Real'!A3:A15,'Janeiro 2023 - Valor Real'!C3:C15,0))+1)/(((L163/(L163-1)-1)*(1-_xlfn.XLOOKUP(K163,'Janeiro 2023 - Valor Real'!A3:A15,'Janeiro 2023 - Valor Real'!C3:C15,0))+1)+((L164/(L164-1)-1)*(1-_xlfn.XLOOKUP(K164,'Janeiro 2023 - Valor Real'!A3:A15,'Janeiro 2023 - Valor Real'!C3:C15,0))+1)),((L163-1)*(1-_xlfn.XLOOKUP(K163,'Janeiro 2023 - Valor Real'!A3:A15,'Janeiro 2023 - Valor Real'!C3:C15,0))+1)/(((L163-1)*(1-_xlfn.XLOOKUP(K163,'Janeiro 2023 - Valor Real'!A3:A15,'Janeiro 2023 - Valor Real'!C3:C15,0))+1)+((L164/(L164-1)-1)*(1-_xlfn.XLOOKUP(K164,'Janeiro 2023 - Valor Real'!A3:A15,'Janeiro 2023 - Valor Real'!C3:C15,0))+1))),IF(I163="Lay",((L163/(L163-1)-1)*(1-_xlfn.XLOOKUP(K163,'Janeiro 2023 - Valor Real'!A3:A15,'Janeiro 2023 - Valor Real'!C3:C15,0))+1)/((((L163/(L163-1)-1)*(1-_xlfn.XLOOKUP(K163,'Janeiro 2023 - Valor Real'!A3:A15,'Janeiro 2023 - Valor Real'!C3:C15,0))+1))+((L164-1)*(1-_xlfn.XLOOKUP(K164,'Janeiro 2023 - Valor Real'!A3:A15,'Janeiro 2023 - Valor Real'!C3:C15,0))+1)),((L163-1)*(1-_xlfn.XLOOKUP(K163,'Janeiro 2023 - Valor Real'!A3:A15,'Janeiro 2023 - Valor Real'!C3:C15,0))+1)/(((L163-1)*(1-_xlfn.XLOOKUP(K163,'Janeiro 2023 - Valor Real'!A3:A15,'Janeiro 2023 - Valor Real'!C3:C15,0))+1)+((L164-1)*(1-_xlfn.XLOOKUP(K164,'Janeiro 2023 - Valor Real'!A3:A15,'Janeiro 2023 - Valor Real'!C3:C15,0))+1))))))</f>
        <v>0.395152792413066</v>
      </c>
      <c r="AF164" s="197">
        <f>IF($K164=AF$3,ROUND(IF(OR($C164="W",$C164="1/2W",$C164="1/2L"),$P164-$O164,IF($C164="X",0,-$O164)),2),0)</f>
        <v>0</v>
      </c>
      <c r="AG164" s="198">
        <f>IF($K164=AG$3,ROUND(IF(OR($C164="W",$C164="1/2W",$C164="1/2L"),$P164-$O164,IF($C164="X",0,-$O164)),2),0)</f>
        <v>0</v>
      </c>
      <c r="AH164" s="198">
        <f>IF($K164=AH$3,ROUND(IF(OR($C164="W",$C164="1/2W",$C164="1/2L"),$P164-$O164,IF($C164="X",0,-$O164)),2),0)</f>
        <v>-13.07</v>
      </c>
      <c r="AI164" s="198">
        <f>IF($K164=AI$3,ROUND(IF(OR($C164="W",$C164="1/2W",$C164="1/2L"),$P164-$O164,IF($C164="X",0,-$O164)),2),0)</f>
        <v>0</v>
      </c>
      <c r="AJ164" s="198">
        <f>IF($K164=AJ$3,ROUND(IF(OR($C164="W",$C164="1/2W",$C164="1/2L"),$P164-$O164,IF($C164="X",0,-$O164)),2),0)</f>
        <v>0</v>
      </c>
      <c r="AK164" s="198">
        <f>IF($K164=AK$3,ROUND(IF(OR($C164="W",$C164="1/2W",$C164="1/2L"),$P164-$O164,IF($C164="X",0,-$O164)),2),0)</f>
        <v>0</v>
      </c>
      <c r="AL164" s="198">
        <f>IF($K164=AL$3,ROUND(IF(OR($C164="W",$C164="1/2W",$C164="1/2L"),$P164-$O164,IF($C164="X",0,-$O164)),2),0)</f>
        <v>0</v>
      </c>
      <c r="AM164" s="198">
        <f>IF($K164=AM$3,ROUND(IF(OR($C164="W",$C164="1/2W",$C164="1/2L"),$P164-$O164,IF($C164="X",0,-$O164)),2),0)</f>
        <v>0</v>
      </c>
      <c r="AN164" s="198">
        <f>IF($K164=AN$3,ROUND(IF(OR($C164="W",$C164="1/2W",$C164="1/2L"),$P164-$O164,IF($C164="X",0,-$O164)),2),0)</f>
        <v>0</v>
      </c>
      <c r="AO164" s="198">
        <f>IF($K164=AO$3,ROUND(IF(OR($C164="W",$C164="1/2W",$C164="1/2L"),$P164-$O164,IF($C164="X",0,-$O164)),2),0)</f>
        <v>0</v>
      </c>
      <c r="AP164" s="198">
        <f>IF($K164=AP$3,ROUND(IF(OR($C164="W",$C164="1/2W",$C164="1/2L"),$P164-$O164,IF($C164="X",0,-$O164)),2),0)</f>
        <v>0</v>
      </c>
      <c r="AQ164" s="198">
        <f>IF($K164=AQ$3,ROUND(IF(OR($C164="W",$C164="1/2W",$C164="1/2L"),$P164-$O164,IF($C164="X",0,-$O164)),2),0)</f>
        <v>0</v>
      </c>
      <c r="AR164" s="199">
        <f>IF($K164=AR$3,ROUND(IF(OR($C164="W",$C164="1/2W",$C164="1/2L"),$P164-$O164,IF($C164="X",0,-$O164)),2),0)</f>
        <v>0</v>
      </c>
      <c r="AS164" s="197">
        <f>IF(AND($B163=" ",$K164=AS$3),$O164,0)</f>
        <v>0</v>
      </c>
      <c r="AT164" s="198">
        <f>IF(AND($B163=" ",K164=AT$3),$O164,0)</f>
        <v>0</v>
      </c>
      <c r="AU164" s="198">
        <f>IF(AND($B163=" ",$K164=AU$3),$O164,0)</f>
        <v>0</v>
      </c>
      <c r="AV164" s="198">
        <f>IF(AND($B163=" ",$K164=AV$3),$O164,0)</f>
        <v>0</v>
      </c>
      <c r="AW164" s="198">
        <f>IF(AND($B163=" ",$K164=AW$3),$O164,0)</f>
        <v>0</v>
      </c>
      <c r="AX164" s="198">
        <f>IF(AND($B163=" ",$K164=AX$3),$O164,0)</f>
        <v>0</v>
      </c>
      <c r="AY164" s="200">
        <f>IF(AND($B163=" ",$K164=AY$3),$O164,0)</f>
        <v>0</v>
      </c>
      <c r="AZ164" s="201">
        <f>IF(AND($B163=" ",$K164=AZ$3),$O164,0)</f>
        <v>0</v>
      </c>
      <c r="BA164" s="201">
        <f>IF(AND($B163=" ",$K164=BA$3),$O164,0)</f>
        <v>0</v>
      </c>
      <c r="BB164" s="201">
        <f>IF(AND($B163=" ",$K164=BB$3),$O164,0)</f>
        <v>0</v>
      </c>
      <c r="BC164" s="202">
        <f>IF(AND($B163=" ",$K164=BC$3),$O164,0)</f>
        <v>0</v>
      </c>
      <c r="BD164" s="198">
        <f>IF(AND($B163=" ",$K164=BD$3),$O164,0)</f>
        <v>0</v>
      </c>
      <c r="BE164" s="199">
        <f>IF(AND($B163=" ",$K164=BE$3),$O164,0)</f>
        <v>0</v>
      </c>
      <c r="BF164" s="197">
        <f>IF($K164=BF$3,IF($C164="X",0,$O164),0)</f>
        <v>0</v>
      </c>
      <c r="BG164" s="198">
        <f>IF($K164=BG$3,IF($C164="X",0,$O164),0)</f>
        <v>0</v>
      </c>
      <c r="BH164" s="198">
        <f>IF($K164=BH$3,IF($C164="X",0,$O164),0)</f>
        <v>13.07</v>
      </c>
      <c r="BI164" s="198">
        <f>IF($K164=BI$3,IF($C164="X",0,$O164),0)</f>
        <v>0</v>
      </c>
      <c r="BJ164" s="198">
        <f>IF($K164=BJ$3,IF($C164="X",0,$O164),0)</f>
        <v>0</v>
      </c>
      <c r="BK164" s="198">
        <f>IF($K164=BK$3,IF($C164="X",0,$O164),0)</f>
        <v>0</v>
      </c>
      <c r="BL164" s="198">
        <f>IF($K164=BL$3,IF($C164="X",0,$O164),0)</f>
        <v>0</v>
      </c>
      <c r="BM164" s="227">
        <f>IF($K164=BM$3,IF($C164="X",0,$O164),0)</f>
        <v>0</v>
      </c>
      <c r="BN164" s="205">
        <f>IF($K164=BN$3,IF($C164="X",0,$O164),0)</f>
        <v>0</v>
      </c>
      <c r="BO164" s="205">
        <f>IF($K164=BO$3,IF($C164="X",0,$O164),0)</f>
        <v>0</v>
      </c>
      <c r="BP164" s="205">
        <f>IF($K164=BP$3,IF($C164="X",0,$O164),0)</f>
        <v>0</v>
      </c>
      <c r="BQ164" s="202">
        <f>IF($K164=BQ$3,IF($C164="X",0,$O164),0)</f>
        <v>0</v>
      </c>
      <c r="BR164" s="199">
        <f>IF($K164=BR$3,IF($C164="X",0,$O164),0)</f>
        <v>0</v>
      </c>
      <c r="BS164" s="228"/>
      <c r="BT164" s="229"/>
      <c r="BU164" s="140"/>
      <c r="BV164" s="229"/>
      <c r="BW164" s="140"/>
      <c r="BX164" s="140"/>
      <c r="BY164" s="140"/>
      <c r="BZ164" s="229"/>
      <c r="CA164" s="140"/>
      <c r="CB164" s="140"/>
      <c r="CC164" s="140"/>
      <c r="CD164" s="141"/>
      <c r="CE164" s="142"/>
      <c r="CF164" s="230">
        <f>IF(CF$3=$K164,IF($C164="W",1,IF($C164="1/2W",0.5,0)),0)</f>
        <v>0</v>
      </c>
      <c r="CG164" s="231">
        <f>IF(CF$3=$K164,IF($C164="L",1,IF($C164="1/2L",0.5,0)),0)</f>
        <v>0</v>
      </c>
      <c r="CH164" s="231">
        <f>IF(CH$3=$K164,IF($C164="W",1,IF($C164="1/2W",0.5,0)),0)</f>
        <v>0</v>
      </c>
      <c r="CI164" s="231">
        <f>IF(CH$3=$K164,IF($C164="L",1,IF($C164="1/2L",0.5,0)),0)</f>
        <v>0</v>
      </c>
      <c r="CJ164" s="231">
        <f>IF(CJ$3=$K164,IF($C164="W",1,IF($C164="1/2W",0.5,0)),0)</f>
        <v>0</v>
      </c>
      <c r="CK164" s="231">
        <f>IF(CJ$3=$K164,IF($C164="L",1,IF($C164="1/2L",0.5,0)),0)</f>
        <v>1</v>
      </c>
      <c r="CL164" s="231">
        <f>IF(CL$3=$K164,IF($C164="W",1,IF($C164="1/2W",0.5,0)),0)</f>
        <v>0</v>
      </c>
      <c r="CM164" s="231">
        <f>IF(CL$3=$K164,IF($C164="L",1,IF($C164="1/2L",0.5,0)),0)</f>
        <v>0</v>
      </c>
      <c r="CN164" s="231">
        <f>IF(CN$3=$K164,IF($C164="W",1,IF($C164="1/2W",0.5,0)),0)</f>
        <v>0</v>
      </c>
      <c r="CO164" s="231">
        <f>IF(CN$3=$K164,IF($C164="L",1,IF($C164="1/2L",0.5,0)),0)</f>
        <v>0</v>
      </c>
      <c r="CP164" s="231">
        <f>IF(CP$3=$K164,IF($C164="W",1,IF($C164="1/2W",0.5,0)),0)</f>
        <v>0</v>
      </c>
      <c r="CQ164" s="231">
        <f>IF(CP$3=$K164,IF($C164="L",1,IF($C164="1/2L",0.5,0)),0)</f>
        <v>0</v>
      </c>
      <c r="CR164" s="231">
        <f>IF(CR$3=$K164,IF($C164="W",1,IF($C164="1/2W",0.5,0)),0)</f>
        <v>0</v>
      </c>
      <c r="CS164" s="231">
        <f>IF(CR$3=$K164,IF($C164="L",1,IF($C164="1/2L",0.5,0)),0)</f>
        <v>0</v>
      </c>
      <c r="CT164" s="208">
        <f>IF(CT$3=$K164,IF($C164="W",1,IF($C164="1/2W",0.5,0)),0)</f>
        <v>0</v>
      </c>
      <c r="CU164" s="209">
        <f>IF(CT$3=$K164,IF($C164="L",1,IF($C164="1/2L",0.5,0)),0)</f>
        <v>0</v>
      </c>
      <c r="CV164" s="209">
        <f>IF(CV$3=$K164,IF($C164="W",1,IF($C164="1/2W",0.5,0)),0)</f>
        <v>0</v>
      </c>
      <c r="CW164" s="209">
        <f>IF(CV$3=$K164,IF($C164="L",1,IF($C164="1/2L",0.5,0)),0)</f>
        <v>0</v>
      </c>
      <c r="CX164" s="209">
        <f>IF(CX$3=$K164,IF($C164="W",1,IF($C164="1/2W",0.5,0)),0)</f>
        <v>0</v>
      </c>
      <c r="CY164" s="209">
        <f>IF(CX$3=$K164,IF($C164="L",1,IF($C164="1/2L",0.5,0)),0)</f>
        <v>0</v>
      </c>
      <c r="CZ164" s="209">
        <f>IF(CZ$3=$K164,IF($C164="W",1,IF($C164="1/2W",0.5,0)),0)</f>
        <v>0</v>
      </c>
      <c r="DA164" s="209">
        <f>IF(CZ$3=$K164,IF($C164="L",1,IF($C164="1/2L",0.5,0)),0)</f>
        <v>0</v>
      </c>
      <c r="DB164" s="209">
        <f>IF(DB$3=$K164,IF($C164="W",1,IF($C164="1/2W",0.5,0)),0)</f>
        <v>0</v>
      </c>
      <c r="DC164" s="209">
        <f>IF(DB$3=$K164,IF($C164="L",1,IF($C164="1/2L",0.5,0)),0)</f>
        <v>0</v>
      </c>
      <c r="DD164" s="209">
        <f>IF(DD$3=$K164,IF($C164="W",1,IF($C164="1/2W",0.5,0)),0)</f>
        <v>0</v>
      </c>
      <c r="DE164" s="210">
        <f>IF(DD$3=$K164,IF($C164="L",1,IF($C164="1/2L",0.5,0)),0)</f>
        <v>0</v>
      </c>
      <c r="DF164" s="211">
        <f>IF(AND(L164&lt;DF$3,$C164="W"),1+DF163,DF163)</f>
        <v>8</v>
      </c>
      <c r="DG164" s="198">
        <f>IF(DF164&gt;DF163,L164+DG163,DG163)</f>
        <v>10.598</v>
      </c>
      <c r="DH164" s="209">
        <f>IF(AND(L164&gt;DH$3,$C164="W"),1+DH163,0+DH163)</f>
        <v>2</v>
      </c>
      <c r="DI164" s="198">
        <f>IF(DH164&gt;DH163,L164+DI163,DI163)</f>
        <v>11.58</v>
      </c>
      <c r="DJ164" t="s" s="306">
        <f>IF($D163="","",$D163)</f>
        <v>184</v>
      </c>
      <c r="DK164" s="232"/>
    </row>
    <row r="165" ht="14.55" customHeight="1">
      <c r="A165" s="149"/>
      <c r="B165" s="150"/>
      <c r="C165" t="s" s="233">
        <v>58</v>
      </c>
      <c r="D165" s="152"/>
      <c r="E165" s="153"/>
      <c r="F165" s="155"/>
      <c r="G165" s="234"/>
      <c r="H165" s="156"/>
      <c r="I165" s="235"/>
      <c r="J165" s="236"/>
      <c r="K165" s="237"/>
      <c r="L165" s="238"/>
      <c r="M165" s="239"/>
      <c r="N165" s="161"/>
      <c r="O165" t="s" s="240">
        <f>IF(OR(AE163="",AE164=""),"",IF(L165&gt;0,ROUND(IF(M165&gt;0,M165,IF(M163&gt;0,ROUND((M163*AE165)/AE163,IF(N163=0,2,IF(N163=0.1,1,0))),IF(M164&gt;0,ROUND((M164*AE165)/AE164,IF(N163=0,2,IF(N163=0.1,1,0))),IF(M165&gt;0,M165,0)))),2),""))</f>
      </c>
      <c r="P165" t="s" s="241">
        <f>IF(I164="Lay",O164*(L164/(L164-1))-O164,IF(I163="Lay",O163*(L163/(L163-1))-O163,IF(OR(L165="",O165=""),"",IF($C165="1/2W",O165/2+O165/2*L165,IF($C165="1/2L",O165/2,(O165*L165-O165)*(1-_xlfn.XLOOKUP(K165,'Janeiro 2023 - Valor Real'!A3:A15,'Janeiro 2023 - Valor Real'!C3:C15,0))+O165)))))</f>
      </c>
      <c r="Q165" t="s" s="242">
        <f>IF(K165="","",IF(_xlfn.XLOOKUP(K165,K80:K$86,DJ80:DJ$86,0,,-1)=DJ165,_xlfn.XLOOKUP(K165,K80:K$86,Q80:Q$86,1,,-1)+1,1))</f>
      </c>
      <c r="R165" t="s" s="243">
        <f>IF(K165="","",_xlfn.XLOOKUP(K165,K80:K$86,R80:R$86,0,,-1)+IF($C165=" ",1,0))</f>
      </c>
      <c r="S165" s="166"/>
      <c r="T165" s="155"/>
      <c r="U165" s="155"/>
      <c r="V165" s="166"/>
      <c r="W165" s="155"/>
      <c r="X165" s="167"/>
      <c r="Y165" s="128"/>
      <c r="Z165" s="129"/>
      <c r="AA165" s="129"/>
      <c r="AB165" s="129"/>
      <c r="AC165" s="129"/>
      <c r="AD165" s="244">
        <f>((L164/(L164-1)-1))</f>
        <v>0.5</v>
      </c>
      <c r="AE165" t="s" s="245">
        <f>IF(L165="","",(SUM(((L163-1)*(1-_xlfn.XLOOKUP(K163,'Janeiro 2023 - Valor Real'!A3:A15,'Janeiro 2023 - Valor Real'!C3:C15,0))+1),((L164-1)*(1-_xlfn.XLOOKUP(K164,'Janeiro 2023 - Valor Real'!A3:A15,'Janeiro 2023 - Valor Real'!C3:C15,0))+1),((L165-1)*(1-_xlfn.XLOOKUP(K165,'Janeiro 2023 - Valor Real'!A3:A15,'Janeiro 2023 - Valor Real'!C3:C15,0))+1))/((L165-1)*(1-_xlfn.XLOOKUP(K165,'Janeiro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Real'!C3:C15,0))+1))/((L163-1)*(1-_xlfn.XLOOKUP(K163,'Janeiro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Real'!C3:C15,0))+1))/((L164-1)*(1-_xlfn.XLOOKUP(K164,'Janeiro 2023 - Valor Real'!A3:A15,'Janeiro 2023 - Valor Real'!C3:C15,0))+1)+SUM(((L163-1)*(1-_xlfn.XLOOKUP(K163,'Janeiro 2023 - Valor Real'!A3:A15,'Janeiro 2023 - Valor Real'!C3:C15,0))+1),((L164-1)*(1-_xlfn.XLOOKUP(K164,'Janeiro 2023 - Valor Real'!A3:A15,'Janeiro 2023 - Valor Real'!C3:C15,0))+1),((L165-1)*(1-_xlfn.XLOOKUP(K165,'Janeiro 2023 - Valor Real'!A3:A15,'Janeiro 2023 - Valor Real'!C3:C15,0))+1))/((L165-1)*(1-_xlfn.XLOOKUP(K165,'Janeiro 2023 - Valor Real'!A3:A15,'Janeiro 2023 - Valor Real'!C3:C15,0))+1)))</f>
      </c>
      <c r="AF165" s="197">
        <f>IF($K165=AF$3,ROUND(IF(OR($C165="W",$C165="1/2W",$C165="1/2L"),$P165-$O165,IF($C165="X",0,-$O165)),2),0)</f>
        <v>0</v>
      </c>
      <c r="AG165" s="198">
        <f>IF($K165=AG$3,ROUND(IF(OR($C165="W",$C165="1/2W",$C165="1/2L"),$P165-$O165,IF($C165="X",0,-$O165)),2),0)</f>
        <v>0</v>
      </c>
      <c r="AH165" s="198">
        <f>IF($K165=AH$3,ROUND(IF(OR($C165="W",$C165="1/2W",$C165="1/2L"),$P165-$O165,IF($C165="X",0,-$O165)),2),0)</f>
        <v>0</v>
      </c>
      <c r="AI165" s="198">
        <f>IF($K165=AI$3,ROUND(IF(OR($C165="W",$C165="1/2W",$C165="1/2L"),$P165-$O165,IF($C165="X",0,-$O165)),2),0)</f>
        <v>0</v>
      </c>
      <c r="AJ165" s="198">
        <f>IF($K165=AJ$3,ROUND(IF(OR($C165="W",$C165="1/2W",$C165="1/2L"),$P165-$O165,IF($C165="X",0,-$O165)),2),0)</f>
        <v>0</v>
      </c>
      <c r="AK165" s="198">
        <f>IF($K165=AK$3,ROUND(IF(OR($C165="W",$C165="1/2W",$C165="1/2L"),$P165-$O165,IF($C165="X",0,-$O165)),2),0)</f>
        <v>0</v>
      </c>
      <c r="AL165" s="198">
        <f>IF($K165=AL$3,ROUND(IF(OR($C165="W",$C165="1/2W",$C165="1/2L"),$P165-$O165,IF($C165="X",0,-$O165)),2),0)</f>
        <v>0</v>
      </c>
      <c r="AM165" s="198">
        <f>IF($K165=AM$3,ROUND(IF(OR($C165="W",$C165="1/2W",$C165="1/2L"),$P165-$O165,IF($C165="X",0,-$O165)),2),0)</f>
        <v>0</v>
      </c>
      <c r="AN165" s="198">
        <f>IF($K165=AN$3,ROUND(IF(OR($C165="W",$C165="1/2W",$C165="1/2L"),$P165-$O165,IF($C165="X",0,-$O165)),2),0)</f>
        <v>0</v>
      </c>
      <c r="AO165" s="198">
        <f>IF($K165=AO$3,ROUND(IF(OR($C165="W",$C165="1/2W",$C165="1/2L"),$P165-$O165,IF($C165="X",0,-$O165)),2),0)</f>
        <v>0</v>
      </c>
      <c r="AP165" s="198">
        <f>IF($K165=AP$3,ROUND(IF(OR($C165="W",$C165="1/2W",$C165="1/2L"),$P165-$O165,IF($C165="X",0,-$O165)),2),0)</f>
        <v>0</v>
      </c>
      <c r="AQ165" s="198">
        <f>IF($K165=AQ$3,ROUND(IF(OR($C165="W",$C165="1/2W",$C165="1/2L"),$P165-$O165,IF($C165="X",0,-$O165)),2),0)</f>
        <v>0</v>
      </c>
      <c r="AR165" s="199">
        <f>IF($K165=AR$3,ROUND(IF(OR($C165="W",$C165="1/2W",$C165="1/2L"),$P165-$O165,IF($C165="X",0,-$O165)),2),0)</f>
        <v>0</v>
      </c>
      <c r="AS165" s="197">
        <f>IF(AND($B163=" ",$K165=AS$3),$O165,0)</f>
        <v>0</v>
      </c>
      <c r="AT165" s="198">
        <f>IF(AND($B163=" ",K165=AT$3),$O165,0)</f>
        <v>0</v>
      </c>
      <c r="AU165" s="198">
        <f>IF(AND($B163=" ",$K165=AU$3),$O165,0)</f>
        <v>0</v>
      </c>
      <c r="AV165" s="198">
        <f>IF(AND($B163=" ",$K165=AV$3),$O165,0)</f>
        <v>0</v>
      </c>
      <c r="AW165" s="198">
        <f>IF(AND($B163=" ",$K165=AW$3),$O165,0)</f>
        <v>0</v>
      </c>
      <c r="AX165" s="198">
        <f>IF(AND($B163=" ",$K165=AX$3),$O165,0)</f>
        <v>0</v>
      </c>
      <c r="AY165" s="200">
        <f>IF(AND($B163=" ",$K165=AY$3),$O165,0)</f>
        <v>0</v>
      </c>
      <c r="AZ165" s="201">
        <f>IF(AND($B163=" ",$K165=AZ$3),$O165,0)</f>
        <v>0</v>
      </c>
      <c r="BA165" s="201">
        <f>IF(AND($B163=" ",$K165=BA$3),$O165,0)</f>
        <v>0</v>
      </c>
      <c r="BB165" s="201">
        <f>IF(AND($B163=" ",$K165=BB$3),$O165,0)</f>
        <v>0</v>
      </c>
      <c r="BC165" s="202">
        <f>IF(AND($B163=" ",$K165=BC$3),$O165,0)</f>
        <v>0</v>
      </c>
      <c r="BD165" s="198">
        <f>IF(AND($B163=" ",$K165=BD$3),$O165,0)</f>
        <v>0</v>
      </c>
      <c r="BE165" s="199">
        <f>IF(AND($B163=" ",$K165=BE$3),$O165,0)</f>
        <v>0</v>
      </c>
      <c r="BF165" s="197">
        <f>IF($K165=BF$3,IF($C165="X",0,$O165),0)</f>
        <v>0</v>
      </c>
      <c r="BG165" s="198">
        <f>IF($K165=BG$3,IF($C165="X",0,$O165),0)</f>
        <v>0</v>
      </c>
      <c r="BH165" s="198">
        <f>IF($K165=BH$3,IF($C165="X",0,$O165),0)</f>
        <v>0</v>
      </c>
      <c r="BI165" s="198">
        <f>IF($K165=BI$3,IF($C165="X",0,$O165),0)</f>
        <v>0</v>
      </c>
      <c r="BJ165" s="198">
        <f>IF($K165=BJ$3,IF($C165="X",0,$O165),0)</f>
        <v>0</v>
      </c>
      <c r="BK165" s="198">
        <f>IF($K165=BK$3,IF($C165="X",0,$O165),0)</f>
        <v>0</v>
      </c>
      <c r="BL165" s="198">
        <f>IF($K165=BL$3,IF($C165="X",0,$O165),0)</f>
        <v>0</v>
      </c>
      <c r="BM165" s="200">
        <f>IF($K165=BM$3,IF($C165="X",0,$O165),0)</f>
        <v>0</v>
      </c>
      <c r="BN165" s="201">
        <f>IF($K165=BN$3,IF($C165="X",0,$O165),0)</f>
        <v>0</v>
      </c>
      <c r="BO165" s="201">
        <f>IF($K165=BO$3,IF($C165="X",0,$O165),0)</f>
        <v>0</v>
      </c>
      <c r="BP165" s="201">
        <f>IF($K165=BP$3,IF($C165="X",0,$O165),0)</f>
        <v>0</v>
      </c>
      <c r="BQ165" s="202">
        <f>IF($K165=BQ$3,IF($C165="X",0,$O165),0)</f>
        <v>0</v>
      </c>
      <c r="BR165" s="199">
        <f>IF($K165=BR$3,IF($C165="X",0,$O165),0)</f>
        <v>0</v>
      </c>
      <c r="BS165" s="228"/>
      <c r="BT165" s="229"/>
      <c r="BU165" s="140"/>
      <c r="BV165" s="229"/>
      <c r="BW165" s="140"/>
      <c r="BX165" s="140"/>
      <c r="BY165" s="140"/>
      <c r="BZ165" s="229"/>
      <c r="CA165" s="140"/>
      <c r="CB165" s="140"/>
      <c r="CC165" s="140"/>
      <c r="CD165" s="141"/>
      <c r="CE165" s="142"/>
      <c r="CF165" s="230">
        <f>IF(CF$3=$K165,IF($C165="W",1,IF($C165="1/2W",0.5,0)),0)</f>
        <v>0</v>
      </c>
      <c r="CG165" s="231">
        <f>IF(CF$3=$K165,IF($C165="L",1,IF($C165="1/2L",0.5,0)),0)</f>
        <v>0</v>
      </c>
      <c r="CH165" s="231">
        <f>IF(CH$3=$K165,IF($C165="W",1,IF($C165="1/2W",0.5,0)),0)</f>
        <v>0</v>
      </c>
      <c r="CI165" s="231">
        <f>IF(CH$3=$K165,IF($C165="L",1,IF($C165="1/2L",0.5,0)),0)</f>
        <v>0</v>
      </c>
      <c r="CJ165" s="231">
        <f>IF(CJ$3=$K165,IF($C165="W",1,IF($C165="1/2W",0.5,0)),0)</f>
        <v>0</v>
      </c>
      <c r="CK165" s="231">
        <f>IF(CJ$3=$K165,IF($C165="L",1,IF($C165="1/2L",0.5,0)),0)</f>
        <v>0</v>
      </c>
      <c r="CL165" s="231">
        <f>IF(CL$3=$K165,IF($C165="W",1,IF($C165="1/2W",0.5,0)),0)</f>
        <v>0</v>
      </c>
      <c r="CM165" s="231">
        <f>IF(CL$3=$K165,IF($C165="L",1,IF($C165="1/2L",0.5,0)),0)</f>
        <v>0</v>
      </c>
      <c r="CN165" s="231">
        <f>IF(CN$3=$K165,IF($C165="W",1,IF($C165="1/2W",0.5,0)),0)</f>
        <v>0</v>
      </c>
      <c r="CO165" s="231">
        <f>IF(CN$3=$K165,IF($C165="L",1,IF($C165="1/2L",0.5,0)),0)</f>
        <v>0</v>
      </c>
      <c r="CP165" s="231">
        <f>IF(CP$3=$K165,IF($C165="W",1,IF($C165="1/2W",0.5,0)),0)</f>
        <v>0</v>
      </c>
      <c r="CQ165" s="231">
        <f>IF(CP$3=$K165,IF($C165="L",1,IF($C165="1/2L",0.5,0)),0)</f>
        <v>0</v>
      </c>
      <c r="CR165" s="231">
        <f>IF(CR$3=$K165,IF($C165="W",1,IF($C165="1/2W",0.5,0)),0)</f>
        <v>0</v>
      </c>
      <c r="CS165" s="231">
        <f>IF(CR$3=$K165,IF($C165="L",1,IF($C165="1/2L",0.5,0)),0)</f>
        <v>0</v>
      </c>
      <c r="CT165" s="208">
        <f>IF(CT$3=$K165,IF($C165="W",1,IF($C165="1/2W",0.5,0)),0)</f>
        <v>0</v>
      </c>
      <c r="CU165" s="209">
        <f>IF(CT$3=$K165,IF($C165="L",1,IF($C165="1/2L",0.5,0)),0)</f>
        <v>0</v>
      </c>
      <c r="CV165" s="209">
        <f>IF(CV$3=$K165,IF($C165="W",1,IF($C165="1/2W",0.5,0)),0)</f>
        <v>0</v>
      </c>
      <c r="CW165" s="209">
        <f>IF(CV$3=$K165,IF($C165="L",1,IF($C165="1/2L",0.5,0)),0)</f>
        <v>0</v>
      </c>
      <c r="CX165" s="209">
        <f>IF(CX$3=$K165,IF($C165="W",1,IF($C165="1/2W",0.5,0)),0)</f>
        <v>0</v>
      </c>
      <c r="CY165" s="209">
        <f>IF(CX$3=$K165,IF($C165="L",1,IF($C165="1/2L",0.5,0)),0)</f>
        <v>0</v>
      </c>
      <c r="CZ165" s="209">
        <f>IF(CZ$3=$K165,IF($C165="W",1,IF($C165="1/2W",0.5,0)),0)</f>
        <v>0</v>
      </c>
      <c r="DA165" s="209">
        <f>IF(CZ$3=$K165,IF($C165="L",1,IF($C165="1/2L",0.5,0)),0)</f>
        <v>0</v>
      </c>
      <c r="DB165" s="209">
        <f>IF(DB$3=$K165,IF($C165="W",1,IF($C165="1/2W",0.5,0)),0)</f>
        <v>0</v>
      </c>
      <c r="DC165" s="209">
        <f>IF(DB$3=$K165,IF($C165="L",1,IF($C165="1/2L",0.5,0)),0)</f>
        <v>0</v>
      </c>
      <c r="DD165" s="209">
        <f>IF(DD$3=$K165,IF($C165="W",1,IF($C165="1/2W",0.5,0)),0)</f>
        <v>0</v>
      </c>
      <c r="DE165" s="210">
        <f>IF(DD$3=$K165,IF($C165="L",1,IF($C165="1/2L",0.5,0)),0)</f>
        <v>0</v>
      </c>
      <c r="DF165" s="211">
        <f>IF(AND(L165&lt;DF$3,$C165="W"),1+DF164,DF164)</f>
        <v>8</v>
      </c>
      <c r="DG165" s="198">
        <f>IF(DF165&gt;DF164,L165+DG164,DG164)</f>
        <v>10.598</v>
      </c>
      <c r="DH165" s="209">
        <f>IF(AND(L165&gt;DH$3,$C165="W"),1+DH164,0+DH164)</f>
        <v>2</v>
      </c>
      <c r="DI165" s="198">
        <f>IF(DH165&gt;DH164,L165+DI164,DI164)</f>
        <v>11.58</v>
      </c>
      <c r="DJ165" t="s" s="306">
        <f>IF($D163="","",$D163)</f>
        <v>184</v>
      </c>
      <c r="DK165" s="232"/>
    </row>
    <row r="166" ht="14.55" customHeight="1">
      <c r="A166" s="246">
        <f>$A163+1</f>
        <v>55</v>
      </c>
      <c r="B166" t="s" s="247">
        <v>50</v>
      </c>
      <c r="C166" t="s" s="248">
        <v>56</v>
      </c>
      <c r="D166" t="s" s="303">
        <f>IF(G166="","",$D163)</f>
        <v>184</v>
      </c>
      <c r="E166" t="s" s="250">
        <v>115</v>
      </c>
      <c r="F166" t="s" s="251"/>
      <c r="G166" s="252">
        <v>44945.6875</v>
      </c>
      <c r="H166" t="s" s="253">
        <v>191</v>
      </c>
      <c r="I166" t="s" s="254">
        <v>54</v>
      </c>
      <c r="J166" s="255">
        <v>-2</v>
      </c>
      <c r="K166" t="s" s="256">
        <v>41</v>
      </c>
      <c r="L166" s="257">
        <v>1.94</v>
      </c>
      <c r="M166" s="258">
        <v>59.84</v>
      </c>
      <c r="N166" s="259">
        <v>0</v>
      </c>
      <c r="O166" s="260">
        <f>IF(OR(AE166="",AE167=""),"",ROUND(IF(L168&gt;0,IF(M166&gt;0,M166,IF(M167&gt;0,ROUND((M167*AE166)/AE167,IF(N166=0,2,IF(N166=0.1,1,0))),ROUND((M168*AE166)/AE168,IF(N166=0,2,IF(N166=0.1,1,0))))),IF(M166&gt;0,M166,ROUND((M167*AE166)/AE167,IF(N166=0,2,IF(N166=0.1,1,0))))),2))</f>
        <v>59.84</v>
      </c>
      <c r="P166" s="261">
        <f>IF(OR(L166="",O166=""),"",IF($C166="1/2W",O166/2+O166/2*L166,IF($C166="1/2L",O166/2,IF(I166="Lay",(O166*(L166/(L166-1))-O166)*(1-_xlfn.XLOOKUP(K166,'Janeiro 2023 - Valor Real'!A3:A15,'Janeiro 2023 - Valor Real'!C3:C15,0))+O166,(O166*L166-O166)*(1-_xlfn.XLOOKUP(K166,'Janeiro 2023 - Valor Real'!A3:A15,'Janeiro 2023 - Valor Real'!C3:C15,0))+O166))))</f>
        <v>116.0896</v>
      </c>
      <c r="Q166" s="262">
        <v>1</v>
      </c>
      <c r="R166" s="263">
        <v>0</v>
      </c>
      <c r="S166" s="264">
        <f>IF($B166="Anulado",0,ROUND(IF(OR($B166="LOSS",$B166="OK"),IF(OR($C166="W",$C166="1/2W",$C166="1/2L"),P166-O166,IF($C166="L",-O166,0))+IF(OR($C167="W",$C167="1/2W",$C167="1/2L"),P167-O167,IF($C167="L",-O167,0))+IF(OR($C168="W",$C168="1/2W",$C168="1/2L"),P168-O168,IF($C168="L",-O168,0)),IF(AND(OR($C166="W",$C166="1/2W",$C166="1/2L"),C167="W"),P166+P167-SUM(O166:O168)+_xlfn.XLOOKUP("X",C166:C168,O166:O168,0),IF(AND(C166=TRUE,C168="W"),P166+P168-SUM(O166:O168),IF(AND(C167="W",C168="W"),P167+P168-SUM(O166:O168)+_xlfn.XLOOKUP("X",C166:C168,O166:O168,0),IF(L168&gt;0,IF(OR($C166="W",$C166="1/2W",$C166="1/2L"),P166-SUM(O166:O168)+_xlfn.XLOOKUP("X",C166:C168,O166:O168,0),IF(OR($C166="W",$C166="1/2W",$C166="1/2L"),P167-SUM(O166:O168)+_xlfn.XLOOKUP("X",C166:C168,O166:O168,0),IF(OR($C166="W",$C166="1/2W",$C166="1/2L"),P168-SUM(O166:O168)+_xlfn.XLOOKUP("X",C166:C168,O166:O168,0),IF(SUM(P166:P168)/3-SUM(O166:O168)+_xlfn.XLOOKUP("X",C166:C168,O166:O168,0)&gt;0,SUM(P166:P168)/3-SUM(O166:O168)+_xlfn.XLOOKUP("X",C166:C168,O166:O168,0),LARGE(P166:P168,1)-SUM(O166:O168))))),IF(OR($C166="W",$C166="1/2W",$C166="1/2L"),P166-SUM(O166:O167)+_xlfn.XLOOKUP("X",C166:C168,O166:O168,0),IF(OR($C166="W",$C166="1/2W",$C166="1/2L"),P167-SUM(O166:O167)+_xlfn.XLOOKUP("X",C166:C168,O166:O168,0),SUM(P166:P167)/2-SUM(O166:O167)+_xlfn.XLOOKUP("X",C166:C168,O166:O168,0)))))))),2))</f>
        <v>5.56</v>
      </c>
      <c r="T166" s="265">
        <f>IF(S166=0,0,S166/SUM(O166:O168))</f>
        <v>0.0503030851352574</v>
      </c>
      <c r="U166" s="266">
        <f>IF($D166=$D163,IF(OR($B166="LOSS",$B166="OK",$B166="Anulada"),S166,0)+U163,IF(OR($B166="LOSS",$B166="OK",$B166="Anulada"),S166,0))</f>
        <v>25.1</v>
      </c>
      <c r="V166" s="266">
        <f>IF($D166="",0,IF($D166=$D163,IF($B166=" ",IF(I168="",IF(OR(AND(I166="DNB1",I167="DNB2"),AND(OR(I166="DNB1",I166="DNB2"),J167=0),AND(OR(I167="DNB1",I167="DNB2"),J166=0),AND(I166="DNB2",I167="DNB1"),AND(IF(J166=0,(J166+1)/ROUND(J166+1,0),J166/ROUND(J166,0))=1,IF(J167=0,(J167+1)/ROUND(IF(J167="",0,J167)+1,0),IF(J167="",0,J167)/ROUND(IF(J167="",1,J167),0))=1,OR(J166&lt;&gt;""),J167&lt;&gt;"")),0,IF(S166&lt;0,IF(I168="",SMALL(P166:P167,1)-SUM(O166:O167),0),SMALL(P166:P167,1)-SUM(O166:O167))),IF(S166&lt;0,IF(I168="",SMALL(P166:P168,1)-SUM(O166:O168),0),LARGE(P166:P168,1)-SUM(O166:O168))),S166)+V163,IF(I168="",IF(OR(AND(I166="DNB1",I167="DNB2"),AND(OR(I166="DNB1",I166="DNB2"),J167=0),AND(OR(I167="DNB1",I167="DNB2"),J166=0),AND(I166="DNB2",I167="DNB1"),AND(IF(J166=0,(J166+1)/ROUND(J166+1,0),J166/ROUND(J166,0))=1,IF(J167=0,(IF(J167="",0,J167)+1)/ROUND(IF(J167="",0,J167)+1,0),IF(J167="",0,J167)/ROUND(IF(J167="",0,J167)+1,0))=1,OR(J166&lt;&gt;""),J167&lt;&gt;"")),0,IF(S166&lt;0,IF(I168="",SMALL(P166:P167,1)-SUM(O166:O167),0),SMALL(P166:P168,1)-SUM(O166:O168))),IF(S166&lt;0,IF(I168="",SMALL(P166:P168,1)-SUM(O166:O168),0),LARGE(P166:P168,1)-SUM(O166:O168)))))</f>
        <v>25.0975</v>
      </c>
      <c r="W166" s="266">
        <f>IF($D166=$D163,IF(S166&lt;0,IF(I168="",S166,0),S166)+W163,S166)</f>
        <v>25.1</v>
      </c>
      <c r="X166" t="s" s="267">
        <f>IF(OR(SUM(R166:R168)=0,V166=W166),ROUND(IF(W166=0,0,W166/Y166)*100,2)&amp;"%",ROUND(IF(V166=0,0,V166/Y166)*100,2)&amp;"% a "&amp;ROUND(IF(W166=0,0,W166/Y166)*100,2)&amp;"%")</f>
        <v>88</v>
      </c>
      <c r="Y166" s="268">
        <f>IF($D166=$D163,Y163+SUM(O166:O168),SUM(O166:O168))</f>
        <v>344.6</v>
      </c>
      <c r="Z166" s="266">
        <f>IF($B166=" ",SUM(O166:O168),0)+Z163</f>
        <v>0</v>
      </c>
      <c r="AA166" s="266">
        <f>IF(G166="","",IF($B166="Anulado",LARGE(P166:P168,1)-SUM(O166:O168)+AA163,AA163))</f>
        <v>14.1564</v>
      </c>
      <c r="AB166" s="266">
        <f>IF($D166="","",AB163+S166)</f>
        <v>150.21</v>
      </c>
      <c r="AC166" s="269">
        <f>IF($D166="","",IF($B166=" ",IF(DAY(G166)=DAY(TODAY()),1+AC163,0+AC163),0+AC163))</f>
        <v>0</v>
      </c>
      <c r="AD166" s="270">
        <f>(1-_xlfn.XLOOKUP(K164,'Janeiro 2023 - Valor Real'!A3:A15,'Janeiro 2023 - Valor Real'!C3:C15,0))+1</f>
        <v>1.935</v>
      </c>
      <c r="AE166" s="271">
        <f>IF(L166="","",IF(L168&gt;0,(SUM(((L166-1)*(1-_xlfn.XLOOKUP(K166,'Janeiro 2023 - Valor Real'!A3:A15,'Janeiro 2023 - Valor Real'!C3:C15,0))+1),((L167-1)*(1-_xlfn.XLOOKUP(K167,'Janeiro 2023 - Valor Real'!A3:A15,'Janeiro 2023 - Valor Real'!C3:C15,0))+1),((L168-1)*(1-_xlfn.XLOOKUP(K168,'Janeiro 2023 - Valor Real'!A3:A15,'Janeiro 2023 - Valor Real'!C3:C15,0))+1))/((L166-1)*(1-_xlfn.XLOOKUP(K166,'Janeiro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Real'!C3:C15,0))+1))/((L166-1)*(1-_xlfn.XLOOKUP(K166,'Janeiro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Real'!C3:C15,0))+1))/((L167-1)*(1-_xlfn.XLOOKUP(K167,'Janeiro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Real'!C3:C15,0))+1))/((L168-1)*(1-_xlfn.XLOOKUP(K168,'Janeiro 2023 - Valor Real'!A3:A15,'Janeiro 2023 - Valor Real'!C3:C15,0))+1)),IF(I166="Lay",IF(I167="Lay",((L167/(L167-1)-1)*(1-_xlfn.XLOOKUP(K167,'Janeiro 2023 - Valor Real'!A3:A15,'Janeiro 2023 - Valor Real'!C3:C15,0))+1)/(((L167/(L167-1)-1)*(1-_xlfn.XLOOKUP(K167,'Janeiro 2023 - Valor Real'!A3:A15,'Janeiro 2023 - Valor Real'!C3:C15,0))+1)+((L166/(L166-1)-1)*(1-_xlfn.XLOOKUP(K166,'Janeiro 2023 - Valor Real'!A3:A15,'Janeiro 2023 - Valor Real'!C3:C15,0))+1)),((L167-1)*(1-_xlfn.XLOOKUP(K167,'Janeiro 2023 - Valor Real'!A3:A15,'Janeiro 2023 - Valor Real'!C3:C15,0))+1)/(((L167-1)*(1-_xlfn.XLOOKUP(K167,'Janeiro 2023 - Valor Real'!A3:A15,'Janeiro 2023 - Valor Real'!C3:C15,0))+1)+((L166/(L166-1)-1)*(1-_xlfn.XLOOKUP(K166,'Janeiro 2023 - Valor Real'!A3:A15,'Janeiro 2023 - Valor Real'!C3:C15,0))+1))),IF(I167="Lay",(((L167/(L167-1)-1)*(1-_xlfn.XLOOKUP(K167,'Janeiro 2023 - Valor Real'!A3:A15,'Janeiro 2023 - Valor Real'!C3:C15,0))+1))/(((L166-1)*(1-_xlfn.XLOOKUP(K166,'Janeiro 2023 - Valor Real'!A3:A15,'Janeiro 2023 - Valor Real'!C3:C15,0))+1)+((L167/(L167-1)-1)*(1-_xlfn.XLOOKUP(K167,'Janeiro 2023 - Valor Real'!A3:A15,'Janeiro 2023 - Valor Real'!C3:C15,0))+1)),((L167-1)*(1-_xlfn.XLOOKUP(K167,'Janeiro 2023 - Valor Real'!A3:A15,'Janeiro 2023 - Valor Real'!C3:C15,0))+1)/(((L167-1)*(1-_xlfn.XLOOKUP(K167,'Janeiro 2023 - Valor Real'!A3:A15,'Janeiro 2023 - Valor Real'!C3:C15,0))+1)+((L166-1)*(1-_xlfn.XLOOKUP(K166,'Janeiro 2023 - Valor Real'!A3:A15,'Janeiro 2023 - Valor Real'!C3:C15,0))+1))))))</f>
        <v>0.541371158392435</v>
      </c>
      <c r="AF166" s="132">
        <f>IF($K166=AF$3,ROUND(IF(OR($C166="W",$C166="1/2W",$C166="1/2L"),$P166-$O166,IF($C166="X",0,-$O166)),2),0)</f>
        <v>0</v>
      </c>
      <c r="AG166" s="133">
        <f>IF($K166=AG$3,ROUND(IF(OR($C166="W",$C166="1/2W",$C166="1/2L"),$P166-$O166,IF($C166="X",0,-$O166)),2),0)</f>
        <v>0</v>
      </c>
      <c r="AH166" s="133">
        <f>IF($K166=AH$3,ROUND(IF(OR($C166="W",$C166="1/2W",$C166="1/2L"),$P166-$O166,IF($C166="X",0,-$O166)),2),0)</f>
        <v>0</v>
      </c>
      <c r="AI166" s="133">
        <f>IF($K166=AI$3,ROUND(IF(OR($C166="W",$C166="1/2W",$C166="1/2L"),$P166-$O166,IF($C166="X",0,-$O166)),2),0)</f>
        <v>0</v>
      </c>
      <c r="AJ166" s="133">
        <f>IF($K166=AJ$3,ROUND(IF(OR($C166="W",$C166="1/2W",$C166="1/2L"),$P166-$O166,IF($C166="X",0,-$O166)),2),0)</f>
        <v>56.25</v>
      </c>
      <c r="AK166" s="133">
        <f>IF($K166=AK$3,ROUND(IF(OR($C166="W",$C166="1/2W",$C166="1/2L"),$P166-$O166,IF($C166="X",0,-$O166)),2),0)</f>
        <v>0</v>
      </c>
      <c r="AL166" s="133">
        <f>IF($K166=AL$3,ROUND(IF(OR($C166="W",$C166="1/2W",$C166="1/2L"),$P166-$O166,IF($C166="X",0,-$O166)),2),0)</f>
        <v>0</v>
      </c>
      <c r="AM166" s="133">
        <f>IF($K166=AM$3,ROUND(IF(OR($C166="W",$C166="1/2W",$C166="1/2L"),$P166-$O166,IF($C166="X",0,-$O166)),2),0)</f>
        <v>0</v>
      </c>
      <c r="AN166" s="133">
        <f>IF($K166=AN$3,ROUND(IF(OR($C166="W",$C166="1/2W",$C166="1/2L"),$P166-$O166,IF($C166="X",0,-$O166)),2),0)</f>
        <v>0</v>
      </c>
      <c r="AO166" s="133">
        <f>IF($K166=AO$3,ROUND(IF(OR($C166="W",$C166="1/2W",$C166="1/2L"),$P166-$O166,IF($C166="X",0,-$O166)),2),0)</f>
        <v>0</v>
      </c>
      <c r="AP166" s="133">
        <f>IF($K166=AP$3,ROUND(IF(OR($C166="W",$C166="1/2W",$C166="1/2L"),$P166-$O166,IF($C166="X",0,-$O166)),2),0)</f>
        <v>0</v>
      </c>
      <c r="AQ166" s="133">
        <f>IF($K166=AQ$3,ROUND(IF(OR($C166="W",$C166="1/2W",$C166="1/2L"),$P166-$O166,IF($C166="X",0,-$O166)),2),0)</f>
        <v>0</v>
      </c>
      <c r="AR166" s="134">
        <f>IF($K166=AR$3,ROUND(IF(OR($C166="W",$C166="1/2W",$C166="1/2L"),$P166-$O166,IF($C166="X",0,-$O166)),2),0)</f>
        <v>0</v>
      </c>
      <c r="AS166" s="132">
        <f>IF(AND($B166=" ",$K166=AS$3),$O166,0)</f>
        <v>0</v>
      </c>
      <c r="AT166" s="133">
        <f>IF(AND($B166=" ",$K166=AT$3),$O166,0)</f>
        <v>0</v>
      </c>
      <c r="AU166" s="133">
        <f>IF(AND($B166=" ",$K166=AU$3),$O166,0)</f>
        <v>0</v>
      </c>
      <c r="AV166" s="133">
        <f>IF(AND($B166=" ",$K166=AV$3),$O166,0)</f>
        <v>0</v>
      </c>
      <c r="AW166" s="133">
        <f>IF(AND($B166=" ",$K166=AW$3),$O166,0)</f>
        <v>0</v>
      </c>
      <c r="AX166" s="133">
        <f>IF(AND($B166=" ",$K166=AX$3),$O166,0)</f>
        <v>0</v>
      </c>
      <c r="AY166" s="135">
        <f>IF(AND($B166=" ",$K166=AY$3),$O166,0)</f>
        <v>0</v>
      </c>
      <c r="AZ166" s="136">
        <f>IF(AND($B166=" ",$K166=AZ$3),$O166,0)</f>
        <v>0</v>
      </c>
      <c r="BA166" s="136">
        <f>IF(AND($B166=" ",$K166=BA$3),$O166,0)</f>
        <v>0</v>
      </c>
      <c r="BB166" s="136">
        <f>IF(AND($B166=" ",$K166=BB$3),$O166,0)</f>
        <v>0</v>
      </c>
      <c r="BC166" s="137">
        <f>IF(AND($B166=" ",$K166=BC$3),$O166,0)</f>
        <v>0</v>
      </c>
      <c r="BD166" s="133">
        <f>IF(AND($B166=" ",$K166=BD$3),$O166,0)</f>
        <v>0</v>
      </c>
      <c r="BE166" s="134">
        <f>IF(AND($B166=" ",$K166=BE$3),$O166,0)</f>
        <v>0</v>
      </c>
      <c r="BF166" s="132">
        <f>IF($K166=BF$3,IF($C166="X",0,$O166),0)</f>
        <v>0</v>
      </c>
      <c r="BG166" s="133">
        <f>IF($K166=BG$3,IF($C166="X",0,$O166),0)</f>
        <v>0</v>
      </c>
      <c r="BH166" s="133">
        <f>IF($K166=BH$3,IF($C166="X",0,$O166),0)</f>
        <v>0</v>
      </c>
      <c r="BI166" s="133">
        <f>IF($K166=BI$3,IF($C166="X",0,$O166),0)</f>
        <v>0</v>
      </c>
      <c r="BJ166" s="133">
        <f>IF($K166=BJ$3,IF($C166="X",0,$O166),0)</f>
        <v>59.84</v>
      </c>
      <c r="BK166" s="133">
        <f>IF($K166=BK$3,IF($C166="X",0,$O166),0)</f>
        <v>0</v>
      </c>
      <c r="BL166" s="133">
        <f>IF($K166=BL$3,IF($C166="X",0,$O166),0)</f>
        <v>0</v>
      </c>
      <c r="BM166" s="135">
        <f>IF($K166=BM$3,IF($C166="X",0,$O166),0)</f>
        <v>0</v>
      </c>
      <c r="BN166" s="136">
        <f>IF($K166=BN$3,IF($C166="X",0,$O166),0)</f>
        <v>0</v>
      </c>
      <c r="BO166" s="136">
        <f>IF($K166=BO$3,IF($C166="X",0,$O166),0)</f>
        <v>0</v>
      </c>
      <c r="BP166" s="136">
        <f>IF($K166=BP$3,IF($C166="X",0,$O166),0)</f>
        <v>0</v>
      </c>
      <c r="BQ166" s="137">
        <f>IF($K166=BQ$3,IF($C166="X",0,$O166),0)</f>
        <v>0</v>
      </c>
      <c r="BR166" s="134">
        <f>IF($K166=BR$3,IF($C166="X",0,$O166),0)</f>
        <v>0</v>
      </c>
      <c r="BS166" s="170">
        <f>IF($B166="LOSS",IF(AND($K166=BS$3,$C166="L"),-$O166,0)+IF(AND($K167=BS$3,$C167="L"),-$O167,0)+IF(AND($K168=BS$3,$C168="L"),-$O168,0),IF(OR(AND($K166=BS$3,OR($C166="W",$C166="1/2W")),AND($K167=BS$3,OR($C167="W",$C167="1/2W")),AND($K168=BS$3,OR($C168="W",$C168="1/2W"))),$S166,0))</f>
        <v>0</v>
      </c>
      <c r="BT166" s="272">
        <f>IF($B166="LOSS",IF(AND($K166=BT$3,$C166="L"),-$O166,0)+IF(AND($K167=BT$3,$C167="L"),-$O167,0)+IF(AND($K167=BT$3,$C168="L"),-$O168,0),IF(OR(AND($K167=BT$3,OR($C166="W",$C166="1/2W")),AND($K167=BT$3,OR($C167="W",$C167="1/2W")),AND($K167=BT$3,OR($C168="W",$C168="1/2W"))),$S166,0))</f>
        <v>0</v>
      </c>
      <c r="BU166" s="136">
        <f>IF($B166="LOSS",IF(AND($K166=BU$3,$C166="L"),-$O166,0)+IF(AND($K167=BU$3,$C167="L"),-$O167,0)+IF(AND($K167=BU$3,$C168="L"),-$O168,0),IF(OR(AND($K167=BU$3,OR($C166="W",$C166="1/2W")),AND($K167=BU$3,OR($C167="W",$C167="1/2W")),AND($K167=BU$3,OR($C168="W",$C168="1/2W"))),$S166,0))</f>
        <v>0</v>
      </c>
      <c r="BV166" s="136">
        <f>IF($B166="LOSS",IF(AND($K166=BV$3,$C166="L"),-$O166,0)+IF(AND($K167=BV$3,$C167="L"),-$O167,0)+IF(AND($K168=BV$3,$C168="L"),-$O168,0),IF(OR(AND($K166=BV$3,OR($C166="W",$C166="1/2W")),AND($K167=BV$3,OR($C167="W",$C167="1/2W")),AND($K168=BV$3,OR($C168="W",$C168="1/2W"))),$S166,0))</f>
        <v>0</v>
      </c>
      <c r="BW166" s="136">
        <f>IF($B166="LOSS",IF(AND($K166=BW$3,$C166="L"),-$O166,0)+IF(AND($K167=BW$3,$C167="L"),-$O167,0)+IF(AND($K168=BW$3,$C168="L"),-$O168,0),IF(OR(AND($K166=BW$3,OR($C166="W",$C166="1/2W")),AND($K167=BW$3,OR($C167="W",$C167="1/2W")),AND($K168=BW$3,OR($C168="W",$C168="1/2W"))),$S166,0))</f>
        <v>5.56</v>
      </c>
      <c r="BX166" s="136">
        <f>IF($B166="LOSS",IF(AND($K166=BX$3,$C166="L"),-$O166,0)+IF(AND($K167=BX$3,$C167="L"),-$O167,0)+IF(AND($K168=BX$3,$C168="L"),-$O168,0),IF(OR(AND($K166=BX$3,OR($C166="W",$C166="1/2W")),AND($K167=BX$3,OR($C167="W",$C167="1/2W")),AND($K168=BX$3,OR($C168="W",$C168="1/2W"))),$S166,0))</f>
        <v>0</v>
      </c>
      <c r="BY166" s="136">
        <f>IF($B166="LOSS",IF(AND($K166=BY$3,$C166="L"),-$O166,0)+IF(AND($K167=BY$3,$C167="L"),-$O167,0)+IF(AND($K168=BY$3,$C168="L"),-$O168,0),IF(OR(AND($K166=BY$3,OR($C166="W",$C166="1/2W")),AND($K167=BY$3,OR($C167="W",$C167="1/2W")),AND($K168=BY$3,OR($C168="W",$C168="1/2W"))),$S166,0))</f>
        <v>0</v>
      </c>
      <c r="BZ166" s="136">
        <f>IF($B166="LOSS",IF(AND($K166=BZ$3,$C166="L"),-$O166,0)+IF(AND($K167=BZ$3,$C167="L"),-$O167,0)+IF(AND($K168=BZ$3,$C168="L"),-$O168,0),IF(OR(AND($K166=BZ$3,OR($C166="W",$C166="1/2W")),AND($K167=BZ$3,OR($C167="W",$C167="1/2W")),AND($K168=BZ$3,OR($C168="W",$C168="1/2W"))),$S166,0))</f>
        <v>0</v>
      </c>
      <c r="CA166" s="136">
        <f>IF($B166="LOSS",IF(AND($K166=CA$3,$C166="L"),-$O166,0)+IF(AND($K167=CA$3,$C167="L"),-$O167,0)+IF(AND($K168=CA$3,$C168="L"),-$O168,0),IF(OR(AND($K166=CA$3,OR($C166="W",$C166="1/2W")),AND($K167=CA$3,OR($C167="W",$C167="1/2W")),AND($K168=CA$3,OR($C168="W",$C168="1/2W"))),$S166,0))</f>
        <v>0</v>
      </c>
      <c r="CB166" s="136">
        <f>IF($B166="LOSS",IF(AND($K166=CB$3,$C166="L"),-$O166,0)+IF(AND($K167=CB$3,$C167="L"),-$O167,0)+IF(AND($K168=CB$3,$C168="L"),-$O168,0),IF(OR(AND($K166=CB$3,OR($C166="W",$C166="1/2W")),AND($K167=CB$3,OR($C167="W",$C167="1/2W")),AND($K168=CB$3,OR($C168="W",$C168="1/2W"))),$S166,0))</f>
        <v>0</v>
      </c>
      <c r="CC166" s="136">
        <f>IF($B166="LOSS",IF(AND($K166=CC$3,$C166="L"),-$O166,0)+IF(AND($K167=CC$3,$C167="L"),-$O167,0)+IF(AND($K168=CC$3,$C168="L"),-$O168,0),IF(OR(AND($K166=CC$3,OR($C166="W",$C166="1/2W")),AND($K167=CC$3,OR($C167="W",$C167="1/2W")),AND($K168=CC$3,OR($C168="W",$C168="1/2W"))),$S166,0))</f>
        <v>0</v>
      </c>
      <c r="CD166" s="137">
        <f>IF($B166="LOSS",IF(AND($K166=CD$3,$C166="L"),-$O166,0)+IF(AND($K167=CD$3,$C167="L"),-$O167,0)+IF(AND($K168=CD$3,$C168="L"),-$O168,0),IF(OR(AND($K166=CD$3,OR($C166="W",$C166="1/2W")),AND($K167=CD$3,OR($C167="W",$C167="1/2W")),AND($K168=CD$3,OR($C168="W",$C168="1/2W"))),$S166,0))</f>
        <v>0</v>
      </c>
      <c r="CE166" s="134">
        <f>IF($B166="LOSS",IF(AND($K166=CE$3,$C166="L"),-$O166,0)+IF(AND($K167=CE$3,$C167="L"),-$O167,0)+IF(AND($K168=CE$3,$C168="L"),-$O168,0),IF(OR(AND($K166=CE$3,OR($C166="W",$C166="1/2W")),AND($K167=CE$3,OR($C167="W",$C167="1/2W")),AND($K168=CE$3,OR($C168="W",$C168="1/2W"))),$S166,0))</f>
        <v>0</v>
      </c>
      <c r="CF166" s="273">
        <f>IF(CF$3=$K166,IF($C166="W",1,IF($C166="1/2W",0.5,0)),0)</f>
        <v>0</v>
      </c>
      <c r="CG166" s="274">
        <f>IF(CF$3=$K166,IF($C166="L",1,IF($C166="1/2L",0.5,0)),0)</f>
        <v>0</v>
      </c>
      <c r="CH166" s="274">
        <f>IF(CH$3=$K166,IF($C166="W",1,IF($C166="1/2W",0.5,0)),0)</f>
        <v>0</v>
      </c>
      <c r="CI166" s="274">
        <f>IF(CH$3=$K166,IF($C166="L",1,IF($C166="1/2L",0.5,0)),0)</f>
        <v>0</v>
      </c>
      <c r="CJ166" s="274">
        <f>IF(CJ$3=$K166,IF($C166="W",1,IF($C166="1/2W",0.5,0)),0)</f>
        <v>0</v>
      </c>
      <c r="CK166" s="274">
        <f>IF(CJ$3=$K166,IF($C166="L",1,IF($C166="1/2L",0.5,0)),0)</f>
        <v>0</v>
      </c>
      <c r="CL166" s="274">
        <f>IF(CL$3=$K166,IF($C166="W",1,IF($C166="1/2W",0.5,0)),0)</f>
        <v>0</v>
      </c>
      <c r="CM166" s="274">
        <f>IF(CL$3=$K166,IF($C166="L",1,IF($C166="1/2L",0.5,0)),0)</f>
        <v>0</v>
      </c>
      <c r="CN166" s="274">
        <f>IF(CN$3=$K166,IF($C166="W",1,IF($C166="1/2W",0.5,0)),0)</f>
        <v>1</v>
      </c>
      <c r="CO166" s="274">
        <f>IF(CN$3=$K166,IF($C166="L",1,IF($C166="1/2L",0.5,0)),0)</f>
        <v>0</v>
      </c>
      <c r="CP166" s="274">
        <f>IF(CP$3=$K166,IF($C166="W",1,IF($C166="1/2W",0.5,0)),0)</f>
        <v>0</v>
      </c>
      <c r="CQ166" s="274">
        <f>IF(CP$3=$K166,IF($C166="L",1,IF($C166="1/2L",0.5,0)),0)</f>
        <v>0</v>
      </c>
      <c r="CR166" s="274">
        <f>IF(CR$3=$K166,IF($C166="W",1,IF($C166="1/2W",0.5,0)),0)</f>
        <v>0</v>
      </c>
      <c r="CS166" s="274">
        <f>IF(CR$3=$K166,IF($C166="L",1,IF($C166="1/2L",0.5,0)),0)</f>
        <v>0</v>
      </c>
      <c r="CT166" s="145">
        <f>IF(CT$3=$K166,IF($C166="W",1,IF($C166="1/2W",0.5,0)),0)</f>
        <v>0</v>
      </c>
      <c r="CU166" s="146">
        <f>IF(CT$3=$K166,IF($C166="L",1,IF($C166="1/2L",0.5,0)),0)</f>
        <v>0</v>
      </c>
      <c r="CV166" s="146">
        <f>IF(CV$3=$K166,IF($C166="W",1,IF($C166="1/2W",0.5,0)),0)</f>
        <v>0</v>
      </c>
      <c r="CW166" s="146">
        <f>IF(CV$3=$K166,IF($C166="L",1,IF($C166="1/2L",0.5,0)),0)</f>
        <v>0</v>
      </c>
      <c r="CX166" s="146">
        <f>IF(CX$3=$K166,IF($C166="W",1,IF($C166="1/2W",0.5,0)),0)</f>
        <v>0</v>
      </c>
      <c r="CY166" s="146">
        <f>IF(CX$3=$K166,IF($C166="L",1,IF($C166="1/2L",0.5,0)),0)</f>
        <v>0</v>
      </c>
      <c r="CZ166" s="146">
        <f>IF(CZ$3=$K166,IF($C166="W",1,IF($C166="1/2W",0.5,0)),0)</f>
        <v>0</v>
      </c>
      <c r="DA166" s="146">
        <f>IF(CZ$3=$K166,IF($C166="L",1,IF($C166="1/2L",0.5,0)),0)</f>
        <v>0</v>
      </c>
      <c r="DB166" s="146">
        <f>IF(DB$3=$K166,IF($C166="W",1,IF($C166="1/2W",0.5,0)),0)</f>
        <v>0</v>
      </c>
      <c r="DC166" s="146">
        <f>IF(DB$3=$K166,IF($C166="L",1,IF($C166="1/2L",0.5,0)),0)</f>
        <v>0</v>
      </c>
      <c r="DD166" s="146">
        <f>IF(DD$3=$K166,IF($C166="W",1,IF($C166="1/2W",0.5,0)),0)</f>
        <v>0</v>
      </c>
      <c r="DE166" s="147">
        <f>IF(DD$3=$K166,IF($C166="L",1,IF($C166="1/2L",0.5,0)),0)</f>
        <v>0</v>
      </c>
      <c r="DF166" s="143">
        <f>IF(AND(L166&lt;DF$3,$C166="W"),1+DF165,DF165)</f>
        <v>8</v>
      </c>
      <c r="DG166" s="133">
        <f>IF(DF166&gt;DF165,L166+DG165,DG165)</f>
        <v>10.598</v>
      </c>
      <c r="DH166" s="146">
        <f>IF(AND(L166&gt;DH$3,$C166="W"),1+DH165,0+DH165)</f>
        <v>2</v>
      </c>
      <c r="DI166" s="133">
        <f>IF(DH166&gt;DH165,L166+DI165,DI165)</f>
        <v>11.58</v>
      </c>
      <c r="DJ166" t="s" s="304">
        <f>IF($D166="","",$D166)</f>
        <v>184</v>
      </c>
      <c r="DK166" s="146">
        <f>IF(AND($B166=" ",$D166&lt;&gt;""),1,0)</f>
        <v>0</v>
      </c>
    </row>
    <row r="167" ht="14.55" customHeight="1">
      <c r="A167" s="107"/>
      <c r="B167" s="108"/>
      <c r="C167" t="s" s="109">
        <v>51</v>
      </c>
      <c r="D167" s="110"/>
      <c r="E167" s="111"/>
      <c r="F167" s="113"/>
      <c r="G167" s="252"/>
      <c r="H167" s="114"/>
      <c r="I167" t="s" s="275">
        <v>57</v>
      </c>
      <c r="J167" s="276">
        <f>IF(OR(I166="TO",I166="TU",I166="TO1",I166="TU1",I166="TO2",I166="TU2"),J166,IF(OR(I166="AH1",I166="AH2"),IF(OR(I167="AH1",I167="AH2"),-J166,IF(OR(I167="EH1",I167="EH2"),-J166+0.5,"")),IF(OR(I166="EH1",I166="EH2"),IF(OR(I167="AH1",I167="AH2"),-J166+0.5,IF(OR(I167="EH1",I167="EH2"),-J166+1,"")),IF(AND(OR(I166="DNB1",I166="DNB2"),OR(I167="AH1",I167="AH2")),0,IF(AND(I166="Not ScoreBoth",OR(I167="TO1",I167="TO2")),0.5,"")))))</f>
        <v>2</v>
      </c>
      <c r="K167" t="s" s="117">
        <v>44</v>
      </c>
      <c r="L167" s="277">
        <v>2.29</v>
      </c>
      <c r="M167" s="278"/>
      <c r="N167" s="120"/>
      <c r="O167" s="121">
        <f>IF(OR(AE166="",AE167=""),"",ROUND(IF(L168&gt;0,IF(M167&gt;0,M167,IF(M166&gt;0,IF(N166=TRUE,ROUND((M166*AE167)/AE166,0),(M166*AE167)/AE166),IF(M167&gt;0,ROUND(M167,IF(N166=0,2,IF(N166=0.1,1,0))),IF(M168&gt;0,ROUND(O168*AE167/AE168,IF(N166=0,2,IF(N166=0.1,1,0))),0)))),IF(M167&gt;0,M167,ROUND((M166*AE167)/AE166,IF(N166=0,2,IF(N166=0.1,1,0))))),2))</f>
        <v>50.69</v>
      </c>
      <c r="P167" s="122">
        <f>IF(OR(L167="",O167=""),"",IF($C167="1/2W",O167/2+O167/2*L167,IF($C167="1/2L",O167/2,IF(I167="Lay",((O167*(L167/(L167-1)))-O167)*(1-_xlfn.XLOOKUP(K167,'Janeiro 2023 - Valor Real'!A3:A15,'Janeiro 2023 - Valor Real'!C3:C15,0))+O167,(O167*L167-O167)*(1-_xlfn.XLOOKUP(K167,'Janeiro 2023 - Valor Real'!A3:A15,'Janeiro 2023 - Valor Real'!C3:C15,0))+O167))))</f>
        <v>116.0801</v>
      </c>
      <c r="Q167" s="279">
        <v>1</v>
      </c>
      <c r="R167" s="280">
        <v>0</v>
      </c>
      <c r="S167" s="125"/>
      <c r="T167" s="126"/>
      <c r="U167" s="126"/>
      <c r="V167" s="224"/>
      <c r="W167" s="126"/>
      <c r="X167" s="127"/>
      <c r="Y167" s="128"/>
      <c r="Z167" s="129"/>
      <c r="AA167" s="129"/>
      <c r="AB167" s="129"/>
      <c r="AC167" s="129"/>
      <c r="AD167" s="130"/>
      <c r="AE167" s="131">
        <f>IF(L167="","",IF(L168&gt;0,(SUM(((L166-1)*(1-_xlfn.XLOOKUP(K166,'Janeiro 2023 - Valor Real'!A3:A15,'Janeiro 2023 - Valor Real'!C3:C15,0))+1),((L167-1)*(1-_xlfn.XLOOKUP(K167,'Janeiro 2023 - Valor Real'!A3:A15,'Janeiro 2023 - Valor Real'!C3:C15,0))+1),((L168-1)*(1-_xlfn.XLOOKUP(K168,'Janeiro 2023 - Valor Real'!A3:A15,'Janeiro 2023 - Valor Real'!C3:C15,0))+1))/((L167-1)*(1-_xlfn.XLOOKUP(K167,'Janeiro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Real'!C3:C15,0))+1))/((L166-1)*(1-_xlfn.XLOOKUP(K166,'Janeiro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Real'!C3:C15,0))+1))/((L167-1)*(1-_xlfn.XLOOKUP(K167,'Janeiro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Real'!C3:C15,0))+1))/((L168-1)*(1-_xlfn.XLOOKUP(K168,'Janeiro 2023 - Valor Real'!A3:A15,'Janeiro 2023 - Valor Real'!C3:C15,0))+1)),IF(I167="Lay",IF(I166="Lay",((L166/(L166-1)-1)*(1-_xlfn.XLOOKUP(K166,'Janeiro 2023 - Valor Real'!A3:A15,'Janeiro 2023 - Valor Real'!C3:C15,0))+1)/(((L166/(L166-1)-1)*(1-_xlfn.XLOOKUP(K166,'Janeiro 2023 - Valor Real'!A3:A15,'Janeiro 2023 - Valor Real'!C3:C15,0))+1)+((L167/(L167-1)-1)*(1-_xlfn.XLOOKUP(K167,'Janeiro 2023 - Valor Real'!A3:A15,'Janeiro 2023 - Valor Real'!C3:C15,0))+1)),((L166-1)*(1-_xlfn.XLOOKUP(K166,'Janeiro 2023 - Valor Real'!A3:A15,'Janeiro 2023 - Valor Real'!C3:C15,0))+1)/(((L166-1)*(1-_xlfn.XLOOKUP(K166,'Janeiro 2023 - Valor Real'!A3:A15,'Janeiro 2023 - Valor Real'!C3:C15,0))+1)+((L167/(L167-1)-1)*(1-_xlfn.XLOOKUP(K167,'Janeiro 2023 - Valor Real'!A3:A15,'Janeiro 2023 - Valor Real'!C3:C15,0))+1))),IF(I166="Lay",((L166/(L166-1)-1)*(1-_xlfn.XLOOKUP(K166,'Janeiro 2023 - Valor Real'!A3:A15,'Janeiro 2023 - Valor Real'!C3:C15,0))+1)/((((L166/(L166-1)-1)*(1-_xlfn.XLOOKUP(K166,'Janeiro 2023 - Valor Real'!A3:A15,'Janeiro 2023 - Valor Real'!C3:C15,0))+1))+((L167-1)*(1-_xlfn.XLOOKUP(K167,'Janeiro 2023 - Valor Real'!A3:A15,'Janeiro 2023 - Valor Real'!C3:C15,0))+1)),((L166-1)*(1-_xlfn.XLOOKUP(K166,'Janeiro 2023 - Valor Real'!A3:A15,'Janeiro 2023 - Valor Real'!C3:C15,0))+1)/(((L166-1)*(1-_xlfn.XLOOKUP(K166,'Janeiro 2023 - Valor Real'!A3:A15,'Janeiro 2023 - Valor Real'!C3:C15,0))+1)+((L167-1)*(1-_xlfn.XLOOKUP(K167,'Janeiro 2023 - Valor Real'!A3:A15,'Janeiro 2023 - Valor Real'!C3:C15,0))+1))))))</f>
        <v>0.458628841607565</v>
      </c>
      <c r="AF167" s="132">
        <f>IF($K167=AF$3,ROUND(IF(OR($C167="W",$C167="1/2W",$C167="1/2L"),$P167-$O167,IF($C167="X",0,-$O167)),2),0)</f>
        <v>0</v>
      </c>
      <c r="AG167" s="133">
        <f>IF($K167=AG$3,ROUND(IF(OR($C167="W",$C167="1/2W",$C167="1/2L"),$P167-$O167,IF($C167="X",0,-$O167)),2),0)</f>
        <v>0</v>
      </c>
      <c r="AH167" s="133">
        <f>IF($K167=AH$3,ROUND(IF(OR($C167="W",$C167="1/2W",$C167="1/2L"),$P167-$O167,IF($C167="X",0,-$O167)),2),0)</f>
        <v>0</v>
      </c>
      <c r="AI167" s="133">
        <f>IF($K167=AI$3,ROUND(IF(OR($C167="W",$C167="1/2W",$C167="1/2L"),$P167-$O167,IF($C167="X",0,-$O167)),2),0)</f>
        <v>0</v>
      </c>
      <c r="AJ167" s="133">
        <f>IF($K167=AJ$3,ROUND(IF(OR($C167="W",$C167="1/2W",$C167="1/2L"),$P167-$O167,IF($C167="X",0,-$O167)),2),0)</f>
        <v>0</v>
      </c>
      <c r="AK167" s="133">
        <f>IF($K167=AK$3,ROUND(IF(OR($C167="W",$C167="1/2W",$C167="1/2L"),$P167-$O167,IF($C167="X",0,-$O167)),2),0)</f>
        <v>0</v>
      </c>
      <c r="AL167" s="133">
        <f>IF($K167=AL$3,ROUND(IF(OR($C167="W",$C167="1/2W",$C167="1/2L"),$P167-$O167,IF($C167="X",0,-$O167)),2),0)</f>
        <v>0</v>
      </c>
      <c r="AM167" s="133">
        <f>IF($K167=AM$3,ROUND(IF(OR($C167="W",$C167="1/2W",$C167="1/2L"),$P167-$O167,IF($C167="X",0,-$O167)),2),0)</f>
        <v>-50.69</v>
      </c>
      <c r="AN167" s="133">
        <f>IF($K167=AN$3,ROUND(IF(OR($C167="W",$C167="1/2W",$C167="1/2L"),$P167-$O167,IF($C167="X",0,-$O167)),2),0)</f>
        <v>0</v>
      </c>
      <c r="AO167" s="133">
        <f>IF($K167=AO$3,ROUND(IF(OR($C167="W",$C167="1/2W",$C167="1/2L"),$P167-$O167,IF($C167="X",0,-$O167)),2),0)</f>
        <v>0</v>
      </c>
      <c r="AP167" s="133">
        <f>IF($K167=AP$3,ROUND(IF(OR($C167="W",$C167="1/2W",$C167="1/2L"),$P167-$O167,IF($C167="X",0,-$O167)),2),0)</f>
        <v>0</v>
      </c>
      <c r="AQ167" s="133">
        <f>IF($K167=AQ$3,ROUND(IF(OR($C167="W",$C167="1/2W",$C167="1/2L"),$P167-$O167,IF($C167="X",0,-$O167)),2),0)</f>
        <v>0</v>
      </c>
      <c r="AR167" s="134">
        <f>IF($K167=AR$3,ROUND(IF(OR($C167="W",$C167="1/2W",$C167="1/2L"),$P167-$O167,IF($C167="X",0,-$O167)),2),0)</f>
        <v>0</v>
      </c>
      <c r="AS167" s="132">
        <f>IF(AND($B166=" ",$K167=AS$3),$O167,0)</f>
        <v>0</v>
      </c>
      <c r="AT167" s="133">
        <f>IF(AND($B166=" ",K167=AT$3),$O167,0)</f>
        <v>0</v>
      </c>
      <c r="AU167" s="133">
        <f>IF(AND($B166=" ",$K167=AU$3),$O167,0)</f>
        <v>0</v>
      </c>
      <c r="AV167" s="133">
        <f>IF(AND($B166=" ",$K167=AV$3),$O167,0)</f>
        <v>0</v>
      </c>
      <c r="AW167" s="133">
        <f>IF(AND($B166=" ",$K167=AW$3),$O167,0)</f>
        <v>0</v>
      </c>
      <c r="AX167" s="133">
        <f>IF(AND($B166=" ",$K167=AX$3),$O167,0)</f>
        <v>0</v>
      </c>
      <c r="AY167" s="135">
        <f>IF(AND($B166=" ",$K167=AY$3),$O167,0)</f>
        <v>0</v>
      </c>
      <c r="AZ167" s="136">
        <f>IF(AND($B166=" ",$K167=AZ$3),$O167,0)</f>
        <v>0</v>
      </c>
      <c r="BA167" s="136">
        <f>IF(AND($B166=" ",$K167=BA$3),$O167,0)</f>
        <v>0</v>
      </c>
      <c r="BB167" s="136">
        <f>IF(AND($B166=" ",$K167=BB$3),$O167,0)</f>
        <v>0</v>
      </c>
      <c r="BC167" s="137">
        <f>IF(AND($B166=" ",$K167=BC$3),$O167,0)</f>
        <v>0</v>
      </c>
      <c r="BD167" s="133">
        <f>IF(AND($B166=" ",$K167=BD$3),$O167,0)</f>
        <v>0</v>
      </c>
      <c r="BE167" s="134">
        <f>IF(AND($B166=" ",$K167=BE$3),$O167,0)</f>
        <v>0</v>
      </c>
      <c r="BF167" s="132">
        <f>IF($K167=BF$3,IF($C167="X",0,$O167),0)</f>
        <v>0</v>
      </c>
      <c r="BG167" s="281">
        <f>IF($K167=BG$3,IF($C167="X",0,$O167),0)</f>
        <v>0</v>
      </c>
      <c r="BH167" s="133">
        <f>IF($K167=BH$3,IF($C167="X",0,$O167),0)</f>
        <v>0</v>
      </c>
      <c r="BI167" s="133">
        <f>IF($K167=BI$3,IF($C167="X",0,$O167),0)</f>
        <v>0</v>
      </c>
      <c r="BJ167" s="133">
        <f>IF($K167=BJ$3,IF($C167="X",0,$O167),0)</f>
        <v>0</v>
      </c>
      <c r="BK167" s="133">
        <f>IF($K167=BK$3,IF($C167="X",0,$O167),0)</f>
        <v>0</v>
      </c>
      <c r="BL167" s="133">
        <f>IF($K167=BL$3,IF($C167="X",0,$O167),0)</f>
        <v>0</v>
      </c>
      <c r="BM167" s="135">
        <f>IF($K167=BM$3,IF($C167="X",0,$O167),0)</f>
        <v>50.69</v>
      </c>
      <c r="BN167" s="136">
        <f>IF($K167=BN$3,IF($C167="X",0,$O167),0)</f>
        <v>0</v>
      </c>
      <c r="BO167" s="136">
        <f>IF($K167=BO$3,IF($C167="X",0,$O167),0)</f>
        <v>0</v>
      </c>
      <c r="BP167" s="136">
        <f>IF($K167=BP$3,IF($C167="X",0,$O167),0)</f>
        <v>0</v>
      </c>
      <c r="BQ167" s="137">
        <f>IF($K167=BQ$3,IF($C167="X",0,$O167),0)</f>
        <v>0</v>
      </c>
      <c r="BR167" s="134">
        <f>IF($K167=BR$3,IF($C167="X",0,$O167),0)</f>
        <v>0</v>
      </c>
      <c r="BS167" s="282"/>
      <c r="BT167" s="283"/>
      <c r="BU167" s="140"/>
      <c r="BV167" s="283"/>
      <c r="BW167" s="140"/>
      <c r="BX167" s="140"/>
      <c r="BY167" s="140"/>
      <c r="BZ167" s="283"/>
      <c r="CA167" s="140"/>
      <c r="CB167" s="140"/>
      <c r="CC167" s="140"/>
      <c r="CD167" s="141"/>
      <c r="CE167" s="142"/>
      <c r="CF167" s="284">
        <f>IF(CF$3=$K167,IF($C167="W",1,IF($C167="1/2W",0.5,0)),0)</f>
        <v>0</v>
      </c>
      <c r="CG167" s="285">
        <f>IF(CF$3=$K167,IF($C167="L",1,IF($C167="1/2L",0.5,0)),0)</f>
        <v>0</v>
      </c>
      <c r="CH167" s="285">
        <f>IF(CH$3=$K167,IF($C167="W",1,IF($C167="1/2W",0.5,0)),0)</f>
        <v>0</v>
      </c>
      <c r="CI167" s="285">
        <f>IF(CH$3=$K167,IF($C167="L",1,IF($C167="1/2L",0.5,0)),0)</f>
        <v>0</v>
      </c>
      <c r="CJ167" s="285">
        <f>IF(CJ$3=$K167,IF($C167="W",1,IF($C167="1/2W",0.5,0)),0)</f>
        <v>0</v>
      </c>
      <c r="CK167" s="285">
        <f>IF(CJ$3=$K167,IF($C167="L",1,IF($C167="1/2L",0.5,0)),0)</f>
        <v>0</v>
      </c>
      <c r="CL167" s="285">
        <f>IF(CL$3=$K167,IF($C167="W",1,IF($C167="1/2W",0.5,0)),0)</f>
        <v>0</v>
      </c>
      <c r="CM167" s="285">
        <f>IF(CL$3=$K167,IF($C167="L",1,IF($C167="1/2L",0.5,0)),0)</f>
        <v>0</v>
      </c>
      <c r="CN167" s="285">
        <f>IF(CN$3=$K167,IF($C167="W",1,IF($C167="1/2W",0.5,0)),0)</f>
        <v>0</v>
      </c>
      <c r="CO167" s="285">
        <f>IF(CN$3=$K167,IF($C167="L",1,IF($C167="1/2L",0.5,0)),0)</f>
        <v>0</v>
      </c>
      <c r="CP167" s="285">
        <f>IF(CP$3=$K167,IF($C167="W",1,IF($C167="1/2W",0.5,0)),0)</f>
        <v>0</v>
      </c>
      <c r="CQ167" s="285">
        <f>IF(CP$3=$K167,IF($C167="L",1,IF($C167="1/2L",0.5,0)),0)</f>
        <v>0</v>
      </c>
      <c r="CR167" s="285">
        <f>IF(CR$3=$K167,IF($C167="W",1,IF($C167="1/2W",0.5,0)),0)</f>
        <v>0</v>
      </c>
      <c r="CS167" s="285">
        <f>IF(CR$3=$K167,IF($C167="L",1,IF($C167="1/2L",0.5,0)),0)</f>
        <v>0</v>
      </c>
      <c r="CT167" s="145">
        <f>IF(CT$3=$K167,IF($C167="W",1,IF($C167="1/2W",0.5,0)),0)</f>
        <v>0</v>
      </c>
      <c r="CU167" s="146">
        <f>IF(CT$3=$K167,IF($C167="L",1,IF($C167="1/2L",0.5,0)),0)</f>
        <v>1</v>
      </c>
      <c r="CV167" s="146">
        <f>IF(CV$3=$K167,IF($C167="W",1,IF($C167="1/2W",0.5,0)),0)</f>
        <v>0</v>
      </c>
      <c r="CW167" s="146">
        <f>IF(CV$3=$K167,IF($C167="L",1,IF($C167="1/2L",0.5,0)),0)</f>
        <v>0</v>
      </c>
      <c r="CX167" s="146">
        <f>IF(CX$3=$K167,IF($C167="W",1,IF($C167="1/2W",0.5,0)),0)</f>
        <v>0</v>
      </c>
      <c r="CY167" s="146">
        <f>IF(CX$3=$K167,IF($C167="L",1,IF($C167="1/2L",0.5,0)),0)</f>
        <v>0</v>
      </c>
      <c r="CZ167" s="146">
        <f>IF(CZ$3=$K167,IF($C167="W",1,IF($C167="1/2W",0.5,0)),0)</f>
        <v>0</v>
      </c>
      <c r="DA167" s="146">
        <f>IF(CZ$3=$K167,IF($C167="L",1,IF($C167="1/2L",0.5,0)),0)</f>
        <v>0</v>
      </c>
      <c r="DB167" s="146">
        <f>IF(DB$3=$K167,IF($C167="W",1,IF($C167="1/2W",0.5,0)),0)</f>
        <v>0</v>
      </c>
      <c r="DC167" s="146">
        <f>IF(DB$3=$K167,IF($C167="L",1,IF($C167="1/2L",0.5,0)),0)</f>
        <v>0</v>
      </c>
      <c r="DD167" s="146">
        <f>IF(DD$3=$K167,IF($C167="W",1,IF($C167="1/2W",0.5,0)),0)</f>
        <v>0</v>
      </c>
      <c r="DE167" s="147">
        <f>IF(DD$3=$K167,IF($C167="L",1,IF($C167="1/2L",0.5,0)),0)</f>
        <v>0</v>
      </c>
      <c r="DF167" s="143">
        <f>IF(AND(L167&lt;DF$3,$C167="W"),1+DF166,DF166)</f>
        <v>8</v>
      </c>
      <c r="DG167" s="133">
        <f>IF(DF167&gt;DF166,L167+DG166,DG166)</f>
        <v>10.598</v>
      </c>
      <c r="DH167" s="146">
        <f>IF(AND(L167&gt;DH$3,$C167="W"),1+DH166,0+DH166)</f>
        <v>2</v>
      </c>
      <c r="DI167" s="133">
        <f>IF(DH167&gt;DH166,L167+DI166,DI166)</f>
        <v>11.58</v>
      </c>
      <c r="DJ167" t="s" s="304">
        <f>IF($D166="","",$D166)</f>
        <v>184</v>
      </c>
      <c r="DK167" s="286"/>
    </row>
    <row r="168" ht="14.55" customHeight="1">
      <c r="A168" s="149"/>
      <c r="B168" s="150"/>
      <c r="C168" t="s" s="151">
        <v>58</v>
      </c>
      <c r="D168" s="152"/>
      <c r="E168" s="153"/>
      <c r="F168" s="155"/>
      <c r="G168" s="252"/>
      <c r="H168" s="156"/>
      <c r="I168" s="287"/>
      <c r="J168" s="288"/>
      <c r="K168" s="156"/>
      <c r="L168" s="289"/>
      <c r="M168" s="290"/>
      <c r="N168" s="161"/>
      <c r="O168" t="s" s="162">
        <f>IF(OR(AE166="",AE167=""),"",IF(L168&gt;0,ROUND(IF(M168&gt;0,M168,IF(M166&gt;0,ROUND((M166*AE168)/AE166,IF(N166=0,2,IF(N166=0.1,1,0))),IF(M167&gt;0,ROUND((M167*AE168)/AE167,IF(N166=0,2,IF(N166=0.1,1,0))),IF(M168&gt;0,M168,0)))),2),""))</f>
      </c>
      <c r="P168" t="s" s="163">
        <f>IF(I167="Lay",O167*(L167/(L167-1))-O167,IF(I166="Lay",O166*(L166/(L166-1))-O166,IF(OR(L168="",O168=""),"",IF($C168="1/2W",O168/2+O168/2*L168,IF($C168="1/2L",O168/2,(O168*L168-O168)*(1-_xlfn.XLOOKUP(K168,'Janeiro 2023 - Valor Real'!A3:A15,'Janeiro 2023 - Valor Real'!C3:C15,0))+O168)))))</f>
      </c>
      <c r="Q168" t="s" s="154"/>
      <c r="R168" t="s" s="163"/>
      <c r="S168" s="166"/>
      <c r="T168" s="155"/>
      <c r="U168" s="155"/>
      <c r="V168" s="166"/>
      <c r="W168" s="155"/>
      <c r="X168" s="167"/>
      <c r="Y168" s="128"/>
      <c r="Z168" s="129"/>
      <c r="AA168" s="129"/>
      <c r="AB168" s="129"/>
      <c r="AC168" s="129"/>
      <c r="AD168" s="168"/>
      <c r="AE168" t="s" s="169">
        <f>IF(L168="","",(SUM(((L166-1)*(1-_xlfn.XLOOKUP(K166,'Janeiro 2023 - Valor Real'!A3:A15,'Janeiro 2023 - Valor Real'!C3:C15,0))+1),((L167-1)*(1-_xlfn.XLOOKUP(K167,'Janeiro 2023 - Valor Real'!A3:A15,'Janeiro 2023 - Valor Real'!C3:C15,0))+1),((L168-1)*(1-_xlfn.XLOOKUP(K168,'Janeiro 2023 - Valor Real'!A3:A15,'Janeiro 2023 - Valor Real'!C3:C15,0))+1))/((L168-1)*(1-_xlfn.XLOOKUP(K168,'Janeiro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Real'!C3:C15,0))+1))/((L166-1)*(1-_xlfn.XLOOKUP(K166,'Janeiro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Real'!C3:C15,0))+1))/((L167-1)*(1-_xlfn.XLOOKUP(K167,'Janeiro 2023 - Valor Real'!A3:A15,'Janeiro 2023 - Valor Real'!C3:C15,0))+1)+SUM(((L166-1)*(1-_xlfn.XLOOKUP(K166,'Janeiro 2023 - Valor Real'!A3:A15,'Janeiro 2023 - Valor Real'!C3:C15,0))+1),((L167-1)*(1-_xlfn.XLOOKUP(K167,'Janeiro 2023 - Valor Real'!A3:A15,'Janeiro 2023 - Valor Real'!C3:C15,0))+1),((L168-1)*(1-_xlfn.XLOOKUP(K168,'Janeiro 2023 - Valor Real'!A3:A15,'Janeiro 2023 - Valor Real'!C3:C15,0))+1))/((L168-1)*(1-_xlfn.XLOOKUP(K168,'Janeiro 2023 - Valor Real'!A3:A15,'Janeiro 2023 - Valor Real'!C3:C15,0))+1)))</f>
      </c>
      <c r="AF168" s="132">
        <f>IF($K168=AF$3,ROUND(IF(OR($C168="W",$C168="1/2W",$C168="1/2L"),$P168-$O168,IF($C168="X",0,-$O168)),2),0)</f>
        <v>0</v>
      </c>
      <c r="AG168" s="133">
        <f>IF($K168=AG$3,ROUND(IF(OR($C168="W",$C168="1/2W",$C168="1/2L"),$P168-$O168,IF($C168="X",0,-$O168)),2),0)</f>
        <v>0</v>
      </c>
      <c r="AH168" s="133">
        <f>IF($K168=AH$3,ROUND(IF(OR($C168="W",$C168="1/2W",$C168="1/2L"),$P168-$O168,IF($C168="X",0,-$O168)),2),0)</f>
        <v>0</v>
      </c>
      <c r="AI168" s="133">
        <f>IF($K168=AI$3,ROUND(IF(OR($C168="W",$C168="1/2W",$C168="1/2L"),$P168-$O168,IF($C168="X",0,-$O168)),2),0)</f>
        <v>0</v>
      </c>
      <c r="AJ168" s="133">
        <f>IF($K168=AJ$3,ROUND(IF(OR($C168="W",$C168="1/2W",$C168="1/2L"),$P168-$O168,IF($C168="X",0,-$O168)),2),0)</f>
        <v>0</v>
      </c>
      <c r="AK168" s="133">
        <f>IF($K168=AK$3,ROUND(IF(OR($C168="W",$C168="1/2W",$C168="1/2L"),$P168-$O168,IF($C168="X",0,-$O168)),2),0)</f>
        <v>0</v>
      </c>
      <c r="AL168" s="133">
        <f>IF($K168=AL$3,ROUND(IF(OR($C168="W",$C168="1/2W",$C168="1/2L"),$P168-$O168,IF($C168="X",0,-$O168)),2),0)</f>
        <v>0</v>
      </c>
      <c r="AM168" s="133">
        <f>IF($K168=AM$3,ROUND(IF(OR($C168="W",$C168="1/2W",$C168="1/2L"),$P168-$O168,IF($C168="X",0,-$O168)),2),0)</f>
        <v>0</v>
      </c>
      <c r="AN168" s="133">
        <f>IF($K168=AN$3,ROUND(IF(OR($C168="W",$C168="1/2W",$C168="1/2L"),$P168-$O168,IF($C168="X",0,-$O168)),2),0)</f>
        <v>0</v>
      </c>
      <c r="AO168" s="133">
        <f>IF($K168=AO$3,ROUND(IF(OR($C168="W",$C168="1/2W",$C168="1/2L"),$P168-$O168,IF($C168="X",0,-$O168)),2),0)</f>
        <v>0</v>
      </c>
      <c r="AP168" s="133">
        <f>IF($K168=AP$3,ROUND(IF(OR($C168="W",$C168="1/2W",$C168="1/2L"),$P168-$O168,IF($C168="X",0,-$O168)),2),0)</f>
        <v>0</v>
      </c>
      <c r="AQ168" s="133">
        <f>IF($K168=AQ$3,ROUND(IF(OR($C168="W",$C168="1/2W",$C168="1/2L"),$P168-$O168,IF($C168="X",0,-$O168)),2),0)</f>
        <v>0</v>
      </c>
      <c r="AR168" s="134">
        <f>IF($K168=AR$3,ROUND(IF(OR($C168="W",$C168="1/2W",$C168="1/2L"),$P168-$O168,IF($C168="X",0,-$O168)),2),0)</f>
        <v>0</v>
      </c>
      <c r="AS168" s="132">
        <f>IF(AND($B166=" ",$K168=AS$3),$O168,0)</f>
        <v>0</v>
      </c>
      <c r="AT168" s="133">
        <f>IF(AND($B166=" ",K168=AT$3),$O168,0)</f>
        <v>0</v>
      </c>
      <c r="AU168" s="133">
        <f>IF(AND($B166=" ",$K168=AU$3),$O168,0)</f>
        <v>0</v>
      </c>
      <c r="AV168" s="133">
        <f>IF(AND($B166=" ",$K168=AV$3),$O168,0)</f>
        <v>0</v>
      </c>
      <c r="AW168" s="133">
        <f>IF(AND($B166=" ",$K168=AW$3),$O168,0)</f>
        <v>0</v>
      </c>
      <c r="AX168" s="133">
        <f>IF(AND($B166=" ",$K168=AX$3),$O168,0)</f>
        <v>0</v>
      </c>
      <c r="AY168" s="135">
        <f>IF(AND($B166=" ",$K168=AY$3),$O168,0)</f>
        <v>0</v>
      </c>
      <c r="AZ168" s="136">
        <f>IF(AND($B166=" ",$K168=AZ$3),$O168,0)</f>
        <v>0</v>
      </c>
      <c r="BA168" s="136">
        <f>IF(AND($B166=" ",$K168=BA$3),$O168,0)</f>
        <v>0</v>
      </c>
      <c r="BB168" s="136">
        <f>IF(AND($B166=" ",$K168=BB$3),$O168,0)</f>
        <v>0</v>
      </c>
      <c r="BC168" s="137">
        <f>IF(AND($B166=" ",$K168=BC$3),$O168,0)</f>
        <v>0</v>
      </c>
      <c r="BD168" s="133">
        <f>IF(AND($B166=" ",$K168=BD$3),$O168,0)</f>
        <v>0</v>
      </c>
      <c r="BE168" s="134">
        <f>IF(AND($B166=" ",$K168=BE$3),$O168,0)</f>
        <v>0</v>
      </c>
      <c r="BF168" s="132">
        <f>IF($K168=BF$3,IF($C168="X",0,$O168),0)</f>
        <v>0</v>
      </c>
      <c r="BG168" s="281">
        <f>IF($K168=BG$3,IF($C168="X",0,$O168),0)</f>
        <v>0</v>
      </c>
      <c r="BH168" s="133">
        <f>IF($K168=BH$3,IF($C168="X",0,$O168),0)</f>
        <v>0</v>
      </c>
      <c r="BI168" s="133">
        <f>IF($K168=BI$3,IF($C168="X",0,$O168),0)</f>
        <v>0</v>
      </c>
      <c r="BJ168" s="133">
        <f>IF($K168=BJ$3,IF($C168="X",0,$O168),0)</f>
        <v>0</v>
      </c>
      <c r="BK168" s="133">
        <f>IF($K168=BK$3,IF($C168="X",0,$O168),0)</f>
        <v>0</v>
      </c>
      <c r="BL168" s="133">
        <f>IF($K168=BL$3,IF($C168="X",0,$O168),0)</f>
        <v>0</v>
      </c>
      <c r="BM168" s="135">
        <f>IF($K168=BM$3,IF($C168="X",0,$O168),0)</f>
        <v>0</v>
      </c>
      <c r="BN168" s="136">
        <f>IF($K168=BN$3,IF($C168="X",0,$O168),0)</f>
        <v>0</v>
      </c>
      <c r="BO168" s="136">
        <f>IF($K168=BO$3,IF($C168="X",0,$O168),0)</f>
        <v>0</v>
      </c>
      <c r="BP168" s="136">
        <f>IF($K168=BP$3,IF($C168="X",0,$O168),0)</f>
        <v>0</v>
      </c>
      <c r="BQ168" s="137">
        <f>IF($K168=BQ$3,IF($C168="X",0,$O168),0)</f>
        <v>0</v>
      </c>
      <c r="BR168" s="134">
        <f>IF($K168=BR$3,IF($C168="X",0,$O168),0)</f>
        <v>0</v>
      </c>
      <c r="BS168" s="282"/>
      <c r="BT168" s="283"/>
      <c r="BU168" s="140"/>
      <c r="BV168" s="283"/>
      <c r="BW168" s="140"/>
      <c r="BX168" s="140"/>
      <c r="BY168" s="140"/>
      <c r="BZ168" s="283"/>
      <c r="CA168" s="140"/>
      <c r="CB168" s="140"/>
      <c r="CC168" s="140"/>
      <c r="CD168" s="141"/>
      <c r="CE168" s="142"/>
      <c r="CF168" s="284">
        <f>IF(CF$3=$K168,IF($C168="W",1,IF($C168="1/2W",0.5,0)),0)</f>
        <v>0</v>
      </c>
      <c r="CG168" s="285">
        <f>IF(CF$3=$K168,IF($C168="L",1,IF($C168="1/2L",0.5,0)),0)</f>
        <v>0</v>
      </c>
      <c r="CH168" s="285">
        <f>IF(CH$3=$K168,IF($C168="W",1,IF($C168="1/2W",0.5,0)),0)</f>
        <v>0</v>
      </c>
      <c r="CI168" s="285">
        <f>IF(CH$3=$K168,IF($C168="L",1,IF($C168="1/2L",0.5,0)),0)</f>
        <v>0</v>
      </c>
      <c r="CJ168" s="285">
        <f>IF(CJ$3=$K168,IF($C168="W",1,IF($C168="1/2W",0.5,0)),0)</f>
        <v>0</v>
      </c>
      <c r="CK168" s="285">
        <f>IF(CJ$3=$K168,IF($C168="L",1,IF($C168="1/2L",0.5,0)),0)</f>
        <v>0</v>
      </c>
      <c r="CL168" s="285">
        <f>IF(CL$3=$K168,IF($C168="W",1,IF($C168="1/2W",0.5,0)),0)</f>
        <v>0</v>
      </c>
      <c r="CM168" s="285">
        <f>IF(CL$3=$K168,IF($C168="L",1,IF($C168="1/2L",0.5,0)),0)</f>
        <v>0</v>
      </c>
      <c r="CN168" s="285">
        <f>IF(CN$3=$K168,IF($C168="W",1,IF($C168="1/2W",0.5,0)),0)</f>
        <v>0</v>
      </c>
      <c r="CO168" s="285">
        <f>IF(CN$3=$K168,IF($C168="L",1,IF($C168="1/2L",0.5,0)),0)</f>
        <v>0</v>
      </c>
      <c r="CP168" s="285">
        <f>IF(CP$3=$K168,IF($C168="W",1,IF($C168="1/2W",0.5,0)),0)</f>
        <v>0</v>
      </c>
      <c r="CQ168" s="285">
        <f>IF(CP$3=$K168,IF($C168="L",1,IF($C168="1/2L",0.5,0)),0)</f>
        <v>0</v>
      </c>
      <c r="CR168" s="285">
        <f>IF(CR$3=$K168,IF($C168="W",1,IF($C168="1/2W",0.5,0)),0)</f>
        <v>0</v>
      </c>
      <c r="CS168" s="285">
        <f>IF(CR$3=$K168,IF($C168="L",1,IF($C168="1/2L",0.5,0)),0)</f>
        <v>0</v>
      </c>
      <c r="CT168" s="145">
        <f>IF(CT$3=$K168,IF($C168="W",1,IF($C168="1/2W",0.5,0)),0)</f>
        <v>0</v>
      </c>
      <c r="CU168" s="146">
        <f>IF(CT$3=$K168,IF($C168="L",1,IF($C168="1/2L",0.5,0)),0)</f>
        <v>0</v>
      </c>
      <c r="CV168" s="146">
        <f>IF(CV$3=$K168,IF($C168="W",1,IF($C168="1/2W",0.5,0)),0)</f>
        <v>0</v>
      </c>
      <c r="CW168" s="146">
        <f>IF(CV$3=$K168,IF($C168="L",1,IF($C168="1/2L",0.5,0)),0)</f>
        <v>0</v>
      </c>
      <c r="CX168" s="146">
        <f>IF(CX$3=$K168,IF($C168="W",1,IF($C168="1/2W",0.5,0)),0)</f>
        <v>0</v>
      </c>
      <c r="CY168" s="146">
        <f>IF(CX$3=$K168,IF($C168="L",1,IF($C168="1/2L",0.5,0)),0)</f>
        <v>0</v>
      </c>
      <c r="CZ168" s="146">
        <f>IF(CZ$3=$K168,IF($C168="W",1,IF($C168="1/2W",0.5,0)),0)</f>
        <v>0</v>
      </c>
      <c r="DA168" s="146">
        <f>IF(CZ$3=$K168,IF($C168="L",1,IF($C168="1/2L",0.5,0)),0)</f>
        <v>0</v>
      </c>
      <c r="DB168" s="146">
        <f>IF(DB$3=$K168,IF($C168="W",1,IF($C168="1/2W",0.5,0)),0)</f>
        <v>0</v>
      </c>
      <c r="DC168" s="146">
        <f>IF(DB$3=$K168,IF($C168="L",1,IF($C168="1/2L",0.5,0)),0)</f>
        <v>0</v>
      </c>
      <c r="DD168" s="146">
        <f>IF(DD$3=$K168,IF($C168="W",1,IF($C168="1/2W",0.5,0)),0)</f>
        <v>0</v>
      </c>
      <c r="DE168" s="147">
        <f>IF(DD$3=$K168,IF($C168="L",1,IF($C168="1/2L",0.5,0)),0)</f>
        <v>0</v>
      </c>
      <c r="DF168" s="143">
        <f>IF(AND(L168&lt;DF$3,$C168="W"),1+DF167,DF167)</f>
        <v>8</v>
      </c>
      <c r="DG168" s="133">
        <f>IF(DF168&gt;DF167,L168+DG167,DG167)</f>
        <v>10.598</v>
      </c>
      <c r="DH168" s="146">
        <f>IF(AND(L168&gt;DH$3,$C168="W"),1+DH167,0+DH167)</f>
        <v>2</v>
      </c>
      <c r="DI168" s="133">
        <f>IF(DH168&gt;DH167,L168+DI167,DI167)</f>
        <v>11.58</v>
      </c>
      <c r="DJ168" t="s" s="304">
        <f>IF($D166="","",$D166)</f>
        <v>184</v>
      </c>
      <c r="DK168" s="286"/>
    </row>
    <row r="169" ht="14.55" customHeight="1">
      <c r="A169" s="171">
        <f>$A166+1</f>
        <v>56</v>
      </c>
      <c r="B169" t="s" s="172">
        <f>IF(AND(_xlfn.XLOOKUP(H169,H$84:H86,G$84:G86,0)=G169,_xlfn.XLOOKUP("TempoBet",K169:K171,L169:L171,0)&gt;0),"X",IF(OR(C169="W",C170="W",C171="W",C169="1/2W",C170="1/2W",C171="1/2W",C169="1/2L",C170="1/2L",C171="1/2L"),"OK",IF(OR(C169="L",C170="L",C171="L"),"LOSS",IF(OR(C169="X",C170="X",C171="X"),"Anulado"," "))))</f>
        <v>50</v>
      </c>
      <c r="C169" t="s" s="173">
        <v>56</v>
      </c>
      <c r="D169" t="s" s="305">
        <f>IF(G169="","",$D166)</f>
        <v>184</v>
      </c>
      <c r="E169" t="s" s="175">
        <f>IF(G169=""," ","– "&amp;COUNTIF(D$4:D171,$D169))</f>
        <v>118</v>
      </c>
      <c r="F169" t="s" s="176"/>
      <c r="G169" s="177">
        <v>44944.458333333336</v>
      </c>
      <c r="H169" t="s" s="178">
        <v>195</v>
      </c>
      <c r="I169" s="298">
        <v>1</v>
      </c>
      <c r="J169" s="180"/>
      <c r="K169" t="s" s="181">
        <v>41</v>
      </c>
      <c r="L169" s="182">
        <v>2.33</v>
      </c>
      <c r="M169" s="183">
        <v>5.08</v>
      </c>
      <c r="N169" s="184">
        <v>0</v>
      </c>
      <c r="O169" s="185">
        <f>IF(OR(AE169="",AE170=""),"",ROUND(IF(L171&gt;0,IF(M169&gt;0,M169,IF(M170&gt;0,ROUND((M170*AE169)/AE170,IF(N169=0,2,IF(N169=0.1,1,0))),ROUND((M171*AE169)/AE171,IF(N169=0,2,IF(N169=0.1,1,0))))),IF(M169&gt;0,M169,ROUND((M170*AE169)/AE170,IF(N169=0,2,IF(N169=0.1,1,0))))),2))</f>
        <v>5.08</v>
      </c>
      <c r="P169" s="186">
        <f>IF(OR(L169="",O169=""),"",IF($C169="1/2W",O169/2+O169/2*L169,IF($C169="1/2L",O169/2,IF(I169="Lay",(O169*(L169/(L169-1))-O169)*(1-_xlfn.XLOOKUP(K169,'Janeiro 2023 - Valor Real'!A3:A15,'Janeiro 2023 - Valor Real'!C3:C15,0))+O169,(O169*L169-O169)*(1-_xlfn.XLOOKUP(K169,'Janeiro 2023 - Valor Real'!A3:A15,'Janeiro 2023 - Valor Real'!C3:C15,0))+O169))))</f>
        <v>11.8364</v>
      </c>
      <c r="Q169" s="187">
        <f>IF(K169="","",IF(_xlfn.XLOOKUP(K169,K$84:K86,DJ$84:DJ86,0,,-1)=DJ169,_xlfn.XLOOKUP(K169,K$84:K86,Q$84:Q86,1,,-1)+1,1))</f>
        <v>1</v>
      </c>
      <c r="R169" s="188">
        <f>IF(K169="","",_xlfn.XLOOKUP(K169,K$84:K86,R$84:R86,0,,-1)+IF($C169=" ",1,0))</f>
        <v>0</v>
      </c>
      <c r="S169" s="189">
        <f>IF($B169="Anulado",0,ROUND(IF(OR($B169="LOSS",$B169="OK"),IF(OR($C169="W",$C169="1/2W",$C169="1/2L"),P169-O169,IF($C169="L",-O169,0))+IF(OR($C170="W",$C170="1/2W",$C170="1/2L"),P170-O170,IF($C170="L",-O170,0))+IF(OR($C171="W",$C171="1/2W",$C171="1/2L"),P171-O171,IF($C171="L",-O171,0)),IF(AND(OR($C169="W",$C169="1/2W",$C169="1/2L"),C170="W"),P169+P170-SUM(O169:O171)+_xlfn.XLOOKUP("X",C169:C171,O169:O171,0),IF(AND(C169=TRUE,C171="W"),P169+P171-SUM(O169:O171),IF(AND(C170="W",C171="W"),P170+P171-SUM(O169:O171)+_xlfn.XLOOKUP("X",C169:C171,O169:O171,0),IF(L171&gt;0,IF(OR($C169="W",$C169="1/2W",$C169="1/2L"),P169-SUM(O169:O171)+_xlfn.XLOOKUP("X",C169:C171,O169:O171,0),IF(OR($C169="W",$C169="1/2W",$C169="1/2L"),P170-SUM(O169:O171)+_xlfn.XLOOKUP("X",C169:C171,O169:O171,0),IF(OR($C169="W",$C169="1/2W",$C169="1/2L"),P171-SUM(O169:O171)+_xlfn.XLOOKUP("X",C169:C171,O169:O171,0),IF(SUM(P169:P171)/3-SUM(O169:O171)+_xlfn.XLOOKUP("X",C169:C171,O169:O171,0)&gt;0,SUM(P169:P171)/3-SUM(O169:O171)+_xlfn.XLOOKUP("X",C169:C171,O169:O171,0),LARGE(P169:P171,1)-SUM(O169:O171))))),IF(OR($C169="W",$C169="1/2W",$C169="1/2L"),P169-SUM(O169:O170)+_xlfn.XLOOKUP("X",C169:C171,O169:O171,0),IF(OR($C169="W",$C169="1/2W",$C169="1/2L"),P170-SUM(O169:O170)+_xlfn.XLOOKUP("X",C169:C171,O169:O171,0),SUM(P169:P170)/2-SUM(O169:O170)+_xlfn.XLOOKUP("X",C169:C171,O169:O171,0)))))))),2))</f>
        <v>0.73</v>
      </c>
      <c r="T169" s="190">
        <f>IF(S169=0,0,S169/SUM(O169:O171))</f>
        <v>0.0657065706570657</v>
      </c>
      <c r="U169" s="191">
        <f>IF($D169=$D166,IF(OR($B169="LOSS",$B169="OK",$B169="Anulada"),S169,0)+U166,IF(OR($B169="LOSS",$B169="OK",$B169="Anulada"),S169,0))</f>
        <v>25.83</v>
      </c>
      <c r="V169" s="191">
        <f>IF($D169="",0,IF($D169=$D166,IF($B169=" ",IF(I171="",IF(OR(AND(I169="DNB1",I170="DNB2"),AND(OR(I169="DNB1",I169="DNB2"),J170=0),AND(OR(I170="DNB1",I170="DNB2"),J169=0),AND(I169="DNB2",I170="DNB1"),AND(IF(J169=0,(J169+1)/ROUND(J169+1,0),J169/ROUND(J169,0))=1,IF(J170=0,(J170+1)/ROUND(IF(J170="",0,J170)+1,0),IF(J170="",0,J170)/ROUND(IF(J170="",1,J170),0))=1,OR(J169&lt;&gt;""),J170&lt;&gt;"")),0,IF(S169&lt;0,IF(I171="",SMALL(P169:P170,1)-SUM(O169:O170),0),SMALL(P169:P170,1)-SUM(O169:O170))),IF(S169&lt;0,IF(I171="",SMALL(P169:P171,1)-SUM(O169:O171),0),LARGE(P169:P171,1)-SUM(O169:O171))),S169)+V166,IF(I171="",IF(OR(AND(I169="DNB1",I170="DNB2"),AND(OR(I169="DNB1",I169="DNB2"),J170=0),AND(OR(I170="DNB1",I170="DNB2"),J169=0),AND(I169="DNB2",I170="DNB1"),AND(IF(J169=0,(J169+1)/ROUND(J169+1,0),J169/ROUND(J169,0))=1,IF(J170=0,(IF(J170="",0,J170)+1)/ROUND(IF(J170="",0,J170)+1,0),IF(J170="",0,J170)/ROUND(IF(J170="",0,J170)+1,0))=1,OR(J169&lt;&gt;""),J170&lt;&gt;"")),0,IF(S169&lt;0,IF(I171="",SMALL(P169:P170,1)-SUM(O169:O170),0),SMALL(P169:P171,1)-SUM(O169:O171))),IF(S169&lt;0,IF(I171="",SMALL(P169:P171,1)-SUM(O169:O171),0),LARGE(P169:P171,1)-SUM(O169:O171)))))</f>
        <v>25.8275</v>
      </c>
      <c r="W169" s="191">
        <f>IF($D169=$D166,IF(S169&lt;0,IF(I171="",S169,0),S169)+W166,S169)</f>
        <v>25.83</v>
      </c>
      <c r="X169" t="s" s="192">
        <f>IF(OR(SUM(R169:R171)=0,V169=W169),ROUND(IF(W169=0,0,W169/Y169)*100,2)&amp;"%",ROUND(IF(V169=0,0,V169/Y169)*100,2)&amp;"% a "&amp;ROUND(IF(W169=0,0,W169/Y169)*100,2)&amp;"%")</f>
        <v>90</v>
      </c>
      <c r="Y169" s="193">
        <f>IF($D169=$D166,Y166+SUM(O169:O171),SUM(O169:O171))</f>
        <v>355.71</v>
      </c>
      <c r="Z169" s="191">
        <f>IF($B169=" ",SUM(O169:O171),0)+Z166</f>
        <v>0</v>
      </c>
      <c r="AA169" s="191">
        <f>IF(G169="","",IF($B169="Anulado",LARGE(P169:P171,1)-SUM(O169:O171)+AA166,AA166))</f>
        <v>14.1564</v>
      </c>
      <c r="AB169" s="191">
        <f>IF($D169="","",AB166+S169)</f>
        <v>150.94</v>
      </c>
      <c r="AC169" s="194">
        <f>IF($D169="","",IF($B169=" ",IF(DAY(G169)=DAY(TODAY()),1+AC166,0+AC166),0+AC166))</f>
        <v>0</v>
      </c>
      <c r="AD169" s="195">
        <f>(((L170/(L170-1)-1)*(1-_xlfn.XLOOKUP(K170,'Janeiro 2023 - Valor Real'!A3:A15,'Janeiro 2023 - Valor Real'!C3:C15,0))+1))/(((L169-1)*(1-_xlfn.XLOOKUP(K169,'Janeiro 2023 - Valor Real'!A3:A15,'Janeiro 2023 - Valor Real'!C3:C15,0))+1)+((L170/(L170-1)-1)*(1-_xlfn.XLOOKUP(K170,'Janeiro 2023 - Valor Real'!A3:A15,'Janeiro 2023 - Valor Real'!C3:C15,0))+1))</f>
        <v>0.45737197186142</v>
      </c>
      <c r="AE169" s="196">
        <f>IF(L169="","",IF(L171&gt;0,(SUM(((L169-1)*(1-_xlfn.XLOOKUP(K169,'Janeiro 2023 - Valor Real'!A3:A15,'Janeiro 2023 - Valor Real'!C3:C15,0))+1),((L170-1)*(1-_xlfn.XLOOKUP(K170,'Janeiro 2023 - Valor Real'!A3:A15,'Janeiro 2023 - Valor Real'!C3:C15,0))+1),((L171-1)*(1-_xlfn.XLOOKUP(K171,'Janeiro 2023 - Valor Real'!A3:A15,'Janeiro 2023 - Valor Real'!C3:C15,0))+1))/((L169-1)*(1-_xlfn.XLOOKUP(K169,'Janeiro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Real'!C3:C15,0))+1))/((L169-1)*(1-_xlfn.XLOOKUP(K169,'Janeiro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Real'!C3:C15,0))+1))/((L170-1)*(1-_xlfn.XLOOKUP(K170,'Janeiro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Real'!C3:C15,0))+1))/((L171-1)*(1-_xlfn.XLOOKUP(K171,'Janeiro 2023 - Valor Real'!A3:A15,'Janeiro 2023 - Valor Real'!C3:C15,0))+1)),IF(I169="Lay",IF(I170="Lay",((L170/(L170-1)-1)*(1-_xlfn.XLOOKUP(K170,'Janeiro 2023 - Valor Real'!A3:A15,'Janeiro 2023 - Valor Real'!C3:C15,0))+1)/(((L170/(L170-1)-1)*(1-_xlfn.XLOOKUP(K170,'Janeiro 2023 - Valor Real'!A3:A15,'Janeiro 2023 - Valor Real'!C3:C15,0))+1)+((L169/(L169-1)-1)*(1-_xlfn.XLOOKUP(K169,'Janeiro 2023 - Valor Real'!A3:A15,'Janeiro 2023 - Valor Real'!C3:C15,0))+1)),((L170-1)*(1-_xlfn.XLOOKUP(K170,'Janeiro 2023 - Valor Real'!A3:A15,'Janeiro 2023 - Valor Real'!C3:C15,0))+1)/(((L170-1)*(1-_xlfn.XLOOKUP(K170,'Janeiro 2023 - Valor Real'!A3:A15,'Janeiro 2023 - Valor Real'!C3:C15,0))+1)+((L169/(L169-1)-1)*(1-_xlfn.XLOOKUP(K169,'Janeiro 2023 - Valor Real'!A3:A15,'Janeiro 2023 - Valor Real'!C3:C15,0))+1))),IF(I170="Lay",(((L170/(L170-1)-1)*(1-_xlfn.XLOOKUP(K170,'Janeiro 2023 - Valor Real'!A3:A15,'Janeiro 2023 - Valor Real'!C3:C15,0))+1))/(((L169-1)*(1-_xlfn.XLOOKUP(K169,'Janeiro 2023 - Valor Real'!A3:A15,'Janeiro 2023 - Valor Real'!C3:C15,0))+1)+((L170/(L170-1)-1)*(1-_xlfn.XLOOKUP(K170,'Janeiro 2023 - Valor Real'!A3:A15,'Janeiro 2023 - Valor Real'!C3:C15,0))+1)),((L170-1)*(1-_xlfn.XLOOKUP(K170,'Janeiro 2023 - Valor Real'!A3:A15,'Janeiro 2023 - Valor Real'!C3:C15,0))+1)/(((L170-1)*(1-_xlfn.XLOOKUP(K170,'Janeiro 2023 - Valor Real'!A3:A15,'Janeiro 2023 - Valor Real'!C3:C15,0))+1)+((L169-1)*(1-_xlfn.XLOOKUP(K169,'Janeiro 2023 - Valor Real'!A3:A15,'Janeiro 2023 - Valor Real'!C3:C15,0))+1))))))</f>
        <v>0.45737197186142</v>
      </c>
      <c r="AF169" s="197">
        <f>IF($K169=AF$3,ROUND(IF(OR($C169="W",$C169="1/2W",$C169="1/2L"),$P169-$O169,IF($C169="X",0,-$O169)),2),0)</f>
        <v>0</v>
      </c>
      <c r="AG169" s="198">
        <f>IF($K169=AG$3,ROUND(IF(OR($C169="W",$C169="1/2W",$C169="1/2L"),$P169-$O169,IF($C169="X",0,-$O169)),2),0)</f>
        <v>0</v>
      </c>
      <c r="AH169" s="198">
        <f>IF($K169=AH$3,ROUND(IF(OR($C169="W",$C169="1/2W",$C169="1/2L"),$P169-$O169,IF($C169="X",0,-$O169)),2),0)</f>
        <v>0</v>
      </c>
      <c r="AI169" s="198">
        <f>IF($K169=AI$3,ROUND(IF(OR($C169="W",$C169="1/2W",$C169="1/2L"),$P169-$O169,IF($C169="X",0,-$O169)),2),0)</f>
        <v>0</v>
      </c>
      <c r="AJ169" s="198">
        <f>IF($K169=AJ$3,ROUND(IF(OR($C169="W",$C169="1/2W",$C169="1/2L"),$P169-$O169,IF($C169="X",0,-$O169)),2),0)</f>
        <v>6.76</v>
      </c>
      <c r="AK169" s="198">
        <f>IF($K169=AK$3,ROUND(IF(OR($C169="W",$C169="1/2W",$C169="1/2L"),$P169-$O169,IF($C169="X",0,-$O169)),2),0)</f>
        <v>0</v>
      </c>
      <c r="AL169" s="198">
        <f>IF($K169=AL$3,ROUND(IF(OR($C169="W",$C169="1/2W",$C169="1/2L"),$P169-$O169,IF($C169="X",0,-$O169)),2),0)</f>
        <v>0</v>
      </c>
      <c r="AM169" s="198">
        <f>IF($K169=AM$3,ROUND(IF(OR($C169="W",$C169="1/2W",$C169="1/2L"),$P169-$O169,IF($C169="X",0,-$O169)),2),0)</f>
        <v>0</v>
      </c>
      <c r="AN169" s="198">
        <f>IF($K169=AN$3,ROUND(IF(OR($C169="W",$C169="1/2W",$C169="1/2L"),$P169-$O169,IF($C169="X",0,-$O169)),2),0)</f>
        <v>0</v>
      </c>
      <c r="AO169" s="198">
        <f>IF($K169=AO$3,ROUND(IF(OR($C169="W",$C169="1/2W",$C169="1/2L"),$P169-$O169,IF($C169="X",0,-$O169)),2),0)</f>
        <v>0</v>
      </c>
      <c r="AP169" s="198">
        <f>IF($K169=AP$3,ROUND(IF(OR($C169="W",$C169="1/2W",$C169="1/2L"),$P169-$O169,IF($C169="X",0,-$O169)),2),0)</f>
        <v>0</v>
      </c>
      <c r="AQ169" s="198">
        <f>IF($K169=AQ$3,ROUND(IF(OR($C169="W",$C169="1/2W",$C169="1/2L"),$P169-$O169,IF($C169="X",0,-$O169)),2),0)</f>
        <v>0</v>
      </c>
      <c r="AR169" s="199">
        <f>IF($K169=AR$3,ROUND(IF(OR($C169="W",$C169="1/2W",$C169="1/2L"),$P169-$O169,IF($C169="X",0,-$O169)),2),0)</f>
        <v>0</v>
      </c>
      <c r="AS169" s="197">
        <f>IF(AND($B169=" ",$K169=AS$3),$O169,0)</f>
        <v>0</v>
      </c>
      <c r="AT169" s="198">
        <f>IF(AND($B169=" ",$K169=AT$3),$O169,0)</f>
        <v>0</v>
      </c>
      <c r="AU169" s="198">
        <f>IF(AND($B169=" ",$K169=AU$3),$O169,0)</f>
        <v>0</v>
      </c>
      <c r="AV169" s="198">
        <f>IF(AND($B169=" ",$K169=AV$3),$O169,0)</f>
        <v>0</v>
      </c>
      <c r="AW169" s="198">
        <f>IF(AND($B169=" ",$K169=AW$3),$O169,0)</f>
        <v>0</v>
      </c>
      <c r="AX169" s="198">
        <f>IF(AND($B169=" ",$K169=AX$3),$O169,0)</f>
        <v>0</v>
      </c>
      <c r="AY169" s="200">
        <f>IF(AND($B169=" ",$K169=AY$3),$O169,0)</f>
        <v>0</v>
      </c>
      <c r="AZ169" s="201">
        <f>IF(AND($B169=" ",$K169=AZ$3),$O169,0)</f>
        <v>0</v>
      </c>
      <c r="BA169" s="201">
        <f>IF(AND($B169=" ",$K169=BA$3),$O169,0)</f>
        <v>0</v>
      </c>
      <c r="BB169" s="201">
        <f>IF(AND($B169=" ",$K169=BB$3),$O169,0)</f>
        <v>0</v>
      </c>
      <c r="BC169" s="202">
        <f>IF(AND($B169=" ",$K169=BC$3),$O169,0)</f>
        <v>0</v>
      </c>
      <c r="BD169" s="198">
        <f>IF(AND($B169=" ",$K169=BD$3),$O169,0)</f>
        <v>0</v>
      </c>
      <c r="BE169" s="199">
        <f>IF(AND($B169=" ",$K169=BE$3),$O169,0)</f>
        <v>0</v>
      </c>
      <c r="BF169" s="203">
        <f>IF($K169=BF$3,IF($C169="X",0,$O169),0)</f>
        <v>0</v>
      </c>
      <c r="BG169" s="198">
        <f>IF($K169=BG$3,IF($C169="X",0,$O169),0)</f>
        <v>0</v>
      </c>
      <c r="BH169" s="198">
        <f>IF($K169=BH$3,IF($C169="X",0,$O169),0)</f>
        <v>0</v>
      </c>
      <c r="BI169" s="198">
        <f>IF($K169=BI$3,IF($C169="X",0,$O169),0)</f>
        <v>0</v>
      </c>
      <c r="BJ169" s="198">
        <f>IF($K169=BJ$3,IF($C169="X",0,$O169),0)</f>
        <v>5.08</v>
      </c>
      <c r="BK169" s="198">
        <f>IF($K169=BK$3,IF($C169="X",0,$O169),0)</f>
        <v>0</v>
      </c>
      <c r="BL169" s="198">
        <f>IF($K169=BL$3,IF($C169="X",0,$O169),0)</f>
        <v>0</v>
      </c>
      <c r="BM169" s="200">
        <f>IF($K169=BM$3,IF($C169="X",0,$O169),0)</f>
        <v>0</v>
      </c>
      <c r="BN169" s="201">
        <f>IF($K169=BN$3,IF($C169="X",0,$O169),0)</f>
        <v>0</v>
      </c>
      <c r="BO169" s="201">
        <f>IF($K169=BO$3,IF($C169="X",0,$O169),0)</f>
        <v>0</v>
      </c>
      <c r="BP169" s="201">
        <f>IF($K169=BP$3,IF($C169="X",0,$O169),0)</f>
        <v>0</v>
      </c>
      <c r="BQ169" s="202">
        <f>IF($K169=BQ$3,IF($C169="X",0,$O169),0)</f>
        <v>0</v>
      </c>
      <c r="BR169" s="199">
        <f>IF($K169=BR$3,IF($C169="X",0,$O169),0)</f>
        <v>0</v>
      </c>
      <c r="BS169" s="204">
        <f>IF($B169="LOSS",IF(AND($K169=BS$3,$C169="L"),-$O169,0)+IF(AND($K170=BS$3,$C170="L"),-$O170,0)+IF(AND($K171=BS$3,$C171="L"),-$O171,0),IF(OR(AND($K169=BS$3,OR($C169="W",$C169="1/2W")),AND($K170=BS$3,OR($C170="W",$C170="1/2W")),AND($K171=BS$3,OR($C171="W",$C171="1/2W"))),$S169,0))</f>
        <v>0</v>
      </c>
      <c r="BT169" s="201">
        <f>IF($B169="LOSS",IF(AND($K169=BT$3,$C169="L"),-$O169,0)+IF(AND($K170=BT$3,$C170="L"),-$O170,0)+IF(AND($K170=BT$3,$C171="L"),-$O171,0),IF(OR(AND($K170=BT$3,OR($C169="W",$C169="1/2W")),AND($K170=BT$3,OR($C170="W",$C170="1/2W")),AND($K170=BT$3,OR($C171="W",$C171="1/2W"))),$S169,0))</f>
        <v>0</v>
      </c>
      <c r="BU169" s="201">
        <f>IF($B169="LOSS",IF(AND($K169=BU$3,$C169="L"),-$O169,0)+IF(AND($K170=BU$3,$C170="L"),-$O170,0)+IF(AND($K170=BU$3,$C171="L"),-$O171,0),IF(OR(AND($K170=BU$3,OR($C169="W",$C169="1/2W")),AND($K170=BU$3,OR($C170="W",$C170="1/2W")),AND($K170=BU$3,OR($C171="W",$C171="1/2W"))),$S169,0))</f>
        <v>0.73</v>
      </c>
      <c r="BV169" s="201">
        <f>IF($B169="LOSS",IF(AND($K169=BV$3,$C169="L"),-$O169,0)+IF(AND($K170=BV$3,$C170="L"),-$O170,0)+IF(AND($K171=BV$3,$C171="L"),-$O171,0),IF(OR(AND($K169=BV$3,OR($C169="W",$C169="1/2W")),AND($K170=BV$3,OR($C170="W",$C170="1/2W")),AND($K171=BV$3,OR($C171="W",$C171="1/2W"))),$S169,0))</f>
        <v>0</v>
      </c>
      <c r="BW169" s="201">
        <f>IF($B169="LOSS",IF(AND($K169=BW$3,$C169="L"),-$O169,0)+IF(AND($K170=BW$3,$C170="L"),-$O170,0)+IF(AND($K171=BW$3,$C171="L"),-$O171,0),IF(OR(AND($K169=BW$3,OR($C169="W",$C169="1/2W")),AND($K170=BW$3,OR($C170="W",$C170="1/2W")),AND($K171=BW$3,OR($C171="W",$C171="1/2W"))),$S169,0))</f>
        <v>0.73</v>
      </c>
      <c r="BX169" s="201">
        <f>IF($B169="LOSS",IF(AND($K169=BX$3,$C169="L"),-$O169,0)+IF(AND($K170=BX$3,$C170="L"),-$O170,0)+IF(AND($K171=BX$3,$C171="L"),-$O171,0),IF(OR(AND($K169=BX$3,OR($C169="W",$C169="1/2W")),AND($K170=BX$3,OR($C170="W",$C170="1/2W")),AND($K171=BX$3,OR($C171="W",$C171="1/2W"))),$S169,0))</f>
        <v>0</v>
      </c>
      <c r="BY169" s="201">
        <f>IF($B169="LOSS",IF(AND($K169=BY$3,$C169="L"),-$O169,0)+IF(AND($K170=BY$3,$C170="L"),-$O170,0)+IF(AND($K171=BY$3,$C171="L"),-$O171,0),IF(OR(AND($K169=BY$3,OR($C169="W",$C169="1/2W")),AND($K170=BY$3,OR($C170="W",$C170="1/2W")),AND($K171=BY$3,OR($C171="W",$C171="1/2W"))),$S169,0))</f>
        <v>0</v>
      </c>
      <c r="BZ169" s="205">
        <f>IF($B169="LOSS",IF(AND($K169=BZ$3,$C169="L"),-$O169,0)+IF(AND($K170=BZ$3,$C170="L"),-$O170,0)+IF(AND($K171=BZ$3,$C171="L"),-$O171,0),IF(OR(AND($K169=BZ$3,OR($C169="W",$C169="1/2W")),AND($K170=BZ$3,OR($C170="W",$C170="1/2W")),AND($K171=BZ$3,OR($C171="W",$C171="1/2W"))),$S169,0))</f>
        <v>0</v>
      </c>
      <c r="CA169" s="205">
        <f>IF($B169="LOSS",IF(AND($K169=CA$3,$C169="L"),-$O169,0)+IF(AND($K170=CA$3,$C170="L"),-$O170,0)+IF(AND($K171=CA$3,$C171="L"),-$O171,0),IF(OR(AND($K169=CA$3,OR($C169="W",$C169="1/2W")),AND($K170=CA$3,OR($C170="W",$C170="1/2W")),AND($K171=CA$3,OR($C171="W",$C171="1/2W"))),$S169,0))</f>
        <v>0</v>
      </c>
      <c r="CB169" s="205">
        <f>IF($B169="LOSS",IF(AND($K169=CB$3,$C169="L"),-$O169,0)+IF(AND($K170=CB$3,$C170="L"),-$O170,0)+IF(AND($K171=CB$3,$C171="L"),-$O171,0),IF(OR(AND($K169=CB$3,OR($C169="W",$C169="1/2W")),AND($K170=CB$3,OR($C170="W",$C170="1/2W")),AND($K171=CB$3,OR($C171="W",$C171="1/2W"))),$S169,0))</f>
        <v>0</v>
      </c>
      <c r="CC169" s="205">
        <f>IF($B169="LOSS",IF(AND($K169=CC$3,$C169="L"),-$O169,0)+IF(AND($K170=CC$3,$C170="L"),-$O170,0)+IF(AND($K171=CC$3,$C171="L"),-$O171,0),IF(OR(AND($K169=CC$3,OR($C169="W",$C169="1/2W")),AND($K170=CC$3,OR($C170="W",$C170="1/2W")),AND($K171=CC$3,OR($C171="W",$C171="1/2W"))),$S169,0))</f>
        <v>0</v>
      </c>
      <c r="CD169" s="202">
        <f>IF($B169="LOSS",IF(AND($K169=CD$3,$C169="L"),-$O169,0)+IF(AND($K170=CD$3,$C170="L"),-$O170,0)+IF(AND($K171=CD$3,$C171="L"),-$O171,0),IF(OR(AND($K169=CD$3,OR($C169="W",$C169="1/2W")),AND($K170=CD$3,OR($C170="W",$C170="1/2W")),AND($K171=CD$3,OR($C171="W",$C171="1/2W"))),$S169,0))</f>
        <v>0</v>
      </c>
      <c r="CE169" s="199">
        <f>IF($B169="LOSS",IF(AND($K169=CE$3,$C169="L"),-$O169,0)+IF(AND($K170=CE$3,$C170="L"),-$O170,0)+IF(AND($K171=CE$3,$C171="L"),-$O171,0),IF(OR(AND($K169=CE$3,OR($C169="W",$C169="1/2W")),AND($K170=CE$3,OR($C170="W",$C170="1/2W")),AND($K171=CE$3,OR($C171="W",$C171="1/2W"))),$S169,0))</f>
        <v>0</v>
      </c>
      <c r="CF169" s="206">
        <f>IF(CF$3=$K169,IF($C169="W",1,IF($C169="1/2W",0.5,0)),0)</f>
        <v>0</v>
      </c>
      <c r="CG169" s="207">
        <f>IF(CF$3=$K169,IF($C169="L",1,IF($C169="1/2L",0.5,0)),0)</f>
        <v>0</v>
      </c>
      <c r="CH169" s="207">
        <f>IF(CH$3=$K169,IF($C169="W",1,IF($C169="1/2W",0.5,0)),0)</f>
        <v>0</v>
      </c>
      <c r="CI169" s="207">
        <f>IF(CH$3=$K169,IF($C169="L",1,IF($C169="1/2L",0.5,0)),0)</f>
        <v>0</v>
      </c>
      <c r="CJ169" s="207">
        <f>IF(CJ$3=$K169,IF($C169="W",1,IF($C169="1/2W",0.5,0)),0)</f>
        <v>0</v>
      </c>
      <c r="CK169" s="207">
        <f>IF(CJ$3=$K169,IF($C169="L",1,IF($C169="1/2L",0.5,0)),0)</f>
        <v>0</v>
      </c>
      <c r="CL169" s="207">
        <f>IF(CL$3=$K169,IF($C169="W",1,IF($C169="1/2W",0.5,0)),0)</f>
        <v>0</v>
      </c>
      <c r="CM169" s="207">
        <f>IF(CL$3=$K169,IF($C169="L",1,IF($C169="1/2L",0.5,0)),0)</f>
        <v>0</v>
      </c>
      <c r="CN169" s="207">
        <f>IF(CN$3=$K169,IF($C169="W",1,IF($C169="1/2W",0.5,0)),0)</f>
        <v>1</v>
      </c>
      <c r="CO169" s="207">
        <f>IF(CN$3=$K169,IF($C169="L",1,IF($C169="1/2L",0.5,0)),0)</f>
        <v>0</v>
      </c>
      <c r="CP169" s="207">
        <f>IF(CP$3=$K169,IF($C169="W",1,IF($C169="1/2W",0.5,0)),0)</f>
        <v>0</v>
      </c>
      <c r="CQ169" s="207">
        <f>IF(CP$3=$K169,IF($C169="L",1,IF($C169="1/2L",0.5,0)),0)</f>
        <v>0</v>
      </c>
      <c r="CR169" s="207">
        <f>IF(CR$3=$K169,IF($C169="W",1,IF($C169="1/2W",0.5,0)),0)</f>
        <v>0</v>
      </c>
      <c r="CS169" s="207">
        <f>IF(CR$3=$K169,IF($C169="L",1,IF($C169="1/2L",0.5,0)),0)</f>
        <v>0</v>
      </c>
      <c r="CT169" s="208">
        <f>IF(CT$3=$K169,IF($C169="W",1,IF($C169="1/2W",0.5,0)),0)</f>
        <v>0</v>
      </c>
      <c r="CU169" s="209">
        <f>IF(CT$3=$K169,IF($C169="L",1,IF($C169="1/2L",0.5,0)),0)</f>
        <v>0</v>
      </c>
      <c r="CV169" s="209">
        <f>IF(CV$3=$K169,IF($C169="W",1,IF($C169="1/2W",0.5,0)),0)</f>
        <v>0</v>
      </c>
      <c r="CW169" s="209">
        <f>IF(CV$3=$K169,IF($C169="L",1,IF($C169="1/2L",0.5,0)),0)</f>
        <v>0</v>
      </c>
      <c r="CX169" s="209">
        <f>IF(CX$3=$K169,IF($C169="W",1,IF($C169="1/2W",0.5,0)),0)</f>
        <v>0</v>
      </c>
      <c r="CY169" s="209">
        <f>IF(CX$3=$K169,IF($C169="L",1,IF($C169="1/2L",0.5,0)),0)</f>
        <v>0</v>
      </c>
      <c r="CZ169" s="209">
        <f>IF(CZ$3=$K169,IF($C169="W",1,IF($C169="1/2W",0.5,0)),0)</f>
        <v>0</v>
      </c>
      <c r="DA169" s="209">
        <f>IF(CZ$3=$K169,IF($C169="L",1,IF($C169="1/2L",0.5,0)),0)</f>
        <v>0</v>
      </c>
      <c r="DB169" s="209">
        <f>IF(DB$3=$K169,IF($C169="W",1,IF($C169="1/2W",0.5,0)),0)</f>
        <v>0</v>
      </c>
      <c r="DC169" s="209">
        <f>IF(DB$3=$K169,IF($C169="L",1,IF($C169="1/2L",0.5,0)),0)</f>
        <v>0</v>
      </c>
      <c r="DD169" s="209">
        <f>IF(DD$3=$K169,IF($C169="W",1,IF($C169="1/2W",0.5,0)),0)</f>
        <v>0</v>
      </c>
      <c r="DE169" s="210">
        <f>IF(DD$3=$K169,IF($C169="L",1,IF($C169="1/2L",0.5,0)),0)</f>
        <v>0</v>
      </c>
      <c r="DF169" s="211">
        <f>IF(AND(L169&lt;DF$3,$C169="W"),1+DF168,DF168)</f>
        <v>8</v>
      </c>
      <c r="DG169" s="198">
        <f>IF(DF169&gt;DF168,L169+DG168,DG168)</f>
        <v>10.598</v>
      </c>
      <c r="DH169" s="209">
        <f>IF(AND(L169&gt;DH$3,$C169="W"),1+DH168,0+DH168)</f>
        <v>2</v>
      </c>
      <c r="DI169" s="198">
        <f>IF(DH169&gt;DH168,L169+DI168,DI168)</f>
        <v>11.58</v>
      </c>
      <c r="DJ169" t="s" s="306">
        <f>IF($D169="","",$D169)</f>
        <v>184</v>
      </c>
      <c r="DK169" s="209">
        <f>IF(AND($B169=" ",$D169&lt;&gt;""),1,0)</f>
        <v>0</v>
      </c>
    </row>
    <row r="170" ht="14.55" customHeight="1">
      <c r="A170" s="107"/>
      <c r="B170" s="108"/>
      <c r="C170" t="s" s="213">
        <v>51</v>
      </c>
      <c r="D170" s="110"/>
      <c r="E170" s="111"/>
      <c r="F170" s="112"/>
      <c r="G170" s="214"/>
      <c r="H170" s="114"/>
      <c r="I170" t="s" s="215">
        <v>75</v>
      </c>
      <c r="J170" t="s" s="216">
        <f>IF(OR(I169="TO",I169="TU",I169="TO1",I169="TU1",I169="TO2",I169="TU2"),J169,IF(OR(I169="AH1",I169="AH2"),IF(OR(I170="AH1",I170="AH2"),-J169,IF(OR(I170="EH1",I170="EH2"),-J169+0.5,"")),IF(OR(I169="EH1",I169="EH2"),IF(OR(I170="AH1",I170="AH2"),-J169+0.5,IF(OR(I170="EH1",I170="EH2"),-J169+1,"")),IF(AND(OR(I169="DNB1",I169="DNB2"),OR(I170="AH1",I170="AH2")),0,IF(AND(I169="Not ScoreBoth",OR(I170="TO1",I170="TO2")),0.5,"")))))</f>
      </c>
      <c r="K170" t="s" s="217">
        <v>39</v>
      </c>
      <c r="L170" s="218">
        <v>1.97</v>
      </c>
      <c r="M170" s="219"/>
      <c r="N170" s="120"/>
      <c r="O170" s="220">
        <f>IF(OR(AE169="",AE170=""),"",ROUND(IF(L171&gt;0,IF(M170&gt;0,M170,IF(M169&gt;0,IF(N169=TRUE,ROUND((M169*AE170)/AE169,0),(M169*AE170)/AE169),IF(M170&gt;0,ROUND(M170,IF(N169=0,2,IF(N169=0.1,1,0))),IF(M171&gt;0,ROUND(O171*AE170/AE171,IF(N169=0,2,IF(N169=0.1,1,0))),0)))),IF(M170&gt;0,M170,ROUND((M169*AE170)/AE169,IF(N169=0,2,IF(N169=0.1,1,0))))),2))</f>
        <v>6.03</v>
      </c>
      <c r="P170" s="221">
        <f>IF(OR(L170="",O170=""),"",IF($C170="1/2W",O170/2+O170/2*L170,IF($C170="1/2L",O170/2,IF(I170="Lay",((O170*(L170/(L170-1)))-O170)*(1-_xlfn.XLOOKUP(K170,'Janeiro 2023 - Valor Real'!A3:A15,'Janeiro 2023 - Valor Real'!C3:C15,0))+O170,(O170*L170-O170)*(1-_xlfn.XLOOKUP(K170,'Janeiro 2023 - Valor Real'!A3:A15,'Janeiro 2023 - Valor Real'!C3:C15,0))+O170))))</f>
        <v>11.8424226804124</v>
      </c>
      <c r="Q170" s="222">
        <f>IF(K170="","",IF(_xlfn.XLOOKUP(K170,K$85:K86,DJ$85:DJ86,0,,-1)=DJ170,_xlfn.XLOOKUP(K170,K$85:K86,Q$85:Q86,1,,-1)+1,1))</f>
        <v>1</v>
      </c>
      <c r="R170" s="223">
        <f>IF(K170="","",_xlfn.XLOOKUP(K170,K$85:K86,R$85:R86,0,,-1)+IF($C170=" ",1,0))</f>
        <v>0</v>
      </c>
      <c r="S170" s="125"/>
      <c r="T170" s="126"/>
      <c r="U170" s="126"/>
      <c r="V170" s="224"/>
      <c r="W170" s="126"/>
      <c r="X170" s="127"/>
      <c r="Y170" s="128"/>
      <c r="Z170" s="129"/>
      <c r="AA170" s="129"/>
      <c r="AB170" s="129"/>
      <c r="AC170" s="129"/>
      <c r="AD170" s="225">
        <f>(((L170/(L170-1)-1)*(1-_xlfn.XLOOKUP(K170,'Janeiro 2023 - Valor Real'!A3:A15,'Janeiro 2023 - Valor Real'!C3:C15,0))+1))</f>
        <v>1.9639175257732</v>
      </c>
      <c r="AE170" s="226">
        <f>IF(L170="","",IF(L171&gt;0,(SUM(((L169-1)*(1-_xlfn.XLOOKUP(K169,'Janeiro 2023 - Valor Real'!A3:A15,'Janeiro 2023 - Valor Real'!C3:C15,0))+1),((L170-1)*(1-_xlfn.XLOOKUP(K170,'Janeiro 2023 - Valor Real'!A3:A15,'Janeiro 2023 - Valor Real'!C3:C15,0))+1),((L171-1)*(1-_xlfn.XLOOKUP(K171,'Janeiro 2023 - Valor Real'!A3:A15,'Janeiro 2023 - Valor Real'!C3:C15,0))+1))/((L170-1)*(1-_xlfn.XLOOKUP(K170,'Janeiro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Real'!C3:C15,0))+1))/((L169-1)*(1-_xlfn.XLOOKUP(K169,'Janeiro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Real'!C3:C15,0))+1))/((L170-1)*(1-_xlfn.XLOOKUP(K170,'Janeiro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Real'!C3:C15,0))+1))/((L171-1)*(1-_xlfn.XLOOKUP(K171,'Janeiro 2023 - Valor Real'!A3:A15,'Janeiro 2023 - Valor Real'!C3:C15,0))+1)),IF(I170="Lay",IF(I169="Lay",((L169/(L169-1)-1)*(1-_xlfn.XLOOKUP(K169,'Janeiro 2023 - Valor Real'!A3:A15,'Janeiro 2023 - Valor Real'!C3:C15,0))+1)/(((L169/(L169-1)-1)*(1-_xlfn.XLOOKUP(K169,'Janeiro 2023 - Valor Real'!A3:A15,'Janeiro 2023 - Valor Real'!C3:C15,0))+1)+((L170/(L170-1)-1)*(1-_xlfn.XLOOKUP(K170,'Janeiro 2023 - Valor Real'!A3:A15,'Janeiro 2023 - Valor Real'!C3:C15,0))+1)),((L169-1)*(1-_xlfn.XLOOKUP(K169,'Janeiro 2023 - Valor Real'!A3:A15,'Janeiro 2023 - Valor Real'!C3:C15,0))+1)/(((L169-1)*(1-_xlfn.XLOOKUP(K169,'Janeiro 2023 - Valor Real'!A3:A15,'Janeiro 2023 - Valor Real'!C3:C15,0))+1)+((L170/(L170-1)-1)*(1-_xlfn.XLOOKUP(K170,'Janeiro 2023 - Valor Real'!A3:A15,'Janeiro 2023 - Valor Real'!C3:C15,0))+1))),IF(I169="Lay",((L169/(L169-1)-1)*(1-_xlfn.XLOOKUP(K169,'Janeiro 2023 - Valor Real'!A3:A15,'Janeiro 2023 - Valor Real'!C3:C15,0))+1)/((((L169/(L169-1)-1)*(1-_xlfn.XLOOKUP(K169,'Janeiro 2023 - Valor Real'!A3:A15,'Janeiro 2023 - Valor Real'!C3:C15,0))+1))+((L170-1)*(1-_xlfn.XLOOKUP(K170,'Janeiro 2023 - Valor Real'!A3:A15,'Janeiro 2023 - Valor Real'!C3:C15,0))+1)),((L169-1)*(1-_xlfn.XLOOKUP(K169,'Janeiro 2023 - Valor Real'!A3:A15,'Janeiro 2023 - Valor Real'!C3:C15,0))+1)/(((L169-1)*(1-_xlfn.XLOOKUP(K169,'Janeiro 2023 - Valor Real'!A3:A15,'Janeiro 2023 - Valor Real'!C3:C15,0))+1)+((L170-1)*(1-_xlfn.XLOOKUP(K170,'Janeiro 2023 - Valor Real'!A3:A15,'Janeiro 2023 - Valor Real'!C3:C15,0))+1))))))</f>
        <v>0.54262802813858</v>
      </c>
      <c r="AF170" s="197">
        <f>IF($K170=AF$3,ROUND(IF(OR($C170="W",$C170="1/2W",$C170="1/2L"),$P170-$O170,IF($C170="X",0,-$O170)),2),0)</f>
        <v>0</v>
      </c>
      <c r="AG170" s="198">
        <f>IF($K170=AG$3,ROUND(IF(OR($C170="W",$C170="1/2W",$C170="1/2L"),$P170-$O170,IF($C170="X",0,-$O170)),2),0)</f>
        <v>0</v>
      </c>
      <c r="AH170" s="198">
        <f>IF($K170=AH$3,ROUND(IF(OR($C170="W",$C170="1/2W",$C170="1/2L"),$P170-$O170,IF($C170="X",0,-$O170)),2),0)</f>
        <v>-6.03</v>
      </c>
      <c r="AI170" s="198">
        <f>IF($K170=AI$3,ROUND(IF(OR($C170="W",$C170="1/2W",$C170="1/2L"),$P170-$O170,IF($C170="X",0,-$O170)),2),0)</f>
        <v>0</v>
      </c>
      <c r="AJ170" s="198">
        <f>IF($K170=AJ$3,ROUND(IF(OR($C170="W",$C170="1/2W",$C170="1/2L"),$P170-$O170,IF($C170="X",0,-$O170)),2),0)</f>
        <v>0</v>
      </c>
      <c r="AK170" s="198">
        <f>IF($K170=AK$3,ROUND(IF(OR($C170="W",$C170="1/2W",$C170="1/2L"),$P170-$O170,IF($C170="X",0,-$O170)),2),0)</f>
        <v>0</v>
      </c>
      <c r="AL170" s="198">
        <f>IF($K170=AL$3,ROUND(IF(OR($C170="W",$C170="1/2W",$C170="1/2L"),$P170-$O170,IF($C170="X",0,-$O170)),2),0)</f>
        <v>0</v>
      </c>
      <c r="AM170" s="198">
        <f>IF($K170=AM$3,ROUND(IF(OR($C170="W",$C170="1/2W",$C170="1/2L"),$P170-$O170,IF($C170="X",0,-$O170)),2),0)</f>
        <v>0</v>
      </c>
      <c r="AN170" s="198">
        <f>IF($K170=AN$3,ROUND(IF(OR($C170="W",$C170="1/2W",$C170="1/2L"),$P170-$O170,IF($C170="X",0,-$O170)),2),0)</f>
        <v>0</v>
      </c>
      <c r="AO170" s="198">
        <f>IF($K170=AO$3,ROUND(IF(OR($C170="W",$C170="1/2W",$C170="1/2L"),$P170-$O170,IF($C170="X",0,-$O170)),2),0)</f>
        <v>0</v>
      </c>
      <c r="AP170" s="198">
        <f>IF($K170=AP$3,ROUND(IF(OR($C170="W",$C170="1/2W",$C170="1/2L"),$P170-$O170,IF($C170="X",0,-$O170)),2),0)</f>
        <v>0</v>
      </c>
      <c r="AQ170" s="198">
        <f>IF($K170=AQ$3,ROUND(IF(OR($C170="W",$C170="1/2W",$C170="1/2L"),$P170-$O170,IF($C170="X",0,-$O170)),2),0)</f>
        <v>0</v>
      </c>
      <c r="AR170" s="199">
        <f>IF($K170=AR$3,ROUND(IF(OR($C170="W",$C170="1/2W",$C170="1/2L"),$P170-$O170,IF($C170="X",0,-$O170)),2),0)</f>
        <v>0</v>
      </c>
      <c r="AS170" s="197">
        <f>IF(AND($B169=" ",$K170=AS$3),$O170,0)</f>
        <v>0</v>
      </c>
      <c r="AT170" s="198">
        <f>IF(AND($B169=" ",K170=AT$3),$O170,0)</f>
        <v>0</v>
      </c>
      <c r="AU170" s="198">
        <f>IF(AND($B169=" ",$K170=AU$3),$O170,0)</f>
        <v>0</v>
      </c>
      <c r="AV170" s="198">
        <f>IF(AND($B169=" ",$K170=AV$3),$O170,0)</f>
        <v>0</v>
      </c>
      <c r="AW170" s="198">
        <f>IF(AND($B169=" ",$K170=AW$3),$O170,0)</f>
        <v>0</v>
      </c>
      <c r="AX170" s="198">
        <f>IF(AND($B169=" ",$K170=AX$3),$O170,0)</f>
        <v>0</v>
      </c>
      <c r="AY170" s="200">
        <f>IF(AND($B169=" ",$K170=AY$3),$O170,0)</f>
        <v>0</v>
      </c>
      <c r="AZ170" s="201">
        <f>IF(AND($B169=" ",$K170=AZ$3),$O170,0)</f>
        <v>0</v>
      </c>
      <c r="BA170" s="201">
        <f>IF(AND($B169=" ",$K170=BA$3),$O170,0)</f>
        <v>0</v>
      </c>
      <c r="BB170" s="201">
        <f>IF(AND($B169=" ",$K170=BB$3),$O170,0)</f>
        <v>0</v>
      </c>
      <c r="BC170" s="202">
        <f>IF(AND($B169=" ",$K170=BC$3),$O170,0)</f>
        <v>0</v>
      </c>
      <c r="BD170" s="198">
        <f>IF(AND($B169=" ",$K170=BD$3),$O170,0)</f>
        <v>0</v>
      </c>
      <c r="BE170" s="199">
        <f>IF(AND($B169=" ",$K170=BE$3),$O170,0)</f>
        <v>0</v>
      </c>
      <c r="BF170" s="197">
        <f>IF($K170=BF$3,IF($C170="X",0,$O170),0)</f>
        <v>0</v>
      </c>
      <c r="BG170" s="198">
        <f>IF($K170=BG$3,IF($C170="X",0,$O170),0)</f>
        <v>0</v>
      </c>
      <c r="BH170" s="198">
        <f>IF($K170=BH$3,IF($C170="X",0,$O170),0)</f>
        <v>6.03</v>
      </c>
      <c r="BI170" s="198">
        <f>IF($K170=BI$3,IF($C170="X",0,$O170),0)</f>
        <v>0</v>
      </c>
      <c r="BJ170" s="198">
        <f>IF($K170=BJ$3,IF($C170="X",0,$O170),0)</f>
        <v>0</v>
      </c>
      <c r="BK170" s="198">
        <f>IF($K170=BK$3,IF($C170="X",0,$O170),0)</f>
        <v>0</v>
      </c>
      <c r="BL170" s="198">
        <f>IF($K170=BL$3,IF($C170="X",0,$O170),0)</f>
        <v>0</v>
      </c>
      <c r="BM170" s="227">
        <f>IF($K170=BM$3,IF($C170="X",0,$O170),0)</f>
        <v>0</v>
      </c>
      <c r="BN170" s="205">
        <f>IF($K170=BN$3,IF($C170="X",0,$O170),0)</f>
        <v>0</v>
      </c>
      <c r="BO170" s="205">
        <f>IF($K170=BO$3,IF($C170="X",0,$O170),0)</f>
        <v>0</v>
      </c>
      <c r="BP170" s="205">
        <f>IF($K170=BP$3,IF($C170="X",0,$O170),0)</f>
        <v>0</v>
      </c>
      <c r="BQ170" s="202">
        <f>IF($K170=BQ$3,IF($C170="X",0,$O170),0)</f>
        <v>0</v>
      </c>
      <c r="BR170" s="199">
        <f>IF($K170=BR$3,IF($C170="X",0,$O170),0)</f>
        <v>0</v>
      </c>
      <c r="BS170" s="228"/>
      <c r="BT170" s="229"/>
      <c r="BU170" s="140"/>
      <c r="BV170" s="229"/>
      <c r="BW170" s="140"/>
      <c r="BX170" s="140"/>
      <c r="BY170" s="140"/>
      <c r="BZ170" s="229"/>
      <c r="CA170" s="140"/>
      <c r="CB170" s="140"/>
      <c r="CC170" s="140"/>
      <c r="CD170" s="141"/>
      <c r="CE170" s="142"/>
      <c r="CF170" s="230">
        <f>IF(CF$3=$K170,IF($C170="W",1,IF($C170="1/2W",0.5,0)),0)</f>
        <v>0</v>
      </c>
      <c r="CG170" s="231">
        <f>IF(CF$3=$K170,IF($C170="L",1,IF($C170="1/2L",0.5,0)),0)</f>
        <v>0</v>
      </c>
      <c r="CH170" s="231">
        <f>IF(CH$3=$K170,IF($C170="W",1,IF($C170="1/2W",0.5,0)),0)</f>
        <v>0</v>
      </c>
      <c r="CI170" s="231">
        <f>IF(CH$3=$K170,IF($C170="L",1,IF($C170="1/2L",0.5,0)),0)</f>
        <v>0</v>
      </c>
      <c r="CJ170" s="231">
        <f>IF(CJ$3=$K170,IF($C170="W",1,IF($C170="1/2W",0.5,0)),0)</f>
        <v>0</v>
      </c>
      <c r="CK170" s="231">
        <f>IF(CJ$3=$K170,IF($C170="L",1,IF($C170="1/2L",0.5,0)),0)</f>
        <v>1</v>
      </c>
      <c r="CL170" s="231">
        <f>IF(CL$3=$K170,IF($C170="W",1,IF($C170="1/2W",0.5,0)),0)</f>
        <v>0</v>
      </c>
      <c r="CM170" s="231">
        <f>IF(CL$3=$K170,IF($C170="L",1,IF($C170="1/2L",0.5,0)),0)</f>
        <v>0</v>
      </c>
      <c r="CN170" s="231">
        <f>IF(CN$3=$K170,IF($C170="W",1,IF($C170="1/2W",0.5,0)),0)</f>
        <v>0</v>
      </c>
      <c r="CO170" s="231">
        <f>IF(CN$3=$K170,IF($C170="L",1,IF($C170="1/2L",0.5,0)),0)</f>
        <v>0</v>
      </c>
      <c r="CP170" s="231">
        <f>IF(CP$3=$K170,IF($C170="W",1,IF($C170="1/2W",0.5,0)),0)</f>
        <v>0</v>
      </c>
      <c r="CQ170" s="231">
        <f>IF(CP$3=$K170,IF($C170="L",1,IF($C170="1/2L",0.5,0)),0)</f>
        <v>0</v>
      </c>
      <c r="CR170" s="231">
        <f>IF(CR$3=$K170,IF($C170="W",1,IF($C170="1/2W",0.5,0)),0)</f>
        <v>0</v>
      </c>
      <c r="CS170" s="231">
        <f>IF(CR$3=$K170,IF($C170="L",1,IF($C170="1/2L",0.5,0)),0)</f>
        <v>0</v>
      </c>
      <c r="CT170" s="208">
        <f>IF(CT$3=$K170,IF($C170="W",1,IF($C170="1/2W",0.5,0)),0)</f>
        <v>0</v>
      </c>
      <c r="CU170" s="209">
        <f>IF(CT$3=$K170,IF($C170="L",1,IF($C170="1/2L",0.5,0)),0)</f>
        <v>0</v>
      </c>
      <c r="CV170" s="209">
        <f>IF(CV$3=$K170,IF($C170="W",1,IF($C170="1/2W",0.5,0)),0)</f>
        <v>0</v>
      </c>
      <c r="CW170" s="209">
        <f>IF(CV$3=$K170,IF($C170="L",1,IF($C170="1/2L",0.5,0)),0)</f>
        <v>0</v>
      </c>
      <c r="CX170" s="209">
        <f>IF(CX$3=$K170,IF($C170="W",1,IF($C170="1/2W",0.5,0)),0)</f>
        <v>0</v>
      </c>
      <c r="CY170" s="209">
        <f>IF(CX$3=$K170,IF($C170="L",1,IF($C170="1/2L",0.5,0)),0)</f>
        <v>0</v>
      </c>
      <c r="CZ170" s="209">
        <f>IF(CZ$3=$K170,IF($C170="W",1,IF($C170="1/2W",0.5,0)),0)</f>
        <v>0</v>
      </c>
      <c r="DA170" s="209">
        <f>IF(CZ$3=$K170,IF($C170="L",1,IF($C170="1/2L",0.5,0)),0)</f>
        <v>0</v>
      </c>
      <c r="DB170" s="209">
        <f>IF(DB$3=$K170,IF($C170="W",1,IF($C170="1/2W",0.5,0)),0)</f>
        <v>0</v>
      </c>
      <c r="DC170" s="209">
        <f>IF(DB$3=$K170,IF($C170="L",1,IF($C170="1/2L",0.5,0)),0)</f>
        <v>0</v>
      </c>
      <c r="DD170" s="209">
        <f>IF(DD$3=$K170,IF($C170="W",1,IF($C170="1/2W",0.5,0)),0)</f>
        <v>0</v>
      </c>
      <c r="DE170" s="210">
        <f>IF(DD$3=$K170,IF($C170="L",1,IF($C170="1/2L",0.5,0)),0)</f>
        <v>0</v>
      </c>
      <c r="DF170" s="211">
        <f>IF(AND(L170&lt;DF$3,$C170="W"),1+DF169,DF169)</f>
        <v>8</v>
      </c>
      <c r="DG170" s="198">
        <f>IF(DF170&gt;DF169,L170+DG169,DG169)</f>
        <v>10.598</v>
      </c>
      <c r="DH170" s="209">
        <f>IF(AND(L170&gt;DH$3,$C170="W"),1+DH169,0+DH169)</f>
        <v>2</v>
      </c>
      <c r="DI170" s="198">
        <f>IF(DH170&gt;DH169,L170+DI169,DI169)</f>
        <v>11.58</v>
      </c>
      <c r="DJ170" t="s" s="306">
        <f>IF($D169="","",$D169)</f>
        <v>184</v>
      </c>
      <c r="DK170" s="232"/>
    </row>
    <row r="171" ht="14.55" customHeight="1">
      <c r="A171" s="149"/>
      <c r="B171" s="150"/>
      <c r="C171" t="s" s="233">
        <v>58</v>
      </c>
      <c r="D171" s="152"/>
      <c r="E171" s="153"/>
      <c r="F171" s="300"/>
      <c r="G171" s="234"/>
      <c r="H171" s="156"/>
      <c r="I171" s="235"/>
      <c r="J171" s="236"/>
      <c r="K171" s="237"/>
      <c r="L171" s="238"/>
      <c r="M171" s="239"/>
      <c r="N171" s="161"/>
      <c r="O171" t="s" s="240">
        <f>IF(OR(AE169="",AE170=""),"",IF(L171&gt;0,ROUND(IF(M171&gt;0,M171,IF(M169&gt;0,ROUND((M169*AE171)/AE169,IF(N169=0,2,IF(N169=0.1,1,0))),IF(M170&gt;0,ROUND((M170*AE171)/AE170,IF(N169=0,2,IF(N169=0.1,1,0))),IF(M171&gt;0,M171,0)))),2),""))</f>
      </c>
      <c r="P171" s="309">
        <f>IF(I170="Lay",O170*(L170/(L170-1))-O170,IF(I169="Lay",O169*(L169/(L169-1))-O169,IF(OR(L171="",O171=""),"",IF($C171="1/2W",O171/2+O171/2*L171,IF($C171="1/2L",O171/2,(O171*L171-O171)*(1-_xlfn.XLOOKUP(K171,'Janeiro 2023 - Valor Real'!A3:A15,'Janeiro 2023 - Valor Real'!C3:C15,0))+O171)))))</f>
        <v>6.21649484536082</v>
      </c>
      <c r="Q171" t="s" s="242">
        <f>IF(K171="","",IF(_xlfn.XLOOKUP(K171,K86:K$86,DJ86:DJ$86,0,,-1)=DJ171,_xlfn.XLOOKUP(K171,K86:K$86,Q86:Q$86,1,,-1)+1,1))</f>
      </c>
      <c r="R171" t="s" s="243">
        <f>IF(K171="","",_xlfn.XLOOKUP(K171,K86:K$86,R86:R$86,0,,-1)+IF($C171=" ",1,0))</f>
      </c>
      <c r="S171" s="166"/>
      <c r="T171" s="155"/>
      <c r="U171" s="155"/>
      <c r="V171" s="166"/>
      <c r="W171" s="155"/>
      <c r="X171" s="167"/>
      <c r="Y171" s="128"/>
      <c r="Z171" s="129"/>
      <c r="AA171" s="129"/>
      <c r="AB171" s="129"/>
      <c r="AC171" s="129"/>
      <c r="AD171" s="244">
        <f>((L170/(L170-1)-1))</f>
        <v>1.03092783505155</v>
      </c>
      <c r="AE171" t="s" s="245">
        <f>IF(L171="","",(SUM(((L169-1)*(1-_xlfn.XLOOKUP(K169,'Janeiro 2023 - Valor Real'!A3:A15,'Janeiro 2023 - Valor Real'!C3:C15,0))+1),((L170-1)*(1-_xlfn.XLOOKUP(K170,'Janeiro 2023 - Valor Real'!A3:A15,'Janeiro 2023 - Valor Real'!C3:C15,0))+1),((L171-1)*(1-_xlfn.XLOOKUP(K171,'Janeiro 2023 - Valor Real'!A3:A15,'Janeiro 2023 - Valor Real'!C3:C15,0))+1))/((L171-1)*(1-_xlfn.XLOOKUP(K171,'Janeiro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Real'!C3:C15,0))+1))/((L169-1)*(1-_xlfn.XLOOKUP(K169,'Janeiro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Real'!C3:C15,0))+1))/((L170-1)*(1-_xlfn.XLOOKUP(K170,'Janeiro 2023 - Valor Real'!A3:A15,'Janeiro 2023 - Valor Real'!C3:C15,0))+1)+SUM(((L169-1)*(1-_xlfn.XLOOKUP(K169,'Janeiro 2023 - Valor Real'!A3:A15,'Janeiro 2023 - Valor Real'!C3:C15,0))+1),((L170-1)*(1-_xlfn.XLOOKUP(K170,'Janeiro 2023 - Valor Real'!A3:A15,'Janeiro 2023 - Valor Real'!C3:C15,0))+1),((L171-1)*(1-_xlfn.XLOOKUP(K171,'Janeiro 2023 - Valor Real'!A3:A15,'Janeiro 2023 - Valor Real'!C3:C15,0))+1))/((L171-1)*(1-_xlfn.XLOOKUP(K171,'Janeiro 2023 - Valor Real'!A3:A15,'Janeiro 2023 - Valor Real'!C3:C15,0))+1)))</f>
      </c>
      <c r="AF171" s="197">
        <f>IF($K171=AF$3,ROUND(IF(OR($C171="W",$C171="1/2W",$C171="1/2L"),$P171-$O171,IF($C171="X",0,-$O171)),2),0)</f>
        <v>0</v>
      </c>
      <c r="AG171" s="198">
        <f>IF($K171=AG$3,ROUND(IF(OR($C171="W",$C171="1/2W",$C171="1/2L"),$P171-$O171,IF($C171="X",0,-$O171)),2),0)</f>
        <v>0</v>
      </c>
      <c r="AH171" s="198">
        <f>IF($K171=AH$3,ROUND(IF(OR($C171="W",$C171="1/2W",$C171="1/2L"),$P171-$O171,IF($C171="X",0,-$O171)),2),0)</f>
        <v>0</v>
      </c>
      <c r="AI171" s="198">
        <f>IF($K171=AI$3,ROUND(IF(OR($C171="W",$C171="1/2W",$C171="1/2L"),$P171-$O171,IF($C171="X",0,-$O171)),2),0)</f>
        <v>0</v>
      </c>
      <c r="AJ171" s="198">
        <f>IF($K171=AJ$3,ROUND(IF(OR($C171="W",$C171="1/2W",$C171="1/2L"),$P171-$O171,IF($C171="X",0,-$O171)),2),0)</f>
        <v>0</v>
      </c>
      <c r="AK171" s="198">
        <f>IF($K171=AK$3,ROUND(IF(OR($C171="W",$C171="1/2W",$C171="1/2L"),$P171-$O171,IF($C171="X",0,-$O171)),2),0)</f>
        <v>0</v>
      </c>
      <c r="AL171" s="198">
        <f>IF($K171=AL$3,ROUND(IF(OR($C171="W",$C171="1/2W",$C171="1/2L"),$P171-$O171,IF($C171="X",0,-$O171)),2),0)</f>
        <v>0</v>
      </c>
      <c r="AM171" s="198">
        <f>IF($K171=AM$3,ROUND(IF(OR($C171="W",$C171="1/2W",$C171="1/2L"),$P171-$O171,IF($C171="X",0,-$O171)),2),0)</f>
        <v>0</v>
      </c>
      <c r="AN171" s="198">
        <f>IF($K171=AN$3,ROUND(IF(OR($C171="W",$C171="1/2W",$C171="1/2L"),$P171-$O171,IF($C171="X",0,-$O171)),2),0)</f>
        <v>0</v>
      </c>
      <c r="AO171" s="198">
        <f>IF($K171=AO$3,ROUND(IF(OR($C171="W",$C171="1/2W",$C171="1/2L"),$P171-$O171,IF($C171="X",0,-$O171)),2),0)</f>
        <v>0</v>
      </c>
      <c r="AP171" s="198">
        <f>IF($K171=AP$3,ROUND(IF(OR($C171="W",$C171="1/2W",$C171="1/2L"),$P171-$O171,IF($C171="X",0,-$O171)),2),0)</f>
        <v>0</v>
      </c>
      <c r="AQ171" s="198">
        <f>IF($K171=AQ$3,ROUND(IF(OR($C171="W",$C171="1/2W",$C171="1/2L"),$P171-$O171,IF($C171="X",0,-$O171)),2),0)</f>
        <v>0</v>
      </c>
      <c r="AR171" s="199">
        <f>IF($K171=AR$3,ROUND(IF(OR($C171="W",$C171="1/2W",$C171="1/2L"),$P171-$O171,IF($C171="X",0,-$O171)),2),0)</f>
        <v>0</v>
      </c>
      <c r="AS171" s="197">
        <f>IF(AND($B169=" ",$K171=AS$3),$O171,0)</f>
        <v>0</v>
      </c>
      <c r="AT171" s="198">
        <f>IF(AND($B169=" ",K171=AT$3),$O171,0)</f>
        <v>0</v>
      </c>
      <c r="AU171" s="198">
        <f>IF(AND($B169=" ",$K171=AU$3),$O171,0)</f>
        <v>0</v>
      </c>
      <c r="AV171" s="198">
        <f>IF(AND($B169=" ",$K171=AV$3),$O171,0)</f>
        <v>0</v>
      </c>
      <c r="AW171" s="198">
        <f>IF(AND($B169=" ",$K171=AW$3),$O171,0)</f>
        <v>0</v>
      </c>
      <c r="AX171" s="198">
        <f>IF(AND($B169=" ",$K171=AX$3),$O171,0)</f>
        <v>0</v>
      </c>
      <c r="AY171" s="200">
        <f>IF(AND($B169=" ",$K171=AY$3),$O171,0)</f>
        <v>0</v>
      </c>
      <c r="AZ171" s="201">
        <f>IF(AND($B169=" ",$K171=AZ$3),$O171,0)</f>
        <v>0</v>
      </c>
      <c r="BA171" s="201">
        <f>IF(AND($B169=" ",$K171=BA$3),$O171,0)</f>
        <v>0</v>
      </c>
      <c r="BB171" s="201">
        <f>IF(AND($B169=" ",$K171=BB$3),$O171,0)</f>
        <v>0</v>
      </c>
      <c r="BC171" s="202">
        <f>IF(AND($B169=" ",$K171=BC$3),$O171,0)</f>
        <v>0</v>
      </c>
      <c r="BD171" s="198">
        <f>IF(AND($B169=" ",$K171=BD$3),$O171,0)</f>
        <v>0</v>
      </c>
      <c r="BE171" s="199">
        <f>IF(AND($B169=" ",$K171=BE$3),$O171,0)</f>
        <v>0</v>
      </c>
      <c r="BF171" s="197">
        <f>IF($K171=BF$3,IF($C171="X",0,$O171),0)</f>
        <v>0</v>
      </c>
      <c r="BG171" s="198">
        <f>IF($K171=BG$3,IF($C171="X",0,$O171),0)</f>
        <v>0</v>
      </c>
      <c r="BH171" s="198">
        <f>IF($K171=BH$3,IF($C171="X",0,$O171),0)</f>
        <v>0</v>
      </c>
      <c r="BI171" s="198">
        <f>IF($K171=BI$3,IF($C171="X",0,$O171),0)</f>
        <v>0</v>
      </c>
      <c r="BJ171" s="198">
        <f>IF($K171=BJ$3,IF($C171="X",0,$O171),0)</f>
        <v>0</v>
      </c>
      <c r="BK171" s="198">
        <f>IF($K171=BK$3,IF($C171="X",0,$O171),0)</f>
        <v>0</v>
      </c>
      <c r="BL171" s="198">
        <f>IF($K171=BL$3,IF($C171="X",0,$O171),0)</f>
        <v>0</v>
      </c>
      <c r="BM171" s="200">
        <f>IF($K171=BM$3,IF($C171="X",0,$O171),0)</f>
        <v>0</v>
      </c>
      <c r="BN171" s="201">
        <f>IF($K171=BN$3,IF($C171="X",0,$O171),0)</f>
        <v>0</v>
      </c>
      <c r="BO171" s="201">
        <f>IF($K171=BO$3,IF($C171="X",0,$O171),0)</f>
        <v>0</v>
      </c>
      <c r="BP171" s="201">
        <f>IF($K171=BP$3,IF($C171="X",0,$O171),0)</f>
        <v>0</v>
      </c>
      <c r="BQ171" s="202">
        <f>IF($K171=BQ$3,IF($C171="X",0,$O171),0)</f>
        <v>0</v>
      </c>
      <c r="BR171" s="199">
        <f>IF($K171=BR$3,IF($C171="X",0,$O171),0)</f>
        <v>0</v>
      </c>
      <c r="BS171" s="228"/>
      <c r="BT171" s="229"/>
      <c r="BU171" s="140"/>
      <c r="BV171" s="229"/>
      <c r="BW171" s="140"/>
      <c r="BX171" s="140"/>
      <c r="BY171" s="140"/>
      <c r="BZ171" s="229"/>
      <c r="CA171" s="140"/>
      <c r="CB171" s="140"/>
      <c r="CC171" s="140"/>
      <c r="CD171" s="141"/>
      <c r="CE171" s="142"/>
      <c r="CF171" s="230">
        <f>IF(CF$3=$K171,IF($C171="W",1,IF($C171="1/2W",0.5,0)),0)</f>
        <v>0</v>
      </c>
      <c r="CG171" s="231">
        <f>IF(CF$3=$K171,IF($C171="L",1,IF($C171="1/2L",0.5,0)),0)</f>
        <v>0</v>
      </c>
      <c r="CH171" s="231">
        <f>IF(CH$3=$K171,IF($C171="W",1,IF($C171="1/2W",0.5,0)),0)</f>
        <v>0</v>
      </c>
      <c r="CI171" s="231">
        <f>IF(CH$3=$K171,IF($C171="L",1,IF($C171="1/2L",0.5,0)),0)</f>
        <v>0</v>
      </c>
      <c r="CJ171" s="231">
        <f>IF(CJ$3=$K171,IF($C171="W",1,IF($C171="1/2W",0.5,0)),0)</f>
        <v>0</v>
      </c>
      <c r="CK171" s="231">
        <f>IF(CJ$3=$K171,IF($C171="L",1,IF($C171="1/2L",0.5,0)),0)</f>
        <v>0</v>
      </c>
      <c r="CL171" s="231">
        <f>IF(CL$3=$K171,IF($C171="W",1,IF($C171="1/2W",0.5,0)),0)</f>
        <v>0</v>
      </c>
      <c r="CM171" s="231">
        <f>IF(CL$3=$K171,IF($C171="L",1,IF($C171="1/2L",0.5,0)),0)</f>
        <v>0</v>
      </c>
      <c r="CN171" s="231">
        <f>IF(CN$3=$K171,IF($C171="W",1,IF($C171="1/2W",0.5,0)),0)</f>
        <v>0</v>
      </c>
      <c r="CO171" s="231">
        <f>IF(CN$3=$K171,IF($C171="L",1,IF($C171="1/2L",0.5,0)),0)</f>
        <v>0</v>
      </c>
      <c r="CP171" s="231">
        <f>IF(CP$3=$K171,IF($C171="W",1,IF($C171="1/2W",0.5,0)),0)</f>
        <v>0</v>
      </c>
      <c r="CQ171" s="231">
        <f>IF(CP$3=$K171,IF($C171="L",1,IF($C171="1/2L",0.5,0)),0)</f>
        <v>0</v>
      </c>
      <c r="CR171" s="231">
        <f>IF(CR$3=$K171,IF($C171="W",1,IF($C171="1/2W",0.5,0)),0)</f>
        <v>0</v>
      </c>
      <c r="CS171" s="231">
        <f>IF(CR$3=$K171,IF($C171="L",1,IF($C171="1/2L",0.5,0)),0)</f>
        <v>0</v>
      </c>
      <c r="CT171" s="208">
        <f>IF(CT$3=$K171,IF($C171="W",1,IF($C171="1/2W",0.5,0)),0)</f>
        <v>0</v>
      </c>
      <c r="CU171" s="209">
        <f>IF(CT$3=$K171,IF($C171="L",1,IF($C171="1/2L",0.5,0)),0)</f>
        <v>0</v>
      </c>
      <c r="CV171" s="209">
        <f>IF(CV$3=$K171,IF($C171="W",1,IF($C171="1/2W",0.5,0)),0)</f>
        <v>0</v>
      </c>
      <c r="CW171" s="209">
        <f>IF(CV$3=$K171,IF($C171="L",1,IF($C171="1/2L",0.5,0)),0)</f>
        <v>0</v>
      </c>
      <c r="CX171" s="209">
        <f>IF(CX$3=$K171,IF($C171="W",1,IF($C171="1/2W",0.5,0)),0)</f>
        <v>0</v>
      </c>
      <c r="CY171" s="209">
        <f>IF(CX$3=$K171,IF($C171="L",1,IF($C171="1/2L",0.5,0)),0)</f>
        <v>0</v>
      </c>
      <c r="CZ171" s="209">
        <f>IF(CZ$3=$K171,IF($C171="W",1,IF($C171="1/2W",0.5,0)),0)</f>
        <v>0</v>
      </c>
      <c r="DA171" s="209">
        <f>IF(CZ$3=$K171,IF($C171="L",1,IF($C171="1/2L",0.5,0)),0)</f>
        <v>0</v>
      </c>
      <c r="DB171" s="209">
        <f>IF(DB$3=$K171,IF($C171="W",1,IF($C171="1/2W",0.5,0)),0)</f>
        <v>0</v>
      </c>
      <c r="DC171" s="209">
        <f>IF(DB$3=$K171,IF($C171="L",1,IF($C171="1/2L",0.5,0)),0)</f>
        <v>0</v>
      </c>
      <c r="DD171" s="209">
        <f>IF(DD$3=$K171,IF($C171="W",1,IF($C171="1/2W",0.5,0)),0)</f>
        <v>0</v>
      </c>
      <c r="DE171" s="210">
        <f>IF(DD$3=$K171,IF($C171="L",1,IF($C171="1/2L",0.5,0)),0)</f>
        <v>0</v>
      </c>
      <c r="DF171" s="211">
        <f>IF(AND(L171&lt;DF$3,$C171="W"),1+DF170,DF170)</f>
        <v>8</v>
      </c>
      <c r="DG171" s="198">
        <f>IF(DF171&gt;DF170,L171+DG170,DG170)</f>
        <v>10.598</v>
      </c>
      <c r="DH171" s="209">
        <f>IF(AND(L171&gt;DH$3,$C171="W"),1+DH170,0+DH170)</f>
        <v>2</v>
      </c>
      <c r="DI171" s="198">
        <f>IF(DH171&gt;DH170,L171+DI170,DI170)</f>
        <v>11.58</v>
      </c>
      <c r="DJ171" t="s" s="306">
        <f>IF($D169="","",$D169)</f>
        <v>184</v>
      </c>
      <c r="DK171" s="232"/>
    </row>
    <row r="172" ht="14.55" customHeight="1">
      <c r="A172" s="246">
        <f>$A169+1</f>
        <v>57</v>
      </c>
      <c r="B172" t="s" s="247">
        <f>IF(AND(_xlfn.XLOOKUP(H172,H86:H$87,G86:G$87,0)=G172,_xlfn.XLOOKUP("TempoBet",K172:K174,L172:L174,0)&gt;0),"X",IF(OR(C172="W",C173="W",C174="W",C172="1/2W",C173="1/2W",C174="1/2W",C172="1/2L",C173="1/2L",C174="1/2L"),"OK",IF(OR(C172="L",C173="L",C174="L"),"LOSS",IF(OR(C172="X",C173="X",C174="X"),"Anulado"," "))))</f>
        <v>50</v>
      </c>
      <c r="C172" t="s" s="248">
        <v>56</v>
      </c>
      <c r="D172" t="s" s="303">
        <f>IF(G172="","",$D169)</f>
        <v>184</v>
      </c>
      <c r="E172" t="s" s="250">
        <v>121</v>
      </c>
      <c r="F172" t="s" s="302"/>
      <c r="G172" s="252">
        <f>IF(H172="","",_xlfn.XLOOKUP(H172,H$4:H171,G$4:G171,""))</f>
        <v>44944.458333333336</v>
      </c>
      <c r="H172" t="s" s="253">
        <v>195</v>
      </c>
      <c r="I172" t="s" s="254">
        <v>54</v>
      </c>
      <c r="J172" s="255">
        <v>-0.5</v>
      </c>
      <c r="K172" t="s" s="256">
        <v>41</v>
      </c>
      <c r="L172" s="257">
        <v>2.28</v>
      </c>
      <c r="M172" s="258">
        <v>10.55</v>
      </c>
      <c r="N172" s="259">
        <v>0</v>
      </c>
      <c r="O172" s="260">
        <f>IF(OR(AE172="",AE173=""),"",ROUND(IF(L174&gt;0,IF(M172&gt;0,M172,IF(M173&gt;0,ROUND((M173*AE172)/AE173,IF(N172=0,2,IF(N172=0.1,1,0))),ROUND((M174*AE172)/AE174,IF(N172=0,2,IF(N172=0.1,1,0))))),IF(M172&gt;0,M172,ROUND((M173*AE172)/AE173,IF(N172=0,2,IF(N172=0.1,1,0))))),2))</f>
        <v>10.55</v>
      </c>
      <c r="P172" s="261">
        <f>IF(OR(L172="",O172=""),"",IF($C172="1/2W",O172/2+O172/2*L172,IF($C172="1/2L",O172/2,IF(I172="Lay",(O172*(L172/(L172-1))-O172)*(1-_xlfn.XLOOKUP(K172,'Janeiro 2023 - Valor Real'!A3:A15,'Janeiro 2023 - Valor Real'!C3:C15,0))+O172,(O172*L172-O172)*(1-_xlfn.XLOOKUP(K172,'Janeiro 2023 - Valor Real'!A3:A15,'Janeiro 2023 - Valor Real'!C3:C15,0))+O172))))</f>
        <v>24.054</v>
      </c>
      <c r="Q172" s="262">
        <f>IF(K172="","",IF(_xlfn.XLOOKUP(K172,K86:K$87,DJ86:DJ$87,0,,-1)=DJ172,_xlfn.XLOOKUP(K172,K86:K$87,Q86:Q$87,1,,-1)+1,1))</f>
        <v>1</v>
      </c>
      <c r="R172" s="263">
        <f>IF(K172="","",_xlfn.XLOOKUP(K172,K86:K$87,R86:R$87,0,,-1)+IF($C172=" ",1,0))</f>
        <v>0</v>
      </c>
      <c r="S172" s="264">
        <f>IF($B172="Anulado",0,ROUND(IF(OR($B172="LOSS",$B172="OK"),IF(OR($C172="W",$C172="1/2W",$C172="1/2L"),P172-O172,IF($C172="L",-O172,0))+IF(OR($C173="W",$C173="1/2W",$C173="1/2L"),P173-O173,IF($C173="L",-O173,0))+IF(OR($C174="W",$C174="1/2W",$C174="1/2L"),P174-O174,IF($C174="L",-O174,0)),IF(AND(OR($C172="W",$C172="1/2W",$C172="1/2L"),C173="W"),P172+P173-SUM(O172:O174)+_xlfn.XLOOKUP("X",C172:C174,O172:O174,0),IF(AND(C172=TRUE,C174="W"),P172+P174-SUM(O172:O174),IF(AND(C173="W",C174="W"),P173+P174-SUM(O172:O174)+_xlfn.XLOOKUP("X",C172:C174,O172:O174,0),IF(L174&gt;0,IF(OR($C172="W",$C172="1/2W",$C172="1/2L"),P172-SUM(O172:O174)+_xlfn.XLOOKUP("X",C172:C174,O172:O174,0),IF(OR($C172="W",$C172="1/2W",$C172="1/2L"),P173-SUM(O172:O174)+_xlfn.XLOOKUP("X",C172:C174,O172:O174,0),IF(OR($C172="W",$C172="1/2W",$C172="1/2L"),P174-SUM(O172:O174)+_xlfn.XLOOKUP("X",C172:C174,O172:O174,0),IF(SUM(P172:P174)/3-SUM(O172:O174)+_xlfn.XLOOKUP("X",C172:C174,O172:O174,0)&gt;0,SUM(P172:P174)/3-SUM(O172:O174)+_xlfn.XLOOKUP("X",C172:C174,O172:O174,0),LARGE(P172:P174,1)-SUM(O172:O174))))),IF(OR($C172="W",$C172="1/2W",$C172="1/2L"),P172-SUM(O172:O173)+_xlfn.XLOOKUP("X",C172:C174,O172:O174,0),IF(OR($C172="W",$C172="1/2W",$C172="1/2L"),P173-SUM(O172:O173)+_xlfn.XLOOKUP("X",C172:C174,O172:O174,0),SUM(P172:P173)/2-SUM(O172:O173)+_xlfn.XLOOKUP("X",C172:C174,O172:O174,0)))))))),2))</f>
        <v>1.25</v>
      </c>
      <c r="T172" s="265">
        <f>IF(S172=0,0,S172/SUM(O172:O174))</f>
        <v>0.0548245614035088</v>
      </c>
      <c r="U172" s="266">
        <f>IF($D172=$D169,IF(OR($B172="LOSS",$B172="OK",$B172="Anulada"),S172,0)+U169,IF(OR($B172="LOSS",$B172="OK",$B172="Anulada"),S172,0))</f>
        <v>27.08</v>
      </c>
      <c r="V172" s="266">
        <f>IF($D172="",0,IF($D172=$D169,IF($B172=" ",IF(I174="",IF(OR(AND(I172="DNB1",I173="DNB2"),AND(OR(I172="DNB1",I172="DNB2"),J173=0),AND(OR(I173="DNB1",I173="DNB2"),J172=0),AND(I172="DNB2",I173="DNB1"),AND(IF(J172=0,(J172+1)/ROUND(J172+1,0),J172/ROUND(J172,0))=1,IF(J173=0,(J173+1)/ROUND(IF(J173="",0,J173)+1,0),IF(J173="",0,J173)/ROUND(IF(J173="",1,J173),0))=1,OR(J172&lt;&gt;""),J173&lt;&gt;"")),0,IF(S172&lt;0,IF(I174="",SMALL(P172:P173,1)-SUM(O172:O173),0),SMALL(P172:P173,1)-SUM(O172:O173))),IF(S172&lt;0,IF(I174="",SMALL(P172:P174,1)-SUM(O172:O174),0),LARGE(P172:P174,1)-SUM(O172:O174))),S172)+V169,IF(I174="",IF(OR(AND(I172="DNB1",I173="DNB2"),AND(OR(I172="DNB1",I172="DNB2"),J173=0),AND(OR(I173="DNB1",I173="DNB2"),J172=0),AND(I172="DNB2",I173="DNB1"),AND(IF(J172=0,(J172+1)/ROUND(J172+1,0),J172/ROUND(J172,0))=1,IF(J173=0,(IF(J173="",0,J173)+1)/ROUND(IF(J173="",0,J173)+1,0),IF(J173="",0,J173)/ROUND(IF(J173="",0,J173)+1,0))=1,OR(J172&lt;&gt;""),J173&lt;&gt;"")),0,IF(S172&lt;0,IF(I174="",SMALL(P172:P173,1)-SUM(O172:O173),0),SMALL(P172:P174,1)-SUM(O172:O174))),IF(S172&lt;0,IF(I174="",SMALL(P172:P174,1)-SUM(O172:O174),0),LARGE(P172:P174,1)-SUM(O172:O174)))))</f>
        <v>27.0775</v>
      </c>
      <c r="W172" s="266">
        <f>IF($D172=$D169,IF(S172&lt;0,IF(I174="",S172,0),S172)+W169,S172)</f>
        <v>27.08</v>
      </c>
      <c r="X172" t="s" s="267">
        <f>IF(OR(SUM(R172:R174)=0,V172=W172),ROUND(IF(W172=0,0,W172/Y172)*100,2)&amp;"%",ROUND(IF(V172=0,0,V172/Y172)*100,2)&amp;"% a "&amp;ROUND(IF(W172=0,0,W172/Y172)*100,2)&amp;"%")</f>
        <v>196</v>
      </c>
      <c r="Y172" s="268">
        <f>IF($D172=$D169,Y169+SUM(O172:O174),SUM(O172:O174))</f>
        <v>378.51</v>
      </c>
      <c r="Z172" s="266">
        <f>IF($B172=" ",SUM(O172:O174),0)+Z169</f>
        <v>0</v>
      </c>
      <c r="AA172" s="266">
        <f>IF(G172="","",IF($B172="Anulado",LARGE(P172:P174,1)-SUM(O172:O174)+AA169,AA169))</f>
        <v>14.1564</v>
      </c>
      <c r="AB172" s="266">
        <f>IF($D172="","",AB169+S172)</f>
        <v>152.19</v>
      </c>
      <c r="AC172" s="269">
        <f>IF($D172="","",IF($B172=" ",IF(DAY(G172)=DAY(TODAY()),1+AC169,0+AC169),0+AC169))</f>
        <v>0</v>
      </c>
      <c r="AD172" s="270">
        <f>(1-_xlfn.XLOOKUP(K170,'Janeiro 2023 - Valor Real'!A3:A15,'Janeiro 2023 - Valor Real'!C3:C15,0))+1</f>
        <v>1.935</v>
      </c>
      <c r="AE172" s="271">
        <f>IF(L172="","",IF(L174&gt;0,(SUM(((L172-1)*(1-_xlfn.XLOOKUP(K172,'Janeiro 2023 - Valor Real'!A3:A15,'Janeiro 2023 - Valor Real'!C3:C15,0))+1),((L173-1)*(1-_xlfn.XLOOKUP(K173,'Janeiro 2023 - Valor Real'!A3:A15,'Janeiro 2023 - Valor Real'!C3:C15,0))+1),((L174-1)*(1-_xlfn.XLOOKUP(K174,'Janeiro 2023 - Valor Real'!A3:A15,'Janeiro 2023 - Valor Real'!C3:C15,0))+1))/((L172-1)*(1-_xlfn.XLOOKUP(K172,'Janeiro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Real'!C3:C15,0))+1))/((L172-1)*(1-_xlfn.XLOOKUP(K172,'Janeiro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Real'!C3:C15,0))+1))/((L173-1)*(1-_xlfn.XLOOKUP(K173,'Janeiro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Real'!C3:C15,0))+1))/((L174-1)*(1-_xlfn.XLOOKUP(K174,'Janeiro 2023 - Valor Real'!A3:A15,'Janeiro 2023 - Valor Real'!C3:C15,0))+1)),IF(I172="Lay",IF(I173="Lay",((L173/(L173-1)-1)*(1-_xlfn.XLOOKUP(K173,'Janeiro 2023 - Valor Real'!A3:A15,'Janeiro 2023 - Valor Real'!C3:C15,0))+1)/(((L173/(L173-1)-1)*(1-_xlfn.XLOOKUP(K173,'Janeiro 2023 - Valor Real'!A3:A15,'Janeiro 2023 - Valor Real'!C3:C15,0))+1)+((L172/(L172-1)-1)*(1-_xlfn.XLOOKUP(K172,'Janeiro 2023 - Valor Real'!A3:A15,'Janeiro 2023 - Valor Real'!C3:C15,0))+1)),((L173-1)*(1-_xlfn.XLOOKUP(K173,'Janeiro 2023 - Valor Real'!A3:A15,'Janeiro 2023 - Valor Real'!C3:C15,0))+1)/(((L173-1)*(1-_xlfn.XLOOKUP(K173,'Janeiro 2023 - Valor Real'!A3:A15,'Janeiro 2023 - Valor Real'!C3:C15,0))+1)+((L172/(L172-1)-1)*(1-_xlfn.XLOOKUP(K172,'Janeiro 2023 - Valor Real'!A3:A15,'Janeiro 2023 - Valor Real'!C3:C15,0))+1))),IF(I173="Lay",(((L173/(L173-1)-1)*(1-_xlfn.XLOOKUP(K173,'Janeiro 2023 - Valor Real'!A3:A15,'Janeiro 2023 - Valor Real'!C3:C15,0))+1))/(((L172-1)*(1-_xlfn.XLOOKUP(K172,'Janeiro 2023 - Valor Real'!A3:A15,'Janeiro 2023 - Valor Real'!C3:C15,0))+1)+((L173/(L173-1)-1)*(1-_xlfn.XLOOKUP(K173,'Janeiro 2023 - Valor Real'!A3:A15,'Janeiro 2023 - Valor Real'!C3:C15,0))+1)),((L173-1)*(1-_xlfn.XLOOKUP(K173,'Janeiro 2023 - Valor Real'!A3:A15,'Janeiro 2023 - Valor Real'!C3:C15,0))+1)/(((L173-1)*(1-_xlfn.XLOOKUP(K173,'Janeiro 2023 - Valor Real'!A3:A15,'Janeiro 2023 - Valor Real'!C3:C15,0))+1)+((L172-1)*(1-_xlfn.XLOOKUP(K172,'Janeiro 2023 - Valor Real'!A3:A15,'Janeiro 2023 - Valor Real'!C3:C15,0))+1))))))</f>
        <v>0.462760530534907</v>
      </c>
      <c r="AF172" s="132">
        <f>IF($K172=AF$3,ROUND(IF(OR($C172="W",$C172="1/2W",$C172="1/2L"),$P172-$O172,IF($C172="X",0,-$O172)),2),0)</f>
        <v>0</v>
      </c>
      <c r="AG172" s="133">
        <f>IF($K172=AG$3,ROUND(IF(OR($C172="W",$C172="1/2W",$C172="1/2L"),$P172-$O172,IF($C172="X",0,-$O172)),2),0)</f>
        <v>0</v>
      </c>
      <c r="AH172" s="133">
        <f>IF($K172=AH$3,ROUND(IF(OR($C172="W",$C172="1/2W",$C172="1/2L"),$P172-$O172,IF($C172="X",0,-$O172)),2),0)</f>
        <v>0</v>
      </c>
      <c r="AI172" s="133">
        <f>IF($K172=AI$3,ROUND(IF(OR($C172="W",$C172="1/2W",$C172="1/2L"),$P172-$O172,IF($C172="X",0,-$O172)),2),0)</f>
        <v>0</v>
      </c>
      <c r="AJ172" s="133">
        <f>IF($K172=AJ$3,ROUND(IF(OR($C172="W",$C172="1/2W",$C172="1/2L"),$P172-$O172,IF($C172="X",0,-$O172)),2),0)</f>
        <v>13.5</v>
      </c>
      <c r="AK172" s="133">
        <f>IF($K172=AK$3,ROUND(IF(OR($C172="W",$C172="1/2W",$C172="1/2L"),$P172-$O172,IF($C172="X",0,-$O172)),2),0)</f>
        <v>0</v>
      </c>
      <c r="AL172" s="133">
        <f>IF($K172=AL$3,ROUND(IF(OR($C172="W",$C172="1/2W",$C172="1/2L"),$P172-$O172,IF($C172="X",0,-$O172)),2),0)</f>
        <v>0</v>
      </c>
      <c r="AM172" s="133">
        <f>IF($K172=AM$3,ROUND(IF(OR($C172="W",$C172="1/2W",$C172="1/2L"),$P172-$O172,IF($C172="X",0,-$O172)),2),0)</f>
        <v>0</v>
      </c>
      <c r="AN172" s="133">
        <f>IF($K172=AN$3,ROUND(IF(OR($C172="W",$C172="1/2W",$C172="1/2L"),$P172-$O172,IF($C172="X",0,-$O172)),2),0)</f>
        <v>0</v>
      </c>
      <c r="AO172" s="133">
        <f>IF($K172=AO$3,ROUND(IF(OR($C172="W",$C172="1/2W",$C172="1/2L"),$P172-$O172,IF($C172="X",0,-$O172)),2),0)</f>
        <v>0</v>
      </c>
      <c r="AP172" s="133">
        <f>IF($K172=AP$3,ROUND(IF(OR($C172="W",$C172="1/2W",$C172="1/2L"),$P172-$O172,IF($C172="X",0,-$O172)),2),0)</f>
        <v>0</v>
      </c>
      <c r="AQ172" s="133">
        <f>IF($K172=AQ$3,ROUND(IF(OR($C172="W",$C172="1/2W",$C172="1/2L"),$P172-$O172,IF($C172="X",0,-$O172)),2),0)</f>
        <v>0</v>
      </c>
      <c r="AR172" s="134">
        <f>IF($K172=AR$3,ROUND(IF(OR($C172="W",$C172="1/2W",$C172="1/2L"),$P172-$O172,IF($C172="X",0,-$O172)),2),0)</f>
        <v>0</v>
      </c>
      <c r="AS172" s="132">
        <f>IF(AND($B172=" ",$K172=AS$3),$O172,0)</f>
        <v>0</v>
      </c>
      <c r="AT172" s="133">
        <f>IF(AND($B172=" ",$K172=AT$3),$O172,0)</f>
        <v>0</v>
      </c>
      <c r="AU172" s="133">
        <f>IF(AND($B172=" ",$K172=AU$3),$O172,0)</f>
        <v>0</v>
      </c>
      <c r="AV172" s="133">
        <f>IF(AND($B172=" ",$K172=AV$3),$O172,0)</f>
        <v>0</v>
      </c>
      <c r="AW172" s="133">
        <f>IF(AND($B172=" ",$K172=AW$3),$O172,0)</f>
        <v>0</v>
      </c>
      <c r="AX172" s="133">
        <f>IF(AND($B172=" ",$K172=AX$3),$O172,0)</f>
        <v>0</v>
      </c>
      <c r="AY172" s="135">
        <f>IF(AND($B172=" ",$K172=AY$3),$O172,0)</f>
        <v>0</v>
      </c>
      <c r="AZ172" s="136">
        <f>IF(AND($B172=" ",$K172=AZ$3),$O172,0)</f>
        <v>0</v>
      </c>
      <c r="BA172" s="136">
        <f>IF(AND($B172=" ",$K172=BA$3),$O172,0)</f>
        <v>0</v>
      </c>
      <c r="BB172" s="136">
        <f>IF(AND($B172=" ",$K172=BB$3),$O172,0)</f>
        <v>0</v>
      </c>
      <c r="BC172" s="137">
        <f>IF(AND($B172=" ",$K172=BC$3),$O172,0)</f>
        <v>0</v>
      </c>
      <c r="BD172" s="133">
        <f>IF(AND($B172=" ",$K172=BD$3),$O172,0)</f>
        <v>0</v>
      </c>
      <c r="BE172" s="134">
        <f>IF(AND($B172=" ",$K172=BE$3),$O172,0)</f>
        <v>0</v>
      </c>
      <c r="BF172" s="132">
        <f>IF($K172=BF$3,IF($C172="X",0,$O172),0)</f>
        <v>0</v>
      </c>
      <c r="BG172" s="133">
        <f>IF($K172=BG$3,IF($C172="X",0,$O172),0)</f>
        <v>0</v>
      </c>
      <c r="BH172" s="133">
        <f>IF($K172=BH$3,IF($C172="X",0,$O172),0)</f>
        <v>0</v>
      </c>
      <c r="BI172" s="133">
        <f>IF($K172=BI$3,IF($C172="X",0,$O172),0)</f>
        <v>0</v>
      </c>
      <c r="BJ172" s="133">
        <f>IF($K172=BJ$3,IF($C172="X",0,$O172),0)</f>
        <v>10.55</v>
      </c>
      <c r="BK172" s="133">
        <f>IF($K172=BK$3,IF($C172="X",0,$O172),0)</f>
        <v>0</v>
      </c>
      <c r="BL172" s="133">
        <f>IF($K172=BL$3,IF($C172="X",0,$O172),0)</f>
        <v>0</v>
      </c>
      <c r="BM172" s="135">
        <f>IF($K172=BM$3,IF($C172="X",0,$O172),0)</f>
        <v>0</v>
      </c>
      <c r="BN172" s="136">
        <f>IF($K172=BN$3,IF($C172="X",0,$O172),0)</f>
        <v>0</v>
      </c>
      <c r="BO172" s="136">
        <f>IF($K172=BO$3,IF($C172="X",0,$O172),0)</f>
        <v>0</v>
      </c>
      <c r="BP172" s="136">
        <f>IF($K172=BP$3,IF($C172="X",0,$O172),0)</f>
        <v>0</v>
      </c>
      <c r="BQ172" s="137">
        <f>IF($K172=BQ$3,IF($C172="X",0,$O172),0)</f>
        <v>0</v>
      </c>
      <c r="BR172" s="134">
        <f>IF($K172=BR$3,IF($C172="X",0,$O172),0)</f>
        <v>0</v>
      </c>
      <c r="BS172" s="170">
        <f>IF($B172="LOSS",IF(AND($K172=BS$3,$C172="L"),-$O172,0)+IF(AND($K173=BS$3,$C173="L"),-$O173,0)+IF(AND($K174=BS$3,$C174="L"),-$O174,0),IF(OR(AND($K172=BS$3,OR($C172="W",$C172="1/2W")),AND($K173=BS$3,OR($C173="W",$C173="1/2W")),AND($K174=BS$3,OR($C174="W",$C174="1/2W"))),$S172,0))</f>
        <v>0</v>
      </c>
      <c r="BT172" s="272">
        <f>IF($B172="LOSS",IF(AND($K172=BT$3,$C172="L"),-$O172,0)+IF(AND($K173=BT$3,$C173="L"),-$O173,0)+IF(AND($K173=BT$3,$C174="L"),-$O174,0),IF(OR(AND($K173=BT$3,OR($C172="W",$C172="1/2W")),AND($K173=BT$3,OR($C173="W",$C173="1/2W")),AND($K173=BT$3,OR($C174="W",$C174="1/2W"))),$S172,0))</f>
        <v>0</v>
      </c>
      <c r="BU172" s="136">
        <f>IF($B172="LOSS",IF(AND($K172=BU$3,$C172="L"),-$O172,0)+IF(AND($K173=BU$3,$C173="L"),-$O173,0)+IF(AND($K173=BU$3,$C174="L"),-$O174,0),IF(OR(AND($K173=BU$3,OR($C172="W",$C172="1/2W")),AND($K173=BU$3,OR($C173="W",$C173="1/2W")),AND($K173=BU$3,OR($C174="W",$C174="1/2W"))),$S172,0))</f>
        <v>1.25</v>
      </c>
      <c r="BV172" s="136">
        <f>IF($B172="LOSS",IF(AND($K172=BV$3,$C172="L"),-$O172,0)+IF(AND($K173=BV$3,$C173="L"),-$O173,0)+IF(AND($K174=BV$3,$C174="L"),-$O174,0),IF(OR(AND($K172=BV$3,OR($C172="W",$C172="1/2W")),AND($K173=BV$3,OR($C173="W",$C173="1/2W")),AND($K174=BV$3,OR($C174="W",$C174="1/2W"))),$S172,0))</f>
        <v>0</v>
      </c>
      <c r="BW172" s="136">
        <f>IF($B172="LOSS",IF(AND($K172=BW$3,$C172="L"),-$O172,0)+IF(AND($K173=BW$3,$C173="L"),-$O173,0)+IF(AND($K174=BW$3,$C174="L"),-$O174,0),IF(OR(AND($K172=BW$3,OR($C172="W",$C172="1/2W")),AND($K173=BW$3,OR($C173="W",$C173="1/2W")),AND($K174=BW$3,OR($C174="W",$C174="1/2W"))),$S172,0))</f>
        <v>1.25</v>
      </c>
      <c r="BX172" s="136">
        <f>IF($B172="LOSS",IF(AND($K172=BX$3,$C172="L"),-$O172,0)+IF(AND($K173=BX$3,$C173="L"),-$O173,0)+IF(AND($K174=BX$3,$C174="L"),-$O174,0),IF(OR(AND($K172=BX$3,OR($C172="W",$C172="1/2W")),AND($K173=BX$3,OR($C173="W",$C173="1/2W")),AND($K174=BX$3,OR($C174="W",$C174="1/2W"))),$S172,0))</f>
        <v>0</v>
      </c>
      <c r="BY172" s="136">
        <f>IF($B172="LOSS",IF(AND($K172=BY$3,$C172="L"),-$O172,0)+IF(AND($K173=BY$3,$C173="L"),-$O173,0)+IF(AND($K174=BY$3,$C174="L"),-$O174,0),IF(OR(AND($K172=BY$3,OR($C172="W",$C172="1/2W")),AND($K173=BY$3,OR($C173="W",$C173="1/2W")),AND($K174=BY$3,OR($C174="W",$C174="1/2W"))),$S172,0))</f>
        <v>0</v>
      </c>
      <c r="BZ172" s="136">
        <f>IF($B172="LOSS",IF(AND($K172=BZ$3,$C172="L"),-$O172,0)+IF(AND($K173=BZ$3,$C173="L"),-$O173,0)+IF(AND($K174=BZ$3,$C174="L"),-$O174,0),IF(OR(AND($K172=BZ$3,OR($C172="W",$C172="1/2W")),AND($K173=BZ$3,OR($C173="W",$C173="1/2W")),AND($K174=BZ$3,OR($C174="W",$C174="1/2W"))),$S172,0))</f>
        <v>0</v>
      </c>
      <c r="CA172" s="136">
        <f>IF($B172="LOSS",IF(AND($K172=CA$3,$C172="L"),-$O172,0)+IF(AND($K173=CA$3,$C173="L"),-$O173,0)+IF(AND($K174=CA$3,$C174="L"),-$O174,0),IF(OR(AND($K172=CA$3,OR($C172="W",$C172="1/2W")),AND($K173=CA$3,OR($C173="W",$C173="1/2W")),AND($K174=CA$3,OR($C174="W",$C174="1/2W"))),$S172,0))</f>
        <v>0</v>
      </c>
      <c r="CB172" s="136">
        <f>IF($B172="LOSS",IF(AND($K172=CB$3,$C172="L"),-$O172,0)+IF(AND($K173=CB$3,$C173="L"),-$O173,0)+IF(AND($K174=CB$3,$C174="L"),-$O174,0),IF(OR(AND($K172=CB$3,OR($C172="W",$C172="1/2W")),AND($K173=CB$3,OR($C173="W",$C173="1/2W")),AND($K174=CB$3,OR($C174="W",$C174="1/2W"))),$S172,0))</f>
        <v>0</v>
      </c>
      <c r="CC172" s="136">
        <f>IF($B172="LOSS",IF(AND($K172=CC$3,$C172="L"),-$O172,0)+IF(AND($K173=CC$3,$C173="L"),-$O173,0)+IF(AND($K174=CC$3,$C174="L"),-$O174,0),IF(OR(AND($K172=CC$3,OR($C172="W",$C172="1/2W")),AND($K173=CC$3,OR($C173="W",$C173="1/2W")),AND($K174=CC$3,OR($C174="W",$C174="1/2W"))),$S172,0))</f>
        <v>0</v>
      </c>
      <c r="CD172" s="137">
        <f>IF($B172="LOSS",IF(AND($K172=CD$3,$C172="L"),-$O172,0)+IF(AND($K173=CD$3,$C173="L"),-$O173,0)+IF(AND($K174=CD$3,$C174="L"),-$O174,0),IF(OR(AND($K172=CD$3,OR($C172="W",$C172="1/2W")),AND($K173=CD$3,OR($C173="W",$C173="1/2W")),AND($K174=CD$3,OR($C174="W",$C174="1/2W"))),$S172,0))</f>
        <v>0</v>
      </c>
      <c r="CE172" s="134">
        <f>IF($B172="LOSS",IF(AND($K172=CE$3,$C172="L"),-$O172,0)+IF(AND($K173=CE$3,$C173="L"),-$O173,0)+IF(AND($K174=CE$3,$C174="L"),-$O174,0),IF(OR(AND($K172=CE$3,OR($C172="W",$C172="1/2W")),AND($K173=CE$3,OR($C173="W",$C173="1/2W")),AND($K174=CE$3,OR($C174="W",$C174="1/2W"))),$S172,0))</f>
        <v>0</v>
      </c>
      <c r="CF172" s="273">
        <f>IF(CF$3=$K172,IF($C172="W",1,IF($C172="1/2W",0.5,0)),0)</f>
        <v>0</v>
      </c>
      <c r="CG172" s="274">
        <f>IF(CF$3=$K172,IF($C172="L",1,IF($C172="1/2L",0.5,0)),0)</f>
        <v>0</v>
      </c>
      <c r="CH172" s="274">
        <f>IF(CH$3=$K172,IF($C172="W",1,IF($C172="1/2W",0.5,0)),0)</f>
        <v>0</v>
      </c>
      <c r="CI172" s="274">
        <f>IF(CH$3=$K172,IF($C172="L",1,IF($C172="1/2L",0.5,0)),0)</f>
        <v>0</v>
      </c>
      <c r="CJ172" s="274">
        <f>IF(CJ$3=$K172,IF($C172="W",1,IF($C172="1/2W",0.5,0)),0)</f>
        <v>0</v>
      </c>
      <c r="CK172" s="274">
        <f>IF(CJ$3=$K172,IF($C172="L",1,IF($C172="1/2L",0.5,0)),0)</f>
        <v>0</v>
      </c>
      <c r="CL172" s="274">
        <f>IF(CL$3=$K172,IF($C172="W",1,IF($C172="1/2W",0.5,0)),0)</f>
        <v>0</v>
      </c>
      <c r="CM172" s="274">
        <f>IF(CL$3=$K172,IF($C172="L",1,IF($C172="1/2L",0.5,0)),0)</f>
        <v>0</v>
      </c>
      <c r="CN172" s="274">
        <f>IF(CN$3=$K172,IF($C172="W",1,IF($C172="1/2W",0.5,0)),0)</f>
        <v>1</v>
      </c>
      <c r="CO172" s="274">
        <f>IF(CN$3=$K172,IF($C172="L",1,IF($C172="1/2L",0.5,0)),0)</f>
        <v>0</v>
      </c>
      <c r="CP172" s="274">
        <f>IF(CP$3=$K172,IF($C172="W",1,IF($C172="1/2W",0.5,0)),0)</f>
        <v>0</v>
      </c>
      <c r="CQ172" s="274">
        <f>IF(CP$3=$K172,IF($C172="L",1,IF($C172="1/2L",0.5,0)),0)</f>
        <v>0</v>
      </c>
      <c r="CR172" s="274">
        <f>IF(CR$3=$K172,IF($C172="W",1,IF($C172="1/2W",0.5,0)),0)</f>
        <v>0</v>
      </c>
      <c r="CS172" s="274">
        <f>IF(CR$3=$K172,IF($C172="L",1,IF($C172="1/2L",0.5,0)),0)</f>
        <v>0</v>
      </c>
      <c r="CT172" s="145">
        <f>IF(CT$3=$K172,IF($C172="W",1,IF($C172="1/2W",0.5,0)),0)</f>
        <v>0</v>
      </c>
      <c r="CU172" s="146">
        <f>IF(CT$3=$K172,IF($C172="L",1,IF($C172="1/2L",0.5,0)),0)</f>
        <v>0</v>
      </c>
      <c r="CV172" s="146">
        <f>IF(CV$3=$K172,IF($C172="W",1,IF($C172="1/2W",0.5,0)),0)</f>
        <v>0</v>
      </c>
      <c r="CW172" s="146">
        <f>IF(CV$3=$K172,IF($C172="L",1,IF($C172="1/2L",0.5,0)),0)</f>
        <v>0</v>
      </c>
      <c r="CX172" s="146">
        <f>IF(CX$3=$K172,IF($C172="W",1,IF($C172="1/2W",0.5,0)),0)</f>
        <v>0</v>
      </c>
      <c r="CY172" s="146">
        <f>IF(CX$3=$K172,IF($C172="L",1,IF($C172="1/2L",0.5,0)),0)</f>
        <v>0</v>
      </c>
      <c r="CZ172" s="146">
        <f>IF(CZ$3=$K172,IF($C172="W",1,IF($C172="1/2W",0.5,0)),0)</f>
        <v>0</v>
      </c>
      <c r="DA172" s="146">
        <f>IF(CZ$3=$K172,IF($C172="L",1,IF($C172="1/2L",0.5,0)),0)</f>
        <v>0</v>
      </c>
      <c r="DB172" s="146">
        <f>IF(DB$3=$K172,IF($C172="W",1,IF($C172="1/2W",0.5,0)),0)</f>
        <v>0</v>
      </c>
      <c r="DC172" s="146">
        <f>IF(DB$3=$K172,IF($C172="L",1,IF($C172="1/2L",0.5,0)),0)</f>
        <v>0</v>
      </c>
      <c r="DD172" s="146">
        <f>IF(DD$3=$K172,IF($C172="W",1,IF($C172="1/2W",0.5,0)),0)</f>
        <v>0</v>
      </c>
      <c r="DE172" s="147">
        <f>IF(DD$3=$K172,IF($C172="L",1,IF($C172="1/2L",0.5,0)),0)</f>
        <v>0</v>
      </c>
      <c r="DF172" s="143">
        <f>IF(AND(L172&lt;DF$3,$C172="W"),1+DF171,DF171)</f>
        <v>8</v>
      </c>
      <c r="DG172" s="133">
        <f>IF(DF172&gt;DF171,L172+DG171,DG171)</f>
        <v>10.598</v>
      </c>
      <c r="DH172" s="146">
        <f>IF(AND(L172&gt;DH$3,$C172="W"),1+DH171,0+DH171)</f>
        <v>2</v>
      </c>
      <c r="DI172" s="133">
        <f>IF(DH172&gt;DH171,L172+DI171,DI171)</f>
        <v>11.58</v>
      </c>
      <c r="DJ172" t="s" s="304">
        <f>IF($D172="","",$D172)</f>
        <v>184</v>
      </c>
      <c r="DK172" s="146">
        <f>IF(AND($B172=" ",$D172&lt;&gt;""),1,0)</f>
        <v>0</v>
      </c>
    </row>
    <row r="173" ht="14.55" customHeight="1">
      <c r="A173" s="107"/>
      <c r="B173" s="108"/>
      <c r="C173" t="s" s="109">
        <v>51</v>
      </c>
      <c r="D173" s="110"/>
      <c r="E173" s="111"/>
      <c r="F173" s="113"/>
      <c r="G173" s="252"/>
      <c r="H173" s="114"/>
      <c r="I173" t="s" s="275">
        <v>75</v>
      </c>
      <c r="J173" t="s" s="295">
        <f>IF(OR(I172="TO",I172="TU",I172="TO1",I172="TU1",I172="TO2",I172="TU2"),J172,IF(OR(I172="AH1",I172="AH2"),IF(OR(I173="AH1",I173="AH2"),-J172,IF(OR(I173="EH1",I173="EH2"),-J172+0.5,"")),IF(OR(I172="EH1",I172="EH2"),IF(OR(I173="AH1",I173="AH2"),-J172+0.5,IF(OR(I173="EH1",I173="EH2"),-J172+1,"")),IF(AND(OR(I172="DNB1",I172="DNB2"),OR(I173="AH1",I173="AH2")),0,IF(AND(I172="Not ScoreBoth",OR(I173="TO1",I173="TO2")),0.5,"")))))</f>
      </c>
      <c r="K173" t="s" s="117">
        <v>39</v>
      </c>
      <c r="L173" s="277">
        <v>1.97</v>
      </c>
      <c r="M173" s="278"/>
      <c r="N173" s="120"/>
      <c r="O173" s="121">
        <f>IF(OR(AE172="",AE173=""),"",ROUND(IF(L174&gt;0,IF(M173&gt;0,M173,IF(M172&gt;0,IF(N172=TRUE,ROUND((M172*AE173)/AE172,0),(M172*AE173)/AE172),IF(M173&gt;0,ROUND(M173,IF(N172=0,2,IF(N172=0.1,1,0))),IF(M174&gt;0,ROUND(O174*AE173/AE174,IF(N172=0,2,IF(N172=0.1,1,0))),0)))),IF(M173&gt;0,M173,ROUND((M172*AE173)/AE172,IF(N172=0,2,IF(N172=0.1,1,0))))),2))</f>
        <v>12.25</v>
      </c>
      <c r="P173" s="122">
        <f>IF(OR(L173="",O173=""),"",IF($C173="1/2W",O173/2+O173/2*L173,IF($C173="1/2L",O173/2,IF(I173="Lay",((O173*(L173/(L173-1)))-O173)*(1-_xlfn.XLOOKUP(K173,'Janeiro 2023 - Valor Real'!A3:A15,'Janeiro 2023 - Valor Real'!C3:C15,0))+O173,(O173*L173-O173)*(1-_xlfn.XLOOKUP(K173,'Janeiro 2023 - Valor Real'!A3:A15,'Janeiro 2023 - Valor Real'!C3:C15,0))+O173))))</f>
        <v>24.0579896907216</v>
      </c>
      <c r="Q173" s="279">
        <f>IF(K173="","",IF(_xlfn.XLOOKUP(K173,K86:K$88,DJ86:DJ$88,0,,-1)=DJ173,_xlfn.XLOOKUP(K173,K86:K$88,Q86:Q$88,1,,-1)+1,1))</f>
        <v>1</v>
      </c>
      <c r="R173" s="280">
        <f>IF(K173="","",_xlfn.XLOOKUP(K173,K86:K$88,R86:R$88,0,,-1)+IF($C173=" ",1,0))</f>
        <v>0</v>
      </c>
      <c r="S173" s="125"/>
      <c r="T173" s="126"/>
      <c r="U173" s="126"/>
      <c r="V173" s="224"/>
      <c r="W173" s="126"/>
      <c r="X173" s="127"/>
      <c r="Y173" s="128"/>
      <c r="Z173" s="129"/>
      <c r="AA173" s="129"/>
      <c r="AB173" s="129"/>
      <c r="AC173" s="129"/>
      <c r="AD173" s="130"/>
      <c r="AE173" s="131">
        <f>IF(L173="","",IF(L174&gt;0,(SUM(((L172-1)*(1-_xlfn.XLOOKUP(K172,'Janeiro 2023 - Valor Real'!A3:A15,'Janeiro 2023 - Valor Real'!C3:C15,0))+1),((L173-1)*(1-_xlfn.XLOOKUP(K173,'Janeiro 2023 - Valor Real'!A3:A15,'Janeiro 2023 - Valor Real'!C3:C15,0))+1),((L174-1)*(1-_xlfn.XLOOKUP(K174,'Janeiro 2023 - Valor Real'!A3:A15,'Janeiro 2023 - Valor Real'!C3:C15,0))+1))/((L173-1)*(1-_xlfn.XLOOKUP(K173,'Janeiro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Real'!C3:C15,0))+1))/((L172-1)*(1-_xlfn.XLOOKUP(K172,'Janeiro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Real'!C3:C15,0))+1))/((L173-1)*(1-_xlfn.XLOOKUP(K173,'Janeiro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Real'!C3:C15,0))+1))/((L174-1)*(1-_xlfn.XLOOKUP(K174,'Janeiro 2023 - Valor Real'!A3:A15,'Janeiro 2023 - Valor Real'!C3:C15,0))+1)),IF(I173="Lay",IF(I172="Lay",((L172/(L172-1)-1)*(1-_xlfn.XLOOKUP(K172,'Janeiro 2023 - Valor Real'!A3:A15,'Janeiro 2023 - Valor Real'!C3:C15,0))+1)/(((L172/(L172-1)-1)*(1-_xlfn.XLOOKUP(K172,'Janeiro 2023 - Valor Real'!A3:A15,'Janeiro 2023 - Valor Real'!C3:C15,0))+1)+((L173/(L173-1)-1)*(1-_xlfn.XLOOKUP(K173,'Janeiro 2023 - Valor Real'!A3:A15,'Janeiro 2023 - Valor Real'!C3:C15,0))+1)),((L172-1)*(1-_xlfn.XLOOKUP(K172,'Janeiro 2023 - Valor Real'!A3:A15,'Janeiro 2023 - Valor Real'!C3:C15,0))+1)/(((L172-1)*(1-_xlfn.XLOOKUP(K172,'Janeiro 2023 - Valor Real'!A3:A15,'Janeiro 2023 - Valor Real'!C3:C15,0))+1)+((L173/(L173-1)-1)*(1-_xlfn.XLOOKUP(K173,'Janeiro 2023 - Valor Real'!A3:A15,'Janeiro 2023 - Valor Real'!C3:C15,0))+1))),IF(I172="Lay",((L172/(L172-1)-1)*(1-_xlfn.XLOOKUP(K172,'Janeiro 2023 - Valor Real'!A3:A15,'Janeiro 2023 - Valor Real'!C3:C15,0))+1)/((((L172/(L172-1)-1)*(1-_xlfn.XLOOKUP(K172,'Janeiro 2023 - Valor Real'!A3:A15,'Janeiro 2023 - Valor Real'!C3:C15,0))+1))+((L173-1)*(1-_xlfn.XLOOKUP(K173,'Janeiro 2023 - Valor Real'!A3:A15,'Janeiro 2023 - Valor Real'!C3:C15,0))+1)),((L172-1)*(1-_xlfn.XLOOKUP(K172,'Janeiro 2023 - Valor Real'!A3:A15,'Janeiro 2023 - Valor Real'!C3:C15,0))+1)/(((L172-1)*(1-_xlfn.XLOOKUP(K172,'Janeiro 2023 - Valor Real'!A3:A15,'Janeiro 2023 - Valor Real'!C3:C15,0))+1)+((L173-1)*(1-_xlfn.XLOOKUP(K173,'Janeiro 2023 - Valor Real'!A3:A15,'Janeiro 2023 - Valor Real'!C3:C15,0))+1))))))</f>
        <v>0.537239469465093</v>
      </c>
      <c r="AF173" s="132">
        <f>IF($K173=AF$3,ROUND(IF(OR($C173="W",$C173="1/2W",$C173="1/2L"),$P173-$O173,IF($C173="X",0,-$O173)),2),0)</f>
        <v>0</v>
      </c>
      <c r="AG173" s="133">
        <f>IF($K173=AG$3,ROUND(IF(OR($C173="W",$C173="1/2W",$C173="1/2L"),$P173-$O173,IF($C173="X",0,-$O173)),2),0)</f>
        <v>0</v>
      </c>
      <c r="AH173" s="133">
        <f>IF($K173=AH$3,ROUND(IF(OR($C173="W",$C173="1/2W",$C173="1/2L"),$P173-$O173,IF($C173="X",0,-$O173)),2),0)</f>
        <v>-12.25</v>
      </c>
      <c r="AI173" s="133">
        <f>IF($K173=AI$3,ROUND(IF(OR($C173="W",$C173="1/2W",$C173="1/2L"),$P173-$O173,IF($C173="X",0,-$O173)),2),0)</f>
        <v>0</v>
      </c>
      <c r="AJ173" s="133">
        <f>IF($K173=AJ$3,ROUND(IF(OR($C173="W",$C173="1/2W",$C173="1/2L"),$P173-$O173,IF($C173="X",0,-$O173)),2),0)</f>
        <v>0</v>
      </c>
      <c r="AK173" s="133">
        <f>IF($K173=AK$3,ROUND(IF(OR($C173="W",$C173="1/2W",$C173="1/2L"),$P173-$O173,IF($C173="X",0,-$O173)),2),0)</f>
        <v>0</v>
      </c>
      <c r="AL173" s="133">
        <f>IF($K173=AL$3,ROUND(IF(OR($C173="W",$C173="1/2W",$C173="1/2L"),$P173-$O173,IF($C173="X",0,-$O173)),2),0)</f>
        <v>0</v>
      </c>
      <c r="AM173" s="133">
        <f>IF($K173=AM$3,ROUND(IF(OR($C173="W",$C173="1/2W",$C173="1/2L"),$P173-$O173,IF($C173="X",0,-$O173)),2),0)</f>
        <v>0</v>
      </c>
      <c r="AN173" s="133">
        <f>IF($K173=AN$3,ROUND(IF(OR($C173="W",$C173="1/2W",$C173="1/2L"),$P173-$O173,IF($C173="X",0,-$O173)),2),0)</f>
        <v>0</v>
      </c>
      <c r="AO173" s="133">
        <f>IF($K173=AO$3,ROUND(IF(OR($C173="W",$C173="1/2W",$C173="1/2L"),$P173-$O173,IF($C173="X",0,-$O173)),2),0)</f>
        <v>0</v>
      </c>
      <c r="AP173" s="133">
        <f>IF($K173=AP$3,ROUND(IF(OR($C173="W",$C173="1/2W",$C173="1/2L"),$P173-$O173,IF($C173="X",0,-$O173)),2),0)</f>
        <v>0</v>
      </c>
      <c r="AQ173" s="133">
        <f>IF($K173=AQ$3,ROUND(IF(OR($C173="W",$C173="1/2W",$C173="1/2L"),$P173-$O173,IF($C173="X",0,-$O173)),2),0)</f>
        <v>0</v>
      </c>
      <c r="AR173" s="134">
        <f>IF($K173=AR$3,ROUND(IF(OR($C173="W",$C173="1/2W",$C173="1/2L"),$P173-$O173,IF($C173="X",0,-$O173)),2),0)</f>
        <v>0</v>
      </c>
      <c r="AS173" s="132">
        <f>IF(AND($B172=" ",$K173=AS$3),$O173,0)</f>
        <v>0</v>
      </c>
      <c r="AT173" s="133">
        <f>IF(AND($B172=" ",K173=AT$3),$O173,0)</f>
        <v>0</v>
      </c>
      <c r="AU173" s="133">
        <f>IF(AND($B172=" ",$K173=AU$3),$O173,0)</f>
        <v>0</v>
      </c>
      <c r="AV173" s="133">
        <f>IF(AND($B172=" ",$K173=AV$3),$O173,0)</f>
        <v>0</v>
      </c>
      <c r="AW173" s="133">
        <f>IF(AND($B172=" ",$K173=AW$3),$O173,0)</f>
        <v>0</v>
      </c>
      <c r="AX173" s="133">
        <f>IF(AND($B172=" ",$K173=AX$3),$O173,0)</f>
        <v>0</v>
      </c>
      <c r="AY173" s="135">
        <f>IF(AND($B172=" ",$K173=AY$3),$O173,0)</f>
        <v>0</v>
      </c>
      <c r="AZ173" s="136">
        <f>IF(AND($B172=" ",$K173=AZ$3),$O173,0)</f>
        <v>0</v>
      </c>
      <c r="BA173" s="136">
        <f>IF(AND($B172=" ",$K173=BA$3),$O173,0)</f>
        <v>0</v>
      </c>
      <c r="BB173" s="136">
        <f>IF(AND($B172=" ",$K173=BB$3),$O173,0)</f>
        <v>0</v>
      </c>
      <c r="BC173" s="137">
        <f>IF(AND($B172=" ",$K173=BC$3),$O173,0)</f>
        <v>0</v>
      </c>
      <c r="BD173" s="133">
        <f>IF(AND($B172=" ",$K173=BD$3),$O173,0)</f>
        <v>0</v>
      </c>
      <c r="BE173" s="134">
        <f>IF(AND($B172=" ",$K173=BE$3),$O173,0)</f>
        <v>0</v>
      </c>
      <c r="BF173" s="132">
        <f>IF($K173=BF$3,IF($C173="X",0,$O173),0)</f>
        <v>0</v>
      </c>
      <c r="BG173" s="281">
        <f>IF($K173=BG$3,IF($C173="X",0,$O173),0)</f>
        <v>0</v>
      </c>
      <c r="BH173" s="133">
        <f>IF($K173=BH$3,IF($C173="X",0,$O173),0)</f>
        <v>12.25</v>
      </c>
      <c r="BI173" s="133">
        <f>IF($K173=BI$3,IF($C173="X",0,$O173),0)</f>
        <v>0</v>
      </c>
      <c r="BJ173" s="133">
        <f>IF($K173=BJ$3,IF($C173="X",0,$O173),0)</f>
        <v>0</v>
      </c>
      <c r="BK173" s="133">
        <f>IF($K173=BK$3,IF($C173="X",0,$O173),0)</f>
        <v>0</v>
      </c>
      <c r="BL173" s="133">
        <f>IF($K173=BL$3,IF($C173="X",0,$O173),0)</f>
        <v>0</v>
      </c>
      <c r="BM173" s="135">
        <f>IF($K173=BM$3,IF($C173="X",0,$O173),0)</f>
        <v>0</v>
      </c>
      <c r="BN173" s="136">
        <f>IF($K173=BN$3,IF($C173="X",0,$O173),0)</f>
        <v>0</v>
      </c>
      <c r="BO173" s="136">
        <f>IF($K173=BO$3,IF($C173="X",0,$O173),0)</f>
        <v>0</v>
      </c>
      <c r="BP173" s="136">
        <f>IF($K173=BP$3,IF($C173="X",0,$O173),0)</f>
        <v>0</v>
      </c>
      <c r="BQ173" s="137">
        <f>IF($K173=BQ$3,IF($C173="X",0,$O173),0)</f>
        <v>0</v>
      </c>
      <c r="BR173" s="134">
        <f>IF($K173=BR$3,IF($C173="X",0,$O173),0)</f>
        <v>0</v>
      </c>
      <c r="BS173" s="282"/>
      <c r="BT173" s="283"/>
      <c r="BU173" s="140"/>
      <c r="BV173" s="283"/>
      <c r="BW173" s="140"/>
      <c r="BX173" s="140"/>
      <c r="BY173" s="140"/>
      <c r="BZ173" s="283"/>
      <c r="CA173" s="140"/>
      <c r="CB173" s="140"/>
      <c r="CC173" s="140"/>
      <c r="CD173" s="141"/>
      <c r="CE173" s="142"/>
      <c r="CF173" s="284">
        <f>IF(CF$3=$K173,IF($C173="W",1,IF($C173="1/2W",0.5,0)),0)</f>
        <v>0</v>
      </c>
      <c r="CG173" s="285">
        <f>IF(CF$3=$K173,IF($C173="L",1,IF($C173="1/2L",0.5,0)),0)</f>
        <v>0</v>
      </c>
      <c r="CH173" s="285">
        <f>IF(CH$3=$K173,IF($C173="W",1,IF($C173="1/2W",0.5,0)),0)</f>
        <v>0</v>
      </c>
      <c r="CI173" s="285">
        <f>IF(CH$3=$K173,IF($C173="L",1,IF($C173="1/2L",0.5,0)),0)</f>
        <v>0</v>
      </c>
      <c r="CJ173" s="285">
        <f>IF(CJ$3=$K173,IF($C173="W",1,IF($C173="1/2W",0.5,0)),0)</f>
        <v>0</v>
      </c>
      <c r="CK173" s="285">
        <f>IF(CJ$3=$K173,IF($C173="L",1,IF($C173="1/2L",0.5,0)),0)</f>
        <v>1</v>
      </c>
      <c r="CL173" s="285">
        <f>IF(CL$3=$K173,IF($C173="W",1,IF($C173="1/2W",0.5,0)),0)</f>
        <v>0</v>
      </c>
      <c r="CM173" s="285">
        <f>IF(CL$3=$K173,IF($C173="L",1,IF($C173="1/2L",0.5,0)),0)</f>
        <v>0</v>
      </c>
      <c r="CN173" s="285">
        <f>IF(CN$3=$K173,IF($C173="W",1,IF($C173="1/2W",0.5,0)),0)</f>
        <v>0</v>
      </c>
      <c r="CO173" s="285">
        <f>IF(CN$3=$K173,IF($C173="L",1,IF($C173="1/2L",0.5,0)),0)</f>
        <v>0</v>
      </c>
      <c r="CP173" s="285">
        <f>IF(CP$3=$K173,IF($C173="W",1,IF($C173="1/2W",0.5,0)),0)</f>
        <v>0</v>
      </c>
      <c r="CQ173" s="285">
        <f>IF(CP$3=$K173,IF($C173="L",1,IF($C173="1/2L",0.5,0)),0)</f>
        <v>0</v>
      </c>
      <c r="CR173" s="285">
        <f>IF(CR$3=$K173,IF($C173="W",1,IF($C173="1/2W",0.5,0)),0)</f>
        <v>0</v>
      </c>
      <c r="CS173" s="285">
        <f>IF(CR$3=$K173,IF($C173="L",1,IF($C173="1/2L",0.5,0)),0)</f>
        <v>0</v>
      </c>
      <c r="CT173" s="145">
        <f>IF(CT$3=$K173,IF($C173="W",1,IF($C173="1/2W",0.5,0)),0)</f>
        <v>0</v>
      </c>
      <c r="CU173" s="146">
        <f>IF(CT$3=$K173,IF($C173="L",1,IF($C173="1/2L",0.5,0)),0)</f>
        <v>0</v>
      </c>
      <c r="CV173" s="146">
        <f>IF(CV$3=$K173,IF($C173="W",1,IF($C173="1/2W",0.5,0)),0)</f>
        <v>0</v>
      </c>
      <c r="CW173" s="146">
        <f>IF(CV$3=$K173,IF($C173="L",1,IF($C173="1/2L",0.5,0)),0)</f>
        <v>0</v>
      </c>
      <c r="CX173" s="146">
        <f>IF(CX$3=$K173,IF($C173="W",1,IF($C173="1/2W",0.5,0)),0)</f>
        <v>0</v>
      </c>
      <c r="CY173" s="146">
        <f>IF(CX$3=$K173,IF($C173="L",1,IF($C173="1/2L",0.5,0)),0)</f>
        <v>0</v>
      </c>
      <c r="CZ173" s="146">
        <f>IF(CZ$3=$K173,IF($C173="W",1,IF($C173="1/2W",0.5,0)),0)</f>
        <v>0</v>
      </c>
      <c r="DA173" s="146">
        <f>IF(CZ$3=$K173,IF($C173="L",1,IF($C173="1/2L",0.5,0)),0)</f>
        <v>0</v>
      </c>
      <c r="DB173" s="146">
        <f>IF(DB$3=$K173,IF($C173="W",1,IF($C173="1/2W",0.5,0)),0)</f>
        <v>0</v>
      </c>
      <c r="DC173" s="146">
        <f>IF(DB$3=$K173,IF($C173="L",1,IF($C173="1/2L",0.5,0)),0)</f>
        <v>0</v>
      </c>
      <c r="DD173" s="146">
        <f>IF(DD$3=$K173,IF($C173="W",1,IF($C173="1/2W",0.5,0)),0)</f>
        <v>0</v>
      </c>
      <c r="DE173" s="147">
        <f>IF(DD$3=$K173,IF($C173="L",1,IF($C173="1/2L",0.5,0)),0)</f>
        <v>0</v>
      </c>
      <c r="DF173" s="143">
        <f>IF(AND(L173&lt;DF$3,$C173="W"),1+DF172,DF172)</f>
        <v>8</v>
      </c>
      <c r="DG173" s="133">
        <f>IF(DF173&gt;DF172,L173+DG172,DG172)</f>
        <v>10.598</v>
      </c>
      <c r="DH173" s="146">
        <f>IF(AND(L173&gt;DH$3,$C173="W"),1+DH172,0+DH172)</f>
        <v>2</v>
      </c>
      <c r="DI173" s="133">
        <f>IF(DH173&gt;DH172,L173+DI172,DI172)</f>
        <v>11.58</v>
      </c>
      <c r="DJ173" t="s" s="304">
        <f>IF($D172="","",$D172)</f>
        <v>184</v>
      </c>
      <c r="DK173" s="286"/>
    </row>
    <row r="174" ht="14.55" customHeight="1">
      <c r="A174" s="149"/>
      <c r="B174" s="150"/>
      <c r="C174" t="s" s="151">
        <v>58</v>
      </c>
      <c r="D174" s="152"/>
      <c r="E174" s="153"/>
      <c r="F174" s="155"/>
      <c r="G174" s="252"/>
      <c r="H174" s="156"/>
      <c r="I174" s="287"/>
      <c r="J174" s="288"/>
      <c r="K174" s="156"/>
      <c r="L174" s="289"/>
      <c r="M174" s="290"/>
      <c r="N174" s="161"/>
      <c r="O174" t="s" s="162">
        <f>IF(OR(AE172="",AE173=""),"",IF(L174&gt;0,ROUND(IF(M174&gt;0,M174,IF(M172&gt;0,ROUND((M172*AE174)/AE172,IF(N172=0,2,IF(N172=0.1,1,0))),IF(M173&gt;0,ROUND((M173*AE174)/AE173,IF(N172=0,2,IF(N172=0.1,1,0))),IF(M174&gt;0,M174,0)))),2),""))</f>
      </c>
      <c r="P174" s="297">
        <f>IF(I173="Lay",O173*(L173/(L173-1))-O173,IF(I172="Lay",O172*(L172/(L172-1))-O172,IF(OR(L174="",O174=""),"",IF($C174="1/2W",O174/2+O174/2*L174,IF($C174="1/2L",O174/2,(O174*L174-O174)*(1-_xlfn.XLOOKUP(K174,'Janeiro 2023 - Valor Real'!A3:A15,'Janeiro 2023 - Valor Real'!C3:C15,0))+O174)))))</f>
        <v>12.6288659793814</v>
      </c>
      <c r="Q174" t="s" s="154">
        <f>IF(K174="","",IF(_xlfn.XLOOKUP(K174,K86:K$89,DJ86:DJ$89,0,,-1)=DJ174,_xlfn.XLOOKUP(K174,K86:K$89,Q86:Q$89,1,,-1)+1,1))</f>
      </c>
      <c r="R174" t="s" s="163">
        <f>IF(K174="","",_xlfn.XLOOKUP(K174,K86:K$89,R86:R$89,0,,-1)+IF($C174=" ",1,0))</f>
      </c>
      <c r="S174" s="166"/>
      <c r="T174" s="155"/>
      <c r="U174" s="155"/>
      <c r="V174" s="166"/>
      <c r="W174" s="155"/>
      <c r="X174" s="167"/>
      <c r="Y174" s="128"/>
      <c r="Z174" s="129"/>
      <c r="AA174" s="129"/>
      <c r="AB174" s="129"/>
      <c r="AC174" s="129"/>
      <c r="AD174" s="168"/>
      <c r="AE174" t="s" s="169">
        <f>IF(L174="","",(SUM(((L172-1)*(1-_xlfn.XLOOKUP(K172,'Janeiro 2023 - Valor Real'!A3:A15,'Janeiro 2023 - Valor Real'!C3:C15,0))+1),((L173-1)*(1-_xlfn.XLOOKUP(K173,'Janeiro 2023 - Valor Real'!A3:A15,'Janeiro 2023 - Valor Real'!C3:C15,0))+1),((L174-1)*(1-_xlfn.XLOOKUP(K174,'Janeiro 2023 - Valor Real'!A3:A15,'Janeiro 2023 - Valor Real'!C3:C15,0))+1))/((L174-1)*(1-_xlfn.XLOOKUP(K174,'Janeiro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Real'!C3:C15,0))+1))/((L172-1)*(1-_xlfn.XLOOKUP(K172,'Janeiro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Real'!C3:C15,0))+1))/((L173-1)*(1-_xlfn.XLOOKUP(K173,'Janeiro 2023 - Valor Real'!A3:A15,'Janeiro 2023 - Valor Real'!C3:C15,0))+1)+SUM(((L172-1)*(1-_xlfn.XLOOKUP(K172,'Janeiro 2023 - Valor Real'!A3:A15,'Janeiro 2023 - Valor Real'!C3:C15,0))+1),((L173-1)*(1-_xlfn.XLOOKUP(K173,'Janeiro 2023 - Valor Real'!A3:A15,'Janeiro 2023 - Valor Real'!C3:C15,0))+1),((L174-1)*(1-_xlfn.XLOOKUP(K174,'Janeiro 2023 - Valor Real'!A3:A15,'Janeiro 2023 - Valor Real'!C3:C15,0))+1))/((L174-1)*(1-_xlfn.XLOOKUP(K174,'Janeiro 2023 - Valor Real'!A3:A15,'Janeiro 2023 - Valor Real'!C3:C15,0))+1)))</f>
      </c>
      <c r="AF174" s="132">
        <f>IF($K174=AF$3,ROUND(IF(OR($C174="W",$C174="1/2W",$C174="1/2L"),$P174-$O174,IF($C174="X",0,-$O174)),2),0)</f>
        <v>0</v>
      </c>
      <c r="AG174" s="133">
        <f>IF($K174=AG$3,ROUND(IF(OR($C174="W",$C174="1/2W",$C174="1/2L"),$P174-$O174,IF($C174="X",0,-$O174)),2),0)</f>
        <v>0</v>
      </c>
      <c r="AH174" s="133">
        <f>IF($K174=AH$3,ROUND(IF(OR($C174="W",$C174="1/2W",$C174="1/2L"),$P174-$O174,IF($C174="X",0,-$O174)),2),0)</f>
        <v>0</v>
      </c>
      <c r="AI174" s="133">
        <f>IF($K174=AI$3,ROUND(IF(OR($C174="W",$C174="1/2W",$C174="1/2L"),$P174-$O174,IF($C174="X",0,-$O174)),2),0)</f>
        <v>0</v>
      </c>
      <c r="AJ174" s="133">
        <f>IF($K174=AJ$3,ROUND(IF(OR($C174="W",$C174="1/2W",$C174="1/2L"),$P174-$O174,IF($C174="X",0,-$O174)),2),0)</f>
        <v>0</v>
      </c>
      <c r="AK174" s="133">
        <f>IF($K174=AK$3,ROUND(IF(OR($C174="W",$C174="1/2W",$C174="1/2L"),$P174-$O174,IF($C174="X",0,-$O174)),2),0)</f>
        <v>0</v>
      </c>
      <c r="AL174" s="133">
        <f>IF($K174=AL$3,ROUND(IF(OR($C174="W",$C174="1/2W",$C174="1/2L"),$P174-$O174,IF($C174="X",0,-$O174)),2),0)</f>
        <v>0</v>
      </c>
      <c r="AM174" s="133">
        <f>IF($K174=AM$3,ROUND(IF(OR($C174="W",$C174="1/2W",$C174="1/2L"),$P174-$O174,IF($C174="X",0,-$O174)),2),0)</f>
        <v>0</v>
      </c>
      <c r="AN174" s="133">
        <f>IF($K174=AN$3,ROUND(IF(OR($C174="W",$C174="1/2W",$C174="1/2L"),$P174-$O174,IF($C174="X",0,-$O174)),2),0)</f>
        <v>0</v>
      </c>
      <c r="AO174" s="133">
        <f>IF($K174=AO$3,ROUND(IF(OR($C174="W",$C174="1/2W",$C174="1/2L"),$P174-$O174,IF($C174="X",0,-$O174)),2),0)</f>
        <v>0</v>
      </c>
      <c r="AP174" s="133">
        <f>IF($K174=AP$3,ROUND(IF(OR($C174="W",$C174="1/2W",$C174="1/2L"),$P174-$O174,IF($C174="X",0,-$O174)),2),0)</f>
        <v>0</v>
      </c>
      <c r="AQ174" s="133">
        <f>IF($K174=AQ$3,ROUND(IF(OR($C174="W",$C174="1/2W",$C174="1/2L"),$P174-$O174,IF($C174="X",0,-$O174)),2),0)</f>
        <v>0</v>
      </c>
      <c r="AR174" s="134">
        <f>IF($K174=AR$3,ROUND(IF(OR($C174="W",$C174="1/2W",$C174="1/2L"),$P174-$O174,IF($C174="X",0,-$O174)),2),0)</f>
        <v>0</v>
      </c>
      <c r="AS174" s="132">
        <f>IF(AND($B172=" ",$K174=AS$3),$O174,0)</f>
        <v>0</v>
      </c>
      <c r="AT174" s="133">
        <f>IF(AND($B172=" ",K174=AT$3),$O174,0)</f>
        <v>0</v>
      </c>
      <c r="AU174" s="133">
        <f>IF(AND($B172=" ",$K174=AU$3),$O174,0)</f>
        <v>0</v>
      </c>
      <c r="AV174" s="133">
        <f>IF(AND($B172=" ",$K174=AV$3),$O174,0)</f>
        <v>0</v>
      </c>
      <c r="AW174" s="133">
        <f>IF(AND($B172=" ",$K174=AW$3),$O174,0)</f>
        <v>0</v>
      </c>
      <c r="AX174" s="133">
        <f>IF(AND($B172=" ",$K174=AX$3),$O174,0)</f>
        <v>0</v>
      </c>
      <c r="AY174" s="135">
        <f>IF(AND($B172=" ",$K174=AY$3),$O174,0)</f>
        <v>0</v>
      </c>
      <c r="AZ174" s="136">
        <f>IF(AND($B172=" ",$K174=AZ$3),$O174,0)</f>
        <v>0</v>
      </c>
      <c r="BA174" s="136">
        <f>IF(AND($B172=" ",$K174=BA$3),$O174,0)</f>
        <v>0</v>
      </c>
      <c r="BB174" s="136">
        <f>IF(AND($B172=" ",$K174=BB$3),$O174,0)</f>
        <v>0</v>
      </c>
      <c r="BC174" s="137">
        <f>IF(AND($B172=" ",$K174=BC$3),$O174,0)</f>
        <v>0</v>
      </c>
      <c r="BD174" s="133">
        <f>IF(AND($B172=" ",$K174=BD$3),$O174,0)</f>
        <v>0</v>
      </c>
      <c r="BE174" s="134">
        <f>IF(AND($B172=" ",$K174=BE$3),$O174,0)</f>
        <v>0</v>
      </c>
      <c r="BF174" s="132">
        <f>IF($K174=BF$3,IF($C174="X",0,$O174),0)</f>
        <v>0</v>
      </c>
      <c r="BG174" s="281">
        <f>IF($K174=BG$3,IF($C174="X",0,$O174),0)</f>
        <v>0</v>
      </c>
      <c r="BH174" s="133">
        <f>IF($K174=BH$3,IF($C174="X",0,$O174),0)</f>
        <v>0</v>
      </c>
      <c r="BI174" s="133">
        <f>IF($K174=BI$3,IF($C174="X",0,$O174),0)</f>
        <v>0</v>
      </c>
      <c r="BJ174" s="133">
        <f>IF($K174=BJ$3,IF($C174="X",0,$O174),0)</f>
        <v>0</v>
      </c>
      <c r="BK174" s="133">
        <f>IF($K174=BK$3,IF($C174="X",0,$O174),0)</f>
        <v>0</v>
      </c>
      <c r="BL174" s="133">
        <f>IF($K174=BL$3,IF($C174="X",0,$O174),0)</f>
        <v>0</v>
      </c>
      <c r="BM174" s="135">
        <f>IF($K174=BM$3,IF($C174="X",0,$O174),0)</f>
        <v>0</v>
      </c>
      <c r="BN174" s="136">
        <f>IF($K174=BN$3,IF($C174="X",0,$O174),0)</f>
        <v>0</v>
      </c>
      <c r="BO174" s="136">
        <f>IF($K174=BO$3,IF($C174="X",0,$O174),0)</f>
        <v>0</v>
      </c>
      <c r="BP174" s="136">
        <f>IF($K174=BP$3,IF($C174="X",0,$O174),0)</f>
        <v>0</v>
      </c>
      <c r="BQ174" s="137">
        <f>IF($K174=BQ$3,IF($C174="X",0,$O174),0)</f>
        <v>0</v>
      </c>
      <c r="BR174" s="134">
        <f>IF($K174=BR$3,IF($C174="X",0,$O174),0)</f>
        <v>0</v>
      </c>
      <c r="BS174" s="282"/>
      <c r="BT174" s="283"/>
      <c r="BU174" s="140"/>
      <c r="BV174" s="283"/>
      <c r="BW174" s="140"/>
      <c r="BX174" s="140"/>
      <c r="BY174" s="140"/>
      <c r="BZ174" s="283"/>
      <c r="CA174" s="140"/>
      <c r="CB174" s="140"/>
      <c r="CC174" s="140"/>
      <c r="CD174" s="141"/>
      <c r="CE174" s="142"/>
      <c r="CF174" s="284">
        <f>IF(CF$3=$K174,IF($C174="W",1,IF($C174="1/2W",0.5,0)),0)</f>
        <v>0</v>
      </c>
      <c r="CG174" s="285">
        <f>IF(CF$3=$K174,IF($C174="L",1,IF($C174="1/2L",0.5,0)),0)</f>
        <v>0</v>
      </c>
      <c r="CH174" s="285">
        <f>IF(CH$3=$K174,IF($C174="W",1,IF($C174="1/2W",0.5,0)),0)</f>
        <v>0</v>
      </c>
      <c r="CI174" s="285">
        <f>IF(CH$3=$K174,IF($C174="L",1,IF($C174="1/2L",0.5,0)),0)</f>
        <v>0</v>
      </c>
      <c r="CJ174" s="285">
        <f>IF(CJ$3=$K174,IF($C174="W",1,IF($C174="1/2W",0.5,0)),0)</f>
        <v>0</v>
      </c>
      <c r="CK174" s="285">
        <f>IF(CJ$3=$K174,IF($C174="L",1,IF($C174="1/2L",0.5,0)),0)</f>
        <v>0</v>
      </c>
      <c r="CL174" s="285">
        <f>IF(CL$3=$K174,IF($C174="W",1,IF($C174="1/2W",0.5,0)),0)</f>
        <v>0</v>
      </c>
      <c r="CM174" s="285">
        <f>IF(CL$3=$K174,IF($C174="L",1,IF($C174="1/2L",0.5,0)),0)</f>
        <v>0</v>
      </c>
      <c r="CN174" s="285">
        <f>IF(CN$3=$K174,IF($C174="W",1,IF($C174="1/2W",0.5,0)),0)</f>
        <v>0</v>
      </c>
      <c r="CO174" s="285">
        <f>IF(CN$3=$K174,IF($C174="L",1,IF($C174="1/2L",0.5,0)),0)</f>
        <v>0</v>
      </c>
      <c r="CP174" s="285">
        <f>IF(CP$3=$K174,IF($C174="W",1,IF($C174="1/2W",0.5,0)),0)</f>
        <v>0</v>
      </c>
      <c r="CQ174" s="285">
        <f>IF(CP$3=$K174,IF($C174="L",1,IF($C174="1/2L",0.5,0)),0)</f>
        <v>0</v>
      </c>
      <c r="CR174" s="285">
        <f>IF(CR$3=$K174,IF($C174="W",1,IF($C174="1/2W",0.5,0)),0)</f>
        <v>0</v>
      </c>
      <c r="CS174" s="285">
        <f>IF(CR$3=$K174,IF($C174="L",1,IF($C174="1/2L",0.5,0)),0)</f>
        <v>0</v>
      </c>
      <c r="CT174" s="145">
        <f>IF(CT$3=$K174,IF($C174="W",1,IF($C174="1/2W",0.5,0)),0)</f>
        <v>0</v>
      </c>
      <c r="CU174" s="146">
        <f>IF(CT$3=$K174,IF($C174="L",1,IF($C174="1/2L",0.5,0)),0)</f>
        <v>0</v>
      </c>
      <c r="CV174" s="146">
        <f>IF(CV$3=$K174,IF($C174="W",1,IF($C174="1/2W",0.5,0)),0)</f>
        <v>0</v>
      </c>
      <c r="CW174" s="146">
        <f>IF(CV$3=$K174,IF($C174="L",1,IF($C174="1/2L",0.5,0)),0)</f>
        <v>0</v>
      </c>
      <c r="CX174" s="146">
        <f>IF(CX$3=$K174,IF($C174="W",1,IF($C174="1/2W",0.5,0)),0)</f>
        <v>0</v>
      </c>
      <c r="CY174" s="146">
        <f>IF(CX$3=$K174,IF($C174="L",1,IF($C174="1/2L",0.5,0)),0)</f>
        <v>0</v>
      </c>
      <c r="CZ174" s="146">
        <f>IF(CZ$3=$K174,IF($C174="W",1,IF($C174="1/2W",0.5,0)),0)</f>
        <v>0</v>
      </c>
      <c r="DA174" s="146">
        <f>IF(CZ$3=$K174,IF($C174="L",1,IF($C174="1/2L",0.5,0)),0)</f>
        <v>0</v>
      </c>
      <c r="DB174" s="146">
        <f>IF(DB$3=$K174,IF($C174="W",1,IF($C174="1/2W",0.5,0)),0)</f>
        <v>0</v>
      </c>
      <c r="DC174" s="146">
        <f>IF(DB$3=$K174,IF($C174="L",1,IF($C174="1/2L",0.5,0)),0)</f>
        <v>0</v>
      </c>
      <c r="DD174" s="146">
        <f>IF(DD$3=$K174,IF($C174="W",1,IF($C174="1/2W",0.5,0)),0)</f>
        <v>0</v>
      </c>
      <c r="DE174" s="147">
        <f>IF(DD$3=$K174,IF($C174="L",1,IF($C174="1/2L",0.5,0)),0)</f>
        <v>0</v>
      </c>
      <c r="DF174" s="143">
        <f>IF(AND(L174&lt;DF$3,$C174="W"),1+DF173,DF173)</f>
        <v>8</v>
      </c>
      <c r="DG174" s="133">
        <f>IF(DF174&gt;DF173,L174+DG173,DG173)</f>
        <v>10.598</v>
      </c>
      <c r="DH174" s="146">
        <f>IF(AND(L174&gt;DH$3,$C174="W"),1+DH173,0+DH173)</f>
        <v>2</v>
      </c>
      <c r="DI174" s="133">
        <f>IF(DH174&gt;DH173,L174+DI173,DI173)</f>
        <v>11.58</v>
      </c>
      <c r="DJ174" t="s" s="304">
        <f>IF($D172="","",$D172)</f>
        <v>184</v>
      </c>
      <c r="DK174" s="286"/>
    </row>
    <row r="175" ht="14.55" customHeight="1">
      <c r="A175" s="171">
        <f>$A172+1</f>
        <v>58</v>
      </c>
      <c r="B175" t="s" s="172">
        <f>IF(AND(_xlfn.XLOOKUP(H175,H$84:H92,G$84:G92,0)=G175,_xlfn.XLOOKUP("TempoBet",K175:K177,L175:L177,0)&gt;0),"X",IF(OR(C175="W",C176="W",C177="W",C175="1/2W",C176="1/2W",C177="1/2W",C175="1/2L",C176="1/2L",C177="1/2L"),"OK",IF(OR(C175="L",C176="L",C177="L"),"LOSS",IF(OR(C175="X",C176="X",C177="X"),"Anulado"," "))))</f>
        <v>50</v>
      </c>
      <c r="C175" t="s" s="173">
        <v>51</v>
      </c>
      <c r="D175" t="s" s="305">
        <f>IF(G175="","",$D172)</f>
        <v>184</v>
      </c>
      <c r="E175" t="s" s="175">
        <f>IF(G175=""," ","– "&amp;COUNTIF(D$4:D177,$D175))</f>
        <v>124</v>
      </c>
      <c r="F175" t="s" s="176"/>
      <c r="G175" s="177">
        <v>44944.5</v>
      </c>
      <c r="H175" t="s" s="178">
        <v>197</v>
      </c>
      <c r="I175" s="298">
        <v>2</v>
      </c>
      <c r="J175" s="180"/>
      <c r="K175" t="s" s="181">
        <v>48</v>
      </c>
      <c r="L175" s="182">
        <v>3.25</v>
      </c>
      <c r="M175" s="183">
        <v>11.74</v>
      </c>
      <c r="N175" s="184">
        <v>0.1</v>
      </c>
      <c r="O175" s="185">
        <f>IF(OR(AE175="",AE176=""),"",ROUND(IF(L177&gt;0,IF(M175&gt;0,M175,IF(M176&gt;0,ROUND((M176*AE175)/AE176,IF(N175=0,2,IF(N175=0.1,1,0))),ROUND((M177*AE175)/AE177,IF(N175=0,2,IF(N175=0.1,1,0))))),IF(M175&gt;0,M175,ROUND((M176*AE175)/AE176,IF(N175=0,2,IF(N175=0.1,1,0))))),2))</f>
        <v>11.74</v>
      </c>
      <c r="P175" s="186">
        <f>IF(OR(L175="",O175=""),"",IF($C175="1/2W",O175/2+O175/2*L175,IF($C175="1/2L",O175/2,IF(I175="Lay",(O175*(L175/(L175-1))-O175)*(1-_xlfn.XLOOKUP(K175,'Janeiro 2023 - Valor Real'!A3:A15,'Janeiro 2023 - Valor Real'!C3:C15,0))+O175,(O175*L175-O175)*(1-_xlfn.XLOOKUP(K175,'Janeiro 2023 - Valor Real'!A3:A15,'Janeiro 2023 - Valor Real'!C3:C15,0))+O175))))</f>
        <v>38.155</v>
      </c>
      <c r="Q175" s="187">
        <f>IF(K175="","",IF(_xlfn.XLOOKUP(K175,K$84:K92,DJ$84:DJ92,0,,-1)=DJ175,_xlfn.XLOOKUP(K175,K$84:K92,Q$84:Q92,1,,-1)+1,1))</f>
        <v>1</v>
      </c>
      <c r="R175" s="188">
        <f>IF(K175="","",_xlfn.XLOOKUP(K175,K$84:K92,R$84:R92,0,,-1)+IF($C175=" ",1,0))</f>
        <v>0</v>
      </c>
      <c r="S175" s="189">
        <f>IF($B175="Anulado",0,ROUND(IF(OR($B175="LOSS",$B175="OK"),IF(OR($C175="W",$C175="1/2W",$C175="1/2L"),P175-O175,IF($C175="L",-O175,0))+IF(OR($C176="W",$C176="1/2W",$C176="1/2L"),P176-O176,IF($C176="L",-O176,0))+IF(OR($C177="W",$C177="1/2W",$C177="1/2L"),P177-O177,IF($C177="L",-O177,0)),IF(AND(OR($C175="W",$C175="1/2W",$C175="1/2L"),C176="W"),P175+P176-SUM(O175:O177)+_xlfn.XLOOKUP("X",C175:C177,O175:O177,0),IF(AND(C175=TRUE,C177="W"),P175+P177-SUM(O175:O177),IF(AND(C176="W",C177="W"),P176+P177-SUM(O175:O177)+_xlfn.XLOOKUP("X",C175:C177,O175:O177,0),IF(L177&gt;0,IF(OR($C175="W",$C175="1/2W",$C175="1/2L"),P175-SUM(O175:O177)+_xlfn.XLOOKUP("X",C175:C177,O175:O177,0),IF(OR($C175="W",$C175="1/2W",$C175="1/2L"),P176-SUM(O175:O177)+_xlfn.XLOOKUP("X",C175:C177,O175:O177,0),IF(OR($C175="W",$C175="1/2W",$C175="1/2L"),P177-SUM(O175:O177)+_xlfn.XLOOKUP("X",C175:C177,O175:O177,0),IF(SUM(P175:P177)/3-SUM(O175:O177)+_xlfn.XLOOKUP("X",C175:C177,O175:O177,0)&gt;0,SUM(P175:P177)/3-SUM(O175:O177)+_xlfn.XLOOKUP("X",C175:C177,O175:O177,0),LARGE(P175:P177,1)-SUM(O175:O177))))),IF(OR($C175="W",$C175="1/2W",$C175="1/2L"),P175-SUM(O175:O176)+_xlfn.XLOOKUP("X",C175:C177,O175:O177,0),IF(OR($C175="W",$C175="1/2W",$C175="1/2L"),P176-SUM(O175:O176)+_xlfn.XLOOKUP("X",C175:C177,O175:O177,0),SUM(P175:P176)/2-SUM(O175:O176)+_xlfn.XLOOKUP("X",C175:C177,O175:O177,0)))))))),2))</f>
        <v>4.23</v>
      </c>
      <c r="T175" s="190">
        <f>IF(S175=0,0,S175/SUM(O175:O177))</f>
        <v>0.124631703005303</v>
      </c>
      <c r="U175" s="191">
        <f>IF($D175=$D172,IF(OR($B175="LOSS",$B175="OK",$B175="Anulada"),S175,0)+U172,IF(OR($B175="LOSS",$B175="OK",$B175="Anulada"),S175,0))</f>
        <v>31.31</v>
      </c>
      <c r="V175" s="191">
        <f>IF($D175="",0,IF($D175=$D172,IF($B175=" ",IF(I177="",IF(OR(AND(I175="DNB1",I176="DNB2"),AND(OR(I175="DNB1",I175="DNB2"),J176=0),AND(OR(I176="DNB1",I176="DNB2"),J175=0),AND(I175="DNB2",I176="DNB1"),AND(IF(J175=0,(J175+1)/ROUND(J175+1,0),J175/ROUND(J175,0))=1,IF(J176=0,(J176+1)/ROUND(IF(J176="",0,J176)+1,0),IF(J176="",0,J176)/ROUND(IF(J176="",1,J176),0))=1,OR(J175&lt;&gt;""),J176&lt;&gt;"")),0,IF(S175&lt;0,IF(I177="",SMALL(P175:P176,1)-SUM(O175:O176),0),SMALL(P175:P176,1)-SUM(O175:O176))),IF(S175&lt;0,IF(I177="",SMALL(P175:P177,1)-SUM(O175:O177),0),LARGE(P175:P177,1)-SUM(O175:O177))),S175)+V172,IF(I177="",IF(OR(AND(I175="DNB1",I176="DNB2"),AND(OR(I175="DNB1",I175="DNB2"),J176=0),AND(OR(I176="DNB1",I176="DNB2"),J175=0),AND(I175="DNB2",I176="DNB1"),AND(IF(J175=0,(J175+1)/ROUND(J175+1,0),J175/ROUND(J175,0))=1,IF(J176=0,(IF(J176="",0,J176)+1)/ROUND(IF(J176="",0,J176)+1,0),IF(J176="",0,J176)/ROUND(IF(J176="",0,J176)+1,0))=1,OR(J175&lt;&gt;""),J176&lt;&gt;"")),0,IF(S175&lt;0,IF(I177="",SMALL(P175:P176,1)-SUM(O175:O176),0),SMALL(P175:P177,1)-SUM(O175:O177))),IF(S175&lt;0,IF(I177="",SMALL(P175:P177,1)-SUM(O175:O177),0),LARGE(P175:P177,1)-SUM(O175:O177)))))</f>
        <v>31.3075</v>
      </c>
      <c r="W175" s="191">
        <f>IF($D175=$D172,IF(S175&lt;0,IF(I177="",S175,0),S175)+W172,S175)</f>
        <v>31.31</v>
      </c>
      <c r="X175" t="s" s="192">
        <f>IF(OR(SUM(R175:R177)=0,V175=W175),ROUND(IF(W175=0,0,W175/Y175)*100,2)&amp;"%",ROUND(IF(V175=0,0,V175/Y175)*100,2)&amp;"% a "&amp;ROUND(IF(W175=0,0,W175/Y175)*100,2)&amp;"%")</f>
        <v>198</v>
      </c>
      <c r="Y175" s="193">
        <f>IF($D175=$D172,Y172+SUM(O175:O177),SUM(O175:O177))</f>
        <v>412.45</v>
      </c>
      <c r="Z175" s="191">
        <f>IF($B175=" ",SUM(O175:O177),0)+Z172</f>
        <v>0</v>
      </c>
      <c r="AA175" s="191">
        <f>IF(G175="","",IF($B175="Anulado",LARGE(P175:P177,1)-SUM(O175:O177)+AA172,AA172))</f>
        <v>14.1564</v>
      </c>
      <c r="AB175" s="191">
        <f>IF($D175="","",AB172+S175)</f>
        <v>156.42</v>
      </c>
      <c r="AC175" s="194">
        <f>IF($D175="","",IF($B175=" ",IF(DAY(G175)=DAY(TODAY()),1+AC172,0+AC172),0+AC172))</f>
        <v>0</v>
      </c>
      <c r="AD175" s="195">
        <f>(((L176/(L176-1)-1)*(1-_xlfn.XLOOKUP(K176,'Janeiro 2023 - Valor Real'!A3:A15,'Janeiro 2023 - Valor Real'!C3:C15,0))+1))/(((L175-1)*(1-_xlfn.XLOOKUP(K175,'Janeiro 2023 - Valor Real'!A3:A15,'Janeiro 2023 - Valor Real'!C3:C15,0))+1)+((L176/(L176-1)-1)*(1-_xlfn.XLOOKUP(K176,'Janeiro 2023 - Valor Real'!A3:A15,'Janeiro 2023 - Valor Real'!C3:C15,0))+1))</f>
        <v>0.345975232198142</v>
      </c>
      <c r="AE175" s="196">
        <f>IF(L175="","",IF(L177&gt;0,(SUM(((L175-1)*(1-_xlfn.XLOOKUP(K175,'Janeiro 2023 - Valor Real'!A3:A15,'Janeiro 2023 - Valor Real'!C3:C15,0))+1),((L176-1)*(1-_xlfn.XLOOKUP(K176,'Janeiro 2023 - Valor Real'!A3:A15,'Janeiro 2023 - Valor Real'!C3:C15,0))+1),((L177-1)*(1-_xlfn.XLOOKUP(K177,'Janeiro 2023 - Valor Real'!A3:A15,'Janeiro 2023 - Valor Real'!C3:C15,0))+1))/((L175-1)*(1-_xlfn.XLOOKUP(K175,'Janeiro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Real'!C3:C15,0))+1))/((L175-1)*(1-_xlfn.XLOOKUP(K175,'Janeiro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Real'!C3:C15,0))+1))/((L176-1)*(1-_xlfn.XLOOKUP(K176,'Janeiro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Real'!C3:C15,0))+1))/((L177-1)*(1-_xlfn.XLOOKUP(K177,'Janeiro 2023 - Valor Real'!A3:A15,'Janeiro 2023 - Valor Real'!C3:C15,0))+1)),IF(I175="Lay",IF(I176="Lay",((L176/(L176-1)-1)*(1-_xlfn.XLOOKUP(K176,'Janeiro 2023 - Valor Real'!A3:A15,'Janeiro 2023 - Valor Real'!C3:C15,0))+1)/(((L176/(L176-1)-1)*(1-_xlfn.XLOOKUP(K176,'Janeiro 2023 - Valor Real'!A3:A15,'Janeiro 2023 - Valor Real'!C3:C15,0))+1)+((L175/(L175-1)-1)*(1-_xlfn.XLOOKUP(K175,'Janeiro 2023 - Valor Real'!A3:A15,'Janeiro 2023 - Valor Real'!C3:C15,0))+1)),((L176-1)*(1-_xlfn.XLOOKUP(K176,'Janeiro 2023 - Valor Real'!A3:A15,'Janeiro 2023 - Valor Real'!C3:C15,0))+1)/(((L176-1)*(1-_xlfn.XLOOKUP(K176,'Janeiro 2023 - Valor Real'!A3:A15,'Janeiro 2023 - Valor Real'!C3:C15,0))+1)+((L175/(L175-1)-1)*(1-_xlfn.XLOOKUP(K175,'Janeiro 2023 - Valor Real'!A3:A15,'Janeiro 2023 - Valor Real'!C3:C15,0))+1))),IF(I176="Lay",(((L176/(L176-1)-1)*(1-_xlfn.XLOOKUP(K176,'Janeiro 2023 - Valor Real'!A3:A15,'Janeiro 2023 - Valor Real'!C3:C15,0))+1))/(((L175-1)*(1-_xlfn.XLOOKUP(K175,'Janeiro 2023 - Valor Real'!A3:A15,'Janeiro 2023 - Valor Real'!C3:C15,0))+1)+((L176/(L176-1)-1)*(1-_xlfn.XLOOKUP(K176,'Janeiro 2023 - Valor Real'!A3:A15,'Janeiro 2023 - Valor Real'!C3:C15,0))+1)),((L176-1)*(1-_xlfn.XLOOKUP(K176,'Janeiro 2023 - Valor Real'!A3:A15,'Janeiro 2023 - Valor Real'!C3:C15,0))+1)/(((L176-1)*(1-_xlfn.XLOOKUP(K176,'Janeiro 2023 - Valor Real'!A3:A15,'Janeiro 2023 - Valor Real'!C3:C15,0))+1)+((L175-1)*(1-_xlfn.XLOOKUP(K175,'Janeiro 2023 - Valor Real'!A3:A15,'Janeiro 2023 - Valor Real'!C3:C15,0))+1))))))</f>
        <v>0.345975232198142</v>
      </c>
      <c r="AF175" s="197">
        <f>IF($K175=AF$3,ROUND(IF(OR($C175="W",$C175="1/2W",$C175="1/2L"),$P175-$O175,IF($C175="X",0,-$O175)),2),0)</f>
        <v>0</v>
      </c>
      <c r="AG175" s="198">
        <f>IF($K175=AG$3,ROUND(IF(OR($C175="W",$C175="1/2W",$C175="1/2L"),$P175-$O175,IF($C175="X",0,-$O175)),2),0)</f>
        <v>0</v>
      </c>
      <c r="AH175" s="198">
        <f>IF($K175=AH$3,ROUND(IF(OR($C175="W",$C175="1/2W",$C175="1/2L"),$P175-$O175,IF($C175="X",0,-$O175)),2),0)</f>
        <v>0</v>
      </c>
      <c r="AI175" s="198">
        <f>IF($K175=AI$3,ROUND(IF(OR($C175="W",$C175="1/2W",$C175="1/2L"),$P175-$O175,IF($C175="X",0,-$O175)),2),0)</f>
        <v>0</v>
      </c>
      <c r="AJ175" s="198">
        <f>IF($K175=AJ$3,ROUND(IF(OR($C175="W",$C175="1/2W",$C175="1/2L"),$P175-$O175,IF($C175="X",0,-$O175)),2),0)</f>
        <v>0</v>
      </c>
      <c r="AK175" s="198">
        <f>IF($K175=AK$3,ROUND(IF(OR($C175="W",$C175="1/2W",$C175="1/2L"),$P175-$O175,IF($C175="X",0,-$O175)),2),0)</f>
        <v>0</v>
      </c>
      <c r="AL175" s="198">
        <f>IF($K175=AL$3,ROUND(IF(OR($C175="W",$C175="1/2W",$C175="1/2L"),$P175-$O175,IF($C175="X",0,-$O175)),2),0)</f>
        <v>0</v>
      </c>
      <c r="AM175" s="198">
        <f>IF($K175=AM$3,ROUND(IF(OR($C175="W",$C175="1/2W",$C175="1/2L"),$P175-$O175,IF($C175="X",0,-$O175)),2),0)</f>
        <v>0</v>
      </c>
      <c r="AN175" s="198">
        <f>IF($K175=AN$3,ROUND(IF(OR($C175="W",$C175="1/2W",$C175="1/2L"),$P175-$O175,IF($C175="X",0,-$O175)),2),0)</f>
        <v>0</v>
      </c>
      <c r="AO175" s="198">
        <f>IF($K175=AO$3,ROUND(IF(OR($C175="W",$C175="1/2W",$C175="1/2L"),$P175-$O175,IF($C175="X",0,-$O175)),2),0)</f>
        <v>0</v>
      </c>
      <c r="AP175" s="198">
        <f>IF($K175=AP$3,ROUND(IF(OR($C175="W",$C175="1/2W",$C175="1/2L"),$P175-$O175,IF($C175="X",0,-$O175)),2),0)</f>
        <v>0</v>
      </c>
      <c r="AQ175" s="198">
        <f>IF($K175=AQ$3,ROUND(IF(OR($C175="W",$C175="1/2W",$C175="1/2L"),$P175-$O175,IF($C175="X",0,-$O175)),2),0)</f>
        <v>-11.74</v>
      </c>
      <c r="AR175" s="199">
        <f>IF($K175=AR$3,ROUND(IF(OR($C175="W",$C175="1/2W",$C175="1/2L"),$P175-$O175,IF($C175="X",0,-$O175)),2),0)</f>
        <v>0</v>
      </c>
      <c r="AS175" s="197">
        <f>IF(AND($B175=" ",$K175=AS$3),$O175,0)</f>
        <v>0</v>
      </c>
      <c r="AT175" s="198">
        <f>IF(AND($B175=" ",$K175=AT$3),$O175,0)</f>
        <v>0</v>
      </c>
      <c r="AU175" s="198">
        <f>IF(AND($B175=" ",$K175=AU$3),$O175,0)</f>
        <v>0</v>
      </c>
      <c r="AV175" s="198">
        <f>IF(AND($B175=" ",$K175=AV$3),$O175,0)</f>
        <v>0</v>
      </c>
      <c r="AW175" s="198">
        <f>IF(AND($B175=" ",$K175=AW$3),$O175,0)</f>
        <v>0</v>
      </c>
      <c r="AX175" s="198">
        <f>IF(AND($B175=" ",$K175=AX$3),$O175,0)</f>
        <v>0</v>
      </c>
      <c r="AY175" s="200">
        <f>IF(AND($B175=" ",$K175=AY$3),$O175,0)</f>
        <v>0</v>
      </c>
      <c r="AZ175" s="201">
        <f>IF(AND($B175=" ",$K175=AZ$3),$O175,0)</f>
        <v>0</v>
      </c>
      <c r="BA175" s="201">
        <f>IF(AND($B175=" ",$K175=BA$3),$O175,0)</f>
        <v>0</v>
      </c>
      <c r="BB175" s="201">
        <f>IF(AND($B175=" ",$K175=BB$3),$O175,0)</f>
        <v>0</v>
      </c>
      <c r="BC175" s="202">
        <f>IF(AND($B175=" ",$K175=BC$3),$O175,0)</f>
        <v>0</v>
      </c>
      <c r="BD175" s="198">
        <f>IF(AND($B175=" ",$K175=BD$3),$O175,0)</f>
        <v>0</v>
      </c>
      <c r="BE175" s="199">
        <f>IF(AND($B175=" ",$K175=BE$3),$O175,0)</f>
        <v>0</v>
      </c>
      <c r="BF175" s="203">
        <f>IF($K175=BF$3,IF($C175="X",0,$O175),0)</f>
        <v>0</v>
      </c>
      <c r="BG175" s="198">
        <f>IF($K175=BG$3,IF($C175="X",0,$O175),0)</f>
        <v>0</v>
      </c>
      <c r="BH175" s="198">
        <f>IF($K175=BH$3,IF($C175="X",0,$O175),0)</f>
        <v>0</v>
      </c>
      <c r="BI175" s="198">
        <f>IF($K175=BI$3,IF($C175="X",0,$O175),0)</f>
        <v>0</v>
      </c>
      <c r="BJ175" s="198">
        <f>IF($K175=BJ$3,IF($C175="X",0,$O175),0)</f>
        <v>0</v>
      </c>
      <c r="BK175" s="198">
        <f>IF($K175=BK$3,IF($C175="X",0,$O175),0)</f>
        <v>0</v>
      </c>
      <c r="BL175" s="198">
        <f>IF($K175=BL$3,IF($C175="X",0,$O175),0)</f>
        <v>0</v>
      </c>
      <c r="BM175" s="200">
        <f>IF($K175=BM$3,IF($C175="X",0,$O175),0)</f>
        <v>0</v>
      </c>
      <c r="BN175" s="201">
        <f>IF($K175=BN$3,IF($C175="X",0,$O175),0)</f>
        <v>0</v>
      </c>
      <c r="BO175" s="201">
        <f>IF($K175=BO$3,IF($C175="X",0,$O175),0)</f>
        <v>0</v>
      </c>
      <c r="BP175" s="201">
        <f>IF($K175=BP$3,IF($C175="X",0,$O175),0)</f>
        <v>0</v>
      </c>
      <c r="BQ175" s="202">
        <f>IF($K175=BQ$3,IF($C175="X",0,$O175),0)</f>
        <v>11.74</v>
      </c>
      <c r="BR175" s="199">
        <f>IF($K175=BR$3,IF($C175="X",0,$O175),0)</f>
        <v>0</v>
      </c>
      <c r="BS175" s="204">
        <f>IF($B175="LOSS",IF(AND($K175=BS$3,$C175="L"),-$O175,0)+IF(AND($K176=BS$3,$C176="L"),-$O176,0)+IF(AND($K177=BS$3,$C177="L"),-$O177,0),IF(OR(AND($K175=BS$3,OR($C175="W",$C175="1/2W")),AND($K176=BS$3,OR($C176="W",$C176="1/2W")),AND($K177=BS$3,OR($C177="W",$C177="1/2W"))),$S175,0))</f>
        <v>0</v>
      </c>
      <c r="BT175" s="201">
        <f>IF($B175="LOSS",IF(AND($K175=BT$3,$C175="L"),-$O175,0)+IF(AND($K176=BT$3,$C176="L"),-$O176,0)+IF(AND($K176=BT$3,$C177="L"),-$O177,0),IF(OR(AND($K176=BT$3,OR($C175="W",$C175="1/2W")),AND($K176=BT$3,OR($C176="W",$C176="1/2W")),AND($K176=BT$3,OR($C177="W",$C177="1/2W"))),$S175,0))</f>
        <v>0</v>
      </c>
      <c r="BU175" s="201">
        <f>IF($B175="LOSS",IF(AND($K175=BU$3,$C175="L"),-$O175,0)+IF(AND($K176=BU$3,$C176="L"),-$O176,0)+IF(AND($K176=BU$3,$C177="L"),-$O177,0),IF(OR(AND($K176=BU$3,OR($C175="W",$C175="1/2W")),AND($K176=BU$3,OR($C176="W",$C176="1/2W")),AND($K176=BU$3,OR($C177="W",$C177="1/2W"))),$S175,0))</f>
        <v>4.23</v>
      </c>
      <c r="BV175" s="201">
        <f>IF($B175="LOSS",IF(AND($K175=BV$3,$C175="L"),-$O175,0)+IF(AND($K176=BV$3,$C176="L"),-$O176,0)+IF(AND($K177=BV$3,$C177="L"),-$O177,0),IF(OR(AND($K175=BV$3,OR($C175="W",$C175="1/2W")),AND($K176=BV$3,OR($C176="W",$C176="1/2W")),AND($K177=BV$3,OR($C177="W",$C177="1/2W"))),$S175,0))</f>
        <v>0</v>
      </c>
      <c r="BW175" s="201">
        <f>IF($B175="LOSS",IF(AND($K175=BW$3,$C175="L"),-$O175,0)+IF(AND($K176=BW$3,$C176="L"),-$O176,0)+IF(AND($K177=BW$3,$C177="L"),-$O177,0),IF(OR(AND($K175=BW$3,OR($C175="W",$C175="1/2W")),AND($K176=BW$3,OR($C176="W",$C176="1/2W")),AND($K177=BW$3,OR($C177="W",$C177="1/2W"))),$S175,0))</f>
        <v>0</v>
      </c>
      <c r="BX175" s="201">
        <f>IF($B175="LOSS",IF(AND($K175=BX$3,$C175="L"),-$O175,0)+IF(AND($K176=BX$3,$C176="L"),-$O176,0)+IF(AND($K177=BX$3,$C177="L"),-$O177,0),IF(OR(AND($K175=BX$3,OR($C175="W",$C175="1/2W")),AND($K176=BX$3,OR($C176="W",$C176="1/2W")),AND($K177=BX$3,OR($C177="W",$C177="1/2W"))),$S175,0))</f>
        <v>0</v>
      </c>
      <c r="BY175" s="201">
        <f>IF($B175="LOSS",IF(AND($K175=BY$3,$C175="L"),-$O175,0)+IF(AND($K176=BY$3,$C176="L"),-$O176,0)+IF(AND($K177=BY$3,$C177="L"),-$O177,0),IF(OR(AND($K175=BY$3,OR($C175="W",$C175="1/2W")),AND($K176=BY$3,OR($C176="W",$C176="1/2W")),AND($K177=BY$3,OR($C177="W",$C177="1/2W"))),$S175,0))</f>
        <v>0</v>
      </c>
      <c r="BZ175" s="205">
        <f>IF($B175="LOSS",IF(AND($K175=BZ$3,$C175="L"),-$O175,0)+IF(AND($K176=BZ$3,$C176="L"),-$O176,0)+IF(AND($K177=BZ$3,$C177="L"),-$O177,0),IF(OR(AND($K175=BZ$3,OR($C175="W",$C175="1/2W")),AND($K176=BZ$3,OR($C176="W",$C176="1/2W")),AND($K177=BZ$3,OR($C177="W",$C177="1/2W"))),$S175,0))</f>
        <v>0</v>
      </c>
      <c r="CA175" s="205">
        <f>IF($B175="LOSS",IF(AND($K175=CA$3,$C175="L"),-$O175,0)+IF(AND($K176=CA$3,$C176="L"),-$O176,0)+IF(AND($K177=CA$3,$C177="L"),-$O177,0),IF(OR(AND($K175=CA$3,OR($C175="W",$C175="1/2W")),AND($K176=CA$3,OR($C176="W",$C176="1/2W")),AND($K177=CA$3,OR($C177="W",$C177="1/2W"))),$S175,0))</f>
        <v>0</v>
      </c>
      <c r="CB175" s="205">
        <f>IF($B175="LOSS",IF(AND($K175=CB$3,$C175="L"),-$O175,0)+IF(AND($K176=CB$3,$C176="L"),-$O176,0)+IF(AND($K177=CB$3,$C177="L"),-$O177,0),IF(OR(AND($K175=CB$3,OR($C175="W",$C175="1/2W")),AND($K176=CB$3,OR($C176="W",$C176="1/2W")),AND($K177=CB$3,OR($C177="W",$C177="1/2W"))),$S175,0))</f>
        <v>0</v>
      </c>
      <c r="CC175" s="205">
        <f>IF($B175="LOSS",IF(AND($K175=CC$3,$C175="L"),-$O175,0)+IF(AND($K176=CC$3,$C176="L"),-$O176,0)+IF(AND($K177=CC$3,$C177="L"),-$O177,0),IF(OR(AND($K175=CC$3,OR($C175="W",$C175="1/2W")),AND($K176=CC$3,OR($C176="W",$C176="1/2W")),AND($K177=CC$3,OR($C177="W",$C177="1/2W"))),$S175,0))</f>
        <v>0</v>
      </c>
      <c r="CD175" s="202">
        <f>IF($B175="LOSS",IF(AND($K175=CD$3,$C175="L"),-$O175,0)+IF(AND($K176=CD$3,$C176="L"),-$O176,0)+IF(AND($K177=CD$3,$C177="L"),-$O177,0),IF(OR(AND($K175=CD$3,OR($C175="W",$C175="1/2W")),AND($K176=CD$3,OR($C176="W",$C176="1/2W")),AND($K177=CD$3,OR($C177="W",$C177="1/2W"))),$S175,0))</f>
        <v>0</v>
      </c>
      <c r="CE175" s="199">
        <f>IF($B175="LOSS",IF(AND($K175=CE$3,$C175="L"),-$O175,0)+IF(AND($K176=CE$3,$C176="L"),-$O176,0)+IF(AND($K177=CE$3,$C177="L"),-$O177,0),IF(OR(AND($K175=CE$3,OR($C175="W",$C175="1/2W")),AND($K176=CE$3,OR($C176="W",$C176="1/2W")),AND($K177=CE$3,OR($C177="W",$C177="1/2W"))),$S175,0))</f>
        <v>0</v>
      </c>
      <c r="CF175" s="206">
        <f>IF(CF$3=$K175,IF($C175="W",1,IF($C175="1/2W",0.5,0)),0)</f>
        <v>0</v>
      </c>
      <c r="CG175" s="207">
        <f>IF(CF$3=$K175,IF($C175="L",1,IF($C175="1/2L",0.5,0)),0)</f>
        <v>0</v>
      </c>
      <c r="CH175" s="207">
        <f>IF(CH$3=$K175,IF($C175="W",1,IF($C175="1/2W",0.5,0)),0)</f>
        <v>0</v>
      </c>
      <c r="CI175" s="207">
        <f>IF(CH$3=$K175,IF($C175="L",1,IF($C175="1/2L",0.5,0)),0)</f>
        <v>0</v>
      </c>
      <c r="CJ175" s="207">
        <f>IF(CJ$3=$K175,IF($C175="W",1,IF($C175="1/2W",0.5,0)),0)</f>
        <v>0</v>
      </c>
      <c r="CK175" s="207">
        <f>IF(CJ$3=$K175,IF($C175="L",1,IF($C175="1/2L",0.5,0)),0)</f>
        <v>0</v>
      </c>
      <c r="CL175" s="207">
        <f>IF(CL$3=$K175,IF($C175="W",1,IF($C175="1/2W",0.5,0)),0)</f>
        <v>0</v>
      </c>
      <c r="CM175" s="207">
        <f>IF(CL$3=$K175,IF($C175="L",1,IF($C175="1/2L",0.5,0)),0)</f>
        <v>0</v>
      </c>
      <c r="CN175" s="207">
        <f>IF(CN$3=$K175,IF($C175="W",1,IF($C175="1/2W",0.5,0)),0)</f>
        <v>0</v>
      </c>
      <c r="CO175" s="207">
        <f>IF(CN$3=$K175,IF($C175="L",1,IF($C175="1/2L",0.5,0)),0)</f>
        <v>0</v>
      </c>
      <c r="CP175" s="207">
        <f>IF(CP$3=$K175,IF($C175="W",1,IF($C175="1/2W",0.5,0)),0)</f>
        <v>0</v>
      </c>
      <c r="CQ175" s="207">
        <f>IF(CP$3=$K175,IF($C175="L",1,IF($C175="1/2L",0.5,0)),0)</f>
        <v>0</v>
      </c>
      <c r="CR175" s="207">
        <f>IF(CR$3=$K175,IF($C175="W",1,IF($C175="1/2W",0.5,0)),0)</f>
        <v>0</v>
      </c>
      <c r="CS175" s="207">
        <f>IF(CR$3=$K175,IF($C175="L",1,IF($C175="1/2L",0.5,0)),0)</f>
        <v>0</v>
      </c>
      <c r="CT175" s="208">
        <f>IF(CT$3=$K175,IF($C175="W",1,IF($C175="1/2W",0.5,0)),0)</f>
        <v>0</v>
      </c>
      <c r="CU175" s="209">
        <f>IF(CT$3=$K175,IF($C175="L",1,IF($C175="1/2L",0.5,0)),0)</f>
        <v>0</v>
      </c>
      <c r="CV175" s="209">
        <f>IF(CV$3=$K175,IF($C175="W",1,IF($C175="1/2W",0.5,0)),0)</f>
        <v>0</v>
      </c>
      <c r="CW175" s="209">
        <f>IF(CV$3=$K175,IF($C175="L",1,IF($C175="1/2L",0.5,0)),0)</f>
        <v>0</v>
      </c>
      <c r="CX175" s="209">
        <f>IF(CX$3=$K175,IF($C175="W",1,IF($C175="1/2W",0.5,0)),0)</f>
        <v>0</v>
      </c>
      <c r="CY175" s="209">
        <f>IF(CX$3=$K175,IF($C175="L",1,IF($C175="1/2L",0.5,0)),0)</f>
        <v>0</v>
      </c>
      <c r="CZ175" s="209">
        <f>IF(CZ$3=$K175,IF($C175="W",1,IF($C175="1/2W",0.5,0)),0)</f>
        <v>0</v>
      </c>
      <c r="DA175" s="209">
        <f>IF(CZ$3=$K175,IF($C175="L",1,IF($C175="1/2L",0.5,0)),0)</f>
        <v>0</v>
      </c>
      <c r="DB175" s="209">
        <f>IF(DB$3=$K175,IF($C175="W",1,IF($C175="1/2W",0.5,0)),0)</f>
        <v>0</v>
      </c>
      <c r="DC175" s="209">
        <f>IF(DB$3=$K175,IF($C175="L",1,IF($C175="1/2L",0.5,0)),0)</f>
        <v>1</v>
      </c>
      <c r="DD175" s="209">
        <f>IF(DD$3=$K175,IF($C175="W",1,IF($C175="1/2W",0.5,0)),0)</f>
        <v>0</v>
      </c>
      <c r="DE175" s="210">
        <f>IF(DD$3=$K175,IF($C175="L",1,IF($C175="1/2L",0.5,0)),0)</f>
        <v>0</v>
      </c>
      <c r="DF175" s="211">
        <f>IF(AND(L175&lt;DF$3,$C175="W"),1+DF174,DF174)</f>
        <v>8</v>
      </c>
      <c r="DG175" s="198">
        <f>IF(DF175&gt;DF174,L175+DG174,DG174)</f>
        <v>10.598</v>
      </c>
      <c r="DH175" s="209">
        <f>IF(AND(L175&gt;DH$3,$C175="W"),1+DH174,0+DH174)</f>
        <v>2</v>
      </c>
      <c r="DI175" s="198">
        <f>IF(DH175&gt;DH174,L175+DI174,DI174)</f>
        <v>11.58</v>
      </c>
      <c r="DJ175" t="s" s="306">
        <f>IF($D175="","",$D175)</f>
        <v>184</v>
      </c>
      <c r="DK175" s="209">
        <f>IF(AND($B175=" ",$D175&lt;&gt;""),1,0)</f>
        <v>0</v>
      </c>
    </row>
    <row r="176" ht="14.55" customHeight="1">
      <c r="A176" s="107"/>
      <c r="B176" s="108"/>
      <c r="C176" t="s" s="213">
        <v>56</v>
      </c>
      <c r="D176" s="110"/>
      <c r="E176" s="111"/>
      <c r="F176" s="113"/>
      <c r="G176" s="214"/>
      <c r="H176" s="114"/>
      <c r="I176" t="s" s="215">
        <v>75</v>
      </c>
      <c r="J176" t="s" s="216">
        <f>IF(OR(I175="TO",I175="TU",I175="TO1",I175="TU1",I175="TO2",I175="TU2"),J175,IF(OR(I175="AH1",I175="AH2"),IF(OR(I176="AH1",I176="AH2"),-J175,IF(OR(I176="EH1",I176="EH2"),-J175+0.5,"")),IF(OR(I175="EH1",I175="EH2"),IF(OR(I176="AH1",I176="AH2"),-J175+0.5,IF(OR(I176="EH1",I176="EH2"),-J175+1,"")),IF(AND(OR(I175="DNB1",I175="DNB2"),OR(I176="AH1",I176="AH2")),0,IF(AND(I175="Not ScoreBoth",OR(I176="TO1",I176="TO2")),0.5,"")))))</f>
      </c>
      <c r="K176" t="s" s="217">
        <v>39</v>
      </c>
      <c r="L176" s="218">
        <v>2.3</v>
      </c>
      <c r="M176" s="219"/>
      <c r="N176" s="120"/>
      <c r="O176" s="220">
        <f>IF(OR(AE175="",AE176=""),"",ROUND(IF(L177&gt;0,IF(M176&gt;0,M176,IF(M175&gt;0,IF(N175=TRUE,ROUND((M175*AE176)/AE175,0),(M175*AE176)/AE175),IF(M176&gt;0,ROUND(M176,IF(N175=0,2,IF(N175=0.1,1,0))),IF(M177&gt;0,ROUND(O177*AE176/AE177,IF(N175=0,2,IF(N175=0.1,1,0))),0)))),IF(M176&gt;0,M176,ROUND((M175*AE176)/AE175,IF(N175=0,2,IF(N175=0.1,1,0))))),2))</f>
        <v>22.2</v>
      </c>
      <c r="P176" s="221">
        <f>IF(OR(L176="",O176=""),"",IF($C176="1/2W",O176/2+O176/2*L176,IF($C176="1/2L",O176/2,IF(I176="Lay",((O176*(L176/(L176-1)))-O176)*(1-_xlfn.XLOOKUP(K176,'Janeiro 2023 - Valor Real'!A3:A15,'Janeiro 2023 - Valor Real'!C3:C15,0))+O176,(O176*L176-O176)*(1-_xlfn.XLOOKUP(K176,'Janeiro 2023 - Valor Real'!A3:A15,'Janeiro 2023 - Valor Real'!C3:C15,0))+O176))))</f>
        <v>38.1669230769231</v>
      </c>
      <c r="Q176" s="222">
        <f>IF(K176="","",IF(_xlfn.XLOOKUP(K176,K$85:K92,DJ$85:DJ92,0,,-1)=DJ176,_xlfn.XLOOKUP(K176,K$85:K92,Q$85:Q92,1,,-1)+1,1))</f>
        <v>1</v>
      </c>
      <c r="R176" s="223">
        <f>IF(K176="","",_xlfn.XLOOKUP(K176,K$85:K92,R$85:R92,0,,-1)+IF($C176=" ",1,0))</f>
        <v>0</v>
      </c>
      <c r="S176" s="125"/>
      <c r="T176" s="126"/>
      <c r="U176" s="126"/>
      <c r="V176" s="224"/>
      <c r="W176" s="126"/>
      <c r="X176" s="127"/>
      <c r="Y176" s="128"/>
      <c r="Z176" s="129"/>
      <c r="AA176" s="129"/>
      <c r="AB176" s="129"/>
      <c r="AC176" s="129"/>
      <c r="AD176" s="225">
        <f>(((L176/(L176-1)-1)*(1-_xlfn.XLOOKUP(K176,'Janeiro 2023 - Valor Real'!A3:A15,'Janeiro 2023 - Valor Real'!C3:C15,0))+1))</f>
        <v>1.71923076923077</v>
      </c>
      <c r="AE176" s="226">
        <f>IF(L176="","",IF(L177&gt;0,(SUM(((L175-1)*(1-_xlfn.XLOOKUP(K175,'Janeiro 2023 - Valor Real'!A3:A15,'Janeiro 2023 - Valor Real'!C3:C15,0))+1),((L176-1)*(1-_xlfn.XLOOKUP(K176,'Janeiro 2023 - Valor Real'!A3:A15,'Janeiro 2023 - Valor Real'!C3:C15,0))+1),((L177-1)*(1-_xlfn.XLOOKUP(K177,'Janeiro 2023 - Valor Real'!A3:A15,'Janeiro 2023 - Valor Real'!C3:C15,0))+1))/((L176-1)*(1-_xlfn.XLOOKUP(K176,'Janeiro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Real'!C3:C15,0))+1))/((L175-1)*(1-_xlfn.XLOOKUP(K175,'Janeiro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Real'!C3:C15,0))+1))/((L176-1)*(1-_xlfn.XLOOKUP(K176,'Janeiro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Real'!C3:C15,0))+1))/((L177-1)*(1-_xlfn.XLOOKUP(K177,'Janeiro 2023 - Valor Real'!A3:A15,'Janeiro 2023 - Valor Real'!C3:C15,0))+1)),IF(I176="Lay",IF(I175="Lay",((L175/(L175-1)-1)*(1-_xlfn.XLOOKUP(K175,'Janeiro 2023 - Valor Real'!A3:A15,'Janeiro 2023 - Valor Real'!C3:C15,0))+1)/(((L175/(L175-1)-1)*(1-_xlfn.XLOOKUP(K175,'Janeiro 2023 - Valor Real'!A3:A15,'Janeiro 2023 - Valor Real'!C3:C15,0))+1)+((L176/(L176-1)-1)*(1-_xlfn.XLOOKUP(K176,'Janeiro 2023 - Valor Real'!A3:A15,'Janeiro 2023 - Valor Real'!C3:C15,0))+1)),((L175-1)*(1-_xlfn.XLOOKUP(K175,'Janeiro 2023 - Valor Real'!A3:A15,'Janeiro 2023 - Valor Real'!C3:C15,0))+1)/(((L175-1)*(1-_xlfn.XLOOKUP(K175,'Janeiro 2023 - Valor Real'!A3:A15,'Janeiro 2023 - Valor Real'!C3:C15,0))+1)+((L176/(L176-1)-1)*(1-_xlfn.XLOOKUP(K176,'Janeiro 2023 - Valor Real'!A3:A15,'Janeiro 2023 - Valor Real'!C3:C15,0))+1))),IF(I175="Lay",((L175/(L175-1)-1)*(1-_xlfn.XLOOKUP(K175,'Janeiro 2023 - Valor Real'!A3:A15,'Janeiro 2023 - Valor Real'!C3:C15,0))+1)/((((L175/(L175-1)-1)*(1-_xlfn.XLOOKUP(K175,'Janeiro 2023 - Valor Real'!A3:A15,'Janeiro 2023 - Valor Real'!C3:C15,0))+1))+((L176-1)*(1-_xlfn.XLOOKUP(K176,'Janeiro 2023 - Valor Real'!A3:A15,'Janeiro 2023 - Valor Real'!C3:C15,0))+1)),((L175-1)*(1-_xlfn.XLOOKUP(K175,'Janeiro 2023 - Valor Real'!A3:A15,'Janeiro 2023 - Valor Real'!C3:C15,0))+1)/(((L175-1)*(1-_xlfn.XLOOKUP(K175,'Janeiro 2023 - Valor Real'!A3:A15,'Janeiro 2023 - Valor Real'!C3:C15,0))+1)+((L176-1)*(1-_xlfn.XLOOKUP(K176,'Janeiro 2023 - Valor Real'!A3:A15,'Janeiro 2023 - Valor Real'!C3:C15,0))+1))))))</f>
        <v>0.654024767801858</v>
      </c>
      <c r="AF176" s="197">
        <f>IF($K176=AF$3,ROUND(IF(OR($C176="W",$C176="1/2W",$C176="1/2L"),$P176-$O176,IF($C176="X",0,-$O176)),2),0)</f>
        <v>0</v>
      </c>
      <c r="AG176" s="198">
        <f>IF($K176=AG$3,ROUND(IF(OR($C176="W",$C176="1/2W",$C176="1/2L"),$P176-$O176,IF($C176="X",0,-$O176)),2),0)</f>
        <v>0</v>
      </c>
      <c r="AH176" s="198">
        <f>IF($K176=AH$3,ROUND(IF(OR($C176="W",$C176="1/2W",$C176="1/2L"),$P176-$O176,IF($C176="X",0,-$O176)),2),0)</f>
        <v>15.97</v>
      </c>
      <c r="AI176" s="198">
        <f>IF($K176=AI$3,ROUND(IF(OR($C176="W",$C176="1/2W",$C176="1/2L"),$P176-$O176,IF($C176="X",0,-$O176)),2),0)</f>
        <v>0</v>
      </c>
      <c r="AJ176" s="198">
        <f>IF($K176=AJ$3,ROUND(IF(OR($C176="W",$C176="1/2W",$C176="1/2L"),$P176-$O176,IF($C176="X",0,-$O176)),2),0)</f>
        <v>0</v>
      </c>
      <c r="AK176" s="198">
        <f>IF($K176=AK$3,ROUND(IF(OR($C176="W",$C176="1/2W",$C176="1/2L"),$P176-$O176,IF($C176="X",0,-$O176)),2),0)</f>
        <v>0</v>
      </c>
      <c r="AL176" s="198">
        <f>IF($K176=AL$3,ROUND(IF(OR($C176="W",$C176="1/2W",$C176="1/2L"),$P176-$O176,IF($C176="X",0,-$O176)),2),0)</f>
        <v>0</v>
      </c>
      <c r="AM176" s="198">
        <f>IF($K176=AM$3,ROUND(IF(OR($C176="W",$C176="1/2W",$C176="1/2L"),$P176-$O176,IF($C176="X",0,-$O176)),2),0)</f>
        <v>0</v>
      </c>
      <c r="AN176" s="198">
        <f>IF($K176=AN$3,ROUND(IF(OR($C176="W",$C176="1/2W",$C176="1/2L"),$P176-$O176,IF($C176="X",0,-$O176)),2),0)</f>
        <v>0</v>
      </c>
      <c r="AO176" s="198">
        <f>IF($K176=AO$3,ROUND(IF(OR($C176="W",$C176="1/2W",$C176="1/2L"),$P176-$O176,IF($C176="X",0,-$O176)),2),0)</f>
        <v>0</v>
      </c>
      <c r="AP176" s="198">
        <f>IF($K176=AP$3,ROUND(IF(OR($C176="W",$C176="1/2W",$C176="1/2L"),$P176-$O176,IF($C176="X",0,-$O176)),2),0)</f>
        <v>0</v>
      </c>
      <c r="AQ176" s="198">
        <f>IF($K176=AQ$3,ROUND(IF(OR($C176="W",$C176="1/2W",$C176="1/2L"),$P176-$O176,IF($C176="X",0,-$O176)),2),0)</f>
        <v>0</v>
      </c>
      <c r="AR176" s="199">
        <f>IF($K176=AR$3,ROUND(IF(OR($C176="W",$C176="1/2W",$C176="1/2L"),$P176-$O176,IF($C176="X",0,-$O176)),2),0)</f>
        <v>0</v>
      </c>
      <c r="AS176" s="197">
        <f>IF(AND($B175=" ",$K176=AS$3),$O176,0)</f>
        <v>0</v>
      </c>
      <c r="AT176" s="198">
        <f>IF(AND($B175=" ",K176=AT$3),$O176,0)</f>
        <v>0</v>
      </c>
      <c r="AU176" s="198">
        <f>IF(AND($B175=" ",$K176=AU$3),$O176,0)</f>
        <v>0</v>
      </c>
      <c r="AV176" s="198">
        <f>IF(AND($B175=" ",$K176=AV$3),$O176,0)</f>
        <v>0</v>
      </c>
      <c r="AW176" s="198">
        <f>IF(AND($B175=" ",$K176=AW$3),$O176,0)</f>
        <v>0</v>
      </c>
      <c r="AX176" s="198">
        <f>IF(AND($B175=" ",$K176=AX$3),$O176,0)</f>
        <v>0</v>
      </c>
      <c r="AY176" s="200">
        <f>IF(AND($B175=" ",$K176=AY$3),$O176,0)</f>
        <v>0</v>
      </c>
      <c r="AZ176" s="201">
        <f>IF(AND($B175=" ",$K176=AZ$3),$O176,0)</f>
        <v>0</v>
      </c>
      <c r="BA176" s="201">
        <f>IF(AND($B175=" ",$K176=BA$3),$O176,0)</f>
        <v>0</v>
      </c>
      <c r="BB176" s="201">
        <f>IF(AND($B175=" ",$K176=BB$3),$O176,0)</f>
        <v>0</v>
      </c>
      <c r="BC176" s="202">
        <f>IF(AND($B175=" ",$K176=BC$3),$O176,0)</f>
        <v>0</v>
      </c>
      <c r="BD176" s="198">
        <f>IF(AND($B175=" ",$K176=BD$3),$O176,0)</f>
        <v>0</v>
      </c>
      <c r="BE176" s="199">
        <f>IF(AND($B175=" ",$K176=BE$3),$O176,0)</f>
        <v>0</v>
      </c>
      <c r="BF176" s="197">
        <f>IF($K176=BF$3,IF($C176="X",0,$O176),0)</f>
        <v>0</v>
      </c>
      <c r="BG176" s="198">
        <f>IF($K176=BG$3,IF($C176="X",0,$O176),0)</f>
        <v>0</v>
      </c>
      <c r="BH176" s="198">
        <f>IF($K176=BH$3,IF($C176="X",0,$O176),0)</f>
        <v>22.2</v>
      </c>
      <c r="BI176" s="198">
        <f>IF($K176=BI$3,IF($C176="X",0,$O176),0)</f>
        <v>0</v>
      </c>
      <c r="BJ176" s="198">
        <f>IF($K176=BJ$3,IF($C176="X",0,$O176),0)</f>
        <v>0</v>
      </c>
      <c r="BK176" s="198">
        <f>IF($K176=BK$3,IF($C176="X",0,$O176),0)</f>
        <v>0</v>
      </c>
      <c r="BL176" s="198">
        <f>IF($K176=BL$3,IF($C176="X",0,$O176),0)</f>
        <v>0</v>
      </c>
      <c r="BM176" s="227">
        <f>IF($K176=BM$3,IF($C176="X",0,$O176),0)</f>
        <v>0</v>
      </c>
      <c r="BN176" s="205">
        <f>IF($K176=BN$3,IF($C176="X",0,$O176),0)</f>
        <v>0</v>
      </c>
      <c r="BO176" s="205">
        <f>IF($K176=BO$3,IF($C176="X",0,$O176),0)</f>
        <v>0</v>
      </c>
      <c r="BP176" s="205">
        <f>IF($K176=BP$3,IF($C176="X",0,$O176),0)</f>
        <v>0</v>
      </c>
      <c r="BQ176" s="202">
        <f>IF($K176=BQ$3,IF($C176="X",0,$O176),0)</f>
        <v>0</v>
      </c>
      <c r="BR176" s="199">
        <f>IF($K176=BR$3,IF($C176="X",0,$O176),0)</f>
        <v>0</v>
      </c>
      <c r="BS176" s="228"/>
      <c r="BT176" s="229"/>
      <c r="BU176" s="140"/>
      <c r="BV176" s="229"/>
      <c r="BW176" s="140"/>
      <c r="BX176" s="140"/>
      <c r="BY176" s="140"/>
      <c r="BZ176" s="229"/>
      <c r="CA176" s="140"/>
      <c r="CB176" s="140"/>
      <c r="CC176" s="140"/>
      <c r="CD176" s="141"/>
      <c r="CE176" s="142"/>
      <c r="CF176" s="230">
        <f>IF(CF$3=$K176,IF($C176="W",1,IF($C176="1/2W",0.5,0)),0)</f>
        <v>0</v>
      </c>
      <c r="CG176" s="231">
        <f>IF(CF$3=$K176,IF($C176="L",1,IF($C176="1/2L",0.5,0)),0)</f>
        <v>0</v>
      </c>
      <c r="CH176" s="231">
        <f>IF(CH$3=$K176,IF($C176="W",1,IF($C176="1/2W",0.5,0)),0)</f>
        <v>0</v>
      </c>
      <c r="CI176" s="231">
        <f>IF(CH$3=$K176,IF($C176="L",1,IF($C176="1/2L",0.5,0)),0)</f>
        <v>0</v>
      </c>
      <c r="CJ176" s="231">
        <f>IF(CJ$3=$K176,IF($C176="W",1,IF($C176="1/2W",0.5,0)),0)</f>
        <v>1</v>
      </c>
      <c r="CK176" s="231">
        <f>IF(CJ$3=$K176,IF($C176="L",1,IF($C176="1/2L",0.5,0)),0)</f>
        <v>0</v>
      </c>
      <c r="CL176" s="231">
        <f>IF(CL$3=$K176,IF($C176="W",1,IF($C176="1/2W",0.5,0)),0)</f>
        <v>0</v>
      </c>
      <c r="CM176" s="231">
        <f>IF(CL$3=$K176,IF($C176="L",1,IF($C176="1/2L",0.5,0)),0)</f>
        <v>0</v>
      </c>
      <c r="CN176" s="231">
        <f>IF(CN$3=$K176,IF($C176="W",1,IF($C176="1/2W",0.5,0)),0)</f>
        <v>0</v>
      </c>
      <c r="CO176" s="231">
        <f>IF(CN$3=$K176,IF($C176="L",1,IF($C176="1/2L",0.5,0)),0)</f>
        <v>0</v>
      </c>
      <c r="CP176" s="231">
        <f>IF(CP$3=$K176,IF($C176="W",1,IF($C176="1/2W",0.5,0)),0)</f>
        <v>0</v>
      </c>
      <c r="CQ176" s="231">
        <f>IF(CP$3=$K176,IF($C176="L",1,IF($C176="1/2L",0.5,0)),0)</f>
        <v>0</v>
      </c>
      <c r="CR176" s="231">
        <f>IF(CR$3=$K176,IF($C176="W",1,IF($C176="1/2W",0.5,0)),0)</f>
        <v>0</v>
      </c>
      <c r="CS176" s="231">
        <f>IF(CR$3=$K176,IF($C176="L",1,IF($C176="1/2L",0.5,0)),0)</f>
        <v>0</v>
      </c>
      <c r="CT176" s="208">
        <f>IF(CT$3=$K176,IF($C176="W",1,IF($C176="1/2W",0.5,0)),0)</f>
        <v>0</v>
      </c>
      <c r="CU176" s="209">
        <f>IF(CT$3=$K176,IF($C176="L",1,IF($C176="1/2L",0.5,0)),0)</f>
        <v>0</v>
      </c>
      <c r="CV176" s="209">
        <f>IF(CV$3=$K176,IF($C176="W",1,IF($C176="1/2W",0.5,0)),0)</f>
        <v>0</v>
      </c>
      <c r="CW176" s="209">
        <f>IF(CV$3=$K176,IF($C176="L",1,IF($C176="1/2L",0.5,0)),0)</f>
        <v>0</v>
      </c>
      <c r="CX176" s="209">
        <f>IF(CX$3=$K176,IF($C176="W",1,IF($C176="1/2W",0.5,0)),0)</f>
        <v>0</v>
      </c>
      <c r="CY176" s="209">
        <f>IF(CX$3=$K176,IF($C176="L",1,IF($C176="1/2L",0.5,0)),0)</f>
        <v>0</v>
      </c>
      <c r="CZ176" s="209">
        <f>IF(CZ$3=$K176,IF($C176="W",1,IF($C176="1/2W",0.5,0)),0)</f>
        <v>0</v>
      </c>
      <c r="DA176" s="209">
        <f>IF(CZ$3=$K176,IF($C176="L",1,IF($C176="1/2L",0.5,0)),0)</f>
        <v>0</v>
      </c>
      <c r="DB176" s="209">
        <f>IF(DB$3=$K176,IF($C176="W",1,IF($C176="1/2W",0.5,0)),0)</f>
        <v>0</v>
      </c>
      <c r="DC176" s="209">
        <f>IF(DB$3=$K176,IF($C176="L",1,IF($C176="1/2L",0.5,0)),0)</f>
        <v>0</v>
      </c>
      <c r="DD176" s="209">
        <f>IF(DD$3=$K176,IF($C176="W",1,IF($C176="1/2W",0.5,0)),0)</f>
        <v>0</v>
      </c>
      <c r="DE176" s="210">
        <f>IF(DD$3=$K176,IF($C176="L",1,IF($C176="1/2L",0.5,0)),0)</f>
        <v>0</v>
      </c>
      <c r="DF176" s="211">
        <f>IF(AND(L176&lt;DF$3,$C176="W"),1+DF175,DF175)</f>
        <v>8</v>
      </c>
      <c r="DG176" s="198">
        <f>IF(DF176&gt;DF175,L176+DG175,DG175)</f>
        <v>10.598</v>
      </c>
      <c r="DH176" s="209">
        <f>IF(AND(L176&gt;DH$3,$C176="W"),1+DH175,0+DH175)</f>
        <v>2</v>
      </c>
      <c r="DI176" s="198">
        <f>IF(DH176&gt;DH175,L176+DI175,DI175)</f>
        <v>11.58</v>
      </c>
      <c r="DJ176" t="s" s="306">
        <f>IF($D175="","",$D175)</f>
        <v>184</v>
      </c>
      <c r="DK176" s="232"/>
    </row>
    <row r="177" ht="14.55" customHeight="1">
      <c r="A177" s="149"/>
      <c r="B177" s="150"/>
      <c r="C177" t="s" s="233">
        <v>58</v>
      </c>
      <c r="D177" s="152"/>
      <c r="E177" s="153"/>
      <c r="F177" s="155"/>
      <c r="G177" s="311"/>
      <c r="H177" s="156"/>
      <c r="I177" s="235"/>
      <c r="J177" s="236"/>
      <c r="K177" s="237"/>
      <c r="L177" s="238"/>
      <c r="M177" s="239"/>
      <c r="N177" s="161"/>
      <c r="O177" t="s" s="240">
        <f>IF(OR(AE175="",AE176=""),"",IF(L177&gt;0,ROUND(IF(M177&gt;0,M177,IF(M175&gt;0,ROUND((M175*AE177)/AE175,IF(N175=0,2,IF(N175=0.1,1,0))),IF(M176&gt;0,ROUND((M176*AE177)/AE176,IF(N175=0,2,IF(N175=0.1,1,0))),IF(M177&gt;0,M177,0)))),2),""))</f>
      </c>
      <c r="P177" s="309">
        <f>IF(I176="Lay",O176*(L176/(L176-1))-O176,IF(I175="Lay",O175*(L175/(L175-1))-O175,IF(OR(L177="",O177=""),"",IF($C177="1/2W",O177/2+O177/2*L177,IF($C177="1/2L",O177/2,(O177*L177-O177)*(1-_xlfn.XLOOKUP(K177,'Janeiro 2023 - Valor Real'!A3:A15,'Janeiro 2023 - Valor Real'!C3:C15,0))+O177)))))</f>
        <v>17.0769230769231</v>
      </c>
      <c r="Q177" t="s" s="242">
        <f>IF(K177="","",IF(_xlfn.XLOOKUP(K177,K$86:K92,DJ$86:DJ92,0,,-1)=DJ177,_xlfn.XLOOKUP(K177,K$86:K92,Q$86:Q92,1,,-1)+1,1))</f>
      </c>
      <c r="R177" t="s" s="243">
        <f>IF(K177="","",_xlfn.XLOOKUP(K177,K$86:K92,R$86:R92,0,,-1)+IF($C177=" ",1,0))</f>
      </c>
      <c r="S177" s="166"/>
      <c r="T177" s="155"/>
      <c r="U177" s="155"/>
      <c r="V177" s="166"/>
      <c r="W177" s="155"/>
      <c r="X177" s="167"/>
      <c r="Y177" s="128"/>
      <c r="Z177" s="129"/>
      <c r="AA177" s="129"/>
      <c r="AB177" s="129"/>
      <c r="AC177" s="129"/>
      <c r="AD177" s="244">
        <f>((L176/(L176-1)-1))</f>
        <v>0.7692307692307691</v>
      </c>
      <c r="AE177" t="s" s="245">
        <f>IF(L177="","",(SUM(((L175-1)*(1-_xlfn.XLOOKUP(K175,'Janeiro 2023 - Valor Real'!A3:A15,'Janeiro 2023 - Valor Real'!C3:C15,0))+1),((L176-1)*(1-_xlfn.XLOOKUP(K176,'Janeiro 2023 - Valor Real'!A3:A15,'Janeiro 2023 - Valor Real'!C3:C15,0))+1),((L177-1)*(1-_xlfn.XLOOKUP(K177,'Janeiro 2023 - Valor Real'!A3:A15,'Janeiro 2023 - Valor Real'!C3:C15,0))+1))/((L177-1)*(1-_xlfn.XLOOKUP(K177,'Janeiro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Real'!C3:C15,0))+1))/((L175-1)*(1-_xlfn.XLOOKUP(K175,'Janeiro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Real'!C3:C15,0))+1))/((L176-1)*(1-_xlfn.XLOOKUP(K176,'Janeiro 2023 - Valor Real'!A3:A15,'Janeiro 2023 - Valor Real'!C3:C15,0))+1)+SUM(((L175-1)*(1-_xlfn.XLOOKUP(K175,'Janeiro 2023 - Valor Real'!A3:A15,'Janeiro 2023 - Valor Real'!C3:C15,0))+1),((L176-1)*(1-_xlfn.XLOOKUP(K176,'Janeiro 2023 - Valor Real'!A3:A15,'Janeiro 2023 - Valor Real'!C3:C15,0))+1),((L177-1)*(1-_xlfn.XLOOKUP(K177,'Janeiro 2023 - Valor Real'!A3:A15,'Janeiro 2023 - Valor Real'!C3:C15,0))+1))/((L177-1)*(1-_xlfn.XLOOKUP(K177,'Janeiro 2023 - Valor Real'!A3:A15,'Janeiro 2023 - Valor Real'!C3:C15,0))+1)))</f>
      </c>
      <c r="AF177" s="197">
        <f>IF($K177=AF$3,ROUND(IF(OR($C177="W",$C177="1/2W",$C177="1/2L"),$P177-$O177,IF($C177="X",0,-$O177)),2),0)</f>
        <v>0</v>
      </c>
      <c r="AG177" s="198">
        <f>IF($K177=AG$3,ROUND(IF(OR($C177="W",$C177="1/2W",$C177="1/2L"),$P177-$O177,IF($C177="X",0,-$O177)),2),0)</f>
        <v>0</v>
      </c>
      <c r="AH177" s="198">
        <f>IF($K177=AH$3,ROUND(IF(OR($C177="W",$C177="1/2W",$C177="1/2L"),$P177-$O177,IF($C177="X",0,-$O177)),2),0)</f>
        <v>0</v>
      </c>
      <c r="AI177" s="198">
        <f>IF($K177=AI$3,ROUND(IF(OR($C177="W",$C177="1/2W",$C177="1/2L"),$P177-$O177,IF($C177="X",0,-$O177)),2),0)</f>
        <v>0</v>
      </c>
      <c r="AJ177" s="198">
        <f>IF($K177=AJ$3,ROUND(IF(OR($C177="W",$C177="1/2W",$C177="1/2L"),$P177-$O177,IF($C177="X",0,-$O177)),2),0)</f>
        <v>0</v>
      </c>
      <c r="AK177" s="198">
        <f>IF($K177=AK$3,ROUND(IF(OR($C177="W",$C177="1/2W",$C177="1/2L"),$P177-$O177,IF($C177="X",0,-$O177)),2),0)</f>
        <v>0</v>
      </c>
      <c r="AL177" s="198">
        <f>IF($K177=AL$3,ROUND(IF(OR($C177="W",$C177="1/2W",$C177="1/2L"),$P177-$O177,IF($C177="X",0,-$O177)),2),0)</f>
        <v>0</v>
      </c>
      <c r="AM177" s="198">
        <f>IF($K177=AM$3,ROUND(IF(OR($C177="W",$C177="1/2W",$C177="1/2L"),$P177-$O177,IF($C177="X",0,-$O177)),2),0)</f>
        <v>0</v>
      </c>
      <c r="AN177" s="198">
        <f>IF($K177=AN$3,ROUND(IF(OR($C177="W",$C177="1/2W",$C177="1/2L"),$P177-$O177,IF($C177="X",0,-$O177)),2),0)</f>
        <v>0</v>
      </c>
      <c r="AO177" s="198">
        <f>IF($K177=AO$3,ROUND(IF(OR($C177="W",$C177="1/2W",$C177="1/2L"),$P177-$O177,IF($C177="X",0,-$O177)),2),0)</f>
        <v>0</v>
      </c>
      <c r="AP177" s="198">
        <f>IF($K177=AP$3,ROUND(IF(OR($C177="W",$C177="1/2W",$C177="1/2L"),$P177-$O177,IF($C177="X",0,-$O177)),2),0)</f>
        <v>0</v>
      </c>
      <c r="AQ177" s="198">
        <f>IF($K177=AQ$3,ROUND(IF(OR($C177="W",$C177="1/2W",$C177="1/2L"),$P177-$O177,IF($C177="X",0,-$O177)),2),0)</f>
        <v>0</v>
      </c>
      <c r="AR177" s="199">
        <f>IF($K177=AR$3,ROUND(IF(OR($C177="W",$C177="1/2W",$C177="1/2L"),$P177-$O177,IF($C177="X",0,-$O177)),2),0)</f>
        <v>0</v>
      </c>
      <c r="AS177" s="197">
        <f>IF(AND($B175=" ",$K177=AS$3),$O177,0)</f>
        <v>0</v>
      </c>
      <c r="AT177" s="198">
        <f>IF(AND($B175=" ",K177=AT$3),$O177,0)</f>
        <v>0</v>
      </c>
      <c r="AU177" s="198">
        <f>IF(AND($B175=" ",$K177=AU$3),$O177,0)</f>
        <v>0</v>
      </c>
      <c r="AV177" s="198">
        <f>IF(AND($B175=" ",$K177=AV$3),$O177,0)</f>
        <v>0</v>
      </c>
      <c r="AW177" s="198">
        <f>IF(AND($B175=" ",$K177=AW$3),$O177,0)</f>
        <v>0</v>
      </c>
      <c r="AX177" s="198">
        <f>IF(AND($B175=" ",$K177=AX$3),$O177,0)</f>
        <v>0</v>
      </c>
      <c r="AY177" s="200">
        <f>IF(AND($B175=" ",$K177=AY$3),$O177,0)</f>
        <v>0</v>
      </c>
      <c r="AZ177" s="201">
        <f>IF(AND($B175=" ",$K177=AZ$3),$O177,0)</f>
        <v>0</v>
      </c>
      <c r="BA177" s="201">
        <f>IF(AND($B175=" ",$K177=BA$3),$O177,0)</f>
        <v>0</v>
      </c>
      <c r="BB177" s="201">
        <f>IF(AND($B175=" ",$K177=BB$3),$O177,0)</f>
        <v>0</v>
      </c>
      <c r="BC177" s="202">
        <f>IF(AND($B175=" ",$K177=BC$3),$O177,0)</f>
        <v>0</v>
      </c>
      <c r="BD177" s="198">
        <f>IF(AND($B175=" ",$K177=BD$3),$O177,0)</f>
        <v>0</v>
      </c>
      <c r="BE177" s="199">
        <f>IF(AND($B175=" ",$K177=BE$3),$O177,0)</f>
        <v>0</v>
      </c>
      <c r="BF177" s="197">
        <f>IF($K177=BF$3,IF($C177="X",0,$O177),0)</f>
        <v>0</v>
      </c>
      <c r="BG177" s="198">
        <f>IF($K177=BG$3,IF($C177="X",0,$O177),0)</f>
        <v>0</v>
      </c>
      <c r="BH177" s="198">
        <f>IF($K177=BH$3,IF($C177="X",0,$O177),0)</f>
        <v>0</v>
      </c>
      <c r="BI177" s="198">
        <f>IF($K177=BI$3,IF($C177="X",0,$O177),0)</f>
        <v>0</v>
      </c>
      <c r="BJ177" s="198">
        <f>IF($K177=BJ$3,IF($C177="X",0,$O177),0)</f>
        <v>0</v>
      </c>
      <c r="BK177" s="198">
        <f>IF($K177=BK$3,IF($C177="X",0,$O177),0)</f>
        <v>0</v>
      </c>
      <c r="BL177" s="198">
        <f>IF($K177=BL$3,IF($C177="X",0,$O177),0)</f>
        <v>0</v>
      </c>
      <c r="BM177" s="200">
        <f>IF($K177=BM$3,IF($C177="X",0,$O177),0)</f>
        <v>0</v>
      </c>
      <c r="BN177" s="201">
        <f>IF($K177=BN$3,IF($C177="X",0,$O177),0)</f>
        <v>0</v>
      </c>
      <c r="BO177" s="201">
        <f>IF($K177=BO$3,IF($C177="X",0,$O177),0)</f>
        <v>0</v>
      </c>
      <c r="BP177" s="201">
        <f>IF($K177=BP$3,IF($C177="X",0,$O177),0)</f>
        <v>0</v>
      </c>
      <c r="BQ177" s="202">
        <f>IF($K177=BQ$3,IF($C177="X",0,$O177),0)</f>
        <v>0</v>
      </c>
      <c r="BR177" s="199">
        <f>IF($K177=BR$3,IF($C177="X",0,$O177),0)</f>
        <v>0</v>
      </c>
      <c r="BS177" s="228"/>
      <c r="BT177" s="229"/>
      <c r="BU177" s="140"/>
      <c r="BV177" s="229"/>
      <c r="BW177" s="140"/>
      <c r="BX177" s="140"/>
      <c r="BY177" s="140"/>
      <c r="BZ177" s="229"/>
      <c r="CA177" s="140"/>
      <c r="CB177" s="140"/>
      <c r="CC177" s="140"/>
      <c r="CD177" s="141"/>
      <c r="CE177" s="142"/>
      <c r="CF177" s="230">
        <f>IF(CF$3=$K177,IF($C177="W",1,IF($C177="1/2W",0.5,0)),0)</f>
        <v>0</v>
      </c>
      <c r="CG177" s="231">
        <f>IF(CF$3=$K177,IF($C177="L",1,IF($C177="1/2L",0.5,0)),0)</f>
        <v>0</v>
      </c>
      <c r="CH177" s="231">
        <f>IF(CH$3=$K177,IF($C177="W",1,IF($C177="1/2W",0.5,0)),0)</f>
        <v>0</v>
      </c>
      <c r="CI177" s="231">
        <f>IF(CH$3=$K177,IF($C177="L",1,IF($C177="1/2L",0.5,0)),0)</f>
        <v>0</v>
      </c>
      <c r="CJ177" s="231">
        <f>IF(CJ$3=$K177,IF($C177="W",1,IF($C177="1/2W",0.5,0)),0)</f>
        <v>0</v>
      </c>
      <c r="CK177" s="231">
        <f>IF(CJ$3=$K177,IF($C177="L",1,IF($C177="1/2L",0.5,0)),0)</f>
        <v>0</v>
      </c>
      <c r="CL177" s="231">
        <f>IF(CL$3=$K177,IF($C177="W",1,IF($C177="1/2W",0.5,0)),0)</f>
        <v>0</v>
      </c>
      <c r="CM177" s="231">
        <f>IF(CL$3=$K177,IF($C177="L",1,IF($C177="1/2L",0.5,0)),0)</f>
        <v>0</v>
      </c>
      <c r="CN177" s="231">
        <f>IF(CN$3=$K177,IF($C177="W",1,IF($C177="1/2W",0.5,0)),0)</f>
        <v>0</v>
      </c>
      <c r="CO177" s="231">
        <f>IF(CN$3=$K177,IF($C177="L",1,IF($C177="1/2L",0.5,0)),0)</f>
        <v>0</v>
      </c>
      <c r="CP177" s="231">
        <f>IF(CP$3=$K177,IF($C177="W",1,IF($C177="1/2W",0.5,0)),0)</f>
        <v>0</v>
      </c>
      <c r="CQ177" s="231">
        <f>IF(CP$3=$K177,IF($C177="L",1,IF($C177="1/2L",0.5,0)),0)</f>
        <v>0</v>
      </c>
      <c r="CR177" s="231">
        <f>IF(CR$3=$K177,IF($C177="W",1,IF($C177="1/2W",0.5,0)),0)</f>
        <v>0</v>
      </c>
      <c r="CS177" s="231">
        <f>IF(CR$3=$K177,IF($C177="L",1,IF($C177="1/2L",0.5,0)),0)</f>
        <v>0</v>
      </c>
      <c r="CT177" s="208">
        <f>IF(CT$3=$K177,IF($C177="W",1,IF($C177="1/2W",0.5,0)),0)</f>
        <v>0</v>
      </c>
      <c r="CU177" s="209">
        <f>IF(CT$3=$K177,IF($C177="L",1,IF($C177="1/2L",0.5,0)),0)</f>
        <v>0</v>
      </c>
      <c r="CV177" s="209">
        <f>IF(CV$3=$K177,IF($C177="W",1,IF($C177="1/2W",0.5,0)),0)</f>
        <v>0</v>
      </c>
      <c r="CW177" s="209">
        <f>IF(CV$3=$K177,IF($C177="L",1,IF($C177="1/2L",0.5,0)),0)</f>
        <v>0</v>
      </c>
      <c r="CX177" s="209">
        <f>IF(CX$3=$K177,IF($C177="W",1,IF($C177="1/2W",0.5,0)),0)</f>
        <v>0</v>
      </c>
      <c r="CY177" s="209">
        <f>IF(CX$3=$K177,IF($C177="L",1,IF($C177="1/2L",0.5,0)),0)</f>
        <v>0</v>
      </c>
      <c r="CZ177" s="209">
        <f>IF(CZ$3=$K177,IF($C177="W",1,IF($C177="1/2W",0.5,0)),0)</f>
        <v>0</v>
      </c>
      <c r="DA177" s="209">
        <f>IF(CZ$3=$K177,IF($C177="L",1,IF($C177="1/2L",0.5,0)),0)</f>
        <v>0</v>
      </c>
      <c r="DB177" s="209">
        <f>IF(DB$3=$K177,IF($C177="W",1,IF($C177="1/2W",0.5,0)),0)</f>
        <v>0</v>
      </c>
      <c r="DC177" s="209">
        <f>IF(DB$3=$K177,IF($C177="L",1,IF($C177="1/2L",0.5,0)),0)</f>
        <v>0</v>
      </c>
      <c r="DD177" s="209">
        <f>IF(DD$3=$K177,IF($C177="W",1,IF($C177="1/2W",0.5,0)),0)</f>
        <v>0</v>
      </c>
      <c r="DE177" s="210">
        <f>IF(DD$3=$K177,IF($C177="L",1,IF($C177="1/2L",0.5,0)),0)</f>
        <v>0</v>
      </c>
      <c r="DF177" s="211">
        <f>IF(AND(L177&lt;DF$3,$C177="W"),1+DF176,DF176)</f>
        <v>8</v>
      </c>
      <c r="DG177" s="198">
        <f>IF(DF177&gt;DF176,L177+DG176,DG176)</f>
        <v>10.598</v>
      </c>
      <c r="DH177" s="209">
        <f>IF(AND(L177&gt;DH$3,$C177="W"),1+DH176,0+DH176)</f>
        <v>2</v>
      </c>
      <c r="DI177" s="198">
        <f>IF(DH177&gt;DH176,L177+DI176,DI176)</f>
        <v>11.58</v>
      </c>
      <c r="DJ177" t="s" s="306">
        <f>IF($D175="","",$D175)</f>
        <v>184</v>
      </c>
      <c r="DK177" s="232"/>
    </row>
    <row r="178" ht="14.55" customHeight="1">
      <c r="A178" s="246">
        <f>$A175+1</f>
        <v>59</v>
      </c>
      <c r="B178" t="s" s="247">
        <f>IF(AND(_xlfn.XLOOKUP(H178,H$87:H92,G$87:G92,0)=G178,_xlfn.XLOOKUP("TempoBet",K178:K180,L178:L180,0)&gt;0),"X",IF(OR(C178="W",C179="W",C180="W",C178="1/2W",C179="1/2W",C180="1/2W",C178="1/2L",C179="1/2L",C180="1/2L"),"OK",IF(OR(C178="L",C179="L",C180="L"),"LOSS",IF(OR(C178="X",C179="X",C180="X"),"Anulado"," "))))</f>
        <v>50</v>
      </c>
      <c r="C178" t="s" s="248">
        <v>51</v>
      </c>
      <c r="D178" t="s" s="303">
        <f>IF(G178="","",$D175)</f>
        <v>184</v>
      </c>
      <c r="E178" t="s" s="250">
        <v>127</v>
      </c>
      <c r="F178" t="s" s="251"/>
      <c r="G178" s="312">
        <v>44944.666666666664</v>
      </c>
      <c r="H178" t="s" s="253">
        <v>199</v>
      </c>
      <c r="I178" t="s" s="254">
        <v>79</v>
      </c>
      <c r="J178" s="293"/>
      <c r="K178" t="s" s="256">
        <v>40</v>
      </c>
      <c r="L178" s="257">
        <v>3.4</v>
      </c>
      <c r="M178" s="258"/>
      <c r="N178" s="259">
        <v>0.1</v>
      </c>
      <c r="O178" s="260">
        <f>IF(OR(AE178="",AE179=""),"",ROUND(IF(L180&gt;0,IF(M178&gt;0,M178,IF(M179&gt;0,ROUND((M179*AE178)/AE179,IF(N178=0,2,IF(N178=0.1,1,0))),ROUND((M180*AE178)/AE180,IF(N178=0,2,IF(N178=0.1,1,0))))),IF(M178&gt;0,M178,ROUND((M179*AE178)/AE179,IF(N178=0,2,IF(N178=0.1,1,0))))),2))</f>
        <v>5.1</v>
      </c>
      <c r="P178" s="261">
        <f>IF(OR(L178="",O178=""),"",IF($C178="1/2W",O178/2+O178/2*L178,IF($C178="1/2L",O178/2,IF(I178="Lay",(O178*(L178/(L178-1))-O178)*(1-_xlfn.XLOOKUP(K178,'Janeiro 2023 - Valor Real'!A3:A15,'Janeiro 2023 - Valor Real'!C3:C15,0))+O178,(O178*L178-O178)*(1-_xlfn.XLOOKUP(K178,'Janeiro 2023 - Valor Real'!A3:A15,'Janeiro 2023 - Valor Real'!C3:C15,0))+O178))))</f>
        <v>17.34</v>
      </c>
      <c r="Q178" s="262">
        <f>IF(K178="","",IF(_xlfn.XLOOKUP(K178,K$87:K92,DJ$87:DJ92,0,,-1)=DJ178,_xlfn.XLOOKUP(K178,K$87:K92,Q$87:Q92,1,,-1)+1,1))</f>
        <v>1</v>
      </c>
      <c r="R178" s="263">
        <f>IF(K178="","",_xlfn.XLOOKUP(K178,K$87:K92,R$87:R92,0,,-1)+IF($C178=" ",1,0))</f>
        <v>0</v>
      </c>
      <c r="S178" s="264">
        <f>IF($B178="Anulado",0,ROUND(IF(OR($B178="LOSS",$B178="OK"),IF(OR($C178="W",$C178="1/2W",$C178="1/2L"),P178-O178,IF($C178="L",-O178,0))+IF(OR($C179="W",$C179="1/2W",$C179="1/2L"),P179-O179,IF($C179="L",-O179,0))+IF(OR($C180="W",$C180="1/2W",$C180="1/2L"),P180-O180,IF($C180="L",-O180,0)),IF(AND(OR($C178="W",$C178="1/2W",$C178="1/2L"),C179="W"),P178+P179-SUM(O178:O180)+_xlfn.XLOOKUP("X",C178:C180,O178:O180,0),IF(AND(C178=TRUE,C180="W"),P178+P180-SUM(O178:O180),IF(AND(C179="W",C180="W"),P179+P180-SUM(O178:O180)+_xlfn.XLOOKUP("X",C178:C180,O178:O180,0),IF(L180&gt;0,IF(OR($C178="W",$C178="1/2W",$C178="1/2L"),P178-SUM(O178:O180)+_xlfn.XLOOKUP("X",C178:C180,O178:O180,0),IF(OR($C178="W",$C178="1/2W",$C178="1/2L"),P179-SUM(O178:O180)+_xlfn.XLOOKUP("X",C178:C180,O178:O180,0),IF(OR($C178="W",$C178="1/2W",$C178="1/2L"),P180-SUM(O178:O180)+_xlfn.XLOOKUP("X",C178:C180,O178:O180,0),IF(SUM(P178:P180)/3-SUM(O178:O180)+_xlfn.XLOOKUP("X",C178:C180,O178:O180,0)&gt;0,SUM(P178:P180)/3-SUM(O178:O180)+_xlfn.XLOOKUP("X",C178:C180,O178:O180,0),LARGE(P178:P180,1)-SUM(O178:O180))))),IF(OR($C178="W",$C178="1/2W",$C178="1/2L"),P178-SUM(O178:O179)+_xlfn.XLOOKUP("X",C178:C180,O178:O180,0),IF(OR($C178="W",$C178="1/2W",$C178="1/2L"),P179-SUM(O178:O179)+_xlfn.XLOOKUP("X",C178:C180,O178:O180,0),SUM(P178:P179)/2-SUM(O178:O179)+_xlfn.XLOOKUP("X",C178:C180,O178:O180,0)))))))),2))</f>
        <v>0.6899999999999999</v>
      </c>
      <c r="T178" s="265">
        <f>IF(S178=0,0,S178/SUM(O178:O180))</f>
        <v>0.0413669064748201</v>
      </c>
      <c r="U178" s="266">
        <f>IF($D178=$D175,IF(OR($B178="LOSS",$B178="OK",$B178="Anulada"),S178,0)+U175,IF(OR($B178="LOSS",$B178="OK",$B178="Anulada"),S178,0))</f>
        <v>32</v>
      </c>
      <c r="V178" s="266">
        <f>IF($D178="",0,IF($D178=$D175,IF($B178=" ",IF(I180="",IF(OR(AND(I178="DNB1",I179="DNB2"),AND(OR(I178="DNB1",I178="DNB2"),J179=0),AND(OR(I179="DNB1",I179="DNB2"),J178=0),AND(I178="DNB2",I179="DNB1"),AND(IF(J178=0,(J178+1)/ROUND(J178+1,0),J178/ROUND(J178,0))=1,IF(J179=0,(J179+1)/ROUND(IF(J179="",0,J179)+1,0),IF(J179="",0,J179)/ROUND(IF(J179="",1,J179),0))=1,OR(J178&lt;&gt;""),J179&lt;&gt;"")),0,IF(S178&lt;0,IF(I180="",SMALL(P178:P179,1)-SUM(O178:O179),0),SMALL(P178:P179,1)-SUM(O178:O179))),IF(S178&lt;0,IF(I180="",SMALL(P178:P180,1)-SUM(O178:O180),0),LARGE(P178:P180,1)-SUM(O178:O180))),S178)+V175,IF(I180="",IF(OR(AND(I178="DNB1",I179="DNB2"),AND(OR(I178="DNB1",I178="DNB2"),J179=0),AND(OR(I179="DNB1",I179="DNB2"),J178=0),AND(I178="DNB2",I179="DNB1"),AND(IF(J178=0,(J178+1)/ROUND(J178+1,0),J178/ROUND(J178,0))=1,IF(J179=0,(IF(J179="",0,J179)+1)/ROUND(IF(J179="",0,J179)+1,0),IF(J179="",0,J179)/ROUND(IF(J179="",0,J179)+1,0))=1,OR(J178&lt;&gt;""),J179&lt;&gt;"")),0,IF(S178&lt;0,IF(I180="",SMALL(P178:P179,1)-SUM(O178:O179),0),SMALL(P178:P180,1)-SUM(O178:O180))),IF(S178&lt;0,IF(I180="",SMALL(P178:P180,1)-SUM(O178:O180),0),LARGE(P178:P180,1)-SUM(O178:O180)))))</f>
        <v>31.9975</v>
      </c>
      <c r="W178" s="266">
        <f>IF($D178=$D175,IF(S178&lt;0,IF(I180="",S178,0),S178)+W175,S178)</f>
        <v>32</v>
      </c>
      <c r="X178" t="s" s="267">
        <f>IF(OR(SUM(R178:R180)=0,V178=W178),ROUND(IF(W178=0,0,W178/Y178)*100,2)&amp;"%",ROUND(IF(V178=0,0,V178/Y178)*100,2)&amp;"% a "&amp;ROUND(IF(W178=0,0,W178/Y178)*100,2)&amp;"%")</f>
        <v>200</v>
      </c>
      <c r="Y178" s="268">
        <f>IF($D178=$D175,Y175+SUM(O178:O180),SUM(O178:O180))</f>
        <v>429.13</v>
      </c>
      <c r="Z178" s="266">
        <f>IF($B178=" ",SUM(O178:O180),0)+Z175</f>
        <v>0</v>
      </c>
      <c r="AA178" s="266">
        <f>IF(G178="","",IF($B178="Anulado",LARGE(P178:P180,1)-SUM(O178:O180)+AA175,AA175))</f>
        <v>14.1564</v>
      </c>
      <c r="AB178" s="266">
        <f>IF($D178="","",AB175+S178)</f>
        <v>157.11</v>
      </c>
      <c r="AC178" s="269">
        <f>IF($D178="","",IF($B178=" ",IF(DAY(G178)=DAY(TODAY()),1+AC175,0+AC175),0+AC175))</f>
        <v>0</v>
      </c>
      <c r="AD178" s="270">
        <f>(1-_xlfn.XLOOKUP(K176,'Janeiro 2023 - Valor Real'!A3:A15,'Janeiro 2023 - Valor Real'!C3:C15,0))+1</f>
        <v>1.935</v>
      </c>
      <c r="AE178" s="271">
        <f>IF(L178="","",IF(L180&gt;0,(SUM(((L178-1)*(1-_xlfn.XLOOKUP(K178,'Janeiro 2023 - Valor Real'!A3:A15,'Janeiro 2023 - Valor Real'!C3:C15,0))+1),((L179-1)*(1-_xlfn.XLOOKUP(K179,'Janeiro 2023 - Valor Real'!A3:A15,'Janeiro 2023 - Valor Real'!C3:C15,0))+1),((L180-1)*(1-_xlfn.XLOOKUP(K180,'Janeiro 2023 - Valor Real'!A3:A15,'Janeiro 2023 - Valor Real'!C3:C15,0))+1))/((L178-1)*(1-_xlfn.XLOOKUP(K178,'Janeiro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Real'!C3:C15,0))+1))/((L178-1)*(1-_xlfn.XLOOKUP(K178,'Janeiro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Real'!C3:C15,0))+1))/((L179-1)*(1-_xlfn.XLOOKUP(K179,'Janeiro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Real'!C3:C15,0))+1))/((L180-1)*(1-_xlfn.XLOOKUP(K180,'Janeiro 2023 - Valor Real'!A3:A15,'Janeiro 2023 - Valor Real'!C3:C15,0))+1)),IF(I178="Lay",IF(I179="Lay",((L179/(L179-1)-1)*(1-_xlfn.XLOOKUP(K179,'Janeiro 2023 - Valor Real'!A3:A15,'Janeiro 2023 - Valor Real'!C3:C15,0))+1)/(((L179/(L179-1)-1)*(1-_xlfn.XLOOKUP(K179,'Janeiro 2023 - Valor Real'!A3:A15,'Janeiro 2023 - Valor Real'!C3:C15,0))+1)+((L178/(L178-1)-1)*(1-_xlfn.XLOOKUP(K178,'Janeiro 2023 - Valor Real'!A3:A15,'Janeiro 2023 - Valor Real'!C3:C15,0))+1)),((L179-1)*(1-_xlfn.XLOOKUP(K179,'Janeiro 2023 - Valor Real'!A3:A15,'Janeiro 2023 - Valor Real'!C3:C15,0))+1)/(((L179-1)*(1-_xlfn.XLOOKUP(K179,'Janeiro 2023 - Valor Real'!A3:A15,'Janeiro 2023 - Valor Real'!C3:C15,0))+1)+((L178/(L178-1)-1)*(1-_xlfn.XLOOKUP(K178,'Janeiro 2023 - Valor Real'!A3:A15,'Janeiro 2023 - Valor Real'!C3:C15,0))+1))),IF(I179="Lay",(((L179/(L179-1)-1)*(1-_xlfn.XLOOKUP(K179,'Janeiro 2023 - Valor Real'!A3:A15,'Janeiro 2023 - Valor Real'!C3:C15,0))+1))/(((L178-1)*(1-_xlfn.XLOOKUP(K178,'Janeiro 2023 - Valor Real'!A3:A15,'Janeiro 2023 - Valor Real'!C3:C15,0))+1)+((L179/(L179-1)-1)*(1-_xlfn.XLOOKUP(K179,'Janeiro 2023 - Valor Real'!A3:A15,'Janeiro 2023 - Valor Real'!C3:C15,0))+1)),((L179-1)*(1-_xlfn.XLOOKUP(K179,'Janeiro 2023 - Valor Real'!A3:A15,'Janeiro 2023 - Valor Real'!C3:C15,0))+1)/(((L179-1)*(1-_xlfn.XLOOKUP(K179,'Janeiro 2023 - Valor Real'!A3:A15,'Janeiro 2023 - Valor Real'!C3:C15,0))+1)+((L178-1)*(1-_xlfn.XLOOKUP(K178,'Janeiro 2023 - Valor Real'!A3:A15,'Janeiro 2023 - Valor Real'!C3:C15,0))+1))))))</f>
        <v>0.306122448979592</v>
      </c>
      <c r="AF178" s="132">
        <f>IF($K178=AF$3,ROUND(IF(OR($C178="W",$C178="1/2W",$C178="1/2L"),$P178-$O178,IF($C178="X",0,-$O178)),2),0)</f>
        <v>0</v>
      </c>
      <c r="AG178" s="133">
        <f>IF($K178=AG$3,ROUND(IF(OR($C178="W",$C178="1/2W",$C178="1/2L"),$P178-$O178,IF($C178="X",0,-$O178)),2),0)</f>
        <v>0</v>
      </c>
      <c r="AH178" s="133">
        <f>IF($K178=AH$3,ROUND(IF(OR($C178="W",$C178="1/2W",$C178="1/2L"),$P178-$O178,IF($C178="X",0,-$O178)),2),0)</f>
        <v>0</v>
      </c>
      <c r="AI178" s="133">
        <f>IF($K178=AI$3,ROUND(IF(OR($C178="W",$C178="1/2W",$C178="1/2L"),$P178-$O178,IF($C178="X",0,-$O178)),2),0)</f>
        <v>-5.1</v>
      </c>
      <c r="AJ178" s="133">
        <f>IF($K178=AJ$3,ROUND(IF(OR($C178="W",$C178="1/2W",$C178="1/2L"),$P178-$O178,IF($C178="X",0,-$O178)),2),0)</f>
        <v>0</v>
      </c>
      <c r="AK178" s="133">
        <f>IF($K178=AK$3,ROUND(IF(OR($C178="W",$C178="1/2W",$C178="1/2L"),$P178-$O178,IF($C178="X",0,-$O178)),2),0)</f>
        <v>0</v>
      </c>
      <c r="AL178" s="133">
        <f>IF($K178=AL$3,ROUND(IF(OR($C178="W",$C178="1/2W",$C178="1/2L"),$P178-$O178,IF($C178="X",0,-$O178)),2),0)</f>
        <v>0</v>
      </c>
      <c r="AM178" s="133">
        <f>IF($K178=AM$3,ROUND(IF(OR($C178="W",$C178="1/2W",$C178="1/2L"),$P178-$O178,IF($C178="X",0,-$O178)),2),0)</f>
        <v>0</v>
      </c>
      <c r="AN178" s="133">
        <f>IF($K178=AN$3,ROUND(IF(OR($C178="W",$C178="1/2W",$C178="1/2L"),$P178-$O178,IF($C178="X",0,-$O178)),2),0)</f>
        <v>0</v>
      </c>
      <c r="AO178" s="133">
        <f>IF($K178=AO$3,ROUND(IF(OR($C178="W",$C178="1/2W",$C178="1/2L"),$P178-$O178,IF($C178="X",0,-$O178)),2),0)</f>
        <v>0</v>
      </c>
      <c r="AP178" s="133">
        <f>IF($K178=AP$3,ROUND(IF(OR($C178="W",$C178="1/2W",$C178="1/2L"),$P178-$O178,IF($C178="X",0,-$O178)),2),0)</f>
        <v>0</v>
      </c>
      <c r="AQ178" s="133">
        <f>IF($K178=AQ$3,ROUND(IF(OR($C178="W",$C178="1/2W",$C178="1/2L"),$P178-$O178,IF($C178="X",0,-$O178)),2),0)</f>
        <v>0</v>
      </c>
      <c r="AR178" s="134">
        <f>IF($K178=AR$3,ROUND(IF(OR($C178="W",$C178="1/2W",$C178="1/2L"),$P178-$O178,IF($C178="X",0,-$O178)),2),0)</f>
        <v>0</v>
      </c>
      <c r="AS178" s="132">
        <f>IF(AND($B178=" ",$K178=AS$3),$O178,0)</f>
        <v>0</v>
      </c>
      <c r="AT178" s="133">
        <f>IF(AND($B178=" ",$K178=AT$3),$O178,0)</f>
        <v>0</v>
      </c>
      <c r="AU178" s="133">
        <f>IF(AND($B178=" ",$K178=AU$3),$O178,0)</f>
        <v>0</v>
      </c>
      <c r="AV178" s="133">
        <f>IF(AND($B178=" ",$K178=AV$3),$O178,0)</f>
        <v>0</v>
      </c>
      <c r="AW178" s="133">
        <f>IF(AND($B178=" ",$K178=AW$3),$O178,0)</f>
        <v>0</v>
      </c>
      <c r="AX178" s="133">
        <f>IF(AND($B178=" ",$K178=AX$3),$O178,0)</f>
        <v>0</v>
      </c>
      <c r="AY178" s="135">
        <f>IF(AND($B178=" ",$K178=AY$3),$O178,0)</f>
        <v>0</v>
      </c>
      <c r="AZ178" s="136">
        <f>IF(AND($B178=" ",$K178=AZ$3),$O178,0)</f>
        <v>0</v>
      </c>
      <c r="BA178" s="136">
        <f>IF(AND($B178=" ",$K178=BA$3),$O178,0)</f>
        <v>0</v>
      </c>
      <c r="BB178" s="136">
        <f>IF(AND($B178=" ",$K178=BB$3),$O178,0)</f>
        <v>0</v>
      </c>
      <c r="BC178" s="137">
        <f>IF(AND($B178=" ",$K178=BC$3),$O178,0)</f>
        <v>0</v>
      </c>
      <c r="BD178" s="133">
        <f>IF(AND($B178=" ",$K178=BD$3),$O178,0)</f>
        <v>0</v>
      </c>
      <c r="BE178" s="134">
        <f>IF(AND($B178=" ",$K178=BE$3),$O178,0)</f>
        <v>0</v>
      </c>
      <c r="BF178" s="132">
        <f>IF($K178=BF$3,IF($C178="X",0,$O178),0)</f>
        <v>0</v>
      </c>
      <c r="BG178" s="133">
        <f>IF($K178=BG$3,IF($C178="X",0,$O178),0)</f>
        <v>0</v>
      </c>
      <c r="BH178" s="133">
        <f>IF($K178=BH$3,IF($C178="X",0,$O178),0)</f>
        <v>0</v>
      </c>
      <c r="BI178" s="133">
        <f>IF($K178=BI$3,IF($C178="X",0,$O178),0)</f>
        <v>5.1</v>
      </c>
      <c r="BJ178" s="133">
        <f>IF($K178=BJ$3,IF($C178="X",0,$O178),0)</f>
        <v>0</v>
      </c>
      <c r="BK178" s="133">
        <f>IF($K178=BK$3,IF($C178="X",0,$O178),0)</f>
        <v>0</v>
      </c>
      <c r="BL178" s="133">
        <f>IF($K178=BL$3,IF($C178="X",0,$O178),0)</f>
        <v>0</v>
      </c>
      <c r="BM178" s="135">
        <f>IF($K178=BM$3,IF($C178="X",0,$O178),0)</f>
        <v>0</v>
      </c>
      <c r="BN178" s="136">
        <f>IF($K178=BN$3,IF($C178="X",0,$O178),0)</f>
        <v>0</v>
      </c>
      <c r="BO178" s="136">
        <f>IF($K178=BO$3,IF($C178="X",0,$O178),0)</f>
        <v>0</v>
      </c>
      <c r="BP178" s="136">
        <f>IF($K178=BP$3,IF($C178="X",0,$O178),0)</f>
        <v>0</v>
      </c>
      <c r="BQ178" s="137">
        <f>IF($K178=BQ$3,IF($C178="X",0,$O178),0)</f>
        <v>0</v>
      </c>
      <c r="BR178" s="134">
        <f>IF($K178=BR$3,IF($C178="X",0,$O178),0)</f>
        <v>0</v>
      </c>
      <c r="BS178" s="170">
        <f>IF($B178="LOSS",IF(AND($K178=BS$3,$C178="L"),-$O178,0)+IF(AND($K179=BS$3,$C179="L"),-$O179,0)+IF(AND($K180=BS$3,$C180="L"),-$O180,0),IF(OR(AND($K178=BS$3,OR($C178="W",$C178="1/2W")),AND($K179=BS$3,OR($C179="W",$C179="1/2W")),AND($K180=BS$3,OR($C180="W",$C180="1/2W"))),$S178,0))</f>
        <v>0</v>
      </c>
      <c r="BT178" s="272">
        <f>IF($B178="LOSS",IF(AND($K178=BT$3,$C178="L"),-$O178,0)+IF(AND($K179=BT$3,$C179="L"),-$O179,0)+IF(AND($K179=BT$3,$C180="L"),-$O180,0),IF(OR(AND($K179=BT$3,OR($C178="W",$C178="1/2W")),AND($K179=BT$3,OR($C179="W",$C179="1/2W")),AND($K179=BT$3,OR($C180="W",$C180="1/2W"))),$S178,0))</f>
        <v>0.6899999999999999</v>
      </c>
      <c r="BU178" s="136">
        <f>IF($B178="LOSS",IF(AND($K178=BU$3,$C178="L"),-$O178,0)+IF(AND($K179=BU$3,$C179="L"),-$O179,0)+IF(AND($K179=BU$3,$C180="L"),-$O180,0),IF(OR(AND($K179=BU$3,OR($C178="W",$C178="1/2W")),AND($K179=BU$3,OR($C179="W",$C179="1/2W")),AND($K179=BU$3,OR($C180="W",$C180="1/2W"))),$S178,0))</f>
        <v>0</v>
      </c>
      <c r="BV178" s="136">
        <f>IF($B178="LOSS",IF(AND($K178=BV$3,$C178="L"),-$O178,0)+IF(AND($K179=BV$3,$C179="L"),-$O179,0)+IF(AND($K180=BV$3,$C180="L"),-$O180,0),IF(OR(AND($K178=BV$3,OR($C178="W",$C178="1/2W")),AND($K179=BV$3,OR($C179="W",$C179="1/2W")),AND($K180=BV$3,OR($C180="W",$C180="1/2W"))),$S178,0))</f>
        <v>0</v>
      </c>
      <c r="BW178" s="136">
        <f>IF($B178="LOSS",IF(AND($K178=BW$3,$C178="L"),-$O178,0)+IF(AND($K179=BW$3,$C179="L"),-$O179,0)+IF(AND($K180=BW$3,$C180="L"),-$O180,0),IF(OR(AND($K178=BW$3,OR($C178="W",$C178="1/2W")),AND($K179=BW$3,OR($C179="W",$C179="1/2W")),AND($K180=BW$3,OR($C180="W",$C180="1/2W"))),$S178,0))</f>
        <v>0</v>
      </c>
      <c r="BX178" s="136">
        <f>IF($B178="LOSS",IF(AND($K178=BX$3,$C178="L"),-$O178,0)+IF(AND($K179=BX$3,$C179="L"),-$O179,0)+IF(AND($K180=BX$3,$C180="L"),-$O180,0),IF(OR(AND($K178=BX$3,OR($C178="W",$C178="1/2W")),AND($K179=BX$3,OR($C179="W",$C179="1/2W")),AND($K180=BX$3,OR($C180="W",$C180="1/2W"))),$S178,0))</f>
        <v>0</v>
      </c>
      <c r="BY178" s="136">
        <f>IF($B178="LOSS",IF(AND($K178=BY$3,$C178="L"),-$O178,0)+IF(AND($K179=BY$3,$C179="L"),-$O179,0)+IF(AND($K180=BY$3,$C180="L"),-$O180,0),IF(OR(AND($K178=BY$3,OR($C178="W",$C178="1/2W")),AND($K179=BY$3,OR($C179="W",$C179="1/2W")),AND($K180=BY$3,OR($C180="W",$C180="1/2W"))),$S178,0))</f>
        <v>0</v>
      </c>
      <c r="BZ178" s="136">
        <f>IF($B178="LOSS",IF(AND($K178=BZ$3,$C178="L"),-$O178,0)+IF(AND($K179=BZ$3,$C179="L"),-$O179,0)+IF(AND($K180=BZ$3,$C180="L"),-$O180,0),IF(OR(AND($K178=BZ$3,OR($C178="W",$C178="1/2W")),AND($K179=BZ$3,OR($C179="W",$C179="1/2W")),AND($K180=BZ$3,OR($C180="W",$C180="1/2W"))),$S178,0))</f>
        <v>0</v>
      </c>
      <c r="CA178" s="136">
        <f>IF($B178="LOSS",IF(AND($K178=CA$3,$C178="L"),-$O178,0)+IF(AND($K179=CA$3,$C179="L"),-$O179,0)+IF(AND($K180=CA$3,$C180="L"),-$O180,0),IF(OR(AND($K178=CA$3,OR($C178="W",$C178="1/2W")),AND($K179=CA$3,OR($C179="W",$C179="1/2W")),AND($K180=CA$3,OR($C180="W",$C180="1/2W"))),$S178,0))</f>
        <v>0</v>
      </c>
      <c r="CB178" s="136">
        <f>IF($B178="LOSS",IF(AND($K178=CB$3,$C178="L"),-$O178,0)+IF(AND($K179=CB$3,$C179="L"),-$O179,0)+IF(AND($K180=CB$3,$C180="L"),-$O180,0),IF(OR(AND($K178=CB$3,OR($C178="W",$C178="1/2W")),AND($K179=CB$3,OR($C179="W",$C179="1/2W")),AND($K180=CB$3,OR($C180="W",$C180="1/2W"))),$S178,0))</f>
        <v>0</v>
      </c>
      <c r="CC178" s="136">
        <f>IF($B178="LOSS",IF(AND($K178=CC$3,$C178="L"),-$O178,0)+IF(AND($K179=CC$3,$C179="L"),-$O179,0)+IF(AND($K180=CC$3,$C180="L"),-$O180,0),IF(OR(AND($K178=CC$3,OR($C178="W",$C178="1/2W")),AND($K179=CC$3,OR($C179="W",$C179="1/2W")),AND($K180=CC$3,OR($C180="W",$C180="1/2W"))),$S178,0))</f>
        <v>0</v>
      </c>
      <c r="CD178" s="137">
        <f>IF($B178="LOSS",IF(AND($K178=CD$3,$C178="L"),-$O178,0)+IF(AND($K179=CD$3,$C179="L"),-$O179,0)+IF(AND($K180=CD$3,$C180="L"),-$O180,0),IF(OR(AND($K178=CD$3,OR($C178="W",$C178="1/2W")),AND($K179=CD$3,OR($C179="W",$C179="1/2W")),AND($K180=CD$3,OR($C180="W",$C180="1/2W"))),$S178,0))</f>
        <v>0</v>
      </c>
      <c r="CE178" s="134">
        <f>IF($B178="LOSS",IF(AND($K178=CE$3,$C178="L"),-$O178,0)+IF(AND($K179=CE$3,$C179="L"),-$O179,0)+IF(AND($K180=CE$3,$C180="L"),-$O180,0),IF(OR(AND($K178=CE$3,OR($C178="W",$C178="1/2W")),AND($K179=CE$3,OR($C179="W",$C179="1/2W")),AND($K180=CE$3,OR($C180="W",$C180="1/2W"))),$S178,0))</f>
        <v>0</v>
      </c>
      <c r="CF178" s="273">
        <f>IF(CF$3=$K178,IF($C178="W",1,IF($C178="1/2W",0.5,0)),0)</f>
        <v>0</v>
      </c>
      <c r="CG178" s="274">
        <f>IF(CF$3=$K178,IF($C178="L",1,IF($C178="1/2L",0.5,0)),0)</f>
        <v>0</v>
      </c>
      <c r="CH178" s="274">
        <f>IF(CH$3=$K178,IF($C178="W",1,IF($C178="1/2W",0.5,0)),0)</f>
        <v>0</v>
      </c>
      <c r="CI178" s="274">
        <f>IF(CH$3=$K178,IF($C178="L",1,IF($C178="1/2L",0.5,0)),0)</f>
        <v>0</v>
      </c>
      <c r="CJ178" s="274">
        <f>IF(CJ$3=$K178,IF($C178="W",1,IF($C178="1/2W",0.5,0)),0)</f>
        <v>0</v>
      </c>
      <c r="CK178" s="274">
        <f>IF(CJ$3=$K178,IF($C178="L",1,IF($C178="1/2L",0.5,0)),0)</f>
        <v>0</v>
      </c>
      <c r="CL178" s="274">
        <f>IF(CL$3=$K178,IF($C178="W",1,IF($C178="1/2W",0.5,0)),0)</f>
        <v>0</v>
      </c>
      <c r="CM178" s="274">
        <f>IF(CL$3=$K178,IF($C178="L",1,IF($C178="1/2L",0.5,0)),0)</f>
        <v>1</v>
      </c>
      <c r="CN178" s="274">
        <f>IF(CN$3=$K178,IF($C178="W",1,IF($C178="1/2W",0.5,0)),0)</f>
        <v>0</v>
      </c>
      <c r="CO178" s="274">
        <f>IF(CN$3=$K178,IF($C178="L",1,IF($C178="1/2L",0.5,0)),0)</f>
        <v>0</v>
      </c>
      <c r="CP178" s="274">
        <f>IF(CP$3=$K178,IF($C178="W",1,IF($C178="1/2W",0.5,0)),0)</f>
        <v>0</v>
      </c>
      <c r="CQ178" s="274">
        <f>IF(CP$3=$K178,IF($C178="L",1,IF($C178="1/2L",0.5,0)),0)</f>
        <v>0</v>
      </c>
      <c r="CR178" s="274">
        <f>IF(CR$3=$K178,IF($C178="W",1,IF($C178="1/2W",0.5,0)),0)</f>
        <v>0</v>
      </c>
      <c r="CS178" s="274">
        <f>IF(CR$3=$K178,IF($C178="L",1,IF($C178="1/2L",0.5,0)),0)</f>
        <v>0</v>
      </c>
      <c r="CT178" s="145">
        <f>IF(CT$3=$K178,IF($C178="W",1,IF($C178="1/2W",0.5,0)),0)</f>
        <v>0</v>
      </c>
      <c r="CU178" s="146">
        <f>IF(CT$3=$K178,IF($C178="L",1,IF($C178="1/2L",0.5,0)),0)</f>
        <v>0</v>
      </c>
      <c r="CV178" s="146">
        <f>IF(CV$3=$K178,IF($C178="W",1,IF($C178="1/2W",0.5,0)),0)</f>
        <v>0</v>
      </c>
      <c r="CW178" s="146">
        <f>IF(CV$3=$K178,IF($C178="L",1,IF($C178="1/2L",0.5,0)),0)</f>
        <v>0</v>
      </c>
      <c r="CX178" s="146">
        <f>IF(CX$3=$K178,IF($C178="W",1,IF($C178="1/2W",0.5,0)),0)</f>
        <v>0</v>
      </c>
      <c r="CY178" s="146">
        <f>IF(CX$3=$K178,IF($C178="L",1,IF($C178="1/2L",0.5,0)),0)</f>
        <v>0</v>
      </c>
      <c r="CZ178" s="146">
        <f>IF(CZ$3=$K178,IF($C178="W",1,IF($C178="1/2W",0.5,0)),0)</f>
        <v>0</v>
      </c>
      <c r="DA178" s="146">
        <f>IF(CZ$3=$K178,IF($C178="L",1,IF($C178="1/2L",0.5,0)),0)</f>
        <v>0</v>
      </c>
      <c r="DB178" s="146">
        <f>IF(DB$3=$K178,IF($C178="W",1,IF($C178="1/2W",0.5,0)),0)</f>
        <v>0</v>
      </c>
      <c r="DC178" s="146">
        <f>IF(DB$3=$K178,IF($C178="L",1,IF($C178="1/2L",0.5,0)),0)</f>
        <v>0</v>
      </c>
      <c r="DD178" s="146">
        <f>IF(DD$3=$K178,IF($C178="W",1,IF($C178="1/2W",0.5,0)),0)</f>
        <v>0</v>
      </c>
      <c r="DE178" s="147">
        <f>IF(DD$3=$K178,IF($C178="L",1,IF($C178="1/2L",0.5,0)),0)</f>
        <v>0</v>
      </c>
      <c r="DF178" s="143">
        <f>IF(AND(L178&lt;DF$3,$C178="W"),1+DF177,DF177)</f>
        <v>8</v>
      </c>
      <c r="DG178" s="133">
        <f>IF(DF178&gt;DF177,L178+DG177,DG177)</f>
        <v>10.598</v>
      </c>
      <c r="DH178" s="146">
        <f>IF(AND(L178&gt;DH$3,$C178="W"),1+DH177,0+DH177)</f>
        <v>2</v>
      </c>
      <c r="DI178" s="133">
        <f>IF(DH178&gt;DH177,L178+DI177,DI177)</f>
        <v>11.58</v>
      </c>
      <c r="DJ178" t="s" s="304">
        <f>IF($D178="","",$D178)</f>
        <v>184</v>
      </c>
      <c r="DK178" s="146">
        <f>IF(AND($B178=" ",$D178&lt;&gt;""),1,0)</f>
        <v>0</v>
      </c>
    </row>
    <row r="179" ht="14.55" customHeight="1">
      <c r="A179" s="107"/>
      <c r="B179" s="108"/>
      <c r="C179" t="s" s="109">
        <v>56</v>
      </c>
      <c r="D179" s="110"/>
      <c r="E179" s="111"/>
      <c r="F179" s="113"/>
      <c r="G179" s="252"/>
      <c r="H179" s="114"/>
      <c r="I179" t="s" s="275">
        <v>81</v>
      </c>
      <c r="J179" t="s" s="295">
        <f>IF(OR(I178="TO",I178="TU",I178="TO1",I178="TU1",I178="TO2",I178="TU2"),J178,IF(OR(I178="AH1",I178="AH2"),IF(OR(I179="AH1",I179="AH2"),-J178,IF(OR(I179="EH1",I179="EH2"),-J178+0.5,"")),IF(OR(I178="EH1",I178="EH2"),IF(OR(I179="AH1",I179="AH2"),-J178+0.5,IF(OR(I179="EH1",I179="EH2"),-J178+1,"")),IF(AND(OR(I178="DNB1",I178="DNB2"),OR(I179="AH1",I179="AH2")),0,IF(AND(I178="Not ScoreBoth",OR(I179="TO1",I179="TO2")),0.5,"")))))</f>
      </c>
      <c r="K179" t="s" s="117">
        <v>38</v>
      </c>
      <c r="L179" s="277">
        <v>1.5</v>
      </c>
      <c r="M179" s="278">
        <v>11.58</v>
      </c>
      <c r="N179" s="120"/>
      <c r="O179" s="121">
        <f>IF(OR(AE178="",AE179=""),"",ROUND(IF(L180&gt;0,IF(M179&gt;0,M179,IF(M178&gt;0,IF(N178=TRUE,ROUND((M178*AE179)/AE178,0),(M178*AE179)/AE178),IF(M179&gt;0,ROUND(M179,IF(N178=0,2,IF(N178=0.1,1,0))),IF(M180&gt;0,ROUND(O180*AE179/AE180,IF(N178=0,2,IF(N178=0.1,1,0))),0)))),IF(M179&gt;0,M179,ROUND((M178*AE179)/AE178,IF(N178=0,2,IF(N178=0.1,1,0))))),2))</f>
        <v>11.58</v>
      </c>
      <c r="P179" s="122">
        <f>IF(OR(L179="",O179=""),"",IF($C179="1/2W",O179/2+O179/2*L179,IF($C179="1/2L",O179/2,IF(I179="Lay",((O179*(L179/(L179-1)))-O179)*(1-_xlfn.XLOOKUP(K179,'Janeiro 2023 - Valor Real'!A3:A15,'Janeiro 2023 - Valor Real'!C3:C15,0))+O179,(O179*L179-O179)*(1-_xlfn.XLOOKUP(K179,'Janeiro 2023 - Valor Real'!A3:A15,'Janeiro 2023 - Valor Real'!C3:C15,0))+O179))))</f>
        <v>17.37</v>
      </c>
      <c r="Q179" s="279">
        <f>IF(K179="","",IF(_xlfn.XLOOKUP(K179,K$88:K92,DJ$88:DJ92,0,,-1)=DJ179,_xlfn.XLOOKUP(K179,K$88:K92,Q$88:Q92,1,,-1)+1,1))</f>
        <v>1</v>
      </c>
      <c r="R179" s="280">
        <f>IF(K179="","",_xlfn.XLOOKUP(K179,K$88:K92,R$88:R92,0,,-1)+IF($C179=" ",1,0))</f>
        <v>0</v>
      </c>
      <c r="S179" s="125"/>
      <c r="T179" s="126"/>
      <c r="U179" s="126"/>
      <c r="V179" s="224"/>
      <c r="W179" s="126"/>
      <c r="X179" s="127"/>
      <c r="Y179" s="128"/>
      <c r="Z179" s="129"/>
      <c r="AA179" s="129"/>
      <c r="AB179" s="129"/>
      <c r="AC179" s="129"/>
      <c r="AD179" s="130"/>
      <c r="AE179" s="131">
        <f>IF(L179="","",IF(L180&gt;0,(SUM(((L178-1)*(1-_xlfn.XLOOKUP(K178,'Janeiro 2023 - Valor Real'!A3:A15,'Janeiro 2023 - Valor Real'!C3:C15,0))+1),((L179-1)*(1-_xlfn.XLOOKUP(K179,'Janeiro 2023 - Valor Real'!A3:A15,'Janeiro 2023 - Valor Real'!C3:C15,0))+1),((L180-1)*(1-_xlfn.XLOOKUP(K180,'Janeiro 2023 - Valor Real'!A3:A15,'Janeiro 2023 - Valor Real'!C3:C15,0))+1))/((L179-1)*(1-_xlfn.XLOOKUP(K179,'Janeiro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Real'!C3:C15,0))+1))/((L178-1)*(1-_xlfn.XLOOKUP(K178,'Janeiro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Real'!C3:C15,0))+1))/((L179-1)*(1-_xlfn.XLOOKUP(K179,'Janeiro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Real'!C3:C15,0))+1))/((L180-1)*(1-_xlfn.XLOOKUP(K180,'Janeiro 2023 - Valor Real'!A3:A15,'Janeiro 2023 - Valor Real'!C3:C15,0))+1)),IF(I179="Lay",IF(I178="Lay",((L178/(L178-1)-1)*(1-_xlfn.XLOOKUP(K178,'Janeiro 2023 - Valor Real'!A3:A15,'Janeiro 2023 - Valor Real'!C3:C15,0))+1)/(((L178/(L178-1)-1)*(1-_xlfn.XLOOKUP(K178,'Janeiro 2023 - Valor Real'!A3:A15,'Janeiro 2023 - Valor Real'!C3:C15,0))+1)+((L179/(L179-1)-1)*(1-_xlfn.XLOOKUP(K179,'Janeiro 2023 - Valor Real'!A3:A15,'Janeiro 2023 - Valor Real'!C3:C15,0))+1)),((L178-1)*(1-_xlfn.XLOOKUP(K178,'Janeiro 2023 - Valor Real'!A3:A15,'Janeiro 2023 - Valor Real'!C3:C15,0))+1)/(((L178-1)*(1-_xlfn.XLOOKUP(K178,'Janeiro 2023 - Valor Real'!A3:A15,'Janeiro 2023 - Valor Real'!C3:C15,0))+1)+((L179/(L179-1)-1)*(1-_xlfn.XLOOKUP(K179,'Janeiro 2023 - Valor Real'!A3:A15,'Janeiro 2023 - Valor Real'!C3:C15,0))+1))),IF(I178="Lay",((L178/(L178-1)-1)*(1-_xlfn.XLOOKUP(K178,'Janeiro 2023 - Valor Real'!A3:A15,'Janeiro 2023 - Valor Real'!C3:C15,0))+1)/((((L178/(L178-1)-1)*(1-_xlfn.XLOOKUP(K178,'Janeiro 2023 - Valor Real'!A3:A15,'Janeiro 2023 - Valor Real'!C3:C15,0))+1))+((L179-1)*(1-_xlfn.XLOOKUP(K179,'Janeiro 2023 - Valor Real'!A3:A15,'Janeiro 2023 - Valor Real'!C3:C15,0))+1)),((L178-1)*(1-_xlfn.XLOOKUP(K178,'Janeiro 2023 - Valor Real'!A3:A15,'Janeiro 2023 - Valor Real'!C3:C15,0))+1)/(((L178-1)*(1-_xlfn.XLOOKUP(K178,'Janeiro 2023 - Valor Real'!A3:A15,'Janeiro 2023 - Valor Real'!C3:C15,0))+1)+((L179-1)*(1-_xlfn.XLOOKUP(K179,'Janeiro 2023 - Valor Real'!A3:A15,'Janeiro 2023 - Valor Real'!C3:C15,0))+1))))))</f>
        <v>0.693877551020408</v>
      </c>
      <c r="AF179" s="132">
        <f>IF($K179=AF$3,ROUND(IF(OR($C179="W",$C179="1/2W",$C179="1/2L"),$P179-$O179,IF($C179="X",0,-$O179)),2),0)</f>
        <v>0</v>
      </c>
      <c r="AG179" s="133">
        <f>IF($K179=AG$3,ROUND(IF(OR($C179="W",$C179="1/2W",$C179="1/2L"),$P179-$O179,IF($C179="X",0,-$O179)),2),0)</f>
        <v>5.79</v>
      </c>
      <c r="AH179" s="133">
        <f>IF($K179=AH$3,ROUND(IF(OR($C179="W",$C179="1/2W",$C179="1/2L"),$P179-$O179,IF($C179="X",0,-$O179)),2),0)</f>
        <v>0</v>
      </c>
      <c r="AI179" s="133">
        <f>IF($K179=AI$3,ROUND(IF(OR($C179="W",$C179="1/2W",$C179="1/2L"),$P179-$O179,IF($C179="X",0,-$O179)),2),0)</f>
        <v>0</v>
      </c>
      <c r="AJ179" s="133">
        <f>IF($K179=AJ$3,ROUND(IF(OR($C179="W",$C179="1/2W",$C179="1/2L"),$P179-$O179,IF($C179="X",0,-$O179)),2),0)</f>
        <v>0</v>
      </c>
      <c r="AK179" s="133">
        <f>IF($K179=AK$3,ROUND(IF(OR($C179="W",$C179="1/2W",$C179="1/2L"),$P179-$O179,IF($C179="X",0,-$O179)),2),0)</f>
        <v>0</v>
      </c>
      <c r="AL179" s="133">
        <f>IF($K179=AL$3,ROUND(IF(OR($C179="W",$C179="1/2W",$C179="1/2L"),$P179-$O179,IF($C179="X",0,-$O179)),2),0)</f>
        <v>0</v>
      </c>
      <c r="AM179" s="133">
        <f>IF($K179=AM$3,ROUND(IF(OR($C179="W",$C179="1/2W",$C179="1/2L"),$P179-$O179,IF($C179="X",0,-$O179)),2),0)</f>
        <v>0</v>
      </c>
      <c r="AN179" s="133">
        <f>IF($K179=AN$3,ROUND(IF(OR($C179="W",$C179="1/2W",$C179="1/2L"),$P179-$O179,IF($C179="X",0,-$O179)),2),0)</f>
        <v>0</v>
      </c>
      <c r="AO179" s="133">
        <f>IF($K179=AO$3,ROUND(IF(OR($C179="W",$C179="1/2W",$C179="1/2L"),$P179-$O179,IF($C179="X",0,-$O179)),2),0)</f>
        <v>0</v>
      </c>
      <c r="AP179" s="133">
        <f>IF($K179=AP$3,ROUND(IF(OR($C179="W",$C179="1/2W",$C179="1/2L"),$P179-$O179,IF($C179="X",0,-$O179)),2),0)</f>
        <v>0</v>
      </c>
      <c r="AQ179" s="133">
        <f>IF($K179=AQ$3,ROUND(IF(OR($C179="W",$C179="1/2W",$C179="1/2L"),$P179-$O179,IF($C179="X",0,-$O179)),2),0)</f>
        <v>0</v>
      </c>
      <c r="AR179" s="134">
        <f>IF($K179=AR$3,ROUND(IF(OR($C179="W",$C179="1/2W",$C179="1/2L"),$P179-$O179,IF($C179="X",0,-$O179)),2),0)</f>
        <v>0</v>
      </c>
      <c r="AS179" s="132">
        <f>IF(AND($B178=" ",$K179=AS$3),$O179,0)</f>
        <v>0</v>
      </c>
      <c r="AT179" s="133">
        <f>IF(AND($B178=" ",K179=AT$3),$O179,0)</f>
        <v>0</v>
      </c>
      <c r="AU179" s="133">
        <f>IF(AND($B178=" ",$K179=AU$3),$O179,0)</f>
        <v>0</v>
      </c>
      <c r="AV179" s="133">
        <f>IF(AND($B178=" ",$K179=AV$3),$O179,0)</f>
        <v>0</v>
      </c>
      <c r="AW179" s="133">
        <f>IF(AND($B178=" ",$K179=AW$3),$O179,0)</f>
        <v>0</v>
      </c>
      <c r="AX179" s="133">
        <f>IF(AND($B178=" ",$K179=AX$3),$O179,0)</f>
        <v>0</v>
      </c>
      <c r="AY179" s="135">
        <f>IF(AND($B178=" ",$K179=AY$3),$O179,0)</f>
        <v>0</v>
      </c>
      <c r="AZ179" s="136">
        <f>IF(AND($B178=" ",$K179=AZ$3),$O179,0)</f>
        <v>0</v>
      </c>
      <c r="BA179" s="136">
        <f>IF(AND($B178=" ",$K179=BA$3),$O179,0)</f>
        <v>0</v>
      </c>
      <c r="BB179" s="136">
        <f>IF(AND($B178=" ",$K179=BB$3),$O179,0)</f>
        <v>0</v>
      </c>
      <c r="BC179" s="137">
        <f>IF(AND($B178=" ",$K179=BC$3),$O179,0)</f>
        <v>0</v>
      </c>
      <c r="BD179" s="133">
        <f>IF(AND($B178=" ",$K179=BD$3),$O179,0)</f>
        <v>0</v>
      </c>
      <c r="BE179" s="134">
        <f>IF(AND($B178=" ",$K179=BE$3),$O179,0)</f>
        <v>0</v>
      </c>
      <c r="BF179" s="132">
        <f>IF($K179=BF$3,IF($C179="X",0,$O179),0)</f>
        <v>0</v>
      </c>
      <c r="BG179" s="281">
        <f>IF($K179=BG$3,IF($C179="X",0,$O179),0)</f>
        <v>11.58</v>
      </c>
      <c r="BH179" s="133">
        <f>IF($K179=BH$3,IF($C179="X",0,$O179),0)</f>
        <v>0</v>
      </c>
      <c r="BI179" s="133">
        <f>IF($K179=BI$3,IF($C179="X",0,$O179),0)</f>
        <v>0</v>
      </c>
      <c r="BJ179" s="133">
        <f>IF($K179=BJ$3,IF($C179="X",0,$O179),0)</f>
        <v>0</v>
      </c>
      <c r="BK179" s="133">
        <f>IF($K179=BK$3,IF($C179="X",0,$O179),0)</f>
        <v>0</v>
      </c>
      <c r="BL179" s="133">
        <f>IF($K179=BL$3,IF($C179="X",0,$O179),0)</f>
        <v>0</v>
      </c>
      <c r="BM179" s="135">
        <f>IF($K179=BM$3,IF($C179="X",0,$O179),0)</f>
        <v>0</v>
      </c>
      <c r="BN179" s="136">
        <f>IF($K179=BN$3,IF($C179="X",0,$O179),0)</f>
        <v>0</v>
      </c>
      <c r="BO179" s="136">
        <f>IF($K179=BO$3,IF($C179="X",0,$O179),0)</f>
        <v>0</v>
      </c>
      <c r="BP179" s="136">
        <f>IF($K179=BP$3,IF($C179="X",0,$O179),0)</f>
        <v>0</v>
      </c>
      <c r="BQ179" s="137">
        <f>IF($K179=BQ$3,IF($C179="X",0,$O179),0)</f>
        <v>0</v>
      </c>
      <c r="BR179" s="134">
        <f>IF($K179=BR$3,IF($C179="X",0,$O179),0)</f>
        <v>0</v>
      </c>
      <c r="BS179" s="282"/>
      <c r="BT179" s="283"/>
      <c r="BU179" s="140"/>
      <c r="BV179" s="283"/>
      <c r="BW179" s="140"/>
      <c r="BX179" s="140"/>
      <c r="BY179" s="140"/>
      <c r="BZ179" s="283"/>
      <c r="CA179" s="140"/>
      <c r="CB179" s="140"/>
      <c r="CC179" s="140"/>
      <c r="CD179" s="141"/>
      <c r="CE179" s="142"/>
      <c r="CF179" s="284">
        <f>IF(CF$3=$K179,IF($C179="W",1,IF($C179="1/2W",0.5,0)),0)</f>
        <v>0</v>
      </c>
      <c r="CG179" s="285">
        <f>IF(CF$3=$K179,IF($C179="L",1,IF($C179="1/2L",0.5,0)),0)</f>
        <v>0</v>
      </c>
      <c r="CH179" s="285">
        <f>IF(CH$3=$K179,IF($C179="W",1,IF($C179="1/2W",0.5,0)),0)</f>
        <v>1</v>
      </c>
      <c r="CI179" s="285">
        <f>IF(CH$3=$K179,IF($C179="L",1,IF($C179="1/2L",0.5,0)),0)</f>
        <v>0</v>
      </c>
      <c r="CJ179" s="285">
        <f>IF(CJ$3=$K179,IF($C179="W",1,IF($C179="1/2W",0.5,0)),0)</f>
        <v>0</v>
      </c>
      <c r="CK179" s="285">
        <f>IF(CJ$3=$K179,IF($C179="L",1,IF($C179="1/2L",0.5,0)),0)</f>
        <v>0</v>
      </c>
      <c r="CL179" s="285">
        <f>IF(CL$3=$K179,IF($C179="W",1,IF($C179="1/2W",0.5,0)),0)</f>
        <v>0</v>
      </c>
      <c r="CM179" s="285">
        <f>IF(CL$3=$K179,IF($C179="L",1,IF($C179="1/2L",0.5,0)),0)</f>
        <v>0</v>
      </c>
      <c r="CN179" s="285">
        <f>IF(CN$3=$K179,IF($C179="W",1,IF($C179="1/2W",0.5,0)),0)</f>
        <v>0</v>
      </c>
      <c r="CO179" s="285">
        <f>IF(CN$3=$K179,IF($C179="L",1,IF($C179="1/2L",0.5,0)),0)</f>
        <v>0</v>
      </c>
      <c r="CP179" s="285">
        <f>IF(CP$3=$K179,IF($C179="W",1,IF($C179="1/2W",0.5,0)),0)</f>
        <v>0</v>
      </c>
      <c r="CQ179" s="285">
        <f>IF(CP$3=$K179,IF($C179="L",1,IF($C179="1/2L",0.5,0)),0)</f>
        <v>0</v>
      </c>
      <c r="CR179" s="285">
        <f>IF(CR$3=$K179,IF($C179="W",1,IF($C179="1/2W",0.5,0)),0)</f>
        <v>0</v>
      </c>
      <c r="CS179" s="285">
        <f>IF(CR$3=$K179,IF($C179="L",1,IF($C179="1/2L",0.5,0)),0)</f>
        <v>0</v>
      </c>
      <c r="CT179" s="145">
        <f>IF(CT$3=$K179,IF($C179="W",1,IF($C179="1/2W",0.5,0)),0)</f>
        <v>0</v>
      </c>
      <c r="CU179" s="146">
        <f>IF(CT$3=$K179,IF($C179="L",1,IF($C179="1/2L",0.5,0)),0)</f>
        <v>0</v>
      </c>
      <c r="CV179" s="146">
        <f>IF(CV$3=$K179,IF($C179="W",1,IF($C179="1/2W",0.5,0)),0)</f>
        <v>0</v>
      </c>
      <c r="CW179" s="146">
        <f>IF(CV$3=$K179,IF($C179="L",1,IF($C179="1/2L",0.5,0)),0)</f>
        <v>0</v>
      </c>
      <c r="CX179" s="146">
        <f>IF(CX$3=$K179,IF($C179="W",1,IF($C179="1/2W",0.5,0)),0)</f>
        <v>0</v>
      </c>
      <c r="CY179" s="146">
        <f>IF(CX$3=$K179,IF($C179="L",1,IF($C179="1/2L",0.5,0)),0)</f>
        <v>0</v>
      </c>
      <c r="CZ179" s="146">
        <f>IF(CZ$3=$K179,IF($C179="W",1,IF($C179="1/2W",0.5,0)),0)</f>
        <v>0</v>
      </c>
      <c r="DA179" s="146">
        <f>IF(CZ$3=$K179,IF($C179="L",1,IF($C179="1/2L",0.5,0)),0)</f>
        <v>0</v>
      </c>
      <c r="DB179" s="146">
        <f>IF(DB$3=$K179,IF($C179="W",1,IF($C179="1/2W",0.5,0)),0)</f>
        <v>0</v>
      </c>
      <c r="DC179" s="146">
        <f>IF(DB$3=$K179,IF($C179="L",1,IF($C179="1/2L",0.5,0)),0)</f>
        <v>0</v>
      </c>
      <c r="DD179" s="146">
        <f>IF(DD$3=$K179,IF($C179="W",1,IF($C179="1/2W",0.5,0)),0)</f>
        <v>0</v>
      </c>
      <c r="DE179" s="147">
        <f>IF(DD$3=$K179,IF($C179="L",1,IF($C179="1/2L",0.5,0)),0)</f>
        <v>0</v>
      </c>
      <c r="DF179" s="143">
        <f>IF(AND(L179&lt;DF$3,$C179="W"),1+DF178,DF178)</f>
        <v>8</v>
      </c>
      <c r="DG179" s="133">
        <f>IF(DF179&gt;DF178,L179+DG178,DG178)</f>
        <v>10.598</v>
      </c>
      <c r="DH179" s="146">
        <f>IF(AND(L179&gt;DH$3,$C179="W"),1+DH178,0+DH178)</f>
        <v>2</v>
      </c>
      <c r="DI179" s="133">
        <f>IF(DH179&gt;DH178,L179+DI178,DI178)</f>
        <v>11.58</v>
      </c>
      <c r="DJ179" t="s" s="304">
        <f>IF($D178="","",$D178)</f>
        <v>184</v>
      </c>
      <c r="DK179" s="286"/>
    </row>
    <row r="180" ht="14.55" customHeight="1">
      <c r="A180" s="149"/>
      <c r="B180" s="150"/>
      <c r="C180" t="s" s="151">
        <v>58</v>
      </c>
      <c r="D180" s="152"/>
      <c r="E180" s="153"/>
      <c r="F180" s="155"/>
      <c r="G180" s="252"/>
      <c r="H180" s="156"/>
      <c r="I180" s="287"/>
      <c r="J180" s="288"/>
      <c r="K180" s="156"/>
      <c r="L180" s="289"/>
      <c r="M180" s="290"/>
      <c r="N180" s="161"/>
      <c r="O180" t="s" s="162">
        <f>IF(OR(AE178="",AE179=""),"",IF(L180&gt;0,ROUND(IF(M180&gt;0,M180,IF(M178&gt;0,ROUND((M178*AE180)/AE178,IF(N178=0,2,IF(N178=0.1,1,0))),IF(M179&gt;0,ROUND((M179*AE180)/AE179,IF(N178=0,2,IF(N178=0.1,1,0))),IF(M180&gt;0,M180,0)))),2),""))</f>
      </c>
      <c r="P180" t="s" s="163">
        <f>IF(I179="Lay",O179*(L179/(L179-1))-O179,IF(I178="Lay",O178*(L178/(L178-1))-O178,IF(OR(L180="",O180=""),"",IF($C180="1/2W",O180/2+O180/2*L180,IF($C180="1/2L",O180/2,(O180*L180-O180)*(1-_xlfn.XLOOKUP(K180,'Janeiro 2023 - Valor Real'!A3:A15,'Janeiro 2023 - Valor Real'!C3:C15,0))+O180)))))</f>
      </c>
      <c r="Q180" t="s" s="154">
        <f>IF(K180="","",IF(_xlfn.XLOOKUP(K180,K$89:K92,DJ$89:DJ92,0,,-1)=DJ180,_xlfn.XLOOKUP(K180,K$89:K92,Q$89:Q92,1,,-1)+1,1))</f>
      </c>
      <c r="R180" t="s" s="163">
        <f>IF(K180="","",_xlfn.XLOOKUP(K180,K$89:K92,R$89:R92,0,,-1)+IF($C180=" ",1,0))</f>
      </c>
      <c r="S180" s="166"/>
      <c r="T180" s="155"/>
      <c r="U180" s="155"/>
      <c r="V180" s="166"/>
      <c r="W180" s="155"/>
      <c r="X180" s="167"/>
      <c r="Y180" s="128"/>
      <c r="Z180" s="129"/>
      <c r="AA180" s="129"/>
      <c r="AB180" s="129"/>
      <c r="AC180" s="129"/>
      <c r="AD180" s="168"/>
      <c r="AE180" t="s" s="169">
        <f>IF(L180="","",(SUM(((L178-1)*(1-_xlfn.XLOOKUP(K178,'Janeiro 2023 - Valor Real'!A3:A15,'Janeiro 2023 - Valor Real'!C3:C15,0))+1),((L179-1)*(1-_xlfn.XLOOKUP(K179,'Janeiro 2023 - Valor Real'!A3:A15,'Janeiro 2023 - Valor Real'!C3:C15,0))+1),((L180-1)*(1-_xlfn.XLOOKUP(K180,'Janeiro 2023 - Valor Real'!A3:A15,'Janeiro 2023 - Valor Real'!C3:C15,0))+1))/((L180-1)*(1-_xlfn.XLOOKUP(K180,'Janeiro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Real'!C3:C15,0))+1))/((L178-1)*(1-_xlfn.XLOOKUP(K178,'Janeiro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Real'!C3:C15,0))+1))/((L179-1)*(1-_xlfn.XLOOKUP(K179,'Janeiro 2023 - Valor Real'!A3:A15,'Janeiro 2023 - Valor Real'!C3:C15,0))+1)+SUM(((L178-1)*(1-_xlfn.XLOOKUP(K178,'Janeiro 2023 - Valor Real'!A3:A15,'Janeiro 2023 - Valor Real'!C3:C15,0))+1),((L179-1)*(1-_xlfn.XLOOKUP(K179,'Janeiro 2023 - Valor Real'!A3:A15,'Janeiro 2023 - Valor Real'!C3:C15,0))+1),((L180-1)*(1-_xlfn.XLOOKUP(K180,'Janeiro 2023 - Valor Real'!A3:A15,'Janeiro 2023 - Valor Real'!C3:C15,0))+1))/((L180-1)*(1-_xlfn.XLOOKUP(K180,'Janeiro 2023 - Valor Real'!A3:A15,'Janeiro 2023 - Valor Real'!C3:C15,0))+1)))</f>
      </c>
      <c r="AF180" s="132">
        <f>IF($K180=AF$3,ROUND(IF(OR($C180="W",$C180="1/2W",$C180="1/2L"),$P180-$O180,IF($C180="X",0,-$O180)),2),0)</f>
        <v>0</v>
      </c>
      <c r="AG180" s="133">
        <f>IF($K180=AG$3,ROUND(IF(OR($C180="W",$C180="1/2W",$C180="1/2L"),$P180-$O180,IF($C180="X",0,-$O180)),2),0)</f>
        <v>0</v>
      </c>
      <c r="AH180" s="133">
        <f>IF($K180=AH$3,ROUND(IF(OR($C180="W",$C180="1/2W",$C180="1/2L"),$P180-$O180,IF($C180="X",0,-$O180)),2),0)</f>
        <v>0</v>
      </c>
      <c r="AI180" s="133">
        <f>IF($K180=AI$3,ROUND(IF(OR($C180="W",$C180="1/2W",$C180="1/2L"),$P180-$O180,IF($C180="X",0,-$O180)),2),0)</f>
        <v>0</v>
      </c>
      <c r="AJ180" s="133">
        <f>IF($K180=AJ$3,ROUND(IF(OR($C180="W",$C180="1/2W",$C180="1/2L"),$P180-$O180,IF($C180="X",0,-$O180)),2),0)</f>
        <v>0</v>
      </c>
      <c r="AK180" s="133">
        <f>IF($K180=AK$3,ROUND(IF(OR($C180="W",$C180="1/2W",$C180="1/2L"),$P180-$O180,IF($C180="X",0,-$O180)),2),0)</f>
        <v>0</v>
      </c>
      <c r="AL180" s="133">
        <f>IF($K180=AL$3,ROUND(IF(OR($C180="W",$C180="1/2W",$C180="1/2L"),$P180-$O180,IF($C180="X",0,-$O180)),2),0)</f>
        <v>0</v>
      </c>
      <c r="AM180" s="133">
        <f>IF($K180=AM$3,ROUND(IF(OR($C180="W",$C180="1/2W",$C180="1/2L"),$P180-$O180,IF($C180="X",0,-$O180)),2),0)</f>
        <v>0</v>
      </c>
      <c r="AN180" s="133">
        <f>IF($K180=AN$3,ROUND(IF(OR($C180="W",$C180="1/2W",$C180="1/2L"),$P180-$O180,IF($C180="X",0,-$O180)),2),0)</f>
        <v>0</v>
      </c>
      <c r="AO180" s="133">
        <f>IF($K180=AO$3,ROUND(IF(OR($C180="W",$C180="1/2W",$C180="1/2L"),$P180-$O180,IF($C180="X",0,-$O180)),2),0)</f>
        <v>0</v>
      </c>
      <c r="AP180" s="133">
        <f>IF($K180=AP$3,ROUND(IF(OR($C180="W",$C180="1/2W",$C180="1/2L"),$P180-$O180,IF($C180="X",0,-$O180)),2),0)</f>
        <v>0</v>
      </c>
      <c r="AQ180" s="133">
        <f>IF($K180=AQ$3,ROUND(IF(OR($C180="W",$C180="1/2W",$C180="1/2L"),$P180-$O180,IF($C180="X",0,-$O180)),2),0)</f>
        <v>0</v>
      </c>
      <c r="AR180" s="134">
        <f>IF($K180=AR$3,ROUND(IF(OR($C180="W",$C180="1/2W",$C180="1/2L"),$P180-$O180,IF($C180="X",0,-$O180)),2),0)</f>
        <v>0</v>
      </c>
      <c r="AS180" s="132">
        <f>IF(AND($B178=" ",$K180=AS$3),$O180,0)</f>
        <v>0</v>
      </c>
      <c r="AT180" s="133">
        <f>IF(AND($B178=" ",K180=AT$3),$O180,0)</f>
        <v>0</v>
      </c>
      <c r="AU180" s="133">
        <f>IF(AND($B178=" ",$K180=AU$3),$O180,0)</f>
        <v>0</v>
      </c>
      <c r="AV180" s="133">
        <f>IF(AND($B178=" ",$K180=AV$3),$O180,0)</f>
        <v>0</v>
      </c>
      <c r="AW180" s="133">
        <f>IF(AND($B178=" ",$K180=AW$3),$O180,0)</f>
        <v>0</v>
      </c>
      <c r="AX180" s="133">
        <f>IF(AND($B178=" ",$K180=AX$3),$O180,0)</f>
        <v>0</v>
      </c>
      <c r="AY180" s="135">
        <f>IF(AND($B178=" ",$K180=AY$3),$O180,0)</f>
        <v>0</v>
      </c>
      <c r="AZ180" s="136">
        <f>IF(AND($B178=" ",$K180=AZ$3),$O180,0)</f>
        <v>0</v>
      </c>
      <c r="BA180" s="136">
        <f>IF(AND($B178=" ",$K180=BA$3),$O180,0)</f>
        <v>0</v>
      </c>
      <c r="BB180" s="136">
        <f>IF(AND($B178=" ",$K180=BB$3),$O180,0)</f>
        <v>0</v>
      </c>
      <c r="BC180" s="137">
        <f>IF(AND($B178=" ",$K180=BC$3),$O180,0)</f>
        <v>0</v>
      </c>
      <c r="BD180" s="133">
        <f>IF(AND($B178=" ",$K180=BD$3),$O180,0)</f>
        <v>0</v>
      </c>
      <c r="BE180" s="134">
        <f>IF(AND($B178=" ",$K180=BE$3),$O180,0)</f>
        <v>0</v>
      </c>
      <c r="BF180" s="132">
        <f>IF($K180=BF$3,IF($C180="X",0,$O180),0)</f>
        <v>0</v>
      </c>
      <c r="BG180" s="281">
        <f>IF($K180=BG$3,IF($C180="X",0,$O180),0)</f>
        <v>0</v>
      </c>
      <c r="BH180" s="133">
        <f>IF($K180=BH$3,IF($C180="X",0,$O180),0)</f>
        <v>0</v>
      </c>
      <c r="BI180" s="133">
        <f>IF($K180=BI$3,IF($C180="X",0,$O180),0)</f>
        <v>0</v>
      </c>
      <c r="BJ180" s="133">
        <f>IF($K180=BJ$3,IF($C180="X",0,$O180),0)</f>
        <v>0</v>
      </c>
      <c r="BK180" s="133">
        <f>IF($K180=BK$3,IF($C180="X",0,$O180),0)</f>
        <v>0</v>
      </c>
      <c r="BL180" s="133">
        <f>IF($K180=BL$3,IF($C180="X",0,$O180),0)</f>
        <v>0</v>
      </c>
      <c r="BM180" s="135">
        <f>IF($K180=BM$3,IF($C180="X",0,$O180),0)</f>
        <v>0</v>
      </c>
      <c r="BN180" s="136">
        <f>IF($K180=BN$3,IF($C180="X",0,$O180),0)</f>
        <v>0</v>
      </c>
      <c r="BO180" s="136">
        <f>IF($K180=BO$3,IF($C180="X",0,$O180),0)</f>
        <v>0</v>
      </c>
      <c r="BP180" s="136">
        <f>IF($K180=BP$3,IF($C180="X",0,$O180),0)</f>
        <v>0</v>
      </c>
      <c r="BQ180" s="137">
        <f>IF($K180=BQ$3,IF($C180="X",0,$O180),0)</f>
        <v>0</v>
      </c>
      <c r="BR180" s="134">
        <f>IF($K180=BR$3,IF($C180="X",0,$O180),0)</f>
        <v>0</v>
      </c>
      <c r="BS180" s="282"/>
      <c r="BT180" s="283"/>
      <c r="BU180" s="140"/>
      <c r="BV180" s="283"/>
      <c r="BW180" s="140"/>
      <c r="BX180" s="140"/>
      <c r="BY180" s="140"/>
      <c r="BZ180" s="283"/>
      <c r="CA180" s="140"/>
      <c r="CB180" s="140"/>
      <c r="CC180" s="140"/>
      <c r="CD180" s="141"/>
      <c r="CE180" s="142"/>
      <c r="CF180" s="284">
        <f>IF(CF$3=$K180,IF($C180="W",1,IF($C180="1/2W",0.5,0)),0)</f>
        <v>0</v>
      </c>
      <c r="CG180" s="285">
        <f>IF(CF$3=$K180,IF($C180="L",1,IF($C180="1/2L",0.5,0)),0)</f>
        <v>0</v>
      </c>
      <c r="CH180" s="285">
        <f>IF(CH$3=$K180,IF($C180="W",1,IF($C180="1/2W",0.5,0)),0)</f>
        <v>0</v>
      </c>
      <c r="CI180" s="285">
        <f>IF(CH$3=$K180,IF($C180="L",1,IF($C180="1/2L",0.5,0)),0)</f>
        <v>0</v>
      </c>
      <c r="CJ180" s="285">
        <f>IF(CJ$3=$K180,IF($C180="W",1,IF($C180="1/2W",0.5,0)),0)</f>
        <v>0</v>
      </c>
      <c r="CK180" s="285">
        <f>IF(CJ$3=$K180,IF($C180="L",1,IF($C180="1/2L",0.5,0)),0)</f>
        <v>0</v>
      </c>
      <c r="CL180" s="285">
        <f>IF(CL$3=$K180,IF($C180="W",1,IF($C180="1/2W",0.5,0)),0)</f>
        <v>0</v>
      </c>
      <c r="CM180" s="285">
        <f>IF(CL$3=$K180,IF($C180="L",1,IF($C180="1/2L",0.5,0)),0)</f>
        <v>0</v>
      </c>
      <c r="CN180" s="285">
        <f>IF(CN$3=$K180,IF($C180="W",1,IF($C180="1/2W",0.5,0)),0)</f>
        <v>0</v>
      </c>
      <c r="CO180" s="285">
        <f>IF(CN$3=$K180,IF($C180="L",1,IF($C180="1/2L",0.5,0)),0)</f>
        <v>0</v>
      </c>
      <c r="CP180" s="285">
        <f>IF(CP$3=$K180,IF($C180="W",1,IF($C180="1/2W",0.5,0)),0)</f>
        <v>0</v>
      </c>
      <c r="CQ180" s="285">
        <f>IF(CP$3=$K180,IF($C180="L",1,IF($C180="1/2L",0.5,0)),0)</f>
        <v>0</v>
      </c>
      <c r="CR180" s="285">
        <f>IF(CR$3=$K180,IF($C180="W",1,IF($C180="1/2W",0.5,0)),0)</f>
        <v>0</v>
      </c>
      <c r="CS180" s="285">
        <f>IF(CR$3=$K180,IF($C180="L",1,IF($C180="1/2L",0.5,0)),0)</f>
        <v>0</v>
      </c>
      <c r="CT180" s="145">
        <f>IF(CT$3=$K180,IF($C180="W",1,IF($C180="1/2W",0.5,0)),0)</f>
        <v>0</v>
      </c>
      <c r="CU180" s="146">
        <f>IF(CT$3=$K180,IF($C180="L",1,IF($C180="1/2L",0.5,0)),0)</f>
        <v>0</v>
      </c>
      <c r="CV180" s="146">
        <f>IF(CV$3=$K180,IF($C180="W",1,IF($C180="1/2W",0.5,0)),0)</f>
        <v>0</v>
      </c>
      <c r="CW180" s="146">
        <f>IF(CV$3=$K180,IF($C180="L",1,IF($C180="1/2L",0.5,0)),0)</f>
        <v>0</v>
      </c>
      <c r="CX180" s="146">
        <f>IF(CX$3=$K180,IF($C180="W",1,IF($C180="1/2W",0.5,0)),0)</f>
        <v>0</v>
      </c>
      <c r="CY180" s="146">
        <f>IF(CX$3=$K180,IF($C180="L",1,IF($C180="1/2L",0.5,0)),0)</f>
        <v>0</v>
      </c>
      <c r="CZ180" s="146">
        <f>IF(CZ$3=$K180,IF($C180="W",1,IF($C180="1/2W",0.5,0)),0)</f>
        <v>0</v>
      </c>
      <c r="DA180" s="146">
        <f>IF(CZ$3=$K180,IF($C180="L",1,IF($C180="1/2L",0.5,0)),0)</f>
        <v>0</v>
      </c>
      <c r="DB180" s="146">
        <f>IF(DB$3=$K180,IF($C180="W",1,IF($C180="1/2W",0.5,0)),0)</f>
        <v>0</v>
      </c>
      <c r="DC180" s="146">
        <f>IF(DB$3=$K180,IF($C180="L",1,IF($C180="1/2L",0.5,0)),0)</f>
        <v>0</v>
      </c>
      <c r="DD180" s="146">
        <f>IF(DD$3=$K180,IF($C180="W",1,IF($C180="1/2W",0.5,0)),0)</f>
        <v>0</v>
      </c>
      <c r="DE180" s="147">
        <f>IF(DD$3=$K180,IF($C180="L",1,IF($C180="1/2L",0.5,0)),0)</f>
        <v>0</v>
      </c>
      <c r="DF180" s="143">
        <f>IF(AND(L180&lt;DF$3,$C180="W"),1+DF179,DF179)</f>
        <v>8</v>
      </c>
      <c r="DG180" s="133">
        <f>IF(DF180&gt;DF179,L180+DG179,DG179)</f>
        <v>10.598</v>
      </c>
      <c r="DH180" s="146">
        <f>IF(AND(L180&gt;DH$3,$C180="W"),1+DH179,0+DH179)</f>
        <v>2</v>
      </c>
      <c r="DI180" s="133">
        <f>IF(DH180&gt;DH179,L180+DI179,DI179)</f>
        <v>11.58</v>
      </c>
      <c r="DJ180" t="s" s="304">
        <f>IF($D178="","",$D178)</f>
        <v>184</v>
      </c>
      <c r="DK180" s="286"/>
    </row>
    <row r="181" ht="14.55" customHeight="1">
      <c r="A181" s="171">
        <f>$A178+1</f>
        <v>60</v>
      </c>
      <c r="B181" t="s" s="172">
        <f>IF(AND(_xlfn.XLOOKUP(H181,H$84:H98,G$84:G98,0)=G181,_xlfn.XLOOKUP("TempoBet",K181:K183,L181:L183,0)&gt;0),"X",IF(OR(C181="W",C182="W",C183="W",C181="1/2W",C182="1/2W",C183="1/2W",C181="1/2L",C182="1/2L",C183="1/2L"),"OK",IF(OR(C181="L",C182="L",C183="L"),"LOSS",IF(OR(C181="X",C182="X",C183="X"),"Anulado"," "))))</f>
        <v>50</v>
      </c>
      <c r="C181" t="s" s="173">
        <v>51</v>
      </c>
      <c r="D181" t="s" s="305">
        <f>IF(G181="","",$D178)</f>
        <v>184</v>
      </c>
      <c r="E181" t="s" s="175">
        <f>IF(G181=""," ","– "&amp;COUNTIF(D$4:D183,$D181))</f>
        <v>130</v>
      </c>
      <c r="F181" t="s" s="176"/>
      <c r="G181" s="177">
        <v>44945.208333333336</v>
      </c>
      <c r="H181" t="s" s="178">
        <v>201</v>
      </c>
      <c r="I181" t="s" s="179">
        <v>65</v>
      </c>
      <c r="J181" s="291">
        <v>22.5</v>
      </c>
      <c r="K181" t="s" s="181">
        <v>44</v>
      </c>
      <c r="L181" s="182">
        <v>1.877</v>
      </c>
      <c r="M181" s="183"/>
      <c r="N181" s="184">
        <v>0</v>
      </c>
      <c r="O181" s="185">
        <f>IF(OR(AE181="",AE182=""),"",ROUND(IF(L183&gt;0,IF(M181&gt;0,M181,IF(M182&gt;0,ROUND((M182*AE181)/AE182,IF(N181=0,2,IF(N181=0.1,1,0))),ROUND((M183*AE181)/AE183,IF(N181=0,2,IF(N181=0.1,1,0))))),IF(M181&gt;0,M181,ROUND((M182*AE181)/AE182,IF(N181=0,2,IF(N181=0.1,1,0))))),2))</f>
        <v>10.43</v>
      </c>
      <c r="P181" s="186">
        <f>IF(OR(L181="",O181=""),"",IF($C181="1/2W",O181/2+O181/2*L181,IF($C181="1/2L",O181/2,IF(I181="Lay",(O181*(L181/(L181-1))-O181)*(1-_xlfn.XLOOKUP(K181,'Janeiro 2023 - Valor Real'!A3:A15,'Janeiro 2023 - Valor Real'!C3:C15,0))+O181,(O181*L181-O181)*(1-_xlfn.XLOOKUP(K181,'Janeiro 2023 - Valor Real'!A3:A15,'Janeiro 2023 - Valor Real'!C3:C15,0))+O181))))</f>
        <v>19.57711</v>
      </c>
      <c r="Q181" s="187">
        <f>IF(K181="","",IF(_xlfn.XLOOKUP(K181,K$84:K98,DJ$84:DJ98,0,,-1)=DJ181,_xlfn.XLOOKUP(K181,K$84:K98,Q$84:Q98,1,,-1)+1,1))</f>
        <v>1</v>
      </c>
      <c r="R181" s="188">
        <f>IF(K181="","",_xlfn.XLOOKUP(K181,K$84:K98,R$84:R98,0,,-1)+IF($C181=" ",1,0))</f>
        <v>0</v>
      </c>
      <c r="S181" s="189">
        <f>IF($B181="Anulado",0,ROUND(IF(OR($B181="LOSS",$B181="OK"),IF(OR($C181="W",$C181="1/2W",$C181="1/2L"),P181-O181,IF($C181="L",-O181,0))+IF(OR($C182="W",$C182="1/2W",$C182="1/2L"),P182-O182,IF($C182="L",-O182,0))+IF(OR($C183="W",$C183="1/2W",$C183="1/2L"),P183-O183,IF($C183="L",-O183,0)),IF(AND(OR($C181="W",$C181="1/2W",$C181="1/2L"),C182="W"),P181+P182-SUM(O181:O183)+_xlfn.XLOOKUP("X",C181:C183,O181:O183,0),IF(AND(C181=TRUE,C183="W"),P181+P183-SUM(O181:O183),IF(AND(C182="W",C183="W"),P182+P183-SUM(O181:O183)+_xlfn.XLOOKUP("X",C181:C183,O181:O183,0),IF(L183&gt;0,IF(OR($C181="W",$C181="1/2W",$C181="1/2L"),P181-SUM(O181:O183)+_xlfn.XLOOKUP("X",C181:C183,O181:O183,0),IF(OR($C181="W",$C181="1/2W",$C181="1/2L"),P182-SUM(O181:O183)+_xlfn.XLOOKUP("X",C181:C183,O181:O183,0),IF(OR($C181="W",$C181="1/2W",$C181="1/2L"),P183-SUM(O181:O183)+_xlfn.XLOOKUP("X",C181:C183,O181:O183,0),IF(SUM(P181:P183)/3-SUM(O181:O183)+_xlfn.XLOOKUP("X",C181:C183,O181:O183,0)&gt;0,SUM(P181:P183)/3-SUM(O181:O183)+_xlfn.XLOOKUP("X",C181:C183,O181:O183,0),LARGE(P181:P183,1)-SUM(O181:O183))))),IF(OR($C181="W",$C181="1/2W",$C181="1/2L"),P181-SUM(O181:O182)+_xlfn.XLOOKUP("X",C181:C183,O181:O183,0),IF(OR($C181="W",$C181="1/2W",$C181="1/2L"),P182-SUM(O181:O182)+_xlfn.XLOOKUP("X",C181:C183,O181:O183,0),SUM(P181:P182)/2-SUM(O181:O182)+_xlfn.XLOOKUP("X",C181:C183,O181:O183,0)))))))),2))</f>
        <v>0.82</v>
      </c>
      <c r="T181" s="190">
        <f>IF(S181=0,0,S181/SUM(O181:O183))</f>
        <v>0.0437100213219616</v>
      </c>
      <c r="U181" s="191">
        <f>IF($D181=$D178,IF(OR($B181="LOSS",$B181="OK",$B181="Anulada"),S181,0)+U178,IF(OR($B181="LOSS",$B181="OK",$B181="Anulada"),S181,0))</f>
        <v>32.82</v>
      </c>
      <c r="V181" s="191">
        <f>IF($D181="",0,IF($D181=$D178,IF($B181=" ",IF(I183="",IF(OR(AND(I181="DNB1",I182="DNB2"),AND(OR(I181="DNB1",I181="DNB2"),J182=0),AND(OR(I182="DNB1",I182="DNB2"),J181=0),AND(I181="DNB2",I182="DNB1"),AND(IF(J181=0,(J181+1)/ROUND(J181+1,0),J181/ROUND(J181,0))=1,IF(J182=0,(J182+1)/ROUND(IF(J182="",0,J182)+1,0),IF(J182="",0,J182)/ROUND(IF(J182="",1,J182),0))=1,OR(J181&lt;&gt;""),J182&lt;&gt;"")),0,IF(S181&lt;0,IF(I183="",SMALL(P181:P182,1)-SUM(O181:O182),0),SMALL(P181:P182,1)-SUM(O181:O182))),IF(S181&lt;0,IF(I183="",SMALL(P181:P183,1)-SUM(O181:O183),0),LARGE(P181:P183,1)-SUM(O181:O183))),S181)+V178,IF(I183="",IF(OR(AND(I181="DNB1",I182="DNB2"),AND(OR(I181="DNB1",I181="DNB2"),J182=0),AND(OR(I182="DNB1",I182="DNB2"),J181=0),AND(I181="DNB2",I182="DNB1"),AND(IF(J181=0,(J181+1)/ROUND(J181+1,0),J181/ROUND(J181,0))=1,IF(J182=0,(IF(J182="",0,J182)+1)/ROUND(IF(J182="",0,J182)+1,0),IF(J182="",0,J182)/ROUND(IF(J182="",0,J182)+1,0))=1,OR(J181&lt;&gt;""),J182&lt;&gt;"")),0,IF(S181&lt;0,IF(I183="",SMALL(P181:P182,1)-SUM(O181:O182),0),SMALL(P181:P183,1)-SUM(O181:O183))),IF(S181&lt;0,IF(I183="",SMALL(P181:P183,1)-SUM(O181:O183),0),LARGE(P181:P183,1)-SUM(O181:O183)))))</f>
        <v>32.8175</v>
      </c>
      <c r="W181" s="191">
        <f>IF($D181=$D178,IF(S181&lt;0,IF(I183="",S181,0),S181)+W178,S181)</f>
        <v>32.82</v>
      </c>
      <c r="X181" t="s" s="192">
        <f>IF(OR(SUM(R181:R183)=0,V181=W181),ROUND(IF(W181=0,0,W181/Y181)*100,2)&amp;"%",ROUND(IF(V181=0,0,V181/Y181)*100,2)&amp;"% a "&amp;ROUND(IF(W181=0,0,W181/Y181)*100,2)&amp;"%")</f>
        <v>202</v>
      </c>
      <c r="Y181" s="193">
        <f>IF($D181=$D178,Y178+SUM(O181:O183),SUM(O181:O183))</f>
        <v>447.89</v>
      </c>
      <c r="Z181" s="191">
        <f>IF($B181=" ",SUM(O181:O183),0)+Z178</f>
        <v>0</v>
      </c>
      <c r="AA181" s="191">
        <f>IF(G181="","",IF($B181="Anulado",LARGE(P181:P183,1)-SUM(O181:O183)+AA178,AA178))</f>
        <v>14.1564</v>
      </c>
      <c r="AB181" s="191">
        <f>IF($D181="","",AB178+S181)</f>
        <v>157.93</v>
      </c>
      <c r="AC181" s="194">
        <f>IF($D181="","",IF($B181=" ",IF(DAY(G181)=DAY(TODAY()),1+AC178,0+AC178),0+AC178))</f>
        <v>0</v>
      </c>
      <c r="AD181" s="195">
        <f>(((L182/(L182-1)-1)*(1-_xlfn.XLOOKUP(K182,'Janeiro 2023 - Valor Real'!A3:A15,'Janeiro 2023 - Valor Real'!C3:C15,0))+1))/(((L181-1)*(1-_xlfn.XLOOKUP(K181,'Janeiro 2023 - Valor Real'!A3:A15,'Janeiro 2023 - Valor Real'!C3:C15,0))+1)+((L182/(L182-1)-1)*(1-_xlfn.XLOOKUP(K182,'Janeiro 2023 - Valor Real'!A3:A15,'Janeiro 2023 - Valor Real'!C3:C15,0))+1))</f>
        <v>0.481167907124356</v>
      </c>
      <c r="AE181" s="196">
        <f>IF(L181="","",IF(L183&gt;0,(SUM(((L181-1)*(1-_xlfn.XLOOKUP(K181,'Janeiro 2023 - Valor Real'!A3:A15,'Janeiro 2023 - Valor Real'!C3:C15,0))+1),((L182-1)*(1-_xlfn.XLOOKUP(K182,'Janeiro 2023 - Valor Real'!A3:A15,'Janeiro 2023 - Valor Real'!C3:C15,0))+1),((L183-1)*(1-_xlfn.XLOOKUP(K183,'Janeiro 2023 - Valor Real'!A3:A15,'Janeiro 2023 - Valor Real'!C3:C15,0))+1))/((L181-1)*(1-_xlfn.XLOOKUP(K181,'Janeiro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Real'!C3:C15,0))+1))/((L181-1)*(1-_xlfn.XLOOKUP(K181,'Janeiro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Real'!C3:C15,0))+1))/((L182-1)*(1-_xlfn.XLOOKUP(K182,'Janeiro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Real'!C3:C15,0))+1))/((L183-1)*(1-_xlfn.XLOOKUP(K183,'Janeiro 2023 - Valor Real'!A3:A15,'Janeiro 2023 - Valor Real'!C3:C15,0))+1)),IF(I181="Lay",IF(I182="Lay",((L182/(L182-1)-1)*(1-_xlfn.XLOOKUP(K182,'Janeiro 2023 - Valor Real'!A3:A15,'Janeiro 2023 - Valor Real'!C3:C15,0))+1)/(((L182/(L182-1)-1)*(1-_xlfn.XLOOKUP(K182,'Janeiro 2023 - Valor Real'!A3:A15,'Janeiro 2023 - Valor Real'!C3:C15,0))+1)+((L181/(L181-1)-1)*(1-_xlfn.XLOOKUP(K181,'Janeiro 2023 - Valor Real'!A3:A15,'Janeiro 2023 - Valor Real'!C3:C15,0))+1)),((L182-1)*(1-_xlfn.XLOOKUP(K182,'Janeiro 2023 - Valor Real'!A3:A15,'Janeiro 2023 - Valor Real'!C3:C15,0))+1)/(((L182-1)*(1-_xlfn.XLOOKUP(K182,'Janeiro 2023 - Valor Real'!A3:A15,'Janeiro 2023 - Valor Real'!C3:C15,0))+1)+((L181/(L181-1)-1)*(1-_xlfn.XLOOKUP(K181,'Janeiro 2023 - Valor Real'!A3:A15,'Janeiro 2023 - Valor Real'!C3:C15,0))+1))),IF(I182="Lay",(((L182/(L182-1)-1)*(1-_xlfn.XLOOKUP(K182,'Janeiro 2023 - Valor Real'!A3:A15,'Janeiro 2023 - Valor Real'!C3:C15,0))+1))/(((L181-1)*(1-_xlfn.XLOOKUP(K181,'Janeiro 2023 - Valor Real'!A3:A15,'Janeiro 2023 - Valor Real'!C3:C15,0))+1)+((L182/(L182-1)-1)*(1-_xlfn.XLOOKUP(K182,'Janeiro 2023 - Valor Real'!A3:A15,'Janeiro 2023 - Valor Real'!C3:C15,0))+1)),((L182-1)*(1-_xlfn.XLOOKUP(K182,'Janeiro 2023 - Valor Real'!A3:A15,'Janeiro 2023 - Valor Real'!C3:C15,0))+1)/(((L182-1)*(1-_xlfn.XLOOKUP(K182,'Janeiro 2023 - Valor Real'!A3:A15,'Janeiro 2023 - Valor Real'!C3:C15,0))+1)+((L181-1)*(1-_xlfn.XLOOKUP(K181,'Janeiro 2023 - Valor Real'!A3:A15,'Janeiro 2023 - Valor Real'!C3:C15,0))+1))))))</f>
        <v>0.555949846226638</v>
      </c>
      <c r="AF181" s="197">
        <f>IF($K181=AF$3,ROUND(IF(OR($C181="W",$C181="1/2W",$C181="1/2L"),$P181-$O181,IF($C181="X",0,-$O181)),2),0)</f>
        <v>0</v>
      </c>
      <c r="AG181" s="198">
        <f>IF($K181=AG$3,ROUND(IF(OR($C181="W",$C181="1/2W",$C181="1/2L"),$P181-$O181,IF($C181="X",0,-$O181)),2),0)</f>
        <v>0</v>
      </c>
      <c r="AH181" s="198">
        <f>IF($K181=AH$3,ROUND(IF(OR($C181="W",$C181="1/2W",$C181="1/2L"),$P181-$O181,IF($C181="X",0,-$O181)),2),0)</f>
        <v>0</v>
      </c>
      <c r="AI181" s="198">
        <f>IF($K181=AI$3,ROUND(IF(OR($C181="W",$C181="1/2W",$C181="1/2L"),$P181-$O181,IF($C181="X",0,-$O181)),2),0)</f>
        <v>0</v>
      </c>
      <c r="AJ181" s="198">
        <f>IF($K181=AJ$3,ROUND(IF(OR($C181="W",$C181="1/2W",$C181="1/2L"),$P181-$O181,IF($C181="X",0,-$O181)),2),0)</f>
        <v>0</v>
      </c>
      <c r="AK181" s="198">
        <f>IF($K181=AK$3,ROUND(IF(OR($C181="W",$C181="1/2W",$C181="1/2L"),$P181-$O181,IF($C181="X",0,-$O181)),2),0)</f>
        <v>0</v>
      </c>
      <c r="AL181" s="198">
        <f>IF($K181=AL$3,ROUND(IF(OR($C181="W",$C181="1/2W",$C181="1/2L"),$P181-$O181,IF($C181="X",0,-$O181)),2),0)</f>
        <v>0</v>
      </c>
      <c r="AM181" s="198">
        <f>IF($K181=AM$3,ROUND(IF(OR($C181="W",$C181="1/2W",$C181="1/2L"),$P181-$O181,IF($C181="X",0,-$O181)),2),0)</f>
        <v>-10.43</v>
      </c>
      <c r="AN181" s="198">
        <f>IF($K181=AN$3,ROUND(IF(OR($C181="W",$C181="1/2W",$C181="1/2L"),$P181-$O181,IF($C181="X",0,-$O181)),2),0)</f>
        <v>0</v>
      </c>
      <c r="AO181" s="198">
        <f>IF($K181=AO$3,ROUND(IF(OR($C181="W",$C181="1/2W",$C181="1/2L"),$P181-$O181,IF($C181="X",0,-$O181)),2),0)</f>
        <v>0</v>
      </c>
      <c r="AP181" s="198">
        <f>IF($K181=AP$3,ROUND(IF(OR($C181="W",$C181="1/2W",$C181="1/2L"),$P181-$O181,IF($C181="X",0,-$O181)),2),0)</f>
        <v>0</v>
      </c>
      <c r="AQ181" s="198">
        <f>IF($K181=AQ$3,ROUND(IF(OR($C181="W",$C181="1/2W",$C181="1/2L"),$P181-$O181,IF($C181="X",0,-$O181)),2),0)</f>
        <v>0</v>
      </c>
      <c r="AR181" s="199">
        <f>IF($K181=AR$3,ROUND(IF(OR($C181="W",$C181="1/2W",$C181="1/2L"),$P181-$O181,IF($C181="X",0,-$O181)),2),0)</f>
        <v>0</v>
      </c>
      <c r="AS181" s="197">
        <f>IF(AND($B181=" ",$K181=AS$3),$O181,0)</f>
        <v>0</v>
      </c>
      <c r="AT181" s="198">
        <f>IF(AND($B181=" ",$K181=AT$3),$O181,0)</f>
        <v>0</v>
      </c>
      <c r="AU181" s="198">
        <f>IF(AND($B181=" ",$K181=AU$3),$O181,0)</f>
        <v>0</v>
      </c>
      <c r="AV181" s="198">
        <f>IF(AND($B181=" ",$K181=AV$3),$O181,0)</f>
        <v>0</v>
      </c>
      <c r="AW181" s="198">
        <f>IF(AND($B181=" ",$K181=AW$3),$O181,0)</f>
        <v>0</v>
      </c>
      <c r="AX181" s="198">
        <f>IF(AND($B181=" ",$K181=AX$3),$O181,0)</f>
        <v>0</v>
      </c>
      <c r="AY181" s="200">
        <f>IF(AND($B181=" ",$K181=AY$3),$O181,0)</f>
        <v>0</v>
      </c>
      <c r="AZ181" s="201">
        <f>IF(AND($B181=" ",$K181=AZ$3),$O181,0)</f>
        <v>0</v>
      </c>
      <c r="BA181" s="201">
        <f>IF(AND($B181=" ",$K181=BA$3),$O181,0)</f>
        <v>0</v>
      </c>
      <c r="BB181" s="201">
        <f>IF(AND($B181=" ",$K181=BB$3),$O181,0)</f>
        <v>0</v>
      </c>
      <c r="BC181" s="202">
        <f>IF(AND($B181=" ",$K181=BC$3),$O181,0)</f>
        <v>0</v>
      </c>
      <c r="BD181" s="198">
        <f>IF(AND($B181=" ",$K181=BD$3),$O181,0)</f>
        <v>0</v>
      </c>
      <c r="BE181" s="199">
        <f>IF(AND($B181=" ",$K181=BE$3),$O181,0)</f>
        <v>0</v>
      </c>
      <c r="BF181" s="203">
        <f>IF($K181=BF$3,IF($C181="X",0,$O181),0)</f>
        <v>0</v>
      </c>
      <c r="BG181" s="198">
        <f>IF($K181=BG$3,IF($C181="X",0,$O181),0)</f>
        <v>0</v>
      </c>
      <c r="BH181" s="198">
        <f>IF($K181=BH$3,IF($C181="X",0,$O181),0)</f>
        <v>0</v>
      </c>
      <c r="BI181" s="198">
        <f>IF($K181=BI$3,IF($C181="X",0,$O181),0)</f>
        <v>0</v>
      </c>
      <c r="BJ181" s="198">
        <f>IF($K181=BJ$3,IF($C181="X",0,$O181),0)</f>
        <v>0</v>
      </c>
      <c r="BK181" s="198">
        <f>IF($K181=BK$3,IF($C181="X",0,$O181),0)</f>
        <v>0</v>
      </c>
      <c r="BL181" s="198">
        <f>IF($K181=BL$3,IF($C181="X",0,$O181),0)</f>
        <v>0</v>
      </c>
      <c r="BM181" s="200">
        <f>IF($K181=BM$3,IF($C181="X",0,$O181),0)</f>
        <v>10.43</v>
      </c>
      <c r="BN181" s="201">
        <f>IF($K181=BN$3,IF($C181="X",0,$O181),0)</f>
        <v>0</v>
      </c>
      <c r="BO181" s="201">
        <f>IF($K181=BO$3,IF($C181="X",0,$O181),0)</f>
        <v>0</v>
      </c>
      <c r="BP181" s="201">
        <f>IF($K181=BP$3,IF($C181="X",0,$O181),0)</f>
        <v>0</v>
      </c>
      <c r="BQ181" s="202">
        <f>IF($K181=BQ$3,IF($C181="X",0,$O181),0)</f>
        <v>0</v>
      </c>
      <c r="BR181" s="199">
        <f>IF($K181=BR$3,IF($C181="X",0,$O181),0)</f>
        <v>0</v>
      </c>
      <c r="BS181" s="204">
        <f>IF($B181="LOSS",IF(AND($K181=BS$3,$C181="L"),-$O181,0)+IF(AND($K182=BS$3,$C182="L"),-$O182,0)+IF(AND($K183=BS$3,$C183="L"),-$O183,0),IF(OR(AND($K181=BS$3,OR($C181="W",$C181="1/2W")),AND($K182=BS$3,OR($C182="W",$C182="1/2W")),AND($K183=BS$3,OR($C183="W",$C183="1/2W"))),$S181,0))</f>
        <v>0</v>
      </c>
      <c r="BT181" s="201">
        <f>IF($B181="LOSS",IF(AND($K181=BT$3,$C181="L"),-$O181,0)+IF(AND($K182=BT$3,$C182="L"),-$O182,0)+IF(AND($K182=BT$3,$C183="L"),-$O183,0),IF(OR(AND($K182=BT$3,OR($C181="W",$C181="1/2W")),AND($K182=BT$3,OR($C182="W",$C182="1/2W")),AND($K182=BT$3,OR($C183="W",$C183="1/2W"))),$S181,0))</f>
        <v>0</v>
      </c>
      <c r="BU181" s="201">
        <f>IF($B181="LOSS",IF(AND($K181=BU$3,$C181="L"),-$O181,0)+IF(AND($K182=BU$3,$C182="L"),-$O182,0)+IF(AND($K182=BU$3,$C183="L"),-$O183,0),IF(OR(AND($K182=BU$3,OR($C181="W",$C181="1/2W")),AND($K182=BU$3,OR($C182="W",$C182="1/2W")),AND($K182=BU$3,OR($C183="W",$C183="1/2W"))),$S181,0))</f>
        <v>0</v>
      </c>
      <c r="BV181" s="201">
        <f>IF($B181="LOSS",IF(AND($K181=BV$3,$C181="L"),-$O181,0)+IF(AND($K182=BV$3,$C182="L"),-$O182,0)+IF(AND($K183=BV$3,$C183="L"),-$O183,0),IF(OR(AND($K181=BV$3,OR($C181="W",$C181="1/2W")),AND($K182=BV$3,OR($C182="W",$C182="1/2W")),AND($K183=BV$3,OR($C183="W",$C183="1/2W"))),$S181,0))</f>
        <v>0</v>
      </c>
      <c r="BW181" s="201">
        <f>IF($B181="LOSS",IF(AND($K181=BW$3,$C181="L"),-$O181,0)+IF(AND($K182=BW$3,$C182="L"),-$O182,0)+IF(AND($K183=BW$3,$C183="L"),-$O183,0),IF(OR(AND($K181=BW$3,OR($C181="W",$C181="1/2W")),AND($K182=BW$3,OR($C182="W",$C182="1/2W")),AND($K183=BW$3,OR($C183="W",$C183="1/2W"))),$S181,0))</f>
        <v>0.82</v>
      </c>
      <c r="BX181" s="201">
        <f>IF($B181="LOSS",IF(AND($K181=BX$3,$C181="L"),-$O181,0)+IF(AND($K182=BX$3,$C182="L"),-$O182,0)+IF(AND($K183=BX$3,$C183="L"),-$O183,0),IF(OR(AND($K181=BX$3,OR($C181="W",$C181="1/2W")),AND($K182=BX$3,OR($C182="W",$C182="1/2W")),AND($K183=BX$3,OR($C183="W",$C183="1/2W"))),$S181,0))</f>
        <v>0</v>
      </c>
      <c r="BY181" s="201">
        <f>IF($B181="LOSS",IF(AND($K181=BY$3,$C181="L"),-$O181,0)+IF(AND($K182=BY$3,$C182="L"),-$O182,0)+IF(AND($K183=BY$3,$C183="L"),-$O183,0),IF(OR(AND($K181=BY$3,OR($C181="W",$C181="1/2W")),AND($K182=BY$3,OR($C182="W",$C182="1/2W")),AND($K183=BY$3,OR($C183="W",$C183="1/2W"))),$S181,0))</f>
        <v>0</v>
      </c>
      <c r="BZ181" s="205">
        <f>IF($B181="LOSS",IF(AND($K181=BZ$3,$C181="L"),-$O181,0)+IF(AND($K182=BZ$3,$C182="L"),-$O182,0)+IF(AND($K183=BZ$3,$C183="L"),-$O183,0),IF(OR(AND($K181=BZ$3,OR($C181="W",$C181="1/2W")),AND($K182=BZ$3,OR($C182="W",$C182="1/2W")),AND($K183=BZ$3,OR($C183="W",$C183="1/2W"))),$S181,0))</f>
        <v>0</v>
      </c>
      <c r="CA181" s="205">
        <f>IF($B181="LOSS",IF(AND($K181=CA$3,$C181="L"),-$O181,0)+IF(AND($K182=CA$3,$C182="L"),-$O182,0)+IF(AND($K183=CA$3,$C183="L"),-$O183,0),IF(OR(AND($K181=CA$3,OR($C181="W",$C181="1/2W")),AND($K182=CA$3,OR($C182="W",$C182="1/2W")),AND($K183=CA$3,OR($C183="W",$C183="1/2W"))),$S181,0))</f>
        <v>0</v>
      </c>
      <c r="CB181" s="205">
        <f>IF($B181="LOSS",IF(AND($K181=CB$3,$C181="L"),-$O181,0)+IF(AND($K182=CB$3,$C182="L"),-$O182,0)+IF(AND($K183=CB$3,$C183="L"),-$O183,0),IF(OR(AND($K181=CB$3,OR($C181="W",$C181="1/2W")),AND($K182=CB$3,OR($C182="W",$C182="1/2W")),AND($K183=CB$3,OR($C183="W",$C183="1/2W"))),$S181,0))</f>
        <v>0</v>
      </c>
      <c r="CC181" s="205">
        <f>IF($B181="LOSS",IF(AND($K181=CC$3,$C181="L"),-$O181,0)+IF(AND($K182=CC$3,$C182="L"),-$O182,0)+IF(AND($K183=CC$3,$C183="L"),-$O183,0),IF(OR(AND($K181=CC$3,OR($C181="W",$C181="1/2W")),AND($K182=CC$3,OR($C182="W",$C182="1/2W")),AND($K183=CC$3,OR($C183="W",$C183="1/2W"))),$S181,0))</f>
        <v>0</v>
      </c>
      <c r="CD181" s="202">
        <f>IF($B181="LOSS",IF(AND($K181=CD$3,$C181="L"),-$O181,0)+IF(AND($K182=CD$3,$C182="L"),-$O182,0)+IF(AND($K183=CD$3,$C183="L"),-$O183,0),IF(OR(AND($K181=CD$3,OR($C181="W",$C181="1/2W")),AND($K182=CD$3,OR($C182="W",$C182="1/2W")),AND($K183=CD$3,OR($C183="W",$C183="1/2W"))),$S181,0))</f>
        <v>0</v>
      </c>
      <c r="CE181" s="199">
        <f>IF($B181="LOSS",IF(AND($K181=CE$3,$C181="L"),-$O181,0)+IF(AND($K182=CE$3,$C182="L"),-$O182,0)+IF(AND($K183=CE$3,$C183="L"),-$O183,0),IF(OR(AND($K181=CE$3,OR($C181="W",$C181="1/2W")),AND($K182=CE$3,OR($C182="W",$C182="1/2W")),AND($K183=CE$3,OR($C183="W",$C183="1/2W"))),$S181,0))</f>
        <v>0</v>
      </c>
      <c r="CF181" s="206">
        <f>IF(CF$3=$K181,IF($C181="W",1,IF($C181="1/2W",0.5,0)),0)</f>
        <v>0</v>
      </c>
      <c r="CG181" s="207">
        <f>IF(CF$3=$K181,IF($C181="L",1,IF($C181="1/2L",0.5,0)),0)</f>
        <v>0</v>
      </c>
      <c r="CH181" s="207">
        <f>IF(CH$3=$K181,IF($C181="W",1,IF($C181="1/2W",0.5,0)),0)</f>
        <v>0</v>
      </c>
      <c r="CI181" s="207">
        <f>IF(CH$3=$K181,IF($C181="L",1,IF($C181="1/2L",0.5,0)),0)</f>
        <v>0</v>
      </c>
      <c r="CJ181" s="207">
        <f>IF(CJ$3=$K181,IF($C181="W",1,IF($C181="1/2W",0.5,0)),0)</f>
        <v>0</v>
      </c>
      <c r="CK181" s="207">
        <f>IF(CJ$3=$K181,IF($C181="L",1,IF($C181="1/2L",0.5,0)),0)</f>
        <v>0</v>
      </c>
      <c r="CL181" s="207">
        <f>IF(CL$3=$K181,IF($C181="W",1,IF($C181="1/2W",0.5,0)),0)</f>
        <v>0</v>
      </c>
      <c r="CM181" s="207">
        <f>IF(CL$3=$K181,IF($C181="L",1,IF($C181="1/2L",0.5,0)),0)</f>
        <v>0</v>
      </c>
      <c r="CN181" s="207">
        <f>IF(CN$3=$K181,IF($C181="W",1,IF($C181="1/2W",0.5,0)),0)</f>
        <v>0</v>
      </c>
      <c r="CO181" s="207">
        <f>IF(CN$3=$K181,IF($C181="L",1,IF($C181="1/2L",0.5,0)),0)</f>
        <v>0</v>
      </c>
      <c r="CP181" s="207">
        <f>IF(CP$3=$K181,IF($C181="W",1,IF($C181="1/2W",0.5,0)),0)</f>
        <v>0</v>
      </c>
      <c r="CQ181" s="207">
        <f>IF(CP$3=$K181,IF($C181="L",1,IF($C181="1/2L",0.5,0)),0)</f>
        <v>0</v>
      </c>
      <c r="CR181" s="207">
        <f>IF(CR$3=$K181,IF($C181="W",1,IF($C181="1/2W",0.5,0)),0)</f>
        <v>0</v>
      </c>
      <c r="CS181" s="207">
        <f>IF(CR$3=$K181,IF($C181="L",1,IF($C181="1/2L",0.5,0)),0)</f>
        <v>0</v>
      </c>
      <c r="CT181" s="208">
        <f>IF(CT$3=$K181,IF($C181="W",1,IF($C181="1/2W",0.5,0)),0)</f>
        <v>0</v>
      </c>
      <c r="CU181" s="209">
        <f>IF(CT$3=$K181,IF($C181="L",1,IF($C181="1/2L",0.5,0)),0)</f>
        <v>1</v>
      </c>
      <c r="CV181" s="209">
        <f>IF(CV$3=$K181,IF($C181="W",1,IF($C181="1/2W",0.5,0)),0)</f>
        <v>0</v>
      </c>
      <c r="CW181" s="209">
        <f>IF(CV$3=$K181,IF($C181="L",1,IF($C181="1/2L",0.5,0)),0)</f>
        <v>0</v>
      </c>
      <c r="CX181" s="209">
        <f>IF(CX$3=$K181,IF($C181="W",1,IF($C181="1/2W",0.5,0)),0)</f>
        <v>0</v>
      </c>
      <c r="CY181" s="209">
        <f>IF(CX$3=$K181,IF($C181="L",1,IF($C181="1/2L",0.5,0)),0)</f>
        <v>0</v>
      </c>
      <c r="CZ181" s="209">
        <f>IF(CZ$3=$K181,IF($C181="W",1,IF($C181="1/2W",0.5,0)),0)</f>
        <v>0</v>
      </c>
      <c r="DA181" s="209">
        <f>IF(CZ$3=$K181,IF($C181="L",1,IF($C181="1/2L",0.5,0)),0)</f>
        <v>0</v>
      </c>
      <c r="DB181" s="209">
        <f>IF(DB$3=$K181,IF($C181="W",1,IF($C181="1/2W",0.5,0)),0)</f>
        <v>0</v>
      </c>
      <c r="DC181" s="209">
        <f>IF(DB$3=$K181,IF($C181="L",1,IF($C181="1/2L",0.5,0)),0)</f>
        <v>0</v>
      </c>
      <c r="DD181" s="209">
        <f>IF(DD$3=$K181,IF($C181="W",1,IF($C181="1/2W",0.5,0)),0)</f>
        <v>0</v>
      </c>
      <c r="DE181" s="210">
        <f>IF(DD$3=$K181,IF($C181="L",1,IF($C181="1/2L",0.5,0)),0)</f>
        <v>0</v>
      </c>
      <c r="DF181" s="211">
        <f>IF(AND(L181&lt;DF$3,$C181="W"),1+DF180,DF180)</f>
        <v>8</v>
      </c>
      <c r="DG181" s="198">
        <f>IF(DF181&gt;DF180,L181+DG180,DG180)</f>
        <v>10.598</v>
      </c>
      <c r="DH181" s="209">
        <f>IF(AND(L181&gt;DH$3,$C181="W"),1+DH180,0+DH180)</f>
        <v>2</v>
      </c>
      <c r="DI181" s="198">
        <f>IF(DH181&gt;DH180,L181+DI180,DI180)</f>
        <v>11.58</v>
      </c>
      <c r="DJ181" t="s" s="306">
        <f>IF($D181="","",$D181)</f>
        <v>184</v>
      </c>
      <c r="DK181" s="209">
        <f>IF(AND($B181=" ",$D181&lt;&gt;""),1,0)</f>
        <v>0</v>
      </c>
    </row>
    <row r="182" ht="14.55" customHeight="1">
      <c r="A182" s="107"/>
      <c r="B182" s="108"/>
      <c r="C182" t="s" s="213">
        <v>56</v>
      </c>
      <c r="D182" s="110"/>
      <c r="E182" s="111"/>
      <c r="F182" s="113"/>
      <c r="G182" s="214"/>
      <c r="H182" s="114"/>
      <c r="I182" t="s" s="215">
        <v>67</v>
      </c>
      <c r="J182" s="296">
        <f>IF(OR(I181="TO",I181="TU",I181="TO1",I181="TU1",I181="TO2",I181="TU2"),J181,IF(OR(I181="AH1",I181="AH2"),IF(OR(I182="AH1",I182="AH2"),-J181,IF(OR(I182="EH1",I182="EH2"),-J181+0.5,"")),IF(OR(I181="EH1",I181="EH2"),IF(OR(I182="AH1",I182="AH2"),-J181+0.5,IF(OR(I182="EH1",I182="EH2"),-J181+1,"")),IF(AND(OR(I181="DNB1",I181="DNB2"),OR(I182="AH1",I182="AH2")),0,IF(AND(I181="Not ScoreBoth",OR(I182="TO1",I182="TO2")),0.5,"")))))</f>
        <v>22.5</v>
      </c>
      <c r="K182" t="s" s="217">
        <v>41</v>
      </c>
      <c r="L182" s="218">
        <v>2.35</v>
      </c>
      <c r="M182" s="219">
        <v>8.33</v>
      </c>
      <c r="N182" s="120"/>
      <c r="O182" s="220">
        <f>IF(OR(AE181="",AE182=""),"",ROUND(IF(L183&gt;0,IF(M182&gt;0,M182,IF(M181&gt;0,IF(N181=TRUE,ROUND((M181*AE182)/AE181,0),(M181*AE182)/AE181),IF(M182&gt;0,ROUND(M182,IF(N181=0,2,IF(N181=0.1,1,0))),IF(M183&gt;0,ROUND(O183*AE182/AE183,IF(N181=0,2,IF(N181=0.1,1,0))),0)))),IF(M182&gt;0,M182,ROUND((M181*AE182)/AE181,IF(N181=0,2,IF(N181=0.1,1,0))))),2))</f>
        <v>8.33</v>
      </c>
      <c r="P182" s="221">
        <f>IF(OR(L182="",O182=""),"",IF($C182="1/2W",O182/2+O182/2*L182,IF($C182="1/2L",O182/2,IF(I182="Lay",((O182*(L182/(L182-1)))-O182)*(1-_xlfn.XLOOKUP(K182,'Janeiro 2023 - Valor Real'!A3:A15,'Janeiro 2023 - Valor Real'!C3:C15,0))+O182,(O182*L182-O182)*(1-_xlfn.XLOOKUP(K182,'Janeiro 2023 - Valor Real'!A3:A15,'Janeiro 2023 - Valor Real'!C3:C15,0))+O182))))</f>
        <v>19.5755</v>
      </c>
      <c r="Q182" s="222">
        <f>IF(K182="","",IF(_xlfn.XLOOKUP(K182,K$85:K98,DJ$85:DJ98,0,,-1)=DJ182,_xlfn.XLOOKUP(K182,K$85:K98,Q$85:Q98,1,,-1)+1,1))</f>
        <v>1</v>
      </c>
      <c r="R182" s="223">
        <f>IF(K182="","",_xlfn.XLOOKUP(K182,K$85:K98,R$85:R98,0,,-1)+IF($C182=" ",1,0))</f>
        <v>0</v>
      </c>
      <c r="S182" s="125"/>
      <c r="T182" s="126"/>
      <c r="U182" s="126"/>
      <c r="V182" s="224"/>
      <c r="W182" s="126"/>
      <c r="X182" s="127"/>
      <c r="Y182" s="128"/>
      <c r="Z182" s="129"/>
      <c r="AA182" s="129"/>
      <c r="AB182" s="129"/>
      <c r="AC182" s="129"/>
      <c r="AD182" s="225">
        <f>(((L182/(L182-1)-1)*(1-_xlfn.XLOOKUP(K182,'Janeiro 2023 - Valor Real'!A3:A15,'Janeiro 2023 - Valor Real'!C3:C15,0))+1))</f>
        <v>1.74074074074074</v>
      </c>
      <c r="AE182" s="226">
        <f>IF(L182="","",IF(L183&gt;0,(SUM(((L181-1)*(1-_xlfn.XLOOKUP(K181,'Janeiro 2023 - Valor Real'!A3:A15,'Janeiro 2023 - Valor Real'!C3:C15,0))+1),((L182-1)*(1-_xlfn.XLOOKUP(K182,'Janeiro 2023 - Valor Real'!A3:A15,'Janeiro 2023 - Valor Real'!C3:C15,0))+1),((L183-1)*(1-_xlfn.XLOOKUP(K183,'Janeiro 2023 - Valor Real'!A3:A15,'Janeiro 2023 - Valor Real'!C3:C15,0))+1))/((L182-1)*(1-_xlfn.XLOOKUP(K182,'Janeiro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Real'!C3:C15,0))+1))/((L181-1)*(1-_xlfn.XLOOKUP(K181,'Janeiro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Real'!C3:C15,0))+1))/((L182-1)*(1-_xlfn.XLOOKUP(K182,'Janeiro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Real'!C3:C15,0))+1))/((L183-1)*(1-_xlfn.XLOOKUP(K183,'Janeiro 2023 - Valor Real'!A3:A15,'Janeiro 2023 - Valor Real'!C3:C15,0))+1)),IF(I182="Lay",IF(I181="Lay",((L181/(L181-1)-1)*(1-_xlfn.XLOOKUP(K181,'Janeiro 2023 - Valor Real'!A3:A15,'Janeiro 2023 - Valor Real'!C3:C15,0))+1)/(((L181/(L181-1)-1)*(1-_xlfn.XLOOKUP(K181,'Janeiro 2023 - Valor Real'!A3:A15,'Janeiro 2023 - Valor Real'!C3:C15,0))+1)+((L182/(L182-1)-1)*(1-_xlfn.XLOOKUP(K182,'Janeiro 2023 - Valor Real'!A3:A15,'Janeiro 2023 - Valor Real'!C3:C15,0))+1)),((L181-1)*(1-_xlfn.XLOOKUP(K181,'Janeiro 2023 - Valor Real'!A3:A15,'Janeiro 2023 - Valor Real'!C3:C15,0))+1)/(((L181-1)*(1-_xlfn.XLOOKUP(K181,'Janeiro 2023 - Valor Real'!A3:A15,'Janeiro 2023 - Valor Real'!C3:C15,0))+1)+((L182/(L182-1)-1)*(1-_xlfn.XLOOKUP(K182,'Janeiro 2023 - Valor Real'!A3:A15,'Janeiro 2023 - Valor Real'!C3:C15,0))+1))),IF(I181="Lay",((L181/(L181-1)-1)*(1-_xlfn.XLOOKUP(K181,'Janeiro 2023 - Valor Real'!A3:A15,'Janeiro 2023 - Valor Real'!C3:C15,0))+1)/((((L181/(L181-1)-1)*(1-_xlfn.XLOOKUP(K181,'Janeiro 2023 - Valor Real'!A3:A15,'Janeiro 2023 - Valor Real'!C3:C15,0))+1))+((L182-1)*(1-_xlfn.XLOOKUP(K182,'Janeiro 2023 - Valor Real'!A3:A15,'Janeiro 2023 - Valor Real'!C3:C15,0))+1)),((L181-1)*(1-_xlfn.XLOOKUP(K181,'Janeiro 2023 - Valor Real'!A3:A15,'Janeiro 2023 - Valor Real'!C3:C15,0))+1)/(((L181-1)*(1-_xlfn.XLOOKUP(K181,'Janeiro 2023 - Valor Real'!A3:A15,'Janeiro 2023 - Valor Real'!C3:C15,0))+1)+((L182-1)*(1-_xlfn.XLOOKUP(K182,'Janeiro 2023 - Valor Real'!A3:A15,'Janeiro 2023 - Valor Real'!C3:C15,0))+1))))))</f>
        <v>0.444050153773362</v>
      </c>
      <c r="AF182" s="197">
        <f>IF($K182=AF$3,ROUND(IF(OR($C182="W",$C182="1/2W",$C182="1/2L"),$P182-$O182,IF($C182="X",0,-$O182)),2),0)</f>
        <v>0</v>
      </c>
      <c r="AG182" s="198">
        <f>IF($K182=AG$3,ROUND(IF(OR($C182="W",$C182="1/2W",$C182="1/2L"),$P182-$O182,IF($C182="X",0,-$O182)),2),0)</f>
        <v>0</v>
      </c>
      <c r="AH182" s="198">
        <f>IF($K182=AH$3,ROUND(IF(OR($C182="W",$C182="1/2W",$C182="1/2L"),$P182-$O182,IF($C182="X",0,-$O182)),2),0)</f>
        <v>0</v>
      </c>
      <c r="AI182" s="198">
        <f>IF($K182=AI$3,ROUND(IF(OR($C182="W",$C182="1/2W",$C182="1/2L"),$P182-$O182,IF($C182="X",0,-$O182)),2),0)</f>
        <v>0</v>
      </c>
      <c r="AJ182" s="198">
        <f>IF($K182=AJ$3,ROUND(IF(OR($C182="W",$C182="1/2W",$C182="1/2L"),$P182-$O182,IF($C182="X",0,-$O182)),2),0)</f>
        <v>11.25</v>
      </c>
      <c r="AK182" s="198">
        <f>IF($K182=AK$3,ROUND(IF(OR($C182="W",$C182="1/2W",$C182="1/2L"),$P182-$O182,IF($C182="X",0,-$O182)),2),0)</f>
        <v>0</v>
      </c>
      <c r="AL182" s="198">
        <f>IF($K182=AL$3,ROUND(IF(OR($C182="W",$C182="1/2W",$C182="1/2L"),$P182-$O182,IF($C182="X",0,-$O182)),2),0)</f>
        <v>0</v>
      </c>
      <c r="AM182" s="198">
        <f>IF($K182=AM$3,ROUND(IF(OR($C182="W",$C182="1/2W",$C182="1/2L"),$P182-$O182,IF($C182="X",0,-$O182)),2),0)</f>
        <v>0</v>
      </c>
      <c r="AN182" s="198">
        <f>IF($K182=AN$3,ROUND(IF(OR($C182="W",$C182="1/2W",$C182="1/2L"),$P182-$O182,IF($C182="X",0,-$O182)),2),0)</f>
        <v>0</v>
      </c>
      <c r="AO182" s="198">
        <f>IF($K182=AO$3,ROUND(IF(OR($C182="W",$C182="1/2W",$C182="1/2L"),$P182-$O182,IF($C182="X",0,-$O182)),2),0)</f>
        <v>0</v>
      </c>
      <c r="AP182" s="198">
        <f>IF($K182=AP$3,ROUND(IF(OR($C182="W",$C182="1/2W",$C182="1/2L"),$P182-$O182,IF($C182="X",0,-$O182)),2),0)</f>
        <v>0</v>
      </c>
      <c r="AQ182" s="198">
        <f>IF($K182=AQ$3,ROUND(IF(OR($C182="W",$C182="1/2W",$C182="1/2L"),$P182-$O182,IF($C182="X",0,-$O182)),2),0)</f>
        <v>0</v>
      </c>
      <c r="AR182" s="199">
        <f>IF($K182=AR$3,ROUND(IF(OR($C182="W",$C182="1/2W",$C182="1/2L"),$P182-$O182,IF($C182="X",0,-$O182)),2),0)</f>
        <v>0</v>
      </c>
      <c r="AS182" s="197">
        <f>IF(AND($B181=" ",$K182=AS$3),$O182,0)</f>
        <v>0</v>
      </c>
      <c r="AT182" s="198">
        <f>IF(AND($B181=" ",K182=AT$3),$O182,0)</f>
        <v>0</v>
      </c>
      <c r="AU182" s="198">
        <f>IF(AND($B181=" ",$K182=AU$3),$O182,0)</f>
        <v>0</v>
      </c>
      <c r="AV182" s="198">
        <f>IF(AND($B181=" ",$K182=AV$3),$O182,0)</f>
        <v>0</v>
      </c>
      <c r="AW182" s="198">
        <f>IF(AND($B181=" ",$K182=AW$3),$O182,0)</f>
        <v>0</v>
      </c>
      <c r="AX182" s="198">
        <f>IF(AND($B181=" ",$K182=AX$3),$O182,0)</f>
        <v>0</v>
      </c>
      <c r="AY182" s="200">
        <f>IF(AND($B181=" ",$K182=AY$3),$O182,0)</f>
        <v>0</v>
      </c>
      <c r="AZ182" s="201">
        <f>IF(AND($B181=" ",$K182=AZ$3),$O182,0)</f>
        <v>0</v>
      </c>
      <c r="BA182" s="201">
        <f>IF(AND($B181=" ",$K182=BA$3),$O182,0)</f>
        <v>0</v>
      </c>
      <c r="BB182" s="201">
        <f>IF(AND($B181=" ",$K182=BB$3),$O182,0)</f>
        <v>0</v>
      </c>
      <c r="BC182" s="202">
        <f>IF(AND($B181=" ",$K182=BC$3),$O182,0)</f>
        <v>0</v>
      </c>
      <c r="BD182" s="198">
        <f>IF(AND($B181=" ",$K182=BD$3),$O182,0)</f>
        <v>0</v>
      </c>
      <c r="BE182" s="199">
        <f>IF(AND($B181=" ",$K182=BE$3),$O182,0)</f>
        <v>0</v>
      </c>
      <c r="BF182" s="197">
        <f>IF($K182=BF$3,IF($C182="X",0,$O182),0)</f>
        <v>0</v>
      </c>
      <c r="BG182" s="198">
        <f>IF($K182=BG$3,IF($C182="X",0,$O182),0)</f>
        <v>0</v>
      </c>
      <c r="BH182" s="198">
        <f>IF($K182=BH$3,IF($C182="X",0,$O182),0)</f>
        <v>0</v>
      </c>
      <c r="BI182" s="198">
        <f>IF($K182=BI$3,IF($C182="X",0,$O182),0)</f>
        <v>0</v>
      </c>
      <c r="BJ182" s="198">
        <f>IF($K182=BJ$3,IF($C182="X",0,$O182),0)</f>
        <v>8.33</v>
      </c>
      <c r="BK182" s="198">
        <f>IF($K182=BK$3,IF($C182="X",0,$O182),0)</f>
        <v>0</v>
      </c>
      <c r="BL182" s="198">
        <f>IF($K182=BL$3,IF($C182="X",0,$O182),0)</f>
        <v>0</v>
      </c>
      <c r="BM182" s="227">
        <f>IF($K182=BM$3,IF($C182="X",0,$O182),0)</f>
        <v>0</v>
      </c>
      <c r="BN182" s="205">
        <f>IF($K182=BN$3,IF($C182="X",0,$O182),0)</f>
        <v>0</v>
      </c>
      <c r="BO182" s="205">
        <f>IF($K182=BO$3,IF($C182="X",0,$O182),0)</f>
        <v>0</v>
      </c>
      <c r="BP182" s="205">
        <f>IF($K182=BP$3,IF($C182="X",0,$O182),0)</f>
        <v>0</v>
      </c>
      <c r="BQ182" s="202">
        <f>IF($K182=BQ$3,IF($C182="X",0,$O182),0)</f>
        <v>0</v>
      </c>
      <c r="BR182" s="199">
        <f>IF($K182=BR$3,IF($C182="X",0,$O182),0)</f>
        <v>0</v>
      </c>
      <c r="BS182" s="228"/>
      <c r="BT182" s="229"/>
      <c r="BU182" s="140"/>
      <c r="BV182" s="229"/>
      <c r="BW182" s="140"/>
      <c r="BX182" s="140"/>
      <c r="BY182" s="140"/>
      <c r="BZ182" s="229"/>
      <c r="CA182" s="140"/>
      <c r="CB182" s="140"/>
      <c r="CC182" s="140"/>
      <c r="CD182" s="141"/>
      <c r="CE182" s="142"/>
      <c r="CF182" s="230">
        <f>IF(CF$3=$K182,IF($C182="W",1,IF($C182="1/2W",0.5,0)),0)</f>
        <v>0</v>
      </c>
      <c r="CG182" s="231">
        <f>IF(CF$3=$K182,IF($C182="L",1,IF($C182="1/2L",0.5,0)),0)</f>
        <v>0</v>
      </c>
      <c r="CH182" s="231">
        <f>IF(CH$3=$K182,IF($C182="W",1,IF($C182="1/2W",0.5,0)),0)</f>
        <v>0</v>
      </c>
      <c r="CI182" s="231">
        <f>IF(CH$3=$K182,IF($C182="L",1,IF($C182="1/2L",0.5,0)),0)</f>
        <v>0</v>
      </c>
      <c r="CJ182" s="231">
        <f>IF(CJ$3=$K182,IF($C182="W",1,IF($C182="1/2W",0.5,0)),0)</f>
        <v>0</v>
      </c>
      <c r="CK182" s="231">
        <f>IF(CJ$3=$K182,IF($C182="L",1,IF($C182="1/2L",0.5,0)),0)</f>
        <v>0</v>
      </c>
      <c r="CL182" s="231">
        <f>IF(CL$3=$K182,IF($C182="W",1,IF($C182="1/2W",0.5,0)),0)</f>
        <v>0</v>
      </c>
      <c r="CM182" s="231">
        <f>IF(CL$3=$K182,IF($C182="L",1,IF($C182="1/2L",0.5,0)),0)</f>
        <v>0</v>
      </c>
      <c r="CN182" s="231">
        <f>IF(CN$3=$K182,IF($C182="W",1,IF($C182="1/2W",0.5,0)),0)</f>
        <v>1</v>
      </c>
      <c r="CO182" s="231">
        <f>IF(CN$3=$K182,IF($C182="L",1,IF($C182="1/2L",0.5,0)),0)</f>
        <v>0</v>
      </c>
      <c r="CP182" s="231">
        <f>IF(CP$3=$K182,IF($C182="W",1,IF($C182="1/2W",0.5,0)),0)</f>
        <v>0</v>
      </c>
      <c r="CQ182" s="231">
        <f>IF(CP$3=$K182,IF($C182="L",1,IF($C182="1/2L",0.5,0)),0)</f>
        <v>0</v>
      </c>
      <c r="CR182" s="231">
        <f>IF(CR$3=$K182,IF($C182="W",1,IF($C182="1/2W",0.5,0)),0)</f>
        <v>0</v>
      </c>
      <c r="CS182" s="231">
        <f>IF(CR$3=$K182,IF($C182="L",1,IF($C182="1/2L",0.5,0)),0)</f>
        <v>0</v>
      </c>
      <c r="CT182" s="208">
        <f>IF(CT$3=$K182,IF($C182="W",1,IF($C182="1/2W",0.5,0)),0)</f>
        <v>0</v>
      </c>
      <c r="CU182" s="209">
        <f>IF(CT$3=$K182,IF($C182="L",1,IF($C182="1/2L",0.5,0)),0)</f>
        <v>0</v>
      </c>
      <c r="CV182" s="209">
        <f>IF(CV$3=$K182,IF($C182="W",1,IF($C182="1/2W",0.5,0)),0)</f>
        <v>0</v>
      </c>
      <c r="CW182" s="209">
        <f>IF(CV$3=$K182,IF($C182="L",1,IF($C182="1/2L",0.5,0)),0)</f>
        <v>0</v>
      </c>
      <c r="CX182" s="209">
        <f>IF(CX$3=$K182,IF($C182="W",1,IF($C182="1/2W",0.5,0)),0)</f>
        <v>0</v>
      </c>
      <c r="CY182" s="209">
        <f>IF(CX$3=$K182,IF($C182="L",1,IF($C182="1/2L",0.5,0)),0)</f>
        <v>0</v>
      </c>
      <c r="CZ182" s="209">
        <f>IF(CZ$3=$K182,IF($C182="W",1,IF($C182="1/2W",0.5,0)),0)</f>
        <v>0</v>
      </c>
      <c r="DA182" s="209">
        <f>IF(CZ$3=$K182,IF($C182="L",1,IF($C182="1/2L",0.5,0)),0)</f>
        <v>0</v>
      </c>
      <c r="DB182" s="209">
        <f>IF(DB$3=$K182,IF($C182="W",1,IF($C182="1/2W",0.5,0)),0)</f>
        <v>0</v>
      </c>
      <c r="DC182" s="209">
        <f>IF(DB$3=$K182,IF($C182="L",1,IF($C182="1/2L",0.5,0)),0)</f>
        <v>0</v>
      </c>
      <c r="DD182" s="209">
        <f>IF(DD$3=$K182,IF($C182="W",1,IF($C182="1/2W",0.5,0)),0)</f>
        <v>0</v>
      </c>
      <c r="DE182" s="210">
        <f>IF(DD$3=$K182,IF($C182="L",1,IF($C182="1/2L",0.5,0)),0)</f>
        <v>0</v>
      </c>
      <c r="DF182" s="211">
        <f>IF(AND(L182&lt;DF$3,$C182="W"),1+DF181,DF181)</f>
        <v>8</v>
      </c>
      <c r="DG182" s="198">
        <f>IF(DF182&gt;DF181,L182+DG181,DG181)</f>
        <v>10.598</v>
      </c>
      <c r="DH182" s="209">
        <f>IF(AND(L182&gt;DH$3,$C182="W"),1+DH181,0+DH181)</f>
        <v>2</v>
      </c>
      <c r="DI182" s="198">
        <f>IF(DH182&gt;DH181,L182+DI181,DI181)</f>
        <v>11.58</v>
      </c>
      <c r="DJ182" t="s" s="306">
        <f>IF($D181="","",$D181)</f>
        <v>184</v>
      </c>
      <c r="DK182" s="232"/>
    </row>
    <row r="183" ht="14.55" customHeight="1">
      <c r="A183" s="149"/>
      <c r="B183" s="150"/>
      <c r="C183" t="s" s="233">
        <v>58</v>
      </c>
      <c r="D183" s="152"/>
      <c r="E183" s="153"/>
      <c r="F183" s="155"/>
      <c r="G183" s="234"/>
      <c r="H183" s="156"/>
      <c r="I183" s="235"/>
      <c r="J183" s="236"/>
      <c r="K183" s="237"/>
      <c r="L183" s="238"/>
      <c r="M183" s="239"/>
      <c r="N183" s="161"/>
      <c r="O183" t="s" s="240">
        <f>IF(OR(AE181="",AE182=""),"",IF(L183&gt;0,ROUND(IF(M183&gt;0,M183,IF(M181&gt;0,ROUND((M181*AE183)/AE181,IF(N181=0,2,IF(N181=0.1,1,0))),IF(M182&gt;0,ROUND((M182*AE183)/AE182,IF(N181=0,2,IF(N181=0.1,1,0))),IF(M183&gt;0,M183,0)))),2),""))</f>
      </c>
      <c r="P183" t="s" s="241">
        <f>IF(I182="Lay",O182*(L182/(L182-1))-O182,IF(I181="Lay",O181*(L181/(L181-1))-O181,IF(OR(L183="",O183=""),"",IF($C183="1/2W",O183/2+O183/2*L183,IF($C183="1/2L",O183/2,(O183*L183-O183)*(1-_xlfn.XLOOKUP(K183,'Janeiro 2023 - Valor Real'!A3:A15,'Janeiro 2023 - Valor Real'!C3:C15,0))+O183)))))</f>
      </c>
      <c r="Q183" t="s" s="242">
        <f>IF(K183="","",IF(_xlfn.XLOOKUP(K183,K$86:K98,DJ$86:DJ98,0,,-1)=DJ183,_xlfn.XLOOKUP(K183,K$86:K98,Q$86:Q98,1,,-1)+1,1))</f>
      </c>
      <c r="R183" t="s" s="243">
        <f>IF(K183="","",_xlfn.XLOOKUP(K183,K$86:K98,R$86:R98,0,,-1)+IF($C183=" ",1,0))</f>
      </c>
      <c r="S183" s="166"/>
      <c r="T183" s="155"/>
      <c r="U183" s="155"/>
      <c r="V183" s="166"/>
      <c r="W183" s="155"/>
      <c r="X183" s="167"/>
      <c r="Y183" s="128"/>
      <c r="Z183" s="129"/>
      <c r="AA183" s="129"/>
      <c r="AB183" s="129"/>
      <c r="AC183" s="129"/>
      <c r="AD183" s="244">
        <f>((L182/(L182-1)-1))</f>
        <v>0.740740740740741</v>
      </c>
      <c r="AE183" t="s" s="245">
        <f>IF(L183="","",(SUM(((L181-1)*(1-_xlfn.XLOOKUP(K181,'Janeiro 2023 - Valor Real'!A3:A15,'Janeiro 2023 - Valor Real'!C3:C15,0))+1),((L182-1)*(1-_xlfn.XLOOKUP(K182,'Janeiro 2023 - Valor Real'!A3:A15,'Janeiro 2023 - Valor Real'!C3:C15,0))+1),((L183-1)*(1-_xlfn.XLOOKUP(K183,'Janeiro 2023 - Valor Real'!A3:A15,'Janeiro 2023 - Valor Real'!C3:C15,0))+1))/((L183-1)*(1-_xlfn.XLOOKUP(K183,'Janeiro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Real'!C3:C15,0))+1))/((L181-1)*(1-_xlfn.XLOOKUP(K181,'Janeiro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Real'!C3:C15,0))+1))/((L182-1)*(1-_xlfn.XLOOKUP(K182,'Janeiro 2023 - Valor Real'!A3:A15,'Janeiro 2023 - Valor Real'!C3:C15,0))+1)+SUM(((L181-1)*(1-_xlfn.XLOOKUP(K181,'Janeiro 2023 - Valor Real'!A3:A15,'Janeiro 2023 - Valor Real'!C3:C15,0))+1),((L182-1)*(1-_xlfn.XLOOKUP(K182,'Janeiro 2023 - Valor Real'!A3:A15,'Janeiro 2023 - Valor Real'!C3:C15,0))+1),((L183-1)*(1-_xlfn.XLOOKUP(K183,'Janeiro 2023 - Valor Real'!A3:A15,'Janeiro 2023 - Valor Real'!C3:C15,0))+1))/((L183-1)*(1-_xlfn.XLOOKUP(K183,'Janeiro 2023 - Valor Real'!A3:A15,'Janeiro 2023 - Valor Real'!C3:C15,0))+1)))</f>
      </c>
      <c r="AF183" s="197">
        <f>IF($K183=AF$3,ROUND(IF(OR($C183="W",$C183="1/2W",$C183="1/2L"),$P183-$O183,IF($C183="X",0,-$O183)),2),0)</f>
        <v>0</v>
      </c>
      <c r="AG183" s="198">
        <f>IF($K183=AG$3,ROUND(IF(OR($C183="W",$C183="1/2W",$C183="1/2L"),$P183-$O183,IF($C183="X",0,-$O183)),2),0)</f>
        <v>0</v>
      </c>
      <c r="AH183" s="198">
        <f>IF($K183=AH$3,ROUND(IF(OR($C183="W",$C183="1/2W",$C183="1/2L"),$P183-$O183,IF($C183="X",0,-$O183)),2),0)</f>
        <v>0</v>
      </c>
      <c r="AI183" s="198">
        <f>IF($K183=AI$3,ROUND(IF(OR($C183="W",$C183="1/2W",$C183="1/2L"),$P183-$O183,IF($C183="X",0,-$O183)),2),0)</f>
        <v>0</v>
      </c>
      <c r="AJ183" s="198">
        <f>IF($K183=AJ$3,ROUND(IF(OR($C183="W",$C183="1/2W",$C183="1/2L"),$P183-$O183,IF($C183="X",0,-$O183)),2),0)</f>
        <v>0</v>
      </c>
      <c r="AK183" s="198">
        <f>IF($K183=AK$3,ROUND(IF(OR($C183="W",$C183="1/2W",$C183="1/2L"),$P183-$O183,IF($C183="X",0,-$O183)),2),0)</f>
        <v>0</v>
      </c>
      <c r="AL183" s="198">
        <f>IF($K183=AL$3,ROUND(IF(OR($C183="W",$C183="1/2W",$C183="1/2L"),$P183-$O183,IF($C183="X",0,-$O183)),2),0)</f>
        <v>0</v>
      </c>
      <c r="AM183" s="198">
        <f>IF($K183=AM$3,ROUND(IF(OR($C183="W",$C183="1/2W",$C183="1/2L"),$P183-$O183,IF($C183="X",0,-$O183)),2),0)</f>
        <v>0</v>
      </c>
      <c r="AN183" s="198">
        <f>IF($K183=AN$3,ROUND(IF(OR($C183="W",$C183="1/2W",$C183="1/2L"),$P183-$O183,IF($C183="X",0,-$O183)),2),0)</f>
        <v>0</v>
      </c>
      <c r="AO183" s="198">
        <f>IF($K183=AO$3,ROUND(IF(OR($C183="W",$C183="1/2W",$C183="1/2L"),$P183-$O183,IF($C183="X",0,-$O183)),2),0)</f>
        <v>0</v>
      </c>
      <c r="AP183" s="198">
        <f>IF($K183=AP$3,ROUND(IF(OR($C183="W",$C183="1/2W",$C183="1/2L"),$P183-$O183,IF($C183="X",0,-$O183)),2),0)</f>
        <v>0</v>
      </c>
      <c r="AQ183" s="198">
        <f>IF($K183=AQ$3,ROUND(IF(OR($C183="W",$C183="1/2W",$C183="1/2L"),$P183-$O183,IF($C183="X",0,-$O183)),2),0)</f>
        <v>0</v>
      </c>
      <c r="AR183" s="199">
        <f>IF($K183=AR$3,ROUND(IF(OR($C183="W",$C183="1/2W",$C183="1/2L"),$P183-$O183,IF($C183="X",0,-$O183)),2),0)</f>
        <v>0</v>
      </c>
      <c r="AS183" s="197">
        <f>IF(AND($B181=" ",$K183=AS$3),$O183,0)</f>
        <v>0</v>
      </c>
      <c r="AT183" s="198">
        <f>IF(AND($B181=" ",K183=AT$3),$O183,0)</f>
        <v>0</v>
      </c>
      <c r="AU183" s="198">
        <f>IF(AND($B181=" ",$K183=AU$3),$O183,0)</f>
        <v>0</v>
      </c>
      <c r="AV183" s="198">
        <f>IF(AND($B181=" ",$K183=AV$3),$O183,0)</f>
        <v>0</v>
      </c>
      <c r="AW183" s="198">
        <f>IF(AND($B181=" ",$K183=AW$3),$O183,0)</f>
        <v>0</v>
      </c>
      <c r="AX183" s="198">
        <f>IF(AND($B181=" ",$K183=AX$3),$O183,0)</f>
        <v>0</v>
      </c>
      <c r="AY183" s="200">
        <f>IF(AND($B181=" ",$K183=AY$3),$O183,0)</f>
        <v>0</v>
      </c>
      <c r="AZ183" s="201">
        <f>IF(AND($B181=" ",$K183=AZ$3),$O183,0)</f>
        <v>0</v>
      </c>
      <c r="BA183" s="201">
        <f>IF(AND($B181=" ",$K183=BA$3),$O183,0)</f>
        <v>0</v>
      </c>
      <c r="BB183" s="201">
        <f>IF(AND($B181=" ",$K183=BB$3),$O183,0)</f>
        <v>0</v>
      </c>
      <c r="BC183" s="202">
        <f>IF(AND($B181=" ",$K183=BC$3),$O183,0)</f>
        <v>0</v>
      </c>
      <c r="BD183" s="198">
        <f>IF(AND($B181=" ",$K183=BD$3),$O183,0)</f>
        <v>0</v>
      </c>
      <c r="BE183" s="199">
        <f>IF(AND($B181=" ",$K183=BE$3),$O183,0)</f>
        <v>0</v>
      </c>
      <c r="BF183" s="197">
        <f>IF($K183=BF$3,IF($C183="X",0,$O183),0)</f>
        <v>0</v>
      </c>
      <c r="BG183" s="198">
        <f>IF($K183=BG$3,IF($C183="X",0,$O183),0)</f>
        <v>0</v>
      </c>
      <c r="BH183" s="198">
        <f>IF($K183=BH$3,IF($C183="X",0,$O183),0)</f>
        <v>0</v>
      </c>
      <c r="BI183" s="198">
        <f>IF($K183=BI$3,IF($C183="X",0,$O183),0)</f>
        <v>0</v>
      </c>
      <c r="BJ183" s="198">
        <f>IF($K183=BJ$3,IF($C183="X",0,$O183),0)</f>
        <v>0</v>
      </c>
      <c r="BK183" s="198">
        <f>IF($K183=BK$3,IF($C183="X",0,$O183),0)</f>
        <v>0</v>
      </c>
      <c r="BL183" s="198">
        <f>IF($K183=BL$3,IF($C183="X",0,$O183),0)</f>
        <v>0</v>
      </c>
      <c r="BM183" s="200">
        <f>IF($K183=BM$3,IF($C183="X",0,$O183),0)</f>
        <v>0</v>
      </c>
      <c r="BN183" s="201">
        <f>IF($K183=BN$3,IF($C183="X",0,$O183),0)</f>
        <v>0</v>
      </c>
      <c r="BO183" s="201">
        <f>IF($K183=BO$3,IF($C183="X",0,$O183),0)</f>
        <v>0</v>
      </c>
      <c r="BP183" s="201">
        <f>IF($K183=BP$3,IF($C183="X",0,$O183),0)</f>
        <v>0</v>
      </c>
      <c r="BQ183" s="202">
        <f>IF($K183=BQ$3,IF($C183="X",0,$O183),0)</f>
        <v>0</v>
      </c>
      <c r="BR183" s="199">
        <f>IF($K183=BR$3,IF($C183="X",0,$O183),0)</f>
        <v>0</v>
      </c>
      <c r="BS183" s="228"/>
      <c r="BT183" s="229"/>
      <c r="BU183" s="140"/>
      <c r="BV183" s="229"/>
      <c r="BW183" s="140"/>
      <c r="BX183" s="140"/>
      <c r="BY183" s="140"/>
      <c r="BZ183" s="229"/>
      <c r="CA183" s="140"/>
      <c r="CB183" s="140"/>
      <c r="CC183" s="140"/>
      <c r="CD183" s="141"/>
      <c r="CE183" s="142"/>
      <c r="CF183" s="230">
        <f>IF(CF$3=$K183,IF($C183="W",1,IF($C183="1/2W",0.5,0)),0)</f>
        <v>0</v>
      </c>
      <c r="CG183" s="231">
        <f>IF(CF$3=$K183,IF($C183="L",1,IF($C183="1/2L",0.5,0)),0)</f>
        <v>0</v>
      </c>
      <c r="CH183" s="231">
        <f>IF(CH$3=$K183,IF($C183="W",1,IF($C183="1/2W",0.5,0)),0)</f>
        <v>0</v>
      </c>
      <c r="CI183" s="231">
        <f>IF(CH$3=$K183,IF($C183="L",1,IF($C183="1/2L",0.5,0)),0)</f>
        <v>0</v>
      </c>
      <c r="CJ183" s="231">
        <f>IF(CJ$3=$K183,IF($C183="W",1,IF($C183="1/2W",0.5,0)),0)</f>
        <v>0</v>
      </c>
      <c r="CK183" s="231">
        <f>IF(CJ$3=$K183,IF($C183="L",1,IF($C183="1/2L",0.5,0)),0)</f>
        <v>0</v>
      </c>
      <c r="CL183" s="231">
        <f>IF(CL$3=$K183,IF($C183="W",1,IF($C183="1/2W",0.5,0)),0)</f>
        <v>0</v>
      </c>
      <c r="CM183" s="231">
        <f>IF(CL$3=$K183,IF($C183="L",1,IF($C183="1/2L",0.5,0)),0)</f>
        <v>0</v>
      </c>
      <c r="CN183" s="231">
        <f>IF(CN$3=$K183,IF($C183="W",1,IF($C183="1/2W",0.5,0)),0)</f>
        <v>0</v>
      </c>
      <c r="CO183" s="231">
        <f>IF(CN$3=$K183,IF($C183="L",1,IF($C183="1/2L",0.5,0)),0)</f>
        <v>0</v>
      </c>
      <c r="CP183" s="231">
        <f>IF(CP$3=$K183,IF($C183="W",1,IF($C183="1/2W",0.5,0)),0)</f>
        <v>0</v>
      </c>
      <c r="CQ183" s="231">
        <f>IF(CP$3=$K183,IF($C183="L",1,IF($C183="1/2L",0.5,0)),0)</f>
        <v>0</v>
      </c>
      <c r="CR183" s="231">
        <f>IF(CR$3=$K183,IF($C183="W",1,IF($C183="1/2W",0.5,0)),0)</f>
        <v>0</v>
      </c>
      <c r="CS183" s="231">
        <f>IF(CR$3=$K183,IF($C183="L",1,IF($C183="1/2L",0.5,0)),0)</f>
        <v>0</v>
      </c>
      <c r="CT183" s="208">
        <f>IF(CT$3=$K183,IF($C183="W",1,IF($C183="1/2W",0.5,0)),0)</f>
        <v>0</v>
      </c>
      <c r="CU183" s="209">
        <f>IF(CT$3=$K183,IF($C183="L",1,IF($C183="1/2L",0.5,0)),0)</f>
        <v>0</v>
      </c>
      <c r="CV183" s="209">
        <f>IF(CV$3=$K183,IF($C183="W",1,IF($C183="1/2W",0.5,0)),0)</f>
        <v>0</v>
      </c>
      <c r="CW183" s="209">
        <f>IF(CV$3=$K183,IF($C183="L",1,IF($C183="1/2L",0.5,0)),0)</f>
        <v>0</v>
      </c>
      <c r="CX183" s="209">
        <f>IF(CX$3=$K183,IF($C183="W",1,IF($C183="1/2W",0.5,0)),0)</f>
        <v>0</v>
      </c>
      <c r="CY183" s="209">
        <f>IF(CX$3=$K183,IF($C183="L",1,IF($C183="1/2L",0.5,0)),0)</f>
        <v>0</v>
      </c>
      <c r="CZ183" s="209">
        <f>IF(CZ$3=$K183,IF($C183="W",1,IF($C183="1/2W",0.5,0)),0)</f>
        <v>0</v>
      </c>
      <c r="DA183" s="209">
        <f>IF(CZ$3=$K183,IF($C183="L",1,IF($C183="1/2L",0.5,0)),0)</f>
        <v>0</v>
      </c>
      <c r="DB183" s="209">
        <f>IF(DB$3=$K183,IF($C183="W",1,IF($C183="1/2W",0.5,0)),0)</f>
        <v>0</v>
      </c>
      <c r="DC183" s="209">
        <f>IF(DB$3=$K183,IF($C183="L",1,IF($C183="1/2L",0.5,0)),0)</f>
        <v>0</v>
      </c>
      <c r="DD183" s="209">
        <f>IF(DD$3=$K183,IF($C183="W",1,IF($C183="1/2W",0.5,0)),0)</f>
        <v>0</v>
      </c>
      <c r="DE183" s="210">
        <f>IF(DD$3=$K183,IF($C183="L",1,IF($C183="1/2L",0.5,0)),0)</f>
        <v>0</v>
      </c>
      <c r="DF183" s="211">
        <f>IF(AND(L183&lt;DF$3,$C183="W"),1+DF182,DF182)</f>
        <v>8</v>
      </c>
      <c r="DG183" s="198">
        <f>IF(DF183&gt;DF182,L183+DG182,DG182)</f>
        <v>10.598</v>
      </c>
      <c r="DH183" s="209">
        <f>IF(AND(L183&gt;DH$3,$C183="W"),1+DH182,0+DH182)</f>
        <v>2</v>
      </c>
      <c r="DI183" s="198">
        <f>IF(DH183&gt;DH182,L183+DI182,DI182)</f>
        <v>11.58</v>
      </c>
      <c r="DJ183" t="s" s="306">
        <f>IF($D181="","",$D181)</f>
        <v>184</v>
      </c>
      <c r="DK183" s="232"/>
    </row>
    <row r="184" ht="14.55" customHeight="1">
      <c r="A184" s="246">
        <f>$A181+1</f>
        <v>61</v>
      </c>
      <c r="B184" t="s" s="247">
        <f>IF(AND(_xlfn.XLOOKUP(H184,H$87:H98,G$87:G98,0)=G184,_xlfn.XLOOKUP("TempoBet",K184:K186,L184:L186,0)&gt;0),"X",IF(OR(C184="W",C185="W",C186="W",C184="1/2W",C185="1/2W",C186="1/2W",C184="1/2L",C185="1/2L",C186="1/2L"),"OK",IF(OR(C184="L",C185="L",C186="L"),"LOSS",IF(OR(C184="X",C185="X",C186="X"),"Anulado"," "))))</f>
        <v>50</v>
      </c>
      <c r="C184" t="s" s="248">
        <v>51</v>
      </c>
      <c r="D184" t="s" s="303">
        <f>IF(G184="","",$D181)</f>
        <v>184</v>
      </c>
      <c r="E184" t="s" s="250">
        <v>133</v>
      </c>
      <c r="F184" t="s" s="251"/>
      <c r="G184" s="252">
        <v>44945.208333333336</v>
      </c>
      <c r="H184" t="s" s="253">
        <v>201</v>
      </c>
      <c r="I184" t="s" s="254">
        <v>65</v>
      </c>
      <c r="J184" s="255">
        <v>6.5</v>
      </c>
      <c r="K184" t="s" s="256">
        <v>44</v>
      </c>
      <c r="L184" s="257">
        <v>1.84</v>
      </c>
      <c r="M184" s="258"/>
      <c r="N184" s="259">
        <v>0</v>
      </c>
      <c r="O184" s="260">
        <f>IF(OR(AE184="",AE185=""),"",ROUND(IF(L186&gt;0,IF(M184&gt;0,M184,IF(M185&gt;0,ROUND((M185*AE184)/AE185,IF(N184=0,2,IF(N184=0.1,1,0))),ROUND((M186*AE184)/AE186,IF(N184=0,2,IF(N184=0.1,1,0))))),IF(M184&gt;0,M184,ROUND((M185*AE184)/AE185,IF(N184=0,2,IF(N184=0.1,1,0))))),2))</f>
        <v>10.49</v>
      </c>
      <c r="P184" s="261">
        <f>IF(OR(L184="",O184=""),"",IF($C184="1/2W",O184/2+O184/2*L184,IF($C184="1/2L",O184/2,IF(I184="Lay",(O184*(L184/(L184-1))-O184)*(1-_xlfn.XLOOKUP(K184,'Janeiro 2023 - Valor Real'!A3:A15,'Janeiro 2023 - Valor Real'!C3:C15,0))+O184,(O184*L184-O184)*(1-_xlfn.XLOOKUP(K184,'Janeiro 2023 - Valor Real'!A3:A15,'Janeiro 2023 - Valor Real'!C3:C15,0))+O184))))</f>
        <v>19.3016</v>
      </c>
      <c r="Q184" s="262">
        <f>IF(K184="","",IF(_xlfn.XLOOKUP(K184,K$87:K98,DJ$87:DJ98,0,,-1)=DJ184,_xlfn.XLOOKUP(K184,K$87:K98,Q$87:Q98,1,,-1)+1,1))</f>
        <v>1</v>
      </c>
      <c r="R184" s="263">
        <f>IF(K184="","",_xlfn.XLOOKUP(K184,K$87:K98,R$87:R98,0,,-1)+IF($C184=" ",1,0))</f>
        <v>0</v>
      </c>
      <c r="S184" s="264">
        <f>IF($B184="Anulado",0,ROUND(IF(OR($B184="LOSS",$B184="OK"),IF(OR($C184="W",$C184="1/2W",$C184="1/2L"),P184-O184,IF($C184="L",-O184,0))+IF(OR($C185="W",$C185="1/2W",$C185="1/2L"),P185-O185,IF($C185="L",-O185,0))+IF(OR($C186="W",$C186="1/2W",$C186="1/2L"),P186-O186,IF($C186="L",-O186,0)),IF(AND(OR($C184="W",$C184="1/2W",$C184="1/2L"),C185="W"),P184+P185-SUM(O184:O186)+_xlfn.XLOOKUP("X",C184:C186,O184:O186,0),IF(AND(C184=TRUE,C186="W"),P184+P186-SUM(O184:O186),IF(AND(C185="W",C186="W"),P185+P186-SUM(O184:O186)+_xlfn.XLOOKUP("X",C184:C186,O184:O186,0),IF(L186&gt;0,IF(OR($C184="W",$C184="1/2W",$C184="1/2L"),P184-SUM(O184:O186)+_xlfn.XLOOKUP("X",C184:C186,O184:O186,0),IF(OR($C184="W",$C184="1/2W",$C184="1/2L"),P185-SUM(O184:O186)+_xlfn.XLOOKUP("X",C184:C186,O184:O186,0),IF(OR($C184="W",$C184="1/2W",$C184="1/2L"),P186-SUM(O184:O186)+_xlfn.XLOOKUP("X",C184:C186,O184:O186,0),IF(SUM(P184:P186)/3-SUM(O184:O186)+_xlfn.XLOOKUP("X",C184:C186,O184:O186,0)&gt;0,SUM(P184:P186)/3-SUM(O184:O186)+_xlfn.XLOOKUP("X",C184:C186,O184:O186,0),LARGE(P184:P186,1)-SUM(O184:O186))))),IF(OR($C184="W",$C184="1/2W",$C184="1/2L"),P184-SUM(O184:O185)+_xlfn.XLOOKUP("X",C184:C186,O184:O186,0),IF(OR($C184="W",$C184="1/2W",$C184="1/2L"),P185-SUM(O184:O185)+_xlfn.XLOOKUP("X",C184:C186,O184:O186,0),SUM(P184:P185)/2-SUM(O184:O185)+_xlfn.XLOOKUP("X",C184:C186,O184:O186,0)))))))),2))</f>
        <v>0.77</v>
      </c>
      <c r="T184" s="265">
        <f>IF(S184=0,0,S184/SUM(O184:O186))</f>
        <v>0.0415542363734485</v>
      </c>
      <c r="U184" s="266">
        <f>IF($D184=$D181,IF(OR($B184="LOSS",$B184="OK",$B184="Anulada"),S184,0)+U181,IF(OR($B184="LOSS",$B184="OK",$B184="Anulada"),S184,0))</f>
        <v>33.59</v>
      </c>
      <c r="V184" s="266">
        <f>IF($D184="",0,IF($D184=$D181,IF($B184=" ",IF(I186="",IF(OR(AND(I184="DNB1",I185="DNB2"),AND(OR(I184="DNB1",I184="DNB2"),J185=0),AND(OR(I185="DNB1",I185="DNB2"),J184=0),AND(I184="DNB2",I185="DNB1"),AND(IF(J184=0,(J184+1)/ROUND(J184+1,0),J184/ROUND(J184,0))=1,IF(J185=0,(J185+1)/ROUND(IF(J185="",0,J185)+1,0),IF(J185="",0,J185)/ROUND(IF(J185="",1,J185),0))=1,OR(J184&lt;&gt;""),J185&lt;&gt;"")),0,IF(S184&lt;0,IF(I186="",SMALL(P184:P185,1)-SUM(O184:O185),0),SMALL(P184:P185,1)-SUM(O184:O185))),IF(S184&lt;0,IF(I186="",SMALL(P184:P186,1)-SUM(O184:O186),0),LARGE(P184:P186,1)-SUM(O184:O186))),S184)+V181,IF(I186="",IF(OR(AND(I184="DNB1",I185="DNB2"),AND(OR(I184="DNB1",I184="DNB2"),J185=0),AND(OR(I185="DNB1",I185="DNB2"),J184=0),AND(I184="DNB2",I185="DNB1"),AND(IF(J184=0,(J184+1)/ROUND(J184+1,0),J184/ROUND(J184,0))=1,IF(J185=0,(IF(J185="",0,J185)+1)/ROUND(IF(J185="",0,J185)+1,0),IF(J185="",0,J185)/ROUND(IF(J185="",0,J185)+1,0))=1,OR(J184&lt;&gt;""),J185&lt;&gt;"")),0,IF(S184&lt;0,IF(I186="",SMALL(P184:P185,1)-SUM(O184:O185),0),SMALL(P184:P186,1)-SUM(O184:O186))),IF(S184&lt;0,IF(I186="",SMALL(P184:P186,1)-SUM(O184:O186),0),LARGE(P184:P186,1)-SUM(O184:O186)))))</f>
        <v>33.5875</v>
      </c>
      <c r="W184" s="266">
        <f>IF($D184=$D181,IF(S184&lt;0,IF(I186="",S184,0),S184)+W181,S184)</f>
        <v>33.59</v>
      </c>
      <c r="X184" t="s" s="267">
        <f>IF(OR(SUM(R184:R186)=0,V184=W184),ROUND(IF(W184=0,0,W184/Y184)*100,2)&amp;"%",ROUND(IF(V184=0,0,V184/Y184)*100,2)&amp;"% a "&amp;ROUND(IF(W184=0,0,W184/Y184)*100,2)&amp;"%")</f>
        <v>203</v>
      </c>
      <c r="Y184" s="268">
        <f>IF($D184=$D181,Y181+SUM(O184:O186),SUM(O184:O186))</f>
        <v>466.42</v>
      </c>
      <c r="Z184" s="266">
        <f>IF($B184=" ",SUM(O184:O186),0)+Z181</f>
        <v>0</v>
      </c>
      <c r="AA184" s="266">
        <f>IF(G184="","",IF($B184="Anulado",LARGE(P184:P186,1)-SUM(O184:O186)+AA181,AA181))</f>
        <v>14.1564</v>
      </c>
      <c r="AB184" s="266">
        <f>IF($D184="","",AB181+S184)</f>
        <v>158.7</v>
      </c>
      <c r="AC184" s="269">
        <f>IF($D184="","",IF($B184=" ",IF(DAY(G184)=DAY(TODAY()),1+AC181,0+AC181),0+AC181))</f>
        <v>0</v>
      </c>
      <c r="AD184" s="270">
        <f>(1-_xlfn.XLOOKUP(K182,'Janeiro 2023 - Valor Real'!A3:A15,'Janeiro 2023 - Valor Real'!C3:C15,0))+1</f>
        <v>2</v>
      </c>
      <c r="AE184" s="271">
        <f>IF(L184="","",IF(L186&gt;0,(SUM(((L184-1)*(1-_xlfn.XLOOKUP(K184,'Janeiro 2023 - Valor Real'!A3:A15,'Janeiro 2023 - Valor Real'!C3:C15,0))+1),((L185-1)*(1-_xlfn.XLOOKUP(K185,'Janeiro 2023 - Valor Real'!A3:A15,'Janeiro 2023 - Valor Real'!C3:C15,0))+1),((L186-1)*(1-_xlfn.XLOOKUP(K186,'Janeiro 2023 - Valor Real'!A3:A15,'Janeiro 2023 - Valor Real'!C3:C15,0))+1))/((L184-1)*(1-_xlfn.XLOOKUP(K184,'Janeiro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Real'!C3:C15,0))+1))/((L184-1)*(1-_xlfn.XLOOKUP(K184,'Janeiro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Real'!C3:C15,0))+1))/((L185-1)*(1-_xlfn.XLOOKUP(K185,'Janeiro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Real'!C3:C15,0))+1))/((L186-1)*(1-_xlfn.XLOOKUP(K186,'Janeiro 2023 - Valor Real'!A3:A15,'Janeiro 2023 - Valor Real'!C3:C15,0))+1)),IF(I184="Lay",IF(I185="Lay",((L185/(L185-1)-1)*(1-_xlfn.XLOOKUP(K185,'Janeiro 2023 - Valor Real'!A3:A15,'Janeiro 2023 - Valor Real'!C3:C15,0))+1)/(((L185/(L185-1)-1)*(1-_xlfn.XLOOKUP(K185,'Janeiro 2023 - Valor Real'!A3:A15,'Janeiro 2023 - Valor Real'!C3:C15,0))+1)+((L184/(L184-1)-1)*(1-_xlfn.XLOOKUP(K184,'Janeiro 2023 - Valor Real'!A3:A15,'Janeiro 2023 - Valor Real'!C3:C15,0))+1)),((L185-1)*(1-_xlfn.XLOOKUP(K185,'Janeiro 2023 - Valor Real'!A3:A15,'Janeiro 2023 - Valor Real'!C3:C15,0))+1)/(((L185-1)*(1-_xlfn.XLOOKUP(K185,'Janeiro 2023 - Valor Real'!A3:A15,'Janeiro 2023 - Valor Real'!C3:C15,0))+1)+((L184/(L184-1)-1)*(1-_xlfn.XLOOKUP(K184,'Janeiro 2023 - Valor Real'!A3:A15,'Janeiro 2023 - Valor Real'!C3:C15,0))+1))),IF(I185="Lay",(((L185/(L185-1)-1)*(1-_xlfn.XLOOKUP(K185,'Janeiro 2023 - Valor Real'!A3:A15,'Janeiro 2023 - Valor Real'!C3:C15,0))+1))/(((L184-1)*(1-_xlfn.XLOOKUP(K184,'Janeiro 2023 - Valor Real'!A3:A15,'Janeiro 2023 - Valor Real'!C3:C15,0))+1)+((L185/(L185-1)-1)*(1-_xlfn.XLOOKUP(K185,'Janeiro 2023 - Valor Real'!A3:A15,'Janeiro 2023 - Valor Real'!C3:C15,0))+1)),((L185-1)*(1-_xlfn.XLOOKUP(K185,'Janeiro 2023 - Valor Real'!A3:A15,'Janeiro 2023 - Valor Real'!C3:C15,0))+1)/(((L185-1)*(1-_xlfn.XLOOKUP(K185,'Janeiro 2023 - Valor Real'!A3:A15,'Janeiro 2023 - Valor Real'!C3:C15,0))+1)+((L184-1)*(1-_xlfn.XLOOKUP(K184,'Janeiro 2023 - Valor Real'!A3:A15,'Janeiro 2023 - Valor Real'!C3:C15,0))+1))))))</f>
        <v>0.566037735849057</v>
      </c>
      <c r="AF184" s="132">
        <f>IF($K184=AF$3,ROUND(IF(OR($C184="W",$C184="1/2W",$C184="1/2L"),$P184-$O184,IF($C184="X",0,-$O184)),2),0)</f>
        <v>0</v>
      </c>
      <c r="AG184" s="133">
        <f>IF($K184=AG$3,ROUND(IF(OR($C184="W",$C184="1/2W",$C184="1/2L"),$P184-$O184,IF($C184="X",0,-$O184)),2),0)</f>
        <v>0</v>
      </c>
      <c r="AH184" s="133">
        <f>IF($K184=AH$3,ROUND(IF(OR($C184="W",$C184="1/2W",$C184="1/2L"),$P184-$O184,IF($C184="X",0,-$O184)),2),0)</f>
        <v>0</v>
      </c>
      <c r="AI184" s="133">
        <f>IF($K184=AI$3,ROUND(IF(OR($C184="W",$C184="1/2W",$C184="1/2L"),$P184-$O184,IF($C184="X",0,-$O184)),2),0)</f>
        <v>0</v>
      </c>
      <c r="AJ184" s="133">
        <f>IF($K184=AJ$3,ROUND(IF(OR($C184="W",$C184="1/2W",$C184="1/2L"),$P184-$O184,IF($C184="X",0,-$O184)),2),0)</f>
        <v>0</v>
      </c>
      <c r="AK184" s="133">
        <f>IF($K184=AK$3,ROUND(IF(OR($C184="W",$C184="1/2W",$C184="1/2L"),$P184-$O184,IF($C184="X",0,-$O184)),2),0)</f>
        <v>0</v>
      </c>
      <c r="AL184" s="133">
        <f>IF($K184=AL$3,ROUND(IF(OR($C184="W",$C184="1/2W",$C184="1/2L"),$P184-$O184,IF($C184="X",0,-$O184)),2),0)</f>
        <v>0</v>
      </c>
      <c r="AM184" s="133">
        <f>IF($K184=AM$3,ROUND(IF(OR($C184="W",$C184="1/2W",$C184="1/2L"),$P184-$O184,IF($C184="X",0,-$O184)),2),0)</f>
        <v>-10.49</v>
      </c>
      <c r="AN184" s="133">
        <f>IF($K184=AN$3,ROUND(IF(OR($C184="W",$C184="1/2W",$C184="1/2L"),$P184-$O184,IF($C184="X",0,-$O184)),2),0)</f>
        <v>0</v>
      </c>
      <c r="AO184" s="133">
        <f>IF($K184=AO$3,ROUND(IF(OR($C184="W",$C184="1/2W",$C184="1/2L"),$P184-$O184,IF($C184="X",0,-$O184)),2),0)</f>
        <v>0</v>
      </c>
      <c r="AP184" s="133">
        <f>IF($K184=AP$3,ROUND(IF(OR($C184="W",$C184="1/2W",$C184="1/2L"),$P184-$O184,IF($C184="X",0,-$O184)),2),0)</f>
        <v>0</v>
      </c>
      <c r="AQ184" s="133">
        <f>IF($K184=AQ$3,ROUND(IF(OR($C184="W",$C184="1/2W",$C184="1/2L"),$P184-$O184,IF($C184="X",0,-$O184)),2),0)</f>
        <v>0</v>
      </c>
      <c r="AR184" s="134">
        <f>IF($K184=AR$3,ROUND(IF(OR($C184="W",$C184="1/2W",$C184="1/2L"),$P184-$O184,IF($C184="X",0,-$O184)),2),0)</f>
        <v>0</v>
      </c>
      <c r="AS184" s="132">
        <f>IF(AND($B184=" ",$K184=AS$3),$O184,0)</f>
        <v>0</v>
      </c>
      <c r="AT184" s="133">
        <f>IF(AND($B184=" ",$K184=AT$3),$O184,0)</f>
        <v>0</v>
      </c>
      <c r="AU184" s="133">
        <f>IF(AND($B184=" ",$K184=AU$3),$O184,0)</f>
        <v>0</v>
      </c>
      <c r="AV184" s="133">
        <f>IF(AND($B184=" ",$K184=AV$3),$O184,0)</f>
        <v>0</v>
      </c>
      <c r="AW184" s="133">
        <f>IF(AND($B184=" ",$K184=AW$3),$O184,0)</f>
        <v>0</v>
      </c>
      <c r="AX184" s="133">
        <f>IF(AND($B184=" ",$K184=AX$3),$O184,0)</f>
        <v>0</v>
      </c>
      <c r="AY184" s="135">
        <f>IF(AND($B184=" ",$K184=AY$3),$O184,0)</f>
        <v>0</v>
      </c>
      <c r="AZ184" s="136">
        <f>IF(AND($B184=" ",$K184=AZ$3),$O184,0)</f>
        <v>0</v>
      </c>
      <c r="BA184" s="136">
        <f>IF(AND($B184=" ",$K184=BA$3),$O184,0)</f>
        <v>0</v>
      </c>
      <c r="BB184" s="136">
        <f>IF(AND($B184=" ",$K184=BB$3),$O184,0)</f>
        <v>0</v>
      </c>
      <c r="BC184" s="137">
        <f>IF(AND($B184=" ",$K184=BC$3),$O184,0)</f>
        <v>0</v>
      </c>
      <c r="BD184" s="133">
        <f>IF(AND($B184=" ",$K184=BD$3),$O184,0)</f>
        <v>0</v>
      </c>
      <c r="BE184" s="134">
        <f>IF(AND($B184=" ",$K184=BE$3),$O184,0)</f>
        <v>0</v>
      </c>
      <c r="BF184" s="132">
        <f>IF($K184=BF$3,IF($C184="X",0,$O184),0)</f>
        <v>0</v>
      </c>
      <c r="BG184" s="133">
        <f>IF($K184=BG$3,IF($C184="X",0,$O184),0)</f>
        <v>0</v>
      </c>
      <c r="BH184" s="133">
        <f>IF($K184=BH$3,IF($C184="X",0,$O184),0)</f>
        <v>0</v>
      </c>
      <c r="BI184" s="133">
        <f>IF($K184=BI$3,IF($C184="X",0,$O184),0)</f>
        <v>0</v>
      </c>
      <c r="BJ184" s="133">
        <f>IF($K184=BJ$3,IF($C184="X",0,$O184),0)</f>
        <v>0</v>
      </c>
      <c r="BK184" s="133">
        <f>IF($K184=BK$3,IF($C184="X",0,$O184),0)</f>
        <v>0</v>
      </c>
      <c r="BL184" s="133">
        <f>IF($K184=BL$3,IF($C184="X",0,$O184),0)</f>
        <v>0</v>
      </c>
      <c r="BM184" s="135">
        <f>IF($K184=BM$3,IF($C184="X",0,$O184),0)</f>
        <v>10.49</v>
      </c>
      <c r="BN184" s="136">
        <f>IF($K184=BN$3,IF($C184="X",0,$O184),0)</f>
        <v>0</v>
      </c>
      <c r="BO184" s="136">
        <f>IF($K184=BO$3,IF($C184="X",0,$O184),0)</f>
        <v>0</v>
      </c>
      <c r="BP184" s="136">
        <f>IF($K184=BP$3,IF($C184="X",0,$O184),0)</f>
        <v>0</v>
      </c>
      <c r="BQ184" s="137">
        <f>IF($K184=BQ$3,IF($C184="X",0,$O184),0)</f>
        <v>0</v>
      </c>
      <c r="BR184" s="134">
        <f>IF($K184=BR$3,IF($C184="X",0,$O184),0)</f>
        <v>0</v>
      </c>
      <c r="BS184" s="170">
        <f>IF($B184="LOSS",IF(AND($K184=BS$3,$C184="L"),-$O184,0)+IF(AND($K185=BS$3,$C185="L"),-$O185,0)+IF(AND($K186=BS$3,$C186="L"),-$O186,0),IF(OR(AND($K184=BS$3,OR($C184="W",$C184="1/2W")),AND($K185=BS$3,OR($C185="W",$C185="1/2W")),AND($K186=BS$3,OR($C186="W",$C186="1/2W"))),$S184,0))</f>
        <v>0</v>
      </c>
      <c r="BT184" s="272">
        <f>IF($B184="LOSS",IF(AND($K184=BT$3,$C184="L"),-$O184,0)+IF(AND($K185=BT$3,$C185="L"),-$O185,0)+IF(AND($K185=BT$3,$C186="L"),-$O186,0),IF(OR(AND($K185=BT$3,OR($C184="W",$C184="1/2W")),AND($K185=BT$3,OR($C185="W",$C185="1/2W")),AND($K185=BT$3,OR($C186="W",$C186="1/2W"))),$S184,0))</f>
        <v>0</v>
      </c>
      <c r="BU184" s="136">
        <f>IF($B184="LOSS",IF(AND($K184=BU$3,$C184="L"),-$O184,0)+IF(AND($K185=BU$3,$C185="L"),-$O185,0)+IF(AND($K185=BU$3,$C186="L"),-$O186,0),IF(OR(AND($K185=BU$3,OR($C184="W",$C184="1/2W")),AND($K185=BU$3,OR($C185="W",$C185="1/2W")),AND($K185=BU$3,OR($C186="W",$C186="1/2W"))),$S184,0))</f>
        <v>0</v>
      </c>
      <c r="BV184" s="136">
        <f>IF($B184="LOSS",IF(AND($K184=BV$3,$C184="L"),-$O184,0)+IF(AND($K185=BV$3,$C185="L"),-$O185,0)+IF(AND($K186=BV$3,$C186="L"),-$O186,0),IF(OR(AND($K184=BV$3,OR($C184="W",$C184="1/2W")),AND($K185=BV$3,OR($C185="W",$C185="1/2W")),AND($K186=BV$3,OR($C186="W",$C186="1/2W"))),$S184,0))</f>
        <v>0</v>
      </c>
      <c r="BW184" s="136">
        <f>IF($B184="LOSS",IF(AND($K184=BW$3,$C184="L"),-$O184,0)+IF(AND($K185=BW$3,$C185="L"),-$O185,0)+IF(AND($K186=BW$3,$C186="L"),-$O186,0),IF(OR(AND($K184=BW$3,OR($C184="W",$C184="1/2W")),AND($K185=BW$3,OR($C185="W",$C185="1/2W")),AND($K186=BW$3,OR($C186="W",$C186="1/2W"))),$S184,0))</f>
        <v>0.77</v>
      </c>
      <c r="BX184" s="136">
        <f>IF($B184="LOSS",IF(AND($K184=BX$3,$C184="L"),-$O184,0)+IF(AND($K185=BX$3,$C185="L"),-$O185,0)+IF(AND($K186=BX$3,$C186="L"),-$O186,0),IF(OR(AND($K184=BX$3,OR($C184="W",$C184="1/2W")),AND($K185=BX$3,OR($C185="W",$C185="1/2W")),AND($K186=BX$3,OR($C186="W",$C186="1/2W"))),$S184,0))</f>
        <v>0</v>
      </c>
      <c r="BY184" s="136">
        <f>IF($B184="LOSS",IF(AND($K184=BY$3,$C184="L"),-$O184,0)+IF(AND($K185=BY$3,$C185="L"),-$O185,0)+IF(AND($K186=BY$3,$C186="L"),-$O186,0),IF(OR(AND($K184=BY$3,OR($C184="W",$C184="1/2W")),AND($K185=BY$3,OR($C185="W",$C185="1/2W")),AND($K186=BY$3,OR($C186="W",$C186="1/2W"))),$S184,0))</f>
        <v>0</v>
      </c>
      <c r="BZ184" s="136">
        <f>IF($B184="LOSS",IF(AND($K184=BZ$3,$C184="L"),-$O184,0)+IF(AND($K185=BZ$3,$C185="L"),-$O185,0)+IF(AND($K186=BZ$3,$C186="L"),-$O186,0),IF(OR(AND($K184=BZ$3,OR($C184="W",$C184="1/2W")),AND($K185=BZ$3,OR($C185="W",$C185="1/2W")),AND($K186=BZ$3,OR($C186="W",$C186="1/2W"))),$S184,0))</f>
        <v>0</v>
      </c>
      <c r="CA184" s="136">
        <f>IF($B184="LOSS",IF(AND($K184=CA$3,$C184="L"),-$O184,0)+IF(AND($K185=CA$3,$C185="L"),-$O185,0)+IF(AND($K186=CA$3,$C186="L"),-$O186,0),IF(OR(AND($K184=CA$3,OR($C184="W",$C184="1/2W")),AND($K185=CA$3,OR($C185="W",$C185="1/2W")),AND($K186=CA$3,OR($C186="W",$C186="1/2W"))),$S184,0))</f>
        <v>0</v>
      </c>
      <c r="CB184" s="136">
        <f>IF($B184="LOSS",IF(AND($K184=CB$3,$C184="L"),-$O184,0)+IF(AND($K185=CB$3,$C185="L"),-$O185,0)+IF(AND($K186=CB$3,$C186="L"),-$O186,0),IF(OR(AND($K184=CB$3,OR($C184="W",$C184="1/2W")),AND($K185=CB$3,OR($C185="W",$C185="1/2W")),AND($K186=CB$3,OR($C186="W",$C186="1/2W"))),$S184,0))</f>
        <v>0</v>
      </c>
      <c r="CC184" s="136">
        <f>IF($B184="LOSS",IF(AND($K184=CC$3,$C184="L"),-$O184,0)+IF(AND($K185=CC$3,$C185="L"),-$O185,0)+IF(AND($K186=CC$3,$C186="L"),-$O186,0),IF(OR(AND($K184=CC$3,OR($C184="W",$C184="1/2W")),AND($K185=CC$3,OR($C185="W",$C185="1/2W")),AND($K186=CC$3,OR($C186="W",$C186="1/2W"))),$S184,0))</f>
        <v>0</v>
      </c>
      <c r="CD184" s="137">
        <f>IF($B184="LOSS",IF(AND($K184=CD$3,$C184="L"),-$O184,0)+IF(AND($K185=CD$3,$C185="L"),-$O185,0)+IF(AND($K186=CD$3,$C186="L"),-$O186,0),IF(OR(AND($K184=CD$3,OR($C184="W",$C184="1/2W")),AND($K185=CD$3,OR($C185="W",$C185="1/2W")),AND($K186=CD$3,OR($C186="W",$C186="1/2W"))),$S184,0))</f>
        <v>0</v>
      </c>
      <c r="CE184" s="134">
        <f>IF($B184="LOSS",IF(AND($K184=CE$3,$C184="L"),-$O184,0)+IF(AND($K185=CE$3,$C185="L"),-$O185,0)+IF(AND($K186=CE$3,$C186="L"),-$O186,0),IF(OR(AND($K184=CE$3,OR($C184="W",$C184="1/2W")),AND($K185=CE$3,OR($C185="W",$C185="1/2W")),AND($K186=CE$3,OR($C186="W",$C186="1/2W"))),$S184,0))</f>
        <v>0</v>
      </c>
      <c r="CF184" s="273">
        <f>IF(CF$3=$K184,IF($C184="W",1,IF($C184="1/2W",0.5,0)),0)</f>
        <v>0</v>
      </c>
      <c r="CG184" s="274">
        <f>IF(CF$3=$K184,IF($C184="L",1,IF($C184="1/2L",0.5,0)),0)</f>
        <v>0</v>
      </c>
      <c r="CH184" s="274">
        <f>IF(CH$3=$K184,IF($C184="W",1,IF($C184="1/2W",0.5,0)),0)</f>
        <v>0</v>
      </c>
      <c r="CI184" s="274">
        <f>IF(CH$3=$K184,IF($C184="L",1,IF($C184="1/2L",0.5,0)),0)</f>
        <v>0</v>
      </c>
      <c r="CJ184" s="274">
        <f>IF(CJ$3=$K184,IF($C184="W",1,IF($C184="1/2W",0.5,0)),0)</f>
        <v>0</v>
      </c>
      <c r="CK184" s="274">
        <f>IF(CJ$3=$K184,IF($C184="L",1,IF($C184="1/2L",0.5,0)),0)</f>
        <v>0</v>
      </c>
      <c r="CL184" s="274">
        <f>IF(CL$3=$K184,IF($C184="W",1,IF($C184="1/2W",0.5,0)),0)</f>
        <v>0</v>
      </c>
      <c r="CM184" s="274">
        <f>IF(CL$3=$K184,IF($C184="L",1,IF($C184="1/2L",0.5,0)),0)</f>
        <v>0</v>
      </c>
      <c r="CN184" s="274">
        <f>IF(CN$3=$K184,IF($C184="W",1,IF($C184="1/2W",0.5,0)),0)</f>
        <v>0</v>
      </c>
      <c r="CO184" s="274">
        <f>IF(CN$3=$K184,IF($C184="L",1,IF($C184="1/2L",0.5,0)),0)</f>
        <v>0</v>
      </c>
      <c r="CP184" s="274">
        <f>IF(CP$3=$K184,IF($C184="W",1,IF($C184="1/2W",0.5,0)),0)</f>
        <v>0</v>
      </c>
      <c r="CQ184" s="274">
        <f>IF(CP$3=$K184,IF($C184="L",1,IF($C184="1/2L",0.5,0)),0)</f>
        <v>0</v>
      </c>
      <c r="CR184" s="274">
        <f>IF(CR$3=$K184,IF($C184="W",1,IF($C184="1/2W",0.5,0)),0)</f>
        <v>0</v>
      </c>
      <c r="CS184" s="274">
        <f>IF(CR$3=$K184,IF($C184="L",1,IF($C184="1/2L",0.5,0)),0)</f>
        <v>0</v>
      </c>
      <c r="CT184" s="145">
        <f>IF(CT$3=$K184,IF($C184="W",1,IF($C184="1/2W",0.5,0)),0)</f>
        <v>0</v>
      </c>
      <c r="CU184" s="146">
        <f>IF(CT$3=$K184,IF($C184="L",1,IF($C184="1/2L",0.5,0)),0)</f>
        <v>1</v>
      </c>
      <c r="CV184" s="146">
        <f>IF(CV$3=$K184,IF($C184="W",1,IF($C184="1/2W",0.5,0)),0)</f>
        <v>0</v>
      </c>
      <c r="CW184" s="146">
        <f>IF(CV$3=$K184,IF($C184="L",1,IF($C184="1/2L",0.5,0)),0)</f>
        <v>0</v>
      </c>
      <c r="CX184" s="146">
        <f>IF(CX$3=$K184,IF($C184="W",1,IF($C184="1/2W",0.5,0)),0)</f>
        <v>0</v>
      </c>
      <c r="CY184" s="146">
        <f>IF(CX$3=$K184,IF($C184="L",1,IF($C184="1/2L",0.5,0)),0)</f>
        <v>0</v>
      </c>
      <c r="CZ184" s="146">
        <f>IF(CZ$3=$K184,IF($C184="W",1,IF($C184="1/2W",0.5,0)),0)</f>
        <v>0</v>
      </c>
      <c r="DA184" s="146">
        <f>IF(CZ$3=$K184,IF($C184="L",1,IF($C184="1/2L",0.5,0)),0)</f>
        <v>0</v>
      </c>
      <c r="DB184" s="146">
        <f>IF(DB$3=$K184,IF($C184="W",1,IF($C184="1/2W",0.5,0)),0)</f>
        <v>0</v>
      </c>
      <c r="DC184" s="146">
        <f>IF(DB$3=$K184,IF($C184="L",1,IF($C184="1/2L",0.5,0)),0)</f>
        <v>0</v>
      </c>
      <c r="DD184" s="146">
        <f>IF(DD$3=$K184,IF($C184="W",1,IF($C184="1/2W",0.5,0)),0)</f>
        <v>0</v>
      </c>
      <c r="DE184" s="147">
        <f>IF(DD$3=$K184,IF($C184="L",1,IF($C184="1/2L",0.5,0)),0)</f>
        <v>0</v>
      </c>
      <c r="DF184" s="143">
        <f>IF(AND(L184&lt;DF$3,$C184="W"),1+DF183,DF183)</f>
        <v>8</v>
      </c>
      <c r="DG184" s="133">
        <f>IF(DF184&gt;DF183,L184+DG183,DG183)</f>
        <v>10.598</v>
      </c>
      <c r="DH184" s="146">
        <f>IF(AND(L184&gt;DH$3,$C184="W"),1+DH183,0+DH183)</f>
        <v>2</v>
      </c>
      <c r="DI184" s="133">
        <f>IF(DH184&gt;DH183,L184+DI183,DI183)</f>
        <v>11.58</v>
      </c>
      <c r="DJ184" t="s" s="304">
        <f>IF($D184="","",$D184)</f>
        <v>184</v>
      </c>
      <c r="DK184" s="146">
        <f>IF(AND($B184=" ",$D184&lt;&gt;""),1,0)</f>
        <v>0</v>
      </c>
    </row>
    <row r="185" ht="14.55" customHeight="1">
      <c r="A185" s="107"/>
      <c r="B185" s="108"/>
      <c r="C185" t="s" s="109">
        <v>56</v>
      </c>
      <c r="D185" s="110"/>
      <c r="E185" s="111"/>
      <c r="F185" s="113"/>
      <c r="G185" s="252"/>
      <c r="H185" s="114"/>
      <c r="I185" t="s" s="275">
        <v>67</v>
      </c>
      <c r="J185" s="276">
        <f>IF(OR(I184="TO",I184="TU",I184="TO1",I184="TU1",I184="TO2",I184="TU2"),J184,IF(OR(I184="AH1",I184="AH2"),IF(OR(I185="AH1",I185="AH2"),-J184,IF(OR(I185="EH1",I185="EH2"),-J184+0.5,"")),IF(OR(I184="EH1",I184="EH2"),IF(OR(I185="AH1",I185="AH2"),-J184+0.5,IF(OR(I185="EH1",I185="EH2"),-J184+1,"")),IF(AND(OR(I184="DNB1",I184="DNB2"),OR(I185="AH1",I185="AH2")),0,IF(AND(I184="Not ScoreBoth",OR(I185="TO1",I185="TO2")),0.5,"")))))</f>
        <v>6.5</v>
      </c>
      <c r="K185" t="s" s="117">
        <v>41</v>
      </c>
      <c r="L185" s="277">
        <v>2.4</v>
      </c>
      <c r="M185" s="278">
        <v>8.039999999999999</v>
      </c>
      <c r="N185" s="120"/>
      <c r="O185" s="121">
        <f>IF(OR(AE184="",AE185=""),"",ROUND(IF(L186&gt;0,IF(M185&gt;0,M185,IF(M184&gt;0,IF(N184=TRUE,ROUND((M184*AE185)/AE184,0),(M184*AE185)/AE184),IF(M185&gt;0,ROUND(M185,IF(N184=0,2,IF(N184=0.1,1,0))),IF(M186&gt;0,ROUND(O186*AE185/AE186,IF(N184=0,2,IF(N184=0.1,1,0))),0)))),IF(M185&gt;0,M185,ROUND((M184*AE185)/AE184,IF(N184=0,2,IF(N184=0.1,1,0))))),2))</f>
        <v>8.039999999999999</v>
      </c>
      <c r="P185" s="122">
        <f>IF(OR(L185="",O185=""),"",IF($C185="1/2W",O185/2+O185/2*L185,IF($C185="1/2L",O185/2,IF(I185="Lay",((O185*(L185/(L185-1)))-O185)*(1-_xlfn.XLOOKUP(K185,'Janeiro 2023 - Valor Real'!A3:A15,'Janeiro 2023 - Valor Real'!C3:C15,0))+O185,(O185*L185-O185)*(1-_xlfn.XLOOKUP(K185,'Janeiro 2023 - Valor Real'!A3:A15,'Janeiro 2023 - Valor Real'!C3:C15,0))+O185))))</f>
        <v>19.296</v>
      </c>
      <c r="Q185" s="279">
        <f>IF(K185="","",IF(_xlfn.XLOOKUP(K185,K$88:K98,DJ$88:DJ98,0,,-1)=DJ185,_xlfn.XLOOKUP(K185,K$88:K98,Q$88:Q98,1,,-1)+1,1))</f>
        <v>1</v>
      </c>
      <c r="R185" s="280">
        <f>IF(K185="","",_xlfn.XLOOKUP(K185,K$88:K98,R$88:R98,0,,-1)+IF($C185=" ",1,0))</f>
        <v>0</v>
      </c>
      <c r="S185" s="125"/>
      <c r="T185" s="126"/>
      <c r="U185" s="126"/>
      <c r="V185" s="224"/>
      <c r="W185" s="126"/>
      <c r="X185" s="127"/>
      <c r="Y185" s="128"/>
      <c r="Z185" s="129"/>
      <c r="AA185" s="129"/>
      <c r="AB185" s="129"/>
      <c r="AC185" s="129"/>
      <c r="AD185" s="130"/>
      <c r="AE185" s="131">
        <f>IF(L185="","",IF(L186&gt;0,(SUM(((L184-1)*(1-_xlfn.XLOOKUP(K184,'Janeiro 2023 - Valor Real'!A3:A15,'Janeiro 2023 - Valor Real'!C3:C15,0))+1),((L185-1)*(1-_xlfn.XLOOKUP(K185,'Janeiro 2023 - Valor Real'!A3:A15,'Janeiro 2023 - Valor Real'!C3:C15,0))+1),((L186-1)*(1-_xlfn.XLOOKUP(K186,'Janeiro 2023 - Valor Real'!A3:A15,'Janeiro 2023 - Valor Real'!C3:C15,0))+1))/((L185-1)*(1-_xlfn.XLOOKUP(K185,'Janeiro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Real'!C3:C15,0))+1))/((L184-1)*(1-_xlfn.XLOOKUP(K184,'Janeiro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Real'!C3:C15,0))+1))/((L185-1)*(1-_xlfn.XLOOKUP(K185,'Janeiro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Real'!C3:C15,0))+1))/((L186-1)*(1-_xlfn.XLOOKUP(K186,'Janeiro 2023 - Valor Real'!A3:A15,'Janeiro 2023 - Valor Real'!C3:C15,0))+1)),IF(I185="Lay",IF(I184="Lay",((L184/(L184-1)-1)*(1-_xlfn.XLOOKUP(K184,'Janeiro 2023 - Valor Real'!A3:A15,'Janeiro 2023 - Valor Real'!C3:C15,0))+1)/(((L184/(L184-1)-1)*(1-_xlfn.XLOOKUP(K184,'Janeiro 2023 - Valor Real'!A3:A15,'Janeiro 2023 - Valor Real'!C3:C15,0))+1)+((L185/(L185-1)-1)*(1-_xlfn.XLOOKUP(K185,'Janeiro 2023 - Valor Real'!A3:A15,'Janeiro 2023 - Valor Real'!C3:C15,0))+1)),((L184-1)*(1-_xlfn.XLOOKUP(K184,'Janeiro 2023 - Valor Real'!A3:A15,'Janeiro 2023 - Valor Real'!C3:C15,0))+1)/(((L184-1)*(1-_xlfn.XLOOKUP(K184,'Janeiro 2023 - Valor Real'!A3:A15,'Janeiro 2023 - Valor Real'!C3:C15,0))+1)+((L185/(L185-1)-1)*(1-_xlfn.XLOOKUP(K185,'Janeiro 2023 - Valor Real'!A3:A15,'Janeiro 2023 - Valor Real'!C3:C15,0))+1))),IF(I184="Lay",((L184/(L184-1)-1)*(1-_xlfn.XLOOKUP(K184,'Janeiro 2023 - Valor Real'!A3:A15,'Janeiro 2023 - Valor Real'!C3:C15,0))+1)/((((L184/(L184-1)-1)*(1-_xlfn.XLOOKUP(K184,'Janeiro 2023 - Valor Real'!A3:A15,'Janeiro 2023 - Valor Real'!C3:C15,0))+1))+((L185-1)*(1-_xlfn.XLOOKUP(K185,'Janeiro 2023 - Valor Real'!A3:A15,'Janeiro 2023 - Valor Real'!C3:C15,0))+1)),((L184-1)*(1-_xlfn.XLOOKUP(K184,'Janeiro 2023 - Valor Real'!A3:A15,'Janeiro 2023 - Valor Real'!C3:C15,0))+1)/(((L184-1)*(1-_xlfn.XLOOKUP(K184,'Janeiro 2023 - Valor Real'!A3:A15,'Janeiro 2023 - Valor Real'!C3:C15,0))+1)+((L185-1)*(1-_xlfn.XLOOKUP(K185,'Janeiro 2023 - Valor Real'!A3:A15,'Janeiro 2023 - Valor Real'!C3:C15,0))+1))))))</f>
        <v>0.433962264150943</v>
      </c>
      <c r="AF185" s="132">
        <f>IF($K185=AF$3,ROUND(IF(OR($C185="W",$C185="1/2W",$C185="1/2L"),$P185-$O185,IF($C185="X",0,-$O185)),2),0)</f>
        <v>0</v>
      </c>
      <c r="AG185" s="133">
        <f>IF($K185=AG$3,ROUND(IF(OR($C185="W",$C185="1/2W",$C185="1/2L"),$P185-$O185,IF($C185="X",0,-$O185)),2),0)</f>
        <v>0</v>
      </c>
      <c r="AH185" s="133">
        <f>IF($K185=AH$3,ROUND(IF(OR($C185="W",$C185="1/2W",$C185="1/2L"),$P185-$O185,IF($C185="X",0,-$O185)),2),0)</f>
        <v>0</v>
      </c>
      <c r="AI185" s="133">
        <f>IF($K185=AI$3,ROUND(IF(OR($C185="W",$C185="1/2W",$C185="1/2L"),$P185-$O185,IF($C185="X",0,-$O185)),2),0)</f>
        <v>0</v>
      </c>
      <c r="AJ185" s="133">
        <f>IF($K185=AJ$3,ROUND(IF(OR($C185="W",$C185="1/2W",$C185="1/2L"),$P185-$O185,IF($C185="X",0,-$O185)),2),0)</f>
        <v>11.26</v>
      </c>
      <c r="AK185" s="133">
        <f>IF($K185=AK$3,ROUND(IF(OR($C185="W",$C185="1/2W",$C185="1/2L"),$P185-$O185,IF($C185="X",0,-$O185)),2),0)</f>
        <v>0</v>
      </c>
      <c r="AL185" s="133">
        <f>IF($K185=AL$3,ROUND(IF(OR($C185="W",$C185="1/2W",$C185="1/2L"),$P185-$O185,IF($C185="X",0,-$O185)),2),0)</f>
        <v>0</v>
      </c>
      <c r="AM185" s="133">
        <f>IF($K185=AM$3,ROUND(IF(OR($C185="W",$C185="1/2W",$C185="1/2L"),$P185-$O185,IF($C185="X",0,-$O185)),2),0)</f>
        <v>0</v>
      </c>
      <c r="AN185" s="133">
        <f>IF($K185=AN$3,ROUND(IF(OR($C185="W",$C185="1/2W",$C185="1/2L"),$P185-$O185,IF($C185="X",0,-$O185)),2),0)</f>
        <v>0</v>
      </c>
      <c r="AO185" s="133">
        <f>IF($K185=AO$3,ROUND(IF(OR($C185="W",$C185="1/2W",$C185="1/2L"),$P185-$O185,IF($C185="X",0,-$O185)),2),0)</f>
        <v>0</v>
      </c>
      <c r="AP185" s="133">
        <f>IF($K185=AP$3,ROUND(IF(OR($C185="W",$C185="1/2W",$C185="1/2L"),$P185-$O185,IF($C185="X",0,-$O185)),2),0)</f>
        <v>0</v>
      </c>
      <c r="AQ185" s="133">
        <f>IF($K185=AQ$3,ROUND(IF(OR($C185="W",$C185="1/2W",$C185="1/2L"),$P185-$O185,IF($C185="X",0,-$O185)),2),0)</f>
        <v>0</v>
      </c>
      <c r="AR185" s="134">
        <f>IF($K185=AR$3,ROUND(IF(OR($C185="W",$C185="1/2W",$C185="1/2L"),$P185-$O185,IF($C185="X",0,-$O185)),2),0)</f>
        <v>0</v>
      </c>
      <c r="AS185" s="132">
        <f>IF(AND($B184=" ",$K185=AS$3),$O185,0)</f>
        <v>0</v>
      </c>
      <c r="AT185" s="133">
        <f>IF(AND($B184=" ",K185=AT$3),$O185,0)</f>
        <v>0</v>
      </c>
      <c r="AU185" s="133">
        <f>IF(AND($B184=" ",$K185=AU$3),$O185,0)</f>
        <v>0</v>
      </c>
      <c r="AV185" s="133">
        <f>IF(AND($B184=" ",$K185=AV$3),$O185,0)</f>
        <v>0</v>
      </c>
      <c r="AW185" s="133">
        <f>IF(AND($B184=" ",$K185=AW$3),$O185,0)</f>
        <v>0</v>
      </c>
      <c r="AX185" s="133">
        <f>IF(AND($B184=" ",$K185=AX$3),$O185,0)</f>
        <v>0</v>
      </c>
      <c r="AY185" s="135">
        <f>IF(AND($B184=" ",$K185=AY$3),$O185,0)</f>
        <v>0</v>
      </c>
      <c r="AZ185" s="136">
        <f>IF(AND($B184=" ",$K185=AZ$3),$O185,0)</f>
        <v>0</v>
      </c>
      <c r="BA185" s="136">
        <f>IF(AND($B184=" ",$K185=BA$3),$O185,0)</f>
        <v>0</v>
      </c>
      <c r="BB185" s="136">
        <f>IF(AND($B184=" ",$K185=BB$3),$O185,0)</f>
        <v>0</v>
      </c>
      <c r="BC185" s="137">
        <f>IF(AND($B184=" ",$K185=BC$3),$O185,0)</f>
        <v>0</v>
      </c>
      <c r="BD185" s="133">
        <f>IF(AND($B184=" ",$K185=BD$3),$O185,0)</f>
        <v>0</v>
      </c>
      <c r="BE185" s="134">
        <f>IF(AND($B184=" ",$K185=BE$3),$O185,0)</f>
        <v>0</v>
      </c>
      <c r="BF185" s="132">
        <f>IF($K185=BF$3,IF($C185="X",0,$O185),0)</f>
        <v>0</v>
      </c>
      <c r="BG185" s="281">
        <f>IF($K185=BG$3,IF($C185="X",0,$O185),0)</f>
        <v>0</v>
      </c>
      <c r="BH185" s="133">
        <f>IF($K185=BH$3,IF($C185="X",0,$O185),0)</f>
        <v>0</v>
      </c>
      <c r="BI185" s="133">
        <f>IF($K185=BI$3,IF($C185="X",0,$O185),0)</f>
        <v>0</v>
      </c>
      <c r="BJ185" s="133">
        <f>IF($K185=BJ$3,IF($C185="X",0,$O185),0)</f>
        <v>8.039999999999999</v>
      </c>
      <c r="BK185" s="133">
        <f>IF($K185=BK$3,IF($C185="X",0,$O185),0)</f>
        <v>0</v>
      </c>
      <c r="BL185" s="133">
        <f>IF($K185=BL$3,IF($C185="X",0,$O185),0)</f>
        <v>0</v>
      </c>
      <c r="BM185" s="135">
        <f>IF($K185=BM$3,IF($C185="X",0,$O185),0)</f>
        <v>0</v>
      </c>
      <c r="BN185" s="136">
        <f>IF($K185=BN$3,IF($C185="X",0,$O185),0)</f>
        <v>0</v>
      </c>
      <c r="BO185" s="136">
        <f>IF($K185=BO$3,IF($C185="X",0,$O185),0)</f>
        <v>0</v>
      </c>
      <c r="BP185" s="136">
        <f>IF($K185=BP$3,IF($C185="X",0,$O185),0)</f>
        <v>0</v>
      </c>
      <c r="BQ185" s="137">
        <f>IF($K185=BQ$3,IF($C185="X",0,$O185),0)</f>
        <v>0</v>
      </c>
      <c r="BR185" s="134">
        <f>IF($K185=BR$3,IF($C185="X",0,$O185),0)</f>
        <v>0</v>
      </c>
      <c r="BS185" s="282"/>
      <c r="BT185" s="283"/>
      <c r="BU185" s="140"/>
      <c r="BV185" s="283"/>
      <c r="BW185" s="140"/>
      <c r="BX185" s="140"/>
      <c r="BY185" s="140"/>
      <c r="BZ185" s="283"/>
      <c r="CA185" s="140"/>
      <c r="CB185" s="140"/>
      <c r="CC185" s="140"/>
      <c r="CD185" s="141"/>
      <c r="CE185" s="142"/>
      <c r="CF185" s="284">
        <f>IF(CF$3=$K185,IF($C185="W",1,IF($C185="1/2W",0.5,0)),0)</f>
        <v>0</v>
      </c>
      <c r="CG185" s="285">
        <f>IF(CF$3=$K185,IF($C185="L",1,IF($C185="1/2L",0.5,0)),0)</f>
        <v>0</v>
      </c>
      <c r="CH185" s="285">
        <f>IF(CH$3=$K185,IF($C185="W",1,IF($C185="1/2W",0.5,0)),0)</f>
        <v>0</v>
      </c>
      <c r="CI185" s="285">
        <f>IF(CH$3=$K185,IF($C185="L",1,IF($C185="1/2L",0.5,0)),0)</f>
        <v>0</v>
      </c>
      <c r="CJ185" s="285">
        <f>IF(CJ$3=$K185,IF($C185="W",1,IF($C185="1/2W",0.5,0)),0)</f>
        <v>0</v>
      </c>
      <c r="CK185" s="285">
        <f>IF(CJ$3=$K185,IF($C185="L",1,IF($C185="1/2L",0.5,0)),0)</f>
        <v>0</v>
      </c>
      <c r="CL185" s="285">
        <f>IF(CL$3=$K185,IF($C185="W",1,IF($C185="1/2W",0.5,0)),0)</f>
        <v>0</v>
      </c>
      <c r="CM185" s="285">
        <f>IF(CL$3=$K185,IF($C185="L",1,IF($C185="1/2L",0.5,0)),0)</f>
        <v>0</v>
      </c>
      <c r="CN185" s="285">
        <f>IF(CN$3=$K185,IF($C185="W",1,IF($C185="1/2W",0.5,0)),0)</f>
        <v>1</v>
      </c>
      <c r="CO185" s="285">
        <f>IF(CN$3=$K185,IF($C185="L",1,IF($C185="1/2L",0.5,0)),0)</f>
        <v>0</v>
      </c>
      <c r="CP185" s="285">
        <f>IF(CP$3=$K185,IF($C185="W",1,IF($C185="1/2W",0.5,0)),0)</f>
        <v>0</v>
      </c>
      <c r="CQ185" s="285">
        <f>IF(CP$3=$K185,IF($C185="L",1,IF($C185="1/2L",0.5,0)),0)</f>
        <v>0</v>
      </c>
      <c r="CR185" s="285">
        <f>IF(CR$3=$K185,IF($C185="W",1,IF($C185="1/2W",0.5,0)),0)</f>
        <v>0</v>
      </c>
      <c r="CS185" s="285">
        <f>IF(CR$3=$K185,IF($C185="L",1,IF($C185="1/2L",0.5,0)),0)</f>
        <v>0</v>
      </c>
      <c r="CT185" s="145">
        <f>IF(CT$3=$K185,IF($C185="W",1,IF($C185="1/2W",0.5,0)),0)</f>
        <v>0</v>
      </c>
      <c r="CU185" s="146">
        <f>IF(CT$3=$K185,IF($C185="L",1,IF($C185="1/2L",0.5,0)),0)</f>
        <v>0</v>
      </c>
      <c r="CV185" s="146">
        <f>IF(CV$3=$K185,IF($C185="W",1,IF($C185="1/2W",0.5,0)),0)</f>
        <v>0</v>
      </c>
      <c r="CW185" s="146">
        <f>IF(CV$3=$K185,IF($C185="L",1,IF($C185="1/2L",0.5,0)),0)</f>
        <v>0</v>
      </c>
      <c r="CX185" s="146">
        <f>IF(CX$3=$K185,IF($C185="W",1,IF($C185="1/2W",0.5,0)),0)</f>
        <v>0</v>
      </c>
      <c r="CY185" s="146">
        <f>IF(CX$3=$K185,IF($C185="L",1,IF($C185="1/2L",0.5,0)),0)</f>
        <v>0</v>
      </c>
      <c r="CZ185" s="146">
        <f>IF(CZ$3=$K185,IF($C185="W",1,IF($C185="1/2W",0.5,0)),0)</f>
        <v>0</v>
      </c>
      <c r="DA185" s="146">
        <f>IF(CZ$3=$K185,IF($C185="L",1,IF($C185="1/2L",0.5,0)),0)</f>
        <v>0</v>
      </c>
      <c r="DB185" s="146">
        <f>IF(DB$3=$K185,IF($C185="W",1,IF($C185="1/2W",0.5,0)),0)</f>
        <v>0</v>
      </c>
      <c r="DC185" s="146">
        <f>IF(DB$3=$K185,IF($C185="L",1,IF($C185="1/2L",0.5,0)),0)</f>
        <v>0</v>
      </c>
      <c r="DD185" s="146">
        <f>IF(DD$3=$K185,IF($C185="W",1,IF($C185="1/2W",0.5,0)),0)</f>
        <v>0</v>
      </c>
      <c r="DE185" s="147">
        <f>IF(DD$3=$K185,IF($C185="L",1,IF($C185="1/2L",0.5,0)),0)</f>
        <v>0</v>
      </c>
      <c r="DF185" s="143">
        <f>IF(AND(L185&lt;DF$3,$C185="W"),1+DF184,DF184)</f>
        <v>8</v>
      </c>
      <c r="DG185" s="133">
        <f>IF(DF185&gt;DF184,L185+DG184,DG184)</f>
        <v>10.598</v>
      </c>
      <c r="DH185" s="146">
        <f>IF(AND(L185&gt;DH$3,$C185="W"),1+DH184,0+DH184)</f>
        <v>2</v>
      </c>
      <c r="DI185" s="133">
        <f>IF(DH185&gt;DH184,L185+DI184,DI184)</f>
        <v>11.58</v>
      </c>
      <c r="DJ185" t="s" s="304">
        <f>IF($D184="","",$D184)</f>
        <v>184</v>
      </c>
      <c r="DK185" s="286"/>
    </row>
    <row r="186" ht="14.55" customHeight="1">
      <c r="A186" s="149"/>
      <c r="B186" s="150"/>
      <c r="C186" t="s" s="151">
        <v>58</v>
      </c>
      <c r="D186" s="152"/>
      <c r="E186" s="153"/>
      <c r="F186" s="155"/>
      <c r="G186" s="252"/>
      <c r="H186" s="156"/>
      <c r="I186" s="287"/>
      <c r="J186" s="288"/>
      <c r="K186" s="156"/>
      <c r="L186" s="289"/>
      <c r="M186" s="290"/>
      <c r="N186" s="161"/>
      <c r="O186" t="s" s="162">
        <f>IF(OR(AE184="",AE185=""),"",IF(L186&gt;0,ROUND(IF(M186&gt;0,M186,IF(M184&gt;0,ROUND((M184*AE186)/AE184,IF(N184=0,2,IF(N184=0.1,1,0))),IF(M185&gt;0,ROUND((M185*AE186)/AE185,IF(N184=0,2,IF(N184=0.1,1,0))),IF(M186&gt;0,M186,0)))),2),""))</f>
      </c>
      <c r="P186" t="s" s="163">
        <f>IF(I185="Lay",O185*(L185/(L185-1))-O185,IF(I184="Lay",O184*(L184/(L184-1))-O184,IF(OR(L186="",O186=""),"",IF($C186="1/2W",O186/2+O186/2*L186,IF($C186="1/2L",O186/2,(O186*L186-O186)*(1-_xlfn.XLOOKUP(K186,'Janeiro 2023 - Valor Real'!A3:A15,'Janeiro 2023 - Valor Real'!C3:C15,0))+O186)))))</f>
      </c>
      <c r="Q186" t="s" s="154">
        <f>IF(K186="","",IF(_xlfn.XLOOKUP(K186,K$89:K98,DJ$89:DJ98,0,,-1)=DJ186,_xlfn.XLOOKUP(K186,K$89:K98,Q$89:Q98,1,,-1)+1,1))</f>
      </c>
      <c r="R186" t="s" s="163">
        <f>IF(K186="","",_xlfn.XLOOKUP(K186,K$89:K98,R$89:R98,0,,-1)+IF($C186=" ",1,0))</f>
      </c>
      <c r="S186" s="166"/>
      <c r="T186" s="155"/>
      <c r="U186" s="155"/>
      <c r="V186" s="166"/>
      <c r="W186" s="155"/>
      <c r="X186" s="167"/>
      <c r="Y186" s="128"/>
      <c r="Z186" s="129"/>
      <c r="AA186" s="129"/>
      <c r="AB186" s="129"/>
      <c r="AC186" s="129"/>
      <c r="AD186" s="168"/>
      <c r="AE186" t="s" s="169">
        <f>IF(L186="","",(SUM(((L184-1)*(1-_xlfn.XLOOKUP(K184,'Janeiro 2023 - Valor Real'!A3:A15,'Janeiro 2023 - Valor Real'!C3:C15,0))+1),((L185-1)*(1-_xlfn.XLOOKUP(K185,'Janeiro 2023 - Valor Real'!A3:A15,'Janeiro 2023 - Valor Real'!C3:C15,0))+1),((L186-1)*(1-_xlfn.XLOOKUP(K186,'Janeiro 2023 - Valor Real'!A3:A15,'Janeiro 2023 - Valor Real'!C3:C15,0))+1))/((L186-1)*(1-_xlfn.XLOOKUP(K186,'Janeiro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Real'!C3:C15,0))+1))/((L184-1)*(1-_xlfn.XLOOKUP(K184,'Janeiro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Real'!C3:C15,0))+1))/((L185-1)*(1-_xlfn.XLOOKUP(K185,'Janeiro 2023 - Valor Real'!A3:A15,'Janeiro 2023 - Valor Real'!C3:C15,0))+1)+SUM(((L184-1)*(1-_xlfn.XLOOKUP(K184,'Janeiro 2023 - Valor Real'!A3:A15,'Janeiro 2023 - Valor Real'!C3:C15,0))+1),((L185-1)*(1-_xlfn.XLOOKUP(K185,'Janeiro 2023 - Valor Real'!A3:A15,'Janeiro 2023 - Valor Real'!C3:C15,0))+1),((L186-1)*(1-_xlfn.XLOOKUP(K186,'Janeiro 2023 - Valor Real'!A3:A15,'Janeiro 2023 - Valor Real'!C3:C15,0))+1))/((L186-1)*(1-_xlfn.XLOOKUP(K186,'Janeiro 2023 - Valor Real'!A3:A15,'Janeiro 2023 - Valor Real'!C3:C15,0))+1)))</f>
      </c>
      <c r="AF186" s="132">
        <f>IF($K186=AF$3,ROUND(IF(OR($C186="W",$C186="1/2W",$C186="1/2L"),$P186-$O186,IF($C186="X",0,-$O186)),2),0)</f>
        <v>0</v>
      </c>
      <c r="AG186" s="133">
        <f>IF($K186=AG$3,ROUND(IF(OR($C186="W",$C186="1/2W",$C186="1/2L"),$P186-$O186,IF($C186="X",0,-$O186)),2),0)</f>
        <v>0</v>
      </c>
      <c r="AH186" s="133">
        <f>IF($K186=AH$3,ROUND(IF(OR($C186="W",$C186="1/2W",$C186="1/2L"),$P186-$O186,IF($C186="X",0,-$O186)),2),0)</f>
        <v>0</v>
      </c>
      <c r="AI186" s="133">
        <f>IF($K186=AI$3,ROUND(IF(OR($C186="W",$C186="1/2W",$C186="1/2L"),$P186-$O186,IF($C186="X",0,-$O186)),2),0)</f>
        <v>0</v>
      </c>
      <c r="AJ186" s="133">
        <f>IF($K186=AJ$3,ROUND(IF(OR($C186="W",$C186="1/2W",$C186="1/2L"),$P186-$O186,IF($C186="X",0,-$O186)),2),0)</f>
        <v>0</v>
      </c>
      <c r="AK186" s="133">
        <f>IF($K186=AK$3,ROUND(IF(OR($C186="W",$C186="1/2W",$C186="1/2L"),$P186-$O186,IF($C186="X",0,-$O186)),2),0)</f>
        <v>0</v>
      </c>
      <c r="AL186" s="133">
        <f>IF($K186=AL$3,ROUND(IF(OR($C186="W",$C186="1/2W",$C186="1/2L"),$P186-$O186,IF($C186="X",0,-$O186)),2),0)</f>
        <v>0</v>
      </c>
      <c r="AM186" s="133">
        <f>IF($K186=AM$3,ROUND(IF(OR($C186="W",$C186="1/2W",$C186="1/2L"),$P186-$O186,IF($C186="X",0,-$O186)),2),0)</f>
        <v>0</v>
      </c>
      <c r="AN186" s="133">
        <f>IF($K186=AN$3,ROUND(IF(OR($C186="W",$C186="1/2W",$C186="1/2L"),$P186-$O186,IF($C186="X",0,-$O186)),2),0)</f>
        <v>0</v>
      </c>
      <c r="AO186" s="133">
        <f>IF($K186=AO$3,ROUND(IF(OR($C186="W",$C186="1/2W",$C186="1/2L"),$P186-$O186,IF($C186="X",0,-$O186)),2),0)</f>
        <v>0</v>
      </c>
      <c r="AP186" s="133">
        <f>IF($K186=AP$3,ROUND(IF(OR($C186="W",$C186="1/2W",$C186="1/2L"),$P186-$O186,IF($C186="X",0,-$O186)),2),0)</f>
        <v>0</v>
      </c>
      <c r="AQ186" s="133">
        <f>IF($K186=AQ$3,ROUND(IF(OR($C186="W",$C186="1/2W",$C186="1/2L"),$P186-$O186,IF($C186="X",0,-$O186)),2),0)</f>
        <v>0</v>
      </c>
      <c r="AR186" s="134">
        <f>IF($K186=AR$3,ROUND(IF(OR($C186="W",$C186="1/2W",$C186="1/2L"),$P186-$O186,IF($C186="X",0,-$O186)),2),0)</f>
        <v>0</v>
      </c>
      <c r="AS186" s="132">
        <f>IF(AND($B184=" ",$K186=AS$3),$O186,0)</f>
        <v>0</v>
      </c>
      <c r="AT186" s="133">
        <f>IF(AND($B184=" ",K186=AT$3),$O186,0)</f>
        <v>0</v>
      </c>
      <c r="AU186" s="133">
        <f>IF(AND($B184=" ",$K186=AU$3),$O186,0)</f>
        <v>0</v>
      </c>
      <c r="AV186" s="133">
        <f>IF(AND($B184=" ",$K186=AV$3),$O186,0)</f>
        <v>0</v>
      </c>
      <c r="AW186" s="133">
        <f>IF(AND($B184=" ",$K186=AW$3),$O186,0)</f>
        <v>0</v>
      </c>
      <c r="AX186" s="133">
        <f>IF(AND($B184=" ",$K186=AX$3),$O186,0)</f>
        <v>0</v>
      </c>
      <c r="AY186" s="135">
        <f>IF(AND($B184=" ",$K186=AY$3),$O186,0)</f>
        <v>0</v>
      </c>
      <c r="AZ186" s="136">
        <f>IF(AND($B184=" ",$K186=AZ$3),$O186,0)</f>
        <v>0</v>
      </c>
      <c r="BA186" s="136">
        <f>IF(AND($B184=" ",$K186=BA$3),$O186,0)</f>
        <v>0</v>
      </c>
      <c r="BB186" s="136">
        <f>IF(AND($B184=" ",$K186=BB$3),$O186,0)</f>
        <v>0</v>
      </c>
      <c r="BC186" s="137">
        <f>IF(AND($B184=" ",$K186=BC$3),$O186,0)</f>
        <v>0</v>
      </c>
      <c r="BD186" s="133">
        <f>IF(AND($B184=" ",$K186=BD$3),$O186,0)</f>
        <v>0</v>
      </c>
      <c r="BE186" s="134">
        <f>IF(AND($B184=" ",$K186=BE$3),$O186,0)</f>
        <v>0</v>
      </c>
      <c r="BF186" s="132">
        <f>IF($K186=BF$3,IF($C186="X",0,$O186),0)</f>
        <v>0</v>
      </c>
      <c r="BG186" s="281">
        <f>IF($K186=BG$3,IF($C186="X",0,$O186),0)</f>
        <v>0</v>
      </c>
      <c r="BH186" s="133">
        <f>IF($K186=BH$3,IF($C186="X",0,$O186),0)</f>
        <v>0</v>
      </c>
      <c r="BI186" s="133">
        <f>IF($K186=BI$3,IF($C186="X",0,$O186),0)</f>
        <v>0</v>
      </c>
      <c r="BJ186" s="133">
        <f>IF($K186=BJ$3,IF($C186="X",0,$O186),0)</f>
        <v>0</v>
      </c>
      <c r="BK186" s="133">
        <f>IF($K186=BK$3,IF($C186="X",0,$O186),0)</f>
        <v>0</v>
      </c>
      <c r="BL186" s="133">
        <f>IF($K186=BL$3,IF($C186="X",0,$O186),0)</f>
        <v>0</v>
      </c>
      <c r="BM186" s="135">
        <f>IF($K186=BM$3,IF($C186="X",0,$O186),0)</f>
        <v>0</v>
      </c>
      <c r="BN186" s="136">
        <f>IF($K186=BN$3,IF($C186="X",0,$O186),0)</f>
        <v>0</v>
      </c>
      <c r="BO186" s="136">
        <f>IF($K186=BO$3,IF($C186="X",0,$O186),0)</f>
        <v>0</v>
      </c>
      <c r="BP186" s="136">
        <f>IF($K186=BP$3,IF($C186="X",0,$O186),0)</f>
        <v>0</v>
      </c>
      <c r="BQ186" s="137">
        <f>IF($K186=BQ$3,IF($C186="X",0,$O186),0)</f>
        <v>0</v>
      </c>
      <c r="BR186" s="134">
        <f>IF($K186=BR$3,IF($C186="X",0,$O186),0)</f>
        <v>0</v>
      </c>
      <c r="BS186" s="282"/>
      <c r="BT186" s="283"/>
      <c r="BU186" s="140"/>
      <c r="BV186" s="283"/>
      <c r="BW186" s="140"/>
      <c r="BX186" s="140"/>
      <c r="BY186" s="140"/>
      <c r="BZ186" s="283"/>
      <c r="CA186" s="140"/>
      <c r="CB186" s="140"/>
      <c r="CC186" s="140"/>
      <c r="CD186" s="141"/>
      <c r="CE186" s="142"/>
      <c r="CF186" s="284">
        <f>IF(CF$3=$K186,IF($C186="W",1,IF($C186="1/2W",0.5,0)),0)</f>
        <v>0</v>
      </c>
      <c r="CG186" s="285">
        <f>IF(CF$3=$K186,IF($C186="L",1,IF($C186="1/2L",0.5,0)),0)</f>
        <v>0</v>
      </c>
      <c r="CH186" s="285">
        <f>IF(CH$3=$K186,IF($C186="W",1,IF($C186="1/2W",0.5,0)),0)</f>
        <v>0</v>
      </c>
      <c r="CI186" s="285">
        <f>IF(CH$3=$K186,IF($C186="L",1,IF($C186="1/2L",0.5,0)),0)</f>
        <v>0</v>
      </c>
      <c r="CJ186" s="285">
        <f>IF(CJ$3=$K186,IF($C186="W",1,IF($C186="1/2W",0.5,0)),0)</f>
        <v>0</v>
      </c>
      <c r="CK186" s="285">
        <f>IF(CJ$3=$K186,IF($C186="L",1,IF($C186="1/2L",0.5,0)),0)</f>
        <v>0</v>
      </c>
      <c r="CL186" s="285">
        <f>IF(CL$3=$K186,IF($C186="W",1,IF($C186="1/2W",0.5,0)),0)</f>
        <v>0</v>
      </c>
      <c r="CM186" s="285">
        <f>IF(CL$3=$K186,IF($C186="L",1,IF($C186="1/2L",0.5,0)),0)</f>
        <v>0</v>
      </c>
      <c r="CN186" s="285">
        <f>IF(CN$3=$K186,IF($C186="W",1,IF($C186="1/2W",0.5,0)),0)</f>
        <v>0</v>
      </c>
      <c r="CO186" s="285">
        <f>IF(CN$3=$K186,IF($C186="L",1,IF($C186="1/2L",0.5,0)),0)</f>
        <v>0</v>
      </c>
      <c r="CP186" s="285">
        <f>IF(CP$3=$K186,IF($C186="W",1,IF($C186="1/2W",0.5,0)),0)</f>
        <v>0</v>
      </c>
      <c r="CQ186" s="285">
        <f>IF(CP$3=$K186,IF($C186="L",1,IF($C186="1/2L",0.5,0)),0)</f>
        <v>0</v>
      </c>
      <c r="CR186" s="285">
        <f>IF(CR$3=$K186,IF($C186="W",1,IF($C186="1/2W",0.5,0)),0)</f>
        <v>0</v>
      </c>
      <c r="CS186" s="285">
        <f>IF(CR$3=$K186,IF($C186="L",1,IF($C186="1/2L",0.5,0)),0)</f>
        <v>0</v>
      </c>
      <c r="CT186" s="145">
        <f>IF(CT$3=$K186,IF($C186="W",1,IF($C186="1/2W",0.5,0)),0)</f>
        <v>0</v>
      </c>
      <c r="CU186" s="146">
        <f>IF(CT$3=$K186,IF($C186="L",1,IF($C186="1/2L",0.5,0)),0)</f>
        <v>0</v>
      </c>
      <c r="CV186" s="146">
        <f>IF(CV$3=$K186,IF($C186="W",1,IF($C186="1/2W",0.5,0)),0)</f>
        <v>0</v>
      </c>
      <c r="CW186" s="146">
        <f>IF(CV$3=$K186,IF($C186="L",1,IF($C186="1/2L",0.5,0)),0)</f>
        <v>0</v>
      </c>
      <c r="CX186" s="146">
        <f>IF(CX$3=$K186,IF($C186="W",1,IF($C186="1/2W",0.5,0)),0)</f>
        <v>0</v>
      </c>
      <c r="CY186" s="146">
        <f>IF(CX$3=$K186,IF($C186="L",1,IF($C186="1/2L",0.5,0)),0)</f>
        <v>0</v>
      </c>
      <c r="CZ186" s="146">
        <f>IF(CZ$3=$K186,IF($C186="W",1,IF($C186="1/2W",0.5,0)),0)</f>
        <v>0</v>
      </c>
      <c r="DA186" s="146">
        <f>IF(CZ$3=$K186,IF($C186="L",1,IF($C186="1/2L",0.5,0)),0)</f>
        <v>0</v>
      </c>
      <c r="DB186" s="146">
        <f>IF(DB$3=$K186,IF($C186="W",1,IF($C186="1/2W",0.5,0)),0)</f>
        <v>0</v>
      </c>
      <c r="DC186" s="146">
        <f>IF(DB$3=$K186,IF($C186="L",1,IF($C186="1/2L",0.5,0)),0)</f>
        <v>0</v>
      </c>
      <c r="DD186" s="146">
        <f>IF(DD$3=$K186,IF($C186="W",1,IF($C186="1/2W",0.5,0)),0)</f>
        <v>0</v>
      </c>
      <c r="DE186" s="147">
        <f>IF(DD$3=$K186,IF($C186="L",1,IF($C186="1/2L",0.5,0)),0)</f>
        <v>0</v>
      </c>
      <c r="DF186" s="143">
        <f>IF(AND(L186&lt;DF$3,$C186="W"),1+DF185,DF185)</f>
        <v>8</v>
      </c>
      <c r="DG186" s="133">
        <f>IF(DF186&gt;DF185,L186+DG185,DG185)</f>
        <v>10.598</v>
      </c>
      <c r="DH186" s="146">
        <f>IF(AND(L186&gt;DH$3,$C186="W"),1+DH185,0+DH185)</f>
        <v>2</v>
      </c>
      <c r="DI186" s="133">
        <f>IF(DH186&gt;DH185,L186+DI185,DI185)</f>
        <v>11.58</v>
      </c>
      <c r="DJ186" t="s" s="304">
        <f>IF($D184="","",$D184)</f>
        <v>184</v>
      </c>
      <c r="DK186" s="286"/>
    </row>
    <row r="187" ht="14.55" customHeight="1">
      <c r="A187" s="171">
        <f>$A184+1</f>
        <v>62</v>
      </c>
      <c r="B187" t="s" s="172">
        <f>IF(AND(_xlfn.XLOOKUP(H187,H$84:H91,G$84:G91,0)=G187,_xlfn.XLOOKUP("TempoBet",K187:K189,L187:L189,0)&gt;0),"X",IF(OR(C187="W",C188="W",C189="W",C187="1/2W",C188="1/2W",C189="1/2W",C187="1/2L",C188="1/2L",C189="1/2L"),"OK",IF(OR(C187="L",C188="L",C189="L"),"LOSS",IF(OR(C187="X",C188="X",C189="X"),"Anulado"," "))))</f>
        <v>24</v>
      </c>
      <c r="C187" t="s" s="173">
        <v>114</v>
      </c>
      <c r="D187" t="s" s="305">
        <f>IF(G187="","",$D184)</f>
        <v>184</v>
      </c>
      <c r="E187" t="s" s="175">
        <f>IF(G187=""," ","– "&amp;COUNTIF(D$4:D189,$D187))</f>
        <v>135</v>
      </c>
      <c r="F187" t="s" s="176"/>
      <c r="G187" s="177">
        <v>44944.645833333336</v>
      </c>
      <c r="H187" t="s" s="178">
        <v>204</v>
      </c>
      <c r="I187" t="s" s="179">
        <v>65</v>
      </c>
      <c r="J187" s="291">
        <v>1.5</v>
      </c>
      <c r="K187" t="s" s="181">
        <v>44</v>
      </c>
      <c r="L187" s="182">
        <v>2.09</v>
      </c>
      <c r="M187" s="183"/>
      <c r="N187" s="184">
        <v>0</v>
      </c>
      <c r="O187" s="185">
        <f>IF(OR(AE187="",AE188=""),"",ROUND(IF(L189&gt;0,IF(M187&gt;0,M187,IF(M188&gt;0,ROUND((M188*AE187)/AE188,IF(N187=0,2,IF(N187=0.1,1,0))),ROUND((M189*AE187)/AE189,IF(N187=0,2,IF(N187=0.1,1,0))))),IF(M187&gt;0,M187,ROUND((M188*AE187)/AE188,IF(N187=0,2,IF(N187=0.1,1,0))))),2))</f>
        <v>13.4</v>
      </c>
      <c r="P187" s="186">
        <f>IF(OR(L187="",O187=""),"",IF($C187="1/2W",O187/2+O187/2*L187,IF($C187="1/2L",O187/2,IF(I187="Lay",(O187*(L187/(L187-1))-O187)*(1-_xlfn.XLOOKUP(K187,'Janeiro 2023 - Valor Real'!A3:A15,'Janeiro 2023 - Valor Real'!C3:C15,0))+O187,(O187*L187-O187)*(1-_xlfn.XLOOKUP(K187,'Janeiro 2023 - Valor Real'!A3:A15,'Janeiro 2023 - Valor Real'!C3:C15,0))+O187))))</f>
        <v>28.006</v>
      </c>
      <c r="Q187" s="187">
        <f>IF(K187="","",IF(_xlfn.XLOOKUP(K187,K$84:K91,DJ$84:DJ91,0,,-1)=DJ187,_xlfn.XLOOKUP(K187,K$84:K91,Q$84:Q91,1,,-1)+1,1))</f>
        <v>1</v>
      </c>
      <c r="R187" s="188">
        <f>IF(K187="","",_xlfn.XLOOKUP(K187,K$84:K91,R$84:R91,0,,-1)+IF($C187=" ",1,0))</f>
        <v>0</v>
      </c>
      <c r="S187" s="189">
        <f>IF($B187="Anulado",0,ROUND(IF(OR($B187="LOSS",$B187="OK"),IF(OR($C187="W",$C187="1/2W",$C187="1/2L"),P187-O187,IF($C187="L",-O187,0))+IF(OR($C188="W",$C188="1/2W",$C188="1/2L"),P188-O188,IF($C188="L",-O188,0))+IF(OR($C189="W",$C189="1/2W",$C189="1/2L"),P189-O189,IF($C189="L",-O189,0)),IF(AND(OR($C187="W",$C187="1/2W",$C187="1/2L"),C188="W"),P187+P188-SUM(O187:O189)+_xlfn.XLOOKUP("X",C187:C189,O187:O189,0),IF(AND(C187=TRUE,C189="W"),P187+P189-SUM(O187:O189),IF(AND(C188="W",C189="W"),P188+P189-SUM(O187:O189)+_xlfn.XLOOKUP("X",C187:C189,O187:O189,0),IF(L189&gt;0,IF(OR($C187="W",$C187="1/2W",$C187="1/2L"),P187-SUM(O187:O189)+_xlfn.XLOOKUP("X",C187:C189,O187:O189,0),IF(OR($C187="W",$C187="1/2W",$C187="1/2L"),P188-SUM(O187:O189)+_xlfn.XLOOKUP("X",C187:C189,O187:O189,0),IF(OR($C187="W",$C187="1/2W",$C187="1/2L"),P189-SUM(O187:O189)+_xlfn.XLOOKUP("X",C187:C189,O187:O189,0),IF(SUM(P187:P189)/3-SUM(O187:O189)+_xlfn.XLOOKUP("X",C187:C189,O187:O189,0)&gt;0,SUM(P187:P189)/3-SUM(O187:O189)+_xlfn.XLOOKUP("X",C187:C189,O187:O189,0),LARGE(P187:P189,1)-SUM(O187:O189))))),IF(OR($C187="W",$C187="1/2W",$C187="1/2L"),P187-SUM(O187:O188)+_xlfn.XLOOKUP("X",C187:C189,O187:O189,0),IF(OR($C187="W",$C187="1/2W",$C187="1/2L"),P188-SUM(O187:O188)+_xlfn.XLOOKUP("X",C187:C189,O187:O189,0),SUM(P187:P188)/2-SUM(O187:O188)+_xlfn.XLOOKUP("X",C187:C189,O187:O189,0)))))))),2))</f>
        <v>0</v>
      </c>
      <c r="T187" s="190">
        <f>IF(S187=0,0,S187/SUM(O187:O189))</f>
        <v>0</v>
      </c>
      <c r="U187" s="191">
        <f>IF($D187=$D184,IF(OR($B187="LOSS",$B187="OK",$B187="Anulada"),S187,0)+U184,IF(OR($B187="LOSS",$B187="OK",$B187="Anulada"),S187,0))</f>
        <v>33.59</v>
      </c>
      <c r="V187" s="191">
        <f>IF($D187="",0,IF($D187=$D184,IF($B187=" ",IF(I189="",IF(OR(AND(I187="DNB1",I188="DNB2"),AND(OR(I187="DNB1",I187="DNB2"),J188=0),AND(OR(I188="DNB1",I188="DNB2"),J187=0),AND(I187="DNB2",I188="DNB1"),AND(IF(J187=0,(J187+1)/ROUND(J187+1,0),J187/ROUND(J187,0))=1,IF(J188=0,(J188+1)/ROUND(IF(J188="",0,J188)+1,0),IF(J188="",0,J188)/ROUND(IF(J188="",1,J188),0))=1,OR(J187&lt;&gt;""),J188&lt;&gt;"")),0,IF(S187&lt;0,IF(I189="",SMALL(P187:P188,1)-SUM(O187:O188),0),SMALL(P187:P188,1)-SUM(O187:O188))),IF(S187&lt;0,IF(I189="",SMALL(P187:P189,1)-SUM(O187:O189),0),LARGE(P187:P189,1)-SUM(O187:O189))),S187)+V184,IF(I189="",IF(OR(AND(I187="DNB1",I188="DNB2"),AND(OR(I187="DNB1",I187="DNB2"),J188=0),AND(OR(I188="DNB1",I188="DNB2"),J187=0),AND(I187="DNB2",I188="DNB1"),AND(IF(J187=0,(J187+1)/ROUND(J187+1,0),J187/ROUND(J187,0))=1,IF(J188=0,(IF(J188="",0,J188)+1)/ROUND(IF(J188="",0,J188)+1,0),IF(J188="",0,J188)/ROUND(IF(J188="",0,J188)+1,0))=1,OR(J187&lt;&gt;""),J188&lt;&gt;"")),0,IF(S187&lt;0,IF(I189="",SMALL(P187:P188,1)-SUM(O187:O188),0),SMALL(P187:P189,1)-SUM(O187:O189))),IF(S187&lt;0,IF(I189="",SMALL(P187:P189,1)-SUM(O187:O189),0),LARGE(P187:P189,1)-SUM(O187:O189)))))</f>
        <v>33.5875</v>
      </c>
      <c r="W187" s="191">
        <f>IF($D187=$D184,IF(S187&lt;0,IF(I189="",S187,0),S187)+W184,S187)</f>
        <v>33.59</v>
      </c>
      <c r="X187" t="s" s="192">
        <f>IF(OR(SUM(R187:R189)=0,V187=W187),ROUND(IF(W187=0,0,W187/Y187)*100,2)&amp;"%",ROUND(IF(V187=0,0,V187/Y187)*100,2)&amp;"% a "&amp;ROUND(IF(W187=0,0,W187/Y187)*100,2)&amp;"%")</f>
        <v>205</v>
      </c>
      <c r="Y187" s="193">
        <f>IF($D187=$D184,Y184+SUM(O187:O189),SUM(O187:O189))</f>
        <v>493.48</v>
      </c>
      <c r="Z187" s="191">
        <f>IF($B187=" ",SUM(O187:O189),0)+Z184</f>
        <v>0</v>
      </c>
      <c r="AA187" s="191">
        <f>IF(G187="","",IF($B187="Anulado",LARGE(P187:P189,1)-SUM(O187:O189)+AA184,AA184))</f>
        <v>15.1024</v>
      </c>
      <c r="AB187" s="191">
        <f>IF($D187="","",AB184+S187)</f>
        <v>158.7</v>
      </c>
      <c r="AC187" s="194">
        <f>IF($D187="","",IF($B187=" ",IF(DAY(G187)=DAY(TODAY()),1+AC184,0+AC184),0+AC184))</f>
        <v>0</v>
      </c>
      <c r="AD187" s="195">
        <f>(((L188/(L188-1)-1)*(1-_xlfn.XLOOKUP(K188,'Janeiro 2023 - Valor Real'!A3:A15,'Janeiro 2023 - Valor Real'!C3:C15,0))+1))/(((L187-1)*(1-_xlfn.XLOOKUP(K187,'Janeiro 2023 - Valor Real'!A3:A15,'Janeiro 2023 - Valor Real'!C3:C15,0))+1)+((L188/(L188-1)-1)*(1-_xlfn.XLOOKUP(K188,'Janeiro 2023 - Valor Real'!A3:A15,'Janeiro 2023 - Valor Real'!C3:C15,0))+1))</f>
        <v>0.48297797149252</v>
      </c>
      <c r="AE187" s="196">
        <f>IF(L187="","",IF(L189&gt;0,(SUM(((L187-1)*(1-_xlfn.XLOOKUP(K187,'Janeiro 2023 - Valor Real'!A3:A15,'Janeiro 2023 - Valor Real'!C3:C15,0))+1),((L188-1)*(1-_xlfn.XLOOKUP(K188,'Janeiro 2023 - Valor Real'!A3:A15,'Janeiro 2023 - Valor Real'!C3:C15,0))+1),((L189-1)*(1-_xlfn.XLOOKUP(K189,'Janeiro 2023 - Valor Real'!A3:A15,'Janeiro 2023 - Valor Real'!C3:C15,0))+1))/((L187-1)*(1-_xlfn.XLOOKUP(K187,'Janeiro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Real'!C3:C15,0))+1))/((L187-1)*(1-_xlfn.XLOOKUP(K187,'Janeiro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Real'!C3:C15,0))+1))/((L188-1)*(1-_xlfn.XLOOKUP(K188,'Janeiro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Real'!C3:C15,0))+1))/((L189-1)*(1-_xlfn.XLOOKUP(K189,'Janeiro 2023 - Valor Real'!A3:A15,'Janeiro 2023 - Valor Real'!C3:C15,0))+1)),IF(I187="Lay",IF(I188="Lay",((L188/(L188-1)-1)*(1-_xlfn.XLOOKUP(K188,'Janeiro 2023 - Valor Real'!A3:A15,'Janeiro 2023 - Valor Real'!C3:C15,0))+1)/(((L188/(L188-1)-1)*(1-_xlfn.XLOOKUP(K188,'Janeiro 2023 - Valor Real'!A3:A15,'Janeiro 2023 - Valor Real'!C3:C15,0))+1)+((L187/(L187-1)-1)*(1-_xlfn.XLOOKUP(K187,'Janeiro 2023 - Valor Real'!A3:A15,'Janeiro 2023 - Valor Real'!C3:C15,0))+1)),((L188-1)*(1-_xlfn.XLOOKUP(K188,'Janeiro 2023 - Valor Real'!A3:A15,'Janeiro 2023 - Valor Real'!C3:C15,0))+1)/(((L188-1)*(1-_xlfn.XLOOKUP(K188,'Janeiro 2023 - Valor Real'!A3:A15,'Janeiro 2023 - Valor Real'!C3:C15,0))+1)+((L187/(L187-1)-1)*(1-_xlfn.XLOOKUP(K187,'Janeiro 2023 - Valor Real'!A3:A15,'Janeiro 2023 - Valor Real'!C3:C15,0))+1))),IF(I188="Lay",(((L188/(L188-1)-1)*(1-_xlfn.XLOOKUP(K188,'Janeiro 2023 - Valor Real'!A3:A15,'Janeiro 2023 - Valor Real'!C3:C15,0))+1))/(((L187-1)*(1-_xlfn.XLOOKUP(K187,'Janeiro 2023 - Valor Real'!A3:A15,'Janeiro 2023 - Valor Real'!C3:C15,0))+1)+((L188/(L188-1)-1)*(1-_xlfn.XLOOKUP(K188,'Janeiro 2023 - Valor Real'!A3:A15,'Janeiro 2023 - Valor Real'!C3:C15,0))+1)),((L188-1)*(1-_xlfn.XLOOKUP(K188,'Janeiro 2023 - Valor Real'!A3:A15,'Janeiro 2023 - Valor Real'!C3:C15,0))+1)/(((L188-1)*(1-_xlfn.XLOOKUP(K188,'Janeiro 2023 - Valor Real'!A3:A15,'Janeiro 2023 - Valor Real'!C3:C15,0))+1)+((L187-1)*(1-_xlfn.XLOOKUP(K187,'Janeiro 2023 - Valor Real'!A3:A15,'Janeiro 2023 - Valor Real'!C3:C15,0))+1))))))</f>
        <v>0.495169082125604</v>
      </c>
      <c r="AF187" s="197">
        <f>IF($K187=AF$3,ROUND(IF(OR($C187="W",$C187="1/2W",$C187="1/2L"),$P187-$O187,IF($C187="X",0,-$O187)),2),0)</f>
        <v>0</v>
      </c>
      <c r="AG187" s="198">
        <f>IF($K187=AG$3,ROUND(IF(OR($C187="W",$C187="1/2W",$C187="1/2L"),$P187-$O187,IF($C187="X",0,-$O187)),2),0)</f>
        <v>0</v>
      </c>
      <c r="AH187" s="198">
        <f>IF($K187=AH$3,ROUND(IF(OR($C187="W",$C187="1/2W",$C187="1/2L"),$P187-$O187,IF($C187="X",0,-$O187)),2),0)</f>
        <v>0</v>
      </c>
      <c r="AI187" s="198">
        <f>IF($K187=AI$3,ROUND(IF(OR($C187="W",$C187="1/2W",$C187="1/2L"),$P187-$O187,IF($C187="X",0,-$O187)),2),0)</f>
        <v>0</v>
      </c>
      <c r="AJ187" s="198">
        <f>IF($K187=AJ$3,ROUND(IF(OR($C187="W",$C187="1/2W",$C187="1/2L"),$P187-$O187,IF($C187="X",0,-$O187)),2),0)</f>
        <v>0</v>
      </c>
      <c r="AK187" s="198">
        <f>IF($K187=AK$3,ROUND(IF(OR($C187="W",$C187="1/2W",$C187="1/2L"),$P187-$O187,IF($C187="X",0,-$O187)),2),0)</f>
        <v>0</v>
      </c>
      <c r="AL187" s="198">
        <f>IF($K187=AL$3,ROUND(IF(OR($C187="W",$C187="1/2W",$C187="1/2L"),$P187-$O187,IF($C187="X",0,-$O187)),2),0)</f>
        <v>0</v>
      </c>
      <c r="AM187" s="198">
        <f>IF($K187=AM$3,ROUND(IF(OR($C187="W",$C187="1/2W",$C187="1/2L"),$P187-$O187,IF($C187="X",0,-$O187)),2),0)</f>
        <v>0</v>
      </c>
      <c r="AN187" s="198">
        <f>IF($K187=AN$3,ROUND(IF(OR($C187="W",$C187="1/2W",$C187="1/2L"),$P187-$O187,IF($C187="X",0,-$O187)),2),0)</f>
        <v>0</v>
      </c>
      <c r="AO187" s="198">
        <f>IF($K187=AO$3,ROUND(IF(OR($C187="W",$C187="1/2W",$C187="1/2L"),$P187-$O187,IF($C187="X",0,-$O187)),2),0)</f>
        <v>0</v>
      </c>
      <c r="AP187" s="198">
        <f>IF($K187=AP$3,ROUND(IF(OR($C187="W",$C187="1/2W",$C187="1/2L"),$P187-$O187,IF($C187="X",0,-$O187)),2),0)</f>
        <v>0</v>
      </c>
      <c r="AQ187" s="198">
        <f>IF($K187=AQ$3,ROUND(IF(OR($C187="W",$C187="1/2W",$C187="1/2L"),$P187-$O187,IF($C187="X",0,-$O187)),2),0)</f>
        <v>0</v>
      </c>
      <c r="AR187" s="199">
        <f>IF($K187=AR$3,ROUND(IF(OR($C187="W",$C187="1/2W",$C187="1/2L"),$P187-$O187,IF($C187="X",0,-$O187)),2),0)</f>
        <v>0</v>
      </c>
      <c r="AS187" s="197">
        <f>IF(AND($B187=" ",$K187=AS$3),$O187,0)</f>
        <v>0</v>
      </c>
      <c r="AT187" s="198">
        <f>IF(AND($B187=" ",$K187=AT$3),$O187,0)</f>
        <v>0</v>
      </c>
      <c r="AU187" s="198">
        <f>IF(AND($B187=" ",$K187=AU$3),$O187,0)</f>
        <v>0</v>
      </c>
      <c r="AV187" s="198">
        <f>IF(AND($B187=" ",$K187=AV$3),$O187,0)</f>
        <v>0</v>
      </c>
      <c r="AW187" s="198">
        <f>IF(AND($B187=" ",$K187=AW$3),$O187,0)</f>
        <v>0</v>
      </c>
      <c r="AX187" s="198">
        <f>IF(AND($B187=" ",$K187=AX$3),$O187,0)</f>
        <v>0</v>
      </c>
      <c r="AY187" s="200">
        <f>IF(AND($B187=" ",$K187=AY$3),$O187,0)</f>
        <v>0</v>
      </c>
      <c r="AZ187" s="201">
        <f>IF(AND($B187=" ",$K187=AZ$3),$O187,0)</f>
        <v>0</v>
      </c>
      <c r="BA187" s="201">
        <f>IF(AND($B187=" ",$K187=BA$3),$O187,0)</f>
        <v>0</v>
      </c>
      <c r="BB187" s="201">
        <f>IF(AND($B187=" ",$K187=BB$3),$O187,0)</f>
        <v>0</v>
      </c>
      <c r="BC187" s="202">
        <f>IF(AND($B187=" ",$K187=BC$3),$O187,0)</f>
        <v>0</v>
      </c>
      <c r="BD187" s="198">
        <f>IF(AND($B187=" ",$K187=BD$3),$O187,0)</f>
        <v>0</v>
      </c>
      <c r="BE187" s="199">
        <f>IF(AND($B187=" ",$K187=BE$3),$O187,0)</f>
        <v>0</v>
      </c>
      <c r="BF187" s="203">
        <f>IF($K187=BF$3,IF($C187="X",0,$O187),0)</f>
        <v>0</v>
      </c>
      <c r="BG187" s="198">
        <f>IF($K187=BG$3,IF($C187="X",0,$O187),0)</f>
        <v>0</v>
      </c>
      <c r="BH187" s="198">
        <f>IF($K187=BH$3,IF($C187="X",0,$O187),0)</f>
        <v>0</v>
      </c>
      <c r="BI187" s="198">
        <f>IF($K187=BI$3,IF($C187="X",0,$O187),0)</f>
        <v>0</v>
      </c>
      <c r="BJ187" s="198">
        <f>IF($K187=BJ$3,IF($C187="X",0,$O187),0)</f>
        <v>0</v>
      </c>
      <c r="BK187" s="198">
        <f>IF($K187=BK$3,IF($C187="X",0,$O187),0)</f>
        <v>0</v>
      </c>
      <c r="BL187" s="198">
        <f>IF($K187=BL$3,IF($C187="X",0,$O187),0)</f>
        <v>0</v>
      </c>
      <c r="BM187" s="200">
        <f>IF($K187=BM$3,IF($C187="X",0,$O187),0)</f>
        <v>0</v>
      </c>
      <c r="BN187" s="201">
        <f>IF($K187=BN$3,IF($C187="X",0,$O187),0)</f>
        <v>0</v>
      </c>
      <c r="BO187" s="201">
        <f>IF($K187=BO$3,IF($C187="X",0,$O187),0)</f>
        <v>0</v>
      </c>
      <c r="BP187" s="201">
        <f>IF($K187=BP$3,IF($C187="X",0,$O187),0)</f>
        <v>0</v>
      </c>
      <c r="BQ187" s="202">
        <f>IF($K187=BQ$3,IF($C187="X",0,$O187),0)</f>
        <v>0</v>
      </c>
      <c r="BR187" s="199">
        <f>IF($K187=BR$3,IF($C187="X",0,$O187),0)</f>
        <v>0</v>
      </c>
      <c r="BS187" s="204">
        <f>IF($B187="LOSS",IF(AND($K187=BS$3,$C187="L"),-$O187,0)+IF(AND($K188=BS$3,$C188="L"),-$O188,0)+IF(AND($K189=BS$3,$C189="L"),-$O189,0),IF(OR(AND($K187=BS$3,OR($C187="W",$C187="1/2W")),AND($K188=BS$3,OR($C188="W",$C188="1/2W")),AND($K189=BS$3,OR($C189="W",$C189="1/2W"))),$S187,0))</f>
        <v>0</v>
      </c>
      <c r="BT187" s="201">
        <f>IF($B187="LOSS",IF(AND($K187=BT$3,$C187="L"),-$O187,0)+IF(AND($K188=BT$3,$C188="L"),-$O188,0)+IF(AND($K188=BT$3,$C189="L"),-$O189,0),IF(OR(AND($K188=BT$3,OR($C187="W",$C187="1/2W")),AND($K188=BT$3,OR($C188="W",$C188="1/2W")),AND($K188=BT$3,OR($C189="W",$C189="1/2W"))),$S187,0))</f>
        <v>0</v>
      </c>
      <c r="BU187" s="201">
        <f>IF($B187="LOSS",IF(AND($K187=BU$3,$C187="L"),-$O187,0)+IF(AND($K188=BU$3,$C188="L"),-$O188,0)+IF(AND($K188=BU$3,$C189="L"),-$O189,0),IF(OR(AND($K188=BU$3,OR($C187="W",$C187="1/2W")),AND($K188=BU$3,OR($C188="W",$C188="1/2W")),AND($K188=BU$3,OR($C189="W",$C189="1/2W"))),$S187,0))</f>
        <v>0</v>
      </c>
      <c r="BV187" s="201">
        <f>IF($B187="LOSS",IF(AND($K187=BV$3,$C187="L"),-$O187,0)+IF(AND($K188=BV$3,$C188="L"),-$O188,0)+IF(AND($K189=BV$3,$C189="L"),-$O189,0),IF(OR(AND($K187=BV$3,OR($C187="W",$C187="1/2W")),AND($K188=BV$3,OR($C188="W",$C188="1/2W")),AND($K189=BV$3,OR($C189="W",$C189="1/2W"))),$S187,0))</f>
        <v>0</v>
      </c>
      <c r="BW187" s="201">
        <f>IF($B187="LOSS",IF(AND($K187=BW$3,$C187="L"),-$O187,0)+IF(AND($K188=BW$3,$C188="L"),-$O188,0)+IF(AND($K189=BW$3,$C189="L"),-$O189,0),IF(OR(AND($K187=BW$3,OR($C187="W",$C187="1/2W")),AND($K188=BW$3,OR($C188="W",$C188="1/2W")),AND($K189=BW$3,OR($C189="W",$C189="1/2W"))),$S187,0))</f>
        <v>0</v>
      </c>
      <c r="BX187" s="201">
        <f>IF($B187="LOSS",IF(AND($K187=BX$3,$C187="L"),-$O187,0)+IF(AND($K188=BX$3,$C188="L"),-$O188,0)+IF(AND($K189=BX$3,$C189="L"),-$O189,0),IF(OR(AND($K187=BX$3,OR($C187="W",$C187="1/2W")),AND($K188=BX$3,OR($C188="W",$C188="1/2W")),AND($K189=BX$3,OR($C189="W",$C189="1/2W"))),$S187,0))</f>
        <v>0</v>
      </c>
      <c r="BY187" s="201">
        <f>IF($B187="LOSS",IF(AND($K187=BY$3,$C187="L"),-$O187,0)+IF(AND($K188=BY$3,$C188="L"),-$O188,0)+IF(AND($K189=BY$3,$C189="L"),-$O189,0),IF(OR(AND($K187=BY$3,OR($C187="W",$C187="1/2W")),AND($K188=BY$3,OR($C188="W",$C188="1/2W")),AND($K189=BY$3,OR($C189="W",$C189="1/2W"))),$S187,0))</f>
        <v>0</v>
      </c>
      <c r="BZ187" s="205">
        <f>IF($B187="LOSS",IF(AND($K187=BZ$3,$C187="L"),-$O187,0)+IF(AND($K188=BZ$3,$C188="L"),-$O188,0)+IF(AND($K189=BZ$3,$C189="L"),-$O189,0),IF(OR(AND($K187=BZ$3,OR($C187="W",$C187="1/2W")),AND($K188=BZ$3,OR($C188="W",$C188="1/2W")),AND($K189=BZ$3,OR($C189="W",$C189="1/2W"))),$S187,0))</f>
        <v>0</v>
      </c>
      <c r="CA187" s="205">
        <f>IF($B187="LOSS",IF(AND($K187=CA$3,$C187="L"),-$O187,0)+IF(AND($K188=CA$3,$C188="L"),-$O188,0)+IF(AND($K189=CA$3,$C189="L"),-$O189,0),IF(OR(AND($K187=CA$3,OR($C187="W",$C187="1/2W")),AND($K188=CA$3,OR($C188="W",$C188="1/2W")),AND($K189=CA$3,OR($C189="W",$C189="1/2W"))),$S187,0))</f>
        <v>0</v>
      </c>
      <c r="CB187" s="205">
        <f>IF($B187="LOSS",IF(AND($K187=CB$3,$C187="L"),-$O187,0)+IF(AND($K188=CB$3,$C188="L"),-$O188,0)+IF(AND($K189=CB$3,$C189="L"),-$O189,0),IF(OR(AND($K187=CB$3,OR($C187="W",$C187="1/2W")),AND($K188=CB$3,OR($C188="W",$C188="1/2W")),AND($K189=CB$3,OR($C189="W",$C189="1/2W"))),$S187,0))</f>
        <v>0</v>
      </c>
      <c r="CC187" s="205">
        <f>IF($B187="LOSS",IF(AND($K187=CC$3,$C187="L"),-$O187,0)+IF(AND($K188=CC$3,$C188="L"),-$O188,0)+IF(AND($K189=CC$3,$C189="L"),-$O189,0),IF(OR(AND($K187=CC$3,OR($C187="W",$C187="1/2W")),AND($K188=CC$3,OR($C188="W",$C188="1/2W")),AND($K189=CC$3,OR($C189="W",$C189="1/2W"))),$S187,0))</f>
        <v>0</v>
      </c>
      <c r="CD187" s="202">
        <f>IF($B187="LOSS",IF(AND($K187=CD$3,$C187="L"),-$O187,0)+IF(AND($K188=CD$3,$C188="L"),-$O188,0)+IF(AND($K189=CD$3,$C189="L"),-$O189,0),IF(OR(AND($K187=CD$3,OR($C187="W",$C187="1/2W")),AND($K188=CD$3,OR($C188="W",$C188="1/2W")),AND($K189=CD$3,OR($C189="W",$C189="1/2W"))),$S187,0))</f>
        <v>0</v>
      </c>
      <c r="CE187" s="199">
        <f>IF($B187="LOSS",IF(AND($K187=CE$3,$C187="L"),-$O187,0)+IF(AND($K188=CE$3,$C188="L"),-$O188,0)+IF(AND($K189=CE$3,$C189="L"),-$O189,0),IF(OR(AND($K187=CE$3,OR($C187="W",$C187="1/2W")),AND($K188=CE$3,OR($C188="W",$C188="1/2W")),AND($K189=CE$3,OR($C189="W",$C189="1/2W"))),$S187,0))</f>
        <v>0</v>
      </c>
      <c r="CF187" s="206">
        <f>IF(CF$3=$K187,IF($C187="W",1,IF($C187="1/2W",0.5,0)),0)</f>
        <v>0</v>
      </c>
      <c r="CG187" s="207">
        <f>IF(CF$3=$K187,IF($C187="L",1,IF($C187="1/2L",0.5,0)),0)</f>
        <v>0</v>
      </c>
      <c r="CH187" s="207">
        <f>IF(CH$3=$K187,IF($C187="W",1,IF($C187="1/2W",0.5,0)),0)</f>
        <v>0</v>
      </c>
      <c r="CI187" s="207">
        <f>IF(CH$3=$K187,IF($C187="L",1,IF($C187="1/2L",0.5,0)),0)</f>
        <v>0</v>
      </c>
      <c r="CJ187" s="207">
        <f>IF(CJ$3=$K187,IF($C187="W",1,IF($C187="1/2W",0.5,0)),0)</f>
        <v>0</v>
      </c>
      <c r="CK187" s="207">
        <f>IF(CJ$3=$K187,IF($C187="L",1,IF($C187="1/2L",0.5,0)),0)</f>
        <v>0</v>
      </c>
      <c r="CL187" s="207">
        <f>IF(CL$3=$K187,IF($C187="W",1,IF($C187="1/2W",0.5,0)),0)</f>
        <v>0</v>
      </c>
      <c r="CM187" s="207">
        <f>IF(CL$3=$K187,IF($C187="L",1,IF($C187="1/2L",0.5,0)),0)</f>
        <v>0</v>
      </c>
      <c r="CN187" s="207">
        <f>IF(CN$3=$K187,IF($C187="W",1,IF($C187="1/2W",0.5,0)),0)</f>
        <v>0</v>
      </c>
      <c r="CO187" s="207">
        <f>IF(CN$3=$K187,IF($C187="L",1,IF($C187="1/2L",0.5,0)),0)</f>
        <v>0</v>
      </c>
      <c r="CP187" s="207">
        <f>IF(CP$3=$K187,IF($C187="W",1,IF($C187="1/2W",0.5,0)),0)</f>
        <v>0</v>
      </c>
      <c r="CQ187" s="207">
        <f>IF(CP$3=$K187,IF($C187="L",1,IF($C187="1/2L",0.5,0)),0)</f>
        <v>0</v>
      </c>
      <c r="CR187" s="207">
        <f>IF(CR$3=$K187,IF($C187="W",1,IF($C187="1/2W",0.5,0)),0)</f>
        <v>0</v>
      </c>
      <c r="CS187" s="207">
        <f>IF(CR$3=$K187,IF($C187="L",1,IF($C187="1/2L",0.5,0)),0)</f>
        <v>0</v>
      </c>
      <c r="CT187" s="208">
        <f>IF(CT$3=$K187,IF($C187="W",1,IF($C187="1/2W",0.5,0)),0)</f>
        <v>0</v>
      </c>
      <c r="CU187" s="209">
        <f>IF(CT$3=$K187,IF($C187="L",1,IF($C187="1/2L",0.5,0)),0)</f>
        <v>0</v>
      </c>
      <c r="CV187" s="209">
        <f>IF(CV$3=$K187,IF($C187="W",1,IF($C187="1/2W",0.5,0)),0)</f>
        <v>0</v>
      </c>
      <c r="CW187" s="209">
        <f>IF(CV$3=$K187,IF($C187="L",1,IF($C187="1/2L",0.5,0)),0)</f>
        <v>0</v>
      </c>
      <c r="CX187" s="209">
        <f>IF(CX$3=$K187,IF($C187="W",1,IF($C187="1/2W",0.5,0)),0)</f>
        <v>0</v>
      </c>
      <c r="CY187" s="209">
        <f>IF(CX$3=$K187,IF($C187="L",1,IF($C187="1/2L",0.5,0)),0)</f>
        <v>0</v>
      </c>
      <c r="CZ187" s="209">
        <f>IF(CZ$3=$K187,IF($C187="W",1,IF($C187="1/2W",0.5,0)),0)</f>
        <v>0</v>
      </c>
      <c r="DA187" s="209">
        <f>IF(CZ$3=$K187,IF($C187="L",1,IF($C187="1/2L",0.5,0)),0)</f>
        <v>0</v>
      </c>
      <c r="DB187" s="209">
        <f>IF(DB$3=$K187,IF($C187="W",1,IF($C187="1/2W",0.5,0)),0)</f>
        <v>0</v>
      </c>
      <c r="DC187" s="209">
        <f>IF(DB$3=$K187,IF($C187="L",1,IF($C187="1/2L",0.5,0)),0)</f>
        <v>0</v>
      </c>
      <c r="DD187" s="209">
        <f>IF(DD$3=$K187,IF($C187="W",1,IF($C187="1/2W",0.5,0)),0)</f>
        <v>0</v>
      </c>
      <c r="DE187" s="210">
        <f>IF(DD$3=$K187,IF($C187="L",1,IF($C187="1/2L",0.5,0)),0)</f>
        <v>0</v>
      </c>
      <c r="DF187" s="211">
        <f>IF(AND(L187&lt;DF$3,$C187="W"),1+DF186,DF186)</f>
        <v>8</v>
      </c>
      <c r="DG187" s="198">
        <f>IF(DF187&gt;DF186,L187+DG186,DG186)</f>
        <v>10.598</v>
      </c>
      <c r="DH187" s="209">
        <f>IF(AND(L187&gt;DH$3,$C187="W"),1+DH186,0+DH186)</f>
        <v>2</v>
      </c>
      <c r="DI187" s="198">
        <f>IF(DH187&gt;DH186,L187+DI186,DI186)</f>
        <v>11.58</v>
      </c>
      <c r="DJ187" t="s" s="306">
        <f>IF($D187="","",$D187)</f>
        <v>184</v>
      </c>
      <c r="DK187" s="209">
        <f>IF(AND($B187=" ",$D187&lt;&gt;""),1,0)</f>
        <v>0</v>
      </c>
    </row>
    <row r="188" ht="14.55" customHeight="1">
      <c r="A188" s="107"/>
      <c r="B188" s="108"/>
      <c r="C188" t="s" s="213">
        <v>114</v>
      </c>
      <c r="D188" s="110"/>
      <c r="E188" s="111"/>
      <c r="F188" s="112"/>
      <c r="G188" s="214"/>
      <c r="H188" s="114"/>
      <c r="I188" t="s" s="215">
        <v>67</v>
      </c>
      <c r="J188" s="296">
        <f>IF(OR(I187="TO",I187="TU",I187="TO1",I187="TU1",I187="TO2",I187="TU2"),J187,IF(OR(I187="AH1",I187="AH2"),IF(OR(I188="AH1",I188="AH2"),-J187,IF(OR(I188="EH1",I188="EH2"),-J187+0.5,"")),IF(OR(I187="EH1",I187="EH2"),IF(OR(I188="AH1",I188="AH2"),-J187+0.5,IF(OR(I188="EH1",I188="EH2"),-J187+1,"")),IF(AND(OR(I187="DNB1",I187="DNB2"),OR(I188="AH1",I188="AH2")),0,IF(AND(I187="Not ScoreBoth",OR(I188="TO1",I188="TO2")),0.5,"")))))</f>
        <v>1.5</v>
      </c>
      <c r="K188" t="s" s="217">
        <v>38</v>
      </c>
      <c r="L188" s="218">
        <v>2.05</v>
      </c>
      <c r="M188" s="219">
        <v>13.66</v>
      </c>
      <c r="N188" s="120"/>
      <c r="O188" s="220">
        <f>IF(OR(AE187="",AE188=""),"",ROUND(IF(L189&gt;0,IF(M188&gt;0,M188,IF(M187&gt;0,IF(N187=TRUE,ROUND((M187*AE188)/AE187,0),(M187*AE188)/AE187),IF(M188&gt;0,ROUND(M188,IF(N187=0,2,IF(N187=0.1,1,0))),IF(M189&gt;0,ROUND(O189*AE188/AE189,IF(N187=0,2,IF(N187=0.1,1,0))),0)))),IF(M188&gt;0,M188,ROUND((M187*AE188)/AE187,IF(N187=0,2,IF(N187=0.1,1,0))))),2))</f>
        <v>13.66</v>
      </c>
      <c r="P188" s="221">
        <f>IF(OR(L188="",O188=""),"",IF($C188="1/2W",O188/2+O188/2*L188,IF($C188="1/2L",O188/2,IF(I188="Lay",((O188*(L188/(L188-1)))-O188)*(1-_xlfn.XLOOKUP(K188,'Janeiro 2023 - Valor Real'!A3:A15,'Janeiro 2023 - Valor Real'!C3:C15,0))+O188,(O188*L188-O188)*(1-_xlfn.XLOOKUP(K188,'Janeiro 2023 - Valor Real'!A3:A15,'Janeiro 2023 - Valor Real'!C3:C15,0))+O188))))</f>
        <v>28.003</v>
      </c>
      <c r="Q188" s="222">
        <f>IF(K188="","",IF(_xlfn.XLOOKUP(K188,K$85:K92,DJ$85:DJ92,0,,-1)=DJ188,_xlfn.XLOOKUP(K188,K$85:K92,Q$85:Q92,1,,-1)+1,1))</f>
        <v>1</v>
      </c>
      <c r="R188" s="223">
        <f>IF(K188="","",_xlfn.XLOOKUP(K188,K$85:K92,R$85:R92,0,,-1)+IF($C188=" ",1,0))</f>
        <v>0</v>
      </c>
      <c r="S188" s="125"/>
      <c r="T188" s="126"/>
      <c r="U188" s="126"/>
      <c r="V188" s="224"/>
      <c r="W188" s="126"/>
      <c r="X188" s="127"/>
      <c r="Y188" s="128"/>
      <c r="Z188" s="129"/>
      <c r="AA188" s="129"/>
      <c r="AB188" s="129"/>
      <c r="AC188" s="129"/>
      <c r="AD188" s="225">
        <f>(((L188/(L188-1)-1)*(1-_xlfn.XLOOKUP(K188,'Janeiro 2023 - Valor Real'!A3:A15,'Janeiro 2023 - Valor Real'!C3:C15,0))+1))</f>
        <v>1.95238095238095</v>
      </c>
      <c r="AE188" s="226">
        <f>IF(L188="","",IF(L189&gt;0,(SUM(((L187-1)*(1-_xlfn.XLOOKUP(K187,'Janeiro 2023 - Valor Real'!A3:A15,'Janeiro 2023 - Valor Real'!C3:C15,0))+1),((L188-1)*(1-_xlfn.XLOOKUP(K188,'Janeiro 2023 - Valor Real'!A3:A15,'Janeiro 2023 - Valor Real'!C3:C15,0))+1),((L189-1)*(1-_xlfn.XLOOKUP(K189,'Janeiro 2023 - Valor Real'!A3:A15,'Janeiro 2023 - Valor Real'!C3:C15,0))+1))/((L188-1)*(1-_xlfn.XLOOKUP(K188,'Janeiro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Real'!C3:C15,0))+1))/((L187-1)*(1-_xlfn.XLOOKUP(K187,'Janeiro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Real'!C3:C15,0))+1))/((L188-1)*(1-_xlfn.XLOOKUP(K188,'Janeiro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Real'!C3:C15,0))+1))/((L189-1)*(1-_xlfn.XLOOKUP(K189,'Janeiro 2023 - Valor Real'!A3:A15,'Janeiro 2023 - Valor Real'!C3:C15,0))+1)),IF(I188="Lay",IF(I187="Lay",((L187/(L187-1)-1)*(1-_xlfn.XLOOKUP(K187,'Janeiro 2023 - Valor Real'!A3:A15,'Janeiro 2023 - Valor Real'!C3:C15,0))+1)/(((L187/(L187-1)-1)*(1-_xlfn.XLOOKUP(K187,'Janeiro 2023 - Valor Real'!A3:A15,'Janeiro 2023 - Valor Real'!C3:C15,0))+1)+((L188/(L188-1)-1)*(1-_xlfn.XLOOKUP(K188,'Janeiro 2023 - Valor Real'!A3:A15,'Janeiro 2023 - Valor Real'!C3:C15,0))+1)),((L187-1)*(1-_xlfn.XLOOKUP(K187,'Janeiro 2023 - Valor Real'!A3:A15,'Janeiro 2023 - Valor Real'!C3:C15,0))+1)/(((L187-1)*(1-_xlfn.XLOOKUP(K187,'Janeiro 2023 - Valor Real'!A3:A15,'Janeiro 2023 - Valor Real'!C3:C15,0))+1)+((L188/(L188-1)-1)*(1-_xlfn.XLOOKUP(K188,'Janeiro 2023 - Valor Real'!A3:A15,'Janeiro 2023 - Valor Real'!C3:C15,0))+1))),IF(I187="Lay",((L187/(L187-1)-1)*(1-_xlfn.XLOOKUP(K187,'Janeiro 2023 - Valor Real'!A3:A15,'Janeiro 2023 - Valor Real'!C3:C15,0))+1)/((((L187/(L187-1)-1)*(1-_xlfn.XLOOKUP(K187,'Janeiro 2023 - Valor Real'!A3:A15,'Janeiro 2023 - Valor Real'!C3:C15,0))+1))+((L188-1)*(1-_xlfn.XLOOKUP(K188,'Janeiro 2023 - Valor Real'!A3:A15,'Janeiro 2023 - Valor Real'!C3:C15,0))+1)),((L187-1)*(1-_xlfn.XLOOKUP(K187,'Janeiro 2023 - Valor Real'!A3:A15,'Janeiro 2023 - Valor Real'!C3:C15,0))+1)/(((L187-1)*(1-_xlfn.XLOOKUP(K187,'Janeiro 2023 - Valor Real'!A3:A15,'Janeiro 2023 - Valor Real'!C3:C15,0))+1)+((L188-1)*(1-_xlfn.XLOOKUP(K188,'Janeiro 2023 - Valor Real'!A3:A15,'Janeiro 2023 - Valor Real'!C3:C15,0))+1))))))</f>
        <v>0.504830917874396</v>
      </c>
      <c r="AF188" s="197">
        <f>IF($K188=AF$3,ROUND(IF(OR($C188="W",$C188="1/2W",$C188="1/2L"),$P188-$O188,IF($C188="X",0,-$O188)),2),0)</f>
        <v>0</v>
      </c>
      <c r="AG188" s="198">
        <f>IF($K188=AG$3,ROUND(IF(OR($C188="W",$C188="1/2W",$C188="1/2L"),$P188-$O188,IF($C188="X",0,-$O188)),2),0)</f>
        <v>0</v>
      </c>
      <c r="AH188" s="198">
        <f>IF($K188=AH$3,ROUND(IF(OR($C188="W",$C188="1/2W",$C188="1/2L"),$P188-$O188,IF($C188="X",0,-$O188)),2),0)</f>
        <v>0</v>
      </c>
      <c r="AI188" s="198">
        <f>IF($K188=AI$3,ROUND(IF(OR($C188="W",$C188="1/2W",$C188="1/2L"),$P188-$O188,IF($C188="X",0,-$O188)),2),0)</f>
        <v>0</v>
      </c>
      <c r="AJ188" s="198">
        <f>IF($K188=AJ$3,ROUND(IF(OR($C188="W",$C188="1/2W",$C188="1/2L"),$P188-$O188,IF($C188="X",0,-$O188)),2),0)</f>
        <v>0</v>
      </c>
      <c r="AK188" s="198">
        <f>IF($K188=AK$3,ROUND(IF(OR($C188="W",$C188="1/2W",$C188="1/2L"),$P188-$O188,IF($C188="X",0,-$O188)),2),0)</f>
        <v>0</v>
      </c>
      <c r="AL188" s="198">
        <f>IF($K188=AL$3,ROUND(IF(OR($C188="W",$C188="1/2W",$C188="1/2L"),$P188-$O188,IF($C188="X",0,-$O188)),2),0)</f>
        <v>0</v>
      </c>
      <c r="AM188" s="198">
        <f>IF($K188=AM$3,ROUND(IF(OR($C188="W",$C188="1/2W",$C188="1/2L"),$P188-$O188,IF($C188="X",0,-$O188)),2),0)</f>
        <v>0</v>
      </c>
      <c r="AN188" s="198">
        <f>IF($K188=AN$3,ROUND(IF(OR($C188="W",$C188="1/2W",$C188="1/2L"),$P188-$O188,IF($C188="X",0,-$O188)),2),0)</f>
        <v>0</v>
      </c>
      <c r="AO188" s="198">
        <f>IF($K188=AO$3,ROUND(IF(OR($C188="W",$C188="1/2W",$C188="1/2L"),$P188-$O188,IF($C188="X",0,-$O188)),2),0)</f>
        <v>0</v>
      </c>
      <c r="AP188" s="198">
        <f>IF($K188=AP$3,ROUND(IF(OR($C188="W",$C188="1/2W",$C188="1/2L"),$P188-$O188,IF($C188="X",0,-$O188)),2),0)</f>
        <v>0</v>
      </c>
      <c r="AQ188" s="198">
        <f>IF($K188=AQ$3,ROUND(IF(OR($C188="W",$C188="1/2W",$C188="1/2L"),$P188-$O188,IF($C188="X",0,-$O188)),2),0)</f>
        <v>0</v>
      </c>
      <c r="AR188" s="199">
        <f>IF($K188=AR$3,ROUND(IF(OR($C188="W",$C188="1/2W",$C188="1/2L"),$P188-$O188,IF($C188="X",0,-$O188)),2),0)</f>
        <v>0</v>
      </c>
      <c r="AS188" s="197">
        <f>IF(AND($B187=" ",$K188=AS$3),$O188,0)</f>
        <v>0</v>
      </c>
      <c r="AT188" s="198">
        <f>IF(AND($B187=" ",K188=AT$3),$O188,0)</f>
        <v>0</v>
      </c>
      <c r="AU188" s="198">
        <f>IF(AND($B187=" ",$K188=AU$3),$O188,0)</f>
        <v>0</v>
      </c>
      <c r="AV188" s="198">
        <f>IF(AND($B187=" ",$K188=AV$3),$O188,0)</f>
        <v>0</v>
      </c>
      <c r="AW188" s="198">
        <f>IF(AND($B187=" ",$K188=AW$3),$O188,0)</f>
        <v>0</v>
      </c>
      <c r="AX188" s="198">
        <f>IF(AND($B187=" ",$K188=AX$3),$O188,0)</f>
        <v>0</v>
      </c>
      <c r="AY188" s="200">
        <f>IF(AND($B187=" ",$K188=AY$3),$O188,0)</f>
        <v>0</v>
      </c>
      <c r="AZ188" s="201">
        <f>IF(AND($B187=" ",$K188=AZ$3),$O188,0)</f>
        <v>0</v>
      </c>
      <c r="BA188" s="201">
        <f>IF(AND($B187=" ",$K188=BA$3),$O188,0)</f>
        <v>0</v>
      </c>
      <c r="BB188" s="201">
        <f>IF(AND($B187=" ",$K188=BB$3),$O188,0)</f>
        <v>0</v>
      </c>
      <c r="BC188" s="202">
        <f>IF(AND($B187=" ",$K188=BC$3),$O188,0)</f>
        <v>0</v>
      </c>
      <c r="BD188" s="198">
        <f>IF(AND($B187=" ",$K188=BD$3),$O188,0)</f>
        <v>0</v>
      </c>
      <c r="BE188" s="199">
        <f>IF(AND($B187=" ",$K188=BE$3),$O188,0)</f>
        <v>0</v>
      </c>
      <c r="BF188" s="197">
        <f>IF($K188=BF$3,IF($C188="X",0,$O188),0)</f>
        <v>0</v>
      </c>
      <c r="BG188" s="198">
        <f>IF($K188=BG$3,IF($C188="X",0,$O188),0)</f>
        <v>0</v>
      </c>
      <c r="BH188" s="198">
        <f>IF($K188=BH$3,IF($C188="X",0,$O188),0)</f>
        <v>0</v>
      </c>
      <c r="BI188" s="198">
        <f>IF($K188=BI$3,IF($C188="X",0,$O188),0)</f>
        <v>0</v>
      </c>
      <c r="BJ188" s="198">
        <f>IF($K188=BJ$3,IF($C188="X",0,$O188),0)</f>
        <v>0</v>
      </c>
      <c r="BK188" s="198">
        <f>IF($K188=BK$3,IF($C188="X",0,$O188),0)</f>
        <v>0</v>
      </c>
      <c r="BL188" s="198">
        <f>IF($K188=BL$3,IF($C188="X",0,$O188),0)</f>
        <v>0</v>
      </c>
      <c r="BM188" s="227">
        <f>IF($K188=BM$3,IF($C188="X",0,$O188),0)</f>
        <v>0</v>
      </c>
      <c r="BN188" s="205">
        <f>IF($K188=BN$3,IF($C188="X",0,$O188),0)</f>
        <v>0</v>
      </c>
      <c r="BO188" s="205">
        <f>IF($K188=BO$3,IF($C188="X",0,$O188),0)</f>
        <v>0</v>
      </c>
      <c r="BP188" s="205">
        <f>IF($K188=BP$3,IF($C188="X",0,$O188),0)</f>
        <v>0</v>
      </c>
      <c r="BQ188" s="202">
        <f>IF($K188=BQ$3,IF($C188="X",0,$O188),0)</f>
        <v>0</v>
      </c>
      <c r="BR188" s="199">
        <f>IF($K188=BR$3,IF($C188="X",0,$O188),0)</f>
        <v>0</v>
      </c>
      <c r="BS188" s="228"/>
      <c r="BT188" s="229"/>
      <c r="BU188" s="140"/>
      <c r="BV188" s="229"/>
      <c r="BW188" s="140"/>
      <c r="BX188" s="140"/>
      <c r="BY188" s="140"/>
      <c r="BZ188" s="229"/>
      <c r="CA188" s="140"/>
      <c r="CB188" s="140"/>
      <c r="CC188" s="140"/>
      <c r="CD188" s="141"/>
      <c r="CE188" s="142"/>
      <c r="CF188" s="230">
        <f>IF(CF$3=$K188,IF($C188="W",1,IF($C188="1/2W",0.5,0)),0)</f>
        <v>0</v>
      </c>
      <c r="CG188" s="231">
        <f>IF(CF$3=$K188,IF($C188="L",1,IF($C188="1/2L",0.5,0)),0)</f>
        <v>0</v>
      </c>
      <c r="CH188" s="231">
        <f>IF(CH$3=$K188,IF($C188="W",1,IF($C188="1/2W",0.5,0)),0)</f>
        <v>0</v>
      </c>
      <c r="CI188" s="231">
        <f>IF(CH$3=$K188,IF($C188="L",1,IF($C188="1/2L",0.5,0)),0)</f>
        <v>0</v>
      </c>
      <c r="CJ188" s="231">
        <f>IF(CJ$3=$K188,IF($C188="W",1,IF($C188="1/2W",0.5,0)),0)</f>
        <v>0</v>
      </c>
      <c r="CK188" s="231">
        <f>IF(CJ$3=$K188,IF($C188="L",1,IF($C188="1/2L",0.5,0)),0)</f>
        <v>0</v>
      </c>
      <c r="CL188" s="231">
        <f>IF(CL$3=$K188,IF($C188="W",1,IF($C188="1/2W",0.5,0)),0)</f>
        <v>0</v>
      </c>
      <c r="CM188" s="231">
        <f>IF(CL$3=$K188,IF($C188="L",1,IF($C188="1/2L",0.5,0)),0)</f>
        <v>0</v>
      </c>
      <c r="CN188" s="231">
        <f>IF(CN$3=$K188,IF($C188="W",1,IF($C188="1/2W",0.5,0)),0)</f>
        <v>0</v>
      </c>
      <c r="CO188" s="231">
        <f>IF(CN$3=$K188,IF($C188="L",1,IF($C188="1/2L",0.5,0)),0)</f>
        <v>0</v>
      </c>
      <c r="CP188" s="231">
        <f>IF(CP$3=$K188,IF($C188="W",1,IF($C188="1/2W",0.5,0)),0)</f>
        <v>0</v>
      </c>
      <c r="CQ188" s="231">
        <f>IF(CP$3=$K188,IF($C188="L",1,IF($C188="1/2L",0.5,0)),0)</f>
        <v>0</v>
      </c>
      <c r="CR188" s="231">
        <f>IF(CR$3=$K188,IF($C188="W",1,IF($C188="1/2W",0.5,0)),0)</f>
        <v>0</v>
      </c>
      <c r="CS188" s="231">
        <f>IF(CR$3=$K188,IF($C188="L",1,IF($C188="1/2L",0.5,0)),0)</f>
        <v>0</v>
      </c>
      <c r="CT188" s="208">
        <f>IF(CT$3=$K188,IF($C188="W",1,IF($C188="1/2W",0.5,0)),0)</f>
        <v>0</v>
      </c>
      <c r="CU188" s="209">
        <f>IF(CT$3=$K188,IF($C188="L",1,IF($C188="1/2L",0.5,0)),0)</f>
        <v>0</v>
      </c>
      <c r="CV188" s="209">
        <f>IF(CV$3=$K188,IF($C188="W",1,IF($C188="1/2W",0.5,0)),0)</f>
        <v>0</v>
      </c>
      <c r="CW188" s="209">
        <f>IF(CV$3=$K188,IF($C188="L",1,IF($C188="1/2L",0.5,0)),0)</f>
        <v>0</v>
      </c>
      <c r="CX188" s="209">
        <f>IF(CX$3=$K188,IF($C188="W",1,IF($C188="1/2W",0.5,0)),0)</f>
        <v>0</v>
      </c>
      <c r="CY188" s="209">
        <f>IF(CX$3=$K188,IF($C188="L",1,IF($C188="1/2L",0.5,0)),0)</f>
        <v>0</v>
      </c>
      <c r="CZ188" s="209">
        <f>IF(CZ$3=$K188,IF($C188="W",1,IF($C188="1/2W",0.5,0)),0)</f>
        <v>0</v>
      </c>
      <c r="DA188" s="209">
        <f>IF(CZ$3=$K188,IF($C188="L",1,IF($C188="1/2L",0.5,0)),0)</f>
        <v>0</v>
      </c>
      <c r="DB188" s="209">
        <f>IF(DB$3=$K188,IF($C188="W",1,IF($C188="1/2W",0.5,0)),0)</f>
        <v>0</v>
      </c>
      <c r="DC188" s="209">
        <f>IF(DB$3=$K188,IF($C188="L",1,IF($C188="1/2L",0.5,0)),0)</f>
        <v>0</v>
      </c>
      <c r="DD188" s="209">
        <f>IF(DD$3=$K188,IF($C188="W",1,IF($C188="1/2W",0.5,0)),0)</f>
        <v>0</v>
      </c>
      <c r="DE188" s="210">
        <f>IF(DD$3=$K188,IF($C188="L",1,IF($C188="1/2L",0.5,0)),0)</f>
        <v>0</v>
      </c>
      <c r="DF188" s="211">
        <f>IF(AND(L188&lt;DF$3,$C188="W"),1+DF187,DF187)</f>
        <v>8</v>
      </c>
      <c r="DG188" s="198">
        <f>IF(DF188&gt;DF187,L188+DG187,DG187)</f>
        <v>10.598</v>
      </c>
      <c r="DH188" s="209">
        <f>IF(AND(L188&gt;DH$3,$C188="W"),1+DH187,0+DH187)</f>
        <v>2</v>
      </c>
      <c r="DI188" s="198">
        <f>IF(DH188&gt;DH187,L188+DI187,DI187)</f>
        <v>11.58</v>
      </c>
      <c r="DJ188" t="s" s="306">
        <f>IF($D187="","",$D187)</f>
        <v>184</v>
      </c>
      <c r="DK188" s="232"/>
    </row>
    <row r="189" ht="14.55" customHeight="1">
      <c r="A189" s="149"/>
      <c r="B189" s="150"/>
      <c r="C189" t="s" s="233">
        <v>58</v>
      </c>
      <c r="D189" s="152"/>
      <c r="E189" s="153"/>
      <c r="F189" s="154"/>
      <c r="G189" s="234"/>
      <c r="H189" s="156"/>
      <c r="I189" s="235"/>
      <c r="J189" s="236"/>
      <c r="K189" s="237"/>
      <c r="L189" s="238"/>
      <c r="M189" s="239"/>
      <c r="N189" s="161"/>
      <c r="O189" t="s" s="240">
        <f>IF(OR(AE187="",AE188=""),"",IF(L189&gt;0,ROUND(IF(M189&gt;0,M189,IF(M187&gt;0,ROUND((M187*AE189)/AE187,IF(N187=0,2,IF(N187=0.1,1,0))),IF(M188&gt;0,ROUND((M188*AE189)/AE188,IF(N187=0,2,IF(N187=0.1,1,0))),IF(M189&gt;0,M189,0)))),2),""))</f>
      </c>
      <c r="P189" t="s" s="241">
        <f>IF(I188="Lay",O188*(L188/(L188-1))-O188,IF(I187="Lay",O187*(L187/(L187-1))-O187,IF(OR(L189="",O189=""),"",IF($C189="1/2W",O189/2+O189/2*L189,IF($C189="1/2L",O189/2,(O189*L189-O189)*(1-_xlfn.XLOOKUP(K189,'Janeiro 2023 - Valor Real'!A3:A15,'Janeiro 2023 - Valor Real'!C3:C15,0))+O189)))))</f>
      </c>
      <c r="Q189" t="s" s="242">
        <f>IF(K189="","",IF(_xlfn.XLOOKUP(K189,K$86:K93,DJ$86:DJ93,0,,-1)=DJ189,_xlfn.XLOOKUP(K189,K$86:K93,Q$86:Q93,1,,-1)+1,1))</f>
      </c>
      <c r="R189" t="s" s="243">
        <f>IF(K189="","",_xlfn.XLOOKUP(K189,K$86:K93,R$86:R93,0,,-1)+IF($C189=" ",1,0))</f>
      </c>
      <c r="S189" s="166"/>
      <c r="T189" s="155"/>
      <c r="U189" s="155"/>
      <c r="V189" s="166"/>
      <c r="W189" s="155"/>
      <c r="X189" s="167"/>
      <c r="Y189" s="128"/>
      <c r="Z189" s="129"/>
      <c r="AA189" s="129"/>
      <c r="AB189" s="129"/>
      <c r="AC189" s="129"/>
      <c r="AD189" s="244">
        <f>((L188/(L188-1)-1))</f>
        <v>0.952380952380952</v>
      </c>
      <c r="AE189" t="s" s="245">
        <f>IF(L189="","",(SUM(((L187-1)*(1-_xlfn.XLOOKUP(K187,'Janeiro 2023 - Valor Real'!A3:A15,'Janeiro 2023 - Valor Real'!C3:C15,0))+1),((L188-1)*(1-_xlfn.XLOOKUP(K188,'Janeiro 2023 - Valor Real'!A3:A15,'Janeiro 2023 - Valor Real'!C3:C15,0))+1),((L189-1)*(1-_xlfn.XLOOKUP(K189,'Janeiro 2023 - Valor Real'!A3:A15,'Janeiro 2023 - Valor Real'!C3:C15,0))+1))/((L189-1)*(1-_xlfn.XLOOKUP(K189,'Janeiro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Real'!C3:C15,0))+1))/((L187-1)*(1-_xlfn.XLOOKUP(K187,'Janeiro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Real'!C3:C15,0))+1))/((L188-1)*(1-_xlfn.XLOOKUP(K188,'Janeiro 2023 - Valor Real'!A3:A15,'Janeiro 2023 - Valor Real'!C3:C15,0))+1)+SUM(((L187-1)*(1-_xlfn.XLOOKUP(K187,'Janeiro 2023 - Valor Real'!A3:A15,'Janeiro 2023 - Valor Real'!C3:C15,0))+1),((L188-1)*(1-_xlfn.XLOOKUP(K188,'Janeiro 2023 - Valor Real'!A3:A15,'Janeiro 2023 - Valor Real'!C3:C15,0))+1),((L189-1)*(1-_xlfn.XLOOKUP(K189,'Janeiro 2023 - Valor Real'!A3:A15,'Janeiro 2023 - Valor Real'!C3:C15,0))+1))/((L189-1)*(1-_xlfn.XLOOKUP(K189,'Janeiro 2023 - Valor Real'!A3:A15,'Janeiro 2023 - Valor Real'!C3:C15,0))+1)))</f>
      </c>
      <c r="AF189" s="197">
        <f>IF($K189=AF$3,ROUND(IF(OR($C189="W",$C189="1/2W",$C189="1/2L"),$P189-$O189,IF($C189="X",0,-$O189)),2),0)</f>
        <v>0</v>
      </c>
      <c r="AG189" s="198">
        <f>IF($K189=AG$3,ROUND(IF(OR($C189="W",$C189="1/2W",$C189="1/2L"),$P189-$O189,IF($C189="X",0,-$O189)),2),0)</f>
        <v>0</v>
      </c>
      <c r="AH189" s="198">
        <f>IF($K189=AH$3,ROUND(IF(OR($C189="W",$C189="1/2W",$C189="1/2L"),$P189-$O189,IF($C189="X",0,-$O189)),2),0)</f>
        <v>0</v>
      </c>
      <c r="AI189" s="198">
        <f>IF($K189=AI$3,ROUND(IF(OR($C189="W",$C189="1/2W",$C189="1/2L"),$P189-$O189,IF($C189="X",0,-$O189)),2),0)</f>
        <v>0</v>
      </c>
      <c r="AJ189" s="198">
        <f>IF($K189=AJ$3,ROUND(IF(OR($C189="W",$C189="1/2W",$C189="1/2L"),$P189-$O189,IF($C189="X",0,-$O189)),2),0)</f>
        <v>0</v>
      </c>
      <c r="AK189" s="198">
        <f>IF($K189=AK$3,ROUND(IF(OR($C189="W",$C189="1/2W",$C189="1/2L"),$P189-$O189,IF($C189="X",0,-$O189)),2),0)</f>
        <v>0</v>
      </c>
      <c r="AL189" s="198">
        <f>IF($K189=AL$3,ROUND(IF(OR($C189="W",$C189="1/2W",$C189="1/2L"),$P189-$O189,IF($C189="X",0,-$O189)),2),0)</f>
        <v>0</v>
      </c>
      <c r="AM189" s="198">
        <f>IF($K189=AM$3,ROUND(IF(OR($C189="W",$C189="1/2W",$C189="1/2L"),$P189-$O189,IF($C189="X",0,-$O189)),2),0)</f>
        <v>0</v>
      </c>
      <c r="AN189" s="198">
        <f>IF($K189=AN$3,ROUND(IF(OR($C189="W",$C189="1/2W",$C189="1/2L"),$P189-$O189,IF($C189="X",0,-$O189)),2),0)</f>
        <v>0</v>
      </c>
      <c r="AO189" s="198">
        <f>IF($K189=AO$3,ROUND(IF(OR($C189="W",$C189="1/2W",$C189="1/2L"),$P189-$O189,IF($C189="X",0,-$O189)),2),0)</f>
        <v>0</v>
      </c>
      <c r="AP189" s="198">
        <f>IF($K189=AP$3,ROUND(IF(OR($C189="W",$C189="1/2W",$C189="1/2L"),$P189-$O189,IF($C189="X",0,-$O189)),2),0)</f>
        <v>0</v>
      </c>
      <c r="AQ189" s="198">
        <f>IF($K189=AQ$3,ROUND(IF(OR($C189="W",$C189="1/2W",$C189="1/2L"),$P189-$O189,IF($C189="X",0,-$O189)),2),0)</f>
        <v>0</v>
      </c>
      <c r="AR189" s="199">
        <f>IF($K189=AR$3,ROUND(IF(OR($C189="W",$C189="1/2W",$C189="1/2L"),$P189-$O189,IF($C189="X",0,-$O189)),2),0)</f>
        <v>0</v>
      </c>
      <c r="AS189" s="197">
        <f>IF(AND($B187=" ",$K189=AS$3),$O189,0)</f>
        <v>0</v>
      </c>
      <c r="AT189" s="198">
        <f>IF(AND($B187=" ",K189=AT$3),$O189,0)</f>
        <v>0</v>
      </c>
      <c r="AU189" s="198">
        <f>IF(AND($B187=" ",$K189=AU$3),$O189,0)</f>
        <v>0</v>
      </c>
      <c r="AV189" s="198">
        <f>IF(AND($B187=" ",$K189=AV$3),$O189,0)</f>
        <v>0</v>
      </c>
      <c r="AW189" s="198">
        <f>IF(AND($B187=" ",$K189=AW$3),$O189,0)</f>
        <v>0</v>
      </c>
      <c r="AX189" s="198">
        <f>IF(AND($B187=" ",$K189=AX$3),$O189,0)</f>
        <v>0</v>
      </c>
      <c r="AY189" s="200">
        <f>IF(AND($B187=" ",$K189=AY$3),$O189,0)</f>
        <v>0</v>
      </c>
      <c r="AZ189" s="201">
        <f>IF(AND($B187=" ",$K189=AZ$3),$O189,0)</f>
        <v>0</v>
      </c>
      <c r="BA189" s="201">
        <f>IF(AND($B187=" ",$K189=BA$3),$O189,0)</f>
        <v>0</v>
      </c>
      <c r="BB189" s="201">
        <f>IF(AND($B187=" ",$K189=BB$3),$O189,0)</f>
        <v>0</v>
      </c>
      <c r="BC189" s="202">
        <f>IF(AND($B187=" ",$K189=BC$3),$O189,0)</f>
        <v>0</v>
      </c>
      <c r="BD189" s="198">
        <f>IF(AND($B187=" ",$K189=BD$3),$O189,0)</f>
        <v>0</v>
      </c>
      <c r="BE189" s="199">
        <f>IF(AND($B187=" ",$K189=BE$3),$O189,0)</f>
        <v>0</v>
      </c>
      <c r="BF189" s="197">
        <f>IF($K189=BF$3,IF($C189="X",0,$O189),0)</f>
        <v>0</v>
      </c>
      <c r="BG189" s="198">
        <f>IF($K189=BG$3,IF($C189="X",0,$O189),0)</f>
        <v>0</v>
      </c>
      <c r="BH189" s="198">
        <f>IF($K189=BH$3,IF($C189="X",0,$O189),0)</f>
        <v>0</v>
      </c>
      <c r="BI189" s="198">
        <f>IF($K189=BI$3,IF($C189="X",0,$O189),0)</f>
        <v>0</v>
      </c>
      <c r="BJ189" s="198">
        <f>IF($K189=BJ$3,IF($C189="X",0,$O189),0)</f>
        <v>0</v>
      </c>
      <c r="BK189" s="198">
        <f>IF($K189=BK$3,IF($C189="X",0,$O189),0)</f>
        <v>0</v>
      </c>
      <c r="BL189" s="198">
        <f>IF($K189=BL$3,IF($C189="X",0,$O189),0)</f>
        <v>0</v>
      </c>
      <c r="BM189" s="200">
        <f>IF($K189=BM$3,IF($C189="X",0,$O189),0)</f>
        <v>0</v>
      </c>
      <c r="BN189" s="201">
        <f>IF($K189=BN$3,IF($C189="X",0,$O189),0)</f>
        <v>0</v>
      </c>
      <c r="BO189" s="201">
        <f>IF($K189=BO$3,IF($C189="X",0,$O189),0)</f>
        <v>0</v>
      </c>
      <c r="BP189" s="201">
        <f>IF($K189=BP$3,IF($C189="X",0,$O189),0)</f>
        <v>0</v>
      </c>
      <c r="BQ189" s="202">
        <f>IF($K189=BQ$3,IF($C189="X",0,$O189),0)</f>
        <v>0</v>
      </c>
      <c r="BR189" s="199">
        <f>IF($K189=BR$3,IF($C189="X",0,$O189),0)</f>
        <v>0</v>
      </c>
      <c r="BS189" s="228"/>
      <c r="BT189" s="229"/>
      <c r="BU189" s="140"/>
      <c r="BV189" s="229"/>
      <c r="BW189" s="140"/>
      <c r="BX189" s="140"/>
      <c r="BY189" s="140"/>
      <c r="BZ189" s="229"/>
      <c r="CA189" s="140"/>
      <c r="CB189" s="140"/>
      <c r="CC189" s="140"/>
      <c r="CD189" s="141"/>
      <c r="CE189" s="142"/>
      <c r="CF189" s="230">
        <f>IF(CF$3=$K189,IF($C189="W",1,IF($C189="1/2W",0.5,0)),0)</f>
        <v>0</v>
      </c>
      <c r="CG189" s="231">
        <f>IF(CF$3=$K189,IF($C189="L",1,IF($C189="1/2L",0.5,0)),0)</f>
        <v>0</v>
      </c>
      <c r="CH189" s="231">
        <f>IF(CH$3=$K189,IF($C189="W",1,IF($C189="1/2W",0.5,0)),0)</f>
        <v>0</v>
      </c>
      <c r="CI189" s="231">
        <f>IF(CH$3=$K189,IF($C189="L",1,IF($C189="1/2L",0.5,0)),0)</f>
        <v>0</v>
      </c>
      <c r="CJ189" s="231">
        <f>IF(CJ$3=$K189,IF($C189="W",1,IF($C189="1/2W",0.5,0)),0)</f>
        <v>0</v>
      </c>
      <c r="CK189" s="231">
        <f>IF(CJ$3=$K189,IF($C189="L",1,IF($C189="1/2L",0.5,0)),0)</f>
        <v>0</v>
      </c>
      <c r="CL189" s="231">
        <f>IF(CL$3=$K189,IF($C189="W",1,IF($C189="1/2W",0.5,0)),0)</f>
        <v>0</v>
      </c>
      <c r="CM189" s="231">
        <f>IF(CL$3=$K189,IF($C189="L",1,IF($C189="1/2L",0.5,0)),0)</f>
        <v>0</v>
      </c>
      <c r="CN189" s="231">
        <f>IF(CN$3=$K189,IF($C189="W",1,IF($C189="1/2W",0.5,0)),0)</f>
        <v>0</v>
      </c>
      <c r="CO189" s="231">
        <f>IF(CN$3=$K189,IF($C189="L",1,IF($C189="1/2L",0.5,0)),0)</f>
        <v>0</v>
      </c>
      <c r="CP189" s="231">
        <f>IF(CP$3=$K189,IF($C189="W",1,IF($C189="1/2W",0.5,0)),0)</f>
        <v>0</v>
      </c>
      <c r="CQ189" s="231">
        <f>IF(CP$3=$K189,IF($C189="L",1,IF($C189="1/2L",0.5,0)),0)</f>
        <v>0</v>
      </c>
      <c r="CR189" s="231">
        <f>IF(CR$3=$K189,IF($C189="W",1,IF($C189="1/2W",0.5,0)),0)</f>
        <v>0</v>
      </c>
      <c r="CS189" s="231">
        <f>IF(CR$3=$K189,IF($C189="L",1,IF($C189="1/2L",0.5,0)),0)</f>
        <v>0</v>
      </c>
      <c r="CT189" s="208">
        <f>IF(CT$3=$K189,IF($C189="W",1,IF($C189="1/2W",0.5,0)),0)</f>
        <v>0</v>
      </c>
      <c r="CU189" s="209">
        <f>IF(CT$3=$K189,IF($C189="L",1,IF($C189="1/2L",0.5,0)),0)</f>
        <v>0</v>
      </c>
      <c r="CV189" s="209">
        <f>IF(CV$3=$K189,IF($C189="W",1,IF($C189="1/2W",0.5,0)),0)</f>
        <v>0</v>
      </c>
      <c r="CW189" s="209">
        <f>IF(CV$3=$K189,IF($C189="L",1,IF($C189="1/2L",0.5,0)),0)</f>
        <v>0</v>
      </c>
      <c r="CX189" s="209">
        <f>IF(CX$3=$K189,IF($C189="W",1,IF($C189="1/2W",0.5,0)),0)</f>
        <v>0</v>
      </c>
      <c r="CY189" s="209">
        <f>IF(CX$3=$K189,IF($C189="L",1,IF($C189="1/2L",0.5,0)),0)</f>
        <v>0</v>
      </c>
      <c r="CZ189" s="209">
        <f>IF(CZ$3=$K189,IF($C189="W",1,IF($C189="1/2W",0.5,0)),0)</f>
        <v>0</v>
      </c>
      <c r="DA189" s="209">
        <f>IF(CZ$3=$K189,IF($C189="L",1,IF($C189="1/2L",0.5,0)),0)</f>
        <v>0</v>
      </c>
      <c r="DB189" s="209">
        <f>IF(DB$3=$K189,IF($C189="W",1,IF($C189="1/2W",0.5,0)),0)</f>
        <v>0</v>
      </c>
      <c r="DC189" s="209">
        <f>IF(DB$3=$K189,IF($C189="L",1,IF($C189="1/2L",0.5,0)),0)</f>
        <v>0</v>
      </c>
      <c r="DD189" s="209">
        <f>IF(DD$3=$K189,IF($C189="W",1,IF($C189="1/2W",0.5,0)),0)</f>
        <v>0</v>
      </c>
      <c r="DE189" s="210">
        <f>IF(DD$3=$K189,IF($C189="L",1,IF($C189="1/2L",0.5,0)),0)</f>
        <v>0</v>
      </c>
      <c r="DF189" s="211">
        <f>IF(AND(L189&lt;DF$3,$C189="W"),1+DF188,DF188)</f>
        <v>8</v>
      </c>
      <c r="DG189" s="198">
        <f>IF(DF189&gt;DF188,L189+DG188,DG188)</f>
        <v>10.598</v>
      </c>
      <c r="DH189" s="209">
        <f>IF(AND(L189&gt;DH$3,$C189="W"),1+DH188,0+DH188)</f>
        <v>2</v>
      </c>
      <c r="DI189" s="198">
        <f>IF(DH189&gt;DH188,L189+DI188,DI188)</f>
        <v>11.58</v>
      </c>
      <c r="DJ189" t="s" s="306">
        <f>IF($D187="","",$D187)</f>
        <v>184</v>
      </c>
      <c r="DK189" s="232"/>
    </row>
    <row r="190" ht="14.55" customHeight="1">
      <c r="A190" s="246">
        <f>$A187+1</f>
        <v>63</v>
      </c>
      <c r="B190" t="s" s="247">
        <f>IF(AND(_xlfn.XLOOKUP(H190,H$87:H94,G$87:G94,0)=G190,_xlfn.XLOOKUP("TempoBet",K190:K192,L190:L192,0)&gt;0),"X",IF(OR(C190="W",C191="W",C192="W",C190="1/2W",C191="1/2W",C192="1/2W",C190="1/2L",C191="1/2L",C192="1/2L"),"OK",IF(OR(C190="L",C191="L",C192="L"),"LOSS",IF(OR(C190="X",C191="X",C192="X"),"Anulado"," "))))</f>
        <v>50</v>
      </c>
      <c r="C190" t="s" s="248">
        <v>56</v>
      </c>
      <c r="D190" t="s" s="303">
        <f>IF(G190="","",$D187)</f>
        <v>184</v>
      </c>
      <c r="E190" t="s" s="250">
        <v>93</v>
      </c>
      <c r="F190" t="s" s="251"/>
      <c r="G190" s="252">
        <v>44944.708333333336</v>
      </c>
      <c r="H190" t="s" s="253">
        <v>206</v>
      </c>
      <c r="I190" t="s" s="254">
        <v>57</v>
      </c>
      <c r="J190" s="255">
        <v>1</v>
      </c>
      <c r="K190" t="s" s="256">
        <v>44</v>
      </c>
      <c r="L190" s="257">
        <v>1.97</v>
      </c>
      <c r="M190" s="258"/>
      <c r="N190" s="259">
        <v>0</v>
      </c>
      <c r="O190" s="260">
        <f>IF(OR(AE190="",AE191=""),"",ROUND(IF(L192&gt;0,IF(M190&gt;0,M190,IF(M191&gt;0,ROUND((M191*AE190)/AE191,IF(N190=0,2,IF(N190=0.1,1,0))),ROUND((M192*AE190)/AE192,IF(N190=0,2,IF(N190=0.1,1,0))))),IF(M190&gt;0,M190,ROUND((M191*AE190)/AE191,IF(N190=0,2,IF(N190=0.1,1,0))))),2))</f>
        <v>12.38</v>
      </c>
      <c r="P190" s="261">
        <f>IF(OR(L190="",O190=""),"",IF($C190="1/2W",O190/2+O190/2*L190,IF($C190="1/2L",O190/2,IF(I190="Lay",(O190*(L190/(L190-1))-O190)*(1-_xlfn.XLOOKUP(K190,'Janeiro 2023 - Valor Real'!A3:A15,'Janeiro 2023 - Valor Real'!C3:C15,0))+O190,(O190*L190-O190)*(1-_xlfn.XLOOKUP(K190,'Janeiro 2023 - Valor Real'!A3:A15,'Janeiro 2023 - Valor Real'!C3:C15,0))+O190))))</f>
        <v>24.3886</v>
      </c>
      <c r="Q190" s="262">
        <f>IF(K190="","",IF(_xlfn.XLOOKUP(K190,K$87:K94,DJ$87:DJ94,0,,-1)=DJ190,_xlfn.XLOOKUP(K190,K$87:K94,Q$87:Q94,1,,-1)+1,1))</f>
        <v>1</v>
      </c>
      <c r="R190" s="263">
        <f>IF(K190="","",_xlfn.XLOOKUP(K190,K$87:K94,R$87:R94,0,,-1)+IF($C190=" ",1,0))</f>
        <v>0</v>
      </c>
      <c r="S190" s="264">
        <f>IF($B190="Anulado",0,ROUND(IF(OR($B190="LOSS",$B190="OK"),IF(OR($C190="W",$C190="1/2W",$C190="1/2L"),P190-O190,IF($C190="L",-O190,0))+IF(OR($C191="W",$C191="1/2W",$C191="1/2L"),P191-O191,IF($C191="L",-O191,0))+IF(OR($C192="W",$C192="1/2W",$C192="1/2L"),P192-O192,IF($C192="L",-O192,0)),IF(AND(OR($C190="W",$C190="1/2W",$C190="1/2L"),C191="W"),P190+P191-SUM(O190:O192)+_xlfn.XLOOKUP("X",C190:C192,O190:O192,0),IF(AND(C190=TRUE,C192="W"),P190+P192-SUM(O190:O192),IF(AND(C191="W",C192="W"),P191+P192-SUM(O190:O192)+_xlfn.XLOOKUP("X",C190:C192,O190:O192,0),IF(L192&gt;0,IF(OR($C190="W",$C190="1/2W",$C190="1/2L"),P190-SUM(O190:O192)+_xlfn.XLOOKUP("X",C190:C192,O190:O192,0),IF(OR($C190="W",$C190="1/2W",$C190="1/2L"),P191-SUM(O190:O192)+_xlfn.XLOOKUP("X",C190:C192,O190:O192,0),IF(OR($C190="W",$C190="1/2W",$C190="1/2L"),P192-SUM(O190:O192)+_xlfn.XLOOKUP("X",C190:C192,O190:O192,0),IF(SUM(P190:P192)/3-SUM(O190:O192)+_xlfn.XLOOKUP("X",C190:C192,O190:O192,0)&gt;0,SUM(P190:P192)/3-SUM(O190:O192)+_xlfn.XLOOKUP("X",C190:C192,O190:O192,0),LARGE(P190:P192,1)-SUM(O190:O192))))),IF(OR($C190="W",$C190="1/2W",$C190="1/2L"),P190-SUM(O190:O191)+_xlfn.XLOOKUP("X",C190:C192,O190:O192,0),IF(OR($C190="W",$C190="1/2W",$C190="1/2L"),P191-SUM(O190:O191)+_xlfn.XLOOKUP("X",C190:C192,O190:O192,0),SUM(P190:P191)/2-SUM(O190:O191)+_xlfn.XLOOKUP("X",C190:C192,O190:O192,0)))))))),2))</f>
        <v>1.12</v>
      </c>
      <c r="T190" s="265">
        <f>IF(S190=0,0,S190/SUM(O190:O192))</f>
        <v>0.0481306403094113</v>
      </c>
      <c r="U190" s="266">
        <f>IF($D190=$D187,IF(OR($B190="LOSS",$B190="OK",$B190="Anulada"),S190,0)+U187,IF(OR($B190="LOSS",$B190="OK",$B190="Anulada"),S190,0))</f>
        <v>34.71</v>
      </c>
      <c r="V190" s="266">
        <f>IF($D190="",0,IF($D190=$D187,IF($B190=" ",IF(I192="",IF(OR(AND(I190="DNB1",I191="DNB2"),AND(OR(I190="DNB1",I190="DNB2"),J191=0),AND(OR(I191="DNB1",I191="DNB2"),J190=0),AND(I190="DNB2",I191="DNB1"),AND(IF(J190=0,(J190+1)/ROUND(J190+1,0),J190/ROUND(J190,0))=1,IF(J191=0,(J191+1)/ROUND(IF(J191="",0,J191)+1,0),IF(J191="",0,J191)/ROUND(IF(J191="",1,J191),0))=1,OR(J190&lt;&gt;""),J191&lt;&gt;"")),0,IF(S190&lt;0,IF(I192="",SMALL(P190:P191,1)-SUM(O190:O191),0),SMALL(P190:P191,1)-SUM(O190:O191))),IF(S190&lt;0,IF(I192="",SMALL(P190:P192,1)-SUM(O190:O192),0),LARGE(P190:P192,1)-SUM(O190:O192))),S190)+V187,IF(I192="",IF(OR(AND(I190="DNB1",I191="DNB2"),AND(OR(I190="DNB1",I190="DNB2"),J191=0),AND(OR(I191="DNB1",I191="DNB2"),J190=0),AND(I190="DNB2",I191="DNB1"),AND(IF(J190=0,(J190+1)/ROUND(J190+1,0),J190/ROUND(J190,0))=1,IF(J191=0,(IF(J191="",0,J191)+1)/ROUND(IF(J191="",0,J191)+1,0),IF(J191="",0,J191)/ROUND(IF(J191="",0,J191)+1,0))=1,OR(J190&lt;&gt;""),J191&lt;&gt;"")),0,IF(S190&lt;0,IF(I192="",SMALL(P190:P191,1)-SUM(O190:O191),0),SMALL(P190:P192,1)-SUM(O190:O192))),IF(S190&lt;0,IF(I192="",SMALL(P190:P192,1)-SUM(O190:O192),0),LARGE(P190:P192,1)-SUM(O190:O192)))))</f>
        <v>34.7075</v>
      </c>
      <c r="W190" s="266">
        <f>IF($D190=$D187,IF(S190&lt;0,IF(I192="",S190,0),S190)+W187,S190)</f>
        <v>34.71</v>
      </c>
      <c r="X190" t="s" s="267">
        <f>IF(OR(SUM(R190:R192)=0,V190=W190),ROUND(IF(W190=0,0,W190/Y190)*100,2)&amp;"%",ROUND(IF(V190=0,0,V190/Y190)*100,2)&amp;"% a "&amp;ROUND(IF(W190=0,0,W190/Y190)*100,2)&amp;"%")</f>
        <v>207</v>
      </c>
      <c r="Y190" s="268">
        <f>IF($D190=$D187,Y187+SUM(O190:O192),SUM(O190:O192))</f>
        <v>516.75</v>
      </c>
      <c r="Z190" s="266">
        <f>IF($B190=" ",SUM(O190:O192),0)+Z187</f>
        <v>0</v>
      </c>
      <c r="AA190" s="266">
        <f>IF(G190="","",IF($B190="Anulado",LARGE(P190:P192,1)-SUM(O190:O192)+AA187,AA187))</f>
        <v>15.1024</v>
      </c>
      <c r="AB190" s="266">
        <f>IF($D190="","",AB187+S190)</f>
        <v>159.82</v>
      </c>
      <c r="AC190" s="269">
        <f>IF($D190="","",IF($B190=" ",IF(DAY(G190)=DAY(TODAY()),1+AC187,0+AC187),0+AC187))</f>
        <v>0</v>
      </c>
      <c r="AD190" s="270">
        <f>(1-_xlfn.XLOOKUP(K188,'Janeiro 2023 - Valor Real'!A3:A15,'Janeiro 2023 - Valor Real'!C3:C15,0))+1</f>
        <v>2</v>
      </c>
      <c r="AE190" s="271">
        <f>IF(L190="","",IF(L192&gt;0,(SUM(((L190-1)*(1-_xlfn.XLOOKUP(K190,'Janeiro 2023 - Valor Real'!A3:A15,'Janeiro 2023 - Valor Real'!C3:C15,0))+1),((L191-1)*(1-_xlfn.XLOOKUP(K191,'Janeiro 2023 - Valor Real'!A3:A15,'Janeiro 2023 - Valor Real'!C3:C15,0))+1),((L192-1)*(1-_xlfn.XLOOKUP(K192,'Janeiro 2023 - Valor Real'!A3:A15,'Janeiro 2023 - Valor Real'!C3:C15,0))+1))/((L190-1)*(1-_xlfn.XLOOKUP(K190,'Janeiro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Real'!C3:C15,0))+1))/((L190-1)*(1-_xlfn.XLOOKUP(K190,'Janeiro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Real'!C3:C15,0))+1))/((L191-1)*(1-_xlfn.XLOOKUP(K191,'Janeiro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Real'!C3:C15,0))+1))/((L192-1)*(1-_xlfn.XLOOKUP(K192,'Janeiro 2023 - Valor Real'!A3:A15,'Janeiro 2023 - Valor Real'!C3:C15,0))+1)),IF(I190="Lay",IF(I191="Lay",((L191/(L191-1)-1)*(1-_xlfn.XLOOKUP(K191,'Janeiro 2023 - Valor Real'!A3:A15,'Janeiro 2023 - Valor Real'!C3:C15,0))+1)/(((L191/(L191-1)-1)*(1-_xlfn.XLOOKUP(K191,'Janeiro 2023 - Valor Real'!A3:A15,'Janeiro 2023 - Valor Real'!C3:C15,0))+1)+((L190/(L190-1)-1)*(1-_xlfn.XLOOKUP(K190,'Janeiro 2023 - Valor Real'!A3:A15,'Janeiro 2023 - Valor Real'!C3:C15,0))+1)),((L191-1)*(1-_xlfn.XLOOKUP(K191,'Janeiro 2023 - Valor Real'!A3:A15,'Janeiro 2023 - Valor Real'!C3:C15,0))+1)/(((L191-1)*(1-_xlfn.XLOOKUP(K191,'Janeiro 2023 - Valor Real'!A3:A15,'Janeiro 2023 - Valor Real'!C3:C15,0))+1)+((L190/(L190-1)-1)*(1-_xlfn.XLOOKUP(K190,'Janeiro 2023 - Valor Real'!A3:A15,'Janeiro 2023 - Valor Real'!C3:C15,0))+1))),IF(I191="Lay",(((L191/(L191-1)-1)*(1-_xlfn.XLOOKUP(K191,'Janeiro 2023 - Valor Real'!A3:A15,'Janeiro 2023 - Valor Real'!C3:C15,0))+1))/(((L190-1)*(1-_xlfn.XLOOKUP(K190,'Janeiro 2023 - Valor Real'!A3:A15,'Janeiro 2023 - Valor Real'!C3:C15,0))+1)+((L191/(L191-1)-1)*(1-_xlfn.XLOOKUP(K191,'Janeiro 2023 - Valor Real'!A3:A15,'Janeiro 2023 - Valor Real'!C3:C15,0))+1)),((L191-1)*(1-_xlfn.XLOOKUP(K191,'Janeiro 2023 - Valor Real'!A3:A15,'Janeiro 2023 - Valor Real'!C3:C15,0))+1)/(((L191-1)*(1-_xlfn.XLOOKUP(K191,'Janeiro 2023 - Valor Real'!A3:A15,'Janeiro 2023 - Valor Real'!C3:C15,0))+1)+((L190-1)*(1-_xlfn.XLOOKUP(K190,'Janeiro 2023 - Valor Real'!A3:A15,'Janeiro 2023 - Valor Real'!C3:C15,0))+1))))))</f>
        <v>0.532066508313539</v>
      </c>
      <c r="AF190" s="132">
        <f>IF($K190=AF$3,ROUND(IF(OR($C190="W",$C190="1/2W",$C190="1/2L"),$P190-$O190,IF($C190="X",0,-$O190)),2),0)</f>
        <v>0</v>
      </c>
      <c r="AG190" s="133">
        <f>IF($K190=AG$3,ROUND(IF(OR($C190="W",$C190="1/2W",$C190="1/2L"),$P190-$O190,IF($C190="X",0,-$O190)),2),0)</f>
        <v>0</v>
      </c>
      <c r="AH190" s="133">
        <f>IF($K190=AH$3,ROUND(IF(OR($C190="W",$C190="1/2W",$C190="1/2L"),$P190-$O190,IF($C190="X",0,-$O190)),2),0)</f>
        <v>0</v>
      </c>
      <c r="AI190" s="133">
        <f>IF($K190=AI$3,ROUND(IF(OR($C190="W",$C190="1/2W",$C190="1/2L"),$P190-$O190,IF($C190="X",0,-$O190)),2),0)</f>
        <v>0</v>
      </c>
      <c r="AJ190" s="133">
        <f>IF($K190=AJ$3,ROUND(IF(OR($C190="W",$C190="1/2W",$C190="1/2L"),$P190-$O190,IF($C190="X",0,-$O190)),2),0)</f>
        <v>0</v>
      </c>
      <c r="AK190" s="133">
        <f>IF($K190=AK$3,ROUND(IF(OR($C190="W",$C190="1/2W",$C190="1/2L"),$P190-$O190,IF($C190="X",0,-$O190)),2),0)</f>
        <v>0</v>
      </c>
      <c r="AL190" s="133">
        <f>IF($K190=AL$3,ROUND(IF(OR($C190="W",$C190="1/2W",$C190="1/2L"),$P190-$O190,IF($C190="X",0,-$O190)),2),0)</f>
        <v>0</v>
      </c>
      <c r="AM190" s="133">
        <f>IF($K190=AM$3,ROUND(IF(OR($C190="W",$C190="1/2W",$C190="1/2L"),$P190-$O190,IF($C190="X",0,-$O190)),2),0)</f>
        <v>12.01</v>
      </c>
      <c r="AN190" s="133">
        <f>IF($K190=AN$3,ROUND(IF(OR($C190="W",$C190="1/2W",$C190="1/2L"),$P190-$O190,IF($C190="X",0,-$O190)),2),0)</f>
        <v>0</v>
      </c>
      <c r="AO190" s="133">
        <f>IF($K190=AO$3,ROUND(IF(OR($C190="W",$C190="1/2W",$C190="1/2L"),$P190-$O190,IF($C190="X",0,-$O190)),2),0)</f>
        <v>0</v>
      </c>
      <c r="AP190" s="133">
        <f>IF($K190=AP$3,ROUND(IF(OR($C190="W",$C190="1/2W",$C190="1/2L"),$P190-$O190,IF($C190="X",0,-$O190)),2),0)</f>
        <v>0</v>
      </c>
      <c r="AQ190" s="133">
        <f>IF($K190=AQ$3,ROUND(IF(OR($C190="W",$C190="1/2W",$C190="1/2L"),$P190-$O190,IF($C190="X",0,-$O190)),2),0)</f>
        <v>0</v>
      </c>
      <c r="AR190" s="134">
        <f>IF($K190=AR$3,ROUND(IF(OR($C190="W",$C190="1/2W",$C190="1/2L"),$P190-$O190,IF($C190="X",0,-$O190)),2),0)</f>
        <v>0</v>
      </c>
      <c r="AS190" s="132">
        <f>IF(AND($B190=" ",$K190=AS$3),$O190,0)</f>
        <v>0</v>
      </c>
      <c r="AT190" s="133">
        <f>IF(AND($B190=" ",$K190=AT$3),$O190,0)</f>
        <v>0</v>
      </c>
      <c r="AU190" s="133">
        <f>IF(AND($B190=" ",$K190=AU$3),$O190,0)</f>
        <v>0</v>
      </c>
      <c r="AV190" s="133">
        <f>IF(AND($B190=" ",$K190=AV$3),$O190,0)</f>
        <v>0</v>
      </c>
      <c r="AW190" s="133">
        <f>IF(AND($B190=" ",$K190=AW$3),$O190,0)</f>
        <v>0</v>
      </c>
      <c r="AX190" s="133">
        <f>IF(AND($B190=" ",$K190=AX$3),$O190,0)</f>
        <v>0</v>
      </c>
      <c r="AY190" s="135">
        <f>IF(AND($B190=" ",$K190=AY$3),$O190,0)</f>
        <v>0</v>
      </c>
      <c r="AZ190" s="136">
        <f>IF(AND($B190=" ",$K190=AZ$3),$O190,0)</f>
        <v>0</v>
      </c>
      <c r="BA190" s="136">
        <f>IF(AND($B190=" ",$K190=BA$3),$O190,0)</f>
        <v>0</v>
      </c>
      <c r="BB190" s="136">
        <f>IF(AND($B190=" ",$K190=BB$3),$O190,0)</f>
        <v>0</v>
      </c>
      <c r="BC190" s="137">
        <f>IF(AND($B190=" ",$K190=BC$3),$O190,0)</f>
        <v>0</v>
      </c>
      <c r="BD190" s="133">
        <f>IF(AND($B190=" ",$K190=BD$3),$O190,0)</f>
        <v>0</v>
      </c>
      <c r="BE190" s="134">
        <f>IF(AND($B190=" ",$K190=BE$3),$O190,0)</f>
        <v>0</v>
      </c>
      <c r="BF190" s="132">
        <f>IF($K190=BF$3,IF($C190="X",0,$O190),0)</f>
        <v>0</v>
      </c>
      <c r="BG190" s="133">
        <f>IF($K190=BG$3,IF($C190="X",0,$O190),0)</f>
        <v>0</v>
      </c>
      <c r="BH190" s="133">
        <f>IF($K190=BH$3,IF($C190="X",0,$O190),0)</f>
        <v>0</v>
      </c>
      <c r="BI190" s="133">
        <f>IF($K190=BI$3,IF($C190="X",0,$O190),0)</f>
        <v>0</v>
      </c>
      <c r="BJ190" s="133">
        <f>IF($K190=BJ$3,IF($C190="X",0,$O190),0)</f>
        <v>0</v>
      </c>
      <c r="BK190" s="133">
        <f>IF($K190=BK$3,IF($C190="X",0,$O190),0)</f>
        <v>0</v>
      </c>
      <c r="BL190" s="133">
        <f>IF($K190=BL$3,IF($C190="X",0,$O190),0)</f>
        <v>0</v>
      </c>
      <c r="BM190" s="135">
        <f>IF($K190=BM$3,IF($C190="X",0,$O190),0)</f>
        <v>12.38</v>
      </c>
      <c r="BN190" s="136">
        <f>IF($K190=BN$3,IF($C190="X",0,$O190),0)</f>
        <v>0</v>
      </c>
      <c r="BO190" s="136">
        <f>IF($K190=BO$3,IF($C190="X",0,$O190),0)</f>
        <v>0</v>
      </c>
      <c r="BP190" s="136">
        <f>IF($K190=BP$3,IF($C190="X",0,$O190),0)</f>
        <v>0</v>
      </c>
      <c r="BQ190" s="137">
        <f>IF($K190=BQ$3,IF($C190="X",0,$O190),0)</f>
        <v>0</v>
      </c>
      <c r="BR190" s="134">
        <f>IF($K190=BR$3,IF($C190="X",0,$O190),0)</f>
        <v>0</v>
      </c>
      <c r="BS190" s="170">
        <f>IF($B190="LOSS",IF(AND($K190=BS$3,$C190="L"),-$O190,0)+IF(AND($K191=BS$3,$C191="L"),-$O191,0)+IF(AND($K192=BS$3,$C192="L"),-$O192,0),IF(OR(AND($K190=BS$3,OR($C190="W",$C190="1/2W")),AND($K191=BS$3,OR($C191="W",$C191="1/2W")),AND($K192=BS$3,OR($C192="W",$C192="1/2W"))),$S190,0))</f>
        <v>0</v>
      </c>
      <c r="BT190" s="272">
        <f>IF($B190="LOSS",IF(AND($K190=BT$3,$C190="L"),-$O190,0)+IF(AND($K191=BT$3,$C191="L"),-$O191,0)+IF(AND($K191=BT$3,$C192="L"),-$O192,0),IF(OR(AND($K191=BT$3,OR($C190="W",$C190="1/2W")),AND($K191=BT$3,OR($C191="W",$C191="1/2W")),AND($K191=BT$3,OR($C192="W",$C192="1/2W"))),$S190,0))</f>
        <v>0</v>
      </c>
      <c r="BU190" s="136">
        <f>IF($B190="LOSS",IF(AND($K190=BU$3,$C190="L"),-$O190,0)+IF(AND($K191=BU$3,$C191="L"),-$O191,0)+IF(AND($K191=BU$3,$C192="L"),-$O192,0),IF(OR(AND($K191=BU$3,OR($C190="W",$C190="1/2W")),AND($K191=BU$3,OR($C191="W",$C191="1/2W")),AND($K191=BU$3,OR($C192="W",$C192="1/2W"))),$S190,0))</f>
        <v>0</v>
      </c>
      <c r="BV190" s="136">
        <f>IF($B190="LOSS",IF(AND($K190=BV$3,$C190="L"),-$O190,0)+IF(AND($K191=BV$3,$C191="L"),-$O191,0)+IF(AND($K192=BV$3,$C192="L"),-$O192,0),IF(OR(AND($K190=BV$3,OR($C190="W",$C190="1/2W")),AND($K191=BV$3,OR($C191="W",$C191="1/2W")),AND($K192=BV$3,OR($C192="W",$C192="1/2W"))),$S190,0))</f>
        <v>0</v>
      </c>
      <c r="BW190" s="136">
        <f>IF($B190="LOSS",IF(AND($K190=BW$3,$C190="L"),-$O190,0)+IF(AND($K191=BW$3,$C191="L"),-$O191,0)+IF(AND($K192=BW$3,$C192="L"),-$O192,0),IF(OR(AND($K190=BW$3,OR($C190="W",$C190="1/2W")),AND($K191=BW$3,OR($C191="W",$C191="1/2W")),AND($K192=BW$3,OR($C192="W",$C192="1/2W"))),$S190,0))</f>
        <v>0</v>
      </c>
      <c r="BX190" s="136">
        <f>IF($B190="LOSS",IF(AND($K190=BX$3,$C190="L"),-$O190,0)+IF(AND($K191=BX$3,$C191="L"),-$O191,0)+IF(AND($K192=BX$3,$C192="L"),-$O192,0),IF(OR(AND($K190=BX$3,OR($C190="W",$C190="1/2W")),AND($K191=BX$3,OR($C191="W",$C191="1/2W")),AND($K192=BX$3,OR($C192="W",$C192="1/2W"))),$S190,0))</f>
        <v>0</v>
      </c>
      <c r="BY190" s="136">
        <f>IF($B190="LOSS",IF(AND($K190=BY$3,$C190="L"),-$O190,0)+IF(AND($K191=BY$3,$C191="L"),-$O191,0)+IF(AND($K192=BY$3,$C192="L"),-$O192,0),IF(OR(AND($K190=BY$3,OR($C190="W",$C190="1/2W")),AND($K191=BY$3,OR($C191="W",$C191="1/2W")),AND($K192=BY$3,OR($C192="W",$C192="1/2W"))),$S190,0))</f>
        <v>0</v>
      </c>
      <c r="BZ190" s="136">
        <f>IF($B190="LOSS",IF(AND($K190=BZ$3,$C190="L"),-$O190,0)+IF(AND($K191=BZ$3,$C191="L"),-$O191,0)+IF(AND($K192=BZ$3,$C192="L"),-$O192,0),IF(OR(AND($K190=BZ$3,OR($C190="W",$C190="1/2W")),AND($K191=BZ$3,OR($C191="W",$C191="1/2W")),AND($K192=BZ$3,OR($C192="W",$C192="1/2W"))),$S190,0))</f>
        <v>1.12</v>
      </c>
      <c r="CA190" s="136">
        <f>IF($B190="LOSS",IF(AND($K190=CA$3,$C190="L"),-$O190,0)+IF(AND($K191=CA$3,$C191="L"),-$O191,0)+IF(AND($K192=CA$3,$C192="L"),-$O192,0),IF(OR(AND($K190=CA$3,OR($C190="W",$C190="1/2W")),AND($K191=CA$3,OR($C191="W",$C191="1/2W")),AND($K192=CA$3,OR($C192="W",$C192="1/2W"))),$S190,0))</f>
        <v>0</v>
      </c>
      <c r="CB190" s="136">
        <f>IF($B190="LOSS",IF(AND($K190=CB$3,$C190="L"),-$O190,0)+IF(AND($K191=CB$3,$C191="L"),-$O191,0)+IF(AND($K192=CB$3,$C192="L"),-$O192,0),IF(OR(AND($K190=CB$3,OR($C190="W",$C190="1/2W")),AND($K191=CB$3,OR($C191="W",$C191="1/2W")),AND($K192=CB$3,OR($C192="W",$C192="1/2W"))),$S190,0))</f>
        <v>0</v>
      </c>
      <c r="CC190" s="136">
        <f>IF($B190="LOSS",IF(AND($K190=CC$3,$C190="L"),-$O190,0)+IF(AND($K191=CC$3,$C191="L"),-$O191,0)+IF(AND($K192=CC$3,$C192="L"),-$O192,0),IF(OR(AND($K190=CC$3,OR($C190="W",$C190="1/2W")),AND($K191=CC$3,OR($C191="W",$C191="1/2W")),AND($K192=CC$3,OR($C192="W",$C192="1/2W"))),$S190,0))</f>
        <v>0</v>
      </c>
      <c r="CD190" s="137">
        <f>IF($B190="LOSS",IF(AND($K190=CD$3,$C190="L"),-$O190,0)+IF(AND($K191=CD$3,$C191="L"),-$O191,0)+IF(AND($K192=CD$3,$C192="L"),-$O192,0),IF(OR(AND($K190=CD$3,OR($C190="W",$C190="1/2W")),AND($K191=CD$3,OR($C191="W",$C191="1/2W")),AND($K192=CD$3,OR($C192="W",$C192="1/2W"))),$S190,0))</f>
        <v>0</v>
      </c>
      <c r="CE190" s="134">
        <f>IF($B190="LOSS",IF(AND($K190=CE$3,$C190="L"),-$O190,0)+IF(AND($K191=CE$3,$C191="L"),-$O191,0)+IF(AND($K192=CE$3,$C192="L"),-$O192,0),IF(OR(AND($K190=CE$3,OR($C190="W",$C190="1/2W")),AND($K191=CE$3,OR($C191="W",$C191="1/2W")),AND($K192=CE$3,OR($C192="W",$C192="1/2W"))),$S190,0))</f>
        <v>0</v>
      </c>
      <c r="CF190" s="273">
        <f>IF(CF$3=$K190,IF($C190="W",1,IF($C190="1/2W",0.5,0)),0)</f>
        <v>0</v>
      </c>
      <c r="CG190" s="274">
        <f>IF(CF$3=$K190,IF($C190="L",1,IF($C190="1/2L",0.5,0)),0)</f>
        <v>0</v>
      </c>
      <c r="CH190" s="274">
        <f>IF(CH$3=$K190,IF($C190="W",1,IF($C190="1/2W",0.5,0)),0)</f>
        <v>0</v>
      </c>
      <c r="CI190" s="274">
        <f>IF(CH$3=$K190,IF($C190="L",1,IF($C190="1/2L",0.5,0)),0)</f>
        <v>0</v>
      </c>
      <c r="CJ190" s="274">
        <f>IF(CJ$3=$K190,IF($C190="W",1,IF($C190="1/2W",0.5,0)),0)</f>
        <v>0</v>
      </c>
      <c r="CK190" s="274">
        <f>IF(CJ$3=$K190,IF($C190="L",1,IF($C190="1/2L",0.5,0)),0)</f>
        <v>0</v>
      </c>
      <c r="CL190" s="274">
        <f>IF(CL$3=$K190,IF($C190="W",1,IF($C190="1/2W",0.5,0)),0)</f>
        <v>0</v>
      </c>
      <c r="CM190" s="274">
        <f>IF(CL$3=$K190,IF($C190="L",1,IF($C190="1/2L",0.5,0)),0)</f>
        <v>0</v>
      </c>
      <c r="CN190" s="274">
        <f>IF(CN$3=$K190,IF($C190="W",1,IF($C190="1/2W",0.5,0)),0)</f>
        <v>0</v>
      </c>
      <c r="CO190" s="274">
        <f>IF(CN$3=$K190,IF($C190="L",1,IF($C190="1/2L",0.5,0)),0)</f>
        <v>0</v>
      </c>
      <c r="CP190" s="274">
        <f>IF(CP$3=$K190,IF($C190="W",1,IF($C190="1/2W",0.5,0)),0)</f>
        <v>0</v>
      </c>
      <c r="CQ190" s="274">
        <f>IF(CP$3=$K190,IF($C190="L",1,IF($C190="1/2L",0.5,0)),0)</f>
        <v>0</v>
      </c>
      <c r="CR190" s="274">
        <f>IF(CR$3=$K190,IF($C190="W",1,IF($C190="1/2W",0.5,0)),0)</f>
        <v>0</v>
      </c>
      <c r="CS190" s="274">
        <f>IF(CR$3=$K190,IF($C190="L",1,IF($C190="1/2L",0.5,0)),0)</f>
        <v>0</v>
      </c>
      <c r="CT190" s="145">
        <f>IF(CT$3=$K190,IF($C190="W",1,IF($C190="1/2W",0.5,0)),0)</f>
        <v>1</v>
      </c>
      <c r="CU190" s="146">
        <f>IF(CT$3=$K190,IF($C190="L",1,IF($C190="1/2L",0.5,0)),0)</f>
        <v>0</v>
      </c>
      <c r="CV190" s="146">
        <f>IF(CV$3=$K190,IF($C190="W",1,IF($C190="1/2W",0.5,0)),0)</f>
        <v>0</v>
      </c>
      <c r="CW190" s="146">
        <f>IF(CV$3=$K190,IF($C190="L",1,IF($C190="1/2L",0.5,0)),0)</f>
        <v>0</v>
      </c>
      <c r="CX190" s="146">
        <f>IF(CX$3=$K190,IF($C190="W",1,IF($C190="1/2W",0.5,0)),0)</f>
        <v>0</v>
      </c>
      <c r="CY190" s="146">
        <f>IF(CX$3=$K190,IF($C190="L",1,IF($C190="1/2L",0.5,0)),0)</f>
        <v>0</v>
      </c>
      <c r="CZ190" s="146">
        <f>IF(CZ$3=$K190,IF($C190="W",1,IF($C190="1/2W",0.5,0)),0)</f>
        <v>0</v>
      </c>
      <c r="DA190" s="146">
        <f>IF(CZ$3=$K190,IF($C190="L",1,IF($C190="1/2L",0.5,0)),0)</f>
        <v>0</v>
      </c>
      <c r="DB190" s="146">
        <f>IF(DB$3=$K190,IF($C190="W",1,IF($C190="1/2W",0.5,0)),0)</f>
        <v>0</v>
      </c>
      <c r="DC190" s="146">
        <f>IF(DB$3=$K190,IF($C190="L",1,IF($C190="1/2L",0.5,0)),0)</f>
        <v>0</v>
      </c>
      <c r="DD190" s="146">
        <f>IF(DD$3=$K190,IF($C190="W",1,IF($C190="1/2W",0.5,0)),0)</f>
        <v>0</v>
      </c>
      <c r="DE190" s="147">
        <f>IF(DD$3=$K190,IF($C190="L",1,IF($C190="1/2L",0.5,0)),0)</f>
        <v>0</v>
      </c>
      <c r="DF190" s="143">
        <f>IF(AND(L190&lt;DF$3,$C190="W"),1+DF189,DF189)</f>
        <v>8</v>
      </c>
      <c r="DG190" s="133">
        <f>IF(DF190&gt;DF189,L190+DG189,DG189)</f>
        <v>10.598</v>
      </c>
      <c r="DH190" s="146">
        <f>IF(AND(L190&gt;DH$3,$C190="W"),1+DH189,0+DH189)</f>
        <v>2</v>
      </c>
      <c r="DI190" s="133">
        <f>IF(DH190&gt;DH189,L190+DI189,DI189)</f>
        <v>11.58</v>
      </c>
      <c r="DJ190" t="s" s="304">
        <f>IF($D190="","",$D190)</f>
        <v>184</v>
      </c>
      <c r="DK190" s="146">
        <f>IF(AND($B190=" ",$D190&lt;&gt;""),1,0)</f>
        <v>0</v>
      </c>
    </row>
    <row r="191" ht="14.55" customHeight="1">
      <c r="A191" s="107"/>
      <c r="B191" s="108"/>
      <c r="C191" t="s" s="109">
        <v>51</v>
      </c>
      <c r="D191" s="110"/>
      <c r="E191" s="111"/>
      <c r="F191" s="113"/>
      <c r="G191" s="252"/>
      <c r="H191" s="114"/>
      <c r="I191" t="s" s="275">
        <v>54</v>
      </c>
      <c r="J191" s="276">
        <f>IF(OR(I190="TO",I190="TU",I190="TO1",I190="TU1",I190="TO2",I190="TU2"),J190,IF(OR(I190="AH1",I190="AH2"),IF(OR(I191="AH1",I191="AH2"),-J190,IF(OR(I191="EH1",I191="EH2"),-J190+0.5,"")),IF(OR(I190="EH1",I190="EH2"),IF(OR(I191="AH1",I191="AH2"),-J190+0.5,IF(OR(I191="EH1",I191="EH2"),-J190+1,"")),IF(AND(OR(I190="DNB1",I190="DNB2"),OR(I191="AH1",I191="AH2")),0,IF(AND(I190="Not ScoreBoth",OR(I191="TO1",I191="TO2")),0.5,"")))))</f>
        <v>-1</v>
      </c>
      <c r="K191" t="s" s="117">
        <v>41</v>
      </c>
      <c r="L191" s="277">
        <v>2.24</v>
      </c>
      <c r="M191" s="278">
        <v>10.89</v>
      </c>
      <c r="N191" s="120"/>
      <c r="O191" s="121">
        <f>IF(OR(AE190="",AE191=""),"",ROUND(IF(L192&gt;0,IF(M191&gt;0,M191,IF(M190&gt;0,IF(N190=TRUE,ROUND((M190*AE191)/AE190,0),(M190*AE191)/AE190),IF(M191&gt;0,ROUND(M191,IF(N190=0,2,IF(N190=0.1,1,0))),IF(M192&gt;0,ROUND(O192*AE191/AE192,IF(N190=0,2,IF(N190=0.1,1,0))),0)))),IF(M191&gt;0,M191,ROUND((M190*AE191)/AE190,IF(N190=0,2,IF(N190=0.1,1,0))))),2))</f>
        <v>10.89</v>
      </c>
      <c r="P191" s="122">
        <f>IF(OR(L191="",O191=""),"",IF($C191="1/2W",O191/2+O191/2*L191,IF($C191="1/2L",O191/2,IF(I191="Lay",((O191*(L191/(L191-1)))-O191)*(1-_xlfn.XLOOKUP(K191,'Janeiro 2023 - Valor Real'!A3:A15,'Janeiro 2023 - Valor Real'!C3:C15,0))+O191,(O191*L191-O191)*(1-_xlfn.XLOOKUP(K191,'Janeiro 2023 - Valor Real'!A3:A15,'Janeiro 2023 - Valor Real'!C3:C15,0))+O191))))</f>
        <v>24.3936</v>
      </c>
      <c r="Q191" s="279">
        <f>IF(K191="","",IF(_xlfn.XLOOKUP(K191,K$88:K95,DJ$88:DJ95,0,,-1)=DJ191,_xlfn.XLOOKUP(K191,K$88:K95,Q$88:Q95,1,,-1)+1,1))</f>
        <v>1</v>
      </c>
      <c r="R191" s="280">
        <f>IF(K191="","",_xlfn.XLOOKUP(K191,K$88:K95,R$88:R95,0,,-1)+IF($C191=" ",1,0))</f>
        <v>0</v>
      </c>
      <c r="S191" s="125"/>
      <c r="T191" s="126"/>
      <c r="U191" s="126"/>
      <c r="V191" s="224"/>
      <c r="W191" s="126"/>
      <c r="X191" s="127"/>
      <c r="Y191" s="128"/>
      <c r="Z191" s="129"/>
      <c r="AA191" s="129"/>
      <c r="AB191" s="129"/>
      <c r="AC191" s="129"/>
      <c r="AD191" s="130"/>
      <c r="AE191" s="131">
        <f>IF(L191="","",IF(L192&gt;0,(SUM(((L190-1)*(1-_xlfn.XLOOKUP(K190,'Janeiro 2023 - Valor Real'!A3:A15,'Janeiro 2023 - Valor Real'!C3:C15,0))+1),((L191-1)*(1-_xlfn.XLOOKUP(K191,'Janeiro 2023 - Valor Real'!A3:A15,'Janeiro 2023 - Valor Real'!C3:C15,0))+1),((L192-1)*(1-_xlfn.XLOOKUP(K192,'Janeiro 2023 - Valor Real'!A3:A15,'Janeiro 2023 - Valor Real'!C3:C15,0))+1))/((L191-1)*(1-_xlfn.XLOOKUP(K191,'Janeiro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Real'!C3:C15,0))+1))/((L190-1)*(1-_xlfn.XLOOKUP(K190,'Janeiro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Real'!C3:C15,0))+1))/((L191-1)*(1-_xlfn.XLOOKUP(K191,'Janeiro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Real'!C3:C15,0))+1))/((L192-1)*(1-_xlfn.XLOOKUP(K192,'Janeiro 2023 - Valor Real'!A3:A15,'Janeiro 2023 - Valor Real'!C3:C15,0))+1)),IF(I191="Lay",IF(I190="Lay",((L190/(L190-1)-1)*(1-_xlfn.XLOOKUP(K190,'Janeiro 2023 - Valor Real'!A3:A15,'Janeiro 2023 - Valor Real'!C3:C15,0))+1)/(((L190/(L190-1)-1)*(1-_xlfn.XLOOKUP(K190,'Janeiro 2023 - Valor Real'!A3:A15,'Janeiro 2023 - Valor Real'!C3:C15,0))+1)+((L191/(L191-1)-1)*(1-_xlfn.XLOOKUP(K191,'Janeiro 2023 - Valor Real'!A3:A15,'Janeiro 2023 - Valor Real'!C3:C15,0))+1)),((L190-1)*(1-_xlfn.XLOOKUP(K190,'Janeiro 2023 - Valor Real'!A3:A15,'Janeiro 2023 - Valor Real'!C3:C15,0))+1)/(((L190-1)*(1-_xlfn.XLOOKUP(K190,'Janeiro 2023 - Valor Real'!A3:A15,'Janeiro 2023 - Valor Real'!C3:C15,0))+1)+((L191/(L191-1)-1)*(1-_xlfn.XLOOKUP(K191,'Janeiro 2023 - Valor Real'!A3:A15,'Janeiro 2023 - Valor Real'!C3:C15,0))+1))),IF(I190="Lay",((L190/(L190-1)-1)*(1-_xlfn.XLOOKUP(K190,'Janeiro 2023 - Valor Real'!A3:A15,'Janeiro 2023 - Valor Real'!C3:C15,0))+1)/((((L190/(L190-1)-1)*(1-_xlfn.XLOOKUP(K190,'Janeiro 2023 - Valor Real'!A3:A15,'Janeiro 2023 - Valor Real'!C3:C15,0))+1))+((L191-1)*(1-_xlfn.XLOOKUP(K191,'Janeiro 2023 - Valor Real'!A3:A15,'Janeiro 2023 - Valor Real'!C3:C15,0))+1)),((L190-1)*(1-_xlfn.XLOOKUP(K190,'Janeiro 2023 - Valor Real'!A3:A15,'Janeiro 2023 - Valor Real'!C3:C15,0))+1)/(((L190-1)*(1-_xlfn.XLOOKUP(K190,'Janeiro 2023 - Valor Real'!A3:A15,'Janeiro 2023 - Valor Real'!C3:C15,0))+1)+((L191-1)*(1-_xlfn.XLOOKUP(K191,'Janeiro 2023 - Valor Real'!A3:A15,'Janeiro 2023 - Valor Real'!C3:C15,0))+1))))))</f>
        <v>0.467933491686461</v>
      </c>
      <c r="AF191" s="132">
        <f>IF($K191=AF$3,ROUND(IF(OR($C191="W",$C191="1/2W",$C191="1/2L"),$P191-$O191,IF($C191="X",0,-$O191)),2),0)</f>
        <v>0</v>
      </c>
      <c r="AG191" s="133">
        <f>IF($K191=AG$3,ROUND(IF(OR($C191="W",$C191="1/2W",$C191="1/2L"),$P191-$O191,IF($C191="X",0,-$O191)),2),0)</f>
        <v>0</v>
      </c>
      <c r="AH191" s="133">
        <f>IF($K191=AH$3,ROUND(IF(OR($C191="W",$C191="1/2W",$C191="1/2L"),$P191-$O191,IF($C191="X",0,-$O191)),2),0)</f>
        <v>0</v>
      </c>
      <c r="AI191" s="133">
        <f>IF($K191=AI$3,ROUND(IF(OR($C191="W",$C191="1/2W",$C191="1/2L"),$P191-$O191,IF($C191="X",0,-$O191)),2),0)</f>
        <v>0</v>
      </c>
      <c r="AJ191" s="133">
        <f>IF($K191=AJ$3,ROUND(IF(OR($C191="W",$C191="1/2W",$C191="1/2L"),$P191-$O191,IF($C191="X",0,-$O191)),2),0)</f>
        <v>-10.89</v>
      </c>
      <c r="AK191" s="133">
        <f>IF($K191=AK$3,ROUND(IF(OR($C191="W",$C191="1/2W",$C191="1/2L"),$P191-$O191,IF($C191="X",0,-$O191)),2),0)</f>
        <v>0</v>
      </c>
      <c r="AL191" s="133">
        <f>IF($K191=AL$3,ROUND(IF(OR($C191="W",$C191="1/2W",$C191="1/2L"),$P191-$O191,IF($C191="X",0,-$O191)),2),0)</f>
        <v>0</v>
      </c>
      <c r="AM191" s="133">
        <f>IF($K191=AM$3,ROUND(IF(OR($C191="W",$C191="1/2W",$C191="1/2L"),$P191-$O191,IF($C191="X",0,-$O191)),2),0)</f>
        <v>0</v>
      </c>
      <c r="AN191" s="133">
        <f>IF($K191=AN$3,ROUND(IF(OR($C191="W",$C191="1/2W",$C191="1/2L"),$P191-$O191,IF($C191="X",0,-$O191)),2),0)</f>
        <v>0</v>
      </c>
      <c r="AO191" s="133">
        <f>IF($K191=AO$3,ROUND(IF(OR($C191="W",$C191="1/2W",$C191="1/2L"),$P191-$O191,IF($C191="X",0,-$O191)),2),0)</f>
        <v>0</v>
      </c>
      <c r="AP191" s="133">
        <f>IF($K191=AP$3,ROUND(IF(OR($C191="W",$C191="1/2W",$C191="1/2L"),$P191-$O191,IF($C191="X",0,-$O191)),2),0)</f>
        <v>0</v>
      </c>
      <c r="AQ191" s="133">
        <f>IF($K191=AQ$3,ROUND(IF(OR($C191="W",$C191="1/2W",$C191="1/2L"),$P191-$O191,IF($C191="X",0,-$O191)),2),0)</f>
        <v>0</v>
      </c>
      <c r="AR191" s="134">
        <f>IF($K191=AR$3,ROUND(IF(OR($C191="W",$C191="1/2W",$C191="1/2L"),$P191-$O191,IF($C191="X",0,-$O191)),2),0)</f>
        <v>0</v>
      </c>
      <c r="AS191" s="132">
        <f>IF(AND($B190=" ",$K191=AS$3),$O191,0)</f>
        <v>0</v>
      </c>
      <c r="AT191" s="133">
        <f>IF(AND($B190=" ",K191=AT$3),$O191,0)</f>
        <v>0</v>
      </c>
      <c r="AU191" s="133">
        <f>IF(AND($B190=" ",$K191=AU$3),$O191,0)</f>
        <v>0</v>
      </c>
      <c r="AV191" s="133">
        <f>IF(AND($B190=" ",$K191=AV$3),$O191,0)</f>
        <v>0</v>
      </c>
      <c r="AW191" s="133">
        <f>IF(AND($B190=" ",$K191=AW$3),$O191,0)</f>
        <v>0</v>
      </c>
      <c r="AX191" s="133">
        <f>IF(AND($B190=" ",$K191=AX$3),$O191,0)</f>
        <v>0</v>
      </c>
      <c r="AY191" s="135">
        <f>IF(AND($B190=" ",$K191=AY$3),$O191,0)</f>
        <v>0</v>
      </c>
      <c r="AZ191" s="136">
        <f>IF(AND($B190=" ",$K191=AZ$3),$O191,0)</f>
        <v>0</v>
      </c>
      <c r="BA191" s="136">
        <f>IF(AND($B190=" ",$K191=BA$3),$O191,0)</f>
        <v>0</v>
      </c>
      <c r="BB191" s="136">
        <f>IF(AND($B190=" ",$K191=BB$3),$O191,0)</f>
        <v>0</v>
      </c>
      <c r="BC191" s="137">
        <f>IF(AND($B190=" ",$K191=BC$3),$O191,0)</f>
        <v>0</v>
      </c>
      <c r="BD191" s="133">
        <f>IF(AND($B190=" ",$K191=BD$3),$O191,0)</f>
        <v>0</v>
      </c>
      <c r="BE191" s="134">
        <f>IF(AND($B190=" ",$K191=BE$3),$O191,0)</f>
        <v>0</v>
      </c>
      <c r="BF191" s="132">
        <f>IF($K191=BF$3,IF($C191="X",0,$O191),0)</f>
        <v>0</v>
      </c>
      <c r="BG191" s="281">
        <f>IF($K191=BG$3,IF($C191="X",0,$O191),0)</f>
        <v>0</v>
      </c>
      <c r="BH191" s="133">
        <f>IF($K191=BH$3,IF($C191="X",0,$O191),0)</f>
        <v>0</v>
      </c>
      <c r="BI191" s="133">
        <f>IF($K191=BI$3,IF($C191="X",0,$O191),0)</f>
        <v>0</v>
      </c>
      <c r="BJ191" s="133">
        <f>IF($K191=BJ$3,IF($C191="X",0,$O191),0)</f>
        <v>10.89</v>
      </c>
      <c r="BK191" s="133">
        <f>IF($K191=BK$3,IF($C191="X",0,$O191),0)</f>
        <v>0</v>
      </c>
      <c r="BL191" s="133">
        <f>IF($K191=BL$3,IF($C191="X",0,$O191),0)</f>
        <v>0</v>
      </c>
      <c r="BM191" s="135">
        <f>IF($K191=BM$3,IF($C191="X",0,$O191),0)</f>
        <v>0</v>
      </c>
      <c r="BN191" s="136">
        <f>IF($K191=BN$3,IF($C191="X",0,$O191),0)</f>
        <v>0</v>
      </c>
      <c r="BO191" s="136">
        <f>IF($K191=BO$3,IF($C191="X",0,$O191),0)</f>
        <v>0</v>
      </c>
      <c r="BP191" s="136">
        <f>IF($K191=BP$3,IF($C191="X",0,$O191),0)</f>
        <v>0</v>
      </c>
      <c r="BQ191" s="137">
        <f>IF($K191=BQ$3,IF($C191="X",0,$O191),0)</f>
        <v>0</v>
      </c>
      <c r="BR191" s="134">
        <f>IF($K191=BR$3,IF($C191="X",0,$O191),0)</f>
        <v>0</v>
      </c>
      <c r="BS191" s="282"/>
      <c r="BT191" s="283"/>
      <c r="BU191" s="140"/>
      <c r="BV191" s="283"/>
      <c r="BW191" s="140"/>
      <c r="BX191" s="140"/>
      <c r="BY191" s="140"/>
      <c r="BZ191" s="283"/>
      <c r="CA191" s="140"/>
      <c r="CB191" s="140"/>
      <c r="CC191" s="140"/>
      <c r="CD191" s="141"/>
      <c r="CE191" s="142"/>
      <c r="CF191" s="284">
        <f>IF(CF$3=$K191,IF($C191="W",1,IF($C191="1/2W",0.5,0)),0)</f>
        <v>0</v>
      </c>
      <c r="CG191" s="285">
        <f>IF(CF$3=$K191,IF($C191="L",1,IF($C191="1/2L",0.5,0)),0)</f>
        <v>0</v>
      </c>
      <c r="CH191" s="285">
        <f>IF(CH$3=$K191,IF($C191="W",1,IF($C191="1/2W",0.5,0)),0)</f>
        <v>0</v>
      </c>
      <c r="CI191" s="285">
        <f>IF(CH$3=$K191,IF($C191="L",1,IF($C191="1/2L",0.5,0)),0)</f>
        <v>0</v>
      </c>
      <c r="CJ191" s="285">
        <f>IF(CJ$3=$K191,IF($C191="W",1,IF($C191="1/2W",0.5,0)),0)</f>
        <v>0</v>
      </c>
      <c r="CK191" s="285">
        <f>IF(CJ$3=$K191,IF($C191="L",1,IF($C191="1/2L",0.5,0)),0)</f>
        <v>0</v>
      </c>
      <c r="CL191" s="285">
        <f>IF(CL$3=$K191,IF($C191="W",1,IF($C191="1/2W",0.5,0)),0)</f>
        <v>0</v>
      </c>
      <c r="CM191" s="285">
        <f>IF(CL$3=$K191,IF($C191="L",1,IF($C191="1/2L",0.5,0)),0)</f>
        <v>0</v>
      </c>
      <c r="CN191" s="285">
        <f>IF(CN$3=$K191,IF($C191="W",1,IF($C191="1/2W",0.5,0)),0)</f>
        <v>0</v>
      </c>
      <c r="CO191" s="285">
        <f>IF(CN$3=$K191,IF($C191="L",1,IF($C191="1/2L",0.5,0)),0)</f>
        <v>1</v>
      </c>
      <c r="CP191" s="285">
        <f>IF(CP$3=$K191,IF($C191="W",1,IF($C191="1/2W",0.5,0)),0)</f>
        <v>0</v>
      </c>
      <c r="CQ191" s="285">
        <f>IF(CP$3=$K191,IF($C191="L",1,IF($C191="1/2L",0.5,0)),0)</f>
        <v>0</v>
      </c>
      <c r="CR191" s="285">
        <f>IF(CR$3=$K191,IF($C191="W",1,IF($C191="1/2W",0.5,0)),0)</f>
        <v>0</v>
      </c>
      <c r="CS191" s="285">
        <f>IF(CR$3=$K191,IF($C191="L",1,IF($C191="1/2L",0.5,0)),0)</f>
        <v>0</v>
      </c>
      <c r="CT191" s="145">
        <f>IF(CT$3=$K191,IF($C191="W",1,IF($C191="1/2W",0.5,0)),0)</f>
        <v>0</v>
      </c>
      <c r="CU191" s="146">
        <f>IF(CT$3=$K191,IF($C191="L",1,IF($C191="1/2L",0.5,0)),0)</f>
        <v>0</v>
      </c>
      <c r="CV191" s="146">
        <f>IF(CV$3=$K191,IF($C191="W",1,IF($C191="1/2W",0.5,0)),0)</f>
        <v>0</v>
      </c>
      <c r="CW191" s="146">
        <f>IF(CV$3=$K191,IF($C191="L",1,IF($C191="1/2L",0.5,0)),0)</f>
        <v>0</v>
      </c>
      <c r="CX191" s="146">
        <f>IF(CX$3=$K191,IF($C191="W",1,IF($C191="1/2W",0.5,0)),0)</f>
        <v>0</v>
      </c>
      <c r="CY191" s="146">
        <f>IF(CX$3=$K191,IF($C191="L",1,IF($C191="1/2L",0.5,0)),0)</f>
        <v>0</v>
      </c>
      <c r="CZ191" s="146">
        <f>IF(CZ$3=$K191,IF($C191="W",1,IF($C191="1/2W",0.5,0)),0)</f>
        <v>0</v>
      </c>
      <c r="DA191" s="146">
        <f>IF(CZ$3=$K191,IF($C191="L",1,IF($C191="1/2L",0.5,0)),0)</f>
        <v>0</v>
      </c>
      <c r="DB191" s="146">
        <f>IF(DB$3=$K191,IF($C191="W",1,IF($C191="1/2W",0.5,0)),0)</f>
        <v>0</v>
      </c>
      <c r="DC191" s="146">
        <f>IF(DB$3=$K191,IF($C191="L",1,IF($C191="1/2L",0.5,0)),0)</f>
        <v>0</v>
      </c>
      <c r="DD191" s="146">
        <f>IF(DD$3=$K191,IF($C191="W",1,IF($C191="1/2W",0.5,0)),0)</f>
        <v>0</v>
      </c>
      <c r="DE191" s="147">
        <f>IF(DD$3=$K191,IF($C191="L",1,IF($C191="1/2L",0.5,0)),0)</f>
        <v>0</v>
      </c>
      <c r="DF191" s="143">
        <f>IF(AND(L191&lt;DF$3,$C191="W"),1+DF190,DF190)</f>
        <v>8</v>
      </c>
      <c r="DG191" s="133">
        <f>IF(DF191&gt;DF190,L191+DG190,DG190)</f>
        <v>10.598</v>
      </c>
      <c r="DH191" s="146">
        <f>IF(AND(L191&gt;DH$3,$C191="W"),1+DH190,0+DH190)</f>
        <v>2</v>
      </c>
      <c r="DI191" s="133">
        <f>IF(DH191&gt;DH190,L191+DI190,DI190)</f>
        <v>11.58</v>
      </c>
      <c r="DJ191" t="s" s="304">
        <f>IF($D190="","",$D190)</f>
        <v>184</v>
      </c>
      <c r="DK191" s="286"/>
    </row>
    <row r="192" ht="14.55" customHeight="1">
      <c r="A192" s="149"/>
      <c r="B192" s="150"/>
      <c r="C192" t="s" s="151">
        <v>58</v>
      </c>
      <c r="D192" s="152"/>
      <c r="E192" s="153"/>
      <c r="F192" s="155"/>
      <c r="G192" s="252"/>
      <c r="H192" s="156"/>
      <c r="I192" s="287"/>
      <c r="J192" s="288"/>
      <c r="K192" s="156"/>
      <c r="L192" s="289"/>
      <c r="M192" s="290"/>
      <c r="N192" s="161"/>
      <c r="O192" t="s" s="162">
        <f>IF(OR(AE190="",AE191=""),"",IF(L192&gt;0,ROUND(IF(M192&gt;0,M192,IF(M190&gt;0,ROUND((M190*AE192)/AE190,IF(N190=0,2,IF(N190=0.1,1,0))),IF(M191&gt;0,ROUND((M191*AE192)/AE191,IF(N190=0,2,IF(N190=0.1,1,0))),IF(M192&gt;0,M192,0)))),2),""))</f>
      </c>
      <c r="P192" t="s" s="163">
        <f>IF(I191="Lay",O191*(L191/(L191-1))-O191,IF(I190="Lay",O190*(L190/(L190-1))-O190,IF(OR(L192="",O192=""),"",IF($C192="1/2W",O192/2+O192/2*L192,IF($C192="1/2L",O192/2,(O192*L192-O192)*(1-_xlfn.XLOOKUP(K192,'Janeiro 2023 - Valor Real'!A3:A15,'Janeiro 2023 - Valor Real'!C3:C15,0))+O192)))))</f>
      </c>
      <c r="Q192" t="s" s="154">
        <f>IF(K192="","",IF(_xlfn.XLOOKUP(K192,K$89:K96,DJ$89:DJ96,0,,-1)=DJ192,_xlfn.XLOOKUP(K192,K$89:K96,Q$89:Q96,1,,-1)+1,1))</f>
      </c>
      <c r="R192" t="s" s="163">
        <f>IF(K192="","",_xlfn.XLOOKUP(K192,K$89:K96,R$89:R96,0,,-1)+IF($C192=" ",1,0))</f>
      </c>
      <c r="S192" s="166"/>
      <c r="T192" s="155"/>
      <c r="U192" s="155"/>
      <c r="V192" s="166"/>
      <c r="W192" s="155"/>
      <c r="X192" s="167"/>
      <c r="Y192" s="128"/>
      <c r="Z192" s="129"/>
      <c r="AA192" s="129"/>
      <c r="AB192" s="129"/>
      <c r="AC192" s="129"/>
      <c r="AD192" s="168"/>
      <c r="AE192" t="s" s="169">
        <f>IF(L192="","",(SUM(((L190-1)*(1-_xlfn.XLOOKUP(K190,'Janeiro 2023 - Valor Real'!A3:A15,'Janeiro 2023 - Valor Real'!C3:C15,0))+1),((L191-1)*(1-_xlfn.XLOOKUP(K191,'Janeiro 2023 - Valor Real'!A3:A15,'Janeiro 2023 - Valor Real'!C3:C15,0))+1),((L192-1)*(1-_xlfn.XLOOKUP(K192,'Janeiro 2023 - Valor Real'!A3:A15,'Janeiro 2023 - Valor Real'!C3:C15,0))+1))/((L192-1)*(1-_xlfn.XLOOKUP(K192,'Janeiro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Real'!C3:C15,0))+1))/((L190-1)*(1-_xlfn.XLOOKUP(K190,'Janeiro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Real'!C3:C15,0))+1))/((L191-1)*(1-_xlfn.XLOOKUP(K191,'Janeiro 2023 - Valor Real'!A3:A15,'Janeiro 2023 - Valor Real'!C3:C15,0))+1)+SUM(((L190-1)*(1-_xlfn.XLOOKUP(K190,'Janeiro 2023 - Valor Real'!A3:A15,'Janeiro 2023 - Valor Real'!C3:C15,0))+1),((L191-1)*(1-_xlfn.XLOOKUP(K191,'Janeiro 2023 - Valor Real'!A3:A15,'Janeiro 2023 - Valor Real'!C3:C15,0))+1),((L192-1)*(1-_xlfn.XLOOKUP(K192,'Janeiro 2023 - Valor Real'!A3:A15,'Janeiro 2023 - Valor Real'!C3:C15,0))+1))/((L192-1)*(1-_xlfn.XLOOKUP(K192,'Janeiro 2023 - Valor Real'!A3:A15,'Janeiro 2023 - Valor Real'!C3:C15,0))+1)))</f>
      </c>
      <c r="AF192" s="132">
        <f>IF($K192=AF$3,ROUND(IF(OR($C192="W",$C192="1/2W",$C192="1/2L"),$P192-$O192,IF($C192="X",0,-$O192)),2),0)</f>
        <v>0</v>
      </c>
      <c r="AG192" s="133">
        <f>IF($K192=AG$3,ROUND(IF(OR($C192="W",$C192="1/2W",$C192="1/2L"),$P192-$O192,IF($C192="X",0,-$O192)),2),0)</f>
        <v>0</v>
      </c>
      <c r="AH192" s="133">
        <f>IF($K192=AH$3,ROUND(IF(OR($C192="W",$C192="1/2W",$C192="1/2L"),$P192-$O192,IF($C192="X",0,-$O192)),2),0)</f>
        <v>0</v>
      </c>
      <c r="AI192" s="133">
        <f>IF($K192=AI$3,ROUND(IF(OR($C192="W",$C192="1/2W",$C192="1/2L"),$P192-$O192,IF($C192="X",0,-$O192)),2),0)</f>
        <v>0</v>
      </c>
      <c r="AJ192" s="133">
        <f>IF($K192=AJ$3,ROUND(IF(OR($C192="W",$C192="1/2W",$C192="1/2L"),$P192-$O192,IF($C192="X",0,-$O192)),2),0)</f>
        <v>0</v>
      </c>
      <c r="AK192" s="133">
        <f>IF($K192=AK$3,ROUND(IF(OR($C192="W",$C192="1/2W",$C192="1/2L"),$P192-$O192,IF($C192="X",0,-$O192)),2),0)</f>
        <v>0</v>
      </c>
      <c r="AL192" s="133">
        <f>IF($K192=AL$3,ROUND(IF(OR($C192="W",$C192="1/2W",$C192="1/2L"),$P192-$O192,IF($C192="X",0,-$O192)),2),0)</f>
        <v>0</v>
      </c>
      <c r="AM192" s="133">
        <f>IF($K192=AM$3,ROUND(IF(OR($C192="W",$C192="1/2W",$C192="1/2L"),$P192-$O192,IF($C192="X",0,-$O192)),2),0)</f>
        <v>0</v>
      </c>
      <c r="AN192" s="133">
        <f>IF($K192=AN$3,ROUND(IF(OR($C192="W",$C192="1/2W",$C192="1/2L"),$P192-$O192,IF($C192="X",0,-$O192)),2),0)</f>
        <v>0</v>
      </c>
      <c r="AO192" s="133">
        <f>IF($K192=AO$3,ROUND(IF(OR($C192="W",$C192="1/2W",$C192="1/2L"),$P192-$O192,IF($C192="X",0,-$O192)),2),0)</f>
        <v>0</v>
      </c>
      <c r="AP192" s="133">
        <f>IF($K192=AP$3,ROUND(IF(OR($C192="W",$C192="1/2W",$C192="1/2L"),$P192-$O192,IF($C192="X",0,-$O192)),2),0)</f>
        <v>0</v>
      </c>
      <c r="AQ192" s="133">
        <f>IF($K192=AQ$3,ROUND(IF(OR($C192="W",$C192="1/2W",$C192="1/2L"),$P192-$O192,IF($C192="X",0,-$O192)),2),0)</f>
        <v>0</v>
      </c>
      <c r="AR192" s="134">
        <f>IF($K192=AR$3,ROUND(IF(OR($C192="W",$C192="1/2W",$C192="1/2L"),$P192-$O192,IF($C192="X",0,-$O192)),2),0)</f>
        <v>0</v>
      </c>
      <c r="AS192" s="132">
        <f>IF(AND($B190=" ",$K192=AS$3),$O192,0)</f>
        <v>0</v>
      </c>
      <c r="AT192" s="133">
        <f>IF(AND($B190=" ",K192=AT$3),$O192,0)</f>
        <v>0</v>
      </c>
      <c r="AU192" s="133">
        <f>IF(AND($B190=" ",$K192=AU$3),$O192,0)</f>
        <v>0</v>
      </c>
      <c r="AV192" s="133">
        <f>IF(AND($B190=" ",$K192=AV$3),$O192,0)</f>
        <v>0</v>
      </c>
      <c r="AW192" s="133">
        <f>IF(AND($B190=" ",$K192=AW$3),$O192,0)</f>
        <v>0</v>
      </c>
      <c r="AX192" s="133">
        <f>IF(AND($B190=" ",$K192=AX$3),$O192,0)</f>
        <v>0</v>
      </c>
      <c r="AY192" s="135">
        <f>IF(AND($B190=" ",$K192=AY$3),$O192,0)</f>
        <v>0</v>
      </c>
      <c r="AZ192" s="136">
        <f>IF(AND($B190=" ",$K192=AZ$3),$O192,0)</f>
        <v>0</v>
      </c>
      <c r="BA192" s="136">
        <f>IF(AND($B190=" ",$K192=BA$3),$O192,0)</f>
        <v>0</v>
      </c>
      <c r="BB192" s="136">
        <f>IF(AND($B190=" ",$K192=BB$3),$O192,0)</f>
        <v>0</v>
      </c>
      <c r="BC192" s="137">
        <f>IF(AND($B190=" ",$K192=BC$3),$O192,0)</f>
        <v>0</v>
      </c>
      <c r="BD192" s="133">
        <f>IF(AND($B190=" ",$K192=BD$3),$O192,0)</f>
        <v>0</v>
      </c>
      <c r="BE192" s="134">
        <f>IF(AND($B190=" ",$K192=BE$3),$O192,0)</f>
        <v>0</v>
      </c>
      <c r="BF192" s="132">
        <f>IF($K192=BF$3,IF($C192="X",0,$O192),0)</f>
        <v>0</v>
      </c>
      <c r="BG192" s="281">
        <f>IF($K192=BG$3,IF($C192="X",0,$O192),0)</f>
        <v>0</v>
      </c>
      <c r="BH192" s="133">
        <f>IF($K192=BH$3,IF($C192="X",0,$O192),0)</f>
        <v>0</v>
      </c>
      <c r="BI192" s="133">
        <f>IF($K192=BI$3,IF($C192="X",0,$O192),0)</f>
        <v>0</v>
      </c>
      <c r="BJ192" s="133">
        <f>IF($K192=BJ$3,IF($C192="X",0,$O192),0)</f>
        <v>0</v>
      </c>
      <c r="BK192" s="133">
        <f>IF($K192=BK$3,IF($C192="X",0,$O192),0)</f>
        <v>0</v>
      </c>
      <c r="BL192" s="133">
        <f>IF($K192=BL$3,IF($C192="X",0,$O192),0)</f>
        <v>0</v>
      </c>
      <c r="BM192" s="135">
        <f>IF($K192=BM$3,IF($C192="X",0,$O192),0)</f>
        <v>0</v>
      </c>
      <c r="BN192" s="136">
        <f>IF($K192=BN$3,IF($C192="X",0,$O192),0)</f>
        <v>0</v>
      </c>
      <c r="BO192" s="136">
        <f>IF($K192=BO$3,IF($C192="X",0,$O192),0)</f>
        <v>0</v>
      </c>
      <c r="BP192" s="136">
        <f>IF($K192=BP$3,IF($C192="X",0,$O192),0)</f>
        <v>0</v>
      </c>
      <c r="BQ192" s="137">
        <f>IF($K192=BQ$3,IF($C192="X",0,$O192),0)</f>
        <v>0</v>
      </c>
      <c r="BR192" s="134">
        <f>IF($K192=BR$3,IF($C192="X",0,$O192),0)</f>
        <v>0</v>
      </c>
      <c r="BS192" s="282"/>
      <c r="BT192" s="283"/>
      <c r="BU192" s="140"/>
      <c r="BV192" s="283"/>
      <c r="BW192" s="140"/>
      <c r="BX192" s="140"/>
      <c r="BY192" s="140"/>
      <c r="BZ192" s="283"/>
      <c r="CA192" s="140"/>
      <c r="CB192" s="140"/>
      <c r="CC192" s="140"/>
      <c r="CD192" s="141"/>
      <c r="CE192" s="142"/>
      <c r="CF192" s="284">
        <f>IF(CF$3=$K192,IF($C192="W",1,IF($C192="1/2W",0.5,0)),0)</f>
        <v>0</v>
      </c>
      <c r="CG192" s="285">
        <f>IF(CF$3=$K192,IF($C192="L",1,IF($C192="1/2L",0.5,0)),0)</f>
        <v>0</v>
      </c>
      <c r="CH192" s="285">
        <f>IF(CH$3=$K192,IF($C192="W",1,IF($C192="1/2W",0.5,0)),0)</f>
        <v>0</v>
      </c>
      <c r="CI192" s="285">
        <f>IF(CH$3=$K192,IF($C192="L",1,IF($C192="1/2L",0.5,0)),0)</f>
        <v>0</v>
      </c>
      <c r="CJ192" s="285">
        <f>IF(CJ$3=$K192,IF($C192="W",1,IF($C192="1/2W",0.5,0)),0)</f>
        <v>0</v>
      </c>
      <c r="CK192" s="285">
        <f>IF(CJ$3=$K192,IF($C192="L",1,IF($C192="1/2L",0.5,0)),0)</f>
        <v>0</v>
      </c>
      <c r="CL192" s="285">
        <f>IF(CL$3=$K192,IF($C192="W",1,IF($C192="1/2W",0.5,0)),0)</f>
        <v>0</v>
      </c>
      <c r="CM192" s="285">
        <f>IF(CL$3=$K192,IF($C192="L",1,IF($C192="1/2L",0.5,0)),0)</f>
        <v>0</v>
      </c>
      <c r="CN192" s="285">
        <f>IF(CN$3=$K192,IF($C192="W",1,IF($C192="1/2W",0.5,0)),0)</f>
        <v>0</v>
      </c>
      <c r="CO192" s="285">
        <f>IF(CN$3=$K192,IF($C192="L",1,IF($C192="1/2L",0.5,0)),0)</f>
        <v>0</v>
      </c>
      <c r="CP192" s="285">
        <f>IF(CP$3=$K192,IF($C192="W",1,IF($C192="1/2W",0.5,0)),0)</f>
        <v>0</v>
      </c>
      <c r="CQ192" s="285">
        <f>IF(CP$3=$K192,IF($C192="L",1,IF($C192="1/2L",0.5,0)),0)</f>
        <v>0</v>
      </c>
      <c r="CR192" s="285">
        <f>IF(CR$3=$K192,IF($C192="W",1,IF($C192="1/2W",0.5,0)),0)</f>
        <v>0</v>
      </c>
      <c r="CS192" s="285">
        <f>IF(CR$3=$K192,IF($C192="L",1,IF($C192="1/2L",0.5,0)),0)</f>
        <v>0</v>
      </c>
      <c r="CT192" s="145">
        <f>IF(CT$3=$K192,IF($C192="W",1,IF($C192="1/2W",0.5,0)),0)</f>
        <v>0</v>
      </c>
      <c r="CU192" s="146">
        <f>IF(CT$3=$K192,IF($C192="L",1,IF($C192="1/2L",0.5,0)),0)</f>
        <v>0</v>
      </c>
      <c r="CV192" s="146">
        <f>IF(CV$3=$K192,IF($C192="W",1,IF($C192="1/2W",0.5,0)),0)</f>
        <v>0</v>
      </c>
      <c r="CW192" s="146">
        <f>IF(CV$3=$K192,IF($C192="L",1,IF($C192="1/2L",0.5,0)),0)</f>
        <v>0</v>
      </c>
      <c r="CX192" s="146">
        <f>IF(CX$3=$K192,IF($C192="W",1,IF($C192="1/2W",0.5,0)),0)</f>
        <v>0</v>
      </c>
      <c r="CY192" s="146">
        <f>IF(CX$3=$K192,IF($C192="L",1,IF($C192="1/2L",0.5,0)),0)</f>
        <v>0</v>
      </c>
      <c r="CZ192" s="146">
        <f>IF(CZ$3=$K192,IF($C192="W",1,IF($C192="1/2W",0.5,0)),0)</f>
        <v>0</v>
      </c>
      <c r="DA192" s="146">
        <f>IF(CZ$3=$K192,IF($C192="L",1,IF($C192="1/2L",0.5,0)),0)</f>
        <v>0</v>
      </c>
      <c r="DB192" s="146">
        <f>IF(DB$3=$K192,IF($C192="W",1,IF($C192="1/2W",0.5,0)),0)</f>
        <v>0</v>
      </c>
      <c r="DC192" s="146">
        <f>IF(DB$3=$K192,IF($C192="L",1,IF($C192="1/2L",0.5,0)),0)</f>
        <v>0</v>
      </c>
      <c r="DD192" s="146">
        <f>IF(DD$3=$K192,IF($C192="W",1,IF($C192="1/2W",0.5,0)),0)</f>
        <v>0</v>
      </c>
      <c r="DE192" s="147">
        <f>IF(DD$3=$K192,IF($C192="L",1,IF($C192="1/2L",0.5,0)),0)</f>
        <v>0</v>
      </c>
      <c r="DF192" s="143">
        <f>IF(AND(L192&lt;DF$3,$C192="W"),1+DF191,DF191)</f>
        <v>8</v>
      </c>
      <c r="DG192" s="133">
        <f>IF(DF192&gt;DF191,L192+DG191,DG191)</f>
        <v>10.598</v>
      </c>
      <c r="DH192" s="146">
        <f>IF(AND(L192&gt;DH$3,$C192="W"),1+DH191,0+DH191)</f>
        <v>2</v>
      </c>
      <c r="DI192" s="133">
        <f>IF(DH192&gt;DH191,L192+DI191,DI191)</f>
        <v>11.58</v>
      </c>
      <c r="DJ192" t="s" s="304">
        <f>IF($D190="","",$D190)</f>
        <v>184</v>
      </c>
      <c r="DK192" s="286"/>
    </row>
    <row r="193" ht="14.55" customHeight="1">
      <c r="A193" s="171">
        <f>$A190+1</f>
        <v>64</v>
      </c>
      <c r="B193" t="s" s="172">
        <f>IF(AND(_xlfn.XLOOKUP(H193,H$84:H97,G$84:G97,0)=G193,_xlfn.XLOOKUP("TempoBet",K193:K195,L193:L195,0)&gt;0),"X",IF(OR(C193="W",C194="W",C195="W",C193="1/2W",C194="1/2W",C195="1/2W",C193="1/2L",C194="1/2L",C195="1/2L"),"OK",IF(OR(C193="L",C194="L",C195="L"),"LOSS",IF(OR(C193="X",C194="X",C195="X"),"Anulado"," "))))</f>
        <v>50</v>
      </c>
      <c r="C193" t="s" s="173">
        <v>56</v>
      </c>
      <c r="D193" t="s" s="305">
        <f>IF(G193="","",$D190)</f>
        <v>184</v>
      </c>
      <c r="E193" t="s" s="175">
        <f>IF(G193=""," ","– "&amp;COUNTIF(D$4:D195,$D193))</f>
        <v>96</v>
      </c>
      <c r="F193" t="s" s="176"/>
      <c r="G193" s="177">
        <v>44945.666666666664</v>
      </c>
      <c r="H193" t="s" s="178">
        <v>208</v>
      </c>
      <c r="I193" t="s" s="179">
        <v>62</v>
      </c>
      <c r="J193" s="180"/>
      <c r="K193" t="s" s="181">
        <v>38</v>
      </c>
      <c r="L193" s="182">
        <v>1.5</v>
      </c>
      <c r="M193" s="183">
        <v>18.53</v>
      </c>
      <c r="N193" s="184">
        <v>0</v>
      </c>
      <c r="O193" s="185">
        <f>IF(OR(AE193="",AE194=""),"",ROUND(IF(L195&gt;0,IF(M193&gt;0,M193,IF(M194&gt;0,ROUND((M194*AE193)/AE194,IF(N193=0,2,IF(N193=0.1,1,0))),ROUND((M195*AE193)/AE195,IF(N193=0,2,IF(N193=0.1,1,0))))),IF(M193&gt;0,M193,ROUND((M194*AE193)/AE194,IF(N193=0,2,IF(N193=0.1,1,0))))),2))</f>
        <v>18.53</v>
      </c>
      <c r="P193" s="186">
        <f>IF(OR(L193="",O193=""),"",IF($C193="1/2W",O193/2+O193/2*L193,IF($C193="1/2L",O193/2,IF(I193="Lay",(O193*(L193/(L193-1))-O193)*(1-_xlfn.XLOOKUP(K193,'Janeiro 2023 - Valor Real'!A3:A15,'Janeiro 2023 - Valor Real'!C3:C15,0))+O193,(O193*L193-O193)*(1-_xlfn.XLOOKUP(K193,'Janeiro 2023 - Valor Real'!A3:A15,'Janeiro 2023 - Valor Real'!C3:C15,0))+O193))))</f>
        <v>27.795</v>
      </c>
      <c r="Q193" s="187">
        <f>IF(K193="","",IF(_xlfn.XLOOKUP(K193,K$84:K97,DJ$84:DJ97,0,,-1)=DJ193,_xlfn.XLOOKUP(K193,K$84:K97,Q$84:Q97,1,,-1)+1,1))</f>
        <v>1</v>
      </c>
      <c r="R193" s="188">
        <f>IF(K193="","",_xlfn.XLOOKUP(K193,K$84:K97,R$84:R97,0,,-1)+IF($C193=" ",1,0))</f>
        <v>0</v>
      </c>
      <c r="S193" s="189">
        <f>IF($B193="Anulado",0,ROUND(IF(OR($B193="LOSS",$B193="OK"),IF(OR($C193="W",$C193="1/2W",$C193="1/2L"),P193-O193,IF($C193="L",-O193,0))+IF(OR($C194="W",$C194="1/2W",$C194="1/2L"),P194-O194,IF($C194="L",-O194,0))+IF(OR($C195="W",$C195="1/2W",$C195="1/2L"),P195-O195,IF($C195="L",-O195,0)),IF(AND(OR($C193="W",$C193="1/2W",$C193="1/2L"),C194="W"),P193+P194-SUM(O193:O195)+_xlfn.XLOOKUP("X",C193:C195,O193:O195,0),IF(AND(C193=TRUE,C195="W"),P193+P195-SUM(O193:O195),IF(AND(C194="W",C195="W"),P194+P195-SUM(O193:O195)+_xlfn.XLOOKUP("X",C193:C195,O193:O195,0),IF(L195&gt;0,IF(OR($C193="W",$C193="1/2W",$C193="1/2L"),P193-SUM(O193:O195)+_xlfn.XLOOKUP("X",C193:C195,O193:O195,0),IF(OR($C193="W",$C193="1/2W",$C193="1/2L"),P194-SUM(O193:O195)+_xlfn.XLOOKUP("X",C193:C195,O193:O195,0),IF(OR($C193="W",$C193="1/2W",$C193="1/2L"),P195-SUM(O193:O195)+_xlfn.XLOOKUP("X",C193:C195,O193:O195,0),IF(SUM(P193:P195)/3-SUM(O193:O195)+_xlfn.XLOOKUP("X",C193:C195,O193:O195,0)&gt;0,SUM(P193:P195)/3-SUM(O193:O195)+_xlfn.XLOOKUP("X",C193:C195,O193:O195,0),LARGE(P193:P195,1)-SUM(O193:O195))))),IF(OR($C193="W",$C193="1/2W",$C193="1/2L"),P193-SUM(O193:O194)+_xlfn.XLOOKUP("X",C193:C195,O193:O195,0),IF(OR($C193="W",$C193="1/2W",$C193="1/2L"),P194-SUM(O193:O194)+_xlfn.XLOOKUP("X",C193:C195,O193:O195,0),SUM(P193:P194)/2-SUM(O193:O194)+_xlfn.XLOOKUP("X",C193:C195,O193:O195,0)))))))),2))</f>
        <v>1.76</v>
      </c>
      <c r="T193" s="190">
        <f>IF(S193=0,0,S193/SUM(O193:O195))</f>
        <v>0.0675883256528418</v>
      </c>
      <c r="U193" s="191">
        <f>IF($D193=$D190,IF(OR($B193="LOSS",$B193="OK",$B193="Anulada"),S193,0)+U190,IF(OR($B193="LOSS",$B193="OK",$B193="Anulada"),S193,0))</f>
        <v>36.47</v>
      </c>
      <c r="V193" s="191">
        <f>IF($D193="",0,IF($D193=$D190,IF($B193=" ",IF(I195="",IF(OR(AND(I193="DNB1",I194="DNB2"),AND(OR(I193="DNB1",I193="DNB2"),J194=0),AND(OR(I194="DNB1",I194="DNB2"),J193=0),AND(I193="DNB2",I194="DNB1"),AND(IF(J193=0,(J193+1)/ROUND(J193+1,0),J193/ROUND(J193,0))=1,IF(J194=0,(J194+1)/ROUND(IF(J194="",0,J194)+1,0),IF(J194="",0,J194)/ROUND(IF(J194="",1,J194),0))=1,OR(J193&lt;&gt;""),J194&lt;&gt;"")),0,IF(S193&lt;0,IF(I195="",SMALL(P193:P194,1)-SUM(O193:O194),0),SMALL(P193:P194,1)-SUM(O193:O194))),IF(S193&lt;0,IF(I195="",SMALL(P193:P195,1)-SUM(O193:O195),0),LARGE(P193:P195,1)-SUM(O193:O195))),S193)+V190,IF(I195="",IF(OR(AND(I193="DNB1",I194="DNB2"),AND(OR(I193="DNB1",I193="DNB2"),J194=0),AND(OR(I194="DNB1",I194="DNB2"),J193=0),AND(I193="DNB2",I194="DNB1"),AND(IF(J193=0,(J193+1)/ROUND(J193+1,0),J193/ROUND(J193,0))=1,IF(J194=0,(IF(J194="",0,J194)+1)/ROUND(IF(J194="",0,J194)+1,0),IF(J194="",0,J194)/ROUND(IF(J194="",0,J194)+1,0))=1,OR(J193&lt;&gt;""),J194&lt;&gt;"")),0,IF(S193&lt;0,IF(I195="",SMALL(P193:P194,1)-SUM(O193:O194),0),SMALL(P193:P195,1)-SUM(O193:O195))),IF(S193&lt;0,IF(I195="",SMALL(P193:P195,1)-SUM(O193:O195),0),LARGE(P193:P195,1)-SUM(O193:O195)))))</f>
        <v>36.4675</v>
      </c>
      <c r="W193" s="191">
        <f>IF($D193=$D190,IF(S193&lt;0,IF(I195="",S193,0),S193)+W190,S193)</f>
        <v>36.47</v>
      </c>
      <c r="X193" t="s" s="192">
        <f>IF(OR(SUM(R193:R195)=0,V193=W193),ROUND(IF(W193=0,0,W193/Y193)*100,2)&amp;"%",ROUND(IF(V193=0,0,V193/Y193)*100,2)&amp;"% a "&amp;ROUND(IF(W193=0,0,W193/Y193)*100,2)&amp;"%")</f>
        <v>207</v>
      </c>
      <c r="Y193" s="193">
        <f>IF($D193=$D190,Y190+SUM(O193:O195),SUM(O193:O195))</f>
        <v>542.79</v>
      </c>
      <c r="Z193" s="191">
        <f>IF($B193=" ",SUM(O193:O195),0)+Z190</f>
        <v>0</v>
      </c>
      <c r="AA193" s="191">
        <f>IF(G193="","",IF($B193="Anulado",LARGE(P193:P195,1)-SUM(O193:O195)+AA190,AA190))</f>
        <v>15.1024</v>
      </c>
      <c r="AB193" s="191">
        <f>IF($D193="","",AB190+S193)</f>
        <v>161.58</v>
      </c>
      <c r="AC193" s="194">
        <f>IF($D193="","",IF($B193=" ",IF(DAY(G193)=DAY(TODAY()),1+AC190,0+AC190),0+AC190))</f>
        <v>0</v>
      </c>
      <c r="AD193" s="195">
        <f>(((L194/(L194-1)-1)*(1-_xlfn.XLOOKUP(K194,'Janeiro 2023 - Valor Real'!A3:A15,'Janeiro 2023 - Valor Real'!C3:C15,0))+1))/(((L193-1)*(1-_xlfn.XLOOKUP(K193,'Janeiro 2023 - Valor Real'!A3:A15,'Janeiro 2023 - Valor Real'!C3:C15,0))+1)+((L194/(L194-1)-1)*(1-_xlfn.XLOOKUP(K194,'Janeiro 2023 - Valor Real'!A3:A15,'Janeiro 2023 - Valor Real'!C3:C15,0))+1))</f>
        <v>0.47741935483871</v>
      </c>
      <c r="AE193" s="196">
        <f>IF(L193="","",IF(L195&gt;0,(SUM(((L193-1)*(1-_xlfn.XLOOKUP(K193,'Janeiro 2023 - Valor Real'!A3:A15,'Janeiro 2023 - Valor Real'!C3:C15,0))+1),((L194-1)*(1-_xlfn.XLOOKUP(K194,'Janeiro 2023 - Valor Real'!A3:A15,'Janeiro 2023 - Valor Real'!C3:C15,0))+1),((L195-1)*(1-_xlfn.XLOOKUP(K195,'Janeiro 2023 - Valor Real'!A3:A15,'Janeiro 2023 - Valor Real'!C3:C15,0))+1))/((L193-1)*(1-_xlfn.XLOOKUP(K193,'Janeiro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Real'!C3:C15,0))+1))/((L193-1)*(1-_xlfn.XLOOKUP(K193,'Janeiro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Real'!C3:C15,0))+1))/((L194-1)*(1-_xlfn.XLOOKUP(K194,'Janeiro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Real'!C3:C15,0))+1))/((L195-1)*(1-_xlfn.XLOOKUP(K195,'Janeiro 2023 - Valor Real'!A3:A15,'Janeiro 2023 - Valor Real'!C3:C15,0))+1)),IF(I193="Lay",IF(I194="Lay",((L194/(L194-1)-1)*(1-_xlfn.XLOOKUP(K194,'Janeiro 2023 - Valor Real'!A3:A15,'Janeiro 2023 - Valor Real'!C3:C15,0))+1)/(((L194/(L194-1)-1)*(1-_xlfn.XLOOKUP(K194,'Janeiro 2023 - Valor Real'!A3:A15,'Janeiro 2023 - Valor Real'!C3:C15,0))+1)+((L193/(L193-1)-1)*(1-_xlfn.XLOOKUP(K193,'Janeiro 2023 - Valor Real'!A3:A15,'Janeiro 2023 - Valor Real'!C3:C15,0))+1)),((L194-1)*(1-_xlfn.XLOOKUP(K194,'Janeiro 2023 - Valor Real'!A3:A15,'Janeiro 2023 - Valor Real'!C3:C15,0))+1)/(((L194-1)*(1-_xlfn.XLOOKUP(K194,'Janeiro 2023 - Valor Real'!A3:A15,'Janeiro 2023 - Valor Real'!C3:C15,0))+1)+((L193/(L193-1)-1)*(1-_xlfn.XLOOKUP(K193,'Janeiro 2023 - Valor Real'!A3:A15,'Janeiro 2023 - Valor Real'!C3:C15,0))+1))),IF(I194="Lay",(((L194/(L194-1)-1)*(1-_xlfn.XLOOKUP(K194,'Janeiro 2023 - Valor Real'!A3:A15,'Janeiro 2023 - Valor Real'!C3:C15,0))+1))/(((L193-1)*(1-_xlfn.XLOOKUP(K193,'Janeiro 2023 - Valor Real'!A3:A15,'Janeiro 2023 - Valor Real'!C3:C15,0))+1)+((L194/(L194-1)-1)*(1-_xlfn.XLOOKUP(K194,'Janeiro 2023 - Valor Real'!A3:A15,'Janeiro 2023 - Valor Real'!C3:C15,0))+1)),((L194-1)*(1-_xlfn.XLOOKUP(K194,'Janeiro 2023 - Valor Real'!A3:A15,'Janeiro 2023 - Valor Real'!C3:C15,0))+1)/(((L194-1)*(1-_xlfn.XLOOKUP(K194,'Janeiro 2023 - Valor Real'!A3:A15,'Janeiro 2023 - Valor Real'!C3:C15,0))+1)+((L193-1)*(1-_xlfn.XLOOKUP(K193,'Janeiro 2023 - Valor Real'!A3:A15,'Janeiro 2023 - Valor Real'!C3:C15,0))+1))))))</f>
        <v>0.711538461538462</v>
      </c>
      <c r="AF193" s="197">
        <f>IF($K193=AF$3,ROUND(IF(OR($C193="W",$C193="1/2W",$C193="1/2L"),$P193-$O193,IF($C193="X",0,-$O193)),2),0)</f>
        <v>0</v>
      </c>
      <c r="AG193" s="198">
        <f>IF($K193=AG$3,ROUND(IF(OR($C193="W",$C193="1/2W",$C193="1/2L"),$P193-$O193,IF($C193="X",0,-$O193)),2),0)</f>
        <v>9.27</v>
      </c>
      <c r="AH193" s="198">
        <f>IF($K193=AH$3,ROUND(IF(OR($C193="W",$C193="1/2W",$C193="1/2L"),$P193-$O193,IF($C193="X",0,-$O193)),2),0)</f>
        <v>0</v>
      </c>
      <c r="AI193" s="198">
        <f>IF($K193=AI$3,ROUND(IF(OR($C193="W",$C193="1/2W",$C193="1/2L"),$P193-$O193,IF($C193="X",0,-$O193)),2),0)</f>
        <v>0</v>
      </c>
      <c r="AJ193" s="198">
        <f>IF($K193=AJ$3,ROUND(IF(OR($C193="W",$C193="1/2W",$C193="1/2L"),$P193-$O193,IF($C193="X",0,-$O193)),2),0)</f>
        <v>0</v>
      </c>
      <c r="AK193" s="198">
        <f>IF($K193=AK$3,ROUND(IF(OR($C193="W",$C193="1/2W",$C193="1/2L"),$P193-$O193,IF($C193="X",0,-$O193)),2),0)</f>
        <v>0</v>
      </c>
      <c r="AL193" s="198">
        <f>IF($K193=AL$3,ROUND(IF(OR($C193="W",$C193="1/2W",$C193="1/2L"),$P193-$O193,IF($C193="X",0,-$O193)),2),0)</f>
        <v>0</v>
      </c>
      <c r="AM193" s="198">
        <f>IF($K193=AM$3,ROUND(IF(OR($C193="W",$C193="1/2W",$C193="1/2L"),$P193-$O193,IF($C193="X",0,-$O193)),2),0)</f>
        <v>0</v>
      </c>
      <c r="AN193" s="198">
        <f>IF($K193=AN$3,ROUND(IF(OR($C193="W",$C193="1/2W",$C193="1/2L"),$P193-$O193,IF($C193="X",0,-$O193)),2),0)</f>
        <v>0</v>
      </c>
      <c r="AO193" s="198">
        <f>IF($K193=AO$3,ROUND(IF(OR($C193="W",$C193="1/2W",$C193="1/2L"),$P193-$O193,IF($C193="X",0,-$O193)),2),0)</f>
        <v>0</v>
      </c>
      <c r="AP193" s="198">
        <f>IF($K193=AP$3,ROUND(IF(OR($C193="W",$C193="1/2W",$C193="1/2L"),$P193-$O193,IF($C193="X",0,-$O193)),2),0)</f>
        <v>0</v>
      </c>
      <c r="AQ193" s="198">
        <f>IF($K193=AQ$3,ROUND(IF(OR($C193="W",$C193="1/2W",$C193="1/2L"),$P193-$O193,IF($C193="X",0,-$O193)),2),0)</f>
        <v>0</v>
      </c>
      <c r="AR193" s="199">
        <f>IF($K193=AR$3,ROUND(IF(OR($C193="W",$C193="1/2W",$C193="1/2L"),$P193-$O193,IF($C193="X",0,-$O193)),2),0)</f>
        <v>0</v>
      </c>
      <c r="AS193" s="197">
        <f>IF(AND($B193=" ",$K193=AS$3),$O193,0)</f>
        <v>0</v>
      </c>
      <c r="AT193" s="198">
        <f>IF(AND($B193=" ",$K193=AT$3),$O193,0)</f>
        <v>0</v>
      </c>
      <c r="AU193" s="198">
        <f>IF(AND($B193=" ",$K193=AU$3),$O193,0)</f>
        <v>0</v>
      </c>
      <c r="AV193" s="198">
        <f>IF(AND($B193=" ",$K193=AV$3),$O193,0)</f>
        <v>0</v>
      </c>
      <c r="AW193" s="198">
        <f>IF(AND($B193=" ",$K193=AW$3),$O193,0)</f>
        <v>0</v>
      </c>
      <c r="AX193" s="198">
        <f>IF(AND($B193=" ",$K193=AX$3),$O193,0)</f>
        <v>0</v>
      </c>
      <c r="AY193" s="200">
        <f>IF(AND($B193=" ",$K193=AY$3),$O193,0)</f>
        <v>0</v>
      </c>
      <c r="AZ193" s="201">
        <f>IF(AND($B193=" ",$K193=AZ$3),$O193,0)</f>
        <v>0</v>
      </c>
      <c r="BA193" s="201">
        <f>IF(AND($B193=" ",$K193=BA$3),$O193,0)</f>
        <v>0</v>
      </c>
      <c r="BB193" s="201">
        <f>IF(AND($B193=" ",$K193=BB$3),$O193,0)</f>
        <v>0</v>
      </c>
      <c r="BC193" s="202">
        <f>IF(AND($B193=" ",$K193=BC$3),$O193,0)</f>
        <v>0</v>
      </c>
      <c r="BD193" s="198">
        <f>IF(AND($B193=" ",$K193=BD$3),$O193,0)</f>
        <v>0</v>
      </c>
      <c r="BE193" s="199">
        <f>IF(AND($B193=" ",$K193=BE$3),$O193,0)</f>
        <v>0</v>
      </c>
      <c r="BF193" s="203">
        <f>IF($K193=BF$3,IF($C193="X",0,$O193),0)</f>
        <v>0</v>
      </c>
      <c r="BG193" s="198">
        <f>IF($K193=BG$3,IF($C193="X",0,$O193),0)</f>
        <v>18.53</v>
      </c>
      <c r="BH193" s="198">
        <f>IF($K193=BH$3,IF($C193="X",0,$O193),0)</f>
        <v>0</v>
      </c>
      <c r="BI193" s="198">
        <f>IF($K193=BI$3,IF($C193="X",0,$O193),0)</f>
        <v>0</v>
      </c>
      <c r="BJ193" s="198">
        <f>IF($K193=BJ$3,IF($C193="X",0,$O193),0)</f>
        <v>0</v>
      </c>
      <c r="BK193" s="198">
        <f>IF($K193=BK$3,IF($C193="X",0,$O193),0)</f>
        <v>0</v>
      </c>
      <c r="BL193" s="198">
        <f>IF($K193=BL$3,IF($C193="X",0,$O193),0)</f>
        <v>0</v>
      </c>
      <c r="BM193" s="200">
        <f>IF($K193=BM$3,IF($C193="X",0,$O193),0)</f>
        <v>0</v>
      </c>
      <c r="BN193" s="201">
        <f>IF($K193=BN$3,IF($C193="X",0,$O193),0)</f>
        <v>0</v>
      </c>
      <c r="BO193" s="201">
        <f>IF($K193=BO$3,IF($C193="X",0,$O193),0)</f>
        <v>0</v>
      </c>
      <c r="BP193" s="201">
        <f>IF($K193=BP$3,IF($C193="X",0,$O193),0)</f>
        <v>0</v>
      </c>
      <c r="BQ193" s="202">
        <f>IF($K193=BQ$3,IF($C193="X",0,$O193),0)</f>
        <v>0</v>
      </c>
      <c r="BR193" s="199">
        <f>IF($K193=BR$3,IF($C193="X",0,$O193),0)</f>
        <v>0</v>
      </c>
      <c r="BS193" s="204">
        <f>IF($B193="LOSS",IF(AND($K193=BS$3,$C193="L"),-$O193,0)+IF(AND($K194=BS$3,$C194="L"),-$O194,0)+IF(AND($K195=BS$3,$C195="L"),-$O195,0),IF(OR(AND($K193=BS$3,OR($C193="W",$C193="1/2W")),AND($K194=BS$3,OR($C194="W",$C194="1/2W")),AND($K195=BS$3,OR($C195="W",$C195="1/2W"))),$S193,0))</f>
        <v>0</v>
      </c>
      <c r="BT193" s="201">
        <f>IF($B193="LOSS",IF(AND($K193=BT$3,$C193="L"),-$O193,0)+IF(AND($K194=BT$3,$C194="L"),-$O194,0)+IF(AND($K194=BT$3,$C195="L"),-$O195,0),IF(OR(AND($K194=BT$3,OR($C193="W",$C193="1/2W")),AND($K194=BT$3,OR($C194="W",$C194="1/2W")),AND($K194=BT$3,OR($C195="W",$C195="1/2W"))),$S193,0))</f>
        <v>0</v>
      </c>
      <c r="BU193" s="201">
        <f>IF($B193="LOSS",IF(AND($K193=BU$3,$C193="L"),-$O193,0)+IF(AND($K194=BU$3,$C194="L"),-$O194,0)+IF(AND($K194=BU$3,$C195="L"),-$O195,0),IF(OR(AND($K194=BU$3,OR($C193="W",$C193="1/2W")),AND($K194=BU$3,OR($C194="W",$C194="1/2W")),AND($K194=BU$3,OR($C195="W",$C195="1/2W"))),$S193,0))</f>
        <v>0</v>
      </c>
      <c r="BV193" s="201">
        <f>IF($B193="LOSS",IF(AND($K193=BV$3,$C193="L"),-$O193,0)+IF(AND($K194=BV$3,$C194="L"),-$O194,0)+IF(AND($K195=BV$3,$C195="L"),-$O195,0),IF(OR(AND($K193=BV$3,OR($C193="W",$C193="1/2W")),AND($K194=BV$3,OR($C194="W",$C194="1/2W")),AND($K195=BV$3,OR($C195="W",$C195="1/2W"))),$S193,0))</f>
        <v>0</v>
      </c>
      <c r="BW193" s="201">
        <f>IF($B193="LOSS",IF(AND($K193=BW$3,$C193="L"),-$O193,0)+IF(AND($K194=BW$3,$C194="L"),-$O194,0)+IF(AND($K195=BW$3,$C195="L"),-$O195,0),IF(OR(AND($K193=BW$3,OR($C193="W",$C193="1/2W")),AND($K194=BW$3,OR($C194="W",$C194="1/2W")),AND($K195=BW$3,OR($C195="W",$C195="1/2W"))),$S193,0))</f>
        <v>0</v>
      </c>
      <c r="BX193" s="201">
        <f>IF($B193="LOSS",IF(AND($K193=BX$3,$C193="L"),-$O193,0)+IF(AND($K194=BX$3,$C194="L"),-$O194,0)+IF(AND($K195=BX$3,$C195="L"),-$O195,0),IF(OR(AND($K193=BX$3,OR($C193="W",$C193="1/2W")),AND($K194=BX$3,OR($C194="W",$C194="1/2W")),AND($K195=BX$3,OR($C195="W",$C195="1/2W"))),$S193,0))</f>
        <v>0</v>
      </c>
      <c r="BY193" s="201">
        <f>IF($B193="LOSS",IF(AND($K193=BY$3,$C193="L"),-$O193,0)+IF(AND($K194=BY$3,$C194="L"),-$O194,0)+IF(AND($K195=BY$3,$C195="L"),-$O195,0),IF(OR(AND($K193=BY$3,OR($C193="W",$C193="1/2W")),AND($K194=BY$3,OR($C194="W",$C194="1/2W")),AND($K195=BY$3,OR($C195="W",$C195="1/2W"))),$S193,0))</f>
        <v>0</v>
      </c>
      <c r="BZ193" s="205">
        <f>IF($B193="LOSS",IF(AND($K193=BZ$3,$C193="L"),-$O193,0)+IF(AND($K194=BZ$3,$C194="L"),-$O194,0)+IF(AND($K195=BZ$3,$C195="L"),-$O195,0),IF(OR(AND($K193=BZ$3,OR($C193="W",$C193="1/2W")),AND($K194=BZ$3,OR($C194="W",$C194="1/2W")),AND($K195=BZ$3,OR($C195="W",$C195="1/2W"))),$S193,0))</f>
        <v>0</v>
      </c>
      <c r="CA193" s="205">
        <f>IF($B193="LOSS",IF(AND($K193=CA$3,$C193="L"),-$O193,0)+IF(AND($K194=CA$3,$C194="L"),-$O194,0)+IF(AND($K195=CA$3,$C195="L"),-$O195,0),IF(OR(AND($K193=CA$3,OR($C193="W",$C193="1/2W")),AND($K194=CA$3,OR($C194="W",$C194="1/2W")),AND($K195=CA$3,OR($C195="W",$C195="1/2W"))),$S193,0))</f>
        <v>0</v>
      </c>
      <c r="CB193" s="205">
        <f>IF($B193="LOSS",IF(AND($K193=CB$3,$C193="L"),-$O193,0)+IF(AND($K194=CB$3,$C194="L"),-$O194,0)+IF(AND($K195=CB$3,$C195="L"),-$O195,0),IF(OR(AND($K193=CB$3,OR($C193="W",$C193="1/2W")),AND($K194=CB$3,OR($C194="W",$C194="1/2W")),AND($K195=CB$3,OR($C195="W",$C195="1/2W"))),$S193,0))</f>
        <v>0</v>
      </c>
      <c r="CC193" s="205">
        <f>IF($B193="LOSS",IF(AND($K193=CC$3,$C193="L"),-$O193,0)+IF(AND($K194=CC$3,$C194="L"),-$O194,0)+IF(AND($K195=CC$3,$C195="L"),-$O195,0),IF(OR(AND($K193=CC$3,OR($C193="W",$C193="1/2W")),AND($K194=CC$3,OR($C194="W",$C194="1/2W")),AND($K195=CC$3,OR($C195="W",$C195="1/2W"))),$S193,0))</f>
        <v>0</v>
      </c>
      <c r="CD193" s="202">
        <f>IF($B193="LOSS",IF(AND($K193=CD$3,$C193="L"),-$O193,0)+IF(AND($K194=CD$3,$C194="L"),-$O194,0)+IF(AND($K195=CD$3,$C195="L"),-$O195,0),IF(OR(AND($K193=CD$3,OR($C193="W",$C193="1/2W")),AND($K194=CD$3,OR($C194="W",$C194="1/2W")),AND($K195=CD$3,OR($C195="W",$C195="1/2W"))),$S193,0))</f>
        <v>0</v>
      </c>
      <c r="CE193" s="199">
        <f>IF($B193="LOSS",IF(AND($K193=CE$3,$C193="L"),-$O193,0)+IF(AND($K194=CE$3,$C194="L"),-$O194,0)+IF(AND($K195=CE$3,$C195="L"),-$O195,0),IF(OR(AND($K193=CE$3,OR($C193="W",$C193="1/2W")),AND($K194=CE$3,OR($C194="W",$C194="1/2W")),AND($K195=CE$3,OR($C195="W",$C195="1/2W"))),$S193,0))</f>
        <v>0</v>
      </c>
      <c r="CF193" s="206">
        <f>IF(CF$3=$K193,IF($C193="W",1,IF($C193="1/2W",0.5,0)),0)</f>
        <v>0</v>
      </c>
      <c r="CG193" s="207">
        <f>IF(CF$3=$K193,IF($C193="L",1,IF($C193="1/2L",0.5,0)),0)</f>
        <v>0</v>
      </c>
      <c r="CH193" s="207">
        <f>IF(CH$3=$K193,IF($C193="W",1,IF($C193="1/2W",0.5,0)),0)</f>
        <v>1</v>
      </c>
      <c r="CI193" s="207">
        <f>IF(CH$3=$K193,IF($C193="L",1,IF($C193="1/2L",0.5,0)),0)</f>
        <v>0</v>
      </c>
      <c r="CJ193" s="207">
        <f>IF(CJ$3=$K193,IF($C193="W",1,IF($C193="1/2W",0.5,0)),0)</f>
        <v>0</v>
      </c>
      <c r="CK193" s="207">
        <f>IF(CJ$3=$K193,IF($C193="L",1,IF($C193="1/2L",0.5,0)),0)</f>
        <v>0</v>
      </c>
      <c r="CL193" s="207">
        <f>IF(CL$3=$K193,IF($C193="W",1,IF($C193="1/2W",0.5,0)),0)</f>
        <v>0</v>
      </c>
      <c r="CM193" s="207">
        <f>IF(CL$3=$K193,IF($C193="L",1,IF($C193="1/2L",0.5,0)),0)</f>
        <v>0</v>
      </c>
      <c r="CN193" s="207">
        <f>IF(CN$3=$K193,IF($C193="W",1,IF($C193="1/2W",0.5,0)),0)</f>
        <v>0</v>
      </c>
      <c r="CO193" s="207">
        <f>IF(CN$3=$K193,IF($C193="L",1,IF($C193="1/2L",0.5,0)),0)</f>
        <v>0</v>
      </c>
      <c r="CP193" s="207">
        <f>IF(CP$3=$K193,IF($C193="W",1,IF($C193="1/2W",0.5,0)),0)</f>
        <v>0</v>
      </c>
      <c r="CQ193" s="207">
        <f>IF(CP$3=$K193,IF($C193="L",1,IF($C193="1/2L",0.5,0)),0)</f>
        <v>0</v>
      </c>
      <c r="CR193" s="207">
        <f>IF(CR$3=$K193,IF($C193="W",1,IF($C193="1/2W",0.5,0)),0)</f>
        <v>0</v>
      </c>
      <c r="CS193" s="207">
        <f>IF(CR$3=$K193,IF($C193="L",1,IF($C193="1/2L",0.5,0)),0)</f>
        <v>0</v>
      </c>
      <c r="CT193" s="208">
        <f>IF(CT$3=$K193,IF($C193="W",1,IF($C193="1/2W",0.5,0)),0)</f>
        <v>0</v>
      </c>
      <c r="CU193" s="209">
        <f>IF(CT$3=$K193,IF($C193="L",1,IF($C193="1/2L",0.5,0)),0)</f>
        <v>0</v>
      </c>
      <c r="CV193" s="209">
        <f>IF(CV$3=$K193,IF($C193="W",1,IF($C193="1/2W",0.5,0)),0)</f>
        <v>0</v>
      </c>
      <c r="CW193" s="209">
        <f>IF(CV$3=$K193,IF($C193="L",1,IF($C193="1/2L",0.5,0)),0)</f>
        <v>0</v>
      </c>
      <c r="CX193" s="209">
        <f>IF(CX$3=$K193,IF($C193="W",1,IF($C193="1/2W",0.5,0)),0)</f>
        <v>0</v>
      </c>
      <c r="CY193" s="209">
        <f>IF(CX$3=$K193,IF($C193="L",1,IF($C193="1/2L",0.5,0)),0)</f>
        <v>0</v>
      </c>
      <c r="CZ193" s="209">
        <f>IF(CZ$3=$K193,IF($C193="W",1,IF($C193="1/2W",0.5,0)),0)</f>
        <v>0</v>
      </c>
      <c r="DA193" s="209">
        <f>IF(CZ$3=$K193,IF($C193="L",1,IF($C193="1/2L",0.5,0)),0)</f>
        <v>0</v>
      </c>
      <c r="DB193" s="209">
        <f>IF(DB$3=$K193,IF($C193="W",1,IF($C193="1/2W",0.5,0)),0)</f>
        <v>0</v>
      </c>
      <c r="DC193" s="209">
        <f>IF(DB$3=$K193,IF($C193="L",1,IF($C193="1/2L",0.5,0)),0)</f>
        <v>0</v>
      </c>
      <c r="DD193" s="209">
        <f>IF(DD$3=$K193,IF($C193="W",1,IF($C193="1/2W",0.5,0)),0)</f>
        <v>0</v>
      </c>
      <c r="DE193" s="210">
        <f>IF(DD$3=$K193,IF($C193="L",1,IF($C193="1/2L",0.5,0)),0)</f>
        <v>0</v>
      </c>
      <c r="DF193" s="211">
        <f>IF(AND(L193&lt;DF$3,$C193="W"),1+DF192,DF192)</f>
        <v>8</v>
      </c>
      <c r="DG193" s="198">
        <f>IF(DF193&gt;DF192,L193+DG192,DG192)</f>
        <v>10.598</v>
      </c>
      <c r="DH193" s="209">
        <f>IF(AND(L193&gt;DH$3,$C193="W"),1+DH192,0+DH192)</f>
        <v>2</v>
      </c>
      <c r="DI193" s="198">
        <f>IF(DH193&gt;DH192,L193+DI192,DI192)</f>
        <v>11.58</v>
      </c>
      <c r="DJ193" t="s" s="306">
        <f>IF($D193="","",$D193)</f>
        <v>184</v>
      </c>
      <c r="DK193" s="209">
        <f>IF(AND($B193=" ",$D193&lt;&gt;""),1,0)</f>
        <v>0</v>
      </c>
    </row>
    <row r="194" ht="14.55" customHeight="1">
      <c r="A194" s="107"/>
      <c r="B194" s="108"/>
      <c r="C194" t="s" s="213">
        <v>51</v>
      </c>
      <c r="D194" s="110"/>
      <c r="E194" s="111"/>
      <c r="F194" s="113"/>
      <c r="G194" s="214"/>
      <c r="H194" s="114"/>
      <c r="I194" t="s" s="215">
        <v>54</v>
      </c>
      <c r="J194" s="296">
        <f>IF(OR(I193="TO",I193="TU",I193="TO1",I193="TU1",I193="TO2",I193="TU2"),J193,IF(OR(I193="AH1",I193="AH2"),IF(OR(I194="AH1",I194="AH2"),-J193,IF(OR(I194="EH1",I194="EH2"),-J193+0.5,"")),IF(OR(I193="EH1",I193="EH2"),IF(OR(I194="AH1",I194="AH2"),-J193+0.5,IF(OR(I194="EH1",I194="EH2"),-J193+1,"")),IF(AND(OR(I193="DNB1",I193="DNB2"),OR(I194="AH1",I194="AH2")),0,IF(AND(I193="Not ScoreBoth",OR(I194="TO1",I194="TO2")),0.5,"")))))</f>
        <v>0</v>
      </c>
      <c r="K194" t="s" s="217">
        <v>44</v>
      </c>
      <c r="L194" s="218">
        <v>3.7</v>
      </c>
      <c r="M194" s="219"/>
      <c r="N194" s="120"/>
      <c r="O194" s="220">
        <f>IF(OR(AE193="",AE194=""),"",ROUND(IF(L195&gt;0,IF(M194&gt;0,M194,IF(M193&gt;0,IF(N193=TRUE,ROUND((M193*AE194)/AE193,0),(M193*AE194)/AE193),IF(M194&gt;0,ROUND(M194,IF(N193=0,2,IF(N193=0.1,1,0))),IF(M195&gt;0,ROUND(O195*AE194/AE195,IF(N193=0,2,IF(N193=0.1,1,0))),0)))),IF(M194&gt;0,M194,ROUND((M193*AE194)/AE193,IF(N193=0,2,IF(N193=0.1,1,0))))),2))</f>
        <v>7.51</v>
      </c>
      <c r="P194" s="221">
        <f>IF(OR(L194="",O194=""),"",IF($C194="1/2W",O194/2+O194/2*L194,IF($C194="1/2L",O194/2,IF(I194="Lay",((O194*(L194/(L194-1)))-O194)*(1-_xlfn.XLOOKUP(K194,'Janeiro 2023 - Valor Real'!A3:A15,'Janeiro 2023 - Valor Real'!C3:C15,0))+O194,(O194*L194-O194)*(1-_xlfn.XLOOKUP(K194,'Janeiro 2023 - Valor Real'!A3:A15,'Janeiro 2023 - Valor Real'!C3:C15,0))+O194))))</f>
        <v>27.787</v>
      </c>
      <c r="Q194" s="222">
        <f>IF(K194="","",IF(_xlfn.XLOOKUP(K194,K$85:K98,DJ$85:DJ98,0,,-1)=DJ194,_xlfn.XLOOKUP(K194,K$85:K98,Q$85:Q98,1,,-1)+1,1))</f>
        <v>1</v>
      </c>
      <c r="R194" s="223">
        <f>IF(K194="","",_xlfn.XLOOKUP(K194,K$85:K98,R$85:R98,0,,-1)+IF($C194=" ",1,0))</f>
        <v>0</v>
      </c>
      <c r="S194" s="125"/>
      <c r="T194" s="126"/>
      <c r="U194" s="126"/>
      <c r="V194" s="224"/>
      <c r="W194" s="126"/>
      <c r="X194" s="127"/>
      <c r="Y194" s="128"/>
      <c r="Z194" s="129"/>
      <c r="AA194" s="129"/>
      <c r="AB194" s="129"/>
      <c r="AC194" s="129"/>
      <c r="AD194" s="225">
        <f>(((L194/(L194-1)-1)*(1-_xlfn.XLOOKUP(K194,'Janeiro 2023 - Valor Real'!A3:A15,'Janeiro 2023 - Valor Real'!C3:C15,0))+1))</f>
        <v>1.37037037037037</v>
      </c>
      <c r="AE194" s="226">
        <f>IF(L194="","",IF(L195&gt;0,(SUM(((L193-1)*(1-_xlfn.XLOOKUP(K193,'Janeiro 2023 - Valor Real'!A3:A15,'Janeiro 2023 - Valor Real'!C3:C15,0))+1),((L194-1)*(1-_xlfn.XLOOKUP(K194,'Janeiro 2023 - Valor Real'!A3:A15,'Janeiro 2023 - Valor Real'!C3:C15,0))+1),((L195-1)*(1-_xlfn.XLOOKUP(K195,'Janeiro 2023 - Valor Real'!A3:A15,'Janeiro 2023 - Valor Real'!C3:C15,0))+1))/((L194-1)*(1-_xlfn.XLOOKUP(K194,'Janeiro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Real'!C3:C15,0))+1))/((L193-1)*(1-_xlfn.XLOOKUP(K193,'Janeiro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Real'!C3:C15,0))+1))/((L194-1)*(1-_xlfn.XLOOKUP(K194,'Janeiro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Real'!C3:C15,0))+1))/((L195-1)*(1-_xlfn.XLOOKUP(K195,'Janeiro 2023 - Valor Real'!A3:A15,'Janeiro 2023 - Valor Real'!C3:C15,0))+1)),IF(I194="Lay",IF(I193="Lay",((L193/(L193-1)-1)*(1-_xlfn.XLOOKUP(K193,'Janeiro 2023 - Valor Real'!A3:A15,'Janeiro 2023 - Valor Real'!C3:C15,0))+1)/(((L193/(L193-1)-1)*(1-_xlfn.XLOOKUP(K193,'Janeiro 2023 - Valor Real'!A3:A15,'Janeiro 2023 - Valor Real'!C3:C15,0))+1)+((L194/(L194-1)-1)*(1-_xlfn.XLOOKUP(K194,'Janeiro 2023 - Valor Real'!A3:A15,'Janeiro 2023 - Valor Real'!C3:C15,0))+1)),((L193-1)*(1-_xlfn.XLOOKUP(K193,'Janeiro 2023 - Valor Real'!A3:A15,'Janeiro 2023 - Valor Real'!C3:C15,0))+1)/(((L193-1)*(1-_xlfn.XLOOKUP(K193,'Janeiro 2023 - Valor Real'!A3:A15,'Janeiro 2023 - Valor Real'!C3:C15,0))+1)+((L194/(L194-1)-1)*(1-_xlfn.XLOOKUP(K194,'Janeiro 2023 - Valor Real'!A3:A15,'Janeiro 2023 - Valor Real'!C3:C15,0))+1))),IF(I193="Lay",((L193/(L193-1)-1)*(1-_xlfn.XLOOKUP(K193,'Janeiro 2023 - Valor Real'!A3:A15,'Janeiro 2023 - Valor Real'!C3:C15,0))+1)/((((L193/(L193-1)-1)*(1-_xlfn.XLOOKUP(K193,'Janeiro 2023 - Valor Real'!A3:A15,'Janeiro 2023 - Valor Real'!C3:C15,0))+1))+((L194-1)*(1-_xlfn.XLOOKUP(K194,'Janeiro 2023 - Valor Real'!A3:A15,'Janeiro 2023 - Valor Real'!C3:C15,0))+1)),((L193-1)*(1-_xlfn.XLOOKUP(K193,'Janeiro 2023 - Valor Real'!A3:A15,'Janeiro 2023 - Valor Real'!C3:C15,0))+1)/(((L193-1)*(1-_xlfn.XLOOKUP(K193,'Janeiro 2023 - Valor Real'!A3:A15,'Janeiro 2023 - Valor Real'!C3:C15,0))+1)+((L194-1)*(1-_xlfn.XLOOKUP(K194,'Janeiro 2023 - Valor Real'!A3:A15,'Janeiro 2023 - Valor Real'!C3:C15,0))+1))))))</f>
        <v>0.288461538461538</v>
      </c>
      <c r="AF194" s="197">
        <f>IF($K194=AF$3,ROUND(IF(OR($C194="W",$C194="1/2W",$C194="1/2L"),$P194-$O194,IF($C194="X",0,-$O194)),2),0)</f>
        <v>0</v>
      </c>
      <c r="AG194" s="198">
        <f>IF($K194=AG$3,ROUND(IF(OR($C194="W",$C194="1/2W",$C194="1/2L"),$P194-$O194,IF($C194="X",0,-$O194)),2),0)</f>
        <v>0</v>
      </c>
      <c r="AH194" s="198">
        <f>IF($K194=AH$3,ROUND(IF(OR($C194="W",$C194="1/2W",$C194="1/2L"),$P194-$O194,IF($C194="X",0,-$O194)),2),0)</f>
        <v>0</v>
      </c>
      <c r="AI194" s="198">
        <f>IF($K194=AI$3,ROUND(IF(OR($C194="W",$C194="1/2W",$C194="1/2L"),$P194-$O194,IF($C194="X",0,-$O194)),2),0)</f>
        <v>0</v>
      </c>
      <c r="AJ194" s="198">
        <f>IF($K194=AJ$3,ROUND(IF(OR($C194="W",$C194="1/2W",$C194="1/2L"),$P194-$O194,IF($C194="X",0,-$O194)),2),0)</f>
        <v>0</v>
      </c>
      <c r="AK194" s="198">
        <f>IF($K194=AK$3,ROUND(IF(OR($C194="W",$C194="1/2W",$C194="1/2L"),$P194-$O194,IF($C194="X",0,-$O194)),2),0)</f>
        <v>0</v>
      </c>
      <c r="AL194" s="198">
        <f>IF($K194=AL$3,ROUND(IF(OR($C194="W",$C194="1/2W",$C194="1/2L"),$P194-$O194,IF($C194="X",0,-$O194)),2),0)</f>
        <v>0</v>
      </c>
      <c r="AM194" s="198">
        <f>IF($K194=AM$3,ROUND(IF(OR($C194="W",$C194="1/2W",$C194="1/2L"),$P194-$O194,IF($C194="X",0,-$O194)),2),0)</f>
        <v>-7.51</v>
      </c>
      <c r="AN194" s="198">
        <f>IF($K194=AN$3,ROUND(IF(OR($C194="W",$C194="1/2W",$C194="1/2L"),$P194-$O194,IF($C194="X",0,-$O194)),2),0)</f>
        <v>0</v>
      </c>
      <c r="AO194" s="198">
        <f>IF($K194=AO$3,ROUND(IF(OR($C194="W",$C194="1/2W",$C194="1/2L"),$P194-$O194,IF($C194="X",0,-$O194)),2),0)</f>
        <v>0</v>
      </c>
      <c r="AP194" s="198">
        <f>IF($K194=AP$3,ROUND(IF(OR($C194="W",$C194="1/2W",$C194="1/2L"),$P194-$O194,IF($C194="X",0,-$O194)),2),0)</f>
        <v>0</v>
      </c>
      <c r="AQ194" s="198">
        <f>IF($K194=AQ$3,ROUND(IF(OR($C194="W",$C194="1/2W",$C194="1/2L"),$P194-$O194,IF($C194="X",0,-$O194)),2),0)</f>
        <v>0</v>
      </c>
      <c r="AR194" s="199">
        <f>IF($K194=AR$3,ROUND(IF(OR($C194="W",$C194="1/2W",$C194="1/2L"),$P194-$O194,IF($C194="X",0,-$O194)),2),0)</f>
        <v>0</v>
      </c>
      <c r="AS194" s="197">
        <f>IF(AND($B193=" ",$K194=AS$3),$O194,0)</f>
        <v>0</v>
      </c>
      <c r="AT194" s="198">
        <f>IF(AND($B193=" ",K194=AT$3),$O194,0)</f>
        <v>0</v>
      </c>
      <c r="AU194" s="198">
        <f>IF(AND($B193=" ",$K194=AU$3),$O194,0)</f>
        <v>0</v>
      </c>
      <c r="AV194" s="198">
        <f>IF(AND($B193=" ",$K194=AV$3),$O194,0)</f>
        <v>0</v>
      </c>
      <c r="AW194" s="198">
        <f>IF(AND($B193=" ",$K194=AW$3),$O194,0)</f>
        <v>0</v>
      </c>
      <c r="AX194" s="198">
        <f>IF(AND($B193=" ",$K194=AX$3),$O194,0)</f>
        <v>0</v>
      </c>
      <c r="AY194" s="200">
        <f>IF(AND($B193=" ",$K194=AY$3),$O194,0)</f>
        <v>0</v>
      </c>
      <c r="AZ194" s="201">
        <f>IF(AND($B193=" ",$K194=AZ$3),$O194,0)</f>
        <v>0</v>
      </c>
      <c r="BA194" s="201">
        <f>IF(AND($B193=" ",$K194=BA$3),$O194,0)</f>
        <v>0</v>
      </c>
      <c r="BB194" s="201">
        <f>IF(AND($B193=" ",$K194=BB$3),$O194,0)</f>
        <v>0</v>
      </c>
      <c r="BC194" s="202">
        <f>IF(AND($B193=" ",$K194=BC$3),$O194,0)</f>
        <v>0</v>
      </c>
      <c r="BD194" s="198">
        <f>IF(AND($B193=" ",$K194=BD$3),$O194,0)</f>
        <v>0</v>
      </c>
      <c r="BE194" s="199">
        <f>IF(AND($B193=" ",$K194=BE$3),$O194,0)</f>
        <v>0</v>
      </c>
      <c r="BF194" s="197">
        <f>IF($K194=BF$3,IF($C194="X",0,$O194),0)</f>
        <v>0</v>
      </c>
      <c r="BG194" s="198">
        <f>IF($K194=BG$3,IF($C194="X",0,$O194),0)</f>
        <v>0</v>
      </c>
      <c r="BH194" s="198">
        <f>IF($K194=BH$3,IF($C194="X",0,$O194),0)</f>
        <v>0</v>
      </c>
      <c r="BI194" s="198">
        <f>IF($K194=BI$3,IF($C194="X",0,$O194),0)</f>
        <v>0</v>
      </c>
      <c r="BJ194" s="198">
        <f>IF($K194=BJ$3,IF($C194="X",0,$O194),0)</f>
        <v>0</v>
      </c>
      <c r="BK194" s="198">
        <f>IF($K194=BK$3,IF($C194="X",0,$O194),0)</f>
        <v>0</v>
      </c>
      <c r="BL194" s="198">
        <f>IF($K194=BL$3,IF($C194="X",0,$O194),0)</f>
        <v>0</v>
      </c>
      <c r="BM194" s="227">
        <f>IF($K194=BM$3,IF($C194="X",0,$O194),0)</f>
        <v>7.51</v>
      </c>
      <c r="BN194" s="205">
        <f>IF($K194=BN$3,IF($C194="X",0,$O194),0)</f>
        <v>0</v>
      </c>
      <c r="BO194" s="205">
        <f>IF($K194=BO$3,IF($C194="X",0,$O194),0)</f>
        <v>0</v>
      </c>
      <c r="BP194" s="205">
        <f>IF($K194=BP$3,IF($C194="X",0,$O194),0)</f>
        <v>0</v>
      </c>
      <c r="BQ194" s="202">
        <f>IF($K194=BQ$3,IF($C194="X",0,$O194),0)</f>
        <v>0</v>
      </c>
      <c r="BR194" s="199">
        <f>IF($K194=BR$3,IF($C194="X",0,$O194),0)</f>
        <v>0</v>
      </c>
      <c r="BS194" s="228"/>
      <c r="BT194" s="229"/>
      <c r="BU194" s="140"/>
      <c r="BV194" s="229"/>
      <c r="BW194" s="140"/>
      <c r="BX194" s="140"/>
      <c r="BY194" s="140"/>
      <c r="BZ194" s="229"/>
      <c r="CA194" s="140"/>
      <c r="CB194" s="140"/>
      <c r="CC194" s="140"/>
      <c r="CD194" s="141"/>
      <c r="CE194" s="142"/>
      <c r="CF194" s="230">
        <f>IF(CF$3=$K194,IF($C194="W",1,IF($C194="1/2W",0.5,0)),0)</f>
        <v>0</v>
      </c>
      <c r="CG194" s="231">
        <f>IF(CF$3=$K194,IF($C194="L",1,IF($C194="1/2L",0.5,0)),0)</f>
        <v>0</v>
      </c>
      <c r="CH194" s="231">
        <f>IF(CH$3=$K194,IF($C194="W",1,IF($C194="1/2W",0.5,0)),0)</f>
        <v>0</v>
      </c>
      <c r="CI194" s="231">
        <f>IF(CH$3=$K194,IF($C194="L",1,IF($C194="1/2L",0.5,0)),0)</f>
        <v>0</v>
      </c>
      <c r="CJ194" s="231">
        <f>IF(CJ$3=$K194,IF($C194="W",1,IF($C194="1/2W",0.5,0)),0)</f>
        <v>0</v>
      </c>
      <c r="CK194" s="231">
        <f>IF(CJ$3=$K194,IF($C194="L",1,IF($C194="1/2L",0.5,0)),0)</f>
        <v>0</v>
      </c>
      <c r="CL194" s="231">
        <f>IF(CL$3=$K194,IF($C194="W",1,IF($C194="1/2W",0.5,0)),0)</f>
        <v>0</v>
      </c>
      <c r="CM194" s="231">
        <f>IF(CL$3=$K194,IF($C194="L",1,IF($C194="1/2L",0.5,0)),0)</f>
        <v>0</v>
      </c>
      <c r="CN194" s="231">
        <f>IF(CN$3=$K194,IF($C194="W",1,IF($C194="1/2W",0.5,0)),0)</f>
        <v>0</v>
      </c>
      <c r="CO194" s="231">
        <f>IF(CN$3=$K194,IF($C194="L",1,IF($C194="1/2L",0.5,0)),0)</f>
        <v>0</v>
      </c>
      <c r="CP194" s="231">
        <f>IF(CP$3=$K194,IF($C194="W",1,IF($C194="1/2W",0.5,0)),0)</f>
        <v>0</v>
      </c>
      <c r="CQ194" s="231">
        <f>IF(CP$3=$K194,IF($C194="L",1,IF($C194="1/2L",0.5,0)),0)</f>
        <v>0</v>
      </c>
      <c r="CR194" s="231">
        <f>IF(CR$3=$K194,IF($C194="W",1,IF($C194="1/2W",0.5,0)),0)</f>
        <v>0</v>
      </c>
      <c r="CS194" s="231">
        <f>IF(CR$3=$K194,IF($C194="L",1,IF($C194="1/2L",0.5,0)),0)</f>
        <v>0</v>
      </c>
      <c r="CT194" s="208">
        <f>IF(CT$3=$K194,IF($C194="W",1,IF($C194="1/2W",0.5,0)),0)</f>
        <v>0</v>
      </c>
      <c r="CU194" s="209">
        <f>IF(CT$3=$K194,IF($C194="L",1,IF($C194="1/2L",0.5,0)),0)</f>
        <v>1</v>
      </c>
      <c r="CV194" s="209">
        <f>IF(CV$3=$K194,IF($C194="W",1,IF($C194="1/2W",0.5,0)),0)</f>
        <v>0</v>
      </c>
      <c r="CW194" s="209">
        <f>IF(CV$3=$K194,IF($C194="L",1,IF($C194="1/2L",0.5,0)),0)</f>
        <v>0</v>
      </c>
      <c r="CX194" s="209">
        <f>IF(CX$3=$K194,IF($C194="W",1,IF($C194="1/2W",0.5,0)),0)</f>
        <v>0</v>
      </c>
      <c r="CY194" s="209">
        <f>IF(CX$3=$K194,IF($C194="L",1,IF($C194="1/2L",0.5,0)),0)</f>
        <v>0</v>
      </c>
      <c r="CZ194" s="209">
        <f>IF(CZ$3=$K194,IF($C194="W",1,IF($C194="1/2W",0.5,0)),0)</f>
        <v>0</v>
      </c>
      <c r="DA194" s="209">
        <f>IF(CZ$3=$K194,IF($C194="L",1,IF($C194="1/2L",0.5,0)),0)</f>
        <v>0</v>
      </c>
      <c r="DB194" s="209">
        <f>IF(DB$3=$K194,IF($C194="W",1,IF($C194="1/2W",0.5,0)),0)</f>
        <v>0</v>
      </c>
      <c r="DC194" s="209">
        <f>IF(DB$3=$K194,IF($C194="L",1,IF($C194="1/2L",0.5,0)),0)</f>
        <v>0</v>
      </c>
      <c r="DD194" s="209">
        <f>IF(DD$3=$K194,IF($C194="W",1,IF($C194="1/2W",0.5,0)),0)</f>
        <v>0</v>
      </c>
      <c r="DE194" s="210">
        <f>IF(DD$3=$K194,IF($C194="L",1,IF($C194="1/2L",0.5,0)),0)</f>
        <v>0</v>
      </c>
      <c r="DF194" s="211">
        <f>IF(AND(L194&lt;DF$3,$C194="W"),1+DF193,DF193)</f>
        <v>8</v>
      </c>
      <c r="DG194" s="198">
        <f>IF(DF194&gt;DF193,L194+DG193,DG193)</f>
        <v>10.598</v>
      </c>
      <c r="DH194" s="209">
        <f>IF(AND(L194&gt;DH$3,$C194="W"),1+DH193,0+DH193)</f>
        <v>2</v>
      </c>
      <c r="DI194" s="198">
        <f>IF(DH194&gt;DH193,L194+DI193,DI193)</f>
        <v>11.58</v>
      </c>
      <c r="DJ194" t="s" s="306">
        <f>IF($D193="","",$D193)</f>
        <v>184</v>
      </c>
      <c r="DK194" s="232"/>
    </row>
    <row r="195" ht="24.6" customHeight="1">
      <c r="A195" s="149"/>
      <c r="B195" s="150"/>
      <c r="C195" t="s" s="233">
        <v>58</v>
      </c>
      <c r="D195" s="152"/>
      <c r="E195" s="153"/>
      <c r="F195" s="155"/>
      <c r="G195" s="234"/>
      <c r="H195" s="156"/>
      <c r="I195" s="235"/>
      <c r="J195" s="236"/>
      <c r="K195" s="237"/>
      <c r="L195" s="238"/>
      <c r="M195" s="239"/>
      <c r="N195" s="161"/>
      <c r="O195" t="s" s="240">
        <f>IF(OR(AE193="",AE194=""),"",IF(L195&gt;0,ROUND(IF(M195&gt;0,M195,IF(M193&gt;0,ROUND((M193*AE195)/AE193,IF(N193=0,2,IF(N193=0.1,1,0))),IF(M194&gt;0,ROUND((M194*AE195)/AE194,IF(N193=0,2,IF(N193=0.1,1,0))),IF(M195&gt;0,M195,0)))),2),""))</f>
      </c>
      <c r="P195" t="s" s="241">
        <f>IF(I194="Lay",O194*(L194/(L194-1))-O194,IF(I193="Lay",O193*(L193/(L193-1))-O193,IF(OR(L195="",O195=""),"",IF($C195="1/2W",O195/2+O195/2*L195,IF($C195="1/2L",O195/2,(O195*L195-O195)*(1-_xlfn.XLOOKUP(K195,'Janeiro 2023 - Valor Real'!A3:A15,'Janeiro 2023 - Valor Real'!C3:C15,0))+O195)))))</f>
      </c>
      <c r="Q195" t="s" s="242">
        <f>IF(K195="","",IF(_xlfn.XLOOKUP(K195,K$86:K99,DJ$86:DJ99,0,,-1)=DJ195,_xlfn.XLOOKUP(K195,K$86:K99,Q$86:Q99,1,,-1)+1,1))</f>
      </c>
      <c r="R195" t="s" s="243">
        <f>IF(K195="","",_xlfn.XLOOKUP(K195,K$86:K99,R$86:R99,0,,-1)+IF($C195=" ",1,0))</f>
      </c>
      <c r="S195" s="166"/>
      <c r="T195" s="155"/>
      <c r="U195" s="155"/>
      <c r="V195" s="166"/>
      <c r="W195" s="155"/>
      <c r="X195" s="167"/>
      <c r="Y195" s="128"/>
      <c r="Z195" s="129"/>
      <c r="AA195" s="129"/>
      <c r="AB195" s="129"/>
      <c r="AC195" s="129"/>
      <c r="AD195" s="244">
        <f>((L194/(L194-1)-1))</f>
        <v>0.37037037037037</v>
      </c>
      <c r="AE195" t="s" s="245">
        <f>IF(L195="","",(SUM(((L193-1)*(1-_xlfn.XLOOKUP(K193,'Janeiro 2023 - Valor Real'!A3:A15,'Janeiro 2023 - Valor Real'!C3:C15,0))+1),((L194-1)*(1-_xlfn.XLOOKUP(K194,'Janeiro 2023 - Valor Real'!A3:A15,'Janeiro 2023 - Valor Real'!C3:C15,0))+1),((L195-1)*(1-_xlfn.XLOOKUP(K195,'Janeiro 2023 - Valor Real'!A3:A15,'Janeiro 2023 - Valor Real'!C3:C15,0))+1))/((L195-1)*(1-_xlfn.XLOOKUP(K195,'Janeiro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Real'!C3:C15,0))+1))/((L193-1)*(1-_xlfn.XLOOKUP(K193,'Janeiro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Real'!C3:C15,0))+1))/((L194-1)*(1-_xlfn.XLOOKUP(K194,'Janeiro 2023 - Valor Real'!A3:A15,'Janeiro 2023 - Valor Real'!C3:C15,0))+1)+SUM(((L193-1)*(1-_xlfn.XLOOKUP(K193,'Janeiro 2023 - Valor Real'!A3:A15,'Janeiro 2023 - Valor Real'!C3:C15,0))+1),((L194-1)*(1-_xlfn.XLOOKUP(K194,'Janeiro 2023 - Valor Real'!A3:A15,'Janeiro 2023 - Valor Real'!C3:C15,0))+1),((L195-1)*(1-_xlfn.XLOOKUP(K195,'Janeiro 2023 - Valor Real'!A3:A15,'Janeiro 2023 - Valor Real'!C3:C15,0))+1))/((L195-1)*(1-_xlfn.XLOOKUP(K195,'Janeiro 2023 - Valor Real'!A3:A15,'Janeiro 2023 - Valor Real'!C3:C15,0))+1)))</f>
      </c>
      <c r="AF195" s="197">
        <f>IF($K195=AF$3,ROUND(IF(OR($C195="W",$C195="1/2W",$C195="1/2L"),$P195-$O195,IF($C195="X",0,-$O195)),2),0)</f>
        <v>0</v>
      </c>
      <c r="AG195" s="198">
        <f>IF($K195=AG$3,ROUND(IF(OR($C195="W",$C195="1/2W",$C195="1/2L"),$P195-$O195,IF($C195="X",0,-$O195)),2),0)</f>
        <v>0</v>
      </c>
      <c r="AH195" s="198">
        <f>IF($K195=AH$3,ROUND(IF(OR($C195="W",$C195="1/2W",$C195="1/2L"),$P195-$O195,IF($C195="X",0,-$O195)),2),0)</f>
        <v>0</v>
      </c>
      <c r="AI195" s="198">
        <f>IF($K195=AI$3,ROUND(IF(OR($C195="W",$C195="1/2W",$C195="1/2L"),$P195-$O195,IF($C195="X",0,-$O195)),2),0)</f>
        <v>0</v>
      </c>
      <c r="AJ195" s="198">
        <f>IF($K195=AJ$3,ROUND(IF(OR($C195="W",$C195="1/2W",$C195="1/2L"),$P195-$O195,IF($C195="X",0,-$O195)),2),0)</f>
        <v>0</v>
      </c>
      <c r="AK195" s="198">
        <f>IF($K195=AK$3,ROUND(IF(OR($C195="W",$C195="1/2W",$C195="1/2L"),$P195-$O195,IF($C195="X",0,-$O195)),2),0)</f>
        <v>0</v>
      </c>
      <c r="AL195" s="198">
        <f>IF($K195=AL$3,ROUND(IF(OR($C195="W",$C195="1/2W",$C195="1/2L"),$P195-$O195,IF($C195="X",0,-$O195)),2),0)</f>
        <v>0</v>
      </c>
      <c r="AM195" s="198">
        <f>IF($K195=AM$3,ROUND(IF(OR($C195="W",$C195="1/2W",$C195="1/2L"),$P195-$O195,IF($C195="X",0,-$O195)),2),0)</f>
        <v>0</v>
      </c>
      <c r="AN195" s="198">
        <f>IF($K195=AN$3,ROUND(IF(OR($C195="W",$C195="1/2W",$C195="1/2L"),$P195-$O195,IF($C195="X",0,-$O195)),2),0)</f>
        <v>0</v>
      </c>
      <c r="AO195" s="198">
        <f>IF($K195=AO$3,ROUND(IF(OR($C195="W",$C195="1/2W",$C195="1/2L"),$P195-$O195,IF($C195="X",0,-$O195)),2),0)</f>
        <v>0</v>
      </c>
      <c r="AP195" s="198">
        <f>IF($K195=AP$3,ROUND(IF(OR($C195="W",$C195="1/2W",$C195="1/2L"),$P195-$O195,IF($C195="X",0,-$O195)),2),0)</f>
        <v>0</v>
      </c>
      <c r="AQ195" s="198">
        <f>IF($K195=AQ$3,ROUND(IF(OR($C195="W",$C195="1/2W",$C195="1/2L"),$P195-$O195,IF($C195="X",0,-$O195)),2),0)</f>
        <v>0</v>
      </c>
      <c r="AR195" s="199">
        <f>IF($K195=AR$3,ROUND(IF(OR($C195="W",$C195="1/2W",$C195="1/2L"),$P195-$O195,IF($C195="X",0,-$O195)),2),0)</f>
        <v>0</v>
      </c>
      <c r="AS195" s="197">
        <f>IF(AND($B193=" ",$K195=AS$3),$O195,0)</f>
        <v>0</v>
      </c>
      <c r="AT195" s="198">
        <f>IF(AND($B193=" ",K195=AT$3),$O195,0)</f>
        <v>0</v>
      </c>
      <c r="AU195" s="198">
        <f>IF(AND($B193=" ",$K195=AU$3),$O195,0)</f>
        <v>0</v>
      </c>
      <c r="AV195" s="198">
        <f>IF(AND($B193=" ",$K195=AV$3),$O195,0)</f>
        <v>0</v>
      </c>
      <c r="AW195" s="198">
        <f>IF(AND($B193=" ",$K195=AW$3),$O195,0)</f>
        <v>0</v>
      </c>
      <c r="AX195" s="198">
        <f>IF(AND($B193=" ",$K195=AX$3),$O195,0)</f>
        <v>0</v>
      </c>
      <c r="AY195" s="200">
        <f>IF(AND($B193=" ",$K195=AY$3),$O195,0)</f>
        <v>0</v>
      </c>
      <c r="AZ195" s="201">
        <f>IF(AND($B193=" ",$K195=AZ$3),$O195,0)</f>
        <v>0</v>
      </c>
      <c r="BA195" s="201">
        <f>IF(AND($B193=" ",$K195=BA$3),$O195,0)</f>
        <v>0</v>
      </c>
      <c r="BB195" s="201">
        <f>IF(AND($B193=" ",$K195=BB$3),$O195,0)</f>
        <v>0</v>
      </c>
      <c r="BC195" s="202">
        <f>IF(AND($B193=" ",$K195=BC$3),$O195,0)</f>
        <v>0</v>
      </c>
      <c r="BD195" s="198">
        <f>IF(AND($B193=" ",$K195=BD$3),$O195,0)</f>
        <v>0</v>
      </c>
      <c r="BE195" s="199">
        <f>IF(AND($B193=" ",$K195=BE$3),$O195,0)</f>
        <v>0</v>
      </c>
      <c r="BF195" s="197">
        <f>IF($K195=BF$3,IF($C195="X",0,$O195),0)</f>
        <v>0</v>
      </c>
      <c r="BG195" s="198">
        <f>IF($K195=BG$3,IF($C195="X",0,$O195),0)</f>
        <v>0</v>
      </c>
      <c r="BH195" s="198">
        <f>IF($K195=BH$3,IF($C195="X",0,$O195),0)</f>
        <v>0</v>
      </c>
      <c r="BI195" s="198">
        <f>IF($K195=BI$3,IF($C195="X",0,$O195),0)</f>
        <v>0</v>
      </c>
      <c r="BJ195" s="198">
        <f>IF($K195=BJ$3,IF($C195="X",0,$O195),0)</f>
        <v>0</v>
      </c>
      <c r="BK195" s="198">
        <f>IF($K195=BK$3,IF($C195="X",0,$O195),0)</f>
        <v>0</v>
      </c>
      <c r="BL195" s="198">
        <f>IF($K195=BL$3,IF($C195="X",0,$O195),0)</f>
        <v>0</v>
      </c>
      <c r="BM195" s="200">
        <f>IF($K195=BM$3,IF($C195="X",0,$O195),0)</f>
        <v>0</v>
      </c>
      <c r="BN195" s="201">
        <f>IF($K195=BN$3,IF($C195="X",0,$O195),0)</f>
        <v>0</v>
      </c>
      <c r="BO195" s="201">
        <f>IF($K195=BO$3,IF($C195="X",0,$O195),0)</f>
        <v>0</v>
      </c>
      <c r="BP195" s="201">
        <f>IF($K195=BP$3,IF($C195="X",0,$O195),0)</f>
        <v>0</v>
      </c>
      <c r="BQ195" s="202">
        <f>IF($K195=BQ$3,IF($C195="X",0,$O195),0)</f>
        <v>0</v>
      </c>
      <c r="BR195" s="199">
        <f>IF($K195=BR$3,IF($C195="X",0,$O195),0)</f>
        <v>0</v>
      </c>
      <c r="BS195" s="228"/>
      <c r="BT195" s="229"/>
      <c r="BU195" s="140"/>
      <c r="BV195" s="229"/>
      <c r="BW195" s="140"/>
      <c r="BX195" s="140"/>
      <c r="BY195" s="140"/>
      <c r="BZ195" s="229"/>
      <c r="CA195" s="140"/>
      <c r="CB195" s="140"/>
      <c r="CC195" s="140"/>
      <c r="CD195" s="141"/>
      <c r="CE195" s="142"/>
      <c r="CF195" s="230">
        <f>IF(CF$3=$K195,IF($C195="W",1,IF($C195="1/2W",0.5,0)),0)</f>
        <v>0</v>
      </c>
      <c r="CG195" s="231">
        <f>IF(CF$3=$K195,IF($C195="L",1,IF($C195="1/2L",0.5,0)),0)</f>
        <v>0</v>
      </c>
      <c r="CH195" s="231">
        <f>IF(CH$3=$K195,IF($C195="W",1,IF($C195="1/2W",0.5,0)),0)</f>
        <v>0</v>
      </c>
      <c r="CI195" s="231">
        <f>IF(CH$3=$K195,IF($C195="L",1,IF($C195="1/2L",0.5,0)),0)</f>
        <v>0</v>
      </c>
      <c r="CJ195" s="231">
        <f>IF(CJ$3=$K195,IF($C195="W",1,IF($C195="1/2W",0.5,0)),0)</f>
        <v>0</v>
      </c>
      <c r="CK195" s="231">
        <f>IF(CJ$3=$K195,IF($C195="L",1,IF($C195="1/2L",0.5,0)),0)</f>
        <v>0</v>
      </c>
      <c r="CL195" s="231">
        <f>IF(CL$3=$K195,IF($C195="W",1,IF($C195="1/2W",0.5,0)),0)</f>
        <v>0</v>
      </c>
      <c r="CM195" s="231">
        <f>IF(CL$3=$K195,IF($C195="L",1,IF($C195="1/2L",0.5,0)),0)</f>
        <v>0</v>
      </c>
      <c r="CN195" s="231">
        <f>IF(CN$3=$K195,IF($C195="W",1,IF($C195="1/2W",0.5,0)),0)</f>
        <v>0</v>
      </c>
      <c r="CO195" s="231">
        <f>IF(CN$3=$K195,IF($C195="L",1,IF($C195="1/2L",0.5,0)),0)</f>
        <v>0</v>
      </c>
      <c r="CP195" s="231">
        <f>IF(CP$3=$K195,IF($C195="W",1,IF($C195="1/2W",0.5,0)),0)</f>
        <v>0</v>
      </c>
      <c r="CQ195" s="231">
        <f>IF(CP$3=$K195,IF($C195="L",1,IF($C195="1/2L",0.5,0)),0)</f>
        <v>0</v>
      </c>
      <c r="CR195" s="231">
        <f>IF(CR$3=$K195,IF($C195="W",1,IF($C195="1/2W",0.5,0)),0)</f>
        <v>0</v>
      </c>
      <c r="CS195" s="231">
        <f>IF(CR$3=$K195,IF($C195="L",1,IF($C195="1/2L",0.5,0)),0)</f>
        <v>0</v>
      </c>
      <c r="CT195" s="208">
        <f>IF(CT$3=$K195,IF($C195="W",1,IF($C195="1/2W",0.5,0)),0)</f>
        <v>0</v>
      </c>
      <c r="CU195" s="209">
        <f>IF(CT$3=$K195,IF($C195="L",1,IF($C195="1/2L",0.5,0)),0)</f>
        <v>0</v>
      </c>
      <c r="CV195" s="209">
        <f>IF(CV$3=$K195,IF($C195="W",1,IF($C195="1/2W",0.5,0)),0)</f>
        <v>0</v>
      </c>
      <c r="CW195" s="209">
        <f>IF(CV$3=$K195,IF($C195="L",1,IF($C195="1/2L",0.5,0)),0)</f>
        <v>0</v>
      </c>
      <c r="CX195" s="209">
        <f>IF(CX$3=$K195,IF($C195="W",1,IF($C195="1/2W",0.5,0)),0)</f>
        <v>0</v>
      </c>
      <c r="CY195" s="209">
        <f>IF(CX$3=$K195,IF($C195="L",1,IF($C195="1/2L",0.5,0)),0)</f>
        <v>0</v>
      </c>
      <c r="CZ195" s="209">
        <f>IF(CZ$3=$K195,IF($C195="W",1,IF($C195="1/2W",0.5,0)),0)</f>
        <v>0</v>
      </c>
      <c r="DA195" s="209">
        <f>IF(CZ$3=$K195,IF($C195="L",1,IF($C195="1/2L",0.5,0)),0)</f>
        <v>0</v>
      </c>
      <c r="DB195" s="209">
        <f>IF(DB$3=$K195,IF($C195="W",1,IF($C195="1/2W",0.5,0)),0)</f>
        <v>0</v>
      </c>
      <c r="DC195" s="209">
        <f>IF(DB$3=$K195,IF($C195="L",1,IF($C195="1/2L",0.5,0)),0)</f>
        <v>0</v>
      </c>
      <c r="DD195" s="209">
        <f>IF(DD$3=$K195,IF($C195="W",1,IF($C195="1/2W",0.5,0)),0)</f>
        <v>0</v>
      </c>
      <c r="DE195" s="210">
        <f>IF(DD$3=$K195,IF($C195="L",1,IF($C195="1/2L",0.5,0)),0)</f>
        <v>0</v>
      </c>
      <c r="DF195" s="211">
        <f>IF(AND(L195&lt;DF$3,$C195="W"),1+DF194,DF194)</f>
        <v>8</v>
      </c>
      <c r="DG195" s="198">
        <f>IF(DF195&gt;DF194,L195+DG194,DG194)</f>
        <v>10.598</v>
      </c>
      <c r="DH195" s="209">
        <f>IF(AND(L195&gt;DH$3,$C195="W"),1+DH194,0+DH194)</f>
        <v>2</v>
      </c>
      <c r="DI195" s="198">
        <f>IF(DH195&gt;DH194,L195+DI194,DI194)</f>
        <v>11.58</v>
      </c>
      <c r="DJ195" t="s" s="306">
        <f>IF($D193="","",$D193)</f>
        <v>184</v>
      </c>
      <c r="DK195" s="232"/>
    </row>
    <row r="196" ht="14.55" customHeight="1">
      <c r="A196" s="246">
        <f>$A193+1</f>
        <v>65</v>
      </c>
      <c r="B196" t="s" s="247">
        <f>IF(AND(_xlfn.XLOOKUP(H196,H$87:H100,G$87:G100,0)=G196,_xlfn.XLOOKUP("TempoBet",K196:K198,L196:L198,0)&gt;0),"X",IF(OR(C196="W",C197="W",C198="W",C196="1/2W",C197="1/2W",C198="1/2W",C196="1/2L",C197="1/2L",C198="1/2L"),"OK",IF(OR(C196="L",C197="L",C198="L"),"LOSS",IF(OR(C196="X",C197="X",C198="X"),"Anulado"," "))))</f>
        <v>50</v>
      </c>
      <c r="C196" t="s" s="248">
        <v>56</v>
      </c>
      <c r="D196" t="s" s="303">
        <f>IF(G196="","",$D193)</f>
        <v>184</v>
      </c>
      <c r="E196" t="s" s="250">
        <v>141</v>
      </c>
      <c r="F196" t="s" s="251"/>
      <c r="G196" s="252">
        <v>44945.333333333336</v>
      </c>
      <c r="H196" t="s" s="253">
        <v>209</v>
      </c>
      <c r="I196" s="292">
        <v>1</v>
      </c>
      <c r="J196" s="293"/>
      <c r="K196" t="s" s="256">
        <v>48</v>
      </c>
      <c r="L196" s="257">
        <v>4.4</v>
      </c>
      <c r="M196" s="258">
        <v>23.31</v>
      </c>
      <c r="N196" s="259">
        <v>0</v>
      </c>
      <c r="O196" s="260">
        <f>IF(OR(AE196="",AE197=""),"",ROUND(IF(L198&gt;0,IF(M196&gt;0,M196,IF(M197&gt;0,ROUND((M197*AE196)/AE197,IF(N196=0,2,IF(N196=0.1,1,0))),ROUND((M198*AE196)/AE198,IF(N196=0,2,IF(N196=0.1,1,0))))),IF(M196&gt;0,M196,ROUND((M197*AE196)/AE197,IF(N196=0,2,IF(N196=0.1,1,0))))),2))</f>
        <v>23.31</v>
      </c>
      <c r="P196" s="261">
        <f>IF(OR(L196="",O196=""),"",IF($C196="1/2W",O196/2+O196/2*L196,IF($C196="1/2L",O196/2,IF(I196="Lay",(O196*(L196/(L196-1))-O196)*(1-_xlfn.XLOOKUP(K196,'Janeiro 2023 - Valor Real'!A3:A15,'Janeiro 2023 - Valor Real'!C3:C15,0))+O196,(O196*L196-O196)*(1-_xlfn.XLOOKUP(K196,'Janeiro 2023 - Valor Real'!A3:A15,'Janeiro 2023 - Valor Real'!C3:C15,0))+O196))))</f>
        <v>102.564</v>
      </c>
      <c r="Q196" s="262">
        <f>IF(K196="","",IF(_xlfn.XLOOKUP(K196,K$87:K100,DJ$87:DJ100,0,,-1)=DJ196,_xlfn.XLOOKUP(K196,K$87:K100,Q$87:Q100,1,,-1)+1,1))</f>
        <v>1</v>
      </c>
      <c r="R196" s="263">
        <f>IF(K196="","",_xlfn.XLOOKUP(K196,K$87:K100,R$87:R100,0,,-1)+IF($C196=" ",1,0))</f>
        <v>0</v>
      </c>
      <c r="S196" s="264">
        <f>IF($B196="Anulado",0,ROUND(IF(OR($B196="LOSS",$B196="OK"),IF(OR($C196="W",$C196="1/2W",$C196="1/2L"),P196-O196,IF($C196="L",-O196,0))+IF(OR($C197="W",$C197="1/2W",$C197="1/2L"),P197-O197,IF($C197="L",-O197,0))+IF(OR($C198="W",$C198="1/2W",$C198="1/2L"),P198-O198,IF($C198="L",-O198,0)),IF(AND(OR($C196="W",$C196="1/2W",$C196="1/2L"),C197="W"),P196+P197-SUM(O196:O198)+_xlfn.XLOOKUP("X",C196:C198,O196:O198,0),IF(AND(C196=TRUE,C198="W"),P196+P198-SUM(O196:O198),IF(AND(C197="W",C198="W"),P197+P198-SUM(O196:O198)+_xlfn.XLOOKUP("X",C196:C198,O196:O198,0),IF(L198&gt;0,IF(OR($C196="W",$C196="1/2W",$C196="1/2L"),P196-SUM(O196:O198)+_xlfn.XLOOKUP("X",C196:C198,O196:O198,0),IF(OR($C196="W",$C196="1/2W",$C196="1/2L"),P197-SUM(O196:O198)+_xlfn.XLOOKUP("X",C196:C198,O196:O198,0),IF(OR($C196="W",$C196="1/2W",$C196="1/2L"),P198-SUM(O196:O198)+_xlfn.XLOOKUP("X",C196:C198,O196:O198,0),IF(SUM(P196:P198)/3-SUM(O196:O198)+_xlfn.XLOOKUP("X",C196:C198,O196:O198,0)&gt;0,SUM(P196:P198)/3-SUM(O196:O198)+_xlfn.XLOOKUP("X",C196:C198,O196:O198,0),LARGE(P196:P198,1)-SUM(O196:O198))))),IF(OR($C196="W",$C196="1/2W",$C196="1/2L"),P196-SUM(O196:O197)+_xlfn.XLOOKUP("X",C196:C198,O196:O198,0),IF(OR($C196="W",$C196="1/2W",$C196="1/2L"),P197-SUM(O196:O197)+_xlfn.XLOOKUP("X",C196:C198,O196:O198,0),SUM(P196:P197)/2-SUM(O196:O197)+_xlfn.XLOOKUP("X",C196:C198,O196:O198,0)))))))),2))</f>
        <v>4</v>
      </c>
      <c r="T196" s="265">
        <f>IF(S196=0,0,S196/SUM(O196:O198))</f>
        <v>0.0405844155844156</v>
      </c>
      <c r="U196" s="266">
        <f>IF($D196=$D193,IF(OR($B196="LOSS",$B196="OK",$B196="Anulada"),S196,0)+U193,IF(OR($B196="LOSS",$B196="OK",$B196="Anulada"),S196,0))</f>
        <v>40.47</v>
      </c>
      <c r="V196" s="266">
        <f>IF($D196="",0,IF($D196=$D193,IF($B196=" ",IF(I198="",IF(OR(AND(I196="DNB1",I197="DNB2"),AND(OR(I196="DNB1",I196="DNB2"),J197=0),AND(OR(I197="DNB1",I197="DNB2"),J196=0),AND(I196="DNB2",I197="DNB1"),AND(IF(J196=0,(J196+1)/ROUND(J196+1,0),J196/ROUND(J196,0))=1,IF(J197=0,(J197+1)/ROUND(IF(J197="",0,J197)+1,0),IF(J197="",0,J197)/ROUND(IF(J197="",1,J197),0))=1,OR(J196&lt;&gt;""),J197&lt;&gt;"")),0,IF(S196&lt;0,IF(I198="",SMALL(P196:P197,1)-SUM(O196:O197),0),SMALL(P196:P197,1)-SUM(O196:O197))),IF(S196&lt;0,IF(I198="",SMALL(P196:P198,1)-SUM(O196:O198),0),LARGE(P196:P198,1)-SUM(O196:O198))),S196)+V193,IF(I198="",IF(OR(AND(I196="DNB1",I197="DNB2"),AND(OR(I196="DNB1",I196="DNB2"),J197=0),AND(OR(I197="DNB1",I197="DNB2"),J196=0),AND(I196="DNB2",I197="DNB1"),AND(IF(J196=0,(J196+1)/ROUND(J196+1,0),J196/ROUND(J196,0))=1,IF(J197=0,(IF(J197="",0,J197)+1)/ROUND(IF(J197="",0,J197)+1,0),IF(J197="",0,J197)/ROUND(IF(J197="",0,J197)+1,0))=1,OR(J196&lt;&gt;""),J197&lt;&gt;"")),0,IF(S196&lt;0,IF(I198="",SMALL(P196:P197,1)-SUM(O196:O197),0),SMALL(P196:P198,1)-SUM(O196:O198))),IF(S196&lt;0,IF(I198="",SMALL(P196:P198,1)-SUM(O196:O198),0),LARGE(P196:P198,1)-SUM(O196:O198)))))</f>
        <v>40.4675</v>
      </c>
      <c r="W196" s="266">
        <f>IF($D196=$D193,IF(S196&lt;0,IF(I198="",S196,0),S196)+W193,S196)</f>
        <v>40.47</v>
      </c>
      <c r="X196" t="s" s="267">
        <f>IF(OR(SUM(R196:R198)=0,V196=W196),ROUND(IF(W196=0,0,W196/Y196)*100,2)&amp;"%",ROUND(IF(V196=0,0,V196/Y196)*100,2)&amp;"% a "&amp;ROUND(IF(W196=0,0,W196/Y196)*100,2)&amp;"%")</f>
        <v>210</v>
      </c>
      <c r="Y196" s="268">
        <f>IF($D196=$D193,Y193+SUM(O196:O198),SUM(O196:O198))</f>
        <v>641.35</v>
      </c>
      <c r="Z196" s="266">
        <f>IF($B196=" ",SUM(O196:O198),0)+Z193</f>
        <v>0</v>
      </c>
      <c r="AA196" s="266">
        <f>IF(G196="","",IF($B196="Anulado",LARGE(P196:P198,1)-SUM(O196:O198)+AA193,AA193))</f>
        <v>15.1024</v>
      </c>
      <c r="AB196" s="266">
        <f>IF($D196="","",AB193+S196)</f>
        <v>165.58</v>
      </c>
      <c r="AC196" s="269">
        <f>IF($D196="","",IF($B196=" ",IF(DAY(G196)=DAY(TODAY()),1+AC193,0+AC193),0+AC193))</f>
        <v>0</v>
      </c>
      <c r="AD196" s="270">
        <f>(1-_xlfn.XLOOKUP(K194,'Janeiro 2023 - Valor Real'!A3:A15,'Janeiro 2023 - Valor Real'!C3:C15,0))+1</f>
        <v>2</v>
      </c>
      <c r="AE196" s="271">
        <f>IF(L196="","",IF(L198&gt;0,(SUM(((L196-1)*(1-_xlfn.XLOOKUP(K196,'Janeiro 2023 - Valor Real'!A3:A15,'Janeiro 2023 - Valor Real'!C3:C15,0))+1),((L197-1)*(1-_xlfn.XLOOKUP(K197,'Janeiro 2023 - Valor Real'!A3:A15,'Janeiro 2023 - Valor Real'!C3:C15,0))+1),((L198-1)*(1-_xlfn.XLOOKUP(K198,'Janeiro 2023 - Valor Real'!A3:A15,'Janeiro 2023 - Valor Real'!C3:C15,0))+1))/((L196-1)*(1-_xlfn.XLOOKUP(K196,'Janeiro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Real'!C3:C15,0))+1))/((L196-1)*(1-_xlfn.XLOOKUP(K196,'Janeiro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Real'!C3:C15,0))+1))/((L197-1)*(1-_xlfn.XLOOKUP(K197,'Janeiro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Real'!C3:C15,0))+1))/((L198-1)*(1-_xlfn.XLOOKUP(K198,'Janeiro 2023 - Valor Real'!A3:A15,'Janeiro 2023 - Valor Real'!C3:C15,0))+1)),IF(I196="Lay",IF(I197="Lay",((L197/(L197-1)-1)*(1-_xlfn.XLOOKUP(K197,'Janeiro 2023 - Valor Real'!A3:A15,'Janeiro 2023 - Valor Real'!C3:C15,0))+1)/(((L197/(L197-1)-1)*(1-_xlfn.XLOOKUP(K197,'Janeiro 2023 - Valor Real'!A3:A15,'Janeiro 2023 - Valor Real'!C3:C15,0))+1)+((L196/(L196-1)-1)*(1-_xlfn.XLOOKUP(K196,'Janeiro 2023 - Valor Real'!A3:A15,'Janeiro 2023 - Valor Real'!C3:C15,0))+1)),((L197-1)*(1-_xlfn.XLOOKUP(K197,'Janeiro 2023 - Valor Real'!A3:A15,'Janeiro 2023 - Valor Real'!C3:C15,0))+1)/(((L197-1)*(1-_xlfn.XLOOKUP(K197,'Janeiro 2023 - Valor Real'!A3:A15,'Janeiro 2023 - Valor Real'!C3:C15,0))+1)+((L196/(L196-1)-1)*(1-_xlfn.XLOOKUP(K196,'Janeiro 2023 - Valor Real'!A3:A15,'Janeiro 2023 - Valor Real'!C3:C15,0))+1))),IF(I197="Lay",(((L197/(L197-1)-1)*(1-_xlfn.XLOOKUP(K197,'Janeiro 2023 - Valor Real'!A3:A15,'Janeiro 2023 - Valor Real'!C3:C15,0))+1))/(((L196-1)*(1-_xlfn.XLOOKUP(K196,'Janeiro 2023 - Valor Real'!A3:A15,'Janeiro 2023 - Valor Real'!C3:C15,0))+1)+((L197/(L197-1)-1)*(1-_xlfn.XLOOKUP(K197,'Janeiro 2023 - Valor Real'!A3:A15,'Janeiro 2023 - Valor Real'!C3:C15,0))+1)),((L197-1)*(1-_xlfn.XLOOKUP(K197,'Janeiro 2023 - Valor Real'!A3:A15,'Janeiro 2023 - Valor Real'!C3:C15,0))+1)/(((L197-1)*(1-_xlfn.XLOOKUP(K197,'Janeiro 2023 - Valor Real'!A3:A15,'Janeiro 2023 - Valor Real'!C3:C15,0))+1)+((L196-1)*(1-_xlfn.XLOOKUP(K196,'Janeiro 2023 - Valor Real'!A3:A15,'Janeiro 2023 - Valor Real'!C3:C15,0))+1))))))</f>
        <v>0.236508762797154</v>
      </c>
      <c r="AF196" s="132">
        <f>IF($K196=AF$3,ROUND(IF(OR($C196="W",$C196="1/2W",$C196="1/2L"),$P196-$O196,IF($C196="X",0,-$O196)),2),0)</f>
        <v>0</v>
      </c>
      <c r="AG196" s="133">
        <f>IF($K196=AG$3,ROUND(IF(OR($C196="W",$C196="1/2W",$C196="1/2L"),$P196-$O196,IF($C196="X",0,-$O196)),2),0)</f>
        <v>0</v>
      </c>
      <c r="AH196" s="133">
        <f>IF($K196=AH$3,ROUND(IF(OR($C196="W",$C196="1/2W",$C196="1/2L"),$P196-$O196,IF($C196="X",0,-$O196)),2),0)</f>
        <v>0</v>
      </c>
      <c r="AI196" s="133">
        <f>IF($K196=AI$3,ROUND(IF(OR($C196="W",$C196="1/2W",$C196="1/2L"),$P196-$O196,IF($C196="X",0,-$O196)),2),0)</f>
        <v>0</v>
      </c>
      <c r="AJ196" s="133">
        <f>IF($K196=AJ$3,ROUND(IF(OR($C196="W",$C196="1/2W",$C196="1/2L"),$P196-$O196,IF($C196="X",0,-$O196)),2),0)</f>
        <v>0</v>
      </c>
      <c r="AK196" s="133">
        <f>IF($K196=AK$3,ROUND(IF(OR($C196="W",$C196="1/2W",$C196="1/2L"),$P196-$O196,IF($C196="X",0,-$O196)),2),0)</f>
        <v>0</v>
      </c>
      <c r="AL196" s="133">
        <f>IF($K196=AL$3,ROUND(IF(OR($C196="W",$C196="1/2W",$C196="1/2L"),$P196-$O196,IF($C196="X",0,-$O196)),2),0)</f>
        <v>0</v>
      </c>
      <c r="AM196" s="133">
        <f>IF($K196=AM$3,ROUND(IF(OR($C196="W",$C196="1/2W",$C196="1/2L"),$P196-$O196,IF($C196="X",0,-$O196)),2),0)</f>
        <v>0</v>
      </c>
      <c r="AN196" s="133">
        <f>IF($K196=AN$3,ROUND(IF(OR($C196="W",$C196="1/2W",$C196="1/2L"),$P196-$O196,IF($C196="X",0,-$O196)),2),0)</f>
        <v>0</v>
      </c>
      <c r="AO196" s="133">
        <f>IF($K196=AO$3,ROUND(IF(OR($C196="W",$C196="1/2W",$C196="1/2L"),$P196-$O196,IF($C196="X",0,-$O196)),2),0)</f>
        <v>0</v>
      </c>
      <c r="AP196" s="133">
        <f>IF($K196=AP$3,ROUND(IF(OR($C196="W",$C196="1/2W",$C196="1/2L"),$P196-$O196,IF($C196="X",0,-$O196)),2),0)</f>
        <v>0</v>
      </c>
      <c r="AQ196" s="133">
        <f>IF($K196=AQ$3,ROUND(IF(OR($C196="W",$C196="1/2W",$C196="1/2L"),$P196-$O196,IF($C196="X",0,-$O196)),2),0)</f>
        <v>79.25</v>
      </c>
      <c r="AR196" s="134">
        <f>IF($K196=AR$3,ROUND(IF(OR($C196="W",$C196="1/2W",$C196="1/2L"),$P196-$O196,IF($C196="X",0,-$O196)),2),0)</f>
        <v>0</v>
      </c>
      <c r="AS196" s="132">
        <f>IF(AND($B196=" ",$K196=AS$3),$O196,0)</f>
        <v>0</v>
      </c>
      <c r="AT196" s="133">
        <f>IF(AND($B196=" ",$K196=AT$3),$O196,0)</f>
        <v>0</v>
      </c>
      <c r="AU196" s="133">
        <f>IF(AND($B196=" ",$K196=AU$3),$O196,0)</f>
        <v>0</v>
      </c>
      <c r="AV196" s="133">
        <f>IF(AND($B196=" ",$K196=AV$3),$O196,0)</f>
        <v>0</v>
      </c>
      <c r="AW196" s="133">
        <f>IF(AND($B196=" ",$K196=AW$3),$O196,0)</f>
        <v>0</v>
      </c>
      <c r="AX196" s="133">
        <f>IF(AND($B196=" ",$K196=AX$3),$O196,0)</f>
        <v>0</v>
      </c>
      <c r="AY196" s="135">
        <f>IF(AND($B196=" ",$K196=AY$3),$O196,0)</f>
        <v>0</v>
      </c>
      <c r="AZ196" s="136">
        <f>IF(AND($B196=" ",$K196=AZ$3),$O196,0)</f>
        <v>0</v>
      </c>
      <c r="BA196" s="136">
        <f>IF(AND($B196=" ",$K196=BA$3),$O196,0)</f>
        <v>0</v>
      </c>
      <c r="BB196" s="136">
        <f>IF(AND($B196=" ",$K196=BB$3),$O196,0)</f>
        <v>0</v>
      </c>
      <c r="BC196" s="137">
        <f>IF(AND($B196=" ",$K196=BC$3),$O196,0)</f>
        <v>0</v>
      </c>
      <c r="BD196" s="133">
        <f>IF(AND($B196=" ",$K196=BD$3),$O196,0)</f>
        <v>0</v>
      </c>
      <c r="BE196" s="134">
        <f>IF(AND($B196=" ",$K196=BE$3),$O196,0)</f>
        <v>0</v>
      </c>
      <c r="BF196" s="132">
        <f>IF($K196=BF$3,IF($C196="X",0,$O196),0)</f>
        <v>0</v>
      </c>
      <c r="BG196" s="133">
        <f>IF($K196=BG$3,IF($C196="X",0,$O196),0)</f>
        <v>0</v>
      </c>
      <c r="BH196" s="133">
        <f>IF($K196=BH$3,IF($C196="X",0,$O196),0)</f>
        <v>0</v>
      </c>
      <c r="BI196" s="133">
        <f>IF($K196=BI$3,IF($C196="X",0,$O196),0)</f>
        <v>0</v>
      </c>
      <c r="BJ196" s="133">
        <f>IF($K196=BJ$3,IF($C196="X",0,$O196),0)</f>
        <v>0</v>
      </c>
      <c r="BK196" s="133">
        <f>IF($K196=BK$3,IF($C196="X",0,$O196),0)</f>
        <v>0</v>
      </c>
      <c r="BL196" s="133">
        <f>IF($K196=BL$3,IF($C196="X",0,$O196),0)</f>
        <v>0</v>
      </c>
      <c r="BM196" s="135">
        <f>IF($K196=BM$3,IF($C196="X",0,$O196),0)</f>
        <v>0</v>
      </c>
      <c r="BN196" s="136">
        <f>IF($K196=BN$3,IF($C196="X",0,$O196),0)</f>
        <v>0</v>
      </c>
      <c r="BO196" s="136">
        <f>IF($K196=BO$3,IF($C196="X",0,$O196),0)</f>
        <v>0</v>
      </c>
      <c r="BP196" s="136">
        <f>IF($K196=BP$3,IF($C196="X",0,$O196),0)</f>
        <v>0</v>
      </c>
      <c r="BQ196" s="137">
        <f>IF($K196=BQ$3,IF($C196="X",0,$O196),0)</f>
        <v>23.31</v>
      </c>
      <c r="BR196" s="134">
        <f>IF($K196=BR$3,IF($C196="X",0,$O196),0)</f>
        <v>0</v>
      </c>
      <c r="BS196" s="170">
        <f>IF($B196="LOSS",IF(AND($K196=BS$3,$C196="L"),-$O196,0)+IF(AND($K197=BS$3,$C197="L"),-$O197,0)+IF(AND($K198=BS$3,$C198="L"),-$O198,0),IF(OR(AND($K196=BS$3,OR($C196="W",$C196="1/2W")),AND($K197=BS$3,OR($C197="W",$C197="1/2W")),AND($K198=BS$3,OR($C198="W",$C198="1/2W"))),$S196,0))</f>
        <v>0</v>
      </c>
      <c r="BT196" s="272">
        <f>IF($B196="LOSS",IF(AND($K196=BT$3,$C196="L"),-$O196,0)+IF(AND($K197=BT$3,$C197="L"),-$O197,0)+IF(AND($K197=BT$3,$C198="L"),-$O198,0),IF(OR(AND($K197=BT$3,OR($C196="W",$C196="1/2W")),AND($K197=BT$3,OR($C197="W",$C197="1/2W")),AND($K197=BT$3,OR($C198="W",$C198="1/2W"))),$S196,0))</f>
        <v>0</v>
      </c>
      <c r="BU196" s="136">
        <f>IF($B196="LOSS",IF(AND($K196=BU$3,$C196="L"),-$O196,0)+IF(AND($K197=BU$3,$C197="L"),-$O197,0)+IF(AND($K197=BU$3,$C198="L"),-$O198,0),IF(OR(AND($K197=BU$3,OR($C196="W",$C196="1/2W")),AND($K197=BU$3,OR($C197="W",$C197="1/2W")),AND($K197=BU$3,OR($C198="W",$C198="1/2W"))),$S196,0))</f>
        <v>0</v>
      </c>
      <c r="BV196" s="136">
        <f>IF($B196="LOSS",IF(AND($K196=BV$3,$C196="L"),-$O196,0)+IF(AND($K197=BV$3,$C197="L"),-$O197,0)+IF(AND($K198=BV$3,$C198="L"),-$O198,0),IF(OR(AND($K196=BV$3,OR($C196="W",$C196="1/2W")),AND($K197=BV$3,OR($C197="W",$C197="1/2W")),AND($K198=BV$3,OR($C198="W",$C198="1/2W"))),$S196,0))</f>
        <v>0</v>
      </c>
      <c r="BW196" s="136">
        <f>IF($B196="LOSS",IF(AND($K196=BW$3,$C196="L"),-$O196,0)+IF(AND($K197=BW$3,$C197="L"),-$O197,0)+IF(AND($K198=BW$3,$C198="L"),-$O198,0),IF(OR(AND($K196=BW$3,OR($C196="W",$C196="1/2W")),AND($K197=BW$3,OR($C197="W",$C197="1/2W")),AND($K198=BW$3,OR($C198="W",$C198="1/2W"))),$S196,0))</f>
        <v>0</v>
      </c>
      <c r="BX196" s="136">
        <f>IF($B196="LOSS",IF(AND($K196=BX$3,$C196="L"),-$O196,0)+IF(AND($K197=BX$3,$C197="L"),-$O197,0)+IF(AND($K198=BX$3,$C198="L"),-$O198,0),IF(OR(AND($K196=BX$3,OR($C196="W",$C196="1/2W")),AND($K197=BX$3,OR($C197="W",$C197="1/2W")),AND($K198=BX$3,OR($C198="W",$C198="1/2W"))),$S196,0))</f>
        <v>0</v>
      </c>
      <c r="BY196" s="136">
        <f>IF($B196="LOSS",IF(AND($K196=BY$3,$C196="L"),-$O196,0)+IF(AND($K197=BY$3,$C197="L"),-$O197,0)+IF(AND($K198=BY$3,$C198="L"),-$O198,0),IF(OR(AND($K196=BY$3,OR($C196="W",$C196="1/2W")),AND($K197=BY$3,OR($C197="W",$C197="1/2W")),AND($K198=BY$3,OR($C198="W",$C198="1/2W"))),$S196,0))</f>
        <v>0</v>
      </c>
      <c r="BZ196" s="136">
        <f>IF($B196="LOSS",IF(AND($K196=BZ$3,$C196="L"),-$O196,0)+IF(AND($K197=BZ$3,$C197="L"),-$O197,0)+IF(AND($K198=BZ$3,$C198="L"),-$O198,0),IF(OR(AND($K196=BZ$3,OR($C196="W",$C196="1/2W")),AND($K197=BZ$3,OR($C197="W",$C197="1/2W")),AND($K198=BZ$3,OR($C198="W",$C198="1/2W"))),$S196,0))</f>
        <v>0</v>
      </c>
      <c r="CA196" s="136">
        <f>IF($B196="LOSS",IF(AND($K196=CA$3,$C196="L"),-$O196,0)+IF(AND($K197=CA$3,$C197="L"),-$O197,0)+IF(AND($K198=CA$3,$C198="L"),-$O198,0),IF(OR(AND($K196=CA$3,OR($C196="W",$C196="1/2W")),AND($K197=CA$3,OR($C197="W",$C197="1/2W")),AND($K198=CA$3,OR($C198="W",$C198="1/2W"))),$S196,0))</f>
        <v>0</v>
      </c>
      <c r="CB196" s="136">
        <f>IF($B196="LOSS",IF(AND($K196=CB$3,$C196="L"),-$O196,0)+IF(AND($K197=CB$3,$C197="L"),-$O197,0)+IF(AND($K198=CB$3,$C198="L"),-$O198,0),IF(OR(AND($K196=CB$3,OR($C196="W",$C196="1/2W")),AND($K197=CB$3,OR($C197="W",$C197="1/2W")),AND($K198=CB$3,OR($C198="W",$C198="1/2W"))),$S196,0))</f>
        <v>0</v>
      </c>
      <c r="CC196" s="136">
        <f>IF($B196="LOSS",IF(AND($K196=CC$3,$C196="L"),-$O196,0)+IF(AND($K197=CC$3,$C197="L"),-$O197,0)+IF(AND($K198=CC$3,$C198="L"),-$O198,0),IF(OR(AND($K196=CC$3,OR($C196="W",$C196="1/2W")),AND($K197=CC$3,OR($C197="W",$C197="1/2W")),AND($K198=CC$3,OR($C198="W",$C198="1/2W"))),$S196,0))</f>
        <v>0</v>
      </c>
      <c r="CD196" s="137">
        <f>IF($B196="LOSS",IF(AND($K196=CD$3,$C196="L"),-$O196,0)+IF(AND($K197=CD$3,$C197="L"),-$O197,0)+IF(AND($K198=CD$3,$C198="L"),-$O198,0),IF(OR(AND($K196=CD$3,OR($C196="W",$C196="1/2W")),AND($K197=CD$3,OR($C197="W",$C197="1/2W")),AND($K198=CD$3,OR($C198="W",$C198="1/2W"))),$S196,0))</f>
        <v>4</v>
      </c>
      <c r="CE196" s="134">
        <f>IF($B196="LOSS",IF(AND($K196=CE$3,$C196="L"),-$O196,0)+IF(AND($K197=CE$3,$C197="L"),-$O197,0)+IF(AND($K198=CE$3,$C198="L"),-$O198,0),IF(OR(AND($K196=CE$3,OR($C196="W",$C196="1/2W")),AND($K197=CE$3,OR($C197="W",$C197="1/2W")),AND($K198=CE$3,OR($C198="W",$C198="1/2W"))),$S196,0))</f>
        <v>0</v>
      </c>
      <c r="CF196" s="273">
        <f>IF(CF$3=$K196,IF($C196="W",1,IF($C196="1/2W",0.5,0)),0)</f>
        <v>0</v>
      </c>
      <c r="CG196" s="274">
        <f>IF(CF$3=$K196,IF($C196="L",1,IF($C196="1/2L",0.5,0)),0)</f>
        <v>0</v>
      </c>
      <c r="CH196" s="274">
        <f>IF(CH$3=$K196,IF($C196="W",1,IF($C196="1/2W",0.5,0)),0)</f>
        <v>0</v>
      </c>
      <c r="CI196" s="274">
        <f>IF(CH$3=$K196,IF($C196="L",1,IF($C196="1/2L",0.5,0)),0)</f>
        <v>0</v>
      </c>
      <c r="CJ196" s="274">
        <f>IF(CJ$3=$K196,IF($C196="W",1,IF($C196="1/2W",0.5,0)),0)</f>
        <v>0</v>
      </c>
      <c r="CK196" s="274">
        <f>IF(CJ$3=$K196,IF($C196="L",1,IF($C196="1/2L",0.5,0)),0)</f>
        <v>0</v>
      </c>
      <c r="CL196" s="274">
        <f>IF(CL$3=$K196,IF($C196="W",1,IF($C196="1/2W",0.5,0)),0)</f>
        <v>0</v>
      </c>
      <c r="CM196" s="274">
        <f>IF(CL$3=$K196,IF($C196="L",1,IF($C196="1/2L",0.5,0)),0)</f>
        <v>0</v>
      </c>
      <c r="CN196" s="274">
        <f>IF(CN$3=$K196,IF($C196="W",1,IF($C196="1/2W",0.5,0)),0)</f>
        <v>0</v>
      </c>
      <c r="CO196" s="274">
        <f>IF(CN$3=$K196,IF($C196="L",1,IF($C196="1/2L",0.5,0)),0)</f>
        <v>0</v>
      </c>
      <c r="CP196" s="274">
        <f>IF(CP$3=$K196,IF($C196="W",1,IF($C196="1/2W",0.5,0)),0)</f>
        <v>0</v>
      </c>
      <c r="CQ196" s="274">
        <f>IF(CP$3=$K196,IF($C196="L",1,IF($C196="1/2L",0.5,0)),0)</f>
        <v>0</v>
      </c>
      <c r="CR196" s="274">
        <f>IF(CR$3=$K196,IF($C196="W",1,IF($C196="1/2W",0.5,0)),0)</f>
        <v>0</v>
      </c>
      <c r="CS196" s="274">
        <f>IF(CR$3=$K196,IF($C196="L",1,IF($C196="1/2L",0.5,0)),0)</f>
        <v>0</v>
      </c>
      <c r="CT196" s="145">
        <f>IF(CT$3=$K196,IF($C196="W",1,IF($C196="1/2W",0.5,0)),0)</f>
        <v>0</v>
      </c>
      <c r="CU196" s="146">
        <f>IF(CT$3=$K196,IF($C196="L",1,IF($C196="1/2L",0.5,0)),0)</f>
        <v>0</v>
      </c>
      <c r="CV196" s="146">
        <f>IF(CV$3=$K196,IF($C196="W",1,IF($C196="1/2W",0.5,0)),0)</f>
        <v>0</v>
      </c>
      <c r="CW196" s="146">
        <f>IF(CV$3=$K196,IF($C196="L",1,IF($C196="1/2L",0.5,0)),0)</f>
        <v>0</v>
      </c>
      <c r="CX196" s="146">
        <f>IF(CX$3=$K196,IF($C196="W",1,IF($C196="1/2W",0.5,0)),0)</f>
        <v>0</v>
      </c>
      <c r="CY196" s="146">
        <f>IF(CX$3=$K196,IF($C196="L",1,IF($C196="1/2L",0.5,0)),0)</f>
        <v>0</v>
      </c>
      <c r="CZ196" s="146">
        <f>IF(CZ$3=$K196,IF($C196="W",1,IF($C196="1/2W",0.5,0)),0)</f>
        <v>0</v>
      </c>
      <c r="DA196" s="146">
        <f>IF(CZ$3=$K196,IF($C196="L",1,IF($C196="1/2L",0.5,0)),0)</f>
        <v>0</v>
      </c>
      <c r="DB196" s="146">
        <f>IF(DB$3=$K196,IF($C196="W",1,IF($C196="1/2W",0.5,0)),0)</f>
        <v>1</v>
      </c>
      <c r="DC196" s="146">
        <f>IF(DB$3=$K196,IF($C196="L",1,IF($C196="1/2L",0.5,0)),0)</f>
        <v>0</v>
      </c>
      <c r="DD196" s="146">
        <f>IF(DD$3=$K196,IF($C196="W",1,IF($C196="1/2W",0.5,0)),0)</f>
        <v>0</v>
      </c>
      <c r="DE196" s="147">
        <f>IF(DD$3=$K196,IF($C196="L",1,IF($C196="1/2L",0.5,0)),0)</f>
        <v>0</v>
      </c>
      <c r="DF196" s="143">
        <f>IF(AND(L196&lt;DF$3,$C196="W"),1+DF195,DF195)</f>
        <v>8</v>
      </c>
      <c r="DG196" s="133">
        <f>IF(DF196&gt;DF195,L196+DG195,DG195)</f>
        <v>10.598</v>
      </c>
      <c r="DH196" s="146">
        <f>IF(AND(L196&gt;DH$3,$C196="W"),1+DH195,0+DH195)</f>
        <v>3</v>
      </c>
      <c r="DI196" s="133">
        <f>IF(DH196&gt;DH195,L196+DI195,DI195)</f>
        <v>15.98</v>
      </c>
      <c r="DJ196" t="s" s="304">
        <f>IF($D196="","",$D196)</f>
        <v>184</v>
      </c>
      <c r="DK196" s="146">
        <f>IF(AND($B196=" ",$D196&lt;&gt;""),1,0)</f>
        <v>0</v>
      </c>
    </row>
    <row r="197" ht="14.55" customHeight="1">
      <c r="A197" s="107"/>
      <c r="B197" s="108"/>
      <c r="C197" t="s" s="109">
        <v>51</v>
      </c>
      <c r="D197" s="110"/>
      <c r="E197" s="111"/>
      <c r="F197" s="113"/>
      <c r="G197" s="252"/>
      <c r="H197" s="114"/>
      <c r="I197" s="294">
        <v>2</v>
      </c>
      <c r="J197" t="s" s="295">
        <f>IF(OR(I196="TO",I196="TU",I196="TO1",I196="TU1",I196="TO2",I196="TU2"),J196,IF(OR(I196="AH1",I196="AH2"),IF(OR(I197="AH1",I197="AH2"),-J196,IF(OR(I197="EH1",I197="EH2"),-J196+0.5,"")),IF(OR(I196="EH1",I196="EH2"),IF(OR(I197="AH1",I197="AH2"),-J196+0.5,IF(OR(I197="EH1",I197="EH2"),-J196+1,"")),IF(AND(OR(I196="DNB1",I196="DNB2"),OR(I197="AH1",I197="AH2")),0,IF(AND(I196="Not ScoreBoth",OR(I197="TO1",I197="TO2")),0.5,"")))))</f>
      </c>
      <c r="K197" t="s" s="117">
        <v>44</v>
      </c>
      <c r="L197" s="277">
        <v>1.363</v>
      </c>
      <c r="M197" s="278"/>
      <c r="N197" s="120"/>
      <c r="O197" s="121">
        <f>IF(OR(AE196="",AE197=""),"",ROUND(IF(L198&gt;0,IF(M197&gt;0,M197,IF(M196&gt;0,IF(N196=TRUE,ROUND((M196*AE197)/AE196,0),(M196*AE197)/AE196),IF(M197&gt;0,ROUND(M197,IF(N196=0,2,IF(N196=0.1,1,0))),IF(M198&gt;0,ROUND(O198*AE197/AE198,IF(N196=0,2,IF(N196=0.1,1,0))),0)))),IF(M197&gt;0,M197,ROUND((M196*AE197)/AE196,IF(N196=0,2,IF(N196=0.1,1,0))))),2))</f>
        <v>75.25</v>
      </c>
      <c r="P197" s="122">
        <f>IF(OR(L197="",O197=""),"",IF($C197="1/2W",O197/2+O197/2*L197,IF($C197="1/2L",O197/2,IF(I197="Lay",((O197*(L197/(L197-1)))-O197)*(1-_xlfn.XLOOKUP(K197,'Janeiro 2023 - Valor Real'!A3:A15,'Janeiro 2023 - Valor Real'!C3:C15,0))+O197,(O197*L197-O197)*(1-_xlfn.XLOOKUP(K197,'Janeiro 2023 - Valor Real'!A3:A15,'Janeiro 2023 - Valor Real'!C3:C15,0))+O197))))</f>
        <v>102.56575</v>
      </c>
      <c r="Q197" s="279">
        <f>IF(K197="","",IF(_xlfn.XLOOKUP(K197,K$88:K101,DJ$88:DJ101,0,,-1)=DJ197,_xlfn.XLOOKUP(K197,K$88:K101,Q$88:Q101,1,,-1)+1,1))</f>
        <v>1</v>
      </c>
      <c r="R197" s="280">
        <f>IF(K197="","",_xlfn.XLOOKUP(K197,K$88:K101,R$88:R101,0,,-1)+IF($C197=" ",1,0))</f>
        <v>0</v>
      </c>
      <c r="S197" s="125"/>
      <c r="T197" s="126"/>
      <c r="U197" s="126"/>
      <c r="V197" s="224"/>
      <c r="W197" s="126"/>
      <c r="X197" s="127"/>
      <c r="Y197" s="128"/>
      <c r="Z197" s="129"/>
      <c r="AA197" s="129"/>
      <c r="AB197" s="129"/>
      <c r="AC197" s="129"/>
      <c r="AD197" s="130"/>
      <c r="AE197" s="131">
        <f>IF(L197="","",IF(L198&gt;0,(SUM(((L196-1)*(1-_xlfn.XLOOKUP(K196,'Janeiro 2023 - Valor Real'!A3:A15,'Janeiro 2023 - Valor Real'!C3:C15,0))+1),((L197-1)*(1-_xlfn.XLOOKUP(K197,'Janeiro 2023 - Valor Real'!A3:A15,'Janeiro 2023 - Valor Real'!C3:C15,0))+1),((L198-1)*(1-_xlfn.XLOOKUP(K198,'Janeiro 2023 - Valor Real'!A3:A15,'Janeiro 2023 - Valor Real'!C3:C15,0))+1))/((L197-1)*(1-_xlfn.XLOOKUP(K197,'Janeiro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Real'!C3:C15,0))+1))/((L196-1)*(1-_xlfn.XLOOKUP(K196,'Janeiro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Real'!C3:C15,0))+1))/((L197-1)*(1-_xlfn.XLOOKUP(K197,'Janeiro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Real'!C3:C15,0))+1))/((L198-1)*(1-_xlfn.XLOOKUP(K198,'Janeiro 2023 - Valor Real'!A3:A15,'Janeiro 2023 - Valor Real'!C3:C15,0))+1)),IF(I197="Lay",IF(I196="Lay",((L196/(L196-1)-1)*(1-_xlfn.XLOOKUP(K196,'Janeiro 2023 - Valor Real'!A3:A15,'Janeiro 2023 - Valor Real'!C3:C15,0))+1)/(((L196/(L196-1)-1)*(1-_xlfn.XLOOKUP(K196,'Janeiro 2023 - Valor Real'!A3:A15,'Janeiro 2023 - Valor Real'!C3:C15,0))+1)+((L197/(L197-1)-1)*(1-_xlfn.XLOOKUP(K197,'Janeiro 2023 - Valor Real'!A3:A15,'Janeiro 2023 - Valor Real'!C3:C15,0))+1)),((L196-1)*(1-_xlfn.XLOOKUP(K196,'Janeiro 2023 - Valor Real'!A3:A15,'Janeiro 2023 - Valor Real'!C3:C15,0))+1)/(((L196-1)*(1-_xlfn.XLOOKUP(K196,'Janeiro 2023 - Valor Real'!A3:A15,'Janeiro 2023 - Valor Real'!C3:C15,0))+1)+((L197/(L197-1)-1)*(1-_xlfn.XLOOKUP(K197,'Janeiro 2023 - Valor Real'!A3:A15,'Janeiro 2023 - Valor Real'!C3:C15,0))+1))),IF(I196="Lay",((L196/(L196-1)-1)*(1-_xlfn.XLOOKUP(K196,'Janeiro 2023 - Valor Real'!A3:A15,'Janeiro 2023 - Valor Real'!C3:C15,0))+1)/((((L196/(L196-1)-1)*(1-_xlfn.XLOOKUP(K196,'Janeiro 2023 - Valor Real'!A3:A15,'Janeiro 2023 - Valor Real'!C3:C15,0))+1))+((L197-1)*(1-_xlfn.XLOOKUP(K197,'Janeiro 2023 - Valor Real'!A3:A15,'Janeiro 2023 - Valor Real'!C3:C15,0))+1)),((L196-1)*(1-_xlfn.XLOOKUP(K196,'Janeiro 2023 - Valor Real'!A3:A15,'Janeiro 2023 - Valor Real'!C3:C15,0))+1)/(((L196-1)*(1-_xlfn.XLOOKUP(K196,'Janeiro 2023 - Valor Real'!A3:A15,'Janeiro 2023 - Valor Real'!C3:C15,0))+1)+((L197-1)*(1-_xlfn.XLOOKUP(K197,'Janeiro 2023 - Valor Real'!A3:A15,'Janeiro 2023 - Valor Real'!C3:C15,0))+1))))))</f>
        <v>0.763491237202846</v>
      </c>
      <c r="AF197" s="132">
        <f>IF($K197=AF$3,ROUND(IF(OR($C197="W",$C197="1/2W",$C197="1/2L"),$P197-$O197,IF($C197="X",0,-$O197)),2),0)</f>
        <v>0</v>
      </c>
      <c r="AG197" s="133">
        <f>IF($K197=AG$3,ROUND(IF(OR($C197="W",$C197="1/2W",$C197="1/2L"),$P197-$O197,IF($C197="X",0,-$O197)),2),0)</f>
        <v>0</v>
      </c>
      <c r="AH197" s="133">
        <f>IF($K197=AH$3,ROUND(IF(OR($C197="W",$C197="1/2W",$C197="1/2L"),$P197-$O197,IF($C197="X",0,-$O197)),2),0)</f>
        <v>0</v>
      </c>
      <c r="AI197" s="133">
        <f>IF($K197=AI$3,ROUND(IF(OR($C197="W",$C197="1/2W",$C197="1/2L"),$P197-$O197,IF($C197="X",0,-$O197)),2),0)</f>
        <v>0</v>
      </c>
      <c r="AJ197" s="133">
        <f>IF($K197=AJ$3,ROUND(IF(OR($C197="W",$C197="1/2W",$C197="1/2L"),$P197-$O197,IF($C197="X",0,-$O197)),2),0)</f>
        <v>0</v>
      </c>
      <c r="AK197" s="133">
        <f>IF($K197=AK$3,ROUND(IF(OR($C197="W",$C197="1/2W",$C197="1/2L"),$P197-$O197,IF($C197="X",0,-$O197)),2),0)</f>
        <v>0</v>
      </c>
      <c r="AL197" s="133">
        <f>IF($K197=AL$3,ROUND(IF(OR($C197="W",$C197="1/2W",$C197="1/2L"),$P197-$O197,IF($C197="X",0,-$O197)),2),0)</f>
        <v>0</v>
      </c>
      <c r="AM197" s="133">
        <f>IF($K197=AM$3,ROUND(IF(OR($C197="W",$C197="1/2W",$C197="1/2L"),$P197-$O197,IF($C197="X",0,-$O197)),2),0)</f>
        <v>-75.25</v>
      </c>
      <c r="AN197" s="133">
        <f>IF($K197=AN$3,ROUND(IF(OR($C197="W",$C197="1/2W",$C197="1/2L"),$P197-$O197,IF($C197="X",0,-$O197)),2),0)</f>
        <v>0</v>
      </c>
      <c r="AO197" s="133">
        <f>IF($K197=AO$3,ROUND(IF(OR($C197="W",$C197="1/2W",$C197="1/2L"),$P197-$O197,IF($C197="X",0,-$O197)),2),0)</f>
        <v>0</v>
      </c>
      <c r="AP197" s="133">
        <f>IF($K197=AP$3,ROUND(IF(OR($C197="W",$C197="1/2W",$C197="1/2L"),$P197-$O197,IF($C197="X",0,-$O197)),2),0)</f>
        <v>0</v>
      </c>
      <c r="AQ197" s="133">
        <f>IF($K197=AQ$3,ROUND(IF(OR($C197="W",$C197="1/2W",$C197="1/2L"),$P197-$O197,IF($C197="X",0,-$O197)),2),0)</f>
        <v>0</v>
      </c>
      <c r="AR197" s="134">
        <f>IF($K197=AR$3,ROUND(IF(OR($C197="W",$C197="1/2W",$C197="1/2L"),$P197-$O197,IF($C197="X",0,-$O197)),2),0)</f>
        <v>0</v>
      </c>
      <c r="AS197" s="132">
        <f>IF(AND($B196=" ",$K197=AS$3),$O197,0)</f>
        <v>0</v>
      </c>
      <c r="AT197" s="133">
        <f>IF(AND($B196=" ",K197=AT$3),$O197,0)</f>
        <v>0</v>
      </c>
      <c r="AU197" s="133">
        <f>IF(AND($B196=" ",$K197=AU$3),$O197,0)</f>
        <v>0</v>
      </c>
      <c r="AV197" s="133">
        <f>IF(AND($B196=" ",$K197=AV$3),$O197,0)</f>
        <v>0</v>
      </c>
      <c r="AW197" s="133">
        <f>IF(AND($B196=" ",$K197=AW$3),$O197,0)</f>
        <v>0</v>
      </c>
      <c r="AX197" s="133">
        <f>IF(AND($B196=" ",$K197=AX$3),$O197,0)</f>
        <v>0</v>
      </c>
      <c r="AY197" s="135">
        <f>IF(AND($B196=" ",$K197=AY$3),$O197,0)</f>
        <v>0</v>
      </c>
      <c r="AZ197" s="136">
        <f>IF(AND($B196=" ",$K197=AZ$3),$O197,0)</f>
        <v>0</v>
      </c>
      <c r="BA197" s="136">
        <f>IF(AND($B196=" ",$K197=BA$3),$O197,0)</f>
        <v>0</v>
      </c>
      <c r="BB197" s="136">
        <f>IF(AND($B196=" ",$K197=BB$3),$O197,0)</f>
        <v>0</v>
      </c>
      <c r="BC197" s="137">
        <f>IF(AND($B196=" ",$K197=BC$3),$O197,0)</f>
        <v>0</v>
      </c>
      <c r="BD197" s="133">
        <f>IF(AND($B196=" ",$K197=BD$3),$O197,0)</f>
        <v>0</v>
      </c>
      <c r="BE197" s="134">
        <f>IF(AND($B196=" ",$K197=BE$3),$O197,0)</f>
        <v>0</v>
      </c>
      <c r="BF197" s="132">
        <f>IF($K197=BF$3,IF($C197="X",0,$O197),0)</f>
        <v>0</v>
      </c>
      <c r="BG197" s="281">
        <f>IF($K197=BG$3,IF($C197="X",0,$O197),0)</f>
        <v>0</v>
      </c>
      <c r="BH197" s="133">
        <f>IF($K197=BH$3,IF($C197="X",0,$O197),0)</f>
        <v>0</v>
      </c>
      <c r="BI197" s="133">
        <f>IF($K197=BI$3,IF($C197="X",0,$O197),0)</f>
        <v>0</v>
      </c>
      <c r="BJ197" s="133">
        <f>IF($K197=BJ$3,IF($C197="X",0,$O197),0)</f>
        <v>0</v>
      </c>
      <c r="BK197" s="133">
        <f>IF($K197=BK$3,IF($C197="X",0,$O197),0)</f>
        <v>0</v>
      </c>
      <c r="BL197" s="133">
        <f>IF($K197=BL$3,IF($C197="X",0,$O197),0)</f>
        <v>0</v>
      </c>
      <c r="BM197" s="135">
        <f>IF($K197=BM$3,IF($C197="X",0,$O197),0)</f>
        <v>75.25</v>
      </c>
      <c r="BN197" s="136">
        <f>IF($K197=BN$3,IF($C197="X",0,$O197),0)</f>
        <v>0</v>
      </c>
      <c r="BO197" s="136">
        <f>IF($K197=BO$3,IF($C197="X",0,$O197),0)</f>
        <v>0</v>
      </c>
      <c r="BP197" s="136">
        <f>IF($K197=BP$3,IF($C197="X",0,$O197),0)</f>
        <v>0</v>
      </c>
      <c r="BQ197" s="137">
        <f>IF($K197=BQ$3,IF($C197="X",0,$O197),0)</f>
        <v>0</v>
      </c>
      <c r="BR197" s="134">
        <f>IF($K197=BR$3,IF($C197="X",0,$O197),0)</f>
        <v>0</v>
      </c>
      <c r="BS197" s="282"/>
      <c r="BT197" s="283"/>
      <c r="BU197" s="140"/>
      <c r="BV197" s="283"/>
      <c r="BW197" s="140"/>
      <c r="BX197" s="140"/>
      <c r="BY197" s="140"/>
      <c r="BZ197" s="283"/>
      <c r="CA197" s="140"/>
      <c r="CB197" s="140"/>
      <c r="CC197" s="140"/>
      <c r="CD197" s="141"/>
      <c r="CE197" s="142"/>
      <c r="CF197" s="284">
        <f>IF(CF$3=$K197,IF($C197="W",1,IF($C197="1/2W",0.5,0)),0)</f>
        <v>0</v>
      </c>
      <c r="CG197" s="285">
        <f>IF(CF$3=$K197,IF($C197="L",1,IF($C197="1/2L",0.5,0)),0)</f>
        <v>0</v>
      </c>
      <c r="CH197" s="285">
        <f>IF(CH$3=$K197,IF($C197="W",1,IF($C197="1/2W",0.5,0)),0)</f>
        <v>0</v>
      </c>
      <c r="CI197" s="285">
        <f>IF(CH$3=$K197,IF($C197="L",1,IF($C197="1/2L",0.5,0)),0)</f>
        <v>0</v>
      </c>
      <c r="CJ197" s="285">
        <f>IF(CJ$3=$K197,IF($C197="W",1,IF($C197="1/2W",0.5,0)),0)</f>
        <v>0</v>
      </c>
      <c r="CK197" s="285">
        <f>IF(CJ$3=$K197,IF($C197="L",1,IF($C197="1/2L",0.5,0)),0)</f>
        <v>0</v>
      </c>
      <c r="CL197" s="285">
        <f>IF(CL$3=$K197,IF($C197="W",1,IF($C197="1/2W",0.5,0)),0)</f>
        <v>0</v>
      </c>
      <c r="CM197" s="285">
        <f>IF(CL$3=$K197,IF($C197="L",1,IF($C197="1/2L",0.5,0)),0)</f>
        <v>0</v>
      </c>
      <c r="CN197" s="285">
        <f>IF(CN$3=$K197,IF($C197="W",1,IF($C197="1/2W",0.5,0)),0)</f>
        <v>0</v>
      </c>
      <c r="CO197" s="285">
        <f>IF(CN$3=$K197,IF($C197="L",1,IF($C197="1/2L",0.5,0)),0)</f>
        <v>0</v>
      </c>
      <c r="CP197" s="285">
        <f>IF(CP$3=$K197,IF($C197="W",1,IF($C197="1/2W",0.5,0)),0)</f>
        <v>0</v>
      </c>
      <c r="CQ197" s="285">
        <f>IF(CP$3=$K197,IF($C197="L",1,IF($C197="1/2L",0.5,0)),0)</f>
        <v>0</v>
      </c>
      <c r="CR197" s="285">
        <f>IF(CR$3=$K197,IF($C197="W",1,IF($C197="1/2W",0.5,0)),0)</f>
        <v>0</v>
      </c>
      <c r="CS197" s="285">
        <f>IF(CR$3=$K197,IF($C197="L",1,IF($C197="1/2L",0.5,0)),0)</f>
        <v>0</v>
      </c>
      <c r="CT197" s="145">
        <f>IF(CT$3=$K197,IF($C197="W",1,IF($C197="1/2W",0.5,0)),0)</f>
        <v>0</v>
      </c>
      <c r="CU197" s="146">
        <f>IF(CT$3=$K197,IF($C197="L",1,IF($C197="1/2L",0.5,0)),0)</f>
        <v>1</v>
      </c>
      <c r="CV197" s="146">
        <f>IF(CV$3=$K197,IF($C197="W",1,IF($C197="1/2W",0.5,0)),0)</f>
        <v>0</v>
      </c>
      <c r="CW197" s="146">
        <f>IF(CV$3=$K197,IF($C197="L",1,IF($C197="1/2L",0.5,0)),0)</f>
        <v>0</v>
      </c>
      <c r="CX197" s="146">
        <f>IF(CX$3=$K197,IF($C197="W",1,IF($C197="1/2W",0.5,0)),0)</f>
        <v>0</v>
      </c>
      <c r="CY197" s="146">
        <f>IF(CX$3=$K197,IF($C197="L",1,IF($C197="1/2L",0.5,0)),0)</f>
        <v>0</v>
      </c>
      <c r="CZ197" s="146">
        <f>IF(CZ$3=$K197,IF($C197="W",1,IF($C197="1/2W",0.5,0)),0)</f>
        <v>0</v>
      </c>
      <c r="DA197" s="146">
        <f>IF(CZ$3=$K197,IF($C197="L",1,IF($C197="1/2L",0.5,0)),0)</f>
        <v>0</v>
      </c>
      <c r="DB197" s="146">
        <f>IF(DB$3=$K197,IF($C197="W",1,IF($C197="1/2W",0.5,0)),0)</f>
        <v>0</v>
      </c>
      <c r="DC197" s="146">
        <f>IF(DB$3=$K197,IF($C197="L",1,IF($C197="1/2L",0.5,0)),0)</f>
        <v>0</v>
      </c>
      <c r="DD197" s="146">
        <f>IF(DD$3=$K197,IF($C197="W",1,IF($C197="1/2W",0.5,0)),0)</f>
        <v>0</v>
      </c>
      <c r="DE197" s="147">
        <f>IF(DD$3=$K197,IF($C197="L",1,IF($C197="1/2L",0.5,0)),0)</f>
        <v>0</v>
      </c>
      <c r="DF197" s="143">
        <f>IF(AND(L197&lt;DF$3,$C197="W"),1+DF196,DF196)</f>
        <v>8</v>
      </c>
      <c r="DG197" s="133">
        <f>IF(DF197&gt;DF196,L197+DG196,DG196)</f>
        <v>10.598</v>
      </c>
      <c r="DH197" s="146">
        <f>IF(AND(L197&gt;DH$3,$C197="W"),1+DH196,0+DH196)</f>
        <v>3</v>
      </c>
      <c r="DI197" s="133">
        <f>IF(DH197&gt;DH196,L197+DI196,DI196)</f>
        <v>15.98</v>
      </c>
      <c r="DJ197" t="s" s="304">
        <f>IF($D196="","",$D196)</f>
        <v>184</v>
      </c>
      <c r="DK197" s="286"/>
    </row>
    <row r="198" ht="14.55" customHeight="1">
      <c r="A198" s="149"/>
      <c r="B198" s="150"/>
      <c r="C198" t="s" s="151">
        <v>58</v>
      </c>
      <c r="D198" s="152"/>
      <c r="E198" s="153"/>
      <c r="F198" s="155"/>
      <c r="G198" s="252"/>
      <c r="H198" s="156"/>
      <c r="I198" s="287"/>
      <c r="J198" s="288"/>
      <c r="K198" s="156"/>
      <c r="L198" s="289"/>
      <c r="M198" s="290"/>
      <c r="N198" s="161"/>
      <c r="O198" t="s" s="162">
        <f>IF(OR(AE196="",AE197=""),"",IF(L198&gt;0,ROUND(IF(M198&gt;0,M198,IF(M196&gt;0,ROUND((M196*AE198)/AE196,IF(N196=0,2,IF(N196=0.1,1,0))),IF(M197&gt;0,ROUND((M197*AE198)/AE197,IF(N196=0,2,IF(N196=0.1,1,0))),IF(M198&gt;0,M198,0)))),2),""))</f>
      </c>
      <c r="P198" t="s" s="163">
        <f>IF(I197="Lay",O197*(L197/(L197-1))-O197,IF(I196="Lay",O196*(L196/(L196-1))-O196,IF(OR(L198="",O198=""),"",IF($C198="1/2W",O198/2+O198/2*L198,IF($C198="1/2L",O198/2,(O198*L198-O198)*(1-_xlfn.XLOOKUP(K198,'Janeiro 2023 - Valor Real'!A3:A15,'Janeiro 2023 - Valor Real'!C3:C15,0))+O198)))))</f>
      </c>
      <c r="Q198" t="s" s="154">
        <f>IF(K198="","",IF(_xlfn.XLOOKUP(K198,K$89:K102,DJ$89:DJ102,0,,-1)=DJ198,_xlfn.XLOOKUP(K198,K$89:K102,Q$89:Q102,1,,-1)+1,1))</f>
      </c>
      <c r="R198" t="s" s="163">
        <f>IF(K198="","",_xlfn.XLOOKUP(K198,K$89:K102,R$89:R102,0,,-1)+IF($C198=" ",1,0))</f>
      </c>
      <c r="S198" s="166"/>
      <c r="T198" s="155"/>
      <c r="U198" s="155"/>
      <c r="V198" s="166"/>
      <c r="W198" s="155"/>
      <c r="X198" s="167"/>
      <c r="Y198" s="128"/>
      <c r="Z198" s="129"/>
      <c r="AA198" s="129"/>
      <c r="AB198" s="129"/>
      <c r="AC198" s="129"/>
      <c r="AD198" s="168"/>
      <c r="AE198" t="s" s="169">
        <f>IF(L198="","",(SUM(((L196-1)*(1-_xlfn.XLOOKUP(K196,'Janeiro 2023 - Valor Real'!A3:A15,'Janeiro 2023 - Valor Real'!C3:C15,0))+1),((L197-1)*(1-_xlfn.XLOOKUP(K197,'Janeiro 2023 - Valor Real'!A3:A15,'Janeiro 2023 - Valor Real'!C3:C15,0))+1),((L198-1)*(1-_xlfn.XLOOKUP(K198,'Janeiro 2023 - Valor Real'!A3:A15,'Janeiro 2023 - Valor Real'!C3:C15,0))+1))/((L198-1)*(1-_xlfn.XLOOKUP(K198,'Janeiro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Real'!C3:C15,0))+1))/((L196-1)*(1-_xlfn.XLOOKUP(K196,'Janeiro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Real'!C3:C15,0))+1))/((L197-1)*(1-_xlfn.XLOOKUP(K197,'Janeiro 2023 - Valor Real'!A3:A15,'Janeiro 2023 - Valor Real'!C3:C15,0))+1)+SUM(((L196-1)*(1-_xlfn.XLOOKUP(K196,'Janeiro 2023 - Valor Real'!A3:A15,'Janeiro 2023 - Valor Real'!C3:C15,0))+1),((L197-1)*(1-_xlfn.XLOOKUP(K197,'Janeiro 2023 - Valor Real'!A3:A15,'Janeiro 2023 - Valor Real'!C3:C15,0))+1),((L198-1)*(1-_xlfn.XLOOKUP(K198,'Janeiro 2023 - Valor Real'!A3:A15,'Janeiro 2023 - Valor Real'!C3:C15,0))+1))/((L198-1)*(1-_xlfn.XLOOKUP(K198,'Janeiro 2023 - Valor Real'!A3:A15,'Janeiro 2023 - Valor Real'!C3:C15,0))+1)))</f>
      </c>
      <c r="AF198" s="132">
        <f>IF($K198=AF$3,ROUND(IF(OR($C198="W",$C198="1/2W",$C198="1/2L"),$P198-$O198,IF($C198="X",0,-$O198)),2),0)</f>
        <v>0</v>
      </c>
      <c r="AG198" s="133">
        <f>IF($K198=AG$3,ROUND(IF(OR($C198="W",$C198="1/2W",$C198="1/2L"),$P198-$O198,IF($C198="X",0,-$O198)),2),0)</f>
        <v>0</v>
      </c>
      <c r="AH198" s="133">
        <f>IF($K198=AH$3,ROUND(IF(OR($C198="W",$C198="1/2W",$C198="1/2L"),$P198-$O198,IF($C198="X",0,-$O198)),2),0)</f>
        <v>0</v>
      </c>
      <c r="AI198" s="133">
        <f>IF($K198=AI$3,ROUND(IF(OR($C198="W",$C198="1/2W",$C198="1/2L"),$P198-$O198,IF($C198="X",0,-$O198)),2),0)</f>
        <v>0</v>
      </c>
      <c r="AJ198" s="133">
        <f>IF($K198=AJ$3,ROUND(IF(OR($C198="W",$C198="1/2W",$C198="1/2L"),$P198-$O198,IF($C198="X",0,-$O198)),2),0)</f>
        <v>0</v>
      </c>
      <c r="AK198" s="133">
        <f>IF($K198=AK$3,ROUND(IF(OR($C198="W",$C198="1/2W",$C198="1/2L"),$P198-$O198,IF($C198="X",0,-$O198)),2),0)</f>
        <v>0</v>
      </c>
      <c r="AL198" s="133">
        <f>IF($K198=AL$3,ROUND(IF(OR($C198="W",$C198="1/2W",$C198="1/2L"),$P198-$O198,IF($C198="X",0,-$O198)),2),0)</f>
        <v>0</v>
      </c>
      <c r="AM198" s="133">
        <f>IF($K198=AM$3,ROUND(IF(OR($C198="W",$C198="1/2W",$C198="1/2L"),$P198-$O198,IF($C198="X",0,-$O198)),2),0)</f>
        <v>0</v>
      </c>
      <c r="AN198" s="133">
        <f>IF($K198=AN$3,ROUND(IF(OR($C198="W",$C198="1/2W",$C198="1/2L"),$P198-$O198,IF($C198="X",0,-$O198)),2),0)</f>
        <v>0</v>
      </c>
      <c r="AO198" s="133">
        <f>IF($K198=AO$3,ROUND(IF(OR($C198="W",$C198="1/2W",$C198="1/2L"),$P198-$O198,IF($C198="X",0,-$O198)),2),0)</f>
        <v>0</v>
      </c>
      <c r="AP198" s="133">
        <f>IF($K198=AP$3,ROUND(IF(OR($C198="W",$C198="1/2W",$C198="1/2L"),$P198-$O198,IF($C198="X",0,-$O198)),2),0)</f>
        <v>0</v>
      </c>
      <c r="AQ198" s="133">
        <f>IF($K198=AQ$3,ROUND(IF(OR($C198="W",$C198="1/2W",$C198="1/2L"),$P198-$O198,IF($C198="X",0,-$O198)),2),0)</f>
        <v>0</v>
      </c>
      <c r="AR198" s="134">
        <f>IF($K198=AR$3,ROUND(IF(OR($C198="W",$C198="1/2W",$C198="1/2L"),$P198-$O198,IF($C198="X",0,-$O198)),2),0)</f>
        <v>0</v>
      </c>
      <c r="AS198" s="132">
        <f>IF(AND($B196=" ",$K198=AS$3),$O198,0)</f>
        <v>0</v>
      </c>
      <c r="AT198" s="133">
        <f>IF(AND($B196=" ",K198=AT$3),$O198,0)</f>
        <v>0</v>
      </c>
      <c r="AU198" s="133">
        <f>IF(AND($B196=" ",$K198=AU$3),$O198,0)</f>
        <v>0</v>
      </c>
      <c r="AV198" s="133">
        <f>IF(AND($B196=" ",$K198=AV$3),$O198,0)</f>
        <v>0</v>
      </c>
      <c r="AW198" s="133">
        <f>IF(AND($B196=" ",$K198=AW$3),$O198,0)</f>
        <v>0</v>
      </c>
      <c r="AX198" s="133">
        <f>IF(AND($B196=" ",$K198=AX$3),$O198,0)</f>
        <v>0</v>
      </c>
      <c r="AY198" s="135">
        <f>IF(AND($B196=" ",$K198=AY$3),$O198,0)</f>
        <v>0</v>
      </c>
      <c r="AZ198" s="136">
        <f>IF(AND($B196=" ",$K198=AZ$3),$O198,0)</f>
        <v>0</v>
      </c>
      <c r="BA198" s="136">
        <f>IF(AND($B196=" ",$K198=BA$3),$O198,0)</f>
        <v>0</v>
      </c>
      <c r="BB198" s="136">
        <f>IF(AND($B196=" ",$K198=BB$3),$O198,0)</f>
        <v>0</v>
      </c>
      <c r="BC198" s="137">
        <f>IF(AND($B196=" ",$K198=BC$3),$O198,0)</f>
        <v>0</v>
      </c>
      <c r="BD198" s="133">
        <f>IF(AND($B196=" ",$K198=BD$3),$O198,0)</f>
        <v>0</v>
      </c>
      <c r="BE198" s="134">
        <f>IF(AND($B196=" ",$K198=BE$3),$O198,0)</f>
        <v>0</v>
      </c>
      <c r="BF198" s="132">
        <f>IF($K198=BF$3,IF($C198="X",0,$O198),0)</f>
        <v>0</v>
      </c>
      <c r="BG198" s="281">
        <f>IF($K198=BG$3,IF($C198="X",0,$O198),0)</f>
        <v>0</v>
      </c>
      <c r="BH198" s="133">
        <f>IF($K198=BH$3,IF($C198="X",0,$O198),0)</f>
        <v>0</v>
      </c>
      <c r="BI198" s="133">
        <f>IF($K198=BI$3,IF($C198="X",0,$O198),0)</f>
        <v>0</v>
      </c>
      <c r="BJ198" s="133">
        <f>IF($K198=BJ$3,IF($C198="X",0,$O198),0)</f>
        <v>0</v>
      </c>
      <c r="BK198" s="133">
        <f>IF($K198=BK$3,IF($C198="X",0,$O198),0)</f>
        <v>0</v>
      </c>
      <c r="BL198" s="133">
        <f>IF($K198=BL$3,IF($C198="X",0,$O198),0)</f>
        <v>0</v>
      </c>
      <c r="BM198" s="135">
        <f>IF($K198=BM$3,IF($C198="X",0,$O198),0)</f>
        <v>0</v>
      </c>
      <c r="BN198" s="136">
        <f>IF($K198=BN$3,IF($C198="X",0,$O198),0)</f>
        <v>0</v>
      </c>
      <c r="BO198" s="136">
        <f>IF($K198=BO$3,IF($C198="X",0,$O198),0)</f>
        <v>0</v>
      </c>
      <c r="BP198" s="136">
        <f>IF($K198=BP$3,IF($C198="X",0,$O198),0)</f>
        <v>0</v>
      </c>
      <c r="BQ198" s="137">
        <f>IF($K198=BQ$3,IF($C198="X",0,$O198),0)</f>
        <v>0</v>
      </c>
      <c r="BR198" s="134">
        <f>IF($K198=BR$3,IF($C198="X",0,$O198),0)</f>
        <v>0</v>
      </c>
      <c r="BS198" s="282"/>
      <c r="BT198" s="283"/>
      <c r="BU198" s="140"/>
      <c r="BV198" s="283"/>
      <c r="BW198" s="140"/>
      <c r="BX198" s="140"/>
      <c r="BY198" s="140"/>
      <c r="BZ198" s="283"/>
      <c r="CA198" s="140"/>
      <c r="CB198" s="140"/>
      <c r="CC198" s="140"/>
      <c r="CD198" s="141"/>
      <c r="CE198" s="142"/>
      <c r="CF198" s="284">
        <f>IF(CF$3=$K198,IF($C198="W",1,IF($C198="1/2W",0.5,0)),0)</f>
        <v>0</v>
      </c>
      <c r="CG198" s="285">
        <f>IF(CF$3=$K198,IF($C198="L",1,IF($C198="1/2L",0.5,0)),0)</f>
        <v>0</v>
      </c>
      <c r="CH198" s="285">
        <f>IF(CH$3=$K198,IF($C198="W",1,IF($C198="1/2W",0.5,0)),0)</f>
        <v>0</v>
      </c>
      <c r="CI198" s="285">
        <f>IF(CH$3=$K198,IF($C198="L",1,IF($C198="1/2L",0.5,0)),0)</f>
        <v>0</v>
      </c>
      <c r="CJ198" s="285">
        <f>IF(CJ$3=$K198,IF($C198="W",1,IF($C198="1/2W",0.5,0)),0)</f>
        <v>0</v>
      </c>
      <c r="CK198" s="285">
        <f>IF(CJ$3=$K198,IF($C198="L",1,IF($C198="1/2L",0.5,0)),0)</f>
        <v>0</v>
      </c>
      <c r="CL198" s="285">
        <f>IF(CL$3=$K198,IF($C198="W",1,IF($C198="1/2W",0.5,0)),0)</f>
        <v>0</v>
      </c>
      <c r="CM198" s="285">
        <f>IF(CL$3=$K198,IF($C198="L",1,IF($C198="1/2L",0.5,0)),0)</f>
        <v>0</v>
      </c>
      <c r="CN198" s="285">
        <f>IF(CN$3=$K198,IF($C198="W",1,IF($C198="1/2W",0.5,0)),0)</f>
        <v>0</v>
      </c>
      <c r="CO198" s="285">
        <f>IF(CN$3=$K198,IF($C198="L",1,IF($C198="1/2L",0.5,0)),0)</f>
        <v>0</v>
      </c>
      <c r="CP198" s="285">
        <f>IF(CP$3=$K198,IF($C198="W",1,IF($C198="1/2W",0.5,0)),0)</f>
        <v>0</v>
      </c>
      <c r="CQ198" s="285">
        <f>IF(CP$3=$K198,IF($C198="L",1,IF($C198="1/2L",0.5,0)),0)</f>
        <v>0</v>
      </c>
      <c r="CR198" s="285">
        <f>IF(CR$3=$K198,IF($C198="W",1,IF($C198="1/2W",0.5,0)),0)</f>
        <v>0</v>
      </c>
      <c r="CS198" s="285">
        <f>IF(CR$3=$K198,IF($C198="L",1,IF($C198="1/2L",0.5,0)),0)</f>
        <v>0</v>
      </c>
      <c r="CT198" s="145">
        <f>IF(CT$3=$K198,IF($C198="W",1,IF($C198="1/2W",0.5,0)),0)</f>
        <v>0</v>
      </c>
      <c r="CU198" s="146">
        <f>IF(CT$3=$K198,IF($C198="L",1,IF($C198="1/2L",0.5,0)),0)</f>
        <v>0</v>
      </c>
      <c r="CV198" s="146">
        <f>IF(CV$3=$K198,IF($C198="W",1,IF($C198="1/2W",0.5,0)),0)</f>
        <v>0</v>
      </c>
      <c r="CW198" s="146">
        <f>IF(CV$3=$K198,IF($C198="L",1,IF($C198="1/2L",0.5,0)),0)</f>
        <v>0</v>
      </c>
      <c r="CX198" s="146">
        <f>IF(CX$3=$K198,IF($C198="W",1,IF($C198="1/2W",0.5,0)),0)</f>
        <v>0</v>
      </c>
      <c r="CY198" s="146">
        <f>IF(CX$3=$K198,IF($C198="L",1,IF($C198="1/2L",0.5,0)),0)</f>
        <v>0</v>
      </c>
      <c r="CZ198" s="146">
        <f>IF(CZ$3=$K198,IF($C198="W",1,IF($C198="1/2W",0.5,0)),0)</f>
        <v>0</v>
      </c>
      <c r="DA198" s="146">
        <f>IF(CZ$3=$K198,IF($C198="L",1,IF($C198="1/2L",0.5,0)),0)</f>
        <v>0</v>
      </c>
      <c r="DB198" s="146">
        <f>IF(DB$3=$K198,IF($C198="W",1,IF($C198="1/2W",0.5,0)),0)</f>
        <v>0</v>
      </c>
      <c r="DC198" s="146">
        <f>IF(DB$3=$K198,IF($C198="L",1,IF($C198="1/2L",0.5,0)),0)</f>
        <v>0</v>
      </c>
      <c r="DD198" s="146">
        <f>IF(DD$3=$K198,IF($C198="W",1,IF($C198="1/2W",0.5,0)),0)</f>
        <v>0</v>
      </c>
      <c r="DE198" s="147">
        <f>IF(DD$3=$K198,IF($C198="L",1,IF($C198="1/2L",0.5,0)),0)</f>
        <v>0</v>
      </c>
      <c r="DF198" s="143">
        <f>IF(AND(L198&lt;DF$3,$C198="W"),1+DF197,DF197)</f>
        <v>8</v>
      </c>
      <c r="DG198" s="133">
        <f>IF(DF198&gt;DF197,L198+DG197,DG197)</f>
        <v>10.598</v>
      </c>
      <c r="DH198" s="146">
        <f>IF(AND(L198&gt;DH$3,$C198="W"),1+DH197,0+DH197)</f>
        <v>3</v>
      </c>
      <c r="DI198" s="133">
        <f>IF(DH198&gt;DH197,L198+DI197,DI197)</f>
        <v>15.98</v>
      </c>
      <c r="DJ198" t="s" s="304">
        <f>IF($D196="","",$D196)</f>
        <v>184</v>
      </c>
      <c r="DK198" s="286"/>
    </row>
    <row r="199" ht="14.55" customHeight="1">
      <c r="A199" s="171">
        <f>$A196+1</f>
        <v>66</v>
      </c>
      <c r="B199" t="s" s="172">
        <f>IF(AND(_xlfn.XLOOKUP(H199,H$84:H103,G$84:G103,0)=G199,_xlfn.XLOOKUP("TempoBet",K199:K201,L199:L201,0)&gt;0),"X",IF(OR(C199="W",C200="W",C201="W",C199="1/2W",C200="1/2W",C201="1/2W",C199="1/2L",C200="1/2L",C201="1/2L"),"OK",IF(OR(C199="L",C200="L",C201="L"),"LOSS",IF(OR(C199="X",C200="X",C201="X"),"Anulado"," "))))</f>
        <v>211</v>
      </c>
      <c r="C199" t="s" s="173">
        <v>51</v>
      </c>
      <c r="D199" t="s" s="305">
        <f>IF(G199="","",$D196)</f>
        <v>184</v>
      </c>
      <c r="E199" t="s" s="175">
        <f>IF(G199=""," ","– "&amp;COUNTIF(D$4:D201,$D199))</f>
        <v>143</v>
      </c>
      <c r="F199" t="s" s="176"/>
      <c r="G199" s="177">
        <v>44945</v>
      </c>
      <c r="H199" t="s" s="178">
        <v>212</v>
      </c>
      <c r="I199" t="s" s="179">
        <v>65</v>
      </c>
      <c r="J199" s="291">
        <v>121.5</v>
      </c>
      <c r="K199" t="s" s="181">
        <v>38</v>
      </c>
      <c r="L199" s="182">
        <v>3.75</v>
      </c>
      <c r="M199" s="183">
        <v>6.31</v>
      </c>
      <c r="N199" s="184">
        <v>0</v>
      </c>
      <c r="O199" s="185">
        <f>IF(OR(AE199="",AE200=""),"",ROUND(IF(L201&gt;0,IF(M199&gt;0,M199,IF(M200&gt;0,ROUND((M200*AE199)/AE200,IF(N199=0,2,IF(N199=0.1,1,0))),ROUND((M201*AE199)/AE201,IF(N199=0,2,IF(N199=0.1,1,0))))),IF(M199&gt;0,M199,ROUND((M200*AE199)/AE200,IF(N199=0,2,IF(N199=0.1,1,0))))),2))</f>
        <v>6.31</v>
      </c>
      <c r="P199" s="186">
        <f>IF(OR(L199="",O199=""),"",IF($C199="1/2W",O199/2+O199/2*L199,IF($C199="1/2L",O199/2,IF(I199="Lay",(O199*(L199/(L199-1))-O199)*(1-_xlfn.XLOOKUP(K199,'Janeiro 2023 - Valor Real'!A3:A15,'Janeiro 2023 - Valor Real'!C3:C15,0))+O199,(O199*L199-O199)*(1-_xlfn.XLOOKUP(K199,'Janeiro 2023 - Valor Real'!A3:A15,'Janeiro 2023 - Valor Real'!C3:C15,0))+O199))))</f>
        <v>23.6625</v>
      </c>
      <c r="Q199" s="187">
        <f>IF(K199="","",IF(_xlfn.XLOOKUP(K199,K$84:K103,DJ$84:DJ103,0,,-1)=DJ199,_xlfn.XLOOKUP(K199,K$84:K103,Q$84:Q103,1,,-1)+1,1))</f>
        <v>1</v>
      </c>
      <c r="R199" s="188">
        <f>IF(K199="","",_xlfn.XLOOKUP(K199,K$84:K103,R$84:R103,0,,-1)+IF($C199=" ",1,0))</f>
        <v>0</v>
      </c>
      <c r="S199" s="189">
        <f>IF($B199="Anulado",0,ROUND(IF(OR($B199="LOSS",$B199="OK"),IF(OR($C199="W",$C199="1/2W",$C199="1/2L"),P199-O199,IF($C199="L",-O199,0))+IF(OR($C200="W",$C200="1/2W",$C200="1/2L"),P200-O200,IF($C200="L",-O200,0))+IF(OR($C201="W",$C201="1/2W",$C201="1/2L"),P201-O201,IF($C201="L",-O201,0)),IF(AND(OR($C199="W",$C199="1/2W",$C199="1/2L"),C200="W"),P199+P200-SUM(O199:O201)+_xlfn.XLOOKUP("X",C199:C201,O199:O201,0),IF(AND(C199=TRUE,C201="W"),P199+P201-SUM(O199:O201),IF(AND(C200="W",C201="W"),P200+P201-SUM(O199:O201)+_xlfn.XLOOKUP("X",C199:C201,O199:O201,0),IF(L201&gt;0,IF(OR($C199="W",$C199="1/2W",$C199="1/2L"),P199-SUM(O199:O201)+_xlfn.XLOOKUP("X",C199:C201,O199:O201,0),IF(OR($C199="W",$C199="1/2W",$C199="1/2L"),P200-SUM(O199:O201)+_xlfn.XLOOKUP("X",C199:C201,O199:O201,0),IF(OR($C199="W",$C199="1/2W",$C199="1/2L"),P201-SUM(O199:O201)+_xlfn.XLOOKUP("X",C199:C201,O199:O201,0),IF(SUM(P199:P201)/3-SUM(O199:O201)+_xlfn.XLOOKUP("X",C199:C201,O199:O201,0)&gt;0,SUM(P199:P201)/3-SUM(O199:O201)+_xlfn.XLOOKUP("X",C199:C201,O199:O201,0),LARGE(P199:P201,1)-SUM(O199:O201))))),IF(OR($C199="W",$C199="1/2W",$C199="1/2L"),P199-SUM(O199:O200)+_xlfn.XLOOKUP("X",C199:C201,O199:O201,0),IF(OR($C199="W",$C199="1/2W",$C199="1/2L"),P200-SUM(O199:O200)+_xlfn.XLOOKUP("X",C199:C201,O199:O201,0),SUM(P199:P200)/2-SUM(O199:O200)+_xlfn.XLOOKUP("X",C199:C201,O199:O201,0)))))))),2))</f>
        <v>-18.02</v>
      </c>
      <c r="T199" s="190">
        <f>IF(S199=0,0,S199/SUM(O199:O201))</f>
        <v>-1</v>
      </c>
      <c r="U199" s="191">
        <f>IF($D199=$D196,IF(OR($B199="LOSS",$B199="OK",$B199="Anulada"),S199,0)+U196,IF(OR($B199="LOSS",$B199="OK",$B199="Anulada"),S199,0))</f>
        <v>22.45</v>
      </c>
      <c r="V199" s="191">
        <f>IF($D199="",0,IF($D199=$D196,IF($B199=" ",IF(I201="",IF(OR(AND(I199="DNB1",I200="DNB2"),AND(OR(I199="DNB1",I199="DNB2"),J200=0),AND(OR(I200="DNB1",I200="DNB2"),J199=0),AND(I199="DNB2",I200="DNB1"),AND(IF(J199=0,(J199+1)/ROUND(J199+1,0),J199/ROUND(J199,0))=1,IF(J200=0,(J200+1)/ROUND(IF(J200="",0,J200)+1,0),IF(J200="",0,J200)/ROUND(IF(J200="",1,J200),0))=1,OR(J199&lt;&gt;""),J200&lt;&gt;"")),0,IF(S199&lt;0,IF(I201="",SMALL(P199:P200,1)-SUM(O199:O200),0),SMALL(P199:P200,1)-SUM(O199:O200))),IF(S199&lt;0,IF(I201="",SMALL(P199:P201,1)-SUM(O199:O201),0),LARGE(P199:P201,1)-SUM(O199:O201))),S199)+V196,IF(I201="",IF(OR(AND(I199="DNB1",I200="DNB2"),AND(OR(I199="DNB1",I199="DNB2"),J200=0),AND(OR(I200="DNB1",I200="DNB2"),J199=0),AND(I199="DNB2",I200="DNB1"),AND(IF(J199=0,(J199+1)/ROUND(J199+1,0),J199/ROUND(J199,0))=1,IF(J200=0,(IF(J200="",0,J200)+1)/ROUND(IF(J200="",0,J200)+1,0),IF(J200="",0,J200)/ROUND(IF(J200="",0,J200)+1,0))=1,OR(J199&lt;&gt;""),J200&lt;&gt;"")),0,IF(S199&lt;0,IF(I201="",SMALL(P199:P200,1)-SUM(O199:O200),0),SMALL(P199:P201,1)-SUM(O199:O201))),IF(S199&lt;0,IF(I201="",SMALL(P199:P201,1)-SUM(O199:O201),0),LARGE(P199:P201,1)-SUM(O199:O201)))))</f>
        <v>22.4475</v>
      </c>
      <c r="W199" s="191">
        <f>IF($D199=$D196,IF(S199&lt;0,IF(I201="",S199,0),S199)+W196,S199)</f>
        <v>22.45</v>
      </c>
      <c r="X199" t="s" s="192">
        <f>IF(OR(SUM(R199:R201)=0,V199=W199),ROUND(IF(W199=0,0,W199/Y199)*100,2)&amp;"%",ROUND(IF(V199=0,0,V199/Y199)*100,2)&amp;"% a "&amp;ROUND(IF(W199=0,0,W199/Y199)*100,2)&amp;"%")</f>
        <v>213</v>
      </c>
      <c r="Y199" s="193">
        <f>IF($D199=$D196,Y196+SUM(O199:O201),SUM(O199:O201))</f>
        <v>659.37</v>
      </c>
      <c r="Z199" s="191">
        <f>IF($B199=" ",SUM(O199:O201),0)+Z196</f>
        <v>0</v>
      </c>
      <c r="AA199" s="191">
        <f>IF(G199="","",IF($B199="Anulado",LARGE(P199:P201,1)-SUM(O199:O201)+AA196,AA196))</f>
        <v>15.1024</v>
      </c>
      <c r="AB199" s="191">
        <f>IF($D199="","",AB196+S199)</f>
        <v>147.56</v>
      </c>
      <c r="AC199" s="194">
        <f>IF($D199="","",IF($B199=" ",IF(DAY(G199)=DAY(TODAY()),1+AC196,0+AC196),0+AC196))</f>
        <v>0</v>
      </c>
      <c r="AD199" s="195">
        <f>(((L200/(L200-1)-1)*(1-_xlfn.XLOOKUP(K200,'Janeiro 2023 - Valor Real'!A3:A15,'Janeiro 2023 - Valor Real'!C3:C15,0))+1))/(((L199-1)*(1-_xlfn.XLOOKUP(K199,'Janeiro 2023 - Valor Real'!A3:A15,'Janeiro 2023 - Valor Real'!C3:C15,0))+1)+((L200/(L200-1)-1)*(1-_xlfn.XLOOKUP(K200,'Janeiro 2023 - Valor Real'!A3:A15,'Janeiro 2023 - Valor Real'!C3:C15,0))+1))</f>
        <v>0.345594525235244</v>
      </c>
      <c r="AE199" s="196">
        <f>IF(L199="","",IF(L201&gt;0,(SUM(((L199-1)*(1-_xlfn.XLOOKUP(K199,'Janeiro 2023 - Valor Real'!A3:A15,'Janeiro 2023 - Valor Real'!C3:C15,0))+1),((L200-1)*(1-_xlfn.XLOOKUP(K200,'Janeiro 2023 - Valor Real'!A3:A15,'Janeiro 2023 - Valor Real'!C3:C15,0))+1),((L201-1)*(1-_xlfn.XLOOKUP(K201,'Janeiro 2023 - Valor Real'!A3:A15,'Janeiro 2023 - Valor Real'!C3:C15,0))+1))/((L199-1)*(1-_xlfn.XLOOKUP(K199,'Janeiro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Real'!C3:C15,0))+1))/((L199-1)*(1-_xlfn.XLOOKUP(K199,'Janeiro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Real'!C3:C15,0))+1))/((L200-1)*(1-_xlfn.XLOOKUP(K200,'Janeiro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Real'!C3:C15,0))+1))/((L201-1)*(1-_xlfn.XLOOKUP(K201,'Janeiro 2023 - Valor Real'!A3:A15,'Janeiro 2023 - Valor Real'!C3:C15,0))+1)),IF(I199="Lay",IF(I200="Lay",((L200/(L200-1)-1)*(1-_xlfn.XLOOKUP(K200,'Janeiro 2023 - Valor Real'!A3:A15,'Janeiro 2023 - Valor Real'!C3:C15,0))+1)/(((L200/(L200-1)-1)*(1-_xlfn.XLOOKUP(K200,'Janeiro 2023 - Valor Real'!A3:A15,'Janeiro 2023 - Valor Real'!C3:C15,0))+1)+((L199/(L199-1)-1)*(1-_xlfn.XLOOKUP(K199,'Janeiro 2023 - Valor Real'!A3:A15,'Janeiro 2023 - Valor Real'!C3:C15,0))+1)),((L200-1)*(1-_xlfn.XLOOKUP(K200,'Janeiro 2023 - Valor Real'!A3:A15,'Janeiro 2023 - Valor Real'!C3:C15,0))+1)/(((L200-1)*(1-_xlfn.XLOOKUP(K200,'Janeiro 2023 - Valor Real'!A3:A15,'Janeiro 2023 - Valor Real'!C3:C15,0))+1)+((L199/(L199-1)-1)*(1-_xlfn.XLOOKUP(K199,'Janeiro 2023 - Valor Real'!A3:A15,'Janeiro 2023 - Valor Real'!C3:C15,0))+1))),IF(I200="Lay",(((L200/(L200-1)-1)*(1-_xlfn.XLOOKUP(K200,'Janeiro 2023 - Valor Real'!A3:A15,'Janeiro 2023 - Valor Real'!C3:C15,0))+1))/(((L199-1)*(1-_xlfn.XLOOKUP(K199,'Janeiro 2023 - Valor Real'!A3:A15,'Janeiro 2023 - Valor Real'!C3:C15,0))+1)+((L200/(L200-1)-1)*(1-_xlfn.XLOOKUP(K200,'Janeiro 2023 - Valor Real'!A3:A15,'Janeiro 2023 - Valor Real'!C3:C15,0))+1)),((L200-1)*(1-_xlfn.XLOOKUP(K200,'Janeiro 2023 - Valor Real'!A3:A15,'Janeiro 2023 - Valor Real'!C3:C15,0))+1)/(((L200-1)*(1-_xlfn.XLOOKUP(K200,'Janeiro 2023 - Valor Real'!A3:A15,'Janeiro 2023 - Valor Real'!C3:C15,0))+1)+((L199-1)*(1-_xlfn.XLOOKUP(K199,'Janeiro 2023 - Valor Real'!A3:A15,'Janeiro 2023 - Valor Real'!C3:C15,0))+1))))))</f>
        <v>0.350086655112652</v>
      </c>
      <c r="AF199" s="197">
        <f>IF($K199=AF$3,ROUND(IF(OR($C199="W",$C199="1/2W",$C199="1/2L"),$P199-$O199,IF($C199="X",0,-$O199)),2),0)</f>
        <v>0</v>
      </c>
      <c r="AG199" s="198">
        <f>IF($K199=AG$3,ROUND(IF(OR($C199="W",$C199="1/2W",$C199="1/2L"),$P199-$O199,IF($C199="X",0,-$O199)),2),0)</f>
        <v>-6.31</v>
      </c>
      <c r="AH199" s="198">
        <f>IF($K199=AH$3,ROUND(IF(OR($C199="W",$C199="1/2W",$C199="1/2L"),$P199-$O199,IF($C199="X",0,-$O199)),2),0)</f>
        <v>0</v>
      </c>
      <c r="AI199" s="198">
        <f>IF($K199=AI$3,ROUND(IF(OR($C199="W",$C199="1/2W",$C199="1/2L"),$P199-$O199,IF($C199="X",0,-$O199)),2),0)</f>
        <v>0</v>
      </c>
      <c r="AJ199" s="198">
        <f>IF($K199=AJ$3,ROUND(IF(OR($C199="W",$C199="1/2W",$C199="1/2L"),$P199-$O199,IF($C199="X",0,-$O199)),2),0)</f>
        <v>0</v>
      </c>
      <c r="AK199" s="198">
        <f>IF($K199=AK$3,ROUND(IF(OR($C199="W",$C199="1/2W",$C199="1/2L"),$P199-$O199,IF($C199="X",0,-$O199)),2),0)</f>
        <v>0</v>
      </c>
      <c r="AL199" s="198">
        <f>IF($K199=AL$3,ROUND(IF(OR($C199="W",$C199="1/2W",$C199="1/2L"),$P199-$O199,IF($C199="X",0,-$O199)),2),0)</f>
        <v>0</v>
      </c>
      <c r="AM199" s="198">
        <f>IF($K199=AM$3,ROUND(IF(OR($C199="W",$C199="1/2W",$C199="1/2L"),$P199-$O199,IF($C199="X",0,-$O199)),2),0)</f>
        <v>0</v>
      </c>
      <c r="AN199" s="198">
        <f>IF($K199=AN$3,ROUND(IF(OR($C199="W",$C199="1/2W",$C199="1/2L"),$P199-$O199,IF($C199="X",0,-$O199)),2),0)</f>
        <v>0</v>
      </c>
      <c r="AO199" s="198">
        <f>IF($K199=AO$3,ROUND(IF(OR($C199="W",$C199="1/2W",$C199="1/2L"),$P199-$O199,IF($C199="X",0,-$O199)),2),0)</f>
        <v>0</v>
      </c>
      <c r="AP199" s="198">
        <f>IF($K199=AP$3,ROUND(IF(OR($C199="W",$C199="1/2W",$C199="1/2L"),$P199-$O199,IF($C199="X",0,-$O199)),2),0)</f>
        <v>0</v>
      </c>
      <c r="AQ199" s="198">
        <f>IF($K199=AQ$3,ROUND(IF(OR($C199="W",$C199="1/2W",$C199="1/2L"),$P199-$O199,IF($C199="X",0,-$O199)),2),0)</f>
        <v>0</v>
      </c>
      <c r="AR199" s="199">
        <f>IF($K199=AR$3,ROUND(IF(OR($C199="W",$C199="1/2W",$C199="1/2L"),$P199-$O199,IF($C199="X",0,-$O199)),2),0)</f>
        <v>0</v>
      </c>
      <c r="AS199" s="197">
        <f>IF(AND($B199=" ",$K199=AS$3),$O199,0)</f>
        <v>0</v>
      </c>
      <c r="AT199" s="198">
        <f>IF(AND($B199=" ",$K199=AT$3),$O199,0)</f>
        <v>0</v>
      </c>
      <c r="AU199" s="198">
        <f>IF(AND($B199=" ",$K199=AU$3),$O199,0)</f>
        <v>0</v>
      </c>
      <c r="AV199" s="198">
        <f>IF(AND($B199=" ",$K199=AV$3),$O199,0)</f>
        <v>0</v>
      </c>
      <c r="AW199" s="198">
        <f>IF(AND($B199=" ",$K199=AW$3),$O199,0)</f>
        <v>0</v>
      </c>
      <c r="AX199" s="198">
        <f>IF(AND($B199=" ",$K199=AX$3),$O199,0)</f>
        <v>0</v>
      </c>
      <c r="AY199" s="200">
        <f>IF(AND($B199=" ",$K199=AY$3),$O199,0)</f>
        <v>0</v>
      </c>
      <c r="AZ199" s="201">
        <f>IF(AND($B199=" ",$K199=AZ$3),$O199,0)</f>
        <v>0</v>
      </c>
      <c r="BA199" s="201">
        <f>IF(AND($B199=" ",$K199=BA$3),$O199,0)</f>
        <v>0</v>
      </c>
      <c r="BB199" s="201">
        <f>IF(AND($B199=" ",$K199=BB$3),$O199,0)</f>
        <v>0</v>
      </c>
      <c r="BC199" s="202">
        <f>IF(AND($B199=" ",$K199=BC$3),$O199,0)</f>
        <v>0</v>
      </c>
      <c r="BD199" s="198">
        <f>IF(AND($B199=" ",$K199=BD$3),$O199,0)</f>
        <v>0</v>
      </c>
      <c r="BE199" s="199">
        <f>IF(AND($B199=" ",$K199=BE$3),$O199,0)</f>
        <v>0</v>
      </c>
      <c r="BF199" s="203">
        <f>IF($K199=BF$3,IF($C199="X",0,$O199),0)</f>
        <v>0</v>
      </c>
      <c r="BG199" s="198">
        <f>IF($K199=BG$3,IF($C199="X",0,$O199),0)</f>
        <v>6.31</v>
      </c>
      <c r="BH199" s="198">
        <f>IF($K199=BH$3,IF($C199="X",0,$O199),0)</f>
        <v>0</v>
      </c>
      <c r="BI199" s="198">
        <f>IF($K199=BI$3,IF($C199="X",0,$O199),0)</f>
        <v>0</v>
      </c>
      <c r="BJ199" s="198">
        <f>IF($K199=BJ$3,IF($C199="X",0,$O199),0)</f>
        <v>0</v>
      </c>
      <c r="BK199" s="198">
        <f>IF($K199=BK$3,IF($C199="X",0,$O199),0)</f>
        <v>0</v>
      </c>
      <c r="BL199" s="198">
        <f>IF($K199=BL$3,IF($C199="X",0,$O199),0)</f>
        <v>0</v>
      </c>
      <c r="BM199" s="200">
        <f>IF($K199=BM$3,IF($C199="X",0,$O199),0)</f>
        <v>0</v>
      </c>
      <c r="BN199" s="201">
        <f>IF($K199=BN$3,IF($C199="X",0,$O199),0)</f>
        <v>0</v>
      </c>
      <c r="BO199" s="201">
        <f>IF($K199=BO$3,IF($C199="X",0,$O199),0)</f>
        <v>0</v>
      </c>
      <c r="BP199" s="201">
        <f>IF($K199=BP$3,IF($C199="X",0,$O199),0)</f>
        <v>0</v>
      </c>
      <c r="BQ199" s="202">
        <f>IF($K199=BQ$3,IF($C199="X",0,$O199),0)</f>
        <v>0</v>
      </c>
      <c r="BR199" s="199">
        <f>IF($K199=BR$3,IF($C199="X",0,$O199),0)</f>
        <v>0</v>
      </c>
      <c r="BS199" s="204">
        <f>IF($B199="LOSS",IF(AND($K199=BS$3,$C199="L"),-$O199,0)+IF(AND($K200=BS$3,$C200="L"),-$O200,0)+IF(AND($K201=BS$3,$C201="L"),-$O201,0),IF(OR(AND($K199=BS$3,OR($C199="W",$C199="1/2W")),AND($K200=BS$3,OR($C200="W",$C200="1/2W")),AND($K201=BS$3,OR($C201="W",$C201="1/2W"))),$S199,0))</f>
        <v>0</v>
      </c>
      <c r="BT199" s="201">
        <f>IF($B199="LOSS",IF(AND($K199=BT$3,$C199="L"),-$O199,0)+IF(AND($K200=BT$3,$C200="L"),-$O200,0)+IF(AND($K200=BT$3,$C201="L"),-$O201,0),IF(OR(AND($K200=BT$3,OR($C199="W",$C199="1/2W")),AND($K200=BT$3,OR($C200="W",$C200="1/2W")),AND($K200=BT$3,OR($C201="W",$C201="1/2W"))),$S199,0))</f>
        <v>-6.31</v>
      </c>
      <c r="BU199" s="201">
        <f>IF($B199="LOSS",IF(AND($K199=BU$3,$C199="L"),-$O199,0)+IF(AND($K200=BU$3,$C200="L"),-$O200,0)+IF(AND($K200=BU$3,$C201="L"),-$O201,0),IF(OR(AND($K200=BU$3,OR($C199="W",$C199="1/2W")),AND($K200=BU$3,OR($C200="W",$C200="1/2W")),AND($K200=BU$3,OR($C201="W",$C201="1/2W"))),$S199,0))</f>
        <v>0</v>
      </c>
      <c r="BV199" s="201">
        <f>IF($B199="LOSS",IF(AND($K199=BV$3,$C199="L"),-$O199,0)+IF(AND($K200=BV$3,$C200="L"),-$O200,0)+IF(AND($K201=BV$3,$C201="L"),-$O201,0),IF(OR(AND($K199=BV$3,OR($C199="W",$C199="1/2W")),AND($K200=BV$3,OR($C200="W",$C200="1/2W")),AND($K201=BV$3,OR($C201="W",$C201="1/2W"))),$S199,0))</f>
        <v>0</v>
      </c>
      <c r="BW199" s="201">
        <f>IF($B199="LOSS",IF(AND($K199=BW$3,$C199="L"),-$O199,0)+IF(AND($K200=BW$3,$C200="L"),-$O200,0)+IF(AND($K201=BW$3,$C201="L"),-$O201,0),IF(OR(AND($K199=BW$3,OR($C199="W",$C199="1/2W")),AND($K200=BW$3,OR($C200="W",$C200="1/2W")),AND($K201=BW$3,OR($C201="W",$C201="1/2W"))),$S199,0))</f>
        <v>0</v>
      </c>
      <c r="BX199" s="201">
        <f>IF($B199="LOSS",IF(AND($K199=BX$3,$C199="L"),-$O199,0)+IF(AND($K200=BX$3,$C200="L"),-$O200,0)+IF(AND($K201=BX$3,$C201="L"),-$O201,0),IF(OR(AND($K199=BX$3,OR($C199="W",$C199="1/2W")),AND($K200=BX$3,OR($C200="W",$C200="1/2W")),AND($K201=BX$3,OR($C201="W",$C201="1/2W"))),$S199,0))</f>
        <v>0</v>
      </c>
      <c r="BY199" s="201">
        <f>IF($B199="LOSS",IF(AND($K199=BY$3,$C199="L"),-$O199,0)+IF(AND($K200=BY$3,$C200="L"),-$O200,0)+IF(AND($K201=BY$3,$C201="L"),-$O201,0),IF(OR(AND($K199=BY$3,OR($C199="W",$C199="1/2W")),AND($K200=BY$3,OR($C200="W",$C200="1/2W")),AND($K201=BY$3,OR($C201="W",$C201="1/2W"))),$S199,0))</f>
        <v>0</v>
      </c>
      <c r="BZ199" s="205">
        <f>IF($B199="LOSS",IF(AND($K199=BZ$3,$C199="L"),-$O199,0)+IF(AND($K200=BZ$3,$C200="L"),-$O200,0)+IF(AND($K201=BZ$3,$C201="L"),-$O201,0),IF(OR(AND($K199=BZ$3,OR($C199="W",$C199="1/2W")),AND($K200=BZ$3,OR($C200="W",$C200="1/2W")),AND($K201=BZ$3,OR($C201="W",$C201="1/2W"))),$S199,0))</f>
        <v>0</v>
      </c>
      <c r="CA199" s="205">
        <f>IF($B199="LOSS",IF(AND($K199=CA$3,$C199="L"),-$O199,0)+IF(AND($K200=CA$3,$C200="L"),-$O200,0)+IF(AND($K201=CA$3,$C201="L"),-$O201,0),IF(OR(AND($K199=CA$3,OR($C199="W",$C199="1/2W")),AND($K200=CA$3,OR($C200="W",$C200="1/2W")),AND($K201=CA$3,OR($C201="W",$C201="1/2W"))),$S199,0))</f>
        <v>0</v>
      </c>
      <c r="CB199" s="205">
        <f>IF($B199="LOSS",IF(AND($K199=CB$3,$C199="L"),-$O199,0)+IF(AND($K200=CB$3,$C200="L"),-$O200,0)+IF(AND($K201=CB$3,$C201="L"),-$O201,0),IF(OR(AND($K199=CB$3,OR($C199="W",$C199="1/2W")),AND($K200=CB$3,OR($C200="W",$C200="1/2W")),AND($K201=CB$3,OR($C201="W",$C201="1/2W"))),$S199,0))</f>
        <v>0</v>
      </c>
      <c r="CC199" s="205">
        <f>IF($B199="LOSS",IF(AND($K199=CC$3,$C199="L"),-$O199,0)+IF(AND($K200=CC$3,$C200="L"),-$O200,0)+IF(AND($K201=CC$3,$C201="L"),-$O201,0),IF(OR(AND($K199=CC$3,OR($C199="W",$C199="1/2W")),AND($K200=CC$3,OR($C200="W",$C200="1/2W")),AND($K201=CC$3,OR($C201="W",$C201="1/2W"))),$S199,0))</f>
        <v>0</v>
      </c>
      <c r="CD199" s="202">
        <f>IF($B199="LOSS",IF(AND($K199=CD$3,$C199="L"),-$O199,0)+IF(AND($K200=CD$3,$C200="L"),-$O200,0)+IF(AND($K201=CD$3,$C201="L"),-$O201,0),IF(OR(AND($K199=CD$3,OR($C199="W",$C199="1/2W")),AND($K200=CD$3,OR($C200="W",$C200="1/2W")),AND($K201=CD$3,OR($C201="W",$C201="1/2W"))),$S199,0))</f>
        <v>-11.71</v>
      </c>
      <c r="CE199" s="199">
        <f>IF($B199="LOSS",IF(AND($K199=CE$3,$C199="L"),-$O199,0)+IF(AND($K200=CE$3,$C200="L"),-$O200,0)+IF(AND($K201=CE$3,$C201="L"),-$O201,0),IF(OR(AND($K199=CE$3,OR($C199="W",$C199="1/2W")),AND($K200=CE$3,OR($C200="W",$C200="1/2W")),AND($K201=CE$3,OR($C201="W",$C201="1/2W"))),$S199,0))</f>
        <v>0</v>
      </c>
      <c r="CF199" s="206">
        <f>IF(CF$3=$K199,IF($C199="W",1,IF($C199="1/2W",0.5,0)),0)</f>
        <v>0</v>
      </c>
      <c r="CG199" s="207">
        <f>IF(CF$3=$K199,IF($C199="L",1,IF($C199="1/2L",0.5,0)),0)</f>
        <v>0</v>
      </c>
      <c r="CH199" s="207">
        <f>IF(CH$3=$K199,IF($C199="W",1,IF($C199="1/2W",0.5,0)),0)</f>
        <v>0</v>
      </c>
      <c r="CI199" s="207">
        <f>IF(CH$3=$K199,IF($C199="L",1,IF($C199="1/2L",0.5,0)),0)</f>
        <v>1</v>
      </c>
      <c r="CJ199" s="207">
        <f>IF(CJ$3=$K199,IF($C199="W",1,IF($C199="1/2W",0.5,0)),0)</f>
        <v>0</v>
      </c>
      <c r="CK199" s="207">
        <f>IF(CJ$3=$K199,IF($C199="L",1,IF($C199="1/2L",0.5,0)),0)</f>
        <v>0</v>
      </c>
      <c r="CL199" s="207">
        <f>IF(CL$3=$K199,IF($C199="W",1,IF($C199="1/2W",0.5,0)),0)</f>
        <v>0</v>
      </c>
      <c r="CM199" s="207">
        <f>IF(CL$3=$K199,IF($C199="L",1,IF($C199="1/2L",0.5,0)),0)</f>
        <v>0</v>
      </c>
      <c r="CN199" s="207">
        <f>IF(CN$3=$K199,IF($C199="W",1,IF($C199="1/2W",0.5,0)),0)</f>
        <v>0</v>
      </c>
      <c r="CO199" s="207">
        <f>IF(CN$3=$K199,IF($C199="L",1,IF($C199="1/2L",0.5,0)),0)</f>
        <v>0</v>
      </c>
      <c r="CP199" s="207">
        <f>IF(CP$3=$K199,IF($C199="W",1,IF($C199="1/2W",0.5,0)),0)</f>
        <v>0</v>
      </c>
      <c r="CQ199" s="207">
        <f>IF(CP$3=$K199,IF($C199="L",1,IF($C199="1/2L",0.5,0)),0)</f>
        <v>0</v>
      </c>
      <c r="CR199" s="207">
        <f>IF(CR$3=$K199,IF($C199="W",1,IF($C199="1/2W",0.5,0)),0)</f>
        <v>0</v>
      </c>
      <c r="CS199" s="207">
        <f>IF(CR$3=$K199,IF($C199="L",1,IF($C199="1/2L",0.5,0)),0)</f>
        <v>0</v>
      </c>
      <c r="CT199" s="208">
        <f>IF(CT$3=$K199,IF($C199="W",1,IF($C199="1/2W",0.5,0)),0)</f>
        <v>0</v>
      </c>
      <c r="CU199" s="209">
        <f>IF(CT$3=$K199,IF($C199="L",1,IF($C199="1/2L",0.5,0)),0)</f>
        <v>0</v>
      </c>
      <c r="CV199" s="209">
        <f>IF(CV$3=$K199,IF($C199="W",1,IF($C199="1/2W",0.5,0)),0)</f>
        <v>0</v>
      </c>
      <c r="CW199" s="209">
        <f>IF(CV$3=$K199,IF($C199="L",1,IF($C199="1/2L",0.5,0)),0)</f>
        <v>0</v>
      </c>
      <c r="CX199" s="209">
        <f>IF(CX$3=$K199,IF($C199="W",1,IF($C199="1/2W",0.5,0)),0)</f>
        <v>0</v>
      </c>
      <c r="CY199" s="209">
        <f>IF(CX$3=$K199,IF($C199="L",1,IF($C199="1/2L",0.5,0)),0)</f>
        <v>0</v>
      </c>
      <c r="CZ199" s="209">
        <f>IF(CZ$3=$K199,IF($C199="W",1,IF($C199="1/2W",0.5,0)),0)</f>
        <v>0</v>
      </c>
      <c r="DA199" s="209">
        <f>IF(CZ$3=$K199,IF($C199="L",1,IF($C199="1/2L",0.5,0)),0)</f>
        <v>0</v>
      </c>
      <c r="DB199" s="209">
        <f>IF(DB$3=$K199,IF($C199="W",1,IF($C199="1/2W",0.5,0)),0)</f>
        <v>0</v>
      </c>
      <c r="DC199" s="209">
        <f>IF(DB$3=$K199,IF($C199="L",1,IF($C199="1/2L",0.5,0)),0)</f>
        <v>0</v>
      </c>
      <c r="DD199" s="209">
        <f>IF(DD$3=$K199,IF($C199="W",1,IF($C199="1/2W",0.5,0)),0)</f>
        <v>0</v>
      </c>
      <c r="DE199" s="210">
        <f>IF(DD$3=$K199,IF($C199="L",1,IF($C199="1/2L",0.5,0)),0)</f>
        <v>0</v>
      </c>
      <c r="DF199" s="211">
        <f>IF(AND(L199&lt;DF$3,$C199="W"),1+DF198,DF198)</f>
        <v>8</v>
      </c>
      <c r="DG199" s="198">
        <f>IF(DF199&gt;DF198,L199+DG198,DG198)</f>
        <v>10.598</v>
      </c>
      <c r="DH199" s="209">
        <f>IF(AND(L199&gt;DH$3,$C199="W"),1+DH198,0+DH198)</f>
        <v>3</v>
      </c>
      <c r="DI199" s="198">
        <f>IF(DH199&gt;DH198,L199+DI198,DI198)</f>
        <v>15.98</v>
      </c>
      <c r="DJ199" t="s" s="306">
        <f>IF($D199="","",$D199)</f>
        <v>184</v>
      </c>
      <c r="DK199" s="209">
        <f>IF(AND($B199=" ",$D199&lt;&gt;""),1,0)</f>
        <v>0</v>
      </c>
    </row>
    <row r="200" ht="14.55" customHeight="1">
      <c r="A200" s="107"/>
      <c r="B200" s="108"/>
      <c r="C200" t="s" s="213">
        <v>51</v>
      </c>
      <c r="D200" s="110"/>
      <c r="E200" s="111"/>
      <c r="F200" s="113"/>
      <c r="G200" s="214"/>
      <c r="H200" s="114"/>
      <c r="I200" t="s" s="215">
        <v>67</v>
      </c>
      <c r="J200" s="296">
        <f>IF(OR(I199="TO",I199="TU",I199="TO1",I199="TU1",I199="TO2",I199="TU2"),J199,IF(OR(I199="AH1",I199="AH2"),IF(OR(I200="AH1",I200="AH2"),-J199,IF(OR(I200="EH1",I200="EH2"),-J199+0.5,"")),IF(OR(I199="EH1",I199="EH2"),IF(OR(I200="AH1",I200="AH2"),-J199+0.5,IF(OR(I200="EH1",I200="EH2"),-J199+1,"")),IF(AND(OR(I199="DNB1",I199="DNB2"),OR(I200="AH1",I200="AH2")),0,IF(AND(I199="Not ScoreBoth",OR(I200="TO1",I200="TO2")),0.5,"")))))</f>
        <v>121.5</v>
      </c>
      <c r="K200" t="s" s="217">
        <v>48</v>
      </c>
      <c r="L200" s="218">
        <v>2.02</v>
      </c>
      <c r="M200" s="219"/>
      <c r="N200" s="120"/>
      <c r="O200" s="220">
        <f>IF(OR(AE199="",AE200=""),"",ROUND(IF(L201&gt;0,IF(M200&gt;0,M200,IF(M199&gt;0,IF(N199=TRUE,ROUND((M199*AE200)/AE199,0),(M199*AE200)/AE199),IF(M200&gt;0,ROUND(M200,IF(N199=0,2,IF(N199=0.1,1,0))),IF(M201&gt;0,ROUND(O201*AE200/AE201,IF(N199=0,2,IF(N199=0.1,1,0))),0)))),IF(M200&gt;0,M200,ROUND((M199*AE200)/AE199,IF(N199=0,2,IF(N199=0.1,1,0))))),2))</f>
        <v>11.71</v>
      </c>
      <c r="P200" s="221">
        <f>IF(OR(L200="",O200=""),"",IF($C200="1/2W",O200/2+O200/2*L200,IF($C200="1/2L",O200/2,IF(I200="Lay",((O200*(L200/(L200-1)))-O200)*(1-_xlfn.XLOOKUP(K200,'Janeiro 2023 - Valor Real'!A3:A15,'Janeiro 2023 - Valor Real'!C3:C15,0))+O200,(O200*L200-O200)*(1-_xlfn.XLOOKUP(K200,'Janeiro 2023 - Valor Real'!A3:A15,'Janeiro 2023 - Valor Real'!C3:C15,0))+O200))))</f>
        <v>23.6542</v>
      </c>
      <c r="Q200" s="222">
        <f>IF(K200="","",IF(_xlfn.XLOOKUP(K200,K$85:K104,DJ$85:DJ104,0,,-1)=DJ200,_xlfn.XLOOKUP(K200,K$85:K104,Q$85:Q104,1,,-1)+1,1))</f>
        <v>1</v>
      </c>
      <c r="R200" s="223">
        <f>IF(K200="","",_xlfn.XLOOKUP(K200,K$85:K104,R$85:R104,0,,-1)+IF($C200=" ",1,0))</f>
        <v>0</v>
      </c>
      <c r="S200" s="125"/>
      <c r="T200" s="126"/>
      <c r="U200" s="126"/>
      <c r="V200" s="224"/>
      <c r="W200" s="126"/>
      <c r="X200" s="127"/>
      <c r="Y200" s="128"/>
      <c r="Z200" s="129"/>
      <c r="AA200" s="129"/>
      <c r="AB200" s="129"/>
      <c r="AC200" s="129"/>
      <c r="AD200" s="225">
        <f>(((L200/(L200-1)-1)*(1-_xlfn.XLOOKUP(K200,'Janeiro 2023 - Valor Real'!A3:A15,'Janeiro 2023 - Valor Real'!C3:C15,0))+1))</f>
        <v>1.98039215686275</v>
      </c>
      <c r="AE200" s="226">
        <f>IF(L200="","",IF(L201&gt;0,(SUM(((L199-1)*(1-_xlfn.XLOOKUP(K199,'Janeiro 2023 - Valor Real'!A3:A15,'Janeiro 2023 - Valor Real'!C3:C15,0))+1),((L200-1)*(1-_xlfn.XLOOKUP(K200,'Janeiro 2023 - Valor Real'!A3:A15,'Janeiro 2023 - Valor Real'!C3:C15,0))+1),((L201-1)*(1-_xlfn.XLOOKUP(K201,'Janeiro 2023 - Valor Real'!A3:A15,'Janeiro 2023 - Valor Real'!C3:C15,0))+1))/((L200-1)*(1-_xlfn.XLOOKUP(K200,'Janeiro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Real'!C3:C15,0))+1))/((L199-1)*(1-_xlfn.XLOOKUP(K199,'Janeiro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Real'!C3:C15,0))+1))/((L200-1)*(1-_xlfn.XLOOKUP(K200,'Janeiro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Real'!C3:C15,0))+1))/((L201-1)*(1-_xlfn.XLOOKUP(K201,'Janeiro 2023 - Valor Real'!A3:A15,'Janeiro 2023 - Valor Real'!C3:C15,0))+1)),IF(I200="Lay",IF(I199="Lay",((L199/(L199-1)-1)*(1-_xlfn.XLOOKUP(K199,'Janeiro 2023 - Valor Real'!A3:A15,'Janeiro 2023 - Valor Real'!C3:C15,0))+1)/(((L199/(L199-1)-1)*(1-_xlfn.XLOOKUP(K199,'Janeiro 2023 - Valor Real'!A3:A15,'Janeiro 2023 - Valor Real'!C3:C15,0))+1)+((L200/(L200-1)-1)*(1-_xlfn.XLOOKUP(K200,'Janeiro 2023 - Valor Real'!A3:A15,'Janeiro 2023 - Valor Real'!C3:C15,0))+1)),((L199-1)*(1-_xlfn.XLOOKUP(K199,'Janeiro 2023 - Valor Real'!A3:A15,'Janeiro 2023 - Valor Real'!C3:C15,0))+1)/(((L199-1)*(1-_xlfn.XLOOKUP(K199,'Janeiro 2023 - Valor Real'!A3:A15,'Janeiro 2023 - Valor Real'!C3:C15,0))+1)+((L200/(L200-1)-1)*(1-_xlfn.XLOOKUP(K200,'Janeiro 2023 - Valor Real'!A3:A15,'Janeiro 2023 - Valor Real'!C3:C15,0))+1))),IF(I199="Lay",((L199/(L199-1)-1)*(1-_xlfn.XLOOKUP(K199,'Janeiro 2023 - Valor Real'!A3:A15,'Janeiro 2023 - Valor Real'!C3:C15,0))+1)/((((L199/(L199-1)-1)*(1-_xlfn.XLOOKUP(K199,'Janeiro 2023 - Valor Real'!A3:A15,'Janeiro 2023 - Valor Real'!C3:C15,0))+1))+((L200-1)*(1-_xlfn.XLOOKUP(K200,'Janeiro 2023 - Valor Real'!A3:A15,'Janeiro 2023 - Valor Real'!C3:C15,0))+1)),((L199-1)*(1-_xlfn.XLOOKUP(K199,'Janeiro 2023 - Valor Real'!A3:A15,'Janeiro 2023 - Valor Real'!C3:C15,0))+1)/(((L199-1)*(1-_xlfn.XLOOKUP(K199,'Janeiro 2023 - Valor Real'!A3:A15,'Janeiro 2023 - Valor Real'!C3:C15,0))+1)+((L200-1)*(1-_xlfn.XLOOKUP(K200,'Janeiro 2023 - Valor Real'!A3:A15,'Janeiro 2023 - Valor Real'!C3:C15,0))+1))))))</f>
        <v>0.649913344887348</v>
      </c>
      <c r="AF200" s="197">
        <f>IF($K200=AF$3,ROUND(IF(OR($C200="W",$C200="1/2W",$C200="1/2L"),$P200-$O200,IF($C200="X",0,-$O200)),2),0)</f>
        <v>0</v>
      </c>
      <c r="AG200" s="198">
        <f>IF($K200=AG$3,ROUND(IF(OR($C200="W",$C200="1/2W",$C200="1/2L"),$P200-$O200,IF($C200="X",0,-$O200)),2),0)</f>
        <v>0</v>
      </c>
      <c r="AH200" s="198">
        <f>IF($K200=AH$3,ROUND(IF(OR($C200="W",$C200="1/2W",$C200="1/2L"),$P200-$O200,IF($C200="X",0,-$O200)),2),0)</f>
        <v>0</v>
      </c>
      <c r="AI200" s="198">
        <f>IF($K200=AI$3,ROUND(IF(OR($C200="W",$C200="1/2W",$C200="1/2L"),$P200-$O200,IF($C200="X",0,-$O200)),2),0)</f>
        <v>0</v>
      </c>
      <c r="AJ200" s="198">
        <f>IF($K200=AJ$3,ROUND(IF(OR($C200="W",$C200="1/2W",$C200="1/2L"),$P200-$O200,IF($C200="X",0,-$O200)),2),0)</f>
        <v>0</v>
      </c>
      <c r="AK200" s="198">
        <f>IF($K200=AK$3,ROUND(IF(OR($C200="W",$C200="1/2W",$C200="1/2L"),$P200-$O200,IF($C200="X",0,-$O200)),2),0)</f>
        <v>0</v>
      </c>
      <c r="AL200" s="198">
        <f>IF($K200=AL$3,ROUND(IF(OR($C200="W",$C200="1/2W",$C200="1/2L"),$P200-$O200,IF($C200="X",0,-$O200)),2),0)</f>
        <v>0</v>
      </c>
      <c r="AM200" s="198">
        <f>IF($K200=AM$3,ROUND(IF(OR($C200="W",$C200="1/2W",$C200="1/2L"),$P200-$O200,IF($C200="X",0,-$O200)),2),0)</f>
        <v>0</v>
      </c>
      <c r="AN200" s="198">
        <f>IF($K200=AN$3,ROUND(IF(OR($C200="W",$C200="1/2W",$C200="1/2L"),$P200-$O200,IF($C200="X",0,-$O200)),2),0)</f>
        <v>0</v>
      </c>
      <c r="AO200" s="198">
        <f>IF($K200=AO$3,ROUND(IF(OR($C200="W",$C200="1/2W",$C200="1/2L"),$P200-$O200,IF($C200="X",0,-$O200)),2),0)</f>
        <v>0</v>
      </c>
      <c r="AP200" s="198">
        <f>IF($K200=AP$3,ROUND(IF(OR($C200="W",$C200="1/2W",$C200="1/2L"),$P200-$O200,IF($C200="X",0,-$O200)),2),0)</f>
        <v>0</v>
      </c>
      <c r="AQ200" s="198">
        <f>IF($K200=AQ$3,ROUND(IF(OR($C200="W",$C200="1/2W",$C200="1/2L"),$P200-$O200,IF($C200="X",0,-$O200)),2),0)</f>
        <v>-11.71</v>
      </c>
      <c r="AR200" s="199">
        <f>IF($K200=AR$3,ROUND(IF(OR($C200="W",$C200="1/2W",$C200="1/2L"),$P200-$O200,IF($C200="X",0,-$O200)),2),0)</f>
        <v>0</v>
      </c>
      <c r="AS200" s="197">
        <f>IF(AND($B199=" ",$K200=AS$3),$O200,0)</f>
        <v>0</v>
      </c>
      <c r="AT200" s="198">
        <f>IF(AND($B199=" ",K200=AT$3),$O200,0)</f>
        <v>0</v>
      </c>
      <c r="AU200" s="198">
        <f>IF(AND($B199=" ",$K200=AU$3),$O200,0)</f>
        <v>0</v>
      </c>
      <c r="AV200" s="198">
        <f>IF(AND($B199=" ",$K200=AV$3),$O200,0)</f>
        <v>0</v>
      </c>
      <c r="AW200" s="198">
        <f>IF(AND($B199=" ",$K200=AW$3),$O200,0)</f>
        <v>0</v>
      </c>
      <c r="AX200" s="198">
        <f>IF(AND($B199=" ",$K200=AX$3),$O200,0)</f>
        <v>0</v>
      </c>
      <c r="AY200" s="200">
        <f>IF(AND($B199=" ",$K200=AY$3),$O200,0)</f>
        <v>0</v>
      </c>
      <c r="AZ200" s="201">
        <f>IF(AND($B199=" ",$K200=AZ$3),$O200,0)</f>
        <v>0</v>
      </c>
      <c r="BA200" s="201">
        <f>IF(AND($B199=" ",$K200=BA$3),$O200,0)</f>
        <v>0</v>
      </c>
      <c r="BB200" s="201">
        <f>IF(AND($B199=" ",$K200=BB$3),$O200,0)</f>
        <v>0</v>
      </c>
      <c r="BC200" s="202">
        <f>IF(AND($B199=" ",$K200=BC$3),$O200,0)</f>
        <v>0</v>
      </c>
      <c r="BD200" s="198">
        <f>IF(AND($B199=" ",$K200=BD$3),$O200,0)</f>
        <v>0</v>
      </c>
      <c r="BE200" s="199">
        <f>IF(AND($B199=" ",$K200=BE$3),$O200,0)</f>
        <v>0</v>
      </c>
      <c r="BF200" s="197">
        <f>IF($K200=BF$3,IF($C200="X",0,$O200),0)</f>
        <v>0</v>
      </c>
      <c r="BG200" s="198">
        <f>IF($K200=BG$3,IF($C200="X",0,$O200),0)</f>
        <v>0</v>
      </c>
      <c r="BH200" s="198">
        <f>IF($K200=BH$3,IF($C200="X",0,$O200),0)</f>
        <v>0</v>
      </c>
      <c r="BI200" s="198">
        <f>IF($K200=BI$3,IF($C200="X",0,$O200),0)</f>
        <v>0</v>
      </c>
      <c r="BJ200" s="198">
        <f>IF($K200=BJ$3,IF($C200="X",0,$O200),0)</f>
        <v>0</v>
      </c>
      <c r="BK200" s="198">
        <f>IF($K200=BK$3,IF($C200="X",0,$O200),0)</f>
        <v>0</v>
      </c>
      <c r="BL200" s="198">
        <f>IF($K200=BL$3,IF($C200="X",0,$O200),0)</f>
        <v>0</v>
      </c>
      <c r="BM200" s="227">
        <f>IF($K200=BM$3,IF($C200="X",0,$O200),0)</f>
        <v>0</v>
      </c>
      <c r="BN200" s="205">
        <f>IF($K200=BN$3,IF($C200="X",0,$O200),0)</f>
        <v>0</v>
      </c>
      <c r="BO200" s="205">
        <f>IF($K200=BO$3,IF($C200="X",0,$O200),0)</f>
        <v>0</v>
      </c>
      <c r="BP200" s="205">
        <f>IF($K200=BP$3,IF($C200="X",0,$O200),0)</f>
        <v>0</v>
      </c>
      <c r="BQ200" s="202">
        <f>IF($K200=BQ$3,IF($C200="X",0,$O200),0)</f>
        <v>11.71</v>
      </c>
      <c r="BR200" s="199">
        <f>IF($K200=BR$3,IF($C200="X",0,$O200),0)</f>
        <v>0</v>
      </c>
      <c r="BS200" s="228"/>
      <c r="BT200" s="229"/>
      <c r="BU200" s="140"/>
      <c r="BV200" s="229"/>
      <c r="BW200" s="140"/>
      <c r="BX200" s="140"/>
      <c r="BY200" s="140"/>
      <c r="BZ200" s="229"/>
      <c r="CA200" s="140"/>
      <c r="CB200" s="140"/>
      <c r="CC200" s="140"/>
      <c r="CD200" s="141"/>
      <c r="CE200" s="142"/>
      <c r="CF200" s="230">
        <f>IF(CF$3=$K200,IF($C200="W",1,IF($C200="1/2W",0.5,0)),0)</f>
        <v>0</v>
      </c>
      <c r="CG200" s="231">
        <f>IF(CF$3=$K200,IF($C200="L",1,IF($C200="1/2L",0.5,0)),0)</f>
        <v>0</v>
      </c>
      <c r="CH200" s="231">
        <f>IF(CH$3=$K200,IF($C200="W",1,IF($C200="1/2W",0.5,0)),0)</f>
        <v>0</v>
      </c>
      <c r="CI200" s="231">
        <f>IF(CH$3=$K200,IF($C200="L",1,IF($C200="1/2L",0.5,0)),0)</f>
        <v>0</v>
      </c>
      <c r="CJ200" s="231">
        <f>IF(CJ$3=$K200,IF($C200="W",1,IF($C200="1/2W",0.5,0)),0)</f>
        <v>0</v>
      </c>
      <c r="CK200" s="231">
        <f>IF(CJ$3=$K200,IF($C200="L",1,IF($C200="1/2L",0.5,0)),0)</f>
        <v>0</v>
      </c>
      <c r="CL200" s="231">
        <f>IF(CL$3=$K200,IF($C200="W",1,IF($C200="1/2W",0.5,0)),0)</f>
        <v>0</v>
      </c>
      <c r="CM200" s="231">
        <f>IF(CL$3=$K200,IF($C200="L",1,IF($C200="1/2L",0.5,0)),0)</f>
        <v>0</v>
      </c>
      <c r="CN200" s="231">
        <f>IF(CN$3=$K200,IF($C200="W",1,IF($C200="1/2W",0.5,0)),0)</f>
        <v>0</v>
      </c>
      <c r="CO200" s="231">
        <f>IF(CN$3=$K200,IF($C200="L",1,IF($C200="1/2L",0.5,0)),0)</f>
        <v>0</v>
      </c>
      <c r="CP200" s="231">
        <f>IF(CP$3=$K200,IF($C200="W",1,IF($C200="1/2W",0.5,0)),0)</f>
        <v>0</v>
      </c>
      <c r="CQ200" s="231">
        <f>IF(CP$3=$K200,IF($C200="L",1,IF($C200="1/2L",0.5,0)),0)</f>
        <v>0</v>
      </c>
      <c r="CR200" s="231">
        <f>IF(CR$3=$K200,IF($C200="W",1,IF($C200="1/2W",0.5,0)),0)</f>
        <v>0</v>
      </c>
      <c r="CS200" s="231">
        <f>IF(CR$3=$K200,IF($C200="L",1,IF($C200="1/2L",0.5,0)),0)</f>
        <v>0</v>
      </c>
      <c r="CT200" s="208">
        <f>IF(CT$3=$K200,IF($C200="W",1,IF($C200="1/2W",0.5,0)),0)</f>
        <v>0</v>
      </c>
      <c r="CU200" s="209">
        <f>IF(CT$3=$K200,IF($C200="L",1,IF($C200="1/2L",0.5,0)),0)</f>
        <v>0</v>
      </c>
      <c r="CV200" s="209">
        <f>IF(CV$3=$K200,IF($C200="W",1,IF($C200="1/2W",0.5,0)),0)</f>
        <v>0</v>
      </c>
      <c r="CW200" s="209">
        <f>IF(CV$3=$K200,IF($C200="L",1,IF($C200="1/2L",0.5,0)),0)</f>
        <v>0</v>
      </c>
      <c r="CX200" s="209">
        <f>IF(CX$3=$K200,IF($C200="W",1,IF($C200="1/2W",0.5,0)),0)</f>
        <v>0</v>
      </c>
      <c r="CY200" s="209">
        <f>IF(CX$3=$K200,IF($C200="L",1,IF($C200="1/2L",0.5,0)),0)</f>
        <v>0</v>
      </c>
      <c r="CZ200" s="209">
        <f>IF(CZ$3=$K200,IF($C200="W",1,IF($C200="1/2W",0.5,0)),0)</f>
        <v>0</v>
      </c>
      <c r="DA200" s="209">
        <f>IF(CZ$3=$K200,IF($C200="L",1,IF($C200="1/2L",0.5,0)),0)</f>
        <v>0</v>
      </c>
      <c r="DB200" s="209">
        <f>IF(DB$3=$K200,IF($C200="W",1,IF($C200="1/2W",0.5,0)),0)</f>
        <v>0</v>
      </c>
      <c r="DC200" s="209">
        <f>IF(DB$3=$K200,IF($C200="L",1,IF($C200="1/2L",0.5,0)),0)</f>
        <v>1</v>
      </c>
      <c r="DD200" s="209">
        <f>IF(DD$3=$K200,IF($C200="W",1,IF($C200="1/2W",0.5,0)),0)</f>
        <v>0</v>
      </c>
      <c r="DE200" s="210">
        <f>IF(DD$3=$K200,IF($C200="L",1,IF($C200="1/2L",0.5,0)),0)</f>
        <v>0</v>
      </c>
      <c r="DF200" s="211">
        <f>IF(AND(L200&lt;DF$3,$C200="W"),1+DF199,DF199)</f>
        <v>8</v>
      </c>
      <c r="DG200" s="198">
        <f>IF(DF200&gt;DF199,L200+DG199,DG199)</f>
        <v>10.598</v>
      </c>
      <c r="DH200" s="209">
        <f>IF(AND(L200&gt;DH$3,$C200="W"),1+DH199,0+DH199)</f>
        <v>3</v>
      </c>
      <c r="DI200" s="198">
        <f>IF(DH200&gt;DH199,L200+DI199,DI199)</f>
        <v>15.98</v>
      </c>
      <c r="DJ200" t="s" s="306">
        <f>IF($D199="","",$D199)</f>
        <v>184</v>
      </c>
      <c r="DK200" s="232"/>
    </row>
    <row r="201" ht="14.55" customHeight="1">
      <c r="A201" s="149"/>
      <c r="B201" s="150"/>
      <c r="C201" t="s" s="233">
        <v>58</v>
      </c>
      <c r="D201" s="152"/>
      <c r="E201" s="153"/>
      <c r="F201" s="155"/>
      <c r="G201" s="234"/>
      <c r="H201" s="156"/>
      <c r="I201" s="235"/>
      <c r="J201" s="236"/>
      <c r="K201" s="237"/>
      <c r="L201" s="238"/>
      <c r="M201" s="239"/>
      <c r="N201" s="161"/>
      <c r="O201" t="s" s="240">
        <f>IF(OR(AE199="",AE200=""),"",IF(L201&gt;0,ROUND(IF(M201&gt;0,M201,IF(M199&gt;0,ROUND((M199*AE201)/AE199,IF(N199=0,2,IF(N199=0.1,1,0))),IF(M200&gt;0,ROUND((M200*AE201)/AE200,IF(N199=0,2,IF(N199=0.1,1,0))),IF(M201&gt;0,M201,0)))),2),""))</f>
      </c>
      <c r="P201" t="s" s="241">
        <f>IF(I200="Lay",O200*(L200/(L200-1))-O200,IF(I199="Lay",O199*(L199/(L199-1))-O199,IF(OR(L201="",O201=""),"",IF($C201="1/2W",O201/2+O201/2*L201,IF($C201="1/2L",O201/2,(O201*L201-O201)*(1-_xlfn.XLOOKUP(K201,'Janeiro 2023 - Valor Real'!A3:A15,'Janeiro 2023 - Valor Real'!C3:C15,0))+O201)))))</f>
      </c>
      <c r="Q201" t="s" s="242">
        <f>IF(K201="","",IF(_xlfn.XLOOKUP(K201,K$86:K105,DJ$86:DJ105,0,,-1)=DJ201,_xlfn.XLOOKUP(K201,K$86:K105,Q$86:Q105,1,,-1)+1,1))</f>
      </c>
      <c r="R201" t="s" s="243">
        <f>IF(K201="","",_xlfn.XLOOKUP(K201,K$86:K105,R$86:R105,0,,-1)+IF($C201=" ",1,0))</f>
      </c>
      <c r="S201" s="166"/>
      <c r="T201" s="155"/>
      <c r="U201" s="155"/>
      <c r="V201" s="166"/>
      <c r="W201" s="155"/>
      <c r="X201" s="167"/>
      <c r="Y201" s="128"/>
      <c r="Z201" s="129"/>
      <c r="AA201" s="129"/>
      <c r="AB201" s="129"/>
      <c r="AC201" s="129"/>
      <c r="AD201" s="244">
        <f>((L200/(L200-1)-1))</f>
        <v>0.9803921568627449</v>
      </c>
      <c r="AE201" t="s" s="245">
        <f>IF(L201="","",(SUM(((L199-1)*(1-_xlfn.XLOOKUP(K199,'Janeiro 2023 - Valor Real'!A3:A15,'Janeiro 2023 - Valor Real'!C3:C15,0))+1),((L200-1)*(1-_xlfn.XLOOKUP(K200,'Janeiro 2023 - Valor Real'!A3:A15,'Janeiro 2023 - Valor Real'!C3:C15,0))+1),((L201-1)*(1-_xlfn.XLOOKUP(K201,'Janeiro 2023 - Valor Real'!A3:A15,'Janeiro 2023 - Valor Real'!C3:C15,0))+1))/((L201-1)*(1-_xlfn.XLOOKUP(K201,'Janeiro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Real'!C3:C15,0))+1))/((L199-1)*(1-_xlfn.XLOOKUP(K199,'Janeiro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Real'!C3:C15,0))+1))/((L200-1)*(1-_xlfn.XLOOKUP(K200,'Janeiro 2023 - Valor Real'!A3:A15,'Janeiro 2023 - Valor Real'!C3:C15,0))+1)+SUM(((L199-1)*(1-_xlfn.XLOOKUP(K199,'Janeiro 2023 - Valor Real'!A3:A15,'Janeiro 2023 - Valor Real'!C3:C15,0))+1),((L200-1)*(1-_xlfn.XLOOKUP(K200,'Janeiro 2023 - Valor Real'!A3:A15,'Janeiro 2023 - Valor Real'!C3:C15,0))+1),((L201-1)*(1-_xlfn.XLOOKUP(K201,'Janeiro 2023 - Valor Real'!A3:A15,'Janeiro 2023 - Valor Real'!C3:C15,0))+1))/((L201-1)*(1-_xlfn.XLOOKUP(K201,'Janeiro 2023 - Valor Real'!A3:A15,'Janeiro 2023 - Valor Real'!C3:C15,0))+1)))</f>
      </c>
      <c r="AF201" s="197">
        <f>IF($K201=AF$3,ROUND(IF(OR($C201="W",$C201="1/2W",$C201="1/2L"),$P201-$O201,IF($C201="X",0,-$O201)),2),0)</f>
        <v>0</v>
      </c>
      <c r="AG201" s="198">
        <f>IF($K201=AG$3,ROUND(IF(OR($C201="W",$C201="1/2W",$C201="1/2L"),$P201-$O201,IF($C201="X",0,-$O201)),2),0)</f>
        <v>0</v>
      </c>
      <c r="AH201" s="198">
        <f>IF($K201=AH$3,ROUND(IF(OR($C201="W",$C201="1/2W",$C201="1/2L"),$P201-$O201,IF($C201="X",0,-$O201)),2),0)</f>
        <v>0</v>
      </c>
      <c r="AI201" s="198">
        <f>IF($K201=AI$3,ROUND(IF(OR($C201="W",$C201="1/2W",$C201="1/2L"),$P201-$O201,IF($C201="X",0,-$O201)),2),0)</f>
        <v>0</v>
      </c>
      <c r="AJ201" s="198">
        <f>IF($K201=AJ$3,ROUND(IF(OR($C201="W",$C201="1/2W",$C201="1/2L"),$P201-$O201,IF($C201="X",0,-$O201)),2),0)</f>
        <v>0</v>
      </c>
      <c r="AK201" s="198">
        <f>IF($K201=AK$3,ROUND(IF(OR($C201="W",$C201="1/2W",$C201="1/2L"),$P201-$O201,IF($C201="X",0,-$O201)),2),0)</f>
        <v>0</v>
      </c>
      <c r="AL201" s="198">
        <f>IF($K201=AL$3,ROUND(IF(OR($C201="W",$C201="1/2W",$C201="1/2L"),$P201-$O201,IF($C201="X",0,-$O201)),2),0)</f>
        <v>0</v>
      </c>
      <c r="AM201" s="198">
        <f>IF($K201=AM$3,ROUND(IF(OR($C201="W",$C201="1/2W",$C201="1/2L"),$P201-$O201,IF($C201="X",0,-$O201)),2),0)</f>
        <v>0</v>
      </c>
      <c r="AN201" s="198">
        <f>IF($K201=AN$3,ROUND(IF(OR($C201="W",$C201="1/2W",$C201="1/2L"),$P201-$O201,IF($C201="X",0,-$O201)),2),0)</f>
        <v>0</v>
      </c>
      <c r="AO201" s="198">
        <f>IF($K201=AO$3,ROUND(IF(OR($C201="W",$C201="1/2W",$C201="1/2L"),$P201-$O201,IF($C201="X",0,-$O201)),2),0)</f>
        <v>0</v>
      </c>
      <c r="AP201" s="198">
        <f>IF($K201=AP$3,ROUND(IF(OR($C201="W",$C201="1/2W",$C201="1/2L"),$P201-$O201,IF($C201="X",0,-$O201)),2),0)</f>
        <v>0</v>
      </c>
      <c r="AQ201" s="198">
        <f>IF($K201=AQ$3,ROUND(IF(OR($C201="W",$C201="1/2W",$C201="1/2L"),$P201-$O201,IF($C201="X",0,-$O201)),2),0)</f>
        <v>0</v>
      </c>
      <c r="AR201" s="199">
        <f>IF($K201=AR$3,ROUND(IF(OR($C201="W",$C201="1/2W",$C201="1/2L"),$P201-$O201,IF($C201="X",0,-$O201)),2),0)</f>
        <v>0</v>
      </c>
      <c r="AS201" s="197">
        <f>IF(AND($B199=" ",$K201=AS$3),$O201,0)</f>
        <v>0</v>
      </c>
      <c r="AT201" s="198">
        <f>IF(AND($B199=" ",K201=AT$3),$O201,0)</f>
        <v>0</v>
      </c>
      <c r="AU201" s="198">
        <f>IF(AND($B199=" ",$K201=AU$3),$O201,0)</f>
        <v>0</v>
      </c>
      <c r="AV201" s="198">
        <f>IF(AND($B199=" ",$K201=AV$3),$O201,0)</f>
        <v>0</v>
      </c>
      <c r="AW201" s="198">
        <f>IF(AND($B199=" ",$K201=AW$3),$O201,0)</f>
        <v>0</v>
      </c>
      <c r="AX201" s="198">
        <f>IF(AND($B199=" ",$K201=AX$3),$O201,0)</f>
        <v>0</v>
      </c>
      <c r="AY201" s="200">
        <f>IF(AND($B199=" ",$K201=AY$3),$O201,0)</f>
        <v>0</v>
      </c>
      <c r="AZ201" s="201">
        <f>IF(AND($B199=" ",$K201=AZ$3),$O201,0)</f>
        <v>0</v>
      </c>
      <c r="BA201" s="201">
        <f>IF(AND($B199=" ",$K201=BA$3),$O201,0)</f>
        <v>0</v>
      </c>
      <c r="BB201" s="201">
        <f>IF(AND($B199=" ",$K201=BB$3),$O201,0)</f>
        <v>0</v>
      </c>
      <c r="BC201" s="202">
        <f>IF(AND($B199=" ",$K201=BC$3),$O201,0)</f>
        <v>0</v>
      </c>
      <c r="BD201" s="198">
        <f>IF(AND($B199=" ",$K201=BD$3),$O201,0)</f>
        <v>0</v>
      </c>
      <c r="BE201" s="199">
        <f>IF(AND($B199=" ",$K201=BE$3),$O201,0)</f>
        <v>0</v>
      </c>
      <c r="BF201" s="197">
        <f>IF($K201=BF$3,IF($C201="X",0,$O201),0)</f>
        <v>0</v>
      </c>
      <c r="BG201" s="198">
        <f>IF($K201=BG$3,IF($C201="X",0,$O201),0)</f>
        <v>0</v>
      </c>
      <c r="BH201" s="198">
        <f>IF($K201=BH$3,IF($C201="X",0,$O201),0)</f>
        <v>0</v>
      </c>
      <c r="BI201" s="198">
        <f>IF($K201=BI$3,IF($C201="X",0,$O201),0)</f>
        <v>0</v>
      </c>
      <c r="BJ201" s="198">
        <f>IF($K201=BJ$3,IF($C201="X",0,$O201),0)</f>
        <v>0</v>
      </c>
      <c r="BK201" s="198">
        <f>IF($K201=BK$3,IF($C201="X",0,$O201),0)</f>
        <v>0</v>
      </c>
      <c r="BL201" s="198">
        <f>IF($K201=BL$3,IF($C201="X",0,$O201),0)</f>
        <v>0</v>
      </c>
      <c r="BM201" s="200">
        <f>IF($K201=BM$3,IF($C201="X",0,$O201),0)</f>
        <v>0</v>
      </c>
      <c r="BN201" s="201">
        <f>IF($K201=BN$3,IF($C201="X",0,$O201),0)</f>
        <v>0</v>
      </c>
      <c r="BO201" s="201">
        <f>IF($K201=BO$3,IF($C201="X",0,$O201),0)</f>
        <v>0</v>
      </c>
      <c r="BP201" s="201">
        <f>IF($K201=BP$3,IF($C201="X",0,$O201),0)</f>
        <v>0</v>
      </c>
      <c r="BQ201" s="202">
        <f>IF($K201=BQ$3,IF($C201="X",0,$O201),0)</f>
        <v>0</v>
      </c>
      <c r="BR201" s="199">
        <f>IF($K201=BR$3,IF($C201="X",0,$O201),0)</f>
        <v>0</v>
      </c>
      <c r="BS201" s="228"/>
      <c r="BT201" s="229"/>
      <c r="BU201" s="140"/>
      <c r="BV201" s="229"/>
      <c r="BW201" s="140"/>
      <c r="BX201" s="140"/>
      <c r="BY201" s="140"/>
      <c r="BZ201" s="229"/>
      <c r="CA201" s="140"/>
      <c r="CB201" s="140"/>
      <c r="CC201" s="140"/>
      <c r="CD201" s="141"/>
      <c r="CE201" s="142"/>
      <c r="CF201" s="230">
        <f>IF(CF$3=$K201,IF($C201="W",1,IF($C201="1/2W",0.5,0)),0)</f>
        <v>0</v>
      </c>
      <c r="CG201" s="231">
        <f>IF(CF$3=$K201,IF($C201="L",1,IF($C201="1/2L",0.5,0)),0)</f>
        <v>0</v>
      </c>
      <c r="CH201" s="231">
        <f>IF(CH$3=$K201,IF($C201="W",1,IF($C201="1/2W",0.5,0)),0)</f>
        <v>0</v>
      </c>
      <c r="CI201" s="231">
        <f>IF(CH$3=$K201,IF($C201="L",1,IF($C201="1/2L",0.5,0)),0)</f>
        <v>0</v>
      </c>
      <c r="CJ201" s="231">
        <f>IF(CJ$3=$K201,IF($C201="W",1,IF($C201="1/2W",0.5,0)),0)</f>
        <v>0</v>
      </c>
      <c r="CK201" s="231">
        <f>IF(CJ$3=$K201,IF($C201="L",1,IF($C201="1/2L",0.5,0)),0)</f>
        <v>0</v>
      </c>
      <c r="CL201" s="231">
        <f>IF(CL$3=$K201,IF($C201="W",1,IF($C201="1/2W",0.5,0)),0)</f>
        <v>0</v>
      </c>
      <c r="CM201" s="231">
        <f>IF(CL$3=$K201,IF($C201="L",1,IF($C201="1/2L",0.5,0)),0)</f>
        <v>0</v>
      </c>
      <c r="CN201" s="231">
        <f>IF(CN$3=$K201,IF($C201="W",1,IF($C201="1/2W",0.5,0)),0)</f>
        <v>0</v>
      </c>
      <c r="CO201" s="231">
        <f>IF(CN$3=$K201,IF($C201="L",1,IF($C201="1/2L",0.5,0)),0)</f>
        <v>0</v>
      </c>
      <c r="CP201" s="231">
        <f>IF(CP$3=$K201,IF($C201="W",1,IF($C201="1/2W",0.5,0)),0)</f>
        <v>0</v>
      </c>
      <c r="CQ201" s="231">
        <f>IF(CP$3=$K201,IF($C201="L",1,IF($C201="1/2L",0.5,0)),0)</f>
        <v>0</v>
      </c>
      <c r="CR201" s="231">
        <f>IF(CR$3=$K201,IF($C201="W",1,IF($C201="1/2W",0.5,0)),0)</f>
        <v>0</v>
      </c>
      <c r="CS201" s="231">
        <f>IF(CR$3=$K201,IF($C201="L",1,IF($C201="1/2L",0.5,0)),0)</f>
        <v>0</v>
      </c>
      <c r="CT201" s="208">
        <f>IF(CT$3=$K201,IF($C201="W",1,IF($C201="1/2W",0.5,0)),0)</f>
        <v>0</v>
      </c>
      <c r="CU201" s="209">
        <f>IF(CT$3=$K201,IF($C201="L",1,IF($C201="1/2L",0.5,0)),0)</f>
        <v>0</v>
      </c>
      <c r="CV201" s="209">
        <f>IF(CV$3=$K201,IF($C201="W",1,IF($C201="1/2W",0.5,0)),0)</f>
        <v>0</v>
      </c>
      <c r="CW201" s="209">
        <f>IF(CV$3=$K201,IF($C201="L",1,IF($C201="1/2L",0.5,0)),0)</f>
        <v>0</v>
      </c>
      <c r="CX201" s="209">
        <f>IF(CX$3=$K201,IF($C201="W",1,IF($C201="1/2W",0.5,0)),0)</f>
        <v>0</v>
      </c>
      <c r="CY201" s="209">
        <f>IF(CX$3=$K201,IF($C201="L",1,IF($C201="1/2L",0.5,0)),0)</f>
        <v>0</v>
      </c>
      <c r="CZ201" s="209">
        <f>IF(CZ$3=$K201,IF($C201="W",1,IF($C201="1/2W",0.5,0)),0)</f>
        <v>0</v>
      </c>
      <c r="DA201" s="209">
        <f>IF(CZ$3=$K201,IF($C201="L",1,IF($C201="1/2L",0.5,0)),0)</f>
        <v>0</v>
      </c>
      <c r="DB201" s="209">
        <f>IF(DB$3=$K201,IF($C201="W",1,IF($C201="1/2W",0.5,0)),0)</f>
        <v>0</v>
      </c>
      <c r="DC201" s="209">
        <f>IF(DB$3=$K201,IF($C201="L",1,IF($C201="1/2L",0.5,0)),0)</f>
        <v>0</v>
      </c>
      <c r="DD201" s="209">
        <f>IF(DD$3=$K201,IF($C201="W",1,IF($C201="1/2W",0.5,0)),0)</f>
        <v>0</v>
      </c>
      <c r="DE201" s="210">
        <f>IF(DD$3=$K201,IF($C201="L",1,IF($C201="1/2L",0.5,0)),0)</f>
        <v>0</v>
      </c>
      <c r="DF201" s="211">
        <f>IF(AND(L201&lt;DF$3,$C201="W"),1+DF200,DF200)</f>
        <v>8</v>
      </c>
      <c r="DG201" s="198">
        <f>IF(DF201&gt;DF200,L201+DG200,DG200)</f>
        <v>10.598</v>
      </c>
      <c r="DH201" s="209">
        <f>IF(AND(L201&gt;DH$3,$C201="W"),1+DH200,0+DH200)</f>
        <v>3</v>
      </c>
      <c r="DI201" s="198">
        <f>IF(DH201&gt;DH200,L201+DI200,DI200)</f>
        <v>15.98</v>
      </c>
      <c r="DJ201" t="s" s="306">
        <f>IF($D199="","",$D199)</f>
        <v>184</v>
      </c>
      <c r="DK201" s="232"/>
    </row>
    <row r="202" ht="14.55" customHeight="1">
      <c r="A202" s="246">
        <f>$A199+1</f>
        <v>67</v>
      </c>
      <c r="B202" t="s" s="247">
        <f>IF(AND(_xlfn.XLOOKUP(H202,H$87:H106,G$87:G106,0)=G202,_xlfn.XLOOKUP("TempoBet",K202:K204,L202:L204,0)&gt;0),"X",IF(OR(C202="W",C203="W",C204="W",C202="1/2W",C203="1/2W",C204="1/2W",C202="1/2L",C203="1/2L",C204="1/2L"),"OK",IF(OR(C202="L",C203="L",C204="L"),"LOSS",IF(OR(C202="X",C203="X",C204="X"),"Anulado"," "))))</f>
        <v>50</v>
      </c>
      <c r="C202" t="s" s="248">
        <v>51</v>
      </c>
      <c r="D202" t="s" s="303">
        <f>IF(G202="","",$D199)</f>
        <v>184</v>
      </c>
      <c r="E202" t="s" s="250">
        <v>145</v>
      </c>
      <c r="F202" t="s" s="251"/>
      <c r="G202" s="252">
        <f>IF(H202="","",_xlfn.XLOOKUP(H202,H$4:H201,G$4:G201,""))</f>
        <v>44945</v>
      </c>
      <c r="H202" t="s" s="253">
        <v>212</v>
      </c>
      <c r="I202" t="s" s="254">
        <v>65</v>
      </c>
      <c r="J202" s="255">
        <v>124.5</v>
      </c>
      <c r="K202" t="s" s="256">
        <v>38</v>
      </c>
      <c r="L202" s="257">
        <v>5.5</v>
      </c>
      <c r="M202" s="258">
        <v>3.88</v>
      </c>
      <c r="N202" s="259">
        <v>0</v>
      </c>
      <c r="O202" s="260">
        <f>IF(OR(AE202="",AE203=""),"",ROUND(IF(L204&gt;0,IF(M202&gt;0,M202,IF(M203&gt;0,ROUND((M203*AE202)/AE203,IF(N202=0,2,IF(N202=0.1,1,0))),ROUND((M204*AE202)/AE204,IF(N202=0,2,IF(N202=0.1,1,0))))),IF(M202&gt;0,M202,ROUND((M203*AE202)/AE203,IF(N202=0,2,IF(N202=0.1,1,0))))),2))</f>
        <v>3.88</v>
      </c>
      <c r="P202" s="261">
        <f>IF(OR(L202="",O202=""),"",IF($C202="1/2W",O202/2+O202/2*L202,IF($C202="1/2L",O202/2,IF(I202="Lay",(O202*(L202/(L202-1))-O202)*(1-_xlfn.XLOOKUP(K202,'Janeiro 2023 - Valor Real'!A3:A15,'Janeiro 2023 - Valor Real'!C3:C15,0))+O202,(O202*L202-O202)*(1-_xlfn.XLOOKUP(K202,'Janeiro 2023 - Valor Real'!A3:A15,'Janeiro 2023 - Valor Real'!C3:C15,0))+O202))))</f>
        <v>21.34</v>
      </c>
      <c r="Q202" s="262">
        <f>IF(K202="","",IF(_xlfn.XLOOKUP(K202,K$87:K106,DJ$87:DJ106,0,,-1)=DJ202,_xlfn.XLOOKUP(K202,K$87:K106,Q$87:Q106,1,,-1)+1,1))</f>
        <v>1</v>
      </c>
      <c r="R202" s="263">
        <f>IF(K202="","",_xlfn.XLOOKUP(K202,K$87:K106,R$87:R106,0,,-1)+IF($C202=" ",1,0))</f>
        <v>0</v>
      </c>
      <c r="S202" s="264">
        <f>IF($B202="Anulado",0,ROUND(IF(OR($B202="LOSS",$B202="OK"),IF(OR($C202="W",$C202="1/2W",$C202="1/2L"),P202-O202,IF($C202="L",-O202,0))+IF(OR($C203="W",$C203="1/2W",$C203="1/2L"),P203-O203,IF($C203="L",-O203,0))+IF(OR($C204="W",$C204="1/2W",$C204="1/2L"),P204-O204,IF($C204="L",-O204,0)),IF(AND(OR($C202="W",$C202="1/2W",$C202="1/2L"),C203="W"),P202+P203-SUM(O202:O204)+_xlfn.XLOOKUP("X",C202:C204,O202:O204,0),IF(AND(C202=TRUE,C204="W"),P202+P204-SUM(O202:O204),IF(AND(C203="W",C204="W"),P203+P204-SUM(O202:O204)+_xlfn.XLOOKUP("X",C202:C204,O202:O204,0),IF(L204&gt;0,IF(OR($C202="W",$C202="1/2W",$C202="1/2L"),P202-SUM(O202:O204)+_xlfn.XLOOKUP("X",C202:C204,O202:O204,0),IF(OR($C202="W",$C202="1/2W",$C202="1/2L"),P203-SUM(O202:O204)+_xlfn.XLOOKUP("X",C202:C204,O202:O204,0),IF(OR($C202="W",$C202="1/2W",$C202="1/2L"),P204-SUM(O202:O204)+_xlfn.XLOOKUP("X",C202:C204,O202:O204,0),IF(SUM(P202:P204)/3-SUM(O202:O204)+_xlfn.XLOOKUP("X",C202:C204,O202:O204,0)&gt;0,SUM(P202:P204)/3-SUM(O202:O204)+_xlfn.XLOOKUP("X",C202:C204,O202:O204,0),LARGE(P202:P204,1)-SUM(O202:O204))))),IF(OR($C202="W",$C202="1/2W",$C202="1/2L"),P202-SUM(O202:O203)+_xlfn.XLOOKUP("X",C202:C204,O202:O204,0),IF(OR($C202="W",$C202="1/2W",$C202="1/2L"),P203-SUM(O202:O203)+_xlfn.XLOOKUP("X",C202:C204,O202:O204,0),SUM(P202:P203)/2-SUM(O202:O203)+_xlfn.XLOOKUP("X",C202:C204,O202:O204,0)))))))),2))</f>
        <v>6.46</v>
      </c>
      <c r="T202" s="265">
        <f>IF(S202=0,0,S202/SUM(O202:O204))</f>
        <v>0.434139784946237</v>
      </c>
      <c r="U202" s="266">
        <f>IF($D202=$D199,IF(OR($B202="LOSS",$B202="OK",$B202="Anulada"),S202,0)+U199,IF(OR($B202="LOSS",$B202="OK",$B202="Anulada"),S202,0))</f>
        <v>28.91</v>
      </c>
      <c r="V202" s="266">
        <f>IF($D202="",0,IF($D202=$D199,IF($B202=" ",IF(I204="",IF(OR(AND(I202="DNB1",I203="DNB2"),AND(OR(I202="DNB1",I202="DNB2"),J203=0),AND(OR(I203="DNB1",I203="DNB2"),J202=0),AND(I202="DNB2",I203="DNB1"),AND(IF(J202=0,(J202+1)/ROUND(J202+1,0),J202/ROUND(J202,0))=1,IF(J203=0,(J203+1)/ROUND(IF(J203="",0,J203)+1,0),IF(J203="",0,J203)/ROUND(IF(J203="",1,J203),0))=1,OR(J202&lt;&gt;""),J203&lt;&gt;"")),0,IF(S202&lt;0,IF(I204="",SMALL(P202:P203,1)-SUM(O202:O203),0),SMALL(P202:P203,1)-SUM(O202:O203))),IF(S202&lt;0,IF(I204="",SMALL(P202:P204,1)-SUM(O202:O204),0),LARGE(P202:P204,1)-SUM(O202:O204))),S202)+V199,IF(I204="",IF(OR(AND(I202="DNB1",I203="DNB2"),AND(OR(I202="DNB1",I202="DNB2"),J203=0),AND(OR(I203="DNB1",I203="DNB2"),J202=0),AND(I202="DNB2",I203="DNB1"),AND(IF(J202=0,(J202+1)/ROUND(J202+1,0),J202/ROUND(J202,0))=1,IF(J203=0,(IF(J203="",0,J203)+1)/ROUND(IF(J203="",0,J203)+1,0),IF(J203="",0,J203)/ROUND(IF(J203="",0,J203)+1,0))=1,OR(J202&lt;&gt;""),J203&lt;&gt;"")),0,IF(S202&lt;0,IF(I204="",SMALL(P202:P203,1)-SUM(O202:O203),0),SMALL(P202:P204,1)-SUM(O202:O204))),IF(S202&lt;0,IF(I204="",SMALL(P202:P204,1)-SUM(O202:O204),0),LARGE(P202:P204,1)-SUM(O202:O204)))))</f>
        <v>28.9075</v>
      </c>
      <c r="W202" s="266">
        <f>IF($D202=$D199,IF(S202&lt;0,IF(I204="",S202,0),S202)+W199,S202)</f>
        <v>28.91</v>
      </c>
      <c r="X202" t="s" s="267">
        <f>IF(OR(SUM(R202:R204)=0,V202=W202),ROUND(IF(W202=0,0,W202/Y202)*100,2)&amp;"%",ROUND(IF(V202=0,0,V202/Y202)*100,2)&amp;"% a "&amp;ROUND(IF(W202=0,0,W202/Y202)*100,2)&amp;"%")</f>
        <v>214</v>
      </c>
      <c r="Y202" s="268">
        <f>IF($D202=$D199,Y199+SUM(O202:O204),SUM(O202:O204))</f>
        <v>674.25</v>
      </c>
      <c r="Z202" s="266">
        <f>IF($B202=" ",SUM(O202:O204),0)+Z199</f>
        <v>0</v>
      </c>
      <c r="AA202" s="266">
        <f>IF(G202="","",IF($B202="Anulado",LARGE(P202:P204,1)-SUM(O202:O204)+AA199,AA199))</f>
        <v>15.1024</v>
      </c>
      <c r="AB202" s="266">
        <f>IF($D202="","",AB199+S202)</f>
        <v>154.02</v>
      </c>
      <c r="AC202" s="269">
        <f>IF($D202="","",IF($B202=" ",IF(DAY(G202)=DAY(TODAY()),1+AC199,0+AC199),0+AC199))</f>
        <v>0</v>
      </c>
      <c r="AD202" s="270">
        <f>(1-_xlfn.XLOOKUP(K200,'Janeiro 2023 - Valor Real'!A3:A15,'Janeiro 2023 - Valor Real'!C3:C15,0))+1</f>
        <v>2</v>
      </c>
      <c r="AE202" s="271">
        <f>IF(L202="","",IF(L204&gt;0,(SUM(((L202-1)*(1-_xlfn.XLOOKUP(K202,'Janeiro 2023 - Valor Real'!A3:A15,'Janeiro 2023 - Valor Real'!C3:C15,0))+1),((L203-1)*(1-_xlfn.XLOOKUP(K203,'Janeiro 2023 - Valor Real'!A3:A15,'Janeiro 2023 - Valor Real'!C3:C15,0))+1),((L204-1)*(1-_xlfn.XLOOKUP(K204,'Janeiro 2023 - Valor Real'!A3:A15,'Janeiro 2023 - Valor Real'!C3:C15,0))+1))/((L202-1)*(1-_xlfn.XLOOKUP(K202,'Janeiro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Real'!C3:C15,0))+1))/((L202-1)*(1-_xlfn.XLOOKUP(K202,'Janeiro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Real'!C3:C15,0))+1))/((L203-1)*(1-_xlfn.XLOOKUP(K203,'Janeiro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Real'!C3:C15,0))+1))/((L204-1)*(1-_xlfn.XLOOKUP(K204,'Janeiro 2023 - Valor Real'!A3:A15,'Janeiro 2023 - Valor Real'!C3:C15,0))+1)),IF(I202="Lay",IF(I203="Lay",((L203/(L203-1)-1)*(1-_xlfn.XLOOKUP(K203,'Janeiro 2023 - Valor Real'!A3:A15,'Janeiro 2023 - Valor Real'!C3:C15,0))+1)/(((L203/(L203-1)-1)*(1-_xlfn.XLOOKUP(K203,'Janeiro 2023 - Valor Real'!A3:A15,'Janeiro 2023 - Valor Real'!C3:C15,0))+1)+((L202/(L202-1)-1)*(1-_xlfn.XLOOKUP(K202,'Janeiro 2023 - Valor Real'!A3:A15,'Janeiro 2023 - Valor Real'!C3:C15,0))+1)),((L203-1)*(1-_xlfn.XLOOKUP(K203,'Janeiro 2023 - Valor Real'!A3:A15,'Janeiro 2023 - Valor Real'!C3:C15,0))+1)/(((L203-1)*(1-_xlfn.XLOOKUP(K203,'Janeiro 2023 - Valor Real'!A3:A15,'Janeiro 2023 - Valor Real'!C3:C15,0))+1)+((L202/(L202-1)-1)*(1-_xlfn.XLOOKUP(K202,'Janeiro 2023 - Valor Real'!A3:A15,'Janeiro 2023 - Valor Real'!C3:C15,0))+1))),IF(I203="Lay",(((L203/(L203-1)-1)*(1-_xlfn.XLOOKUP(K203,'Janeiro 2023 - Valor Real'!A3:A15,'Janeiro 2023 - Valor Real'!C3:C15,0))+1))/(((L202-1)*(1-_xlfn.XLOOKUP(K202,'Janeiro 2023 - Valor Real'!A3:A15,'Janeiro 2023 - Valor Real'!C3:C15,0))+1)+((L203/(L203-1)-1)*(1-_xlfn.XLOOKUP(K203,'Janeiro 2023 - Valor Real'!A3:A15,'Janeiro 2023 - Valor Real'!C3:C15,0))+1)),((L203-1)*(1-_xlfn.XLOOKUP(K203,'Janeiro 2023 - Valor Real'!A3:A15,'Janeiro 2023 - Valor Real'!C3:C15,0))+1)/(((L203-1)*(1-_xlfn.XLOOKUP(K203,'Janeiro 2023 - Valor Real'!A3:A15,'Janeiro 2023 - Valor Real'!C3:C15,0))+1)+((L202-1)*(1-_xlfn.XLOOKUP(K202,'Janeiro 2023 - Valor Real'!A3:A15,'Janeiro 2023 - Valor Real'!C3:C15,0))+1))))))</f>
        <v>0.260752688172043</v>
      </c>
      <c r="AF202" s="132">
        <f>IF($K202=AF$3,ROUND(IF(OR($C202="W",$C202="1/2W",$C202="1/2L"),$P202-$O202,IF($C202="X",0,-$O202)),2),0)</f>
        <v>0</v>
      </c>
      <c r="AG202" s="133">
        <f>IF($K202=AG$3,ROUND(IF(OR($C202="W",$C202="1/2W",$C202="1/2L"),$P202-$O202,IF($C202="X",0,-$O202)),2),0)</f>
        <v>-3.88</v>
      </c>
      <c r="AH202" s="133">
        <f>IF($K202=AH$3,ROUND(IF(OR($C202="W",$C202="1/2W",$C202="1/2L"),$P202-$O202,IF($C202="X",0,-$O202)),2),0)</f>
        <v>0</v>
      </c>
      <c r="AI202" s="133">
        <f>IF($K202=AI$3,ROUND(IF(OR($C202="W",$C202="1/2W",$C202="1/2L"),$P202-$O202,IF($C202="X",0,-$O202)),2),0)</f>
        <v>0</v>
      </c>
      <c r="AJ202" s="133">
        <f>IF($K202=AJ$3,ROUND(IF(OR($C202="W",$C202="1/2W",$C202="1/2L"),$P202-$O202,IF($C202="X",0,-$O202)),2),0)</f>
        <v>0</v>
      </c>
      <c r="AK202" s="133">
        <f>IF($K202=AK$3,ROUND(IF(OR($C202="W",$C202="1/2W",$C202="1/2L"),$P202-$O202,IF($C202="X",0,-$O202)),2),0)</f>
        <v>0</v>
      </c>
      <c r="AL202" s="133">
        <f>IF($K202=AL$3,ROUND(IF(OR($C202="W",$C202="1/2W",$C202="1/2L"),$P202-$O202,IF($C202="X",0,-$O202)),2),0)</f>
        <v>0</v>
      </c>
      <c r="AM202" s="133">
        <f>IF($K202=AM$3,ROUND(IF(OR($C202="W",$C202="1/2W",$C202="1/2L"),$P202-$O202,IF($C202="X",0,-$O202)),2),0)</f>
        <v>0</v>
      </c>
      <c r="AN202" s="133">
        <f>IF($K202=AN$3,ROUND(IF(OR($C202="W",$C202="1/2W",$C202="1/2L"),$P202-$O202,IF($C202="X",0,-$O202)),2),0)</f>
        <v>0</v>
      </c>
      <c r="AO202" s="133">
        <f>IF($K202=AO$3,ROUND(IF(OR($C202="W",$C202="1/2W",$C202="1/2L"),$P202-$O202,IF($C202="X",0,-$O202)),2),0)</f>
        <v>0</v>
      </c>
      <c r="AP202" s="133">
        <f>IF($K202=AP$3,ROUND(IF(OR($C202="W",$C202="1/2W",$C202="1/2L"),$P202-$O202,IF($C202="X",0,-$O202)),2),0)</f>
        <v>0</v>
      </c>
      <c r="AQ202" s="133">
        <f>IF($K202=AQ$3,ROUND(IF(OR($C202="W",$C202="1/2W",$C202="1/2L"),$P202-$O202,IF($C202="X",0,-$O202)),2),0)</f>
        <v>0</v>
      </c>
      <c r="AR202" s="134">
        <f>IF($K202=AR$3,ROUND(IF(OR($C202="W",$C202="1/2W",$C202="1/2L"),$P202-$O202,IF($C202="X",0,-$O202)),2),0)</f>
        <v>0</v>
      </c>
      <c r="AS202" s="132">
        <f>IF(AND($B202=" ",$K202=AS$3),$O202,0)</f>
        <v>0</v>
      </c>
      <c r="AT202" s="133">
        <f>IF(AND($B202=" ",$K202=AT$3),$O202,0)</f>
        <v>0</v>
      </c>
      <c r="AU202" s="133">
        <f>IF(AND($B202=" ",$K202=AU$3),$O202,0)</f>
        <v>0</v>
      </c>
      <c r="AV202" s="133">
        <f>IF(AND($B202=" ",$K202=AV$3),$O202,0)</f>
        <v>0</v>
      </c>
      <c r="AW202" s="133">
        <f>IF(AND($B202=" ",$K202=AW$3),$O202,0)</f>
        <v>0</v>
      </c>
      <c r="AX202" s="133">
        <f>IF(AND($B202=" ",$K202=AX$3),$O202,0)</f>
        <v>0</v>
      </c>
      <c r="AY202" s="135">
        <f>IF(AND($B202=" ",$K202=AY$3),$O202,0)</f>
        <v>0</v>
      </c>
      <c r="AZ202" s="136">
        <f>IF(AND($B202=" ",$K202=AZ$3),$O202,0)</f>
        <v>0</v>
      </c>
      <c r="BA202" s="136">
        <f>IF(AND($B202=" ",$K202=BA$3),$O202,0)</f>
        <v>0</v>
      </c>
      <c r="BB202" s="136">
        <f>IF(AND($B202=" ",$K202=BB$3),$O202,0)</f>
        <v>0</v>
      </c>
      <c r="BC202" s="137">
        <f>IF(AND($B202=" ",$K202=BC$3),$O202,0)</f>
        <v>0</v>
      </c>
      <c r="BD202" s="133">
        <f>IF(AND($B202=" ",$K202=BD$3),$O202,0)</f>
        <v>0</v>
      </c>
      <c r="BE202" s="134">
        <f>IF(AND($B202=" ",$K202=BE$3),$O202,0)</f>
        <v>0</v>
      </c>
      <c r="BF202" s="132">
        <f>IF($K202=BF$3,IF($C202="X",0,$O202),0)</f>
        <v>0</v>
      </c>
      <c r="BG202" s="133">
        <f>IF($K202=BG$3,IF($C202="X",0,$O202),0)</f>
        <v>3.88</v>
      </c>
      <c r="BH202" s="133">
        <f>IF($K202=BH$3,IF($C202="X",0,$O202),0)</f>
        <v>0</v>
      </c>
      <c r="BI202" s="133">
        <f>IF($K202=BI$3,IF($C202="X",0,$O202),0)</f>
        <v>0</v>
      </c>
      <c r="BJ202" s="133">
        <f>IF($K202=BJ$3,IF($C202="X",0,$O202),0)</f>
        <v>0</v>
      </c>
      <c r="BK202" s="133">
        <f>IF($K202=BK$3,IF($C202="X",0,$O202),0)</f>
        <v>0</v>
      </c>
      <c r="BL202" s="133">
        <f>IF($K202=BL$3,IF($C202="X",0,$O202),0)</f>
        <v>0</v>
      </c>
      <c r="BM202" s="135">
        <f>IF($K202=BM$3,IF($C202="X",0,$O202),0)</f>
        <v>0</v>
      </c>
      <c r="BN202" s="136">
        <f>IF($K202=BN$3,IF($C202="X",0,$O202),0)</f>
        <v>0</v>
      </c>
      <c r="BO202" s="136">
        <f>IF($K202=BO$3,IF($C202="X",0,$O202),0)</f>
        <v>0</v>
      </c>
      <c r="BP202" s="136">
        <f>IF($K202=BP$3,IF($C202="X",0,$O202),0)</f>
        <v>0</v>
      </c>
      <c r="BQ202" s="137">
        <f>IF($K202=BQ$3,IF($C202="X",0,$O202),0)</f>
        <v>0</v>
      </c>
      <c r="BR202" s="134">
        <f>IF($K202=BR$3,IF($C202="X",0,$O202),0)</f>
        <v>0</v>
      </c>
      <c r="BS202" s="170">
        <f>IF($B202="LOSS",IF(AND($K202=BS$3,$C202="L"),-$O202,0)+IF(AND($K203=BS$3,$C203="L"),-$O203,0)+IF(AND($K204=BS$3,$C204="L"),-$O204,0),IF(OR(AND($K202=BS$3,OR($C202="W",$C202="1/2W")),AND($K203=BS$3,OR($C203="W",$C203="1/2W")),AND($K204=BS$3,OR($C204="W",$C204="1/2W"))),$S202,0))</f>
        <v>0</v>
      </c>
      <c r="BT202" s="272">
        <f>IF($B202="LOSS",IF(AND($K202=BT$3,$C202="L"),-$O202,0)+IF(AND($K203=BT$3,$C203="L"),-$O203,0)+IF(AND($K203=BT$3,$C204="L"),-$O204,0),IF(OR(AND($K203=BT$3,OR($C202="W",$C202="1/2W")),AND($K203=BT$3,OR($C203="W",$C203="1/2W")),AND($K203=BT$3,OR($C204="W",$C204="1/2W"))),$S202,0))</f>
        <v>0</v>
      </c>
      <c r="BU202" s="136">
        <f>IF($B202="LOSS",IF(AND($K202=BU$3,$C202="L"),-$O202,0)+IF(AND($K203=BU$3,$C203="L"),-$O203,0)+IF(AND($K203=BU$3,$C204="L"),-$O204,0),IF(OR(AND($K203=BU$3,OR($C202="W",$C202="1/2W")),AND($K203=BU$3,OR($C203="W",$C203="1/2W")),AND($K203=BU$3,OR($C204="W",$C204="1/2W"))),$S202,0))</f>
        <v>0</v>
      </c>
      <c r="BV202" s="136">
        <f>IF($B202="LOSS",IF(AND($K202=BV$3,$C202="L"),-$O202,0)+IF(AND($K203=BV$3,$C203="L"),-$O203,0)+IF(AND($K204=BV$3,$C204="L"),-$O204,0),IF(OR(AND($K202=BV$3,OR($C202="W",$C202="1/2W")),AND($K203=BV$3,OR($C203="W",$C203="1/2W")),AND($K204=BV$3,OR($C204="W",$C204="1/2W"))),$S202,0))</f>
        <v>0</v>
      </c>
      <c r="BW202" s="136">
        <f>IF($B202="LOSS",IF(AND($K202=BW$3,$C202="L"),-$O202,0)+IF(AND($K203=BW$3,$C203="L"),-$O203,0)+IF(AND($K204=BW$3,$C204="L"),-$O204,0),IF(OR(AND($K202=BW$3,OR($C202="W",$C202="1/2W")),AND($K203=BW$3,OR($C203="W",$C203="1/2W")),AND($K204=BW$3,OR($C204="W",$C204="1/2W"))),$S202,0))</f>
        <v>0</v>
      </c>
      <c r="BX202" s="136">
        <f>IF($B202="LOSS",IF(AND($K202=BX$3,$C202="L"),-$O202,0)+IF(AND($K203=BX$3,$C203="L"),-$O203,0)+IF(AND($K204=BX$3,$C204="L"),-$O204,0),IF(OR(AND($K202=BX$3,OR($C202="W",$C202="1/2W")),AND($K203=BX$3,OR($C203="W",$C203="1/2W")),AND($K204=BX$3,OR($C204="W",$C204="1/2W"))),$S202,0))</f>
        <v>0</v>
      </c>
      <c r="BY202" s="136">
        <f>IF($B202="LOSS",IF(AND($K202=BY$3,$C202="L"),-$O202,0)+IF(AND($K203=BY$3,$C203="L"),-$O203,0)+IF(AND($K204=BY$3,$C204="L"),-$O204,0),IF(OR(AND($K202=BY$3,OR($C202="W",$C202="1/2W")),AND($K203=BY$3,OR($C203="W",$C203="1/2W")),AND($K204=BY$3,OR($C204="W",$C204="1/2W"))),$S202,0))</f>
        <v>0</v>
      </c>
      <c r="BZ202" s="136">
        <f>IF($B202="LOSS",IF(AND($K202=BZ$3,$C202="L"),-$O202,0)+IF(AND($K203=BZ$3,$C203="L"),-$O203,0)+IF(AND($K204=BZ$3,$C204="L"),-$O204,0),IF(OR(AND($K202=BZ$3,OR($C202="W",$C202="1/2W")),AND($K203=BZ$3,OR($C203="W",$C203="1/2W")),AND($K204=BZ$3,OR($C204="W",$C204="1/2W"))),$S202,0))</f>
        <v>0</v>
      </c>
      <c r="CA202" s="136">
        <f>IF($B202="LOSS",IF(AND($K202=CA$3,$C202="L"),-$O202,0)+IF(AND($K203=CA$3,$C203="L"),-$O203,0)+IF(AND($K204=CA$3,$C204="L"),-$O204,0),IF(OR(AND($K202=CA$3,OR($C202="W",$C202="1/2W")),AND($K203=CA$3,OR($C203="W",$C203="1/2W")),AND($K204=CA$3,OR($C204="W",$C204="1/2W"))),$S202,0))</f>
        <v>0</v>
      </c>
      <c r="CB202" s="136">
        <f>IF($B202="LOSS",IF(AND($K202=CB$3,$C202="L"),-$O202,0)+IF(AND($K203=CB$3,$C203="L"),-$O203,0)+IF(AND($K204=CB$3,$C204="L"),-$O204,0),IF(OR(AND($K202=CB$3,OR($C202="W",$C202="1/2W")),AND($K203=CB$3,OR($C203="W",$C203="1/2W")),AND($K204=CB$3,OR($C204="W",$C204="1/2W"))),$S202,0))</f>
        <v>0</v>
      </c>
      <c r="CC202" s="136">
        <f>IF($B202="LOSS",IF(AND($K202=CC$3,$C202="L"),-$O202,0)+IF(AND($K203=CC$3,$C203="L"),-$O203,0)+IF(AND($K204=CC$3,$C204="L"),-$O204,0),IF(OR(AND($K202=CC$3,OR($C202="W",$C202="1/2W")),AND($K203=CC$3,OR($C203="W",$C203="1/2W")),AND($K204=CC$3,OR($C204="W",$C204="1/2W"))),$S202,0))</f>
        <v>0</v>
      </c>
      <c r="CD202" s="137">
        <f>IF($B202="LOSS",IF(AND($K202=CD$3,$C202="L"),-$O202,0)+IF(AND($K203=CD$3,$C203="L"),-$O203,0)+IF(AND($K204=CD$3,$C204="L"),-$O204,0),IF(OR(AND($K202=CD$3,OR($C202="W",$C202="1/2W")),AND($K203=CD$3,OR($C203="W",$C203="1/2W")),AND($K204=CD$3,OR($C204="W",$C204="1/2W"))),$S202,0))</f>
        <v>6.46</v>
      </c>
      <c r="CE202" s="134">
        <f>IF($B202="LOSS",IF(AND($K202=CE$3,$C202="L"),-$O202,0)+IF(AND($K203=CE$3,$C203="L"),-$O203,0)+IF(AND($K204=CE$3,$C204="L"),-$O204,0),IF(OR(AND($K202=CE$3,OR($C202="W",$C202="1/2W")),AND($K203=CE$3,OR($C203="W",$C203="1/2W")),AND($K204=CE$3,OR($C204="W",$C204="1/2W"))),$S202,0))</f>
        <v>0</v>
      </c>
      <c r="CF202" s="273">
        <f>IF(CF$3=$K202,IF($C202="W",1,IF($C202="1/2W",0.5,0)),0)</f>
        <v>0</v>
      </c>
      <c r="CG202" s="274">
        <f>IF(CF$3=$K202,IF($C202="L",1,IF($C202="1/2L",0.5,0)),0)</f>
        <v>0</v>
      </c>
      <c r="CH202" s="274">
        <f>IF(CH$3=$K202,IF($C202="W",1,IF($C202="1/2W",0.5,0)),0)</f>
        <v>0</v>
      </c>
      <c r="CI202" s="274">
        <f>IF(CH$3=$K202,IF($C202="L",1,IF($C202="1/2L",0.5,0)),0)</f>
        <v>1</v>
      </c>
      <c r="CJ202" s="274">
        <f>IF(CJ$3=$K202,IF($C202="W",1,IF($C202="1/2W",0.5,0)),0)</f>
        <v>0</v>
      </c>
      <c r="CK202" s="274">
        <f>IF(CJ$3=$K202,IF($C202="L",1,IF($C202="1/2L",0.5,0)),0)</f>
        <v>0</v>
      </c>
      <c r="CL202" s="274">
        <f>IF(CL$3=$K202,IF($C202="W",1,IF($C202="1/2W",0.5,0)),0)</f>
        <v>0</v>
      </c>
      <c r="CM202" s="274">
        <f>IF(CL$3=$K202,IF($C202="L",1,IF($C202="1/2L",0.5,0)),0)</f>
        <v>0</v>
      </c>
      <c r="CN202" s="274">
        <f>IF(CN$3=$K202,IF($C202="W",1,IF($C202="1/2W",0.5,0)),0)</f>
        <v>0</v>
      </c>
      <c r="CO202" s="274">
        <f>IF(CN$3=$K202,IF($C202="L",1,IF($C202="1/2L",0.5,0)),0)</f>
        <v>0</v>
      </c>
      <c r="CP202" s="274">
        <f>IF(CP$3=$K202,IF($C202="W",1,IF($C202="1/2W",0.5,0)),0)</f>
        <v>0</v>
      </c>
      <c r="CQ202" s="274">
        <f>IF(CP$3=$K202,IF($C202="L",1,IF($C202="1/2L",0.5,0)),0)</f>
        <v>0</v>
      </c>
      <c r="CR202" s="274">
        <f>IF(CR$3=$K202,IF($C202="W",1,IF($C202="1/2W",0.5,0)),0)</f>
        <v>0</v>
      </c>
      <c r="CS202" s="274">
        <f>IF(CR$3=$K202,IF($C202="L",1,IF($C202="1/2L",0.5,0)),0)</f>
        <v>0</v>
      </c>
      <c r="CT202" s="145">
        <f>IF(CT$3=$K202,IF($C202="W",1,IF($C202="1/2W",0.5,0)),0)</f>
        <v>0</v>
      </c>
      <c r="CU202" s="146">
        <f>IF(CT$3=$K202,IF($C202="L",1,IF($C202="1/2L",0.5,0)),0)</f>
        <v>0</v>
      </c>
      <c r="CV202" s="146">
        <f>IF(CV$3=$K202,IF($C202="W",1,IF($C202="1/2W",0.5,0)),0)</f>
        <v>0</v>
      </c>
      <c r="CW202" s="146">
        <f>IF(CV$3=$K202,IF($C202="L",1,IF($C202="1/2L",0.5,0)),0)</f>
        <v>0</v>
      </c>
      <c r="CX202" s="146">
        <f>IF(CX$3=$K202,IF($C202="W",1,IF($C202="1/2W",0.5,0)),0)</f>
        <v>0</v>
      </c>
      <c r="CY202" s="146">
        <f>IF(CX$3=$K202,IF($C202="L",1,IF($C202="1/2L",0.5,0)),0)</f>
        <v>0</v>
      </c>
      <c r="CZ202" s="146">
        <f>IF(CZ$3=$K202,IF($C202="W",1,IF($C202="1/2W",0.5,0)),0)</f>
        <v>0</v>
      </c>
      <c r="DA202" s="146">
        <f>IF(CZ$3=$K202,IF($C202="L",1,IF($C202="1/2L",0.5,0)),0)</f>
        <v>0</v>
      </c>
      <c r="DB202" s="146">
        <f>IF(DB$3=$K202,IF($C202="W",1,IF($C202="1/2W",0.5,0)),0)</f>
        <v>0</v>
      </c>
      <c r="DC202" s="146">
        <f>IF(DB$3=$K202,IF($C202="L",1,IF($C202="1/2L",0.5,0)),0)</f>
        <v>0</v>
      </c>
      <c r="DD202" s="146">
        <f>IF(DD$3=$K202,IF($C202="W",1,IF($C202="1/2W",0.5,0)),0)</f>
        <v>0</v>
      </c>
      <c r="DE202" s="147">
        <f>IF(DD$3=$K202,IF($C202="L",1,IF($C202="1/2L",0.5,0)),0)</f>
        <v>0</v>
      </c>
      <c r="DF202" s="143">
        <f>IF(AND(L202&lt;DF$3,$C202="W"),1+DF201,DF201)</f>
        <v>8</v>
      </c>
      <c r="DG202" s="133">
        <f>IF(DF202&gt;DF201,L202+DG201,DG201)</f>
        <v>10.598</v>
      </c>
      <c r="DH202" s="146">
        <f>IF(AND(L202&gt;DH$3,$C202="W"),1+DH201,0+DH201)</f>
        <v>3</v>
      </c>
      <c r="DI202" s="133">
        <f>IF(DH202&gt;DH201,L202+DI201,DI201)</f>
        <v>15.98</v>
      </c>
      <c r="DJ202" t="s" s="304">
        <f>IF($D202="","",$D202)</f>
        <v>184</v>
      </c>
      <c r="DK202" s="146">
        <f>IF(AND($B202=" ",$D202&lt;&gt;""),1,0)</f>
        <v>0</v>
      </c>
    </row>
    <row r="203" ht="14.55" customHeight="1">
      <c r="A203" s="107"/>
      <c r="B203" s="108"/>
      <c r="C203" t="s" s="109">
        <v>56</v>
      </c>
      <c r="D203" s="110"/>
      <c r="E203" s="111"/>
      <c r="F203" s="113"/>
      <c r="G203" s="252"/>
      <c r="H203" s="114"/>
      <c r="I203" t="s" s="275">
        <v>67</v>
      </c>
      <c r="J203" s="276">
        <f>IF(OR(I202="TO",I202="TU",I202="TO1",I202="TU1",I202="TO2",I202="TU2"),J202,IF(OR(I202="AH1",I202="AH2"),IF(OR(I203="AH1",I203="AH2"),-J202,IF(OR(I203="EH1",I203="EH2"),-J202+0.5,"")),IF(OR(I202="EH1",I202="EH2"),IF(OR(I203="AH1",I203="AH2"),-J202+0.5,IF(OR(I203="EH1",I203="EH2"),-J202+1,"")),IF(AND(OR(I202="DNB1",I202="DNB2"),OR(I203="AH1",I203="AH2")),0,IF(AND(I202="Not ScoreBoth",OR(I203="TO1",I203="TO2")),0.5,"")))))</f>
        <v>124.5</v>
      </c>
      <c r="K203" t="s" s="117">
        <v>48</v>
      </c>
      <c r="L203" s="277">
        <v>1.94</v>
      </c>
      <c r="M203" s="278"/>
      <c r="N203" s="120"/>
      <c r="O203" s="121">
        <f>IF(OR(AE202="",AE203=""),"",ROUND(IF(L204&gt;0,IF(M203&gt;0,M203,IF(M202&gt;0,IF(N202=TRUE,ROUND((M202*AE203)/AE202,0),(M202*AE203)/AE202),IF(M203&gt;0,ROUND(M203,IF(N202=0,2,IF(N202=0.1,1,0))),IF(M204&gt;0,ROUND(O204*AE203/AE204,IF(N202=0,2,IF(N202=0.1,1,0))),0)))),IF(M203&gt;0,M203,ROUND((M202*AE203)/AE202,IF(N202=0,2,IF(N202=0.1,1,0))))),2))</f>
        <v>11</v>
      </c>
      <c r="P203" s="122">
        <f>IF(OR(L203="",O203=""),"",IF($C203="1/2W",O203/2+O203/2*L203,IF($C203="1/2L",O203/2,IF(I203="Lay",((O203*(L203/(L203-1)))-O203)*(1-_xlfn.XLOOKUP(K203,'Janeiro 2023 - Valor Real'!A3:A15,'Janeiro 2023 - Valor Real'!C3:C15,0))+O203,(O203*L203-O203)*(1-_xlfn.XLOOKUP(K203,'Janeiro 2023 - Valor Real'!A3:A15,'Janeiro 2023 - Valor Real'!C3:C15,0))+O203))))</f>
        <v>21.34</v>
      </c>
      <c r="Q203" s="279">
        <f>IF(K203="","",IF(_xlfn.XLOOKUP(K203,K$88:K107,DJ$88:DJ107,0,,-1)=DJ203,_xlfn.XLOOKUP(K203,K$88:K107,Q$88:Q107,1,,-1)+1,1))</f>
        <v>1</v>
      </c>
      <c r="R203" s="280">
        <f>IF(K203="","",_xlfn.XLOOKUP(K203,K$88:K107,R$88:R107,0,,-1)+IF($C203=" ",1,0))</f>
        <v>0</v>
      </c>
      <c r="S203" s="125"/>
      <c r="T203" s="126"/>
      <c r="U203" s="126"/>
      <c r="V203" s="224"/>
      <c r="W203" s="126"/>
      <c r="X203" s="127"/>
      <c r="Y203" s="128"/>
      <c r="Z203" s="129"/>
      <c r="AA203" s="129"/>
      <c r="AB203" s="129"/>
      <c r="AC203" s="129"/>
      <c r="AD203" s="130"/>
      <c r="AE203" s="131">
        <f>IF(L203="","",IF(L204&gt;0,(SUM(((L202-1)*(1-_xlfn.XLOOKUP(K202,'Janeiro 2023 - Valor Real'!A3:A15,'Janeiro 2023 - Valor Real'!C3:C15,0))+1),((L203-1)*(1-_xlfn.XLOOKUP(K203,'Janeiro 2023 - Valor Real'!A3:A15,'Janeiro 2023 - Valor Real'!C3:C15,0))+1),((L204-1)*(1-_xlfn.XLOOKUP(K204,'Janeiro 2023 - Valor Real'!A3:A15,'Janeiro 2023 - Valor Real'!C3:C15,0))+1))/((L203-1)*(1-_xlfn.XLOOKUP(K203,'Janeiro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Real'!C3:C15,0))+1))/((L202-1)*(1-_xlfn.XLOOKUP(K202,'Janeiro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Real'!C3:C15,0))+1))/((L203-1)*(1-_xlfn.XLOOKUP(K203,'Janeiro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Real'!C3:C15,0))+1))/((L204-1)*(1-_xlfn.XLOOKUP(K204,'Janeiro 2023 - Valor Real'!A3:A15,'Janeiro 2023 - Valor Real'!C3:C15,0))+1)),IF(I203="Lay",IF(I202="Lay",((L202/(L202-1)-1)*(1-_xlfn.XLOOKUP(K202,'Janeiro 2023 - Valor Real'!A3:A15,'Janeiro 2023 - Valor Real'!C3:C15,0))+1)/(((L202/(L202-1)-1)*(1-_xlfn.XLOOKUP(K202,'Janeiro 2023 - Valor Real'!A3:A15,'Janeiro 2023 - Valor Real'!C3:C15,0))+1)+((L203/(L203-1)-1)*(1-_xlfn.XLOOKUP(K203,'Janeiro 2023 - Valor Real'!A3:A15,'Janeiro 2023 - Valor Real'!C3:C15,0))+1)),((L202-1)*(1-_xlfn.XLOOKUP(K202,'Janeiro 2023 - Valor Real'!A3:A15,'Janeiro 2023 - Valor Real'!C3:C15,0))+1)/(((L202-1)*(1-_xlfn.XLOOKUP(K202,'Janeiro 2023 - Valor Real'!A3:A15,'Janeiro 2023 - Valor Real'!C3:C15,0))+1)+((L203/(L203-1)-1)*(1-_xlfn.XLOOKUP(K203,'Janeiro 2023 - Valor Real'!A3:A15,'Janeiro 2023 - Valor Real'!C3:C15,0))+1))),IF(I202="Lay",((L202/(L202-1)-1)*(1-_xlfn.XLOOKUP(K202,'Janeiro 2023 - Valor Real'!A3:A15,'Janeiro 2023 - Valor Real'!C3:C15,0))+1)/((((L202/(L202-1)-1)*(1-_xlfn.XLOOKUP(K202,'Janeiro 2023 - Valor Real'!A3:A15,'Janeiro 2023 - Valor Real'!C3:C15,0))+1))+((L203-1)*(1-_xlfn.XLOOKUP(K203,'Janeiro 2023 - Valor Real'!A3:A15,'Janeiro 2023 - Valor Real'!C3:C15,0))+1)),((L202-1)*(1-_xlfn.XLOOKUP(K202,'Janeiro 2023 - Valor Real'!A3:A15,'Janeiro 2023 - Valor Real'!C3:C15,0))+1)/(((L202-1)*(1-_xlfn.XLOOKUP(K202,'Janeiro 2023 - Valor Real'!A3:A15,'Janeiro 2023 - Valor Real'!C3:C15,0))+1)+((L203-1)*(1-_xlfn.XLOOKUP(K203,'Janeiro 2023 - Valor Real'!A3:A15,'Janeiro 2023 - Valor Real'!C3:C15,0))+1))))))</f>
        <v>0.739247311827957</v>
      </c>
      <c r="AF203" s="132">
        <f>IF($K203=AF$3,ROUND(IF(OR($C203="W",$C203="1/2W",$C203="1/2L"),$P203-$O203,IF($C203="X",0,-$O203)),2),0)</f>
        <v>0</v>
      </c>
      <c r="AG203" s="133">
        <f>IF($K203=AG$3,ROUND(IF(OR($C203="W",$C203="1/2W",$C203="1/2L"),$P203-$O203,IF($C203="X",0,-$O203)),2),0)</f>
        <v>0</v>
      </c>
      <c r="AH203" s="133">
        <f>IF($K203=AH$3,ROUND(IF(OR($C203="W",$C203="1/2W",$C203="1/2L"),$P203-$O203,IF($C203="X",0,-$O203)),2),0)</f>
        <v>0</v>
      </c>
      <c r="AI203" s="133">
        <f>IF($K203=AI$3,ROUND(IF(OR($C203="W",$C203="1/2W",$C203="1/2L"),$P203-$O203,IF($C203="X",0,-$O203)),2),0)</f>
        <v>0</v>
      </c>
      <c r="AJ203" s="133">
        <f>IF($K203=AJ$3,ROUND(IF(OR($C203="W",$C203="1/2W",$C203="1/2L"),$P203-$O203,IF($C203="X",0,-$O203)),2),0)</f>
        <v>0</v>
      </c>
      <c r="AK203" s="133">
        <f>IF($K203=AK$3,ROUND(IF(OR($C203="W",$C203="1/2W",$C203="1/2L"),$P203-$O203,IF($C203="X",0,-$O203)),2),0)</f>
        <v>0</v>
      </c>
      <c r="AL203" s="133">
        <f>IF($K203=AL$3,ROUND(IF(OR($C203="W",$C203="1/2W",$C203="1/2L"),$P203-$O203,IF($C203="X",0,-$O203)),2),0)</f>
        <v>0</v>
      </c>
      <c r="AM203" s="133">
        <f>IF($K203=AM$3,ROUND(IF(OR($C203="W",$C203="1/2W",$C203="1/2L"),$P203-$O203,IF($C203="X",0,-$O203)),2),0)</f>
        <v>0</v>
      </c>
      <c r="AN203" s="133">
        <f>IF($K203=AN$3,ROUND(IF(OR($C203="W",$C203="1/2W",$C203="1/2L"),$P203-$O203,IF($C203="X",0,-$O203)),2),0)</f>
        <v>0</v>
      </c>
      <c r="AO203" s="133">
        <f>IF($K203=AO$3,ROUND(IF(OR($C203="W",$C203="1/2W",$C203="1/2L"),$P203-$O203,IF($C203="X",0,-$O203)),2),0)</f>
        <v>0</v>
      </c>
      <c r="AP203" s="133">
        <f>IF($K203=AP$3,ROUND(IF(OR($C203="W",$C203="1/2W",$C203="1/2L"),$P203-$O203,IF($C203="X",0,-$O203)),2),0)</f>
        <v>0</v>
      </c>
      <c r="AQ203" s="133">
        <f>IF($K203=AQ$3,ROUND(IF(OR($C203="W",$C203="1/2W",$C203="1/2L"),$P203-$O203,IF($C203="X",0,-$O203)),2),0)</f>
        <v>10.34</v>
      </c>
      <c r="AR203" s="134">
        <f>IF($K203=AR$3,ROUND(IF(OR($C203="W",$C203="1/2W",$C203="1/2L"),$P203-$O203,IF($C203="X",0,-$O203)),2),0)</f>
        <v>0</v>
      </c>
      <c r="AS203" s="132">
        <f>IF(AND($B202=" ",$K203=AS$3),$O203,0)</f>
        <v>0</v>
      </c>
      <c r="AT203" s="133">
        <f>IF(AND($B202=" ",K203=AT$3),$O203,0)</f>
        <v>0</v>
      </c>
      <c r="AU203" s="133">
        <f>IF(AND($B202=" ",$K203=AU$3),$O203,0)</f>
        <v>0</v>
      </c>
      <c r="AV203" s="133">
        <f>IF(AND($B202=" ",$K203=AV$3),$O203,0)</f>
        <v>0</v>
      </c>
      <c r="AW203" s="133">
        <f>IF(AND($B202=" ",$K203=AW$3),$O203,0)</f>
        <v>0</v>
      </c>
      <c r="AX203" s="133">
        <f>IF(AND($B202=" ",$K203=AX$3),$O203,0)</f>
        <v>0</v>
      </c>
      <c r="AY203" s="135">
        <f>IF(AND($B202=" ",$K203=AY$3),$O203,0)</f>
        <v>0</v>
      </c>
      <c r="AZ203" s="136">
        <f>IF(AND($B202=" ",$K203=AZ$3),$O203,0)</f>
        <v>0</v>
      </c>
      <c r="BA203" s="136">
        <f>IF(AND($B202=" ",$K203=BA$3),$O203,0)</f>
        <v>0</v>
      </c>
      <c r="BB203" s="136">
        <f>IF(AND($B202=" ",$K203=BB$3),$O203,0)</f>
        <v>0</v>
      </c>
      <c r="BC203" s="137">
        <f>IF(AND($B202=" ",$K203=BC$3),$O203,0)</f>
        <v>0</v>
      </c>
      <c r="BD203" s="133">
        <f>IF(AND($B202=" ",$K203=BD$3),$O203,0)</f>
        <v>0</v>
      </c>
      <c r="BE203" s="134">
        <f>IF(AND($B202=" ",$K203=BE$3),$O203,0)</f>
        <v>0</v>
      </c>
      <c r="BF203" s="132">
        <f>IF($K203=BF$3,IF($C203="X",0,$O203),0)</f>
        <v>0</v>
      </c>
      <c r="BG203" s="281">
        <f>IF($K203=BG$3,IF($C203="X",0,$O203),0)</f>
        <v>0</v>
      </c>
      <c r="BH203" s="133">
        <f>IF($K203=BH$3,IF($C203="X",0,$O203),0)</f>
        <v>0</v>
      </c>
      <c r="BI203" s="133">
        <f>IF($K203=BI$3,IF($C203="X",0,$O203),0)</f>
        <v>0</v>
      </c>
      <c r="BJ203" s="133">
        <f>IF($K203=BJ$3,IF($C203="X",0,$O203),0)</f>
        <v>0</v>
      </c>
      <c r="BK203" s="133">
        <f>IF($K203=BK$3,IF($C203="X",0,$O203),0)</f>
        <v>0</v>
      </c>
      <c r="BL203" s="133">
        <f>IF($K203=BL$3,IF($C203="X",0,$O203),0)</f>
        <v>0</v>
      </c>
      <c r="BM203" s="135">
        <f>IF($K203=BM$3,IF($C203="X",0,$O203),0)</f>
        <v>0</v>
      </c>
      <c r="BN203" s="136">
        <f>IF($K203=BN$3,IF($C203="X",0,$O203),0)</f>
        <v>0</v>
      </c>
      <c r="BO203" s="136">
        <f>IF($K203=BO$3,IF($C203="X",0,$O203),0)</f>
        <v>0</v>
      </c>
      <c r="BP203" s="136">
        <f>IF($K203=BP$3,IF($C203="X",0,$O203),0)</f>
        <v>0</v>
      </c>
      <c r="BQ203" s="137">
        <f>IF($K203=BQ$3,IF($C203="X",0,$O203),0)</f>
        <v>11</v>
      </c>
      <c r="BR203" s="134">
        <f>IF($K203=BR$3,IF($C203="X",0,$O203),0)</f>
        <v>0</v>
      </c>
      <c r="BS203" s="282"/>
      <c r="BT203" s="283"/>
      <c r="BU203" s="140"/>
      <c r="BV203" s="283"/>
      <c r="BW203" s="140"/>
      <c r="BX203" s="140"/>
      <c r="BY203" s="140"/>
      <c r="BZ203" s="283"/>
      <c r="CA203" s="140"/>
      <c r="CB203" s="140"/>
      <c r="CC203" s="140"/>
      <c r="CD203" s="141"/>
      <c r="CE203" s="142"/>
      <c r="CF203" s="284">
        <f>IF(CF$3=$K203,IF($C203="W",1,IF($C203="1/2W",0.5,0)),0)</f>
        <v>0</v>
      </c>
      <c r="CG203" s="285">
        <f>IF(CF$3=$K203,IF($C203="L",1,IF($C203="1/2L",0.5,0)),0)</f>
        <v>0</v>
      </c>
      <c r="CH203" s="285">
        <f>IF(CH$3=$K203,IF($C203="W",1,IF($C203="1/2W",0.5,0)),0)</f>
        <v>0</v>
      </c>
      <c r="CI203" s="285">
        <f>IF(CH$3=$K203,IF($C203="L",1,IF($C203="1/2L",0.5,0)),0)</f>
        <v>0</v>
      </c>
      <c r="CJ203" s="285">
        <f>IF(CJ$3=$K203,IF($C203="W",1,IF($C203="1/2W",0.5,0)),0)</f>
        <v>0</v>
      </c>
      <c r="CK203" s="285">
        <f>IF(CJ$3=$K203,IF($C203="L",1,IF($C203="1/2L",0.5,0)),0)</f>
        <v>0</v>
      </c>
      <c r="CL203" s="285">
        <f>IF(CL$3=$K203,IF($C203="W",1,IF($C203="1/2W",0.5,0)),0)</f>
        <v>0</v>
      </c>
      <c r="CM203" s="285">
        <f>IF(CL$3=$K203,IF($C203="L",1,IF($C203="1/2L",0.5,0)),0)</f>
        <v>0</v>
      </c>
      <c r="CN203" s="285">
        <f>IF(CN$3=$K203,IF($C203="W",1,IF($C203="1/2W",0.5,0)),0)</f>
        <v>0</v>
      </c>
      <c r="CO203" s="285">
        <f>IF(CN$3=$K203,IF($C203="L",1,IF($C203="1/2L",0.5,0)),0)</f>
        <v>0</v>
      </c>
      <c r="CP203" s="285">
        <f>IF(CP$3=$K203,IF($C203="W",1,IF($C203="1/2W",0.5,0)),0)</f>
        <v>0</v>
      </c>
      <c r="CQ203" s="285">
        <f>IF(CP$3=$K203,IF($C203="L",1,IF($C203="1/2L",0.5,0)),0)</f>
        <v>0</v>
      </c>
      <c r="CR203" s="285">
        <f>IF(CR$3=$K203,IF($C203="W",1,IF($C203="1/2W",0.5,0)),0)</f>
        <v>0</v>
      </c>
      <c r="CS203" s="285">
        <f>IF(CR$3=$K203,IF($C203="L",1,IF($C203="1/2L",0.5,0)),0)</f>
        <v>0</v>
      </c>
      <c r="CT203" s="145">
        <f>IF(CT$3=$K203,IF($C203="W",1,IF($C203="1/2W",0.5,0)),0)</f>
        <v>0</v>
      </c>
      <c r="CU203" s="146">
        <f>IF(CT$3=$K203,IF($C203="L",1,IF($C203="1/2L",0.5,0)),0)</f>
        <v>0</v>
      </c>
      <c r="CV203" s="146">
        <f>IF(CV$3=$K203,IF($C203="W",1,IF($C203="1/2W",0.5,0)),0)</f>
        <v>0</v>
      </c>
      <c r="CW203" s="146">
        <f>IF(CV$3=$K203,IF($C203="L",1,IF($C203="1/2L",0.5,0)),0)</f>
        <v>0</v>
      </c>
      <c r="CX203" s="146">
        <f>IF(CX$3=$K203,IF($C203="W",1,IF($C203="1/2W",0.5,0)),0)</f>
        <v>0</v>
      </c>
      <c r="CY203" s="146">
        <f>IF(CX$3=$K203,IF($C203="L",1,IF($C203="1/2L",0.5,0)),0)</f>
        <v>0</v>
      </c>
      <c r="CZ203" s="146">
        <f>IF(CZ$3=$K203,IF($C203="W",1,IF($C203="1/2W",0.5,0)),0)</f>
        <v>0</v>
      </c>
      <c r="DA203" s="146">
        <f>IF(CZ$3=$K203,IF($C203="L",1,IF($C203="1/2L",0.5,0)),0)</f>
        <v>0</v>
      </c>
      <c r="DB203" s="146">
        <f>IF(DB$3=$K203,IF($C203="W",1,IF($C203="1/2W",0.5,0)),0)</f>
        <v>1</v>
      </c>
      <c r="DC203" s="146">
        <f>IF(DB$3=$K203,IF($C203="L",1,IF($C203="1/2L",0.5,0)),0)</f>
        <v>0</v>
      </c>
      <c r="DD203" s="146">
        <f>IF(DD$3=$K203,IF($C203="W",1,IF($C203="1/2W",0.5,0)),0)</f>
        <v>0</v>
      </c>
      <c r="DE203" s="147">
        <f>IF(DD$3=$K203,IF($C203="L",1,IF($C203="1/2L",0.5,0)),0)</f>
        <v>0</v>
      </c>
      <c r="DF203" s="143">
        <f>IF(AND(L203&lt;DF$3,$C203="W"),1+DF202,DF202)</f>
        <v>8</v>
      </c>
      <c r="DG203" s="133">
        <f>IF(DF203&gt;DF202,L203+DG202,DG202)</f>
        <v>10.598</v>
      </c>
      <c r="DH203" s="146">
        <f>IF(AND(L203&gt;DH$3,$C203="W"),1+DH202,0+DH202)</f>
        <v>3</v>
      </c>
      <c r="DI203" s="133">
        <f>IF(DH203&gt;DH202,L203+DI202,DI202)</f>
        <v>15.98</v>
      </c>
      <c r="DJ203" t="s" s="304">
        <f>IF($D202="","",$D202)</f>
        <v>184</v>
      </c>
      <c r="DK203" s="286"/>
    </row>
    <row r="204" ht="14.55" customHeight="1">
      <c r="A204" s="149"/>
      <c r="B204" s="150"/>
      <c r="C204" t="s" s="151">
        <v>58</v>
      </c>
      <c r="D204" s="152"/>
      <c r="E204" s="153"/>
      <c r="F204" s="155"/>
      <c r="G204" s="252"/>
      <c r="H204" s="156"/>
      <c r="I204" s="287"/>
      <c r="J204" s="288"/>
      <c r="K204" s="156"/>
      <c r="L204" s="289"/>
      <c r="M204" s="290"/>
      <c r="N204" s="161"/>
      <c r="O204" t="s" s="162">
        <f>IF(OR(AE202="",AE203=""),"",IF(L204&gt;0,ROUND(IF(M204&gt;0,M204,IF(M202&gt;0,ROUND((M202*AE204)/AE202,IF(N202=0,2,IF(N202=0.1,1,0))),IF(M203&gt;0,ROUND((M203*AE204)/AE203,IF(N202=0,2,IF(N202=0.1,1,0))),IF(M204&gt;0,M204,0)))),2),""))</f>
      </c>
      <c r="P204" t="s" s="163">
        <f>IF(I203="Lay",O203*(L203/(L203-1))-O203,IF(I202="Lay",O202*(L202/(L202-1))-O202,IF(OR(L204="",O204=""),"",IF($C204="1/2W",O204/2+O204/2*L204,IF($C204="1/2L",O204/2,(O204*L204-O204)*(1-_xlfn.XLOOKUP(K204,'Janeiro 2023 - Valor Real'!A3:A15,'Janeiro 2023 - Valor Real'!C3:C15,0))+O204)))))</f>
      </c>
      <c r="Q204" t="s" s="154">
        <f>IF(K204="","",IF(_xlfn.XLOOKUP(K204,K$89:K108,DJ$89:DJ108,0,,-1)=DJ204,_xlfn.XLOOKUP(K204,K$89:K108,Q$89:Q108,1,,-1)+1,1))</f>
      </c>
      <c r="R204" t="s" s="163">
        <f>IF(K204="","",_xlfn.XLOOKUP(K204,K$89:K108,R$89:R108,0,,-1)+IF($C204=" ",1,0))</f>
      </c>
      <c r="S204" s="166"/>
      <c r="T204" s="155"/>
      <c r="U204" s="155"/>
      <c r="V204" s="166"/>
      <c r="W204" s="155"/>
      <c r="X204" s="167"/>
      <c r="Y204" s="128"/>
      <c r="Z204" s="129"/>
      <c r="AA204" s="129"/>
      <c r="AB204" s="129"/>
      <c r="AC204" s="129"/>
      <c r="AD204" s="168"/>
      <c r="AE204" t="s" s="169">
        <f>IF(L204="","",(SUM(((L202-1)*(1-_xlfn.XLOOKUP(K202,'Janeiro 2023 - Valor Real'!A3:A15,'Janeiro 2023 - Valor Real'!C3:C15,0))+1),((L203-1)*(1-_xlfn.XLOOKUP(K203,'Janeiro 2023 - Valor Real'!A3:A15,'Janeiro 2023 - Valor Real'!C3:C15,0))+1),((L204-1)*(1-_xlfn.XLOOKUP(K204,'Janeiro 2023 - Valor Real'!A3:A15,'Janeiro 2023 - Valor Real'!C3:C15,0))+1))/((L204-1)*(1-_xlfn.XLOOKUP(K204,'Janeiro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Real'!C3:C15,0))+1))/((L202-1)*(1-_xlfn.XLOOKUP(K202,'Janeiro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Real'!C3:C15,0))+1))/((L203-1)*(1-_xlfn.XLOOKUP(K203,'Janeiro 2023 - Valor Real'!A3:A15,'Janeiro 2023 - Valor Real'!C3:C15,0))+1)+SUM(((L202-1)*(1-_xlfn.XLOOKUP(K202,'Janeiro 2023 - Valor Real'!A3:A15,'Janeiro 2023 - Valor Real'!C3:C15,0))+1),((L203-1)*(1-_xlfn.XLOOKUP(K203,'Janeiro 2023 - Valor Real'!A3:A15,'Janeiro 2023 - Valor Real'!C3:C15,0))+1),((L204-1)*(1-_xlfn.XLOOKUP(K204,'Janeiro 2023 - Valor Real'!A3:A15,'Janeiro 2023 - Valor Real'!C3:C15,0))+1))/((L204-1)*(1-_xlfn.XLOOKUP(K204,'Janeiro 2023 - Valor Real'!A3:A15,'Janeiro 2023 - Valor Real'!C3:C15,0))+1)))</f>
      </c>
      <c r="AF204" s="132">
        <f>IF($K204=AF$3,ROUND(IF(OR($C204="W",$C204="1/2W",$C204="1/2L"),$P204-$O204,IF($C204="X",0,-$O204)),2),0)</f>
        <v>0</v>
      </c>
      <c r="AG204" s="133">
        <f>IF($K204=AG$3,ROUND(IF(OR($C204="W",$C204="1/2W",$C204="1/2L"),$P204-$O204,IF($C204="X",0,-$O204)),2),0)</f>
        <v>0</v>
      </c>
      <c r="AH204" s="133">
        <f>IF($K204=AH$3,ROUND(IF(OR($C204="W",$C204="1/2W",$C204="1/2L"),$P204-$O204,IF($C204="X",0,-$O204)),2),0)</f>
        <v>0</v>
      </c>
      <c r="AI204" s="133">
        <f>IF($K204=AI$3,ROUND(IF(OR($C204="W",$C204="1/2W",$C204="1/2L"),$P204-$O204,IF($C204="X",0,-$O204)),2),0)</f>
        <v>0</v>
      </c>
      <c r="AJ204" s="133">
        <f>IF($K204=AJ$3,ROUND(IF(OR($C204="W",$C204="1/2W",$C204="1/2L"),$P204-$O204,IF($C204="X",0,-$O204)),2),0)</f>
        <v>0</v>
      </c>
      <c r="AK204" s="133">
        <f>IF($K204=AK$3,ROUND(IF(OR($C204="W",$C204="1/2W",$C204="1/2L"),$P204-$O204,IF($C204="X",0,-$O204)),2),0)</f>
        <v>0</v>
      </c>
      <c r="AL204" s="133">
        <f>IF($K204=AL$3,ROUND(IF(OR($C204="W",$C204="1/2W",$C204="1/2L"),$P204-$O204,IF($C204="X",0,-$O204)),2),0)</f>
        <v>0</v>
      </c>
      <c r="AM204" s="133">
        <f>IF($K204=AM$3,ROUND(IF(OR($C204="W",$C204="1/2W",$C204="1/2L"),$P204-$O204,IF($C204="X",0,-$O204)),2),0)</f>
        <v>0</v>
      </c>
      <c r="AN204" s="133">
        <f>IF($K204=AN$3,ROUND(IF(OR($C204="W",$C204="1/2W",$C204="1/2L"),$P204-$O204,IF($C204="X",0,-$O204)),2),0)</f>
        <v>0</v>
      </c>
      <c r="AO204" s="133">
        <f>IF($K204=AO$3,ROUND(IF(OR($C204="W",$C204="1/2W",$C204="1/2L"),$P204-$O204,IF($C204="X",0,-$O204)),2),0)</f>
        <v>0</v>
      </c>
      <c r="AP204" s="133">
        <f>IF($K204=AP$3,ROUND(IF(OR($C204="W",$C204="1/2W",$C204="1/2L"),$P204-$O204,IF($C204="X",0,-$O204)),2),0)</f>
        <v>0</v>
      </c>
      <c r="AQ204" s="133">
        <f>IF($K204=AQ$3,ROUND(IF(OR($C204="W",$C204="1/2W",$C204="1/2L"),$P204-$O204,IF($C204="X",0,-$O204)),2),0)</f>
        <v>0</v>
      </c>
      <c r="AR204" s="134">
        <f>IF($K204=AR$3,ROUND(IF(OR($C204="W",$C204="1/2W",$C204="1/2L"),$P204-$O204,IF($C204="X",0,-$O204)),2),0)</f>
        <v>0</v>
      </c>
      <c r="AS204" s="132">
        <f>IF(AND($B202=" ",$K204=AS$3),$O204,0)</f>
        <v>0</v>
      </c>
      <c r="AT204" s="133">
        <f>IF(AND($B202=" ",K204=AT$3),$O204,0)</f>
        <v>0</v>
      </c>
      <c r="AU204" s="133">
        <f>IF(AND($B202=" ",$K204=AU$3),$O204,0)</f>
        <v>0</v>
      </c>
      <c r="AV204" s="133">
        <f>IF(AND($B202=" ",$K204=AV$3),$O204,0)</f>
        <v>0</v>
      </c>
      <c r="AW204" s="133">
        <f>IF(AND($B202=" ",$K204=AW$3),$O204,0)</f>
        <v>0</v>
      </c>
      <c r="AX204" s="133">
        <f>IF(AND($B202=" ",$K204=AX$3),$O204,0)</f>
        <v>0</v>
      </c>
      <c r="AY204" s="135">
        <f>IF(AND($B202=" ",$K204=AY$3),$O204,0)</f>
        <v>0</v>
      </c>
      <c r="AZ204" s="136">
        <f>IF(AND($B202=" ",$K204=AZ$3),$O204,0)</f>
        <v>0</v>
      </c>
      <c r="BA204" s="136">
        <f>IF(AND($B202=" ",$K204=BA$3),$O204,0)</f>
        <v>0</v>
      </c>
      <c r="BB204" s="136">
        <f>IF(AND($B202=" ",$K204=BB$3),$O204,0)</f>
        <v>0</v>
      </c>
      <c r="BC204" s="137">
        <f>IF(AND($B202=" ",$K204=BC$3),$O204,0)</f>
        <v>0</v>
      </c>
      <c r="BD204" s="133">
        <f>IF(AND($B202=" ",$K204=BD$3),$O204,0)</f>
        <v>0</v>
      </c>
      <c r="BE204" s="134">
        <f>IF(AND($B202=" ",$K204=BE$3),$O204,0)</f>
        <v>0</v>
      </c>
      <c r="BF204" s="132">
        <f>IF($K204=BF$3,IF($C204="X",0,$O204),0)</f>
        <v>0</v>
      </c>
      <c r="BG204" s="281">
        <f>IF($K204=BG$3,IF($C204="X",0,$O204),0)</f>
        <v>0</v>
      </c>
      <c r="BH204" s="133">
        <f>IF($K204=BH$3,IF($C204="X",0,$O204),0)</f>
        <v>0</v>
      </c>
      <c r="BI204" s="133">
        <f>IF($K204=BI$3,IF($C204="X",0,$O204),0)</f>
        <v>0</v>
      </c>
      <c r="BJ204" s="133">
        <f>IF($K204=BJ$3,IF($C204="X",0,$O204),0)</f>
        <v>0</v>
      </c>
      <c r="BK204" s="133">
        <f>IF($K204=BK$3,IF($C204="X",0,$O204),0)</f>
        <v>0</v>
      </c>
      <c r="BL204" s="133">
        <f>IF($K204=BL$3,IF($C204="X",0,$O204),0)</f>
        <v>0</v>
      </c>
      <c r="BM204" s="135">
        <f>IF($K204=BM$3,IF($C204="X",0,$O204),0)</f>
        <v>0</v>
      </c>
      <c r="BN204" s="136">
        <f>IF($K204=BN$3,IF($C204="X",0,$O204),0)</f>
        <v>0</v>
      </c>
      <c r="BO204" s="136">
        <f>IF($K204=BO$3,IF($C204="X",0,$O204),0)</f>
        <v>0</v>
      </c>
      <c r="BP204" s="136">
        <f>IF($K204=BP$3,IF($C204="X",0,$O204),0)</f>
        <v>0</v>
      </c>
      <c r="BQ204" s="137">
        <f>IF($K204=BQ$3,IF($C204="X",0,$O204),0)</f>
        <v>0</v>
      </c>
      <c r="BR204" s="134">
        <f>IF($K204=BR$3,IF($C204="X",0,$O204),0)</f>
        <v>0</v>
      </c>
      <c r="BS204" s="282"/>
      <c r="BT204" s="283"/>
      <c r="BU204" s="140"/>
      <c r="BV204" s="283"/>
      <c r="BW204" s="140"/>
      <c r="BX204" s="140"/>
      <c r="BY204" s="140"/>
      <c r="BZ204" s="283"/>
      <c r="CA204" s="140"/>
      <c r="CB204" s="140"/>
      <c r="CC204" s="140"/>
      <c r="CD204" s="141"/>
      <c r="CE204" s="142"/>
      <c r="CF204" s="284">
        <f>IF(CF$3=$K204,IF($C204="W",1,IF($C204="1/2W",0.5,0)),0)</f>
        <v>0</v>
      </c>
      <c r="CG204" s="285">
        <f>IF(CF$3=$K204,IF($C204="L",1,IF($C204="1/2L",0.5,0)),0)</f>
        <v>0</v>
      </c>
      <c r="CH204" s="285">
        <f>IF(CH$3=$K204,IF($C204="W",1,IF($C204="1/2W",0.5,0)),0)</f>
        <v>0</v>
      </c>
      <c r="CI204" s="285">
        <f>IF(CH$3=$K204,IF($C204="L",1,IF($C204="1/2L",0.5,0)),0)</f>
        <v>0</v>
      </c>
      <c r="CJ204" s="285">
        <f>IF(CJ$3=$K204,IF($C204="W",1,IF($C204="1/2W",0.5,0)),0)</f>
        <v>0</v>
      </c>
      <c r="CK204" s="285">
        <f>IF(CJ$3=$K204,IF($C204="L",1,IF($C204="1/2L",0.5,0)),0)</f>
        <v>0</v>
      </c>
      <c r="CL204" s="285">
        <f>IF(CL$3=$K204,IF($C204="W",1,IF($C204="1/2W",0.5,0)),0)</f>
        <v>0</v>
      </c>
      <c r="CM204" s="285">
        <f>IF(CL$3=$K204,IF($C204="L",1,IF($C204="1/2L",0.5,0)),0)</f>
        <v>0</v>
      </c>
      <c r="CN204" s="285">
        <f>IF(CN$3=$K204,IF($C204="W",1,IF($C204="1/2W",0.5,0)),0)</f>
        <v>0</v>
      </c>
      <c r="CO204" s="285">
        <f>IF(CN$3=$K204,IF($C204="L",1,IF($C204="1/2L",0.5,0)),0)</f>
        <v>0</v>
      </c>
      <c r="CP204" s="285">
        <f>IF(CP$3=$K204,IF($C204="W",1,IF($C204="1/2W",0.5,0)),0)</f>
        <v>0</v>
      </c>
      <c r="CQ204" s="285">
        <f>IF(CP$3=$K204,IF($C204="L",1,IF($C204="1/2L",0.5,0)),0)</f>
        <v>0</v>
      </c>
      <c r="CR204" s="285">
        <f>IF(CR$3=$K204,IF($C204="W",1,IF($C204="1/2W",0.5,0)),0)</f>
        <v>0</v>
      </c>
      <c r="CS204" s="285">
        <f>IF(CR$3=$K204,IF($C204="L",1,IF($C204="1/2L",0.5,0)),0)</f>
        <v>0</v>
      </c>
      <c r="CT204" s="145">
        <f>IF(CT$3=$K204,IF($C204="W",1,IF($C204="1/2W",0.5,0)),0)</f>
        <v>0</v>
      </c>
      <c r="CU204" s="146">
        <f>IF(CT$3=$K204,IF($C204="L",1,IF($C204="1/2L",0.5,0)),0)</f>
        <v>0</v>
      </c>
      <c r="CV204" s="146">
        <f>IF(CV$3=$K204,IF($C204="W",1,IF($C204="1/2W",0.5,0)),0)</f>
        <v>0</v>
      </c>
      <c r="CW204" s="146">
        <f>IF(CV$3=$K204,IF($C204="L",1,IF($C204="1/2L",0.5,0)),0)</f>
        <v>0</v>
      </c>
      <c r="CX204" s="146">
        <f>IF(CX$3=$K204,IF($C204="W",1,IF($C204="1/2W",0.5,0)),0)</f>
        <v>0</v>
      </c>
      <c r="CY204" s="146">
        <f>IF(CX$3=$K204,IF($C204="L",1,IF($C204="1/2L",0.5,0)),0)</f>
        <v>0</v>
      </c>
      <c r="CZ204" s="146">
        <f>IF(CZ$3=$K204,IF($C204="W",1,IF($C204="1/2W",0.5,0)),0)</f>
        <v>0</v>
      </c>
      <c r="DA204" s="146">
        <f>IF(CZ$3=$K204,IF($C204="L",1,IF($C204="1/2L",0.5,0)),0)</f>
        <v>0</v>
      </c>
      <c r="DB204" s="146">
        <f>IF(DB$3=$K204,IF($C204="W",1,IF($C204="1/2W",0.5,0)),0)</f>
        <v>0</v>
      </c>
      <c r="DC204" s="146">
        <f>IF(DB$3=$K204,IF($C204="L",1,IF($C204="1/2L",0.5,0)),0)</f>
        <v>0</v>
      </c>
      <c r="DD204" s="146">
        <f>IF(DD$3=$K204,IF($C204="W",1,IF($C204="1/2W",0.5,0)),0)</f>
        <v>0</v>
      </c>
      <c r="DE204" s="147">
        <f>IF(DD$3=$K204,IF($C204="L",1,IF($C204="1/2L",0.5,0)),0)</f>
        <v>0</v>
      </c>
      <c r="DF204" s="143">
        <f>IF(AND(L204&lt;DF$3,$C204="W"),1+DF203,DF203)</f>
        <v>8</v>
      </c>
      <c r="DG204" s="133">
        <f>IF(DF204&gt;DF203,L204+DG203,DG203)</f>
        <v>10.598</v>
      </c>
      <c r="DH204" s="146">
        <f>IF(AND(L204&gt;DH$3,$C204="W"),1+DH203,0+DH203)</f>
        <v>3</v>
      </c>
      <c r="DI204" s="133">
        <f>IF(DH204&gt;DH203,L204+DI203,DI203)</f>
        <v>15.98</v>
      </c>
      <c r="DJ204" t="s" s="304">
        <f>IF($D202="","",$D202)</f>
        <v>184</v>
      </c>
      <c r="DK204" s="286"/>
    </row>
    <row r="205" ht="14.55" customHeight="1">
      <c r="A205" s="171">
        <f>$A202+1</f>
        <v>68</v>
      </c>
      <c r="B205" t="s" s="172">
        <f>IF(AND(_xlfn.XLOOKUP(H205,H$84:H109,G$84:G109,0)=G205,_xlfn.XLOOKUP("TempoBet",K205:K207,L205:L207,0)&gt;0),"X",IF(OR(C205="W",C206="W",C207="W",C205="1/2W",C206="1/2W",C207="1/2W",C205="1/2L",C206="1/2L",C207="1/2L"),"OK",IF(OR(C205="L",C206="L",C207="L"),"LOSS",IF(OR(C205="X",C206="X",C207="X"),"Anulado"," "))))</f>
        <v>24</v>
      </c>
      <c r="C205" t="s" s="173">
        <v>114</v>
      </c>
      <c r="D205" t="s" s="305">
        <f>IF(G205="","",$D202)</f>
        <v>184</v>
      </c>
      <c r="E205" t="s" s="175">
        <f>IF(G205=""," ","– "&amp;COUNTIF(D$4:D207,$D205))</f>
        <v>148</v>
      </c>
      <c r="F205" t="s" s="176"/>
      <c r="G205" s="177">
        <v>44947.5</v>
      </c>
      <c r="H205" t="s" s="178">
        <v>215</v>
      </c>
      <c r="I205" t="s" s="179">
        <v>87</v>
      </c>
      <c r="J205" s="180"/>
      <c r="K205" t="s" s="181">
        <v>41</v>
      </c>
      <c r="L205" s="182">
        <v>6.8</v>
      </c>
      <c r="M205" s="183">
        <v>3.88</v>
      </c>
      <c r="N205" s="184">
        <v>0</v>
      </c>
      <c r="O205" s="185">
        <f>IF(OR(AE205="",AE206=""),"",ROUND(IF(L207&gt;0,IF(M205&gt;0,M205,IF(M206&gt;0,ROUND((M206*AE205)/AE206,IF(N205=0,2,IF(N205=0.1,1,0))),ROUND((M207*AE205)/AE207,IF(N205=0,2,IF(N205=0.1,1,0))))),IF(M205&gt;0,M205,ROUND((M206*AE205)/AE206,IF(N205=0,2,IF(N205=0.1,1,0))))),2))</f>
        <v>3.88</v>
      </c>
      <c r="P205" s="186">
        <f>IF(OR(L205="",O205=""),"",IF($C205="1/2W",O205/2+O205/2*L205,IF($C205="1/2L",O205/2,IF(I205="Lay",(O205*(L205/(L205-1))-O205)*(1-_xlfn.XLOOKUP(K205,'Janeiro 2023 - Valor Real'!A3:A15,'Janeiro 2023 - Valor Real'!C3:C15,0))+O205,(O205*L205-O205)*(1-_xlfn.XLOOKUP(K205,'Janeiro 2023 - Valor Real'!A3:A15,'Janeiro 2023 - Valor Real'!C3:C15,0))+O205))))</f>
        <v>26.384</v>
      </c>
      <c r="Q205" s="187">
        <f>IF(K205="","",IF(_xlfn.XLOOKUP(K205,K$84:K109,DJ$84:DJ109,0,,-1)=DJ205,_xlfn.XLOOKUP(K205,K$84:K109,Q$84:Q109,1,,-1)+1,1))</f>
        <v>1</v>
      </c>
      <c r="R205" s="188">
        <f>IF(K205="","",_xlfn.XLOOKUP(K205,K$84:K109,R$84:R109,0,,-1)+IF($C205=" ",1,0))</f>
        <v>0</v>
      </c>
      <c r="S205" s="189">
        <f>IF($B205="Anulado",0,ROUND(IF(OR($B205="LOSS",$B205="OK"),IF(OR($C205="W",$C205="1/2W",$C205="1/2L"),P205-O205,IF($C205="L",-O205,0))+IF(OR($C206="W",$C206="1/2W",$C206="1/2L"),P206-O206,IF($C206="L",-O206,0))+IF(OR($C207="W",$C207="1/2W",$C207="1/2L"),P207-O207,IF($C207="L",-O207,0)),IF(AND(OR($C205="W",$C205="1/2W",$C205="1/2L"),C206="W"),P205+P206-SUM(O205:O207)+_xlfn.XLOOKUP("X",C205:C207,O205:O207,0),IF(AND(C205=TRUE,C207="W"),P205+P207-SUM(O205:O207),IF(AND(C206="W",C207="W"),P206+P207-SUM(O205:O207)+_xlfn.XLOOKUP("X",C205:C207,O205:O207,0),IF(L207&gt;0,IF(OR($C205="W",$C205="1/2W",$C205="1/2L"),P205-SUM(O205:O207)+_xlfn.XLOOKUP("X",C205:C207,O205:O207,0),IF(OR($C205="W",$C205="1/2W",$C205="1/2L"),P206-SUM(O205:O207)+_xlfn.XLOOKUP("X",C205:C207,O205:O207,0),IF(OR($C205="W",$C205="1/2W",$C205="1/2L"),P207-SUM(O205:O207)+_xlfn.XLOOKUP("X",C205:C207,O205:O207,0),IF(SUM(P205:P207)/3-SUM(O205:O207)+_xlfn.XLOOKUP("X",C205:C207,O205:O207,0)&gt;0,SUM(P205:P207)/3-SUM(O205:O207)+_xlfn.XLOOKUP("X",C205:C207,O205:O207,0),LARGE(P205:P207,1)-SUM(O205:O207))))),IF(OR($C205="W",$C205="1/2W",$C205="1/2L"),P205-SUM(O205:O206)+_xlfn.XLOOKUP("X",C205:C207,O205:O207,0),IF(OR($C205="W",$C205="1/2W",$C205="1/2L"),P206-SUM(O205:O206)+_xlfn.XLOOKUP("X",C205:C207,O205:O207,0),SUM(P205:P206)/2-SUM(O205:O206)+_xlfn.XLOOKUP("X",C205:C207,O205:O207,0)))))))),2))</f>
        <v>0</v>
      </c>
      <c r="T205" s="190">
        <f>IF(S205=0,0,S205/SUM(O205:O207))</f>
        <v>0</v>
      </c>
      <c r="U205" s="191">
        <f>IF($D205=$D202,IF(OR($B205="LOSS",$B205="OK",$B205="Anulada"),S205,0)+U202,IF(OR($B205="LOSS",$B205="OK",$B205="Anulada"),S205,0))</f>
        <v>28.91</v>
      </c>
      <c r="V205" s="191">
        <f>IF($D205="",0,IF($D205=$D202,IF($B205=" ",IF(I207="",IF(OR(AND(I205="DNB1",I206="DNB2"),AND(OR(I205="DNB1",I205="DNB2"),J206=0),AND(OR(I206="DNB1",I206="DNB2"),J205=0),AND(I205="DNB2",I206="DNB1"),AND(IF(J205=0,(J205+1)/ROUND(J205+1,0),J205/ROUND(J205,0))=1,IF(J206=0,(J206+1)/ROUND(IF(J206="",0,J206)+1,0),IF(J206="",0,J206)/ROUND(IF(J206="",1,J206),0))=1,OR(J205&lt;&gt;""),J206&lt;&gt;"")),0,IF(S205&lt;0,IF(I207="",SMALL(P205:P206,1)-SUM(O205:O206),0),SMALL(P205:P206,1)-SUM(O205:O206))),IF(S205&lt;0,IF(I207="",SMALL(P205:P207,1)-SUM(O205:O207),0),LARGE(P205:P207,1)-SUM(O205:O207))),S205)+V202,IF(I207="",IF(OR(AND(I205="DNB1",I206="DNB2"),AND(OR(I205="DNB1",I205="DNB2"),J206=0),AND(OR(I206="DNB1",I206="DNB2"),J205=0),AND(I205="DNB2",I206="DNB1"),AND(IF(J205=0,(J205+1)/ROUND(J205+1,0),J205/ROUND(J205,0))=1,IF(J206=0,(IF(J206="",0,J206)+1)/ROUND(IF(J206="",0,J206)+1,0),IF(J206="",0,J206)/ROUND(IF(J206="",0,J206)+1,0))=1,OR(J205&lt;&gt;""),J206&lt;&gt;"")),0,IF(S205&lt;0,IF(I207="",SMALL(P205:P206,1)-SUM(O205:O206),0),SMALL(P205:P207,1)-SUM(O205:O207))),IF(S205&lt;0,IF(I207="",SMALL(P205:P207,1)-SUM(O205:O207),0),LARGE(P205:P207,1)-SUM(O205:O207)))))</f>
        <v>28.9075</v>
      </c>
      <c r="W205" s="191">
        <f>IF($D205=$D202,IF(S205&lt;0,IF(I207="",S205,0),S205)+W202,S205)</f>
        <v>28.91</v>
      </c>
      <c r="X205" t="s" s="192">
        <f>IF(OR(SUM(R205:R207)=0,V205=W205),ROUND(IF(W205=0,0,W205/Y205)*100,2)&amp;"%",ROUND(IF(V205=0,0,V205/Y205)*100,2)&amp;"% a "&amp;ROUND(IF(W205=0,0,W205/Y205)*100,2)&amp;"%")</f>
        <v>216</v>
      </c>
      <c r="Y205" s="193">
        <f>IF($D205=$D202,Y202+SUM(O205:O207),SUM(O205:O207))</f>
        <v>699.28</v>
      </c>
      <c r="Z205" s="191">
        <f>IF($B205=" ",SUM(O205:O207),0)+Z202</f>
        <v>0</v>
      </c>
      <c r="AA205" s="191">
        <f>IF(G205="","",IF($B205="Anulado",LARGE(P205:P207,1)-SUM(O205:O207)+AA202,AA202))</f>
        <v>16.5099</v>
      </c>
      <c r="AB205" s="191">
        <f>IF($D205="","",AB202+S205)</f>
        <v>154.02</v>
      </c>
      <c r="AC205" s="194">
        <f>IF($D205="","",IF($B205=" ",IF(DAY(G205)=DAY(TODAY()),1+AC202,0+AC202),0+AC202))</f>
        <v>0</v>
      </c>
      <c r="AD205" s="195">
        <f>(((L206/(L206-1)-1)*(1-_xlfn.XLOOKUP(K206,'Janeiro 2023 - Valor Real'!A3:A15,'Janeiro 2023 - Valor Real'!C3:C15,0))+1))/(((L205-1)*(1-_xlfn.XLOOKUP(K205,'Janeiro 2023 - Valor Real'!A3:A15,'Janeiro 2023 - Valor Real'!C3:C15,0))+1)+((L206/(L206-1)-1)*(1-_xlfn.XLOOKUP(K206,'Janeiro 2023 - Valor Real'!A3:A15,'Janeiro 2023 - Valor Real'!C3:C15,0))+1))</f>
        <v>0.423728813559322</v>
      </c>
      <c r="AE205" s="196">
        <f>IF(L205="","",IF(L207&gt;0,(SUM(((L205-1)*(1-_xlfn.XLOOKUP(K205,'Janeiro 2023 - Valor Real'!A3:A15,'Janeiro 2023 - Valor Real'!C3:C15,0))+1),((L206-1)*(1-_xlfn.XLOOKUP(K206,'Janeiro 2023 - Valor Real'!A3:A15,'Janeiro 2023 - Valor Real'!C3:C15,0))+1),((L207-1)*(1-_xlfn.XLOOKUP(K207,'Janeiro 2023 - Valor Real'!A3:A15,'Janeiro 2023 - Valor Real'!C3:C15,0))+1))/((L205-1)*(1-_xlfn.XLOOKUP(K205,'Janeiro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Real'!C3:C15,0))+1))/((L205-1)*(1-_xlfn.XLOOKUP(K205,'Janeiro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Real'!C3:C15,0))+1))/((L206-1)*(1-_xlfn.XLOOKUP(K206,'Janeiro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Real'!C3:C15,0))+1))/((L207-1)*(1-_xlfn.XLOOKUP(K207,'Janeiro 2023 - Valor Real'!A3:A15,'Janeiro 2023 - Valor Real'!C3:C15,0))+1)),IF(I205="Lay",IF(I206="Lay",((L206/(L206-1)-1)*(1-_xlfn.XLOOKUP(K206,'Janeiro 2023 - Valor Real'!A3:A15,'Janeiro 2023 - Valor Real'!C3:C15,0))+1)/(((L206/(L206-1)-1)*(1-_xlfn.XLOOKUP(K206,'Janeiro 2023 - Valor Real'!A3:A15,'Janeiro 2023 - Valor Real'!C3:C15,0))+1)+((L205/(L205-1)-1)*(1-_xlfn.XLOOKUP(K205,'Janeiro 2023 - Valor Real'!A3:A15,'Janeiro 2023 - Valor Real'!C3:C15,0))+1)),((L206-1)*(1-_xlfn.XLOOKUP(K206,'Janeiro 2023 - Valor Real'!A3:A15,'Janeiro 2023 - Valor Real'!C3:C15,0))+1)/(((L206-1)*(1-_xlfn.XLOOKUP(K206,'Janeiro 2023 - Valor Real'!A3:A15,'Janeiro 2023 - Valor Real'!C3:C15,0))+1)+((L205/(L205-1)-1)*(1-_xlfn.XLOOKUP(K205,'Janeiro 2023 - Valor Real'!A3:A15,'Janeiro 2023 - Valor Real'!C3:C15,0))+1))),IF(I206="Lay",(((L206/(L206-1)-1)*(1-_xlfn.XLOOKUP(K206,'Janeiro 2023 - Valor Real'!A3:A15,'Janeiro 2023 - Valor Real'!C3:C15,0))+1))/(((L205-1)*(1-_xlfn.XLOOKUP(K205,'Janeiro 2023 - Valor Real'!A3:A15,'Janeiro 2023 - Valor Real'!C3:C15,0))+1)+((L206/(L206-1)-1)*(1-_xlfn.XLOOKUP(K206,'Janeiro 2023 - Valor Real'!A3:A15,'Janeiro 2023 - Valor Real'!C3:C15,0))+1)),((L206-1)*(1-_xlfn.XLOOKUP(K206,'Janeiro 2023 - Valor Real'!A3:A15,'Janeiro 2023 - Valor Real'!C3:C15,0))+1)/(((L206-1)*(1-_xlfn.XLOOKUP(K206,'Janeiro 2023 - Valor Real'!A3:A15,'Janeiro 2023 - Valor Real'!C3:C15,0))+1)+((L205-1)*(1-_xlfn.XLOOKUP(K205,'Janeiro 2023 - Valor Real'!A3:A15,'Janeiro 2023 - Valor Real'!C3:C15,0))+1))))))</f>
        <v>0.15527950310559</v>
      </c>
      <c r="AF205" s="197">
        <f>IF($K205=AF$3,ROUND(IF(OR($C205="W",$C205="1/2W",$C205="1/2L"),$P205-$O205,IF($C205="X",0,-$O205)),2),0)</f>
        <v>0</v>
      </c>
      <c r="AG205" s="198">
        <f>IF($K205=AG$3,ROUND(IF(OR($C205="W",$C205="1/2W",$C205="1/2L"),$P205-$O205,IF($C205="X",0,-$O205)),2),0)</f>
        <v>0</v>
      </c>
      <c r="AH205" s="198">
        <f>IF($K205=AH$3,ROUND(IF(OR($C205="W",$C205="1/2W",$C205="1/2L"),$P205-$O205,IF($C205="X",0,-$O205)),2),0)</f>
        <v>0</v>
      </c>
      <c r="AI205" s="198">
        <f>IF($K205=AI$3,ROUND(IF(OR($C205="W",$C205="1/2W",$C205="1/2L"),$P205-$O205,IF($C205="X",0,-$O205)),2),0)</f>
        <v>0</v>
      </c>
      <c r="AJ205" s="198">
        <f>IF($K205=AJ$3,ROUND(IF(OR($C205="W",$C205="1/2W",$C205="1/2L"),$P205-$O205,IF($C205="X",0,-$O205)),2),0)</f>
        <v>0</v>
      </c>
      <c r="AK205" s="198">
        <f>IF($K205=AK$3,ROUND(IF(OR($C205="W",$C205="1/2W",$C205="1/2L"),$P205-$O205,IF($C205="X",0,-$O205)),2),0)</f>
        <v>0</v>
      </c>
      <c r="AL205" s="198">
        <f>IF($K205=AL$3,ROUND(IF(OR($C205="W",$C205="1/2W",$C205="1/2L"),$P205-$O205,IF($C205="X",0,-$O205)),2),0)</f>
        <v>0</v>
      </c>
      <c r="AM205" s="198">
        <f>IF($K205=AM$3,ROUND(IF(OR($C205="W",$C205="1/2W",$C205="1/2L"),$P205-$O205,IF($C205="X",0,-$O205)),2),0)</f>
        <v>0</v>
      </c>
      <c r="AN205" s="198">
        <f>IF($K205=AN$3,ROUND(IF(OR($C205="W",$C205="1/2W",$C205="1/2L"),$P205-$O205,IF($C205="X",0,-$O205)),2),0)</f>
        <v>0</v>
      </c>
      <c r="AO205" s="198">
        <f>IF($K205=AO$3,ROUND(IF(OR($C205="W",$C205="1/2W",$C205="1/2L"),$P205-$O205,IF($C205="X",0,-$O205)),2),0)</f>
        <v>0</v>
      </c>
      <c r="AP205" s="198">
        <f>IF($K205=AP$3,ROUND(IF(OR($C205="W",$C205="1/2W",$C205="1/2L"),$P205-$O205,IF($C205="X",0,-$O205)),2),0)</f>
        <v>0</v>
      </c>
      <c r="AQ205" s="198">
        <f>IF($K205=AQ$3,ROUND(IF(OR($C205="W",$C205="1/2W",$C205="1/2L"),$P205-$O205,IF($C205="X",0,-$O205)),2),0)</f>
        <v>0</v>
      </c>
      <c r="AR205" s="199">
        <f>IF($K205=AR$3,ROUND(IF(OR($C205="W",$C205="1/2W",$C205="1/2L"),$P205-$O205,IF($C205="X",0,-$O205)),2),0)</f>
        <v>0</v>
      </c>
      <c r="AS205" s="197">
        <f>IF(AND($B205=" ",$K205=AS$3),$O205,0)</f>
        <v>0</v>
      </c>
      <c r="AT205" s="198">
        <f>IF(AND($B205=" ",$K205=AT$3),$O205,0)</f>
        <v>0</v>
      </c>
      <c r="AU205" s="198">
        <f>IF(AND($B205=" ",$K205=AU$3),$O205,0)</f>
        <v>0</v>
      </c>
      <c r="AV205" s="198">
        <f>IF(AND($B205=" ",$K205=AV$3),$O205,0)</f>
        <v>0</v>
      </c>
      <c r="AW205" s="198">
        <f>IF(AND($B205=" ",$K205=AW$3),$O205,0)</f>
        <v>0</v>
      </c>
      <c r="AX205" s="198">
        <f>IF(AND($B205=" ",$K205=AX$3),$O205,0)</f>
        <v>0</v>
      </c>
      <c r="AY205" s="200">
        <f>IF(AND($B205=" ",$K205=AY$3),$O205,0)</f>
        <v>0</v>
      </c>
      <c r="AZ205" s="201">
        <f>IF(AND($B205=" ",$K205=AZ$3),$O205,0)</f>
        <v>0</v>
      </c>
      <c r="BA205" s="201">
        <f>IF(AND($B205=" ",$K205=BA$3),$O205,0)</f>
        <v>0</v>
      </c>
      <c r="BB205" s="201">
        <f>IF(AND($B205=" ",$K205=BB$3),$O205,0)</f>
        <v>0</v>
      </c>
      <c r="BC205" s="202">
        <f>IF(AND($B205=" ",$K205=BC$3),$O205,0)</f>
        <v>0</v>
      </c>
      <c r="BD205" s="198">
        <f>IF(AND($B205=" ",$K205=BD$3),$O205,0)</f>
        <v>0</v>
      </c>
      <c r="BE205" s="199">
        <f>IF(AND($B205=" ",$K205=BE$3),$O205,0)</f>
        <v>0</v>
      </c>
      <c r="BF205" s="203">
        <f>IF($K205=BF$3,IF($C205="X",0,$O205),0)</f>
        <v>0</v>
      </c>
      <c r="BG205" s="198">
        <f>IF($K205=BG$3,IF($C205="X",0,$O205),0)</f>
        <v>0</v>
      </c>
      <c r="BH205" s="198">
        <f>IF($K205=BH$3,IF($C205="X",0,$O205),0)</f>
        <v>0</v>
      </c>
      <c r="BI205" s="198">
        <f>IF($K205=BI$3,IF($C205="X",0,$O205),0)</f>
        <v>0</v>
      </c>
      <c r="BJ205" s="198">
        <f>IF($K205=BJ$3,IF($C205="X",0,$O205),0)</f>
        <v>0</v>
      </c>
      <c r="BK205" s="198">
        <f>IF($K205=BK$3,IF($C205="X",0,$O205),0)</f>
        <v>0</v>
      </c>
      <c r="BL205" s="198">
        <f>IF($K205=BL$3,IF($C205="X",0,$O205),0)</f>
        <v>0</v>
      </c>
      <c r="BM205" s="200">
        <f>IF($K205=BM$3,IF($C205="X",0,$O205),0)</f>
        <v>0</v>
      </c>
      <c r="BN205" s="201">
        <f>IF($K205=BN$3,IF($C205="X",0,$O205),0)</f>
        <v>0</v>
      </c>
      <c r="BO205" s="201">
        <f>IF($K205=BO$3,IF($C205="X",0,$O205),0)</f>
        <v>0</v>
      </c>
      <c r="BP205" s="201">
        <f>IF($K205=BP$3,IF($C205="X",0,$O205),0)</f>
        <v>0</v>
      </c>
      <c r="BQ205" s="202">
        <f>IF($K205=BQ$3,IF($C205="X",0,$O205),0)</f>
        <v>0</v>
      </c>
      <c r="BR205" s="199">
        <f>IF($K205=BR$3,IF($C205="X",0,$O205),0)</f>
        <v>0</v>
      </c>
      <c r="BS205" s="204">
        <f>IF($B205="LOSS",IF(AND($K205=BS$3,$C205="L"),-$O205,0)+IF(AND($K206=BS$3,$C206="L"),-$O206,0)+IF(AND($K207=BS$3,$C207="L"),-$O207,0),IF(OR(AND($K205=BS$3,OR($C205="W",$C205="1/2W")),AND($K206=BS$3,OR($C206="W",$C206="1/2W")),AND($K207=BS$3,OR($C207="W",$C207="1/2W"))),$S205,0))</f>
        <v>0</v>
      </c>
      <c r="BT205" s="201">
        <f>IF($B205="LOSS",IF(AND($K205=BT$3,$C205="L"),-$O205,0)+IF(AND($K206=BT$3,$C206="L"),-$O206,0)+IF(AND($K206=BT$3,$C207="L"),-$O207,0),IF(OR(AND($K206=BT$3,OR($C205="W",$C205="1/2W")),AND($K206=BT$3,OR($C206="W",$C206="1/2W")),AND($K206=BT$3,OR($C207="W",$C207="1/2W"))),$S205,0))</f>
        <v>0</v>
      </c>
      <c r="BU205" s="201">
        <f>IF($B205="LOSS",IF(AND($K205=BU$3,$C205="L"),-$O205,0)+IF(AND($K206=BU$3,$C206="L"),-$O206,0)+IF(AND($K206=BU$3,$C207="L"),-$O207,0),IF(OR(AND($K206=BU$3,OR($C205="W",$C205="1/2W")),AND($K206=BU$3,OR($C206="W",$C206="1/2W")),AND($K206=BU$3,OR($C207="W",$C207="1/2W"))),$S205,0))</f>
        <v>0</v>
      </c>
      <c r="BV205" s="201">
        <f>IF($B205="LOSS",IF(AND($K205=BV$3,$C205="L"),-$O205,0)+IF(AND($K206=BV$3,$C206="L"),-$O206,0)+IF(AND($K207=BV$3,$C207="L"),-$O207,0),IF(OR(AND($K205=BV$3,OR($C205="W",$C205="1/2W")),AND($K206=BV$3,OR($C206="W",$C206="1/2W")),AND($K207=BV$3,OR($C207="W",$C207="1/2W"))),$S205,0))</f>
        <v>0</v>
      </c>
      <c r="BW205" s="201">
        <f>IF($B205="LOSS",IF(AND($K205=BW$3,$C205="L"),-$O205,0)+IF(AND($K206=BW$3,$C206="L"),-$O206,0)+IF(AND($K207=BW$3,$C207="L"),-$O207,0),IF(OR(AND($K205=BW$3,OR($C205="W",$C205="1/2W")),AND($K206=BW$3,OR($C206="W",$C206="1/2W")),AND($K207=BW$3,OR($C207="W",$C207="1/2W"))),$S205,0))</f>
        <v>0</v>
      </c>
      <c r="BX205" s="201">
        <f>IF($B205="LOSS",IF(AND($K205=BX$3,$C205="L"),-$O205,0)+IF(AND($K206=BX$3,$C206="L"),-$O206,0)+IF(AND($K207=BX$3,$C207="L"),-$O207,0),IF(OR(AND($K205=BX$3,OR($C205="W",$C205="1/2W")),AND($K206=BX$3,OR($C206="W",$C206="1/2W")),AND($K207=BX$3,OR($C207="W",$C207="1/2W"))),$S205,0))</f>
        <v>0</v>
      </c>
      <c r="BY205" s="201">
        <f>IF($B205="LOSS",IF(AND($K205=BY$3,$C205="L"),-$O205,0)+IF(AND($K206=BY$3,$C206="L"),-$O206,0)+IF(AND($K207=BY$3,$C207="L"),-$O207,0),IF(OR(AND($K205=BY$3,OR($C205="W",$C205="1/2W")),AND($K206=BY$3,OR($C206="W",$C206="1/2W")),AND($K207=BY$3,OR($C207="W",$C207="1/2W"))),$S205,0))</f>
        <v>0</v>
      </c>
      <c r="BZ205" s="205">
        <f>IF($B205="LOSS",IF(AND($K205=BZ$3,$C205="L"),-$O205,0)+IF(AND($K206=BZ$3,$C206="L"),-$O206,0)+IF(AND($K207=BZ$3,$C207="L"),-$O207,0),IF(OR(AND($K205=BZ$3,OR($C205="W",$C205="1/2W")),AND($K206=BZ$3,OR($C206="W",$C206="1/2W")),AND($K207=BZ$3,OR($C207="W",$C207="1/2W"))),$S205,0))</f>
        <v>0</v>
      </c>
      <c r="CA205" s="205">
        <f>IF($B205="LOSS",IF(AND($K205=CA$3,$C205="L"),-$O205,0)+IF(AND($K206=CA$3,$C206="L"),-$O206,0)+IF(AND($K207=CA$3,$C207="L"),-$O207,0),IF(OR(AND($K205=CA$3,OR($C205="W",$C205="1/2W")),AND($K206=CA$3,OR($C206="W",$C206="1/2W")),AND($K207=CA$3,OR($C207="W",$C207="1/2W"))),$S205,0))</f>
        <v>0</v>
      </c>
      <c r="CB205" s="205">
        <f>IF($B205="LOSS",IF(AND($K205=CB$3,$C205="L"),-$O205,0)+IF(AND($K206=CB$3,$C206="L"),-$O206,0)+IF(AND($K207=CB$3,$C207="L"),-$O207,0),IF(OR(AND($K205=CB$3,OR($C205="W",$C205="1/2W")),AND($K206=CB$3,OR($C206="W",$C206="1/2W")),AND($K207=CB$3,OR($C207="W",$C207="1/2W"))),$S205,0))</f>
        <v>0</v>
      </c>
      <c r="CC205" s="205">
        <f>IF($B205="LOSS",IF(AND($K205=CC$3,$C205="L"),-$O205,0)+IF(AND($K206=CC$3,$C206="L"),-$O206,0)+IF(AND($K207=CC$3,$C207="L"),-$O207,0),IF(OR(AND($K205=CC$3,OR($C205="W",$C205="1/2W")),AND($K206=CC$3,OR($C206="W",$C206="1/2W")),AND($K207=CC$3,OR($C207="W",$C207="1/2W"))),$S205,0))</f>
        <v>0</v>
      </c>
      <c r="CD205" s="202">
        <f>IF($B205="LOSS",IF(AND($K205=CD$3,$C205="L"),-$O205,0)+IF(AND($K206=CD$3,$C206="L"),-$O206,0)+IF(AND($K207=CD$3,$C207="L"),-$O207,0),IF(OR(AND($K205=CD$3,OR($C205="W",$C205="1/2W")),AND($K206=CD$3,OR($C206="W",$C206="1/2W")),AND($K207=CD$3,OR($C207="W",$C207="1/2W"))),$S205,0))</f>
        <v>0</v>
      </c>
      <c r="CE205" s="199">
        <f>IF($B205="LOSS",IF(AND($K205=CE$3,$C205="L"),-$O205,0)+IF(AND($K206=CE$3,$C206="L"),-$O206,0)+IF(AND($K207=CE$3,$C207="L"),-$O207,0),IF(OR(AND($K205=CE$3,OR($C205="W",$C205="1/2W")),AND($K206=CE$3,OR($C206="W",$C206="1/2W")),AND($K207=CE$3,OR($C207="W",$C207="1/2W"))),$S205,0))</f>
        <v>0</v>
      </c>
      <c r="CF205" s="206">
        <f>IF(CF$3=$K205,IF($C205="W",1,IF($C205="1/2W",0.5,0)),0)</f>
        <v>0</v>
      </c>
      <c r="CG205" s="207">
        <f>IF(CF$3=$K205,IF($C205="L",1,IF($C205="1/2L",0.5,0)),0)</f>
        <v>0</v>
      </c>
      <c r="CH205" s="207">
        <f>IF(CH$3=$K205,IF($C205="W",1,IF($C205="1/2W",0.5,0)),0)</f>
        <v>0</v>
      </c>
      <c r="CI205" s="207">
        <f>IF(CH$3=$K205,IF($C205="L",1,IF($C205="1/2L",0.5,0)),0)</f>
        <v>0</v>
      </c>
      <c r="CJ205" s="207">
        <f>IF(CJ$3=$K205,IF($C205="W",1,IF($C205="1/2W",0.5,0)),0)</f>
        <v>0</v>
      </c>
      <c r="CK205" s="207">
        <f>IF(CJ$3=$K205,IF($C205="L",1,IF($C205="1/2L",0.5,0)),0)</f>
        <v>0</v>
      </c>
      <c r="CL205" s="207">
        <f>IF(CL$3=$K205,IF($C205="W",1,IF($C205="1/2W",0.5,0)),0)</f>
        <v>0</v>
      </c>
      <c r="CM205" s="207">
        <f>IF(CL$3=$K205,IF($C205="L",1,IF($C205="1/2L",0.5,0)),0)</f>
        <v>0</v>
      </c>
      <c r="CN205" s="207">
        <f>IF(CN$3=$K205,IF($C205="W",1,IF($C205="1/2W",0.5,0)),0)</f>
        <v>0</v>
      </c>
      <c r="CO205" s="207">
        <f>IF(CN$3=$K205,IF($C205="L",1,IF($C205="1/2L",0.5,0)),0)</f>
        <v>0</v>
      </c>
      <c r="CP205" s="207">
        <f>IF(CP$3=$K205,IF($C205="W",1,IF($C205="1/2W",0.5,0)),0)</f>
        <v>0</v>
      </c>
      <c r="CQ205" s="207">
        <f>IF(CP$3=$K205,IF($C205="L",1,IF($C205="1/2L",0.5,0)),0)</f>
        <v>0</v>
      </c>
      <c r="CR205" s="207">
        <f>IF(CR$3=$K205,IF($C205="W",1,IF($C205="1/2W",0.5,0)),0)</f>
        <v>0</v>
      </c>
      <c r="CS205" s="207">
        <f>IF(CR$3=$K205,IF($C205="L",1,IF($C205="1/2L",0.5,0)),0)</f>
        <v>0</v>
      </c>
      <c r="CT205" s="208">
        <f>IF(CT$3=$K205,IF($C205="W",1,IF($C205="1/2W",0.5,0)),0)</f>
        <v>0</v>
      </c>
      <c r="CU205" s="209">
        <f>IF(CT$3=$K205,IF($C205="L",1,IF($C205="1/2L",0.5,0)),0)</f>
        <v>0</v>
      </c>
      <c r="CV205" s="209">
        <f>IF(CV$3=$K205,IF($C205="W",1,IF($C205="1/2W",0.5,0)),0)</f>
        <v>0</v>
      </c>
      <c r="CW205" s="209">
        <f>IF(CV$3=$K205,IF($C205="L",1,IF($C205="1/2L",0.5,0)),0)</f>
        <v>0</v>
      </c>
      <c r="CX205" s="209">
        <f>IF(CX$3=$K205,IF($C205="W",1,IF($C205="1/2W",0.5,0)),0)</f>
        <v>0</v>
      </c>
      <c r="CY205" s="209">
        <f>IF(CX$3=$K205,IF($C205="L",1,IF($C205="1/2L",0.5,0)),0)</f>
        <v>0</v>
      </c>
      <c r="CZ205" s="209">
        <f>IF(CZ$3=$K205,IF($C205="W",1,IF($C205="1/2W",0.5,0)),0)</f>
        <v>0</v>
      </c>
      <c r="DA205" s="209">
        <f>IF(CZ$3=$K205,IF($C205="L",1,IF($C205="1/2L",0.5,0)),0)</f>
        <v>0</v>
      </c>
      <c r="DB205" s="209">
        <f>IF(DB$3=$K205,IF($C205="W",1,IF($C205="1/2W",0.5,0)),0)</f>
        <v>0</v>
      </c>
      <c r="DC205" s="209">
        <f>IF(DB$3=$K205,IF($C205="L",1,IF($C205="1/2L",0.5,0)),0)</f>
        <v>0</v>
      </c>
      <c r="DD205" s="209">
        <f>IF(DD$3=$K205,IF($C205="W",1,IF($C205="1/2W",0.5,0)),0)</f>
        <v>0</v>
      </c>
      <c r="DE205" s="210">
        <f>IF(DD$3=$K205,IF($C205="L",1,IF($C205="1/2L",0.5,0)),0)</f>
        <v>0</v>
      </c>
      <c r="DF205" s="211">
        <f>IF(AND(L205&lt;DF$3,$C205="W"),1+DF204,DF204)</f>
        <v>8</v>
      </c>
      <c r="DG205" s="198">
        <f>IF(DF205&gt;DF204,L205+DG204,DG204)</f>
        <v>10.598</v>
      </c>
      <c r="DH205" s="209">
        <f>IF(AND(L205&gt;DH$3,$C205="W"),1+DH204,0+DH204)</f>
        <v>3</v>
      </c>
      <c r="DI205" s="198">
        <f>IF(DH205&gt;DH204,L205+DI204,DI204)</f>
        <v>15.98</v>
      </c>
      <c r="DJ205" t="s" s="306">
        <f>IF($D205="","",$D205)</f>
        <v>184</v>
      </c>
      <c r="DK205" s="209">
        <f>IF(AND($B205=" ",$D205&lt;&gt;""),1,0)</f>
        <v>0</v>
      </c>
    </row>
    <row r="206" ht="14.55" customHeight="1">
      <c r="A206" s="107"/>
      <c r="B206" s="108"/>
      <c r="C206" t="s" s="213">
        <v>114</v>
      </c>
      <c r="D206" s="110"/>
      <c r="E206" s="111"/>
      <c r="F206" s="112"/>
      <c r="G206" s="214"/>
      <c r="H206" s="114"/>
      <c r="I206" s="299">
        <v>1</v>
      </c>
      <c r="J206" t="s" s="216">
        <f>IF(OR(I205="TO",I205="TU",I205="TO1",I205="TU1",I205="TO2",I205="TU2"),J205,IF(OR(I205="AH1",I205="AH2"),IF(OR(I206="AH1",I206="AH2"),-J205,IF(OR(I206="EH1",I206="EH2"),-J205+0.5,"")),IF(OR(I205="EH1",I205="EH2"),IF(OR(I206="AH1",I206="AH2"),-J205+0.5,IF(OR(I206="EH1",I206="EH2"),-J205+1,"")),IF(AND(OR(I205="DNB1",I205="DNB2"),OR(I206="AH1",I206="AH2")),0,IF(AND(I205="Not ScoreBoth",OR(I206="TO1",I206="TO2")),0.5,"")))))</f>
      </c>
      <c r="K206" t="s" s="217">
        <v>37</v>
      </c>
      <c r="L206" s="218">
        <v>1.25</v>
      </c>
      <c r="M206" s="219">
        <v>21.15</v>
      </c>
      <c r="N206" s="120"/>
      <c r="O206" s="220">
        <f>IF(OR(AE205="",AE206=""),"",ROUND(IF(L207&gt;0,IF(M206&gt;0,M206,IF(M205&gt;0,IF(N205=TRUE,ROUND((M205*AE206)/AE205,0),(M205*AE206)/AE205),IF(M206&gt;0,ROUND(M206,IF(N205=0,2,IF(N205=0.1,1,0))),IF(M207&gt;0,ROUND(O207*AE206/AE207,IF(N205=0,2,IF(N205=0.1,1,0))),0)))),IF(M206&gt;0,M206,ROUND((M205*AE206)/AE205,IF(N205=0,2,IF(N205=0.1,1,0))))),2))</f>
        <v>21.15</v>
      </c>
      <c r="P206" s="221">
        <f>IF(OR(L206="",O206=""),"",IF($C206="1/2W",O206/2+O206/2*L206,IF($C206="1/2L",O206/2,IF(I206="Lay",((O206*(L206/(L206-1)))-O206)*(1-_xlfn.XLOOKUP(K206,'Janeiro 2023 - Valor Real'!A3:A15,'Janeiro 2023 - Valor Real'!C3:C15,0))+O206,(O206*L206-O206)*(1-_xlfn.XLOOKUP(K206,'Janeiro 2023 - Valor Real'!A3:A15,'Janeiro 2023 - Valor Real'!C3:C15,0))+O206))))</f>
        <v>26.4375</v>
      </c>
      <c r="Q206" s="222">
        <f>IF(K206="","",IF(_xlfn.XLOOKUP(K206,K$85:K110,DJ$85:DJ110,0,,-1)=DJ206,_xlfn.XLOOKUP(K206,K$85:K110,Q$85:Q110,1,,-1)+1,1))</f>
        <v>1</v>
      </c>
      <c r="R206" s="223">
        <f>IF(K206="","",_xlfn.XLOOKUP(K206,K$85:K110,R$85:R110,0,,-1)+IF($C206=" ",1,0))</f>
        <v>0</v>
      </c>
      <c r="S206" s="125"/>
      <c r="T206" s="126"/>
      <c r="U206" s="126"/>
      <c r="V206" s="224"/>
      <c r="W206" s="126"/>
      <c r="X206" s="127"/>
      <c r="Y206" s="128"/>
      <c r="Z206" s="129"/>
      <c r="AA206" s="129"/>
      <c r="AB206" s="129"/>
      <c r="AC206" s="129"/>
      <c r="AD206" s="225">
        <f>(((L206/(L206-1)-1)*(1-_xlfn.XLOOKUP(K206,'Janeiro 2023 - Valor Real'!A3:A15,'Janeiro 2023 - Valor Real'!C3:C15,0))+1))</f>
        <v>5</v>
      </c>
      <c r="AE206" s="226">
        <f>IF(L206="","",IF(L207&gt;0,(SUM(((L205-1)*(1-_xlfn.XLOOKUP(K205,'Janeiro 2023 - Valor Real'!A3:A15,'Janeiro 2023 - Valor Real'!C3:C15,0))+1),((L206-1)*(1-_xlfn.XLOOKUP(K206,'Janeiro 2023 - Valor Real'!A3:A15,'Janeiro 2023 - Valor Real'!C3:C15,0))+1),((L207-1)*(1-_xlfn.XLOOKUP(K207,'Janeiro 2023 - Valor Real'!A3:A15,'Janeiro 2023 - Valor Real'!C3:C15,0))+1))/((L206-1)*(1-_xlfn.XLOOKUP(K206,'Janeiro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Real'!C3:C15,0))+1))/((L205-1)*(1-_xlfn.XLOOKUP(K205,'Janeiro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Real'!C3:C15,0))+1))/((L206-1)*(1-_xlfn.XLOOKUP(K206,'Janeiro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Real'!C3:C15,0))+1))/((L207-1)*(1-_xlfn.XLOOKUP(K207,'Janeiro 2023 - Valor Real'!A3:A15,'Janeiro 2023 - Valor Real'!C3:C15,0))+1)),IF(I206="Lay",IF(I205="Lay",((L205/(L205-1)-1)*(1-_xlfn.XLOOKUP(K205,'Janeiro 2023 - Valor Real'!A3:A15,'Janeiro 2023 - Valor Real'!C3:C15,0))+1)/(((L205/(L205-1)-1)*(1-_xlfn.XLOOKUP(K205,'Janeiro 2023 - Valor Real'!A3:A15,'Janeiro 2023 - Valor Real'!C3:C15,0))+1)+((L206/(L206-1)-1)*(1-_xlfn.XLOOKUP(K206,'Janeiro 2023 - Valor Real'!A3:A15,'Janeiro 2023 - Valor Real'!C3:C15,0))+1)),((L205-1)*(1-_xlfn.XLOOKUP(K205,'Janeiro 2023 - Valor Real'!A3:A15,'Janeiro 2023 - Valor Real'!C3:C15,0))+1)/(((L205-1)*(1-_xlfn.XLOOKUP(K205,'Janeiro 2023 - Valor Real'!A3:A15,'Janeiro 2023 - Valor Real'!C3:C15,0))+1)+((L206/(L206-1)-1)*(1-_xlfn.XLOOKUP(K206,'Janeiro 2023 - Valor Real'!A3:A15,'Janeiro 2023 - Valor Real'!C3:C15,0))+1))),IF(I205="Lay",((L205/(L205-1)-1)*(1-_xlfn.XLOOKUP(K205,'Janeiro 2023 - Valor Real'!A3:A15,'Janeiro 2023 - Valor Real'!C3:C15,0))+1)/((((L205/(L205-1)-1)*(1-_xlfn.XLOOKUP(K205,'Janeiro 2023 - Valor Real'!A3:A15,'Janeiro 2023 - Valor Real'!C3:C15,0))+1))+((L206-1)*(1-_xlfn.XLOOKUP(K206,'Janeiro 2023 - Valor Real'!A3:A15,'Janeiro 2023 - Valor Real'!C3:C15,0))+1)),((L205-1)*(1-_xlfn.XLOOKUP(K205,'Janeiro 2023 - Valor Real'!A3:A15,'Janeiro 2023 - Valor Real'!C3:C15,0))+1)/(((L205-1)*(1-_xlfn.XLOOKUP(K205,'Janeiro 2023 - Valor Real'!A3:A15,'Janeiro 2023 - Valor Real'!C3:C15,0))+1)+((L206-1)*(1-_xlfn.XLOOKUP(K206,'Janeiro 2023 - Valor Real'!A3:A15,'Janeiro 2023 - Valor Real'!C3:C15,0))+1))))))</f>
        <v>0.84472049689441</v>
      </c>
      <c r="AF206" s="197">
        <f>IF($K206=AF$3,ROUND(IF(OR($C206="W",$C206="1/2W",$C206="1/2L"),$P206-$O206,IF($C206="X",0,-$O206)),2),0)</f>
        <v>0</v>
      </c>
      <c r="AG206" s="198">
        <f>IF($K206=AG$3,ROUND(IF(OR($C206="W",$C206="1/2W",$C206="1/2L"),$P206-$O206,IF($C206="X",0,-$O206)),2),0)</f>
        <v>0</v>
      </c>
      <c r="AH206" s="198">
        <f>IF($K206=AH$3,ROUND(IF(OR($C206="W",$C206="1/2W",$C206="1/2L"),$P206-$O206,IF($C206="X",0,-$O206)),2),0)</f>
        <v>0</v>
      </c>
      <c r="AI206" s="198">
        <f>IF($K206=AI$3,ROUND(IF(OR($C206="W",$C206="1/2W",$C206="1/2L"),$P206-$O206,IF($C206="X",0,-$O206)),2),0)</f>
        <v>0</v>
      </c>
      <c r="AJ206" s="198">
        <f>IF($K206=AJ$3,ROUND(IF(OR($C206="W",$C206="1/2W",$C206="1/2L"),$P206-$O206,IF($C206="X",0,-$O206)),2),0)</f>
        <v>0</v>
      </c>
      <c r="AK206" s="198">
        <f>IF($K206=AK$3,ROUND(IF(OR($C206="W",$C206="1/2W",$C206="1/2L"),$P206-$O206,IF($C206="X",0,-$O206)),2),0)</f>
        <v>0</v>
      </c>
      <c r="AL206" s="198">
        <f>IF($K206=AL$3,ROUND(IF(OR($C206="W",$C206="1/2W",$C206="1/2L"),$P206-$O206,IF($C206="X",0,-$O206)),2),0)</f>
        <v>0</v>
      </c>
      <c r="AM206" s="198">
        <f>IF($K206=AM$3,ROUND(IF(OR($C206="W",$C206="1/2W",$C206="1/2L"),$P206-$O206,IF($C206="X",0,-$O206)),2),0)</f>
        <v>0</v>
      </c>
      <c r="AN206" s="198">
        <f>IF($K206=AN$3,ROUND(IF(OR($C206="W",$C206="1/2W",$C206="1/2L"),$P206-$O206,IF($C206="X",0,-$O206)),2),0)</f>
        <v>0</v>
      </c>
      <c r="AO206" s="198">
        <f>IF($K206=AO$3,ROUND(IF(OR($C206="W",$C206="1/2W",$C206="1/2L"),$P206-$O206,IF($C206="X",0,-$O206)),2),0)</f>
        <v>0</v>
      </c>
      <c r="AP206" s="198">
        <f>IF($K206=AP$3,ROUND(IF(OR($C206="W",$C206="1/2W",$C206="1/2L"),$P206-$O206,IF($C206="X",0,-$O206)),2),0)</f>
        <v>0</v>
      </c>
      <c r="AQ206" s="198">
        <f>IF($K206=AQ$3,ROUND(IF(OR($C206="W",$C206="1/2W",$C206="1/2L"),$P206-$O206,IF($C206="X",0,-$O206)),2),0)</f>
        <v>0</v>
      </c>
      <c r="AR206" s="199">
        <f>IF($K206=AR$3,ROUND(IF(OR($C206="W",$C206="1/2W",$C206="1/2L"),$P206-$O206,IF($C206="X",0,-$O206)),2),0)</f>
        <v>0</v>
      </c>
      <c r="AS206" s="197">
        <f>IF(AND($B205=" ",$K206=AS$3),$O206,0)</f>
        <v>0</v>
      </c>
      <c r="AT206" s="198">
        <f>IF(AND($B205=" ",K206=AT$3),$O206,0)</f>
        <v>0</v>
      </c>
      <c r="AU206" s="198">
        <f>IF(AND($B205=" ",$K206=AU$3),$O206,0)</f>
        <v>0</v>
      </c>
      <c r="AV206" s="198">
        <f>IF(AND($B205=" ",$K206=AV$3),$O206,0)</f>
        <v>0</v>
      </c>
      <c r="AW206" s="198">
        <f>IF(AND($B205=" ",$K206=AW$3),$O206,0)</f>
        <v>0</v>
      </c>
      <c r="AX206" s="198">
        <f>IF(AND($B205=" ",$K206=AX$3),$O206,0)</f>
        <v>0</v>
      </c>
      <c r="AY206" s="200">
        <f>IF(AND($B205=" ",$K206=AY$3),$O206,0)</f>
        <v>0</v>
      </c>
      <c r="AZ206" s="201">
        <f>IF(AND($B205=" ",$K206=AZ$3),$O206,0)</f>
        <v>0</v>
      </c>
      <c r="BA206" s="201">
        <f>IF(AND($B205=" ",$K206=BA$3),$O206,0)</f>
        <v>0</v>
      </c>
      <c r="BB206" s="201">
        <f>IF(AND($B205=" ",$K206=BB$3),$O206,0)</f>
        <v>0</v>
      </c>
      <c r="BC206" s="202">
        <f>IF(AND($B205=" ",$K206=BC$3),$O206,0)</f>
        <v>0</v>
      </c>
      <c r="BD206" s="198">
        <f>IF(AND($B205=" ",$K206=BD$3),$O206,0)</f>
        <v>0</v>
      </c>
      <c r="BE206" s="199">
        <f>IF(AND($B205=" ",$K206=BE$3),$O206,0)</f>
        <v>0</v>
      </c>
      <c r="BF206" s="197">
        <f>IF($K206=BF$3,IF($C206="X",0,$O206),0)</f>
        <v>0</v>
      </c>
      <c r="BG206" s="198">
        <f>IF($K206=BG$3,IF($C206="X",0,$O206),0)</f>
        <v>0</v>
      </c>
      <c r="BH206" s="198">
        <f>IF($K206=BH$3,IF($C206="X",0,$O206),0)</f>
        <v>0</v>
      </c>
      <c r="BI206" s="198">
        <f>IF($K206=BI$3,IF($C206="X",0,$O206),0)</f>
        <v>0</v>
      </c>
      <c r="BJ206" s="198">
        <f>IF($K206=BJ$3,IF($C206="X",0,$O206),0)</f>
        <v>0</v>
      </c>
      <c r="BK206" s="198">
        <f>IF($K206=BK$3,IF($C206="X",0,$O206),0)</f>
        <v>0</v>
      </c>
      <c r="BL206" s="198">
        <f>IF($K206=BL$3,IF($C206="X",0,$O206),0)</f>
        <v>0</v>
      </c>
      <c r="BM206" s="227">
        <f>IF($K206=BM$3,IF($C206="X",0,$O206),0)</f>
        <v>0</v>
      </c>
      <c r="BN206" s="205">
        <f>IF($K206=BN$3,IF($C206="X",0,$O206),0)</f>
        <v>0</v>
      </c>
      <c r="BO206" s="205">
        <f>IF($K206=BO$3,IF($C206="X",0,$O206),0)</f>
        <v>0</v>
      </c>
      <c r="BP206" s="205">
        <f>IF($K206=BP$3,IF($C206="X",0,$O206),0)</f>
        <v>0</v>
      </c>
      <c r="BQ206" s="202">
        <f>IF($K206=BQ$3,IF($C206="X",0,$O206),0)</f>
        <v>0</v>
      </c>
      <c r="BR206" s="199">
        <f>IF($K206=BR$3,IF($C206="X",0,$O206),0)</f>
        <v>0</v>
      </c>
      <c r="BS206" s="228"/>
      <c r="BT206" s="229"/>
      <c r="BU206" s="140"/>
      <c r="BV206" s="229"/>
      <c r="BW206" s="140"/>
      <c r="BX206" s="140"/>
      <c r="BY206" s="140"/>
      <c r="BZ206" s="229"/>
      <c r="CA206" s="140"/>
      <c r="CB206" s="140"/>
      <c r="CC206" s="140"/>
      <c r="CD206" s="141"/>
      <c r="CE206" s="142"/>
      <c r="CF206" s="230">
        <f>IF(CF$3=$K206,IF($C206="W",1,IF($C206="1/2W",0.5,0)),0)</f>
        <v>0</v>
      </c>
      <c r="CG206" s="231">
        <f>IF(CF$3=$K206,IF($C206="L",1,IF($C206="1/2L",0.5,0)),0)</f>
        <v>0</v>
      </c>
      <c r="CH206" s="231">
        <f>IF(CH$3=$K206,IF($C206="W",1,IF($C206="1/2W",0.5,0)),0)</f>
        <v>0</v>
      </c>
      <c r="CI206" s="231">
        <f>IF(CH$3=$K206,IF($C206="L",1,IF($C206="1/2L",0.5,0)),0)</f>
        <v>0</v>
      </c>
      <c r="CJ206" s="231">
        <f>IF(CJ$3=$K206,IF($C206="W",1,IF($C206="1/2W",0.5,0)),0)</f>
        <v>0</v>
      </c>
      <c r="CK206" s="231">
        <f>IF(CJ$3=$K206,IF($C206="L",1,IF($C206="1/2L",0.5,0)),0)</f>
        <v>0</v>
      </c>
      <c r="CL206" s="231">
        <f>IF(CL$3=$K206,IF($C206="W",1,IF($C206="1/2W",0.5,0)),0)</f>
        <v>0</v>
      </c>
      <c r="CM206" s="231">
        <f>IF(CL$3=$K206,IF($C206="L",1,IF($C206="1/2L",0.5,0)),0)</f>
        <v>0</v>
      </c>
      <c r="CN206" s="231">
        <f>IF(CN$3=$K206,IF($C206="W",1,IF($C206="1/2W",0.5,0)),0)</f>
        <v>0</v>
      </c>
      <c r="CO206" s="231">
        <f>IF(CN$3=$K206,IF($C206="L",1,IF($C206="1/2L",0.5,0)),0)</f>
        <v>0</v>
      </c>
      <c r="CP206" s="231">
        <f>IF(CP$3=$K206,IF($C206="W",1,IF($C206="1/2W",0.5,0)),0)</f>
        <v>0</v>
      </c>
      <c r="CQ206" s="231">
        <f>IF(CP$3=$K206,IF($C206="L",1,IF($C206="1/2L",0.5,0)),0)</f>
        <v>0</v>
      </c>
      <c r="CR206" s="231">
        <f>IF(CR$3=$K206,IF($C206="W",1,IF($C206="1/2W",0.5,0)),0)</f>
        <v>0</v>
      </c>
      <c r="CS206" s="231">
        <f>IF(CR$3=$K206,IF($C206="L",1,IF($C206="1/2L",0.5,0)),0)</f>
        <v>0</v>
      </c>
      <c r="CT206" s="208">
        <f>IF(CT$3=$K206,IF($C206="W",1,IF($C206="1/2W",0.5,0)),0)</f>
        <v>0</v>
      </c>
      <c r="CU206" s="209">
        <f>IF(CT$3=$K206,IF($C206="L",1,IF($C206="1/2L",0.5,0)),0)</f>
        <v>0</v>
      </c>
      <c r="CV206" s="209">
        <f>IF(CV$3=$K206,IF($C206="W",1,IF($C206="1/2W",0.5,0)),0)</f>
        <v>0</v>
      </c>
      <c r="CW206" s="209">
        <f>IF(CV$3=$K206,IF($C206="L",1,IF($C206="1/2L",0.5,0)),0)</f>
        <v>0</v>
      </c>
      <c r="CX206" s="209">
        <f>IF(CX$3=$K206,IF($C206="W",1,IF($C206="1/2W",0.5,0)),0)</f>
        <v>0</v>
      </c>
      <c r="CY206" s="209">
        <f>IF(CX$3=$K206,IF($C206="L",1,IF($C206="1/2L",0.5,0)),0)</f>
        <v>0</v>
      </c>
      <c r="CZ206" s="209">
        <f>IF(CZ$3=$K206,IF($C206="W",1,IF($C206="1/2W",0.5,0)),0)</f>
        <v>0</v>
      </c>
      <c r="DA206" s="209">
        <f>IF(CZ$3=$K206,IF($C206="L",1,IF($C206="1/2L",0.5,0)),0)</f>
        <v>0</v>
      </c>
      <c r="DB206" s="209">
        <f>IF(DB$3=$K206,IF($C206="W",1,IF($C206="1/2W",0.5,0)),0)</f>
        <v>0</v>
      </c>
      <c r="DC206" s="209">
        <f>IF(DB$3=$K206,IF($C206="L",1,IF($C206="1/2L",0.5,0)),0)</f>
        <v>0</v>
      </c>
      <c r="DD206" s="209">
        <f>IF(DD$3=$K206,IF($C206="W",1,IF($C206="1/2W",0.5,0)),0)</f>
        <v>0</v>
      </c>
      <c r="DE206" s="210">
        <f>IF(DD$3=$K206,IF($C206="L",1,IF($C206="1/2L",0.5,0)),0)</f>
        <v>0</v>
      </c>
      <c r="DF206" s="211">
        <f>IF(AND(L206&lt;DF$3,$C206="W"),1+DF205,DF205)</f>
        <v>8</v>
      </c>
      <c r="DG206" s="198">
        <f>IF(DF206&gt;DF205,L206+DG205,DG205)</f>
        <v>10.598</v>
      </c>
      <c r="DH206" s="209">
        <f>IF(AND(L206&gt;DH$3,$C206="W"),1+DH205,0+DH205)</f>
        <v>3</v>
      </c>
      <c r="DI206" s="198">
        <f>IF(DH206&gt;DH205,L206+DI205,DI205)</f>
        <v>15.98</v>
      </c>
      <c r="DJ206" t="s" s="306">
        <f>IF($D205="","",$D205)</f>
        <v>184</v>
      </c>
      <c r="DK206" s="232"/>
    </row>
    <row r="207" ht="14.55" customHeight="1">
      <c r="A207" s="149"/>
      <c r="B207" s="150"/>
      <c r="C207" t="s" s="233">
        <v>58</v>
      </c>
      <c r="D207" s="152"/>
      <c r="E207" s="153"/>
      <c r="F207" s="154"/>
      <c r="G207" s="234"/>
      <c r="H207" s="156"/>
      <c r="I207" s="235"/>
      <c r="J207" s="236"/>
      <c r="K207" s="237"/>
      <c r="L207" s="238"/>
      <c r="M207" s="239"/>
      <c r="N207" s="161"/>
      <c r="O207" t="s" s="240">
        <f>IF(OR(AE205="",AE206=""),"",IF(L207&gt;0,ROUND(IF(M207&gt;0,M207,IF(M205&gt;0,ROUND((M205*AE207)/AE205,IF(N205=0,2,IF(N205=0.1,1,0))),IF(M206&gt;0,ROUND((M206*AE207)/AE206,IF(N205=0,2,IF(N205=0.1,1,0))),IF(M207&gt;0,M207,0)))),2),""))</f>
      </c>
      <c r="P207" t="s" s="241">
        <f>IF(I206="Lay",O206*(L206/(L206-1))-O206,IF(I205="Lay",O205*(L205/(L205-1))-O205,IF(OR(L207="",O207=""),"",IF($C207="1/2W",O207/2+O207/2*L207,IF($C207="1/2L",O207/2,(O207*L207-O207)*(1-_xlfn.XLOOKUP(K207,'Janeiro 2023 - Valor Real'!A3:A15,'Janeiro 2023 - Valor Real'!C3:C15,0))+O207)))))</f>
      </c>
      <c r="Q207" t="s" s="242">
        <f>IF(K207="","",IF(_xlfn.XLOOKUP(K207,K$86:K111,DJ$86:DJ111,0,,-1)=DJ207,_xlfn.XLOOKUP(K207,K$86:K111,Q$86:Q111,1,,-1)+1,1))</f>
      </c>
      <c r="R207" t="s" s="243">
        <f>IF(K207="","",_xlfn.XLOOKUP(K207,K$86:K111,R$86:R111,0,,-1)+IF($C207=" ",1,0))</f>
      </c>
      <c r="S207" s="166"/>
      <c r="T207" s="155"/>
      <c r="U207" s="155"/>
      <c r="V207" s="166"/>
      <c r="W207" s="155"/>
      <c r="X207" s="167"/>
      <c r="Y207" s="128"/>
      <c r="Z207" s="129"/>
      <c r="AA207" s="129"/>
      <c r="AB207" s="129"/>
      <c r="AC207" s="129"/>
      <c r="AD207" s="244">
        <f>((L206/(L206-1)-1))</f>
        <v>4</v>
      </c>
      <c r="AE207" t="s" s="245">
        <f>IF(L207="","",(SUM(((L205-1)*(1-_xlfn.XLOOKUP(K205,'Janeiro 2023 - Valor Real'!A3:A15,'Janeiro 2023 - Valor Real'!C3:C15,0))+1),((L206-1)*(1-_xlfn.XLOOKUP(K206,'Janeiro 2023 - Valor Real'!A3:A15,'Janeiro 2023 - Valor Real'!C3:C15,0))+1),((L207-1)*(1-_xlfn.XLOOKUP(K207,'Janeiro 2023 - Valor Real'!A3:A15,'Janeiro 2023 - Valor Real'!C3:C15,0))+1))/((L207-1)*(1-_xlfn.XLOOKUP(K207,'Janeiro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Real'!C3:C15,0))+1))/((L205-1)*(1-_xlfn.XLOOKUP(K205,'Janeiro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Real'!C3:C15,0))+1))/((L206-1)*(1-_xlfn.XLOOKUP(K206,'Janeiro 2023 - Valor Real'!A3:A15,'Janeiro 2023 - Valor Real'!C3:C15,0))+1)+SUM(((L205-1)*(1-_xlfn.XLOOKUP(K205,'Janeiro 2023 - Valor Real'!A3:A15,'Janeiro 2023 - Valor Real'!C3:C15,0))+1),((L206-1)*(1-_xlfn.XLOOKUP(K206,'Janeiro 2023 - Valor Real'!A3:A15,'Janeiro 2023 - Valor Real'!C3:C15,0))+1),((L207-1)*(1-_xlfn.XLOOKUP(K207,'Janeiro 2023 - Valor Real'!A3:A15,'Janeiro 2023 - Valor Real'!C3:C15,0))+1))/((L207-1)*(1-_xlfn.XLOOKUP(K207,'Janeiro 2023 - Valor Real'!A3:A15,'Janeiro 2023 - Valor Real'!C3:C15,0))+1)))</f>
      </c>
      <c r="AF207" s="197">
        <f>IF($K207=AF$3,ROUND(IF(OR($C207="W",$C207="1/2W",$C207="1/2L"),$P207-$O207,IF($C207="X",0,-$O207)),2),0)</f>
        <v>0</v>
      </c>
      <c r="AG207" s="198">
        <f>IF($K207=AG$3,ROUND(IF(OR($C207="W",$C207="1/2W",$C207="1/2L"),$P207-$O207,IF($C207="X",0,-$O207)),2),0)</f>
        <v>0</v>
      </c>
      <c r="AH207" s="198">
        <f>IF($K207=AH$3,ROUND(IF(OR($C207="W",$C207="1/2W",$C207="1/2L"),$P207-$O207,IF($C207="X",0,-$O207)),2),0)</f>
        <v>0</v>
      </c>
      <c r="AI207" s="198">
        <f>IF($K207=AI$3,ROUND(IF(OR($C207="W",$C207="1/2W",$C207="1/2L"),$P207-$O207,IF($C207="X",0,-$O207)),2),0)</f>
        <v>0</v>
      </c>
      <c r="AJ207" s="198">
        <f>IF($K207=AJ$3,ROUND(IF(OR($C207="W",$C207="1/2W",$C207="1/2L"),$P207-$O207,IF($C207="X",0,-$O207)),2),0)</f>
        <v>0</v>
      </c>
      <c r="AK207" s="198">
        <f>IF($K207=AK$3,ROUND(IF(OR($C207="W",$C207="1/2W",$C207="1/2L"),$P207-$O207,IF($C207="X",0,-$O207)),2),0)</f>
        <v>0</v>
      </c>
      <c r="AL207" s="198">
        <f>IF($K207=AL$3,ROUND(IF(OR($C207="W",$C207="1/2W",$C207="1/2L"),$P207-$O207,IF($C207="X",0,-$O207)),2),0)</f>
        <v>0</v>
      </c>
      <c r="AM207" s="198">
        <f>IF($K207=AM$3,ROUND(IF(OR($C207="W",$C207="1/2W",$C207="1/2L"),$P207-$O207,IF($C207="X",0,-$O207)),2),0)</f>
        <v>0</v>
      </c>
      <c r="AN207" s="198">
        <f>IF($K207=AN$3,ROUND(IF(OR($C207="W",$C207="1/2W",$C207="1/2L"),$P207-$O207,IF($C207="X",0,-$O207)),2),0)</f>
        <v>0</v>
      </c>
      <c r="AO207" s="198">
        <f>IF($K207=AO$3,ROUND(IF(OR($C207="W",$C207="1/2W",$C207="1/2L"),$P207-$O207,IF($C207="X",0,-$O207)),2),0)</f>
        <v>0</v>
      </c>
      <c r="AP207" s="198">
        <f>IF($K207=AP$3,ROUND(IF(OR($C207="W",$C207="1/2W",$C207="1/2L"),$P207-$O207,IF($C207="X",0,-$O207)),2),0)</f>
        <v>0</v>
      </c>
      <c r="AQ207" s="198">
        <f>IF($K207=AQ$3,ROUND(IF(OR($C207="W",$C207="1/2W",$C207="1/2L"),$P207-$O207,IF($C207="X",0,-$O207)),2),0)</f>
        <v>0</v>
      </c>
      <c r="AR207" s="199">
        <f>IF($K207=AR$3,ROUND(IF(OR($C207="W",$C207="1/2W",$C207="1/2L"),$P207-$O207,IF($C207="X",0,-$O207)),2),0)</f>
        <v>0</v>
      </c>
      <c r="AS207" s="197">
        <f>IF(AND($B205=" ",$K207=AS$3),$O207,0)</f>
        <v>0</v>
      </c>
      <c r="AT207" s="198">
        <f>IF(AND($B205=" ",K207=AT$3),$O207,0)</f>
        <v>0</v>
      </c>
      <c r="AU207" s="198">
        <f>IF(AND($B205=" ",$K207=AU$3),$O207,0)</f>
        <v>0</v>
      </c>
      <c r="AV207" s="198">
        <f>IF(AND($B205=" ",$K207=AV$3),$O207,0)</f>
        <v>0</v>
      </c>
      <c r="AW207" s="198">
        <f>IF(AND($B205=" ",$K207=AW$3),$O207,0)</f>
        <v>0</v>
      </c>
      <c r="AX207" s="198">
        <f>IF(AND($B205=" ",$K207=AX$3),$O207,0)</f>
        <v>0</v>
      </c>
      <c r="AY207" s="200">
        <f>IF(AND($B205=" ",$K207=AY$3),$O207,0)</f>
        <v>0</v>
      </c>
      <c r="AZ207" s="201">
        <f>IF(AND($B205=" ",$K207=AZ$3),$O207,0)</f>
        <v>0</v>
      </c>
      <c r="BA207" s="201">
        <f>IF(AND($B205=" ",$K207=BA$3),$O207,0)</f>
        <v>0</v>
      </c>
      <c r="BB207" s="201">
        <f>IF(AND($B205=" ",$K207=BB$3),$O207,0)</f>
        <v>0</v>
      </c>
      <c r="BC207" s="202">
        <f>IF(AND($B205=" ",$K207=BC$3),$O207,0)</f>
        <v>0</v>
      </c>
      <c r="BD207" s="198">
        <f>IF(AND($B205=" ",$K207=BD$3),$O207,0)</f>
        <v>0</v>
      </c>
      <c r="BE207" s="199">
        <f>IF(AND($B205=" ",$K207=BE$3),$O207,0)</f>
        <v>0</v>
      </c>
      <c r="BF207" s="197">
        <f>IF($K207=BF$3,IF($C207="X",0,$O207),0)</f>
        <v>0</v>
      </c>
      <c r="BG207" s="198">
        <f>IF($K207=BG$3,IF($C207="X",0,$O207),0)</f>
        <v>0</v>
      </c>
      <c r="BH207" s="198">
        <f>IF($K207=BH$3,IF($C207="X",0,$O207),0)</f>
        <v>0</v>
      </c>
      <c r="BI207" s="198">
        <f>IF($K207=BI$3,IF($C207="X",0,$O207),0)</f>
        <v>0</v>
      </c>
      <c r="BJ207" s="198">
        <f>IF($K207=BJ$3,IF($C207="X",0,$O207),0)</f>
        <v>0</v>
      </c>
      <c r="BK207" s="198">
        <f>IF($K207=BK$3,IF($C207="X",0,$O207),0)</f>
        <v>0</v>
      </c>
      <c r="BL207" s="198">
        <f>IF($K207=BL$3,IF($C207="X",0,$O207),0)</f>
        <v>0</v>
      </c>
      <c r="BM207" s="200">
        <f>IF($K207=BM$3,IF($C207="X",0,$O207),0)</f>
        <v>0</v>
      </c>
      <c r="BN207" s="201">
        <f>IF($K207=BN$3,IF($C207="X",0,$O207),0)</f>
        <v>0</v>
      </c>
      <c r="BO207" s="201">
        <f>IF($K207=BO$3,IF($C207="X",0,$O207),0)</f>
        <v>0</v>
      </c>
      <c r="BP207" s="201">
        <f>IF($K207=BP$3,IF($C207="X",0,$O207),0)</f>
        <v>0</v>
      </c>
      <c r="BQ207" s="202">
        <f>IF($K207=BQ$3,IF($C207="X",0,$O207),0)</f>
        <v>0</v>
      </c>
      <c r="BR207" s="199">
        <f>IF($K207=BR$3,IF($C207="X",0,$O207),0)</f>
        <v>0</v>
      </c>
      <c r="BS207" s="228"/>
      <c r="BT207" s="229"/>
      <c r="BU207" s="140"/>
      <c r="BV207" s="229"/>
      <c r="BW207" s="140"/>
      <c r="BX207" s="140"/>
      <c r="BY207" s="140"/>
      <c r="BZ207" s="229"/>
      <c r="CA207" s="140"/>
      <c r="CB207" s="140"/>
      <c r="CC207" s="140"/>
      <c r="CD207" s="141"/>
      <c r="CE207" s="142"/>
      <c r="CF207" s="230">
        <f>IF(CF$3=$K207,IF($C207="W",1,IF($C207="1/2W",0.5,0)),0)</f>
        <v>0</v>
      </c>
      <c r="CG207" s="231">
        <f>IF(CF$3=$K207,IF($C207="L",1,IF($C207="1/2L",0.5,0)),0)</f>
        <v>0</v>
      </c>
      <c r="CH207" s="231">
        <f>IF(CH$3=$K207,IF($C207="W",1,IF($C207="1/2W",0.5,0)),0)</f>
        <v>0</v>
      </c>
      <c r="CI207" s="231">
        <f>IF(CH$3=$K207,IF($C207="L",1,IF($C207="1/2L",0.5,0)),0)</f>
        <v>0</v>
      </c>
      <c r="CJ207" s="231">
        <f>IF(CJ$3=$K207,IF($C207="W",1,IF($C207="1/2W",0.5,0)),0)</f>
        <v>0</v>
      </c>
      <c r="CK207" s="231">
        <f>IF(CJ$3=$K207,IF($C207="L",1,IF($C207="1/2L",0.5,0)),0)</f>
        <v>0</v>
      </c>
      <c r="CL207" s="231">
        <f>IF(CL$3=$K207,IF($C207="W",1,IF($C207="1/2W",0.5,0)),0)</f>
        <v>0</v>
      </c>
      <c r="CM207" s="231">
        <f>IF(CL$3=$K207,IF($C207="L",1,IF($C207="1/2L",0.5,0)),0)</f>
        <v>0</v>
      </c>
      <c r="CN207" s="231">
        <f>IF(CN$3=$K207,IF($C207="W",1,IF($C207="1/2W",0.5,0)),0)</f>
        <v>0</v>
      </c>
      <c r="CO207" s="231">
        <f>IF(CN$3=$K207,IF($C207="L",1,IF($C207="1/2L",0.5,0)),0)</f>
        <v>0</v>
      </c>
      <c r="CP207" s="231">
        <f>IF(CP$3=$K207,IF($C207="W",1,IF($C207="1/2W",0.5,0)),0)</f>
        <v>0</v>
      </c>
      <c r="CQ207" s="231">
        <f>IF(CP$3=$K207,IF($C207="L",1,IF($C207="1/2L",0.5,0)),0)</f>
        <v>0</v>
      </c>
      <c r="CR207" s="231">
        <f>IF(CR$3=$K207,IF($C207="W",1,IF($C207="1/2W",0.5,0)),0)</f>
        <v>0</v>
      </c>
      <c r="CS207" s="231">
        <f>IF(CR$3=$K207,IF($C207="L",1,IF($C207="1/2L",0.5,0)),0)</f>
        <v>0</v>
      </c>
      <c r="CT207" s="208">
        <f>IF(CT$3=$K207,IF($C207="W",1,IF($C207="1/2W",0.5,0)),0)</f>
        <v>0</v>
      </c>
      <c r="CU207" s="209">
        <f>IF(CT$3=$K207,IF($C207="L",1,IF($C207="1/2L",0.5,0)),0)</f>
        <v>0</v>
      </c>
      <c r="CV207" s="209">
        <f>IF(CV$3=$K207,IF($C207="W",1,IF($C207="1/2W",0.5,0)),0)</f>
        <v>0</v>
      </c>
      <c r="CW207" s="209">
        <f>IF(CV$3=$K207,IF($C207="L",1,IF($C207="1/2L",0.5,0)),0)</f>
        <v>0</v>
      </c>
      <c r="CX207" s="209">
        <f>IF(CX$3=$K207,IF($C207="W",1,IF($C207="1/2W",0.5,0)),0)</f>
        <v>0</v>
      </c>
      <c r="CY207" s="209">
        <f>IF(CX$3=$K207,IF($C207="L",1,IF($C207="1/2L",0.5,0)),0)</f>
        <v>0</v>
      </c>
      <c r="CZ207" s="209">
        <f>IF(CZ$3=$K207,IF($C207="W",1,IF($C207="1/2W",0.5,0)),0)</f>
        <v>0</v>
      </c>
      <c r="DA207" s="209">
        <f>IF(CZ$3=$K207,IF($C207="L",1,IF($C207="1/2L",0.5,0)),0)</f>
        <v>0</v>
      </c>
      <c r="DB207" s="209">
        <f>IF(DB$3=$K207,IF($C207="W",1,IF($C207="1/2W",0.5,0)),0)</f>
        <v>0</v>
      </c>
      <c r="DC207" s="209">
        <f>IF(DB$3=$K207,IF($C207="L",1,IF($C207="1/2L",0.5,0)),0)</f>
        <v>0</v>
      </c>
      <c r="DD207" s="209">
        <f>IF(DD$3=$K207,IF($C207="W",1,IF($C207="1/2W",0.5,0)),0)</f>
        <v>0</v>
      </c>
      <c r="DE207" s="210">
        <f>IF(DD$3=$K207,IF($C207="L",1,IF($C207="1/2L",0.5,0)),0)</f>
        <v>0</v>
      </c>
      <c r="DF207" s="211">
        <f>IF(AND(L207&lt;DF$3,$C207="W"),1+DF206,DF206)</f>
        <v>8</v>
      </c>
      <c r="DG207" s="198">
        <f>IF(DF207&gt;DF206,L207+DG206,DG206)</f>
        <v>10.598</v>
      </c>
      <c r="DH207" s="209">
        <f>IF(AND(L207&gt;DH$3,$C207="W"),1+DH206,0+DH206)</f>
        <v>3</v>
      </c>
      <c r="DI207" s="198">
        <f>IF(DH207&gt;DH206,L207+DI206,DI206)</f>
        <v>15.98</v>
      </c>
      <c r="DJ207" t="s" s="306">
        <f>IF($D205="","",$D205)</f>
        <v>184</v>
      </c>
      <c r="DK207" s="232"/>
    </row>
    <row r="208" ht="14.55" customHeight="1">
      <c r="A208" s="246">
        <f>$A205+1</f>
        <v>69</v>
      </c>
      <c r="B208" t="s" s="247">
        <f>IF(AND(_xlfn.XLOOKUP(H208,H94:H$94,G94:G$94,0)=G208,_xlfn.XLOOKUP("TempoBet",K208:K210,L208:L210,0)&gt;0),"X",IF(OR(C208="W",C209="W",C210="W",C208="1/2W",C209="1/2W",C210="1/2W",C208="1/2L",C209="1/2L",C210="1/2L"),"OK",IF(OR(C208="L",C209="L",C210="L"),"LOSS",IF(OR(C208="X",C209="X",C210="X"),"Anulado"," "))))</f>
        <v>50</v>
      </c>
      <c r="C208" t="s" s="248">
        <v>51</v>
      </c>
      <c r="D208" t="s" s="303">
        <f>IF(G208="","",$D205)</f>
        <v>184</v>
      </c>
      <c r="E208" t="s" s="250">
        <v>93</v>
      </c>
      <c r="F208" t="s" s="251"/>
      <c r="G208" s="252">
        <v>44944.916666666664</v>
      </c>
      <c r="H208" t="s" s="253">
        <v>217</v>
      </c>
      <c r="I208" t="s" s="254">
        <v>65</v>
      </c>
      <c r="J208" s="255">
        <v>121.5</v>
      </c>
      <c r="K208" t="s" s="256">
        <v>38</v>
      </c>
      <c r="L208" s="257">
        <v>2.63</v>
      </c>
      <c r="M208" s="258"/>
      <c r="N208" s="259">
        <v>0</v>
      </c>
      <c r="O208" s="260">
        <f>IF(OR(AE208="",AE209=""),"",ROUND(IF(L210&gt;0,IF(M208&gt;0,M208,IF(M209&gt;0,ROUND((M209*AE208)/AE209,IF(N208=0,2,IF(N208=0.1,1,0))),ROUND((M210*AE208)/AE210,IF(N208=0,2,IF(N208=0.1,1,0))))),IF(M208&gt;0,M208,ROUND((M209*AE208)/AE209,IF(N208=0,2,IF(N208=0.1,1,0))))),2))</f>
        <v>4.66</v>
      </c>
      <c r="P208" s="261">
        <f>IF(OR(L208="",O208=""),"",IF($C208="1/2W",O208/2+O208/2*L208,IF($C208="1/2L",O208/2,IF(I208="Lay",(O208*(L208/(L208-1))-O208)*(1-_xlfn.XLOOKUP(K208,'Janeiro 2023 - Valor Real'!A3:A15,'Janeiro 2023 - Valor Real'!C3:C15,0))+O208,(O208*L208-O208)*(1-_xlfn.XLOOKUP(K208,'Janeiro 2023 - Valor Real'!A3:A15,'Janeiro 2023 - Valor Real'!C3:C15,0))+O208))))</f>
        <v>12.2558</v>
      </c>
      <c r="Q208" s="262">
        <f>IF(K208="","",IF(_xlfn.XLOOKUP(K208,K94:K$94,DJ94:DJ$94,0,,-1)=DJ208,_xlfn.XLOOKUP(K208,K94:K$94,Q94:Q$94,1,,-1)+1,1))</f>
        <v>1</v>
      </c>
      <c r="R208" s="263">
        <f>IF(K208="","",_xlfn.XLOOKUP(K208,K94:K$94,R94:R$94,0,,-1)+IF($C208=" ",1,0))</f>
        <v>0</v>
      </c>
      <c r="S208" s="264">
        <f>IF($B208="Anulado",0,ROUND(IF(OR($B208="LOSS",$B208="OK"),IF(OR($C208="W",$C208="1/2W",$C208="1/2L"),P208-O208,IF($C208="L",-O208,0))+IF(OR($C209="W",$C209="1/2W",$C209="1/2L"),P209-O209,IF($C209="L",-O209,0))+IF(OR($C210="W",$C210="1/2W",$C210="1/2L"),P210-O210,IF($C210="L",-O210,0)),IF(AND(OR($C208="W",$C208="1/2W",$C208="1/2L"),C209="W"),P208+P209-SUM(O208:O210)+_xlfn.XLOOKUP("X",C208:C210,O208:O210,0),IF(AND(C208=TRUE,C210="W"),P208+P210-SUM(O208:O210),IF(AND(C209="W",C210="W"),P209+P210-SUM(O208:O210)+_xlfn.XLOOKUP("X",C208:C210,O208:O210,0),IF(L210&gt;0,IF(OR($C208="W",$C208="1/2W",$C208="1/2L"),P208-SUM(O208:O210)+_xlfn.XLOOKUP("X",C208:C210,O208:O210,0),IF(OR($C208="W",$C208="1/2W",$C208="1/2L"),P209-SUM(O208:O210)+_xlfn.XLOOKUP("X",C208:C210,O208:O210,0),IF(OR($C208="W",$C208="1/2W",$C208="1/2L"),P210-SUM(O208:O210)+_xlfn.XLOOKUP("X",C208:C210,O208:O210,0),IF(SUM(P208:P210)/3-SUM(O208:O210)+_xlfn.XLOOKUP("X",C208:C210,O208:O210,0)&gt;0,SUM(P208:P210)/3-SUM(O208:O210)+_xlfn.XLOOKUP("X",C208:C210,O208:O210,0),LARGE(P208:P210,1)-SUM(O208:O210))))),IF(OR($C208="W",$C208="1/2W",$C208="1/2L"),P208-SUM(O208:O209)+_xlfn.XLOOKUP("X",C208:C210,O208:O210,0),IF(OR($C208="W",$C208="1/2W",$C208="1/2L"),P209-SUM(O208:O209)+_xlfn.XLOOKUP("X",C208:C210,O208:O210,0),SUM(P208:P209)/2-SUM(O208:O209)+_xlfn.XLOOKUP("X",C208:C210,O208:O210,0)))))))),2))</f>
        <v>0.97</v>
      </c>
      <c r="T208" s="265">
        <f>IF(S208=0,0,S208/SUM(O208:O210))</f>
        <v>0.0859929078014184</v>
      </c>
      <c r="U208" s="266">
        <f>IF($D208=$D205,IF(OR($B208="LOSS",$B208="OK",$B208="Anulada"),S208,0)+U205,IF(OR($B208="LOSS",$B208="OK",$B208="Anulada"),S208,0))</f>
        <v>29.88</v>
      </c>
      <c r="V208" s="266">
        <f>IF($D208="",0,IF($D208=$D205,IF($B208=" ",IF(I210="",IF(OR(AND(I208="DNB1",I209="DNB2"),AND(OR(I208="DNB1",I208="DNB2"),J209=0),AND(OR(I209="DNB1",I209="DNB2"),J208=0),AND(I208="DNB2",I209="DNB1"),AND(IF(J208=0,(J208+1)/ROUND(J208+1,0),J208/ROUND(J208,0))=1,IF(J209=0,(J209+1)/ROUND(IF(J209="",0,J209)+1,0),IF(J209="",0,J209)/ROUND(IF(J209="",1,J209),0))=1,OR(J208&lt;&gt;""),J209&lt;&gt;"")),0,IF(S208&lt;0,IF(I210="",SMALL(P208:P209,1)-SUM(O208:O209),0),SMALL(P208:P209,1)-SUM(O208:O209))),IF(S208&lt;0,IF(I210="",SMALL(P208:P210,1)-SUM(O208:O210),0),LARGE(P208:P210,1)-SUM(O208:O210))),S208)+V205,IF(I210="",IF(OR(AND(I208="DNB1",I209="DNB2"),AND(OR(I208="DNB1",I208="DNB2"),J209=0),AND(OR(I209="DNB1",I209="DNB2"),J208=0),AND(I208="DNB2",I209="DNB1"),AND(IF(J208=0,(J208+1)/ROUND(J208+1,0),J208/ROUND(J208,0))=1,IF(J209=0,(IF(J209="",0,J209)+1)/ROUND(IF(J209="",0,J209)+1,0),IF(J209="",0,J209)/ROUND(IF(J209="",0,J209)+1,0))=1,OR(J208&lt;&gt;""),J209&lt;&gt;"")),0,IF(S208&lt;0,IF(I210="",SMALL(P208:P209,1)-SUM(O208:O209),0),SMALL(P208:P210,1)-SUM(O208:O210))),IF(S208&lt;0,IF(I210="",SMALL(P208:P210,1)-SUM(O208:O210),0),LARGE(P208:P210,1)-SUM(O208:O210)))))</f>
        <v>29.8775</v>
      </c>
      <c r="W208" s="266">
        <f>IF($D208=$D205,IF(S208&lt;0,IF(I210="",S208,0),S208)+W205,S208)</f>
        <v>29.88</v>
      </c>
      <c r="X208" t="s" s="267">
        <f>IF(OR(SUM(R208:R210)=0,V208=W208),ROUND(IF(W208=0,0,W208/Y208)*100,2)&amp;"%",ROUND(IF(V208=0,0,V208/Y208)*100,2)&amp;"% a "&amp;ROUND(IF(W208=0,0,W208/Y208)*100,2)&amp;"%")</f>
        <v>218</v>
      </c>
      <c r="Y208" s="268">
        <f>IF($D208=$D205,Y205+SUM(O208:O210),SUM(O208:O210))</f>
        <v>710.5599999999999</v>
      </c>
      <c r="Z208" s="266">
        <f>IF($B208=" ",SUM(O208:O210),0)+Z205</f>
        <v>0</v>
      </c>
      <c r="AA208" s="266">
        <f>IF(G208="","",IF($B208="Anulado",LARGE(P208:P210,1)-SUM(O208:O210)+AA205,AA205))</f>
        <v>16.5099</v>
      </c>
      <c r="AB208" s="266">
        <f>IF($D208="","",AB205+S208)</f>
        <v>154.99</v>
      </c>
      <c r="AC208" s="269">
        <f>IF($D208="","",IF($B208=" ",IF(DAY(G208)=DAY(TODAY()),1+AC205,0+AC205),0+AC205))</f>
        <v>0</v>
      </c>
      <c r="AD208" s="270">
        <f>(1-_xlfn.XLOOKUP(K206,'Janeiro 2023 - Valor Real'!A3:A15,'Janeiro 2023 - Valor Real'!C3:C15,0))+1</f>
        <v>2</v>
      </c>
      <c r="AE208" s="271">
        <f>IF(L208="","",IF(L210&gt;0,(SUM(((L208-1)*(1-_xlfn.XLOOKUP(K208,'Janeiro 2023 - Valor Real'!A3:A15,'Janeiro 2023 - Valor Real'!C3:C15,0))+1),((L209-1)*(1-_xlfn.XLOOKUP(K209,'Janeiro 2023 - Valor Real'!A3:A15,'Janeiro 2023 - Valor Real'!C3:C15,0))+1),((L210-1)*(1-_xlfn.XLOOKUP(K210,'Janeiro 2023 - Valor Real'!A3:A15,'Janeiro 2023 - Valor Real'!C3:C15,0))+1))/((L208-1)*(1-_xlfn.XLOOKUP(K208,'Janeiro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Real'!C3:C15,0))+1))/((L208-1)*(1-_xlfn.XLOOKUP(K208,'Janeiro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Real'!C3:C15,0))+1))/((L209-1)*(1-_xlfn.XLOOKUP(K209,'Janeiro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Real'!C3:C15,0))+1))/((L210-1)*(1-_xlfn.XLOOKUP(K210,'Janeiro 2023 - Valor Real'!A3:A15,'Janeiro 2023 - Valor Real'!C3:C15,0))+1)),IF(I208="Lay",IF(I209="Lay",((L209/(L209-1)-1)*(1-_xlfn.XLOOKUP(K209,'Janeiro 2023 - Valor Real'!A3:A15,'Janeiro 2023 - Valor Real'!C3:C15,0))+1)/(((L209/(L209-1)-1)*(1-_xlfn.XLOOKUP(K209,'Janeiro 2023 - Valor Real'!A3:A15,'Janeiro 2023 - Valor Real'!C3:C15,0))+1)+((L208/(L208-1)-1)*(1-_xlfn.XLOOKUP(K208,'Janeiro 2023 - Valor Real'!A3:A15,'Janeiro 2023 - Valor Real'!C3:C15,0))+1)),((L209-1)*(1-_xlfn.XLOOKUP(K209,'Janeiro 2023 - Valor Real'!A3:A15,'Janeiro 2023 - Valor Real'!C3:C15,0))+1)/(((L209-1)*(1-_xlfn.XLOOKUP(K209,'Janeiro 2023 - Valor Real'!A3:A15,'Janeiro 2023 - Valor Real'!C3:C15,0))+1)+((L208/(L208-1)-1)*(1-_xlfn.XLOOKUP(K208,'Janeiro 2023 - Valor Real'!A3:A15,'Janeiro 2023 - Valor Real'!C3:C15,0))+1))),IF(I209="Lay",(((L209/(L209-1)-1)*(1-_xlfn.XLOOKUP(K209,'Janeiro 2023 - Valor Real'!A3:A15,'Janeiro 2023 - Valor Real'!C3:C15,0))+1))/(((L208-1)*(1-_xlfn.XLOOKUP(K208,'Janeiro 2023 - Valor Real'!A3:A15,'Janeiro 2023 - Valor Real'!C3:C15,0))+1)+((L209/(L209-1)-1)*(1-_xlfn.XLOOKUP(K209,'Janeiro 2023 - Valor Real'!A3:A15,'Janeiro 2023 - Valor Real'!C3:C15,0))+1)),((L209-1)*(1-_xlfn.XLOOKUP(K209,'Janeiro 2023 - Valor Real'!A3:A15,'Janeiro 2023 - Valor Real'!C3:C15,0))+1)/(((L209-1)*(1-_xlfn.XLOOKUP(K209,'Janeiro 2023 - Valor Real'!A3:A15,'Janeiro 2023 - Valor Real'!C3:C15,0))+1)+((L208-1)*(1-_xlfn.XLOOKUP(K208,'Janeiro 2023 - Valor Real'!A3:A15,'Janeiro 2023 - Valor Real'!C3:C15,0))+1))))))</f>
        <v>0.412946428571429</v>
      </c>
      <c r="AF208" s="132">
        <f>IF($K208=AF$3,ROUND(IF(OR($C208="W",$C208="1/2W",$C208="1/2L"),$P208-$O208,IF($C208="X",0,-$O208)),2),0)</f>
        <v>0</v>
      </c>
      <c r="AG208" s="133">
        <f>IF($K208=AG$3,ROUND(IF(OR($C208="W",$C208="1/2W",$C208="1/2L"),$P208-$O208,IF($C208="X",0,-$O208)),2),0)</f>
        <v>-4.66</v>
      </c>
      <c r="AH208" s="133">
        <f>IF($K208=AH$3,ROUND(IF(OR($C208="W",$C208="1/2W",$C208="1/2L"),$P208-$O208,IF($C208="X",0,-$O208)),2),0)</f>
        <v>0</v>
      </c>
      <c r="AI208" s="133">
        <f>IF($K208=AI$3,ROUND(IF(OR($C208="W",$C208="1/2W",$C208="1/2L"),$P208-$O208,IF($C208="X",0,-$O208)),2),0)</f>
        <v>0</v>
      </c>
      <c r="AJ208" s="133">
        <f>IF($K208=AJ$3,ROUND(IF(OR($C208="W",$C208="1/2W",$C208="1/2L"),$P208-$O208,IF($C208="X",0,-$O208)),2),0)</f>
        <v>0</v>
      </c>
      <c r="AK208" s="133">
        <f>IF($K208=AK$3,ROUND(IF(OR($C208="W",$C208="1/2W",$C208="1/2L"),$P208-$O208,IF($C208="X",0,-$O208)),2),0)</f>
        <v>0</v>
      </c>
      <c r="AL208" s="133">
        <f>IF($K208=AL$3,ROUND(IF(OR($C208="W",$C208="1/2W",$C208="1/2L"),$P208-$O208,IF($C208="X",0,-$O208)),2),0)</f>
        <v>0</v>
      </c>
      <c r="AM208" s="133">
        <f>IF($K208=AM$3,ROUND(IF(OR($C208="W",$C208="1/2W",$C208="1/2L"),$P208-$O208,IF($C208="X",0,-$O208)),2),0)</f>
        <v>0</v>
      </c>
      <c r="AN208" s="133">
        <f>IF($K208=AN$3,ROUND(IF(OR($C208="W",$C208="1/2W",$C208="1/2L"),$P208-$O208,IF($C208="X",0,-$O208)),2),0)</f>
        <v>0</v>
      </c>
      <c r="AO208" s="133">
        <f>IF($K208=AO$3,ROUND(IF(OR($C208="W",$C208="1/2W",$C208="1/2L"),$P208-$O208,IF($C208="X",0,-$O208)),2),0)</f>
        <v>0</v>
      </c>
      <c r="AP208" s="133">
        <f>IF($K208=AP$3,ROUND(IF(OR($C208="W",$C208="1/2W",$C208="1/2L"),$P208-$O208,IF($C208="X",0,-$O208)),2),0)</f>
        <v>0</v>
      </c>
      <c r="AQ208" s="133">
        <f>IF($K208=AQ$3,ROUND(IF(OR($C208="W",$C208="1/2W",$C208="1/2L"),$P208-$O208,IF($C208="X",0,-$O208)),2),0)</f>
        <v>0</v>
      </c>
      <c r="AR208" s="134">
        <f>IF($K208=AR$3,ROUND(IF(OR($C208="W",$C208="1/2W",$C208="1/2L"),$P208-$O208,IF($C208="X",0,-$O208)),2),0)</f>
        <v>0</v>
      </c>
      <c r="AS208" s="132">
        <f>IF(AND($B208=" ",$K208=AS$3),$O208,0)</f>
        <v>0</v>
      </c>
      <c r="AT208" s="133">
        <f>IF(AND($B208=" ",$K208=AT$3),$O208,0)</f>
        <v>0</v>
      </c>
      <c r="AU208" s="133">
        <f>IF(AND($B208=" ",$K208=AU$3),$O208,0)</f>
        <v>0</v>
      </c>
      <c r="AV208" s="133">
        <f>IF(AND($B208=" ",$K208=AV$3),$O208,0)</f>
        <v>0</v>
      </c>
      <c r="AW208" s="133">
        <f>IF(AND($B208=" ",$K208=AW$3),$O208,0)</f>
        <v>0</v>
      </c>
      <c r="AX208" s="133">
        <f>IF(AND($B208=" ",$K208=AX$3),$O208,0)</f>
        <v>0</v>
      </c>
      <c r="AY208" s="135">
        <f>IF(AND($B208=" ",$K208=AY$3),$O208,0)</f>
        <v>0</v>
      </c>
      <c r="AZ208" s="136">
        <f>IF(AND($B208=" ",$K208=AZ$3),$O208,0)</f>
        <v>0</v>
      </c>
      <c r="BA208" s="136">
        <f>IF(AND($B208=" ",$K208=BA$3),$O208,0)</f>
        <v>0</v>
      </c>
      <c r="BB208" s="136">
        <f>IF(AND($B208=" ",$K208=BB$3),$O208,0)</f>
        <v>0</v>
      </c>
      <c r="BC208" s="137">
        <f>IF(AND($B208=" ",$K208=BC$3),$O208,0)</f>
        <v>0</v>
      </c>
      <c r="BD208" s="133">
        <f>IF(AND($B208=" ",$K208=BD$3),$O208,0)</f>
        <v>0</v>
      </c>
      <c r="BE208" s="134">
        <f>IF(AND($B208=" ",$K208=BE$3),$O208,0)</f>
        <v>0</v>
      </c>
      <c r="BF208" s="132">
        <f>IF($K208=BF$3,IF($C208="X",0,$O208),0)</f>
        <v>0</v>
      </c>
      <c r="BG208" s="133">
        <f>IF($K208=BG$3,IF($C208="X",0,$O208),0)</f>
        <v>4.66</v>
      </c>
      <c r="BH208" s="133">
        <f>IF($K208=BH$3,IF($C208="X",0,$O208),0)</f>
        <v>0</v>
      </c>
      <c r="BI208" s="133">
        <f>IF($K208=BI$3,IF($C208="X",0,$O208),0)</f>
        <v>0</v>
      </c>
      <c r="BJ208" s="133">
        <f>IF($K208=BJ$3,IF($C208="X",0,$O208),0)</f>
        <v>0</v>
      </c>
      <c r="BK208" s="133">
        <f>IF($K208=BK$3,IF($C208="X",0,$O208),0)</f>
        <v>0</v>
      </c>
      <c r="BL208" s="133">
        <f>IF($K208=BL$3,IF($C208="X",0,$O208),0)</f>
        <v>0</v>
      </c>
      <c r="BM208" s="135">
        <f>IF($K208=BM$3,IF($C208="X",0,$O208),0)</f>
        <v>0</v>
      </c>
      <c r="BN208" s="136">
        <f>IF($K208=BN$3,IF($C208="X",0,$O208),0)</f>
        <v>0</v>
      </c>
      <c r="BO208" s="136">
        <f>IF($K208=BO$3,IF($C208="X",0,$O208),0)</f>
        <v>0</v>
      </c>
      <c r="BP208" s="136">
        <f>IF($K208=BP$3,IF($C208="X",0,$O208),0)</f>
        <v>0</v>
      </c>
      <c r="BQ208" s="137">
        <f>IF($K208=BQ$3,IF($C208="X",0,$O208),0)</f>
        <v>0</v>
      </c>
      <c r="BR208" s="134">
        <f>IF($K208=BR$3,IF($C208="X",0,$O208),0)</f>
        <v>0</v>
      </c>
      <c r="BS208" s="170">
        <f>IF($B208="LOSS",IF(AND($K208=BS$3,$C208="L"),-$O208,0)+IF(AND($K209=BS$3,$C209="L"),-$O209,0)+IF(AND($K210=BS$3,$C210="L"),-$O210,0),IF(OR(AND($K208=BS$3,OR($C208="W",$C208="1/2W")),AND($K209=BS$3,OR($C209="W",$C209="1/2W")),AND($K210=BS$3,OR($C210="W",$C210="1/2W"))),$S208,0))</f>
        <v>0</v>
      </c>
      <c r="BT208" s="272">
        <f>IF($B208="LOSS",IF(AND($K208=BT$3,$C208="L"),-$O208,0)+IF(AND($K209=BT$3,$C209="L"),-$O209,0)+IF(AND($K209=BT$3,$C210="L"),-$O210,0),IF(OR(AND($K209=BT$3,OR($C208="W",$C208="1/2W")),AND($K209=BT$3,OR($C209="W",$C209="1/2W")),AND($K209=BT$3,OR($C210="W",$C210="1/2W"))),$S208,0))</f>
        <v>0</v>
      </c>
      <c r="BU208" s="136">
        <f>IF($B208="LOSS",IF(AND($K208=BU$3,$C208="L"),-$O208,0)+IF(AND($K209=BU$3,$C209="L"),-$O209,0)+IF(AND($K209=BU$3,$C210="L"),-$O210,0),IF(OR(AND($K209=BU$3,OR($C208="W",$C208="1/2W")),AND($K209=BU$3,OR($C209="W",$C209="1/2W")),AND($K209=BU$3,OR($C210="W",$C210="1/2W"))),$S208,0))</f>
        <v>0</v>
      </c>
      <c r="BV208" s="136">
        <f>IF($B208="LOSS",IF(AND($K208=BV$3,$C208="L"),-$O208,0)+IF(AND($K209=BV$3,$C209="L"),-$O209,0)+IF(AND($K210=BV$3,$C210="L"),-$O210,0),IF(OR(AND($K208=BV$3,OR($C208="W",$C208="1/2W")),AND($K209=BV$3,OR($C209="W",$C209="1/2W")),AND($K210=BV$3,OR($C210="W",$C210="1/2W"))),$S208,0))</f>
        <v>0</v>
      </c>
      <c r="BW208" s="136">
        <f>IF($B208="LOSS",IF(AND($K208=BW$3,$C208="L"),-$O208,0)+IF(AND($K209=BW$3,$C209="L"),-$O209,0)+IF(AND($K210=BW$3,$C210="L"),-$O210,0),IF(OR(AND($K208=BW$3,OR($C208="W",$C208="1/2W")),AND($K209=BW$3,OR($C209="W",$C209="1/2W")),AND($K210=BW$3,OR($C210="W",$C210="1/2W"))),$S208,0))</f>
        <v>0.97</v>
      </c>
      <c r="BX208" s="136">
        <f>IF($B208="LOSS",IF(AND($K208=BX$3,$C208="L"),-$O208,0)+IF(AND($K209=BX$3,$C209="L"),-$O209,0)+IF(AND($K210=BX$3,$C210="L"),-$O210,0),IF(OR(AND($K208=BX$3,OR($C208="W",$C208="1/2W")),AND($K209=BX$3,OR($C209="W",$C209="1/2W")),AND($K210=BX$3,OR($C210="W",$C210="1/2W"))),$S208,0))</f>
        <v>0</v>
      </c>
      <c r="BY208" s="136">
        <f>IF($B208="LOSS",IF(AND($K208=BY$3,$C208="L"),-$O208,0)+IF(AND($K209=BY$3,$C209="L"),-$O209,0)+IF(AND($K210=BY$3,$C210="L"),-$O210,0),IF(OR(AND($K208=BY$3,OR($C208="W",$C208="1/2W")),AND($K209=BY$3,OR($C209="W",$C209="1/2W")),AND($K210=BY$3,OR($C210="W",$C210="1/2W"))),$S208,0))</f>
        <v>0</v>
      </c>
      <c r="BZ208" s="136">
        <f>IF($B208="LOSS",IF(AND($K208=BZ$3,$C208="L"),-$O208,0)+IF(AND($K209=BZ$3,$C209="L"),-$O209,0)+IF(AND($K210=BZ$3,$C210="L"),-$O210,0),IF(OR(AND($K208=BZ$3,OR($C208="W",$C208="1/2W")),AND($K209=BZ$3,OR($C209="W",$C209="1/2W")),AND($K210=BZ$3,OR($C210="W",$C210="1/2W"))),$S208,0))</f>
        <v>0</v>
      </c>
      <c r="CA208" s="136">
        <f>IF($B208="LOSS",IF(AND($K208=CA$3,$C208="L"),-$O208,0)+IF(AND($K209=CA$3,$C209="L"),-$O209,0)+IF(AND($K210=CA$3,$C210="L"),-$O210,0),IF(OR(AND($K208=CA$3,OR($C208="W",$C208="1/2W")),AND($K209=CA$3,OR($C209="W",$C209="1/2W")),AND($K210=CA$3,OR($C210="W",$C210="1/2W"))),$S208,0))</f>
        <v>0</v>
      </c>
      <c r="CB208" s="136">
        <f>IF($B208="LOSS",IF(AND($K208=CB$3,$C208="L"),-$O208,0)+IF(AND($K209=CB$3,$C209="L"),-$O209,0)+IF(AND($K210=CB$3,$C210="L"),-$O210,0),IF(OR(AND($K208=CB$3,OR($C208="W",$C208="1/2W")),AND($K209=CB$3,OR($C209="W",$C209="1/2W")),AND($K210=CB$3,OR($C210="W",$C210="1/2W"))),$S208,0))</f>
        <v>0</v>
      </c>
      <c r="CC208" s="136">
        <f>IF($B208="LOSS",IF(AND($K208=CC$3,$C208="L"),-$O208,0)+IF(AND($K209=CC$3,$C209="L"),-$O209,0)+IF(AND($K210=CC$3,$C210="L"),-$O210,0),IF(OR(AND($K208=CC$3,OR($C208="W",$C208="1/2W")),AND($K209=CC$3,OR($C209="W",$C209="1/2W")),AND($K210=CC$3,OR($C210="W",$C210="1/2W"))),$S208,0))</f>
        <v>0</v>
      </c>
      <c r="CD208" s="137">
        <f>IF($B208="LOSS",IF(AND($K208=CD$3,$C208="L"),-$O208,0)+IF(AND($K209=CD$3,$C209="L"),-$O209,0)+IF(AND($K210=CD$3,$C210="L"),-$O210,0),IF(OR(AND($K208=CD$3,OR($C208="W",$C208="1/2W")),AND($K209=CD$3,OR($C209="W",$C209="1/2W")),AND($K210=CD$3,OR($C210="W",$C210="1/2W"))),$S208,0))</f>
        <v>0</v>
      </c>
      <c r="CE208" s="134">
        <f>IF($B208="LOSS",IF(AND($K208=CE$3,$C208="L"),-$O208,0)+IF(AND($K209=CE$3,$C209="L"),-$O209,0)+IF(AND($K210=CE$3,$C210="L"),-$O210,0),IF(OR(AND($K208=CE$3,OR($C208="W",$C208="1/2W")),AND($K209=CE$3,OR($C209="W",$C209="1/2W")),AND($K210=CE$3,OR($C210="W",$C210="1/2W"))),$S208,0))</f>
        <v>0</v>
      </c>
      <c r="CF208" s="273">
        <f>IF(CF$3=$K208,IF($C208="W",1,IF($C208="1/2W",0.5,0)),0)</f>
        <v>0</v>
      </c>
      <c r="CG208" s="274">
        <f>IF(CF$3=$K208,IF($C208="L",1,IF($C208="1/2L",0.5,0)),0)</f>
        <v>0</v>
      </c>
      <c r="CH208" s="274">
        <f>IF(CH$3=$K208,IF($C208="W",1,IF($C208="1/2W",0.5,0)),0)</f>
        <v>0</v>
      </c>
      <c r="CI208" s="274">
        <f>IF(CH$3=$K208,IF($C208="L",1,IF($C208="1/2L",0.5,0)),0)</f>
        <v>1</v>
      </c>
      <c r="CJ208" s="274">
        <f>IF(CJ$3=$K208,IF($C208="W",1,IF($C208="1/2W",0.5,0)),0)</f>
        <v>0</v>
      </c>
      <c r="CK208" s="274">
        <f>IF(CJ$3=$K208,IF($C208="L",1,IF($C208="1/2L",0.5,0)),0)</f>
        <v>0</v>
      </c>
      <c r="CL208" s="274">
        <f>IF(CL$3=$K208,IF($C208="W",1,IF($C208="1/2W",0.5,0)),0)</f>
        <v>0</v>
      </c>
      <c r="CM208" s="274">
        <f>IF(CL$3=$K208,IF($C208="L",1,IF($C208="1/2L",0.5,0)),0)</f>
        <v>0</v>
      </c>
      <c r="CN208" s="274">
        <f>IF(CN$3=$K208,IF($C208="W",1,IF($C208="1/2W",0.5,0)),0)</f>
        <v>0</v>
      </c>
      <c r="CO208" s="274">
        <f>IF(CN$3=$K208,IF($C208="L",1,IF($C208="1/2L",0.5,0)),0)</f>
        <v>0</v>
      </c>
      <c r="CP208" s="274">
        <f>IF(CP$3=$K208,IF($C208="W",1,IF($C208="1/2W",0.5,0)),0)</f>
        <v>0</v>
      </c>
      <c r="CQ208" s="274">
        <f>IF(CP$3=$K208,IF($C208="L",1,IF($C208="1/2L",0.5,0)),0)</f>
        <v>0</v>
      </c>
      <c r="CR208" s="274">
        <f>IF(CR$3=$K208,IF($C208="W",1,IF($C208="1/2W",0.5,0)),0)</f>
        <v>0</v>
      </c>
      <c r="CS208" s="274">
        <f>IF(CR$3=$K208,IF($C208="L",1,IF($C208="1/2L",0.5,0)),0)</f>
        <v>0</v>
      </c>
      <c r="CT208" s="145">
        <f>IF(CT$3=$K208,IF($C208="W",1,IF($C208="1/2W",0.5,0)),0)</f>
        <v>0</v>
      </c>
      <c r="CU208" s="146">
        <f>IF(CT$3=$K208,IF($C208="L",1,IF($C208="1/2L",0.5,0)),0)</f>
        <v>0</v>
      </c>
      <c r="CV208" s="146">
        <f>IF(CV$3=$K208,IF($C208="W",1,IF($C208="1/2W",0.5,0)),0)</f>
        <v>0</v>
      </c>
      <c r="CW208" s="146">
        <f>IF(CV$3=$K208,IF($C208="L",1,IF($C208="1/2L",0.5,0)),0)</f>
        <v>0</v>
      </c>
      <c r="CX208" s="146">
        <f>IF(CX$3=$K208,IF($C208="W",1,IF($C208="1/2W",0.5,0)),0)</f>
        <v>0</v>
      </c>
      <c r="CY208" s="146">
        <f>IF(CX$3=$K208,IF($C208="L",1,IF($C208="1/2L",0.5,0)),0)</f>
        <v>0</v>
      </c>
      <c r="CZ208" s="146">
        <f>IF(CZ$3=$K208,IF($C208="W",1,IF($C208="1/2W",0.5,0)),0)</f>
        <v>0</v>
      </c>
      <c r="DA208" s="146">
        <f>IF(CZ$3=$K208,IF($C208="L",1,IF($C208="1/2L",0.5,0)),0)</f>
        <v>0</v>
      </c>
      <c r="DB208" s="146">
        <f>IF(DB$3=$K208,IF($C208="W",1,IF($C208="1/2W",0.5,0)),0)</f>
        <v>0</v>
      </c>
      <c r="DC208" s="146">
        <f>IF(DB$3=$K208,IF($C208="L",1,IF($C208="1/2L",0.5,0)),0)</f>
        <v>0</v>
      </c>
      <c r="DD208" s="146">
        <f>IF(DD$3=$K208,IF($C208="W",1,IF($C208="1/2W",0.5,0)),0)</f>
        <v>0</v>
      </c>
      <c r="DE208" s="147">
        <f>IF(DD$3=$K208,IF($C208="L",1,IF($C208="1/2L",0.5,0)),0)</f>
        <v>0</v>
      </c>
      <c r="DF208" s="143">
        <f>IF(AND(L208&lt;DF$3,$C208="W"),1+DF207,DF207)</f>
        <v>8</v>
      </c>
      <c r="DG208" s="133">
        <f>IF(DF208&gt;DF207,L208+DG207,DG207)</f>
        <v>10.598</v>
      </c>
      <c r="DH208" s="146">
        <f>IF(AND(L208&gt;DH$3,$C208="W"),1+DH207,0+DH207)</f>
        <v>3</v>
      </c>
      <c r="DI208" s="133">
        <f>IF(DH208&gt;DH207,L208+DI207,DI207)</f>
        <v>15.98</v>
      </c>
      <c r="DJ208" t="s" s="304">
        <f>IF($D208="","",$D208)</f>
        <v>184</v>
      </c>
      <c r="DK208" s="146">
        <f>IF(AND($B208=" ",$D208&lt;&gt;""),1,0)</f>
        <v>0</v>
      </c>
    </row>
    <row r="209" ht="14.55" customHeight="1">
      <c r="A209" s="107"/>
      <c r="B209" s="108"/>
      <c r="C209" t="s" s="109">
        <v>56</v>
      </c>
      <c r="D209" s="110"/>
      <c r="E209" s="111"/>
      <c r="F209" s="113"/>
      <c r="G209" s="252"/>
      <c r="H209" s="114"/>
      <c r="I209" t="s" s="275">
        <v>67</v>
      </c>
      <c r="J209" s="276">
        <v>122</v>
      </c>
      <c r="K209" t="s" s="117">
        <v>41</v>
      </c>
      <c r="L209" s="277">
        <v>1.85</v>
      </c>
      <c r="M209" s="278">
        <v>6.62</v>
      </c>
      <c r="N209" s="120"/>
      <c r="O209" s="121">
        <f>IF(OR(AE208="",AE209=""),"",ROUND(IF(L210&gt;0,IF(M209&gt;0,M209,IF(M208&gt;0,IF(N208=TRUE,ROUND((M208*AE209)/AE208,0),(M208*AE209)/AE208),IF(M209&gt;0,ROUND(M209,IF(N208=0,2,IF(N208=0.1,1,0))),IF(M210&gt;0,ROUND(O210*AE209/AE210,IF(N208=0,2,IF(N208=0.1,1,0))),0)))),IF(M209&gt;0,M209,ROUND((M208*AE209)/AE208,IF(N208=0,2,IF(N208=0.1,1,0))))),2))</f>
        <v>6.62</v>
      </c>
      <c r="P209" s="122">
        <f>IF(OR(L209="",O209=""),"",IF($C209="1/2W",O209/2+O209/2*L209,IF($C209="1/2L",O209/2,IF(I209="Lay",((O209*(L209/(L209-1)))-O209)*(1-_xlfn.XLOOKUP(K209,'Janeiro 2023 - Valor Real'!A3:A15,'Janeiro 2023 - Valor Real'!C3:C15,0))+O209,(O209*L209-O209)*(1-_xlfn.XLOOKUP(K209,'Janeiro 2023 - Valor Real'!A3:A15,'Janeiro 2023 - Valor Real'!C3:C15,0))+O209))))</f>
        <v>12.247</v>
      </c>
      <c r="Q209" s="279">
        <f>IF(K209="","",IF(_xlfn.XLOOKUP(K209,K95:K$95,DJ95:DJ$95,0,,-1)=DJ209,_xlfn.XLOOKUP(K209,K95:K$95,Q95:Q$95,1,,-1)+1,1))</f>
        <v>1</v>
      </c>
      <c r="R209" s="280">
        <f>IF(K209="","",_xlfn.XLOOKUP(K209,K95:K$95,R95:R$95,0,,-1)+IF($C209=" ",1,0))</f>
        <v>0</v>
      </c>
      <c r="S209" s="125"/>
      <c r="T209" s="126"/>
      <c r="U209" s="126"/>
      <c r="V209" s="224"/>
      <c r="W209" s="126"/>
      <c r="X209" s="127"/>
      <c r="Y209" s="128"/>
      <c r="Z209" s="129"/>
      <c r="AA209" s="129"/>
      <c r="AB209" s="129"/>
      <c r="AC209" s="129"/>
      <c r="AD209" s="130"/>
      <c r="AE209" s="131">
        <f>IF(L209="","",IF(L210&gt;0,(SUM(((L208-1)*(1-_xlfn.XLOOKUP(K208,'Janeiro 2023 - Valor Real'!A3:A15,'Janeiro 2023 - Valor Real'!C3:C15,0))+1),((L209-1)*(1-_xlfn.XLOOKUP(K209,'Janeiro 2023 - Valor Real'!A3:A15,'Janeiro 2023 - Valor Real'!C3:C15,0))+1),((L210-1)*(1-_xlfn.XLOOKUP(K210,'Janeiro 2023 - Valor Real'!A3:A15,'Janeiro 2023 - Valor Real'!C3:C15,0))+1))/((L209-1)*(1-_xlfn.XLOOKUP(K209,'Janeiro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Real'!C3:C15,0))+1))/((L208-1)*(1-_xlfn.XLOOKUP(K208,'Janeiro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Real'!C3:C15,0))+1))/((L209-1)*(1-_xlfn.XLOOKUP(K209,'Janeiro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Real'!C3:C15,0))+1))/((L210-1)*(1-_xlfn.XLOOKUP(K210,'Janeiro 2023 - Valor Real'!A3:A15,'Janeiro 2023 - Valor Real'!C3:C15,0))+1)),IF(I209="Lay",IF(I208="Lay",((L208/(L208-1)-1)*(1-_xlfn.XLOOKUP(K208,'Janeiro 2023 - Valor Real'!A3:A15,'Janeiro 2023 - Valor Real'!C3:C15,0))+1)/(((L208/(L208-1)-1)*(1-_xlfn.XLOOKUP(K208,'Janeiro 2023 - Valor Real'!A3:A15,'Janeiro 2023 - Valor Real'!C3:C15,0))+1)+((L209/(L209-1)-1)*(1-_xlfn.XLOOKUP(K209,'Janeiro 2023 - Valor Real'!A3:A15,'Janeiro 2023 - Valor Real'!C3:C15,0))+1)),((L208-1)*(1-_xlfn.XLOOKUP(K208,'Janeiro 2023 - Valor Real'!A3:A15,'Janeiro 2023 - Valor Real'!C3:C15,0))+1)/(((L208-1)*(1-_xlfn.XLOOKUP(K208,'Janeiro 2023 - Valor Real'!A3:A15,'Janeiro 2023 - Valor Real'!C3:C15,0))+1)+((L209/(L209-1)-1)*(1-_xlfn.XLOOKUP(K209,'Janeiro 2023 - Valor Real'!A3:A15,'Janeiro 2023 - Valor Real'!C3:C15,0))+1))),IF(I208="Lay",((L208/(L208-1)-1)*(1-_xlfn.XLOOKUP(K208,'Janeiro 2023 - Valor Real'!A3:A15,'Janeiro 2023 - Valor Real'!C3:C15,0))+1)/((((L208/(L208-1)-1)*(1-_xlfn.XLOOKUP(K208,'Janeiro 2023 - Valor Real'!A3:A15,'Janeiro 2023 - Valor Real'!C3:C15,0))+1))+((L209-1)*(1-_xlfn.XLOOKUP(K209,'Janeiro 2023 - Valor Real'!A3:A15,'Janeiro 2023 - Valor Real'!C3:C15,0))+1)),((L208-1)*(1-_xlfn.XLOOKUP(K208,'Janeiro 2023 - Valor Real'!A3:A15,'Janeiro 2023 - Valor Real'!C3:C15,0))+1)/(((L208-1)*(1-_xlfn.XLOOKUP(K208,'Janeiro 2023 - Valor Real'!A3:A15,'Janeiro 2023 - Valor Real'!C3:C15,0))+1)+((L209-1)*(1-_xlfn.XLOOKUP(K209,'Janeiro 2023 - Valor Real'!A3:A15,'Janeiro 2023 - Valor Real'!C3:C15,0))+1))))))</f>
        <v>0.587053571428571</v>
      </c>
      <c r="AF209" s="132">
        <f>IF($K209=AF$3,ROUND(IF(OR($C209="W",$C209="1/2W",$C209="1/2L"),$P209-$O209,IF($C209="X",0,-$O209)),2),0)</f>
        <v>0</v>
      </c>
      <c r="AG209" s="133">
        <f>IF($K209=AG$3,ROUND(IF(OR($C209="W",$C209="1/2W",$C209="1/2L"),$P209-$O209,IF($C209="X",0,-$O209)),2),0)</f>
        <v>0</v>
      </c>
      <c r="AH209" s="133">
        <f>IF($K209=AH$3,ROUND(IF(OR($C209="W",$C209="1/2W",$C209="1/2L"),$P209-$O209,IF($C209="X",0,-$O209)),2),0)</f>
        <v>0</v>
      </c>
      <c r="AI209" s="133">
        <f>IF($K209=AI$3,ROUND(IF(OR($C209="W",$C209="1/2W",$C209="1/2L"),$P209-$O209,IF($C209="X",0,-$O209)),2),0)</f>
        <v>0</v>
      </c>
      <c r="AJ209" s="133">
        <f>IF($K209=AJ$3,ROUND(IF(OR($C209="W",$C209="1/2W",$C209="1/2L"),$P209-$O209,IF($C209="X",0,-$O209)),2),0)</f>
        <v>5.63</v>
      </c>
      <c r="AK209" s="133">
        <f>IF($K209=AK$3,ROUND(IF(OR($C209="W",$C209="1/2W",$C209="1/2L"),$P209-$O209,IF($C209="X",0,-$O209)),2),0)</f>
        <v>0</v>
      </c>
      <c r="AL209" s="133">
        <f>IF($K209=AL$3,ROUND(IF(OR($C209="W",$C209="1/2W",$C209="1/2L"),$P209-$O209,IF($C209="X",0,-$O209)),2),0)</f>
        <v>0</v>
      </c>
      <c r="AM209" s="133">
        <f>IF($K209=AM$3,ROUND(IF(OR($C209="W",$C209="1/2W",$C209="1/2L"),$P209-$O209,IF($C209="X",0,-$O209)),2),0)</f>
        <v>0</v>
      </c>
      <c r="AN209" s="133">
        <f>IF($K209=AN$3,ROUND(IF(OR($C209="W",$C209="1/2W",$C209="1/2L"),$P209-$O209,IF($C209="X",0,-$O209)),2),0)</f>
        <v>0</v>
      </c>
      <c r="AO209" s="133">
        <f>IF($K209=AO$3,ROUND(IF(OR($C209="W",$C209="1/2W",$C209="1/2L"),$P209-$O209,IF($C209="X",0,-$O209)),2),0)</f>
        <v>0</v>
      </c>
      <c r="AP209" s="133">
        <f>IF($K209=AP$3,ROUND(IF(OR($C209="W",$C209="1/2W",$C209="1/2L"),$P209-$O209,IF($C209="X",0,-$O209)),2),0)</f>
        <v>0</v>
      </c>
      <c r="AQ209" s="133">
        <f>IF($K209=AQ$3,ROUND(IF(OR($C209="W",$C209="1/2W",$C209="1/2L"),$P209-$O209,IF($C209="X",0,-$O209)),2),0)</f>
        <v>0</v>
      </c>
      <c r="AR209" s="134">
        <f>IF($K209=AR$3,ROUND(IF(OR($C209="W",$C209="1/2W",$C209="1/2L"),$P209-$O209,IF($C209="X",0,-$O209)),2),0)</f>
        <v>0</v>
      </c>
      <c r="AS209" s="132">
        <f>IF(AND($B208=" ",$K209=AS$3),$O209,0)</f>
        <v>0</v>
      </c>
      <c r="AT209" s="133">
        <f>IF(AND($B208=" ",K209=AT$3),$O209,0)</f>
        <v>0</v>
      </c>
      <c r="AU209" s="133">
        <f>IF(AND($B208=" ",$K209=AU$3),$O209,0)</f>
        <v>0</v>
      </c>
      <c r="AV209" s="133">
        <f>IF(AND($B208=" ",$K209=AV$3),$O209,0)</f>
        <v>0</v>
      </c>
      <c r="AW209" s="133">
        <f>IF(AND($B208=" ",$K209=AW$3),$O209,0)</f>
        <v>0</v>
      </c>
      <c r="AX209" s="133">
        <f>IF(AND($B208=" ",$K209=AX$3),$O209,0)</f>
        <v>0</v>
      </c>
      <c r="AY209" s="135">
        <f>IF(AND($B208=" ",$K209=AY$3),$O209,0)</f>
        <v>0</v>
      </c>
      <c r="AZ209" s="136">
        <f>IF(AND($B208=" ",$K209=AZ$3),$O209,0)</f>
        <v>0</v>
      </c>
      <c r="BA209" s="136">
        <f>IF(AND($B208=" ",$K209=BA$3),$O209,0)</f>
        <v>0</v>
      </c>
      <c r="BB209" s="136">
        <f>IF(AND($B208=" ",$K209=BB$3),$O209,0)</f>
        <v>0</v>
      </c>
      <c r="BC209" s="137">
        <f>IF(AND($B208=" ",$K209=BC$3),$O209,0)</f>
        <v>0</v>
      </c>
      <c r="BD209" s="133">
        <f>IF(AND($B208=" ",$K209=BD$3),$O209,0)</f>
        <v>0</v>
      </c>
      <c r="BE209" s="134">
        <f>IF(AND($B208=" ",$K209=BE$3),$O209,0)</f>
        <v>0</v>
      </c>
      <c r="BF209" s="132">
        <f>IF($K209=BF$3,IF($C209="X",0,$O209),0)</f>
        <v>0</v>
      </c>
      <c r="BG209" s="281">
        <f>IF($K209=BG$3,IF($C209="X",0,$O209),0)</f>
        <v>0</v>
      </c>
      <c r="BH209" s="133">
        <f>IF($K209=BH$3,IF($C209="X",0,$O209),0)</f>
        <v>0</v>
      </c>
      <c r="BI209" s="133">
        <f>IF($K209=BI$3,IF($C209="X",0,$O209),0)</f>
        <v>0</v>
      </c>
      <c r="BJ209" s="133">
        <f>IF($K209=BJ$3,IF($C209="X",0,$O209),0)</f>
        <v>6.62</v>
      </c>
      <c r="BK209" s="133">
        <f>IF($K209=BK$3,IF($C209="X",0,$O209),0)</f>
        <v>0</v>
      </c>
      <c r="BL209" s="133">
        <f>IF($K209=BL$3,IF($C209="X",0,$O209),0)</f>
        <v>0</v>
      </c>
      <c r="BM209" s="135">
        <f>IF($K209=BM$3,IF($C209="X",0,$O209),0)</f>
        <v>0</v>
      </c>
      <c r="BN209" s="136">
        <f>IF($K209=BN$3,IF($C209="X",0,$O209),0)</f>
        <v>0</v>
      </c>
      <c r="BO209" s="136">
        <f>IF($K209=BO$3,IF($C209="X",0,$O209),0)</f>
        <v>0</v>
      </c>
      <c r="BP209" s="136">
        <f>IF($K209=BP$3,IF($C209="X",0,$O209),0)</f>
        <v>0</v>
      </c>
      <c r="BQ209" s="137">
        <f>IF($K209=BQ$3,IF($C209="X",0,$O209),0)</f>
        <v>0</v>
      </c>
      <c r="BR209" s="134">
        <f>IF($K209=BR$3,IF($C209="X",0,$O209),0)</f>
        <v>0</v>
      </c>
      <c r="BS209" s="282"/>
      <c r="BT209" s="283"/>
      <c r="BU209" s="140"/>
      <c r="BV209" s="283"/>
      <c r="BW209" s="140"/>
      <c r="BX209" s="140"/>
      <c r="BY209" s="140"/>
      <c r="BZ209" s="283"/>
      <c r="CA209" s="140"/>
      <c r="CB209" s="140"/>
      <c r="CC209" s="140"/>
      <c r="CD209" s="141"/>
      <c r="CE209" s="142"/>
      <c r="CF209" s="284">
        <f>IF(CF$3=$K209,IF($C209="W",1,IF($C209="1/2W",0.5,0)),0)</f>
        <v>0</v>
      </c>
      <c r="CG209" s="285">
        <f>IF(CF$3=$K209,IF($C209="L",1,IF($C209="1/2L",0.5,0)),0)</f>
        <v>0</v>
      </c>
      <c r="CH209" s="285">
        <f>IF(CH$3=$K209,IF($C209="W",1,IF($C209="1/2W",0.5,0)),0)</f>
        <v>0</v>
      </c>
      <c r="CI209" s="285">
        <f>IF(CH$3=$K209,IF($C209="L",1,IF($C209="1/2L",0.5,0)),0)</f>
        <v>0</v>
      </c>
      <c r="CJ209" s="285">
        <f>IF(CJ$3=$K209,IF($C209="W",1,IF($C209="1/2W",0.5,0)),0)</f>
        <v>0</v>
      </c>
      <c r="CK209" s="285">
        <f>IF(CJ$3=$K209,IF($C209="L",1,IF($C209="1/2L",0.5,0)),0)</f>
        <v>0</v>
      </c>
      <c r="CL209" s="285">
        <f>IF(CL$3=$K209,IF($C209="W",1,IF($C209="1/2W",0.5,0)),0)</f>
        <v>0</v>
      </c>
      <c r="CM209" s="285">
        <f>IF(CL$3=$K209,IF($C209="L",1,IF($C209="1/2L",0.5,0)),0)</f>
        <v>0</v>
      </c>
      <c r="CN209" s="285">
        <f>IF(CN$3=$K209,IF($C209="W",1,IF($C209="1/2W",0.5,0)),0)</f>
        <v>1</v>
      </c>
      <c r="CO209" s="285">
        <f>IF(CN$3=$K209,IF($C209="L",1,IF($C209="1/2L",0.5,0)),0)</f>
        <v>0</v>
      </c>
      <c r="CP209" s="285">
        <f>IF(CP$3=$K209,IF($C209="W",1,IF($C209="1/2W",0.5,0)),0)</f>
        <v>0</v>
      </c>
      <c r="CQ209" s="285">
        <f>IF(CP$3=$K209,IF($C209="L",1,IF($C209="1/2L",0.5,0)),0)</f>
        <v>0</v>
      </c>
      <c r="CR209" s="285">
        <f>IF(CR$3=$K209,IF($C209="W",1,IF($C209="1/2W",0.5,0)),0)</f>
        <v>0</v>
      </c>
      <c r="CS209" s="285">
        <f>IF(CR$3=$K209,IF($C209="L",1,IF($C209="1/2L",0.5,0)),0)</f>
        <v>0</v>
      </c>
      <c r="CT209" s="145">
        <f>IF(CT$3=$K209,IF($C209="W",1,IF($C209="1/2W",0.5,0)),0)</f>
        <v>0</v>
      </c>
      <c r="CU209" s="146">
        <f>IF(CT$3=$K209,IF($C209="L",1,IF($C209="1/2L",0.5,0)),0)</f>
        <v>0</v>
      </c>
      <c r="CV209" s="146">
        <f>IF(CV$3=$K209,IF($C209="W",1,IF($C209="1/2W",0.5,0)),0)</f>
        <v>0</v>
      </c>
      <c r="CW209" s="146">
        <f>IF(CV$3=$K209,IF($C209="L",1,IF($C209="1/2L",0.5,0)),0)</f>
        <v>0</v>
      </c>
      <c r="CX209" s="146">
        <f>IF(CX$3=$K209,IF($C209="W",1,IF($C209="1/2W",0.5,0)),0)</f>
        <v>0</v>
      </c>
      <c r="CY209" s="146">
        <f>IF(CX$3=$K209,IF($C209="L",1,IF($C209="1/2L",0.5,0)),0)</f>
        <v>0</v>
      </c>
      <c r="CZ209" s="146">
        <f>IF(CZ$3=$K209,IF($C209="W",1,IF($C209="1/2W",0.5,0)),0)</f>
        <v>0</v>
      </c>
      <c r="DA209" s="146">
        <f>IF(CZ$3=$K209,IF($C209="L",1,IF($C209="1/2L",0.5,0)),0)</f>
        <v>0</v>
      </c>
      <c r="DB209" s="146">
        <f>IF(DB$3=$K209,IF($C209="W",1,IF($C209="1/2W",0.5,0)),0)</f>
        <v>0</v>
      </c>
      <c r="DC209" s="146">
        <f>IF(DB$3=$K209,IF($C209="L",1,IF($C209="1/2L",0.5,0)),0)</f>
        <v>0</v>
      </c>
      <c r="DD209" s="146">
        <f>IF(DD$3=$K209,IF($C209="W",1,IF($C209="1/2W",0.5,0)),0)</f>
        <v>0</v>
      </c>
      <c r="DE209" s="147">
        <f>IF(DD$3=$K209,IF($C209="L",1,IF($C209="1/2L",0.5,0)),0)</f>
        <v>0</v>
      </c>
      <c r="DF209" s="143">
        <f>IF(AND(L209&lt;DF$3,$C209="W"),1+DF208,DF208)</f>
        <v>8</v>
      </c>
      <c r="DG209" s="133">
        <f>IF(DF209&gt;DF208,L209+DG208,DG208)</f>
        <v>10.598</v>
      </c>
      <c r="DH209" s="146">
        <f>IF(AND(L209&gt;DH$3,$C209="W"),1+DH208,0+DH208)</f>
        <v>3</v>
      </c>
      <c r="DI209" s="133">
        <f>IF(DH209&gt;DH208,L209+DI208,DI208)</f>
        <v>15.98</v>
      </c>
      <c r="DJ209" t="s" s="304">
        <f>IF($D208="","",$D208)</f>
        <v>184</v>
      </c>
      <c r="DK209" s="286"/>
    </row>
    <row r="210" ht="14.55" customHeight="1">
      <c r="A210" s="149"/>
      <c r="B210" s="150"/>
      <c r="C210" t="s" s="151">
        <v>58</v>
      </c>
      <c r="D210" s="152"/>
      <c r="E210" s="153"/>
      <c r="F210" s="155"/>
      <c r="G210" s="252"/>
      <c r="H210" s="156"/>
      <c r="I210" s="287"/>
      <c r="J210" s="288"/>
      <c r="K210" s="156"/>
      <c r="L210" s="289"/>
      <c r="M210" s="290"/>
      <c r="N210" s="161"/>
      <c r="O210" t="s" s="162">
        <f>IF(OR(AE208="",AE209=""),"",IF(L210&gt;0,ROUND(IF(M210&gt;0,M210,IF(M208&gt;0,ROUND((M208*AE210)/AE208,IF(N208=0,2,IF(N208=0.1,1,0))),IF(M209&gt;0,ROUND((M209*AE210)/AE209,IF(N208=0,2,IF(N208=0.1,1,0))),IF(M210&gt;0,M210,0)))),2),""))</f>
      </c>
      <c r="P210" t="s" s="163">
        <f>IF(I209="Lay",O209*(L209/(L209-1))-O209,IF(I208="Lay",O208*(L208/(L208-1))-O208,IF(OR(L210="",O210=""),"",IF($C210="1/2W",O210/2+O210/2*L210,IF($C210="1/2L",O210/2,(O210*L210-O210)*(1-_xlfn.XLOOKUP(K210,'Janeiro 2023 - Valor Real'!A3:A15,'Janeiro 2023 - Valor Real'!C3:C15,0))+O210)))))</f>
      </c>
      <c r="Q210" t="s" s="154">
        <f>IF(K210="","",IF(_xlfn.XLOOKUP(K210,K96:K$96,DJ96:DJ$96,0,,-1)=DJ210,_xlfn.XLOOKUP(K210,K96:K$96,Q96:Q$96,1,,-1)+1,1))</f>
      </c>
      <c r="R210" t="s" s="163">
        <f>IF(K210="","",_xlfn.XLOOKUP(K210,K96:K$96,R96:R$96,0,,-1)+IF($C210=" ",1,0))</f>
      </c>
      <c r="S210" s="166"/>
      <c r="T210" s="155"/>
      <c r="U210" s="155"/>
      <c r="V210" s="166"/>
      <c r="W210" s="155"/>
      <c r="X210" s="167"/>
      <c r="Y210" s="128"/>
      <c r="Z210" s="129"/>
      <c r="AA210" s="129"/>
      <c r="AB210" s="129"/>
      <c r="AC210" s="129"/>
      <c r="AD210" s="168"/>
      <c r="AE210" t="s" s="169">
        <f>IF(L210="","",(SUM(((L208-1)*(1-_xlfn.XLOOKUP(K208,'Janeiro 2023 - Valor Real'!A3:A15,'Janeiro 2023 - Valor Real'!C3:C15,0))+1),((L209-1)*(1-_xlfn.XLOOKUP(K209,'Janeiro 2023 - Valor Real'!A3:A15,'Janeiro 2023 - Valor Real'!C3:C15,0))+1),((L210-1)*(1-_xlfn.XLOOKUP(K210,'Janeiro 2023 - Valor Real'!A3:A15,'Janeiro 2023 - Valor Real'!C3:C15,0))+1))/((L210-1)*(1-_xlfn.XLOOKUP(K210,'Janeiro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Real'!C3:C15,0))+1))/((L208-1)*(1-_xlfn.XLOOKUP(K208,'Janeiro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Real'!C3:C15,0))+1))/((L209-1)*(1-_xlfn.XLOOKUP(K209,'Janeiro 2023 - Valor Real'!A3:A15,'Janeiro 2023 - Valor Real'!C3:C15,0))+1)+SUM(((L208-1)*(1-_xlfn.XLOOKUP(K208,'Janeiro 2023 - Valor Real'!A3:A15,'Janeiro 2023 - Valor Real'!C3:C15,0))+1),((L209-1)*(1-_xlfn.XLOOKUP(K209,'Janeiro 2023 - Valor Real'!A3:A15,'Janeiro 2023 - Valor Real'!C3:C15,0))+1),((L210-1)*(1-_xlfn.XLOOKUP(K210,'Janeiro 2023 - Valor Real'!A3:A15,'Janeiro 2023 - Valor Real'!C3:C15,0))+1))/((L210-1)*(1-_xlfn.XLOOKUP(K210,'Janeiro 2023 - Valor Real'!A3:A15,'Janeiro 2023 - Valor Real'!C3:C15,0))+1)))</f>
      </c>
      <c r="AF210" s="132">
        <f>IF($K210=AF$3,ROUND(IF(OR($C210="W",$C210="1/2W",$C210="1/2L"),$P210-$O210,IF($C210="X",0,-$O210)),2),0)</f>
        <v>0</v>
      </c>
      <c r="AG210" s="133">
        <f>IF($K210=AG$3,ROUND(IF(OR($C210="W",$C210="1/2W",$C210="1/2L"),$P210-$O210,IF($C210="X",0,-$O210)),2),0)</f>
        <v>0</v>
      </c>
      <c r="AH210" s="133">
        <f>IF($K210=AH$3,ROUND(IF(OR($C210="W",$C210="1/2W",$C210="1/2L"),$P210-$O210,IF($C210="X",0,-$O210)),2),0)</f>
        <v>0</v>
      </c>
      <c r="AI210" s="133">
        <f>IF($K210=AI$3,ROUND(IF(OR($C210="W",$C210="1/2W",$C210="1/2L"),$P210-$O210,IF($C210="X",0,-$O210)),2),0)</f>
        <v>0</v>
      </c>
      <c r="AJ210" s="133">
        <f>IF($K210=AJ$3,ROUND(IF(OR($C210="W",$C210="1/2W",$C210="1/2L"),$P210-$O210,IF($C210="X",0,-$O210)),2),0)</f>
        <v>0</v>
      </c>
      <c r="AK210" s="133">
        <f>IF($K210=AK$3,ROUND(IF(OR($C210="W",$C210="1/2W",$C210="1/2L"),$P210-$O210,IF($C210="X",0,-$O210)),2),0)</f>
        <v>0</v>
      </c>
      <c r="AL210" s="133">
        <f>IF($K210=AL$3,ROUND(IF(OR($C210="W",$C210="1/2W",$C210="1/2L"),$P210-$O210,IF($C210="X",0,-$O210)),2),0)</f>
        <v>0</v>
      </c>
      <c r="AM210" s="133">
        <f>IF($K210=AM$3,ROUND(IF(OR($C210="W",$C210="1/2W",$C210="1/2L"),$P210-$O210,IF($C210="X",0,-$O210)),2),0)</f>
        <v>0</v>
      </c>
      <c r="AN210" s="133">
        <f>IF($K210=AN$3,ROUND(IF(OR($C210="W",$C210="1/2W",$C210="1/2L"),$P210-$O210,IF($C210="X",0,-$O210)),2),0)</f>
        <v>0</v>
      </c>
      <c r="AO210" s="133">
        <f>IF($K210=AO$3,ROUND(IF(OR($C210="W",$C210="1/2W",$C210="1/2L"),$P210-$O210,IF($C210="X",0,-$O210)),2),0)</f>
        <v>0</v>
      </c>
      <c r="AP210" s="133">
        <f>IF($K210=AP$3,ROUND(IF(OR($C210="W",$C210="1/2W",$C210="1/2L"),$P210-$O210,IF($C210="X",0,-$O210)),2),0)</f>
        <v>0</v>
      </c>
      <c r="AQ210" s="133">
        <f>IF($K210=AQ$3,ROUND(IF(OR($C210="W",$C210="1/2W",$C210="1/2L"),$P210-$O210,IF($C210="X",0,-$O210)),2),0)</f>
        <v>0</v>
      </c>
      <c r="AR210" s="134">
        <f>IF($K210=AR$3,ROUND(IF(OR($C210="W",$C210="1/2W",$C210="1/2L"),$P210-$O210,IF($C210="X",0,-$O210)),2),0)</f>
        <v>0</v>
      </c>
      <c r="AS210" s="132">
        <f>IF(AND($B208=" ",$K210=AS$3),$O210,0)</f>
        <v>0</v>
      </c>
      <c r="AT210" s="133">
        <f>IF(AND($B208=" ",K210=AT$3),$O210,0)</f>
        <v>0</v>
      </c>
      <c r="AU210" s="133">
        <f>IF(AND($B208=" ",$K210=AU$3),$O210,0)</f>
        <v>0</v>
      </c>
      <c r="AV210" s="133">
        <f>IF(AND($B208=" ",$K210=AV$3),$O210,0)</f>
        <v>0</v>
      </c>
      <c r="AW210" s="133">
        <f>IF(AND($B208=" ",$K210=AW$3),$O210,0)</f>
        <v>0</v>
      </c>
      <c r="AX210" s="133">
        <f>IF(AND($B208=" ",$K210=AX$3),$O210,0)</f>
        <v>0</v>
      </c>
      <c r="AY210" s="135">
        <f>IF(AND($B208=" ",$K210=AY$3),$O210,0)</f>
        <v>0</v>
      </c>
      <c r="AZ210" s="136">
        <f>IF(AND($B208=" ",$K210=AZ$3),$O210,0)</f>
        <v>0</v>
      </c>
      <c r="BA210" s="136">
        <f>IF(AND($B208=" ",$K210=BA$3),$O210,0)</f>
        <v>0</v>
      </c>
      <c r="BB210" s="136">
        <f>IF(AND($B208=" ",$K210=BB$3),$O210,0)</f>
        <v>0</v>
      </c>
      <c r="BC210" s="137">
        <f>IF(AND($B208=" ",$K210=BC$3),$O210,0)</f>
        <v>0</v>
      </c>
      <c r="BD210" s="133">
        <f>IF(AND($B208=" ",$K210=BD$3),$O210,0)</f>
        <v>0</v>
      </c>
      <c r="BE210" s="134">
        <f>IF(AND($B208=" ",$K210=BE$3),$O210,0)</f>
        <v>0</v>
      </c>
      <c r="BF210" s="132">
        <f>IF($K210=BF$3,IF($C210="X",0,$O210),0)</f>
        <v>0</v>
      </c>
      <c r="BG210" s="281">
        <f>IF($K210=BG$3,IF($C210="X",0,$O210),0)</f>
        <v>0</v>
      </c>
      <c r="BH210" s="133">
        <f>IF($K210=BH$3,IF($C210="X",0,$O210),0)</f>
        <v>0</v>
      </c>
      <c r="BI210" s="133">
        <f>IF($K210=BI$3,IF($C210="X",0,$O210),0)</f>
        <v>0</v>
      </c>
      <c r="BJ210" s="133">
        <f>IF($K210=BJ$3,IF($C210="X",0,$O210),0)</f>
        <v>0</v>
      </c>
      <c r="BK210" s="133">
        <f>IF($K210=BK$3,IF($C210="X",0,$O210),0)</f>
        <v>0</v>
      </c>
      <c r="BL210" s="133">
        <f>IF($K210=BL$3,IF($C210="X",0,$O210),0)</f>
        <v>0</v>
      </c>
      <c r="BM210" s="135">
        <f>IF($K210=BM$3,IF($C210="X",0,$O210),0)</f>
        <v>0</v>
      </c>
      <c r="BN210" s="136">
        <f>IF($K210=BN$3,IF($C210="X",0,$O210),0)</f>
        <v>0</v>
      </c>
      <c r="BO210" s="136">
        <f>IF($K210=BO$3,IF($C210="X",0,$O210),0)</f>
        <v>0</v>
      </c>
      <c r="BP210" s="136">
        <f>IF($K210=BP$3,IF($C210="X",0,$O210),0)</f>
        <v>0</v>
      </c>
      <c r="BQ210" s="137">
        <f>IF($K210=BQ$3,IF($C210="X",0,$O210),0)</f>
        <v>0</v>
      </c>
      <c r="BR210" s="134">
        <f>IF($K210=BR$3,IF($C210="X",0,$O210),0)</f>
        <v>0</v>
      </c>
      <c r="BS210" s="282"/>
      <c r="BT210" s="283"/>
      <c r="BU210" s="140"/>
      <c r="BV210" s="283"/>
      <c r="BW210" s="140"/>
      <c r="BX210" s="140"/>
      <c r="BY210" s="140"/>
      <c r="BZ210" s="283"/>
      <c r="CA210" s="140"/>
      <c r="CB210" s="140"/>
      <c r="CC210" s="140"/>
      <c r="CD210" s="141"/>
      <c r="CE210" s="142"/>
      <c r="CF210" s="284">
        <f>IF(CF$3=$K210,IF($C210="W",1,IF($C210="1/2W",0.5,0)),0)</f>
        <v>0</v>
      </c>
      <c r="CG210" s="285">
        <f>IF(CF$3=$K210,IF($C210="L",1,IF($C210="1/2L",0.5,0)),0)</f>
        <v>0</v>
      </c>
      <c r="CH210" s="285">
        <f>IF(CH$3=$K210,IF($C210="W",1,IF($C210="1/2W",0.5,0)),0)</f>
        <v>0</v>
      </c>
      <c r="CI210" s="285">
        <f>IF(CH$3=$K210,IF($C210="L",1,IF($C210="1/2L",0.5,0)),0)</f>
        <v>0</v>
      </c>
      <c r="CJ210" s="285">
        <f>IF(CJ$3=$K210,IF($C210="W",1,IF($C210="1/2W",0.5,0)),0)</f>
        <v>0</v>
      </c>
      <c r="CK210" s="285">
        <f>IF(CJ$3=$K210,IF($C210="L",1,IF($C210="1/2L",0.5,0)),0)</f>
        <v>0</v>
      </c>
      <c r="CL210" s="285">
        <f>IF(CL$3=$K210,IF($C210="W",1,IF($C210="1/2W",0.5,0)),0)</f>
        <v>0</v>
      </c>
      <c r="CM210" s="285">
        <f>IF(CL$3=$K210,IF($C210="L",1,IF($C210="1/2L",0.5,0)),0)</f>
        <v>0</v>
      </c>
      <c r="CN210" s="285">
        <f>IF(CN$3=$K210,IF($C210="W",1,IF($C210="1/2W",0.5,0)),0)</f>
        <v>0</v>
      </c>
      <c r="CO210" s="285">
        <f>IF(CN$3=$K210,IF($C210="L",1,IF($C210="1/2L",0.5,0)),0)</f>
        <v>0</v>
      </c>
      <c r="CP210" s="285">
        <f>IF(CP$3=$K210,IF($C210="W",1,IF($C210="1/2W",0.5,0)),0)</f>
        <v>0</v>
      </c>
      <c r="CQ210" s="285">
        <f>IF(CP$3=$K210,IF($C210="L",1,IF($C210="1/2L",0.5,0)),0)</f>
        <v>0</v>
      </c>
      <c r="CR210" s="285">
        <f>IF(CR$3=$K210,IF($C210="W",1,IF($C210="1/2W",0.5,0)),0)</f>
        <v>0</v>
      </c>
      <c r="CS210" s="285">
        <f>IF(CR$3=$K210,IF($C210="L",1,IF($C210="1/2L",0.5,0)),0)</f>
        <v>0</v>
      </c>
      <c r="CT210" s="145">
        <f>IF(CT$3=$K210,IF($C210="W",1,IF($C210="1/2W",0.5,0)),0)</f>
        <v>0</v>
      </c>
      <c r="CU210" s="146">
        <f>IF(CT$3=$K210,IF($C210="L",1,IF($C210="1/2L",0.5,0)),0)</f>
        <v>0</v>
      </c>
      <c r="CV210" s="146">
        <f>IF(CV$3=$K210,IF($C210="W",1,IF($C210="1/2W",0.5,0)),0)</f>
        <v>0</v>
      </c>
      <c r="CW210" s="146">
        <f>IF(CV$3=$K210,IF($C210="L",1,IF($C210="1/2L",0.5,0)),0)</f>
        <v>0</v>
      </c>
      <c r="CX210" s="146">
        <f>IF(CX$3=$K210,IF($C210="W",1,IF($C210="1/2W",0.5,0)),0)</f>
        <v>0</v>
      </c>
      <c r="CY210" s="146">
        <f>IF(CX$3=$K210,IF($C210="L",1,IF($C210="1/2L",0.5,0)),0)</f>
        <v>0</v>
      </c>
      <c r="CZ210" s="146">
        <f>IF(CZ$3=$K210,IF($C210="W",1,IF($C210="1/2W",0.5,0)),0)</f>
        <v>0</v>
      </c>
      <c r="DA210" s="146">
        <f>IF(CZ$3=$K210,IF($C210="L",1,IF($C210="1/2L",0.5,0)),0)</f>
        <v>0</v>
      </c>
      <c r="DB210" s="146">
        <f>IF(DB$3=$K210,IF($C210="W",1,IF($C210="1/2W",0.5,0)),0)</f>
        <v>0</v>
      </c>
      <c r="DC210" s="146">
        <f>IF(DB$3=$K210,IF($C210="L",1,IF($C210="1/2L",0.5,0)),0)</f>
        <v>0</v>
      </c>
      <c r="DD210" s="146">
        <f>IF(DD$3=$K210,IF($C210="W",1,IF($C210="1/2W",0.5,0)),0)</f>
        <v>0</v>
      </c>
      <c r="DE210" s="147">
        <f>IF(DD$3=$K210,IF($C210="L",1,IF($C210="1/2L",0.5,0)),0)</f>
        <v>0</v>
      </c>
      <c r="DF210" s="143">
        <f>IF(AND(L210&lt;DF$3,$C210="W"),1+DF209,DF209)</f>
        <v>8</v>
      </c>
      <c r="DG210" s="133">
        <f>IF(DF210&gt;DF209,L210+DG209,DG209)</f>
        <v>10.598</v>
      </c>
      <c r="DH210" s="146">
        <f>IF(AND(L210&gt;DH$3,$C210="W"),1+DH209,0+DH209)</f>
        <v>3</v>
      </c>
      <c r="DI210" s="133">
        <f>IF(DH210&gt;DH209,L210+DI209,DI209)</f>
        <v>15.98</v>
      </c>
      <c r="DJ210" t="s" s="304">
        <f>IF($D208="","",$D208)</f>
        <v>184</v>
      </c>
      <c r="DK210" s="286"/>
    </row>
    <row r="211" ht="14.55" customHeight="1">
      <c r="A211" s="171">
        <f>$A208+1</f>
        <v>70</v>
      </c>
      <c r="B211" t="s" s="172">
        <f>IF(AND(_xlfn.XLOOKUP(H211,H91:H$97,G91:G$97,0)=G211,_xlfn.XLOOKUP("TempoBet",K211:K213,L211:L213,0)&gt;0),"X",IF(OR(C211="W",C212="W",C213="W",C211="1/2W",C212="1/2W",C213="1/2W",C211="1/2L",C212="1/2L",C213="1/2L"),"OK",IF(OR(C211="L",C212="L",C213="L"),"LOSS",IF(OR(C211="X",C212="X",C213="X"),"Anulado"," "))))</f>
        <v>50</v>
      </c>
      <c r="C211" t="s" s="173">
        <v>56</v>
      </c>
      <c r="D211" t="s" s="305">
        <f>IF(G211="","",$D208)</f>
        <v>184</v>
      </c>
      <c r="E211" t="s" s="175">
        <f>IF(G211=""," ","– "&amp;COUNTIF(D20:D$195,$D211))</f>
        <v>96</v>
      </c>
      <c r="F211" t="s" s="176"/>
      <c r="G211" s="177">
        <v>44945.375</v>
      </c>
      <c r="H211" t="s" s="178">
        <v>219</v>
      </c>
      <c r="I211" s="298">
        <v>1</v>
      </c>
      <c r="J211" s="180"/>
      <c r="K211" t="s" s="181">
        <v>48</v>
      </c>
      <c r="L211" s="182">
        <v>1.83</v>
      </c>
      <c r="M211" s="183"/>
      <c r="N211" s="184">
        <v>0.1</v>
      </c>
      <c r="O211" s="185">
        <f>IF(OR(AE211="",AE212=""),"",ROUND(IF(L213&gt;0,IF(M211&gt;0,M211,IF(M212&gt;0,ROUND((M212*AE211)/AE212,IF(N211=0,2,IF(N211=0.1,1,0))),ROUND((M213*AE211)/AE213,IF(N211=0,2,IF(N211=0.1,1,0))))),IF(M211&gt;0,M211,ROUND((M212*AE211)/AE212,IF(N211=0,2,IF(N211=0.1,1,0))))),2))</f>
        <v>15.6</v>
      </c>
      <c r="P211" s="186">
        <f>IF(OR(L211="",O211=""),"",IF($C211="1/2W",O211/2+O211/2*L211,IF($C211="1/2L",O211/2,IF(I211="Lay",(O211*(L211/(L211-1))-O211)*(1-_xlfn.XLOOKUP(K211,'Janeiro 2023 - Valor Real'!A3:A15,'Janeiro 2023 - Valor Real'!C3:C15,0))+O211,(O211*L211-O211)*(1-_xlfn.XLOOKUP(K211,'Janeiro 2023 - Valor Real'!A3:A15,'Janeiro 2023 - Valor Real'!C3:C15,0))+O211))))</f>
        <v>28.548</v>
      </c>
      <c r="Q211" s="187">
        <f>IF(K211="","",IF(_xlfn.XLOOKUP(K211,K91:K$97,DJ91:DJ$97,0,,-1)=DJ211,_xlfn.XLOOKUP(K211,K91:K$97,Q91:Q$97,1,,-1)+1,1))</f>
        <v>1</v>
      </c>
      <c r="R211" s="188">
        <f>IF(K211="","",_xlfn.XLOOKUP(K211,K91:K$97,R91:R$97,0,,-1)+IF($C211=" ",1,0))</f>
        <v>0</v>
      </c>
      <c r="S211" s="189">
        <f>IF($B211="Anulado",0,ROUND(IF(OR($B211="LOSS",$B211="OK"),IF(OR($C211="W",$C211="1/2W",$C211="1/2L"),P211-O211,IF($C211="L",-O211,0))+IF(OR($C212="W",$C212="1/2W",$C212="1/2L"),P212-O212,IF($C212="L",-O212,0))+IF(OR($C213="W",$C213="1/2W",$C213="1/2L"),P213-O213,IF($C213="L",-O213,0)),IF(AND(OR($C211="W",$C211="1/2W",$C211="1/2L"),C212="W"),P211+P212-SUM(O211:O213)+_xlfn.XLOOKUP("X",C211:C213,O211:O213,0),IF(AND(C211=TRUE,C213="W"),P211+P213-SUM(O211:O213),IF(AND(C212="W",C213="W"),P212+P213-SUM(O211:O213)+_xlfn.XLOOKUP("X",C211:C213,O211:O213,0),IF(L213&gt;0,IF(OR($C211="W",$C211="1/2W",$C211="1/2L"),P211-SUM(O211:O213)+_xlfn.XLOOKUP("X",C211:C213,O211:O213,0),IF(OR($C211="W",$C211="1/2W",$C211="1/2L"),P212-SUM(O211:O213)+_xlfn.XLOOKUP("X",C211:C213,O211:O213,0),IF(OR($C211="W",$C211="1/2W",$C211="1/2L"),P213-SUM(O211:O213)+_xlfn.XLOOKUP("X",C211:C213,O211:O213,0),IF(SUM(P211:P213)/3-SUM(O211:O213)+_xlfn.XLOOKUP("X",C211:C213,O211:O213,0)&gt;0,SUM(P211:P213)/3-SUM(O211:O213)+_xlfn.XLOOKUP("X",C211:C213,O211:O213,0),LARGE(P211:P213,1)-SUM(O211:O213))))),IF(OR($C211="W",$C211="1/2W",$C211="1/2L"),P211-SUM(O211:O212)+_xlfn.XLOOKUP("X",C211:C213,O211:O213,0),IF(OR($C211="W",$C211="1/2W",$C211="1/2L"),P212-SUM(O211:O212)+_xlfn.XLOOKUP("X",C211:C213,O211:O213,0),SUM(P211:P212)/2-SUM(O211:O212)+_xlfn.XLOOKUP("X",C211:C213,O211:O213,0)))))))),2))</f>
        <v>1.31</v>
      </c>
      <c r="T211" s="190">
        <f>IF(S211=0,0,S211/SUM(O211:O213))</f>
        <v>0.0480910425844347</v>
      </c>
      <c r="U211" s="191">
        <f>IF($D211=$D208,IF(OR($B211="LOSS",$B211="OK",$B211="Anulada"),S211,0)+U208,IF(OR($B211="LOSS",$B211="OK",$B211="Anulada"),S211,0))</f>
        <v>31.19</v>
      </c>
      <c r="V211" s="191">
        <f>IF($D211="",0,IF($D211=$D208,IF($B211=" ",IF(I213="",IF(OR(AND(I211="DNB1",I212="DNB2"),AND(OR(I211="DNB1",I211="DNB2"),J212=0),AND(OR(I212="DNB1",I212="DNB2"),J211=0),AND(I211="DNB2",I212="DNB1"),AND(IF(J211=0,(J211+1)/ROUND(J211+1,0),J211/ROUND(J211,0))=1,IF(J212=0,(J212+1)/ROUND(IF(J212="",0,J212)+1,0),IF(J212="",0,J212)/ROUND(IF(J212="",1,J212),0))=1,OR(J211&lt;&gt;""),J212&lt;&gt;"")),0,IF(S211&lt;0,IF(I213="",SMALL(P211:P212,1)-SUM(O211:O212),0),SMALL(P211:P212,1)-SUM(O211:O212))),IF(S211&lt;0,IF(I213="",SMALL(P211:P213,1)-SUM(O211:O213),0),LARGE(P211:P213,1)-SUM(O211:O213))),S211)+V208,IF(I213="",IF(OR(AND(I211="DNB1",I212="DNB2"),AND(OR(I211="DNB1",I211="DNB2"),J212=0),AND(OR(I212="DNB1",I212="DNB2"),J211=0),AND(I211="DNB2",I212="DNB1"),AND(IF(J211=0,(J211+1)/ROUND(J211+1,0),J211/ROUND(J211,0))=1,IF(J212=0,(IF(J212="",0,J212)+1)/ROUND(IF(J212="",0,J212)+1,0),IF(J212="",0,J212)/ROUND(IF(J212="",0,J212)+1,0))=1,OR(J211&lt;&gt;""),J212&lt;&gt;"")),0,IF(S211&lt;0,IF(I213="",SMALL(P211:P212,1)-SUM(O211:O212),0),SMALL(P211:P213,1)-SUM(O211:O213))),IF(S211&lt;0,IF(I213="",SMALL(P211:P213,1)-SUM(O211:O213),0),LARGE(P211:P213,1)-SUM(O211:O213)))))</f>
        <v>31.1875</v>
      </c>
      <c r="W211" s="191">
        <f>IF($D211=$D208,IF(S211&lt;0,IF(I213="",S211,0),S211)+W208,S211)</f>
        <v>31.19</v>
      </c>
      <c r="X211" t="s" s="192">
        <f>IF(OR(SUM(R211:R213)=0,V211=W211),ROUND(IF(W211=0,0,W211/Y211)*100,2)&amp;"%",ROUND(IF(V211=0,0,V211/Y211)*100,2)&amp;"% a "&amp;ROUND(IF(W211=0,0,W211/Y211)*100,2)&amp;"%")</f>
        <v>220</v>
      </c>
      <c r="Y211" s="193">
        <f>IF($D211=$D208,Y208+SUM(O211:O213),SUM(O211:O213))</f>
        <v>737.8</v>
      </c>
      <c r="Z211" s="191">
        <f>IF($B211=" ",SUM(O211:O213),0)+Z208</f>
        <v>0</v>
      </c>
      <c r="AA211" s="191">
        <f>IF(G211="","",IF($B211="Anulado",LARGE(P211:P213,1)-SUM(O211:O213)+AA208,AA208))</f>
        <v>16.5099</v>
      </c>
      <c r="AB211" s="191">
        <f>IF($D211="","",AB208+S211)</f>
        <v>156.3</v>
      </c>
      <c r="AC211" s="194">
        <f>IF($D211="","",IF($B211=" ",IF(DAY(G211)=DAY(TODAY()),1+AC208,0+AC208),0+AC208))</f>
        <v>0</v>
      </c>
      <c r="AD211" s="195">
        <f>(((L212/(L212-1)-1)*(1-_xlfn.XLOOKUP(K212,'Janeiro 2023 - Valor Real'!A3:A15,'Janeiro 2023 - Valor Real'!C3:C15,0))+1))/(((L211-1)*(1-_xlfn.XLOOKUP(K211,'Janeiro 2023 - Valor Real'!A3:A15,'Janeiro 2023 - Valor Real'!C3:C15,0))+1)+((L212/(L212-1)-1)*(1-_xlfn.XLOOKUP(K212,'Janeiro 2023 - Valor Real'!A3:A15,'Janeiro 2023 - Valor Real'!C3:C15,0))+1))</f>
        <v>0.480062702067209</v>
      </c>
      <c r="AE211" s="196">
        <f>IF(L211="","",IF(L213&gt;0,(SUM(((L211-1)*(1-_xlfn.XLOOKUP(K211,'Janeiro 2023 - Valor Real'!A3:A15,'Janeiro 2023 - Valor Real'!C3:C15,0))+1),((L212-1)*(1-_xlfn.XLOOKUP(K212,'Janeiro 2023 - Valor Real'!A3:A15,'Janeiro 2023 - Valor Real'!C3:C15,0))+1),((L213-1)*(1-_xlfn.XLOOKUP(K213,'Janeiro 2023 - Valor Real'!A3:A15,'Janeiro 2023 - Valor Real'!C3:C15,0))+1))/((L211-1)*(1-_xlfn.XLOOKUP(K211,'Janeiro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Real'!C3:C15,0))+1))/((L211-1)*(1-_xlfn.XLOOKUP(K211,'Janeiro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Real'!C3:C15,0))+1))/((L212-1)*(1-_xlfn.XLOOKUP(K212,'Janeiro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Real'!C3:C15,0))+1))/((L213-1)*(1-_xlfn.XLOOKUP(K213,'Janeiro 2023 - Valor Real'!A3:A15,'Janeiro 2023 - Valor Real'!C3:C15,0))+1)),IF(I211="Lay",IF(I212="Lay",((L212/(L212-1)-1)*(1-_xlfn.XLOOKUP(K212,'Janeiro 2023 - Valor Real'!A3:A15,'Janeiro 2023 - Valor Real'!C3:C15,0))+1)/(((L212/(L212-1)-1)*(1-_xlfn.XLOOKUP(K212,'Janeiro 2023 - Valor Real'!A3:A15,'Janeiro 2023 - Valor Real'!C3:C15,0))+1)+((L211/(L211-1)-1)*(1-_xlfn.XLOOKUP(K211,'Janeiro 2023 - Valor Real'!A3:A15,'Janeiro 2023 - Valor Real'!C3:C15,0))+1)),((L212-1)*(1-_xlfn.XLOOKUP(K212,'Janeiro 2023 - Valor Real'!A3:A15,'Janeiro 2023 - Valor Real'!C3:C15,0))+1)/(((L212-1)*(1-_xlfn.XLOOKUP(K212,'Janeiro 2023 - Valor Real'!A3:A15,'Janeiro 2023 - Valor Real'!C3:C15,0))+1)+((L211/(L211-1)-1)*(1-_xlfn.XLOOKUP(K211,'Janeiro 2023 - Valor Real'!A3:A15,'Janeiro 2023 - Valor Real'!C3:C15,0))+1))),IF(I212="Lay",(((L212/(L212-1)-1)*(1-_xlfn.XLOOKUP(K212,'Janeiro 2023 - Valor Real'!A3:A15,'Janeiro 2023 - Valor Real'!C3:C15,0))+1))/(((L211-1)*(1-_xlfn.XLOOKUP(K211,'Janeiro 2023 - Valor Real'!A3:A15,'Janeiro 2023 - Valor Real'!C3:C15,0))+1)+((L212/(L212-1)-1)*(1-_xlfn.XLOOKUP(K212,'Janeiro 2023 - Valor Real'!A3:A15,'Janeiro 2023 - Valor Real'!C3:C15,0))+1)),((L212-1)*(1-_xlfn.XLOOKUP(K212,'Janeiro 2023 - Valor Real'!A3:A15,'Janeiro 2023 - Valor Real'!C3:C15,0))+1)/(((L212-1)*(1-_xlfn.XLOOKUP(K212,'Janeiro 2023 - Valor Real'!A3:A15,'Janeiro 2023 - Valor Real'!C3:C15,0))+1)+((L211-1)*(1-_xlfn.XLOOKUP(K211,'Janeiro 2023 - Valor Real'!A3:A15,'Janeiro 2023 - Valor Real'!C3:C15,0))+1))))))</f>
        <v>0.5724299065420561</v>
      </c>
      <c r="AF211" s="197">
        <f>IF($K211=AF$3,ROUND(IF(OR($C211="W",$C211="1/2W",$C211="1/2L"),$P211-$O211,IF($C211="X",0,-$O211)),2),0)</f>
        <v>0</v>
      </c>
      <c r="AG211" s="198">
        <f>IF($K211=AG$3,ROUND(IF(OR($C211="W",$C211="1/2W",$C211="1/2L"),$P211-$O211,IF($C211="X",0,-$O211)),2),0)</f>
        <v>0</v>
      </c>
      <c r="AH211" s="198">
        <f>IF($K211=AH$3,ROUND(IF(OR($C211="W",$C211="1/2W",$C211="1/2L"),$P211-$O211,IF($C211="X",0,-$O211)),2),0)</f>
        <v>0</v>
      </c>
      <c r="AI211" s="198">
        <f>IF($K211=AI$3,ROUND(IF(OR($C211="W",$C211="1/2W",$C211="1/2L"),$P211-$O211,IF($C211="X",0,-$O211)),2),0)</f>
        <v>0</v>
      </c>
      <c r="AJ211" s="198">
        <f>IF($K211=AJ$3,ROUND(IF(OR($C211="W",$C211="1/2W",$C211="1/2L"),$P211-$O211,IF($C211="X",0,-$O211)),2),0)</f>
        <v>0</v>
      </c>
      <c r="AK211" s="198">
        <f>IF($K211=AK$3,ROUND(IF(OR($C211="W",$C211="1/2W",$C211="1/2L"),$P211-$O211,IF($C211="X",0,-$O211)),2),0)</f>
        <v>0</v>
      </c>
      <c r="AL211" s="198">
        <f>IF($K211=AL$3,ROUND(IF(OR($C211="W",$C211="1/2W",$C211="1/2L"),$P211-$O211,IF($C211="X",0,-$O211)),2),0)</f>
        <v>0</v>
      </c>
      <c r="AM211" s="198">
        <f>IF($K211=AM$3,ROUND(IF(OR($C211="W",$C211="1/2W",$C211="1/2L"),$P211-$O211,IF($C211="X",0,-$O211)),2),0)</f>
        <v>0</v>
      </c>
      <c r="AN211" s="198">
        <f>IF($K211=AN$3,ROUND(IF(OR($C211="W",$C211="1/2W",$C211="1/2L"),$P211-$O211,IF($C211="X",0,-$O211)),2),0)</f>
        <v>0</v>
      </c>
      <c r="AO211" s="198">
        <f>IF($K211=AO$3,ROUND(IF(OR($C211="W",$C211="1/2W",$C211="1/2L"),$P211-$O211,IF($C211="X",0,-$O211)),2),0)</f>
        <v>0</v>
      </c>
      <c r="AP211" s="198">
        <f>IF($K211=AP$3,ROUND(IF(OR($C211="W",$C211="1/2W",$C211="1/2L"),$P211-$O211,IF($C211="X",0,-$O211)),2),0)</f>
        <v>0</v>
      </c>
      <c r="AQ211" s="198">
        <f>IF($K211=AQ$3,ROUND(IF(OR($C211="W",$C211="1/2W",$C211="1/2L"),$P211-$O211,IF($C211="X",0,-$O211)),2),0)</f>
        <v>12.95</v>
      </c>
      <c r="AR211" s="199">
        <f>IF($K211=AR$3,ROUND(IF(OR($C211="W",$C211="1/2W",$C211="1/2L"),$P211-$O211,IF($C211="X",0,-$O211)),2),0)</f>
        <v>0</v>
      </c>
      <c r="AS211" s="197">
        <f>IF(AND($B211=" ",$K211=AS$3),$O211,0)</f>
        <v>0</v>
      </c>
      <c r="AT211" s="198">
        <f>IF(AND($B211=" ",$K211=AT$3),$O211,0)</f>
        <v>0</v>
      </c>
      <c r="AU211" s="198">
        <f>IF(AND($B211=" ",$K211=AU$3),$O211,0)</f>
        <v>0</v>
      </c>
      <c r="AV211" s="198">
        <f>IF(AND($B211=" ",$K211=AV$3),$O211,0)</f>
        <v>0</v>
      </c>
      <c r="AW211" s="198">
        <f>IF(AND($B211=" ",$K211=AW$3),$O211,0)</f>
        <v>0</v>
      </c>
      <c r="AX211" s="198">
        <f>IF(AND($B211=" ",$K211=AX$3),$O211,0)</f>
        <v>0</v>
      </c>
      <c r="AY211" s="200">
        <f>IF(AND($B211=" ",$K211=AY$3),$O211,0)</f>
        <v>0</v>
      </c>
      <c r="AZ211" s="201">
        <f>IF(AND($B211=" ",$K211=AZ$3),$O211,0)</f>
        <v>0</v>
      </c>
      <c r="BA211" s="201">
        <f>IF(AND($B211=" ",$K211=BA$3),$O211,0)</f>
        <v>0</v>
      </c>
      <c r="BB211" s="201">
        <f>IF(AND($B211=" ",$K211=BB$3),$O211,0)</f>
        <v>0</v>
      </c>
      <c r="BC211" s="202">
        <f>IF(AND($B211=" ",$K211=BC$3),$O211,0)</f>
        <v>0</v>
      </c>
      <c r="BD211" s="198">
        <f>IF(AND($B211=" ",$K211=BD$3),$O211,0)</f>
        <v>0</v>
      </c>
      <c r="BE211" s="199">
        <f>IF(AND($B211=" ",$K211=BE$3),$O211,0)</f>
        <v>0</v>
      </c>
      <c r="BF211" s="203">
        <f>IF($K211=BF$3,IF($C211="X",0,$O211),0)</f>
        <v>0</v>
      </c>
      <c r="BG211" s="198">
        <f>IF($K211=BG$3,IF($C211="X",0,$O211),0)</f>
        <v>0</v>
      </c>
      <c r="BH211" s="198">
        <f>IF($K211=BH$3,IF($C211="X",0,$O211),0)</f>
        <v>0</v>
      </c>
      <c r="BI211" s="198">
        <f>IF($K211=BI$3,IF($C211="X",0,$O211),0)</f>
        <v>0</v>
      </c>
      <c r="BJ211" s="198">
        <f>IF($K211=BJ$3,IF($C211="X",0,$O211),0)</f>
        <v>0</v>
      </c>
      <c r="BK211" s="198">
        <f>IF($K211=BK$3,IF($C211="X",0,$O211),0)</f>
        <v>0</v>
      </c>
      <c r="BL211" s="198">
        <f>IF($K211=BL$3,IF($C211="X",0,$O211),0)</f>
        <v>0</v>
      </c>
      <c r="BM211" s="200">
        <f>IF($K211=BM$3,IF($C211="X",0,$O211),0)</f>
        <v>0</v>
      </c>
      <c r="BN211" s="201">
        <f>IF($K211=BN$3,IF($C211="X",0,$O211),0)</f>
        <v>0</v>
      </c>
      <c r="BO211" s="201">
        <f>IF($K211=BO$3,IF($C211="X",0,$O211),0)</f>
        <v>0</v>
      </c>
      <c r="BP211" s="201">
        <f>IF($K211=BP$3,IF($C211="X",0,$O211),0)</f>
        <v>0</v>
      </c>
      <c r="BQ211" s="202">
        <f>IF($K211=BQ$3,IF($C211="X",0,$O211),0)</f>
        <v>15.6</v>
      </c>
      <c r="BR211" s="199">
        <f>IF($K211=BR$3,IF($C211="X",0,$O211),0)</f>
        <v>0</v>
      </c>
      <c r="BS211" s="204">
        <f>IF($B211="LOSS",IF(AND($K211=BS$3,$C211="L"),-$O211,0)+IF(AND($K212=BS$3,$C212="L"),-$O212,0)+IF(AND($K213=BS$3,$C213="L"),-$O213,0),IF(OR(AND($K211=BS$3,OR($C211="W",$C211="1/2W")),AND($K212=BS$3,OR($C212="W",$C212="1/2W")),AND($K213=BS$3,OR($C213="W",$C213="1/2W"))),$S211,0))</f>
        <v>0</v>
      </c>
      <c r="BT211" s="201">
        <f>IF($B211="LOSS",IF(AND($K211=BT$3,$C211="L"),-$O211,0)+IF(AND($K212=BT$3,$C212="L"),-$O212,0)+IF(AND($K212=BT$3,$C213="L"),-$O213,0),IF(OR(AND($K212=BT$3,OR($C211="W",$C211="1/2W")),AND($K212=BT$3,OR($C212="W",$C212="1/2W")),AND($K212=BT$3,OR($C213="W",$C213="1/2W"))),$S211,0))</f>
        <v>0</v>
      </c>
      <c r="BU211" s="201">
        <f>IF($B211="LOSS",IF(AND($K211=BU$3,$C211="L"),-$O211,0)+IF(AND($K212=BU$3,$C212="L"),-$O212,0)+IF(AND($K212=BU$3,$C213="L"),-$O213,0),IF(OR(AND($K212=BU$3,OR($C211="W",$C211="1/2W")),AND($K212=BU$3,OR($C212="W",$C212="1/2W")),AND($K212=BU$3,OR($C213="W",$C213="1/2W"))),$S211,0))</f>
        <v>0</v>
      </c>
      <c r="BV211" s="201">
        <f>IF($B211="LOSS",IF(AND($K211=BV$3,$C211="L"),-$O211,0)+IF(AND($K212=BV$3,$C212="L"),-$O212,0)+IF(AND($K213=BV$3,$C213="L"),-$O213,0),IF(OR(AND($K211=BV$3,OR($C211="W",$C211="1/2W")),AND($K212=BV$3,OR($C212="W",$C212="1/2W")),AND($K213=BV$3,OR($C213="W",$C213="1/2W"))),$S211,0))</f>
        <v>0</v>
      </c>
      <c r="BW211" s="201">
        <f>IF($B211="LOSS",IF(AND($K211=BW$3,$C211="L"),-$O211,0)+IF(AND($K212=BW$3,$C212="L"),-$O212,0)+IF(AND($K213=BW$3,$C213="L"),-$O213,0),IF(OR(AND($K211=BW$3,OR($C211="W",$C211="1/2W")),AND($K212=BW$3,OR($C212="W",$C212="1/2W")),AND($K213=BW$3,OR($C213="W",$C213="1/2W"))),$S211,0))</f>
        <v>0</v>
      </c>
      <c r="BX211" s="201">
        <f>IF($B211="LOSS",IF(AND($K211=BX$3,$C211="L"),-$O211,0)+IF(AND($K212=BX$3,$C212="L"),-$O212,0)+IF(AND($K213=BX$3,$C213="L"),-$O213,0),IF(OR(AND($K211=BX$3,OR($C211="W",$C211="1/2W")),AND($K212=BX$3,OR($C212="W",$C212="1/2W")),AND($K213=BX$3,OR($C213="W",$C213="1/2W"))),$S211,0))</f>
        <v>0</v>
      </c>
      <c r="BY211" s="201">
        <f>IF($B211="LOSS",IF(AND($K211=BY$3,$C211="L"),-$O211,0)+IF(AND($K212=BY$3,$C212="L"),-$O212,0)+IF(AND($K213=BY$3,$C213="L"),-$O213,0),IF(OR(AND($K211=BY$3,OR($C211="W",$C211="1/2W")),AND($K212=BY$3,OR($C212="W",$C212="1/2W")),AND($K213=BY$3,OR($C213="W",$C213="1/2W"))),$S211,0))</f>
        <v>0</v>
      </c>
      <c r="BZ211" s="205">
        <f>IF($B211="LOSS",IF(AND($K211=BZ$3,$C211="L"),-$O211,0)+IF(AND($K212=BZ$3,$C212="L"),-$O212,0)+IF(AND($K213=BZ$3,$C213="L"),-$O213,0),IF(OR(AND($K211=BZ$3,OR($C211="W",$C211="1/2W")),AND($K212=BZ$3,OR($C212="W",$C212="1/2W")),AND($K213=BZ$3,OR($C213="W",$C213="1/2W"))),$S211,0))</f>
        <v>0</v>
      </c>
      <c r="CA211" s="205">
        <f>IF($B211="LOSS",IF(AND($K211=CA$3,$C211="L"),-$O211,0)+IF(AND($K212=CA$3,$C212="L"),-$O212,0)+IF(AND($K213=CA$3,$C213="L"),-$O213,0),IF(OR(AND($K211=CA$3,OR($C211="W",$C211="1/2W")),AND($K212=CA$3,OR($C212="W",$C212="1/2W")),AND($K213=CA$3,OR($C213="W",$C213="1/2W"))),$S211,0))</f>
        <v>0</v>
      </c>
      <c r="CB211" s="205">
        <f>IF($B211="LOSS",IF(AND($K211=CB$3,$C211="L"),-$O211,0)+IF(AND($K212=CB$3,$C212="L"),-$O212,0)+IF(AND($K213=CB$3,$C213="L"),-$O213,0),IF(OR(AND($K211=CB$3,OR($C211="W",$C211="1/2W")),AND($K212=CB$3,OR($C212="W",$C212="1/2W")),AND($K213=CB$3,OR($C213="W",$C213="1/2W"))),$S211,0))</f>
        <v>0</v>
      </c>
      <c r="CC211" s="205">
        <f>IF($B211="LOSS",IF(AND($K211=CC$3,$C211="L"),-$O211,0)+IF(AND($K212=CC$3,$C212="L"),-$O212,0)+IF(AND($K213=CC$3,$C213="L"),-$O213,0),IF(OR(AND($K211=CC$3,OR($C211="W",$C211="1/2W")),AND($K212=CC$3,OR($C212="W",$C212="1/2W")),AND($K213=CC$3,OR($C213="W",$C213="1/2W"))),$S211,0))</f>
        <v>0</v>
      </c>
      <c r="CD211" s="202">
        <f>IF($B211="LOSS",IF(AND($K211=CD$3,$C211="L"),-$O211,0)+IF(AND($K212=CD$3,$C212="L"),-$O212,0)+IF(AND($K213=CD$3,$C213="L"),-$O213,0),IF(OR(AND($K211=CD$3,OR($C211="W",$C211="1/2W")),AND($K212=CD$3,OR($C212="W",$C212="1/2W")),AND($K213=CD$3,OR($C213="W",$C213="1/2W"))),$S211,0))</f>
        <v>1.31</v>
      </c>
      <c r="CE211" s="199">
        <f>IF($B211="LOSS",IF(AND($K211=CE$3,$C211="L"),-$O211,0)+IF(AND($K212=CE$3,$C212="L"),-$O212,0)+IF(AND($K213=CE$3,$C213="L"),-$O213,0),IF(OR(AND($K211=CE$3,OR($C211="W",$C211="1/2W")),AND($K212=CE$3,OR($C212="W",$C212="1/2W")),AND($K213=CE$3,OR($C213="W",$C213="1/2W"))),$S211,0))</f>
        <v>0</v>
      </c>
      <c r="CF211" s="206">
        <f>IF(CF$3=$K211,IF($C211="W",1,IF($C211="1/2W",0.5,0)),0)</f>
        <v>0</v>
      </c>
      <c r="CG211" s="207">
        <f>IF(CF$3=$K211,IF($C211="L",1,IF($C211="1/2L",0.5,0)),0)</f>
        <v>0</v>
      </c>
      <c r="CH211" s="207">
        <f>IF(CH$3=$K211,IF($C211="W",1,IF($C211="1/2W",0.5,0)),0)</f>
        <v>0</v>
      </c>
      <c r="CI211" s="207">
        <f>IF(CH$3=$K211,IF($C211="L",1,IF($C211="1/2L",0.5,0)),0)</f>
        <v>0</v>
      </c>
      <c r="CJ211" s="207">
        <f>IF(CJ$3=$K211,IF($C211="W",1,IF($C211="1/2W",0.5,0)),0)</f>
        <v>0</v>
      </c>
      <c r="CK211" s="207">
        <f>IF(CJ$3=$K211,IF($C211="L",1,IF($C211="1/2L",0.5,0)),0)</f>
        <v>0</v>
      </c>
      <c r="CL211" s="207">
        <f>IF(CL$3=$K211,IF($C211="W",1,IF($C211="1/2W",0.5,0)),0)</f>
        <v>0</v>
      </c>
      <c r="CM211" s="207">
        <f>IF(CL$3=$K211,IF($C211="L",1,IF($C211="1/2L",0.5,0)),0)</f>
        <v>0</v>
      </c>
      <c r="CN211" s="207">
        <f>IF(CN$3=$K211,IF($C211="W",1,IF($C211="1/2W",0.5,0)),0)</f>
        <v>0</v>
      </c>
      <c r="CO211" s="207">
        <f>IF(CN$3=$K211,IF($C211="L",1,IF($C211="1/2L",0.5,0)),0)</f>
        <v>0</v>
      </c>
      <c r="CP211" s="207">
        <f>IF(CP$3=$K211,IF($C211="W",1,IF($C211="1/2W",0.5,0)),0)</f>
        <v>0</v>
      </c>
      <c r="CQ211" s="207">
        <f>IF(CP$3=$K211,IF($C211="L",1,IF($C211="1/2L",0.5,0)),0)</f>
        <v>0</v>
      </c>
      <c r="CR211" s="207">
        <f>IF(CR$3=$K211,IF($C211="W",1,IF($C211="1/2W",0.5,0)),0)</f>
        <v>0</v>
      </c>
      <c r="CS211" s="207">
        <f>IF(CR$3=$K211,IF($C211="L",1,IF($C211="1/2L",0.5,0)),0)</f>
        <v>0</v>
      </c>
      <c r="CT211" s="208">
        <f>IF(CT$3=$K211,IF($C211="W",1,IF($C211="1/2W",0.5,0)),0)</f>
        <v>0</v>
      </c>
      <c r="CU211" s="209">
        <f>IF(CT$3=$K211,IF($C211="L",1,IF($C211="1/2L",0.5,0)),0)</f>
        <v>0</v>
      </c>
      <c r="CV211" s="209">
        <f>IF(CV$3=$K211,IF($C211="W",1,IF($C211="1/2W",0.5,0)),0)</f>
        <v>0</v>
      </c>
      <c r="CW211" s="209">
        <f>IF(CV$3=$K211,IF($C211="L",1,IF($C211="1/2L",0.5,0)),0)</f>
        <v>0</v>
      </c>
      <c r="CX211" s="209">
        <f>IF(CX$3=$K211,IF($C211="W",1,IF($C211="1/2W",0.5,0)),0)</f>
        <v>0</v>
      </c>
      <c r="CY211" s="209">
        <f>IF(CX$3=$K211,IF($C211="L",1,IF($C211="1/2L",0.5,0)),0)</f>
        <v>0</v>
      </c>
      <c r="CZ211" s="209">
        <f>IF(CZ$3=$K211,IF($C211="W",1,IF($C211="1/2W",0.5,0)),0)</f>
        <v>0</v>
      </c>
      <c r="DA211" s="209">
        <f>IF(CZ$3=$K211,IF($C211="L",1,IF($C211="1/2L",0.5,0)),0)</f>
        <v>0</v>
      </c>
      <c r="DB211" s="209">
        <f>IF(DB$3=$K211,IF($C211="W",1,IF($C211="1/2W",0.5,0)),0)</f>
        <v>1</v>
      </c>
      <c r="DC211" s="209">
        <f>IF(DB$3=$K211,IF($C211="L",1,IF($C211="1/2L",0.5,0)),0)</f>
        <v>0</v>
      </c>
      <c r="DD211" s="209">
        <f>IF(DD$3=$K211,IF($C211="W",1,IF($C211="1/2W",0.5,0)),0)</f>
        <v>0</v>
      </c>
      <c r="DE211" s="210">
        <f>IF(DD$3=$K211,IF($C211="L",1,IF($C211="1/2L",0.5,0)),0)</f>
        <v>0</v>
      </c>
      <c r="DF211" s="211">
        <f>IF(AND(L211&lt;DF$3,$C211="W"),1+DF210,DF210)</f>
        <v>8</v>
      </c>
      <c r="DG211" s="198">
        <f>IF(DF211&gt;DF210,L211+DG210,DG210)</f>
        <v>10.598</v>
      </c>
      <c r="DH211" s="209">
        <f>IF(AND(L211&gt;DH$3,$C211="W"),1+DH210,0+DH210)</f>
        <v>3</v>
      </c>
      <c r="DI211" s="198">
        <f>IF(DH211&gt;DH210,L211+DI210,DI210)</f>
        <v>15.98</v>
      </c>
      <c r="DJ211" t="s" s="306">
        <f>IF($D211="","",$D211)</f>
        <v>184</v>
      </c>
      <c r="DK211" s="209">
        <f>IF(AND($B211=" ",$D211&lt;&gt;""),1,0)</f>
        <v>0</v>
      </c>
    </row>
    <row r="212" ht="14.55" customHeight="1">
      <c r="A212" s="107"/>
      <c r="B212" s="108"/>
      <c r="C212" t="s" s="213">
        <v>51</v>
      </c>
      <c r="D212" s="110"/>
      <c r="E212" s="111"/>
      <c r="F212" s="113"/>
      <c r="G212" s="214"/>
      <c r="H212" s="114"/>
      <c r="I212" s="299">
        <v>2</v>
      </c>
      <c r="J212" t="s" s="216">
        <f>IF(OR(I211="TO",I211="TU",I211="TO1",I211="TU1",I211="TO2",I211="TU2"),J211,IF(OR(I211="AH1",I211="AH2"),IF(OR(I212="AH1",I212="AH2"),-J211,IF(OR(I212="EH1",I212="EH2"),-J211+0.5,"")),IF(OR(I211="EH1",I211="EH2"),IF(OR(I212="AH1",I212="AH2"),-J211+0.5,IF(OR(I212="EH1",I212="EH2"),-J211+1,"")),IF(AND(OR(I211="DNB1",I211="DNB2"),OR(I212="AH1",I212="AH2")),0,IF(AND(I211="Not ScoreBoth",OR(I212="TO1",I212="TO2")),0.5,"")))))</f>
      </c>
      <c r="K212" t="s" s="217">
        <v>41</v>
      </c>
      <c r="L212" s="218">
        <v>2.45</v>
      </c>
      <c r="M212" s="219">
        <v>11.64</v>
      </c>
      <c r="N212" s="120"/>
      <c r="O212" s="220">
        <f>IF(OR(AE211="",AE212=""),"",ROUND(IF(L213&gt;0,IF(M212&gt;0,M212,IF(M211&gt;0,IF(N211=TRUE,ROUND((M211*AE212)/AE211,0),(M211*AE212)/AE211),IF(M212&gt;0,ROUND(M212,IF(N211=0,2,IF(N211=0.1,1,0))),IF(M213&gt;0,ROUND(O213*AE212/AE213,IF(N211=0,2,IF(N211=0.1,1,0))),0)))),IF(M212&gt;0,M212,ROUND((M211*AE212)/AE211,IF(N211=0,2,IF(N211=0.1,1,0))))),2))</f>
        <v>11.64</v>
      </c>
      <c r="P212" s="221">
        <f>IF(OR(L212="",O212=""),"",IF($C212="1/2W",O212/2+O212/2*L212,IF($C212="1/2L",O212/2,IF(I212="Lay",((O212*(L212/(L212-1)))-O212)*(1-_xlfn.XLOOKUP(K212,'Janeiro 2023 - Valor Real'!A3:A15,'Janeiro 2023 - Valor Real'!C3:C15,0))+O212,(O212*L212-O212)*(1-_xlfn.XLOOKUP(K212,'Janeiro 2023 - Valor Real'!A3:A15,'Janeiro 2023 - Valor Real'!C3:C15,0))+O212))))</f>
        <v>28.518</v>
      </c>
      <c r="Q212" s="222">
        <f>IF(K212="","",IF(_xlfn.XLOOKUP(K212,K92:K$98,DJ92:DJ$98,0,,-1)=DJ212,_xlfn.XLOOKUP(K212,K92:K$98,Q92:Q$98,1,,-1)+1,1))</f>
        <v>1</v>
      </c>
      <c r="R212" s="223">
        <f>IF(K212="","",_xlfn.XLOOKUP(K212,K92:K$98,R92:R$98,0,,-1)+IF($C212=" ",1,0))</f>
        <v>0</v>
      </c>
      <c r="S212" s="125"/>
      <c r="T212" s="126"/>
      <c r="U212" s="126"/>
      <c r="V212" s="224"/>
      <c r="W212" s="126"/>
      <c r="X212" s="127"/>
      <c r="Y212" s="128"/>
      <c r="Z212" s="129"/>
      <c r="AA212" s="129"/>
      <c r="AB212" s="129"/>
      <c r="AC212" s="129"/>
      <c r="AD212" s="225">
        <f>(((L212/(L212-1)-1)*(1-_xlfn.XLOOKUP(K212,'Janeiro 2023 - Valor Real'!A3:A15,'Janeiro 2023 - Valor Real'!C3:C15,0))+1))</f>
        <v>1.68965517241379</v>
      </c>
      <c r="AE212" s="226">
        <f>IF(L212="","",IF(L213&gt;0,(SUM(((L211-1)*(1-_xlfn.XLOOKUP(K211,'Janeiro 2023 - Valor Real'!A3:A15,'Janeiro 2023 - Valor Real'!C3:C15,0))+1),((L212-1)*(1-_xlfn.XLOOKUP(K212,'Janeiro 2023 - Valor Real'!A3:A15,'Janeiro 2023 - Valor Real'!C3:C15,0))+1),((L213-1)*(1-_xlfn.XLOOKUP(K213,'Janeiro 2023 - Valor Real'!A3:A15,'Janeiro 2023 - Valor Real'!C3:C15,0))+1))/((L212-1)*(1-_xlfn.XLOOKUP(K212,'Janeiro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Real'!C3:C15,0))+1))/((L211-1)*(1-_xlfn.XLOOKUP(K211,'Janeiro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Real'!C3:C15,0))+1))/((L212-1)*(1-_xlfn.XLOOKUP(K212,'Janeiro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Real'!C3:C15,0))+1))/((L213-1)*(1-_xlfn.XLOOKUP(K213,'Janeiro 2023 - Valor Real'!A3:A15,'Janeiro 2023 - Valor Real'!C3:C15,0))+1)),IF(I212="Lay",IF(I211="Lay",((L211/(L211-1)-1)*(1-_xlfn.XLOOKUP(K211,'Janeiro 2023 - Valor Real'!A3:A15,'Janeiro 2023 - Valor Real'!C3:C15,0))+1)/(((L211/(L211-1)-1)*(1-_xlfn.XLOOKUP(K211,'Janeiro 2023 - Valor Real'!A3:A15,'Janeiro 2023 - Valor Real'!C3:C15,0))+1)+((L212/(L212-1)-1)*(1-_xlfn.XLOOKUP(K212,'Janeiro 2023 - Valor Real'!A3:A15,'Janeiro 2023 - Valor Real'!C3:C15,0))+1)),((L211-1)*(1-_xlfn.XLOOKUP(K211,'Janeiro 2023 - Valor Real'!A3:A15,'Janeiro 2023 - Valor Real'!C3:C15,0))+1)/(((L211-1)*(1-_xlfn.XLOOKUP(K211,'Janeiro 2023 - Valor Real'!A3:A15,'Janeiro 2023 - Valor Real'!C3:C15,0))+1)+((L212/(L212-1)-1)*(1-_xlfn.XLOOKUP(K212,'Janeiro 2023 - Valor Real'!A3:A15,'Janeiro 2023 - Valor Real'!C3:C15,0))+1))),IF(I211="Lay",((L211/(L211-1)-1)*(1-_xlfn.XLOOKUP(K211,'Janeiro 2023 - Valor Real'!A3:A15,'Janeiro 2023 - Valor Real'!C3:C15,0))+1)/((((L211/(L211-1)-1)*(1-_xlfn.XLOOKUP(K211,'Janeiro 2023 - Valor Real'!A3:A15,'Janeiro 2023 - Valor Real'!C3:C15,0))+1))+((L212-1)*(1-_xlfn.XLOOKUP(K212,'Janeiro 2023 - Valor Real'!A3:A15,'Janeiro 2023 - Valor Real'!C3:C15,0))+1)),((L211-1)*(1-_xlfn.XLOOKUP(K211,'Janeiro 2023 - Valor Real'!A3:A15,'Janeiro 2023 - Valor Real'!C3:C15,0))+1)/(((L211-1)*(1-_xlfn.XLOOKUP(K211,'Janeiro 2023 - Valor Real'!A3:A15,'Janeiro 2023 - Valor Real'!C3:C15,0))+1)+((L212-1)*(1-_xlfn.XLOOKUP(K212,'Janeiro 2023 - Valor Real'!A3:A15,'Janeiro 2023 - Valor Real'!C3:C15,0))+1))))))</f>
        <v>0.427570093457944</v>
      </c>
      <c r="AF212" s="197">
        <f>IF($K212=AF$3,ROUND(IF(OR($C212="W",$C212="1/2W",$C212="1/2L"),$P212-$O212,IF($C212="X",0,-$O212)),2),0)</f>
        <v>0</v>
      </c>
      <c r="AG212" s="198">
        <f>IF($K212=AG$3,ROUND(IF(OR($C212="W",$C212="1/2W",$C212="1/2L"),$P212-$O212,IF($C212="X",0,-$O212)),2),0)</f>
        <v>0</v>
      </c>
      <c r="AH212" s="198">
        <f>IF($K212=AH$3,ROUND(IF(OR($C212="W",$C212="1/2W",$C212="1/2L"),$P212-$O212,IF($C212="X",0,-$O212)),2),0)</f>
        <v>0</v>
      </c>
      <c r="AI212" s="198">
        <f>IF($K212=AI$3,ROUND(IF(OR($C212="W",$C212="1/2W",$C212="1/2L"),$P212-$O212,IF($C212="X",0,-$O212)),2),0)</f>
        <v>0</v>
      </c>
      <c r="AJ212" s="198">
        <f>IF($K212=AJ$3,ROUND(IF(OR($C212="W",$C212="1/2W",$C212="1/2L"),$P212-$O212,IF($C212="X",0,-$O212)),2),0)</f>
        <v>-11.64</v>
      </c>
      <c r="AK212" s="198">
        <f>IF($K212=AK$3,ROUND(IF(OR($C212="W",$C212="1/2W",$C212="1/2L"),$P212-$O212,IF($C212="X",0,-$O212)),2),0)</f>
        <v>0</v>
      </c>
      <c r="AL212" s="198">
        <f>IF($K212=AL$3,ROUND(IF(OR($C212="W",$C212="1/2W",$C212="1/2L"),$P212-$O212,IF($C212="X",0,-$O212)),2),0)</f>
        <v>0</v>
      </c>
      <c r="AM212" s="198">
        <f>IF($K212=AM$3,ROUND(IF(OR($C212="W",$C212="1/2W",$C212="1/2L"),$P212-$O212,IF($C212="X",0,-$O212)),2),0)</f>
        <v>0</v>
      </c>
      <c r="AN212" s="198">
        <f>IF($K212=AN$3,ROUND(IF(OR($C212="W",$C212="1/2W",$C212="1/2L"),$P212-$O212,IF($C212="X",0,-$O212)),2),0)</f>
        <v>0</v>
      </c>
      <c r="AO212" s="198">
        <f>IF($K212=AO$3,ROUND(IF(OR($C212="W",$C212="1/2W",$C212="1/2L"),$P212-$O212,IF($C212="X",0,-$O212)),2),0)</f>
        <v>0</v>
      </c>
      <c r="AP212" s="198">
        <f>IF($K212=AP$3,ROUND(IF(OR($C212="W",$C212="1/2W",$C212="1/2L"),$P212-$O212,IF($C212="X",0,-$O212)),2),0)</f>
        <v>0</v>
      </c>
      <c r="AQ212" s="198">
        <f>IF($K212=AQ$3,ROUND(IF(OR($C212="W",$C212="1/2W",$C212="1/2L"),$P212-$O212,IF($C212="X",0,-$O212)),2),0)</f>
        <v>0</v>
      </c>
      <c r="AR212" s="199">
        <f>IF($K212=AR$3,ROUND(IF(OR($C212="W",$C212="1/2W",$C212="1/2L"),$P212-$O212,IF($C212="X",0,-$O212)),2),0)</f>
        <v>0</v>
      </c>
      <c r="AS212" s="197">
        <f>IF(AND($B211=" ",$K212=AS$3),$O212,0)</f>
        <v>0</v>
      </c>
      <c r="AT212" s="198">
        <f>IF(AND($B211=" ",K212=AT$3),$O212,0)</f>
        <v>0</v>
      </c>
      <c r="AU212" s="198">
        <f>IF(AND($B211=" ",$K212=AU$3),$O212,0)</f>
        <v>0</v>
      </c>
      <c r="AV212" s="198">
        <f>IF(AND($B211=" ",$K212=AV$3),$O212,0)</f>
        <v>0</v>
      </c>
      <c r="AW212" s="198">
        <f>IF(AND($B211=" ",$K212=AW$3),$O212,0)</f>
        <v>0</v>
      </c>
      <c r="AX212" s="198">
        <f>IF(AND($B211=" ",$K212=AX$3),$O212,0)</f>
        <v>0</v>
      </c>
      <c r="AY212" s="200">
        <f>IF(AND($B211=" ",$K212=AY$3),$O212,0)</f>
        <v>0</v>
      </c>
      <c r="AZ212" s="201">
        <f>IF(AND($B211=" ",$K212=AZ$3),$O212,0)</f>
        <v>0</v>
      </c>
      <c r="BA212" s="201">
        <f>IF(AND($B211=" ",$K212=BA$3),$O212,0)</f>
        <v>0</v>
      </c>
      <c r="BB212" s="201">
        <f>IF(AND($B211=" ",$K212=BB$3),$O212,0)</f>
        <v>0</v>
      </c>
      <c r="BC212" s="202">
        <f>IF(AND($B211=" ",$K212=BC$3),$O212,0)</f>
        <v>0</v>
      </c>
      <c r="BD212" s="198">
        <f>IF(AND($B211=" ",$K212=BD$3),$O212,0)</f>
        <v>0</v>
      </c>
      <c r="BE212" s="199">
        <f>IF(AND($B211=" ",$K212=BE$3),$O212,0)</f>
        <v>0</v>
      </c>
      <c r="BF212" s="197">
        <f>IF($K212=BF$3,IF($C212="X",0,$O212),0)</f>
        <v>0</v>
      </c>
      <c r="BG212" s="198">
        <f>IF($K212=BG$3,IF($C212="X",0,$O212),0)</f>
        <v>0</v>
      </c>
      <c r="BH212" s="198">
        <f>IF($K212=BH$3,IF($C212="X",0,$O212),0)</f>
        <v>0</v>
      </c>
      <c r="BI212" s="198">
        <f>IF($K212=BI$3,IF($C212="X",0,$O212),0)</f>
        <v>0</v>
      </c>
      <c r="BJ212" s="198">
        <f>IF($K212=BJ$3,IF($C212="X",0,$O212),0)</f>
        <v>11.64</v>
      </c>
      <c r="BK212" s="198">
        <f>IF($K212=BK$3,IF($C212="X",0,$O212),0)</f>
        <v>0</v>
      </c>
      <c r="BL212" s="198">
        <f>IF($K212=BL$3,IF($C212="X",0,$O212),0)</f>
        <v>0</v>
      </c>
      <c r="BM212" s="227">
        <f>IF($K212=BM$3,IF($C212="X",0,$O212),0)</f>
        <v>0</v>
      </c>
      <c r="BN212" s="205">
        <f>IF($K212=BN$3,IF($C212="X",0,$O212),0)</f>
        <v>0</v>
      </c>
      <c r="BO212" s="205">
        <f>IF($K212=BO$3,IF($C212="X",0,$O212),0)</f>
        <v>0</v>
      </c>
      <c r="BP212" s="205">
        <f>IF($K212=BP$3,IF($C212="X",0,$O212),0)</f>
        <v>0</v>
      </c>
      <c r="BQ212" s="202">
        <f>IF($K212=BQ$3,IF($C212="X",0,$O212),0)</f>
        <v>0</v>
      </c>
      <c r="BR212" s="199">
        <f>IF($K212=BR$3,IF($C212="X",0,$O212),0)</f>
        <v>0</v>
      </c>
      <c r="BS212" s="228"/>
      <c r="BT212" s="229"/>
      <c r="BU212" s="140"/>
      <c r="BV212" s="229"/>
      <c r="BW212" s="140"/>
      <c r="BX212" s="140"/>
      <c r="BY212" s="140"/>
      <c r="BZ212" s="229"/>
      <c r="CA212" s="140"/>
      <c r="CB212" s="140"/>
      <c r="CC212" s="140"/>
      <c r="CD212" s="141"/>
      <c r="CE212" s="142"/>
      <c r="CF212" s="230">
        <f>IF(CF$3=$K212,IF($C212="W",1,IF($C212="1/2W",0.5,0)),0)</f>
        <v>0</v>
      </c>
      <c r="CG212" s="231">
        <f>IF(CF$3=$K212,IF($C212="L",1,IF($C212="1/2L",0.5,0)),0)</f>
        <v>0</v>
      </c>
      <c r="CH212" s="231">
        <f>IF(CH$3=$K212,IF($C212="W",1,IF($C212="1/2W",0.5,0)),0)</f>
        <v>0</v>
      </c>
      <c r="CI212" s="231">
        <f>IF(CH$3=$K212,IF($C212="L",1,IF($C212="1/2L",0.5,0)),0)</f>
        <v>0</v>
      </c>
      <c r="CJ212" s="231">
        <f>IF(CJ$3=$K212,IF($C212="W",1,IF($C212="1/2W",0.5,0)),0)</f>
        <v>0</v>
      </c>
      <c r="CK212" s="231">
        <f>IF(CJ$3=$K212,IF($C212="L",1,IF($C212="1/2L",0.5,0)),0)</f>
        <v>0</v>
      </c>
      <c r="CL212" s="231">
        <f>IF(CL$3=$K212,IF($C212="W",1,IF($C212="1/2W",0.5,0)),0)</f>
        <v>0</v>
      </c>
      <c r="CM212" s="231">
        <f>IF(CL$3=$K212,IF($C212="L",1,IF($C212="1/2L",0.5,0)),0)</f>
        <v>0</v>
      </c>
      <c r="CN212" s="231">
        <f>IF(CN$3=$K212,IF($C212="W",1,IF($C212="1/2W",0.5,0)),0)</f>
        <v>0</v>
      </c>
      <c r="CO212" s="231">
        <f>IF(CN$3=$K212,IF($C212="L",1,IF($C212="1/2L",0.5,0)),0)</f>
        <v>1</v>
      </c>
      <c r="CP212" s="231">
        <f>IF(CP$3=$K212,IF($C212="W",1,IF($C212="1/2W",0.5,0)),0)</f>
        <v>0</v>
      </c>
      <c r="CQ212" s="231">
        <f>IF(CP$3=$K212,IF($C212="L",1,IF($C212="1/2L",0.5,0)),0)</f>
        <v>0</v>
      </c>
      <c r="CR212" s="231">
        <f>IF(CR$3=$K212,IF($C212="W",1,IF($C212="1/2W",0.5,0)),0)</f>
        <v>0</v>
      </c>
      <c r="CS212" s="231">
        <f>IF(CR$3=$K212,IF($C212="L",1,IF($C212="1/2L",0.5,0)),0)</f>
        <v>0</v>
      </c>
      <c r="CT212" s="208">
        <f>IF(CT$3=$K212,IF($C212="W",1,IF($C212="1/2W",0.5,0)),0)</f>
        <v>0</v>
      </c>
      <c r="CU212" s="209">
        <f>IF(CT$3=$K212,IF($C212="L",1,IF($C212="1/2L",0.5,0)),0)</f>
        <v>0</v>
      </c>
      <c r="CV212" s="209">
        <f>IF(CV$3=$K212,IF($C212="W",1,IF($C212="1/2W",0.5,0)),0)</f>
        <v>0</v>
      </c>
      <c r="CW212" s="209">
        <f>IF(CV$3=$K212,IF($C212="L",1,IF($C212="1/2L",0.5,0)),0)</f>
        <v>0</v>
      </c>
      <c r="CX212" s="209">
        <f>IF(CX$3=$K212,IF($C212="W",1,IF($C212="1/2W",0.5,0)),0)</f>
        <v>0</v>
      </c>
      <c r="CY212" s="209">
        <f>IF(CX$3=$K212,IF($C212="L",1,IF($C212="1/2L",0.5,0)),0)</f>
        <v>0</v>
      </c>
      <c r="CZ212" s="209">
        <f>IF(CZ$3=$K212,IF($C212="W",1,IF($C212="1/2W",0.5,0)),0)</f>
        <v>0</v>
      </c>
      <c r="DA212" s="209">
        <f>IF(CZ$3=$K212,IF($C212="L",1,IF($C212="1/2L",0.5,0)),0)</f>
        <v>0</v>
      </c>
      <c r="DB212" s="209">
        <f>IF(DB$3=$K212,IF($C212="W",1,IF($C212="1/2W",0.5,0)),0)</f>
        <v>0</v>
      </c>
      <c r="DC212" s="209">
        <f>IF(DB$3=$K212,IF($C212="L",1,IF($C212="1/2L",0.5,0)),0)</f>
        <v>0</v>
      </c>
      <c r="DD212" s="209">
        <f>IF(DD$3=$K212,IF($C212="W",1,IF($C212="1/2W",0.5,0)),0)</f>
        <v>0</v>
      </c>
      <c r="DE212" s="210">
        <f>IF(DD$3=$K212,IF($C212="L",1,IF($C212="1/2L",0.5,0)),0)</f>
        <v>0</v>
      </c>
      <c r="DF212" s="211">
        <f>IF(AND(L212&lt;DF$3,$C212="W"),1+DF211,DF211)</f>
        <v>8</v>
      </c>
      <c r="DG212" s="198">
        <f>IF(DF212&gt;DF211,L212+DG211,DG211)</f>
        <v>10.598</v>
      </c>
      <c r="DH212" s="209">
        <f>IF(AND(L212&gt;DH$3,$C212="W"),1+DH211,0+DH211)</f>
        <v>3</v>
      </c>
      <c r="DI212" s="198">
        <f>IF(DH212&gt;DH211,L212+DI211,DI211)</f>
        <v>15.98</v>
      </c>
      <c r="DJ212" t="s" s="306">
        <f>IF($D211="","",$D211)</f>
        <v>184</v>
      </c>
      <c r="DK212" s="232"/>
    </row>
    <row r="213" ht="14.55" customHeight="1">
      <c r="A213" s="149"/>
      <c r="B213" s="150"/>
      <c r="C213" t="s" s="233">
        <v>58</v>
      </c>
      <c r="D213" s="152"/>
      <c r="E213" s="153"/>
      <c r="F213" s="155"/>
      <c r="G213" s="234"/>
      <c r="H213" s="156"/>
      <c r="I213" s="235"/>
      <c r="J213" s="236"/>
      <c r="K213" s="237"/>
      <c r="L213" s="238"/>
      <c r="M213" s="239"/>
      <c r="N213" s="161"/>
      <c r="O213" t="s" s="240">
        <f>IF(OR(AE211="",AE212=""),"",IF(L213&gt;0,ROUND(IF(M213&gt;0,M213,IF(M211&gt;0,ROUND((M211*AE213)/AE211,IF(N211=0,2,IF(N211=0.1,1,0))),IF(M212&gt;0,ROUND((M212*AE213)/AE212,IF(N211=0,2,IF(N211=0.1,1,0))),IF(M213&gt;0,M213,0)))),2),""))</f>
      </c>
      <c r="P213" t="s" s="241">
        <f>IF(I212="Lay",O212*(L212/(L212-1))-O212,IF(I211="Lay",O211*(L211/(L211-1))-O211,IF(OR(L213="",O213=""),"",IF($C213="1/2W",O213/2+O213/2*L213,IF($C213="1/2L",O213/2,(O213*L213-O213)*(1-_xlfn.XLOOKUP(K213,'Janeiro 2023 - Valor Real'!A3:A15,'Janeiro 2023 - Valor Real'!C3:C15,0))+O213)))))</f>
      </c>
      <c r="Q213" t="s" s="242">
        <f>IF(K213="","",IF(_xlfn.XLOOKUP(K213,K93:K$99,DJ93:DJ$99,0,,-1)=DJ213,_xlfn.XLOOKUP(K213,K93:K$99,Q93:Q$99,1,,-1)+1,1))</f>
      </c>
      <c r="R213" t="s" s="243">
        <f>IF(K213="","",_xlfn.XLOOKUP(K213,K93:K$99,R93:R$99,0,,-1)+IF($C213=" ",1,0))</f>
      </c>
      <c r="S213" s="166"/>
      <c r="T213" s="155"/>
      <c r="U213" s="155"/>
      <c r="V213" s="166"/>
      <c r="W213" s="155"/>
      <c r="X213" s="167"/>
      <c r="Y213" s="128"/>
      <c r="Z213" s="129"/>
      <c r="AA213" s="129"/>
      <c r="AB213" s="129"/>
      <c r="AC213" s="129"/>
      <c r="AD213" s="244">
        <f>((L212/(L212-1)-1))</f>
        <v>0.689655172413793</v>
      </c>
      <c r="AE213" t="s" s="245">
        <f>IF(L213="","",(SUM(((L211-1)*(1-_xlfn.XLOOKUP(K211,'Janeiro 2023 - Valor Real'!A3:A15,'Janeiro 2023 - Valor Real'!C3:C15,0))+1),((L212-1)*(1-_xlfn.XLOOKUP(K212,'Janeiro 2023 - Valor Real'!A3:A15,'Janeiro 2023 - Valor Real'!C3:C15,0))+1),((L213-1)*(1-_xlfn.XLOOKUP(K213,'Janeiro 2023 - Valor Real'!A3:A15,'Janeiro 2023 - Valor Real'!C3:C15,0))+1))/((L213-1)*(1-_xlfn.XLOOKUP(K213,'Janeiro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Real'!C3:C15,0))+1))/((L211-1)*(1-_xlfn.XLOOKUP(K211,'Janeiro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Real'!C3:C15,0))+1))/((L212-1)*(1-_xlfn.XLOOKUP(K212,'Janeiro 2023 - Valor Real'!A3:A15,'Janeiro 2023 - Valor Real'!C3:C15,0))+1)+SUM(((L211-1)*(1-_xlfn.XLOOKUP(K211,'Janeiro 2023 - Valor Real'!A3:A15,'Janeiro 2023 - Valor Real'!C3:C15,0))+1),((L212-1)*(1-_xlfn.XLOOKUP(K212,'Janeiro 2023 - Valor Real'!A3:A15,'Janeiro 2023 - Valor Real'!C3:C15,0))+1),((L213-1)*(1-_xlfn.XLOOKUP(K213,'Janeiro 2023 - Valor Real'!A3:A15,'Janeiro 2023 - Valor Real'!C3:C15,0))+1))/((L213-1)*(1-_xlfn.XLOOKUP(K213,'Janeiro 2023 - Valor Real'!A3:A15,'Janeiro 2023 - Valor Real'!C3:C15,0))+1)))</f>
      </c>
      <c r="AF213" s="197">
        <f>IF($K213=AF$3,ROUND(IF(OR($C213="W",$C213="1/2W",$C213="1/2L"),$P213-$O213,IF($C213="X",0,-$O213)),2),0)</f>
        <v>0</v>
      </c>
      <c r="AG213" s="198">
        <f>IF($K213=AG$3,ROUND(IF(OR($C213="W",$C213="1/2W",$C213="1/2L"),$P213-$O213,IF($C213="X",0,-$O213)),2),0)</f>
        <v>0</v>
      </c>
      <c r="AH213" s="198">
        <f>IF($K213=AH$3,ROUND(IF(OR($C213="W",$C213="1/2W",$C213="1/2L"),$P213-$O213,IF($C213="X",0,-$O213)),2),0)</f>
        <v>0</v>
      </c>
      <c r="AI213" s="198">
        <f>IF($K213=AI$3,ROUND(IF(OR($C213="W",$C213="1/2W",$C213="1/2L"),$P213-$O213,IF($C213="X",0,-$O213)),2),0)</f>
        <v>0</v>
      </c>
      <c r="AJ213" s="198">
        <f>IF($K213=AJ$3,ROUND(IF(OR($C213="W",$C213="1/2W",$C213="1/2L"),$P213-$O213,IF($C213="X",0,-$O213)),2),0)</f>
        <v>0</v>
      </c>
      <c r="AK213" s="198">
        <f>IF($K213=AK$3,ROUND(IF(OR($C213="W",$C213="1/2W",$C213="1/2L"),$P213-$O213,IF($C213="X",0,-$O213)),2),0)</f>
        <v>0</v>
      </c>
      <c r="AL213" s="198">
        <f>IF($K213=AL$3,ROUND(IF(OR($C213="W",$C213="1/2W",$C213="1/2L"),$P213-$O213,IF($C213="X",0,-$O213)),2),0)</f>
        <v>0</v>
      </c>
      <c r="AM213" s="198">
        <f>IF($K213=AM$3,ROUND(IF(OR($C213="W",$C213="1/2W",$C213="1/2L"),$P213-$O213,IF($C213="X",0,-$O213)),2),0)</f>
        <v>0</v>
      </c>
      <c r="AN213" s="198">
        <f>IF($K213=AN$3,ROUND(IF(OR($C213="W",$C213="1/2W",$C213="1/2L"),$P213-$O213,IF($C213="X",0,-$O213)),2),0)</f>
        <v>0</v>
      </c>
      <c r="AO213" s="198">
        <f>IF($K213=AO$3,ROUND(IF(OR($C213="W",$C213="1/2W",$C213="1/2L"),$P213-$O213,IF($C213="X",0,-$O213)),2),0)</f>
        <v>0</v>
      </c>
      <c r="AP213" s="198">
        <f>IF($K213=AP$3,ROUND(IF(OR($C213="W",$C213="1/2W",$C213="1/2L"),$P213-$O213,IF($C213="X",0,-$O213)),2),0)</f>
        <v>0</v>
      </c>
      <c r="AQ213" s="198">
        <f>IF($K213=AQ$3,ROUND(IF(OR($C213="W",$C213="1/2W",$C213="1/2L"),$P213-$O213,IF($C213="X",0,-$O213)),2),0)</f>
        <v>0</v>
      </c>
      <c r="AR213" s="199">
        <f>IF($K213=AR$3,ROUND(IF(OR($C213="W",$C213="1/2W",$C213="1/2L"),$P213-$O213,IF($C213="X",0,-$O213)),2),0)</f>
        <v>0</v>
      </c>
      <c r="AS213" s="197">
        <f>IF(AND($B211=" ",$K213=AS$3),$O213,0)</f>
        <v>0</v>
      </c>
      <c r="AT213" s="198">
        <f>IF(AND($B211=" ",K213=AT$3),$O213,0)</f>
        <v>0</v>
      </c>
      <c r="AU213" s="198">
        <f>IF(AND($B211=" ",$K213=AU$3),$O213,0)</f>
        <v>0</v>
      </c>
      <c r="AV213" s="198">
        <f>IF(AND($B211=" ",$K213=AV$3),$O213,0)</f>
        <v>0</v>
      </c>
      <c r="AW213" s="198">
        <f>IF(AND($B211=" ",$K213=AW$3),$O213,0)</f>
        <v>0</v>
      </c>
      <c r="AX213" s="198">
        <f>IF(AND($B211=" ",$K213=AX$3),$O213,0)</f>
        <v>0</v>
      </c>
      <c r="AY213" s="200">
        <f>IF(AND($B211=" ",$K213=AY$3),$O213,0)</f>
        <v>0</v>
      </c>
      <c r="AZ213" s="201">
        <f>IF(AND($B211=" ",$K213=AZ$3),$O213,0)</f>
        <v>0</v>
      </c>
      <c r="BA213" s="201">
        <f>IF(AND($B211=" ",$K213=BA$3),$O213,0)</f>
        <v>0</v>
      </c>
      <c r="BB213" s="201">
        <f>IF(AND($B211=" ",$K213=BB$3),$O213,0)</f>
        <v>0</v>
      </c>
      <c r="BC213" s="202">
        <f>IF(AND($B211=" ",$K213=BC$3),$O213,0)</f>
        <v>0</v>
      </c>
      <c r="BD213" s="198">
        <f>IF(AND($B211=" ",$K213=BD$3),$O213,0)</f>
        <v>0</v>
      </c>
      <c r="BE213" s="199">
        <f>IF(AND($B211=" ",$K213=BE$3),$O213,0)</f>
        <v>0</v>
      </c>
      <c r="BF213" s="197">
        <f>IF($K213=BF$3,IF($C213="X",0,$O213),0)</f>
        <v>0</v>
      </c>
      <c r="BG213" s="198">
        <f>IF($K213=BG$3,IF($C213="X",0,$O213),0)</f>
        <v>0</v>
      </c>
      <c r="BH213" s="198">
        <f>IF($K213=BH$3,IF($C213="X",0,$O213),0)</f>
        <v>0</v>
      </c>
      <c r="BI213" s="198">
        <f>IF($K213=BI$3,IF($C213="X",0,$O213),0)</f>
        <v>0</v>
      </c>
      <c r="BJ213" s="198">
        <f>IF($K213=BJ$3,IF($C213="X",0,$O213),0)</f>
        <v>0</v>
      </c>
      <c r="BK213" s="198">
        <f>IF($K213=BK$3,IF($C213="X",0,$O213),0)</f>
        <v>0</v>
      </c>
      <c r="BL213" s="198">
        <f>IF($K213=BL$3,IF($C213="X",0,$O213),0)</f>
        <v>0</v>
      </c>
      <c r="BM213" s="200">
        <f>IF($K213=BM$3,IF($C213="X",0,$O213),0)</f>
        <v>0</v>
      </c>
      <c r="BN213" s="201">
        <f>IF($K213=BN$3,IF($C213="X",0,$O213),0)</f>
        <v>0</v>
      </c>
      <c r="BO213" s="201">
        <f>IF($K213=BO$3,IF($C213="X",0,$O213),0)</f>
        <v>0</v>
      </c>
      <c r="BP213" s="201">
        <f>IF($K213=BP$3,IF($C213="X",0,$O213),0)</f>
        <v>0</v>
      </c>
      <c r="BQ213" s="202">
        <f>IF($K213=BQ$3,IF($C213="X",0,$O213),0)</f>
        <v>0</v>
      </c>
      <c r="BR213" s="199">
        <f>IF($K213=BR$3,IF($C213="X",0,$O213),0)</f>
        <v>0</v>
      </c>
      <c r="BS213" s="228"/>
      <c r="BT213" s="229"/>
      <c r="BU213" s="140"/>
      <c r="BV213" s="229"/>
      <c r="BW213" s="140"/>
      <c r="BX213" s="140"/>
      <c r="BY213" s="140"/>
      <c r="BZ213" s="229"/>
      <c r="CA213" s="140"/>
      <c r="CB213" s="140"/>
      <c r="CC213" s="140"/>
      <c r="CD213" s="141"/>
      <c r="CE213" s="142"/>
      <c r="CF213" s="230">
        <f>IF(CF$3=$K213,IF($C213="W",1,IF($C213="1/2W",0.5,0)),0)</f>
        <v>0</v>
      </c>
      <c r="CG213" s="231">
        <f>IF(CF$3=$K213,IF($C213="L",1,IF($C213="1/2L",0.5,0)),0)</f>
        <v>0</v>
      </c>
      <c r="CH213" s="231">
        <f>IF(CH$3=$K213,IF($C213="W",1,IF($C213="1/2W",0.5,0)),0)</f>
        <v>0</v>
      </c>
      <c r="CI213" s="231">
        <f>IF(CH$3=$K213,IF($C213="L",1,IF($C213="1/2L",0.5,0)),0)</f>
        <v>0</v>
      </c>
      <c r="CJ213" s="231">
        <f>IF(CJ$3=$K213,IF($C213="W",1,IF($C213="1/2W",0.5,0)),0)</f>
        <v>0</v>
      </c>
      <c r="CK213" s="231">
        <f>IF(CJ$3=$K213,IF($C213="L",1,IF($C213="1/2L",0.5,0)),0)</f>
        <v>0</v>
      </c>
      <c r="CL213" s="231">
        <f>IF(CL$3=$K213,IF($C213="W",1,IF($C213="1/2W",0.5,0)),0)</f>
        <v>0</v>
      </c>
      <c r="CM213" s="231">
        <f>IF(CL$3=$K213,IF($C213="L",1,IF($C213="1/2L",0.5,0)),0)</f>
        <v>0</v>
      </c>
      <c r="CN213" s="231">
        <f>IF(CN$3=$K213,IF($C213="W",1,IF($C213="1/2W",0.5,0)),0)</f>
        <v>0</v>
      </c>
      <c r="CO213" s="231">
        <f>IF(CN$3=$K213,IF($C213="L",1,IF($C213="1/2L",0.5,0)),0)</f>
        <v>0</v>
      </c>
      <c r="CP213" s="231">
        <f>IF(CP$3=$K213,IF($C213="W",1,IF($C213="1/2W",0.5,0)),0)</f>
        <v>0</v>
      </c>
      <c r="CQ213" s="231">
        <f>IF(CP$3=$K213,IF($C213="L",1,IF($C213="1/2L",0.5,0)),0)</f>
        <v>0</v>
      </c>
      <c r="CR213" s="231">
        <f>IF(CR$3=$K213,IF($C213="W",1,IF($C213="1/2W",0.5,0)),0)</f>
        <v>0</v>
      </c>
      <c r="CS213" s="231">
        <f>IF(CR$3=$K213,IF($C213="L",1,IF($C213="1/2L",0.5,0)),0)</f>
        <v>0</v>
      </c>
      <c r="CT213" s="208">
        <f>IF(CT$3=$K213,IF($C213="W",1,IF($C213="1/2W",0.5,0)),0)</f>
        <v>0</v>
      </c>
      <c r="CU213" s="209">
        <f>IF(CT$3=$K213,IF($C213="L",1,IF($C213="1/2L",0.5,0)),0)</f>
        <v>0</v>
      </c>
      <c r="CV213" s="209">
        <f>IF(CV$3=$K213,IF($C213="W",1,IF($C213="1/2W",0.5,0)),0)</f>
        <v>0</v>
      </c>
      <c r="CW213" s="209">
        <f>IF(CV$3=$K213,IF($C213="L",1,IF($C213="1/2L",0.5,0)),0)</f>
        <v>0</v>
      </c>
      <c r="CX213" s="209">
        <f>IF(CX$3=$K213,IF($C213="W",1,IF($C213="1/2W",0.5,0)),0)</f>
        <v>0</v>
      </c>
      <c r="CY213" s="209">
        <f>IF(CX$3=$K213,IF($C213="L",1,IF($C213="1/2L",0.5,0)),0)</f>
        <v>0</v>
      </c>
      <c r="CZ213" s="209">
        <f>IF(CZ$3=$K213,IF($C213="W",1,IF($C213="1/2W",0.5,0)),0)</f>
        <v>0</v>
      </c>
      <c r="DA213" s="209">
        <f>IF(CZ$3=$K213,IF($C213="L",1,IF($C213="1/2L",0.5,0)),0)</f>
        <v>0</v>
      </c>
      <c r="DB213" s="209">
        <f>IF(DB$3=$K213,IF($C213="W",1,IF($C213="1/2W",0.5,0)),0)</f>
        <v>0</v>
      </c>
      <c r="DC213" s="209">
        <f>IF(DB$3=$K213,IF($C213="L",1,IF($C213="1/2L",0.5,0)),0)</f>
        <v>0</v>
      </c>
      <c r="DD213" s="209">
        <f>IF(DD$3=$K213,IF($C213="W",1,IF($C213="1/2W",0.5,0)),0)</f>
        <v>0</v>
      </c>
      <c r="DE213" s="210">
        <f>IF(DD$3=$K213,IF($C213="L",1,IF($C213="1/2L",0.5,0)),0)</f>
        <v>0</v>
      </c>
      <c r="DF213" s="211">
        <f>IF(AND(L213&lt;DF$3,$C213="W"),1+DF212,DF212)</f>
        <v>8</v>
      </c>
      <c r="DG213" s="198">
        <f>IF(DF213&gt;DF212,L213+DG212,DG212)</f>
        <v>10.598</v>
      </c>
      <c r="DH213" s="209">
        <f>IF(AND(L213&gt;DH$3,$C213="W"),1+DH212,0+DH212)</f>
        <v>3</v>
      </c>
      <c r="DI213" s="198">
        <f>IF(DH213&gt;DH212,L213+DI212,DI212)</f>
        <v>15.98</v>
      </c>
      <c r="DJ213" t="s" s="306">
        <f>IF($D211="","",$D211)</f>
        <v>184</v>
      </c>
      <c r="DK213" s="232"/>
    </row>
    <row r="214" ht="14.55" customHeight="1">
      <c r="A214" s="246">
        <f>$A211+1</f>
        <v>71</v>
      </c>
      <c r="B214" t="s" s="247">
        <f>IF(AND(_xlfn.XLOOKUP(H214,H$94:H100,G$94:G100,0)=G214,_xlfn.XLOOKUP("TempoBet",K214:K216,L214:L216,0)&gt;0),"X",IF(OR(C214="W",C215="W",C216="W",C214="1/2W",C215="1/2W",C216="1/2W",C214="1/2L",C215="1/2L",C216="1/2L"),"OK",IF(OR(C214="L",C215="L",C216="L"),"LOSS",IF(OR(C214="X",C215="X",C216="X"),"Anulado"," "))))</f>
        <v>50</v>
      </c>
      <c r="C214" t="s" s="248">
        <v>56</v>
      </c>
      <c r="D214" t="s" s="303">
        <f>IF(G214="","",$D211)</f>
        <v>184</v>
      </c>
      <c r="E214" t="s" s="250">
        <v>93</v>
      </c>
      <c r="F214" t="s" s="251"/>
      <c r="G214" s="252">
        <v>44950.697916666664</v>
      </c>
      <c r="H214" t="s" s="253">
        <v>221</v>
      </c>
      <c r="I214" t="s" s="254">
        <v>57</v>
      </c>
      <c r="J214" s="255">
        <v>0</v>
      </c>
      <c r="K214" t="s" s="256">
        <v>37</v>
      </c>
      <c r="L214" s="257">
        <v>1.875</v>
      </c>
      <c r="M214" s="258">
        <v>20</v>
      </c>
      <c r="N214" s="259">
        <v>0.1</v>
      </c>
      <c r="O214" s="260">
        <f>IF(OR(AE214="",AE215=""),"",ROUND(IF(L216&gt;0,IF(M214&gt;0,M214,IF(M215&gt;0,ROUND((M215*AE214)/AE215,IF(N214=0,2,IF(N214=0.1,1,0))),ROUND((M216*AE214)/AE216,IF(N214=0,2,IF(N214=0.1,1,0))))),IF(M214&gt;0,M214,ROUND((M215*AE214)/AE215,IF(N214=0,2,IF(N214=0.1,1,0))))),2))</f>
        <v>20</v>
      </c>
      <c r="P214" s="261">
        <f>IF(OR(L214="",O214=""),"",IF($C214="1/2W",O214/2+O214/2*L214,IF($C214="1/2L",O214/2,IF(I214="Lay",(O214*(L214/(L214-1))-O214)*(1-_xlfn.XLOOKUP(K214,'Janeiro 2023 - Valor Real'!A3:A15,'Janeiro 2023 - Valor Real'!C3:C15,0))+O214,(O214*L214-O214)*(1-_xlfn.XLOOKUP(K214,'Janeiro 2023 - Valor Real'!A3:A15,'Janeiro 2023 - Valor Real'!C3:C15,0))+O214))))</f>
        <v>37.5</v>
      </c>
      <c r="Q214" s="262">
        <f>IF(K214="","",IF(_xlfn.XLOOKUP(K214,K$94:K100,DJ$94:DJ100,0,,-1)=DJ214,_xlfn.XLOOKUP(K214,K$94:K100,Q$94:Q100,1,,-1)+1,1))</f>
        <v>1</v>
      </c>
      <c r="R214" s="263">
        <f>IF(K214="","",_xlfn.XLOOKUP(K214,K$94:K100,R$94:R100,0,,-1)+IF($C214=" ",1,0))</f>
        <v>0</v>
      </c>
      <c r="S214" s="264">
        <f>IF($B214="Anulado",0,ROUND(IF(OR($B214="LOSS",$B214="OK"),IF(OR($C214="W",$C214="1/2W",$C214="1/2L"),P214-O214,IF($C214="L",-O214,0))+IF(OR($C215="W",$C215="1/2W",$C215="1/2L"),P215-O215,IF($C215="L",-O215,0))+IF(OR($C216="W",$C216="1/2W",$C216="1/2L"),P216-O216,IF($C216="L",-O216,0)),IF(AND(OR($C214="W",$C214="1/2W",$C214="1/2L"),C215="W"),P214+P215-SUM(O214:O216)+_xlfn.XLOOKUP("X",C214:C216,O214:O216,0),IF(AND(C214=TRUE,C216="W"),P214+P216-SUM(O214:O216),IF(AND(C215="W",C216="W"),P215+P216-SUM(O214:O216)+_xlfn.XLOOKUP("X",C214:C216,O214:O216,0),IF(L216&gt;0,IF(OR($C214="W",$C214="1/2W",$C214="1/2L"),P214-SUM(O214:O216)+_xlfn.XLOOKUP("X",C214:C216,O214:O216,0),IF(OR($C214="W",$C214="1/2W",$C214="1/2L"),P215-SUM(O214:O216)+_xlfn.XLOOKUP("X",C214:C216,O214:O216,0),IF(OR($C214="W",$C214="1/2W",$C214="1/2L"),P216-SUM(O214:O216)+_xlfn.XLOOKUP("X",C214:C216,O214:O216,0),IF(SUM(P214:P216)/3-SUM(O214:O216)+_xlfn.XLOOKUP("X",C214:C216,O214:O216,0)&gt;0,SUM(P214:P216)/3-SUM(O214:O216)+_xlfn.XLOOKUP("X",C214:C216,O214:O216,0),LARGE(P214:P216,1)-SUM(O214:O216))))),IF(OR($C214="W",$C214="1/2W",$C214="1/2L"),P214-SUM(O214:O215)+_xlfn.XLOOKUP("X",C214:C216,O214:O216,0),IF(OR($C214="W",$C214="1/2W",$C214="1/2L"),P215-SUM(O214:O215)+_xlfn.XLOOKUP("X",C214:C216,O214:O216,0),SUM(P214:P215)/2-SUM(O214:O215)+_xlfn.XLOOKUP("X",C214:C216,O214:O216,0)))))))),2))</f>
        <v>1.7</v>
      </c>
      <c r="T214" s="265">
        <f>IF(S214=0,0,S214/SUM(O214:O216))</f>
        <v>0.0474860335195531</v>
      </c>
      <c r="U214" s="266">
        <f>IF($D214=$D211,IF(OR($B214="LOSS",$B214="OK",$B214="Anulada"),S214,0)+U211,IF(OR($B214="LOSS",$B214="OK",$B214="Anulada"),S214,0))</f>
        <v>32.89</v>
      </c>
      <c r="V214" s="266">
        <f>IF($D214="",0,IF($D214=$D211,IF($B214=" ",IF(I216="",IF(OR(AND(I214="DNB1",I215="DNB2"),AND(OR(I214="DNB1",I214="DNB2"),J215=0),AND(OR(I215="DNB1",I215="DNB2"),J214=0),AND(I214="DNB2",I215="DNB1"),AND(IF(J214=0,(J214+1)/ROUND(J214+1,0),J214/ROUND(J214,0))=1,IF(J215=0,(J215+1)/ROUND(IF(J215="",0,J215)+1,0),IF(J215="",0,J215)/ROUND(IF(J215="",1,J215),0))=1,OR(J214&lt;&gt;""),J215&lt;&gt;"")),0,IF(S214&lt;0,IF(I216="",SMALL(P214:P215,1)-SUM(O214:O215),0),SMALL(P214:P215,1)-SUM(O214:O215))),IF(S214&lt;0,IF(I216="",SMALL(P214:P216,1)-SUM(O214:O216),0),LARGE(P214:P216,1)-SUM(O214:O216))),S214)+V211,IF(I216="",IF(OR(AND(I214="DNB1",I215="DNB2"),AND(OR(I214="DNB1",I214="DNB2"),J215=0),AND(OR(I215="DNB1",I215="DNB2"),J214=0),AND(I214="DNB2",I215="DNB1"),AND(IF(J214=0,(J214+1)/ROUND(J214+1,0),J214/ROUND(J214,0))=1,IF(J215=0,(IF(J215="",0,J215)+1)/ROUND(IF(J215="",0,J215)+1,0),IF(J215="",0,J215)/ROUND(IF(J215="",0,J215)+1,0))=1,OR(J214&lt;&gt;""),J215&lt;&gt;"")),0,IF(S214&lt;0,IF(I216="",SMALL(P214:P215,1)-SUM(O214:O215),0),SMALL(P214:P216,1)-SUM(O214:O216))),IF(S214&lt;0,IF(I216="",SMALL(P214:P216,1)-SUM(O214:O216),0),LARGE(P214:P216,1)-SUM(O214:O216)))))</f>
        <v>32.8875</v>
      </c>
      <c r="W214" s="266">
        <f>IF($D214=$D211,IF(S214&lt;0,IF(I216="",S214,0),S214)+W211,S214)</f>
        <v>32.89</v>
      </c>
      <c r="X214" t="s" s="267">
        <f>IF(OR(SUM(R214:R216)=0,V214=W214),ROUND(IF(W214=0,0,W214/Y214)*100,2)&amp;"%",ROUND(IF(V214=0,0,V214/Y214)*100,2)&amp;"% a "&amp;ROUND(IF(W214=0,0,W214/Y214)*100,2)&amp;"%")</f>
        <v>222</v>
      </c>
      <c r="Y214" s="268">
        <f>IF($D214=$D211,Y211+SUM(O214:O216),SUM(O214:O216))</f>
        <v>773.6</v>
      </c>
      <c r="Z214" s="266">
        <f>IF($B214=" ",SUM(O214:O216),0)+Z211</f>
        <v>0</v>
      </c>
      <c r="AA214" s="266">
        <f>IF(G214="","",IF($B214="Anulado",LARGE(P214:P216,1)-SUM(O214:O216)+AA211,AA211))</f>
        <v>16.5099</v>
      </c>
      <c r="AB214" s="266">
        <f>IF($D214="","",AB211+S214)</f>
        <v>158</v>
      </c>
      <c r="AC214" s="269">
        <f>IF($D214="","",IF($B214=" ",IF(DAY(G214)=DAY(TODAY()),1+AC211,0+AC211),0+AC211))</f>
        <v>0</v>
      </c>
      <c r="AD214" s="270">
        <f>(1-_xlfn.XLOOKUP(K212,'Janeiro 2023 - Valor Real'!A3:A15,'Janeiro 2023 - Valor Real'!C3:C15,0))+1</f>
        <v>2</v>
      </c>
      <c r="AE214" s="271">
        <f>IF(L214="","",IF(L216&gt;0,(SUM(((L214-1)*(1-_xlfn.XLOOKUP(K214,'Janeiro 2023 - Valor Real'!A3:A15,'Janeiro 2023 - Valor Real'!C3:C15,0))+1),((L215-1)*(1-_xlfn.XLOOKUP(K215,'Janeiro 2023 - Valor Real'!A3:A15,'Janeiro 2023 - Valor Real'!C3:C15,0))+1),((L216-1)*(1-_xlfn.XLOOKUP(K216,'Janeiro 2023 - Valor Real'!A3:A15,'Janeiro 2023 - Valor Real'!C3:C15,0))+1))/((L214-1)*(1-_xlfn.XLOOKUP(K214,'Janeiro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Real'!C3:C15,0))+1))/((L214-1)*(1-_xlfn.XLOOKUP(K214,'Janeiro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Real'!C3:C15,0))+1))/((L215-1)*(1-_xlfn.XLOOKUP(K215,'Janeiro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Real'!C3:C15,0))+1))/((L216-1)*(1-_xlfn.XLOOKUP(K216,'Janeiro 2023 - Valor Real'!A3:A15,'Janeiro 2023 - Valor Real'!C3:C15,0))+1)),IF(I214="Lay",IF(I215="Lay",((L215/(L215-1)-1)*(1-_xlfn.XLOOKUP(K215,'Janeiro 2023 - Valor Real'!A3:A15,'Janeiro 2023 - Valor Real'!C3:C15,0))+1)/(((L215/(L215-1)-1)*(1-_xlfn.XLOOKUP(K215,'Janeiro 2023 - Valor Real'!A3:A15,'Janeiro 2023 - Valor Real'!C3:C15,0))+1)+((L214/(L214-1)-1)*(1-_xlfn.XLOOKUP(K214,'Janeiro 2023 - Valor Real'!A3:A15,'Janeiro 2023 - Valor Real'!C3:C15,0))+1)),((L215-1)*(1-_xlfn.XLOOKUP(K215,'Janeiro 2023 - Valor Real'!A3:A15,'Janeiro 2023 - Valor Real'!C3:C15,0))+1)/(((L215-1)*(1-_xlfn.XLOOKUP(K215,'Janeiro 2023 - Valor Real'!A3:A15,'Janeiro 2023 - Valor Real'!C3:C15,0))+1)+((L214/(L214-1)-1)*(1-_xlfn.XLOOKUP(K214,'Janeiro 2023 - Valor Real'!A3:A15,'Janeiro 2023 - Valor Real'!C3:C15,0))+1))),IF(I215="Lay",(((L215/(L215-1)-1)*(1-_xlfn.XLOOKUP(K215,'Janeiro 2023 - Valor Real'!A3:A15,'Janeiro 2023 - Valor Real'!C3:C15,0))+1))/(((L214-1)*(1-_xlfn.XLOOKUP(K214,'Janeiro 2023 - Valor Real'!A3:A15,'Janeiro 2023 - Valor Real'!C3:C15,0))+1)+((L215/(L215-1)-1)*(1-_xlfn.XLOOKUP(K215,'Janeiro 2023 - Valor Real'!A3:A15,'Janeiro 2023 - Valor Real'!C3:C15,0))+1)),((L215-1)*(1-_xlfn.XLOOKUP(K215,'Janeiro 2023 - Valor Real'!A3:A15,'Janeiro 2023 - Valor Real'!C3:C15,0))+1)/(((L215-1)*(1-_xlfn.XLOOKUP(K215,'Janeiro 2023 - Valor Real'!A3:A15,'Janeiro 2023 - Valor Real'!C3:C15,0))+1)+((L214-1)*(1-_xlfn.XLOOKUP(K214,'Janeiro 2023 - Valor Real'!A3:A15,'Janeiro 2023 - Valor Real'!C3:C15,0))+1))))))</f>
        <v>0.558303886925795</v>
      </c>
      <c r="AF214" s="132">
        <f>IF($K214=AF$3,ROUND(IF(OR($C214="W",$C214="1/2W",$C214="1/2L"),$P214-$O214,IF($C214="X",0,-$O214)),2),0)</f>
        <v>17.5</v>
      </c>
      <c r="AG214" s="133">
        <f>IF($K214=AG$3,ROUND(IF(OR($C214="W",$C214="1/2W",$C214="1/2L"),$P214-$O214,IF($C214="X",0,-$O214)),2),0)</f>
        <v>0</v>
      </c>
      <c r="AH214" s="133">
        <f>IF($K214=AH$3,ROUND(IF(OR($C214="W",$C214="1/2W",$C214="1/2L"),$P214-$O214,IF($C214="X",0,-$O214)),2),0)</f>
        <v>0</v>
      </c>
      <c r="AI214" s="133">
        <f>IF($K214=AI$3,ROUND(IF(OR($C214="W",$C214="1/2W",$C214="1/2L"),$P214-$O214,IF($C214="X",0,-$O214)),2),0)</f>
        <v>0</v>
      </c>
      <c r="AJ214" s="133">
        <f>IF($K214=AJ$3,ROUND(IF(OR($C214="W",$C214="1/2W",$C214="1/2L"),$P214-$O214,IF($C214="X",0,-$O214)),2),0)</f>
        <v>0</v>
      </c>
      <c r="AK214" s="133">
        <f>IF($K214=AK$3,ROUND(IF(OR($C214="W",$C214="1/2W",$C214="1/2L"),$P214-$O214,IF($C214="X",0,-$O214)),2),0)</f>
        <v>0</v>
      </c>
      <c r="AL214" s="133">
        <f>IF($K214=AL$3,ROUND(IF(OR($C214="W",$C214="1/2W",$C214="1/2L"),$P214-$O214,IF($C214="X",0,-$O214)),2),0)</f>
        <v>0</v>
      </c>
      <c r="AM214" s="133">
        <f>IF($K214=AM$3,ROUND(IF(OR($C214="W",$C214="1/2W",$C214="1/2L"),$P214-$O214,IF($C214="X",0,-$O214)),2),0)</f>
        <v>0</v>
      </c>
      <c r="AN214" s="133">
        <f>IF($K214=AN$3,ROUND(IF(OR($C214="W",$C214="1/2W",$C214="1/2L"),$P214-$O214,IF($C214="X",0,-$O214)),2),0)</f>
        <v>0</v>
      </c>
      <c r="AO214" s="133">
        <f>IF($K214=AO$3,ROUND(IF(OR($C214="W",$C214="1/2W",$C214="1/2L"),$P214-$O214,IF($C214="X",0,-$O214)),2),0)</f>
        <v>0</v>
      </c>
      <c r="AP214" s="133">
        <f>IF($K214=AP$3,ROUND(IF(OR($C214="W",$C214="1/2W",$C214="1/2L"),$P214-$O214,IF($C214="X",0,-$O214)),2),0)</f>
        <v>0</v>
      </c>
      <c r="AQ214" s="133">
        <f>IF($K214=AQ$3,ROUND(IF(OR($C214="W",$C214="1/2W",$C214="1/2L"),$P214-$O214,IF($C214="X",0,-$O214)),2),0)</f>
        <v>0</v>
      </c>
      <c r="AR214" s="134">
        <f>IF($K214=AR$3,ROUND(IF(OR($C214="W",$C214="1/2W",$C214="1/2L"),$P214-$O214,IF($C214="X",0,-$O214)),2),0)</f>
        <v>0</v>
      </c>
      <c r="AS214" s="132">
        <f>IF(AND($B214=" ",$K214=AS$3),$O214,0)</f>
        <v>0</v>
      </c>
      <c r="AT214" s="133">
        <f>IF(AND($B214=" ",$K214=AT$3),$O214,0)</f>
        <v>0</v>
      </c>
      <c r="AU214" s="133">
        <f>IF(AND($B214=" ",$K214=AU$3),$O214,0)</f>
        <v>0</v>
      </c>
      <c r="AV214" s="133">
        <f>IF(AND($B214=" ",$K214=AV$3),$O214,0)</f>
        <v>0</v>
      </c>
      <c r="AW214" s="133">
        <f>IF(AND($B214=" ",$K214=AW$3),$O214,0)</f>
        <v>0</v>
      </c>
      <c r="AX214" s="133">
        <f>IF(AND($B214=" ",$K214=AX$3),$O214,0)</f>
        <v>0</v>
      </c>
      <c r="AY214" s="135">
        <f>IF(AND($B214=" ",$K214=AY$3),$O214,0)</f>
        <v>0</v>
      </c>
      <c r="AZ214" s="136">
        <f>IF(AND($B214=" ",$K214=AZ$3),$O214,0)</f>
        <v>0</v>
      </c>
      <c r="BA214" s="136">
        <f>IF(AND($B214=" ",$K214=BA$3),$O214,0)</f>
        <v>0</v>
      </c>
      <c r="BB214" s="136">
        <f>IF(AND($B214=" ",$K214=BB$3),$O214,0)</f>
        <v>0</v>
      </c>
      <c r="BC214" s="137">
        <f>IF(AND($B214=" ",$K214=BC$3),$O214,0)</f>
        <v>0</v>
      </c>
      <c r="BD214" s="133">
        <f>IF(AND($B214=" ",$K214=BD$3),$O214,0)</f>
        <v>0</v>
      </c>
      <c r="BE214" s="134">
        <f>IF(AND($B214=" ",$K214=BE$3),$O214,0)</f>
        <v>0</v>
      </c>
      <c r="BF214" s="132">
        <f>IF($K214=BF$3,IF($C214="X",0,$O214),0)</f>
        <v>20</v>
      </c>
      <c r="BG214" s="133">
        <f>IF($K214=BG$3,IF($C214="X",0,$O214),0)</f>
        <v>0</v>
      </c>
      <c r="BH214" s="133">
        <f>IF($K214=BH$3,IF($C214="X",0,$O214),0)</f>
        <v>0</v>
      </c>
      <c r="BI214" s="133">
        <f>IF($K214=BI$3,IF($C214="X",0,$O214),0)</f>
        <v>0</v>
      </c>
      <c r="BJ214" s="133">
        <f>IF($K214=BJ$3,IF($C214="X",0,$O214),0)</f>
        <v>0</v>
      </c>
      <c r="BK214" s="133">
        <f>IF($K214=BK$3,IF($C214="X",0,$O214),0)</f>
        <v>0</v>
      </c>
      <c r="BL214" s="133">
        <f>IF($K214=BL$3,IF($C214="X",0,$O214),0)</f>
        <v>0</v>
      </c>
      <c r="BM214" s="135">
        <f>IF($K214=BM$3,IF($C214="X",0,$O214),0)</f>
        <v>0</v>
      </c>
      <c r="BN214" s="136">
        <f>IF($K214=BN$3,IF($C214="X",0,$O214),0)</f>
        <v>0</v>
      </c>
      <c r="BO214" s="136">
        <f>IF($K214=BO$3,IF($C214="X",0,$O214),0)</f>
        <v>0</v>
      </c>
      <c r="BP214" s="136">
        <f>IF($K214=BP$3,IF($C214="X",0,$O214),0)</f>
        <v>0</v>
      </c>
      <c r="BQ214" s="137">
        <f>IF($K214=BQ$3,IF($C214="X",0,$O214),0)</f>
        <v>0</v>
      </c>
      <c r="BR214" s="134">
        <f>IF($K214=BR$3,IF($C214="X",0,$O214),0)</f>
        <v>0</v>
      </c>
      <c r="BS214" s="170">
        <f>IF($B214="LOSS",IF(AND($K214=BS$3,$C214="L"),-$O214,0)+IF(AND($K215=BS$3,$C215="L"),-$O215,0)+IF(AND($K216=BS$3,$C216="L"),-$O216,0),IF(OR(AND($K214=BS$3,OR($C214="W",$C214="1/2W")),AND($K215=BS$3,OR($C215="W",$C215="1/2W")),AND($K216=BS$3,OR($C216="W",$C216="1/2W"))),$S214,0))</f>
        <v>1.7</v>
      </c>
      <c r="BT214" s="272">
        <f>IF($B214="LOSS",IF(AND($K214=BT$3,$C214="L"),-$O214,0)+IF(AND($K215=BT$3,$C215="L"),-$O215,0)+IF(AND($K215=BT$3,$C216="L"),-$O216,0),IF(OR(AND($K215=BT$3,OR($C214="W",$C214="1/2W")),AND($K215=BT$3,OR($C215="W",$C215="1/2W")),AND($K215=BT$3,OR($C216="W",$C216="1/2W"))),$S214,0))</f>
        <v>0</v>
      </c>
      <c r="BU214" s="136">
        <f>IF($B214="LOSS",IF(AND($K214=BU$3,$C214="L"),-$O214,0)+IF(AND($K215=BU$3,$C215="L"),-$O215,0)+IF(AND($K215=BU$3,$C216="L"),-$O216,0),IF(OR(AND($K215=BU$3,OR($C214="W",$C214="1/2W")),AND($K215=BU$3,OR($C215="W",$C215="1/2W")),AND($K215=BU$3,OR($C216="W",$C216="1/2W"))),$S214,0))</f>
        <v>0</v>
      </c>
      <c r="BV214" s="136">
        <f>IF($B214="LOSS",IF(AND($K214=BV$3,$C214="L"),-$O214,0)+IF(AND($K215=BV$3,$C215="L"),-$O215,0)+IF(AND($K216=BV$3,$C216="L"),-$O216,0),IF(OR(AND($K214=BV$3,OR($C214="W",$C214="1/2W")),AND($K215=BV$3,OR($C215="W",$C215="1/2W")),AND($K216=BV$3,OR($C216="W",$C216="1/2W"))),$S214,0))</f>
        <v>0</v>
      </c>
      <c r="BW214" s="136">
        <f>IF($B214="LOSS",IF(AND($K214=BW$3,$C214="L"),-$O214,0)+IF(AND($K215=BW$3,$C215="L"),-$O215,0)+IF(AND($K216=BW$3,$C216="L"),-$O216,0),IF(OR(AND($K214=BW$3,OR($C214="W",$C214="1/2W")),AND($K215=BW$3,OR($C215="W",$C215="1/2W")),AND($K216=BW$3,OR($C216="W",$C216="1/2W"))),$S214,0))</f>
        <v>0</v>
      </c>
      <c r="BX214" s="136">
        <f>IF($B214="LOSS",IF(AND($K214=BX$3,$C214="L"),-$O214,0)+IF(AND($K215=BX$3,$C215="L"),-$O215,0)+IF(AND($K216=BX$3,$C216="L"),-$O216,0),IF(OR(AND($K214=BX$3,OR($C214="W",$C214="1/2W")),AND($K215=BX$3,OR($C215="W",$C215="1/2W")),AND($K216=BX$3,OR($C216="W",$C216="1/2W"))),$S214,0))</f>
        <v>0</v>
      </c>
      <c r="BY214" s="136">
        <f>IF($B214="LOSS",IF(AND($K214=BY$3,$C214="L"),-$O214,0)+IF(AND($K215=BY$3,$C215="L"),-$O215,0)+IF(AND($K216=BY$3,$C216="L"),-$O216,0),IF(OR(AND($K214=BY$3,OR($C214="W",$C214="1/2W")),AND($K215=BY$3,OR($C215="W",$C215="1/2W")),AND($K216=BY$3,OR($C216="W",$C216="1/2W"))),$S214,0))</f>
        <v>0</v>
      </c>
      <c r="BZ214" s="136">
        <f>IF($B214="LOSS",IF(AND($K214=BZ$3,$C214="L"),-$O214,0)+IF(AND($K215=BZ$3,$C215="L"),-$O215,0)+IF(AND($K216=BZ$3,$C216="L"),-$O216,0),IF(OR(AND($K214=BZ$3,OR($C214="W",$C214="1/2W")),AND($K215=BZ$3,OR($C215="W",$C215="1/2W")),AND($K216=BZ$3,OR($C216="W",$C216="1/2W"))),$S214,0))</f>
        <v>0</v>
      </c>
      <c r="CA214" s="136">
        <f>IF($B214="LOSS",IF(AND($K214=CA$3,$C214="L"),-$O214,0)+IF(AND($K215=CA$3,$C215="L"),-$O215,0)+IF(AND($K216=CA$3,$C216="L"),-$O216,0),IF(OR(AND($K214=CA$3,OR($C214="W",$C214="1/2W")),AND($K215=CA$3,OR($C215="W",$C215="1/2W")),AND($K216=CA$3,OR($C216="W",$C216="1/2W"))),$S214,0))</f>
        <v>0</v>
      </c>
      <c r="CB214" s="136">
        <f>IF($B214="LOSS",IF(AND($K214=CB$3,$C214="L"),-$O214,0)+IF(AND($K215=CB$3,$C215="L"),-$O215,0)+IF(AND($K216=CB$3,$C216="L"),-$O216,0),IF(OR(AND($K214=CB$3,OR($C214="W",$C214="1/2W")),AND($K215=CB$3,OR($C215="W",$C215="1/2W")),AND($K216=CB$3,OR($C216="W",$C216="1/2W"))),$S214,0))</f>
        <v>0</v>
      </c>
      <c r="CC214" s="136">
        <f>IF($B214="LOSS",IF(AND($K214=CC$3,$C214="L"),-$O214,0)+IF(AND($K215=CC$3,$C215="L"),-$O215,0)+IF(AND($K216=CC$3,$C216="L"),-$O216,0),IF(OR(AND($K214=CC$3,OR($C214="W",$C214="1/2W")),AND($K215=CC$3,OR($C215="W",$C215="1/2W")),AND($K216=CC$3,OR($C216="W",$C216="1/2W"))),$S214,0))</f>
        <v>0</v>
      </c>
      <c r="CD214" s="137">
        <f>IF($B214="LOSS",IF(AND($K214=CD$3,$C214="L"),-$O214,0)+IF(AND($K215=CD$3,$C215="L"),-$O215,0)+IF(AND($K216=CD$3,$C216="L"),-$O216,0),IF(OR(AND($K214=CD$3,OR($C214="W",$C214="1/2W")),AND($K215=CD$3,OR($C215="W",$C215="1/2W")),AND($K216=CD$3,OR($C216="W",$C216="1/2W"))),$S214,0))</f>
        <v>0</v>
      </c>
      <c r="CE214" s="134">
        <f>IF($B214="LOSS",IF(AND($K214=CE$3,$C214="L"),-$O214,0)+IF(AND($K215=CE$3,$C215="L"),-$O215,0)+IF(AND($K216=CE$3,$C216="L"),-$O216,0),IF(OR(AND($K214=CE$3,OR($C214="W",$C214="1/2W")),AND($K215=CE$3,OR($C215="W",$C215="1/2W")),AND($K216=CE$3,OR($C216="W",$C216="1/2W"))),$S214,0))</f>
        <v>0</v>
      </c>
      <c r="CF214" s="273">
        <f>IF(CF$3=$K214,IF($C214="W",1,IF($C214="1/2W",0.5,0)),0)</f>
        <v>1</v>
      </c>
      <c r="CG214" s="274">
        <f>IF(CF$3=$K214,IF($C214="L",1,IF($C214="1/2L",0.5,0)),0)</f>
        <v>0</v>
      </c>
      <c r="CH214" s="274">
        <f>IF(CH$3=$K214,IF($C214="W",1,IF($C214="1/2W",0.5,0)),0)</f>
        <v>0</v>
      </c>
      <c r="CI214" s="274">
        <f>IF(CH$3=$K214,IF($C214="L",1,IF($C214="1/2L",0.5,0)),0)</f>
        <v>0</v>
      </c>
      <c r="CJ214" s="274">
        <f>IF(CJ$3=$K214,IF($C214="W",1,IF($C214="1/2W",0.5,0)),0)</f>
        <v>0</v>
      </c>
      <c r="CK214" s="274">
        <f>IF(CJ$3=$K214,IF($C214="L",1,IF($C214="1/2L",0.5,0)),0)</f>
        <v>0</v>
      </c>
      <c r="CL214" s="274">
        <f>IF(CL$3=$K214,IF($C214="W",1,IF($C214="1/2W",0.5,0)),0)</f>
        <v>0</v>
      </c>
      <c r="CM214" s="274">
        <f>IF(CL$3=$K214,IF($C214="L",1,IF($C214="1/2L",0.5,0)),0)</f>
        <v>0</v>
      </c>
      <c r="CN214" s="274">
        <f>IF(CN$3=$K214,IF($C214="W",1,IF($C214="1/2W",0.5,0)),0)</f>
        <v>0</v>
      </c>
      <c r="CO214" s="274">
        <f>IF(CN$3=$K214,IF($C214="L",1,IF($C214="1/2L",0.5,0)),0)</f>
        <v>0</v>
      </c>
      <c r="CP214" s="274">
        <f>IF(CP$3=$K214,IF($C214="W",1,IF($C214="1/2W",0.5,0)),0)</f>
        <v>0</v>
      </c>
      <c r="CQ214" s="274">
        <f>IF(CP$3=$K214,IF($C214="L",1,IF($C214="1/2L",0.5,0)),0)</f>
        <v>0</v>
      </c>
      <c r="CR214" s="274">
        <f>IF(CR$3=$K214,IF($C214="W",1,IF($C214="1/2W",0.5,0)),0)</f>
        <v>0</v>
      </c>
      <c r="CS214" s="274">
        <f>IF(CR$3=$K214,IF($C214="L",1,IF($C214="1/2L",0.5,0)),0)</f>
        <v>0</v>
      </c>
      <c r="CT214" s="145">
        <f>IF(CT$3=$K214,IF($C214="W",1,IF($C214="1/2W",0.5,0)),0)</f>
        <v>0</v>
      </c>
      <c r="CU214" s="146">
        <f>IF(CT$3=$K214,IF($C214="L",1,IF($C214="1/2L",0.5,0)),0)</f>
        <v>0</v>
      </c>
      <c r="CV214" s="146">
        <f>IF(CV$3=$K214,IF($C214="W",1,IF($C214="1/2W",0.5,0)),0)</f>
        <v>0</v>
      </c>
      <c r="CW214" s="146">
        <f>IF(CV$3=$K214,IF($C214="L",1,IF($C214="1/2L",0.5,0)),0)</f>
        <v>0</v>
      </c>
      <c r="CX214" s="146">
        <f>IF(CX$3=$K214,IF($C214="W",1,IF($C214="1/2W",0.5,0)),0)</f>
        <v>0</v>
      </c>
      <c r="CY214" s="146">
        <f>IF(CX$3=$K214,IF($C214="L",1,IF($C214="1/2L",0.5,0)),0)</f>
        <v>0</v>
      </c>
      <c r="CZ214" s="146">
        <f>IF(CZ$3=$K214,IF($C214="W",1,IF($C214="1/2W",0.5,0)),0)</f>
        <v>0</v>
      </c>
      <c r="DA214" s="146">
        <f>IF(CZ$3=$K214,IF($C214="L",1,IF($C214="1/2L",0.5,0)),0)</f>
        <v>0</v>
      </c>
      <c r="DB214" s="146">
        <f>IF(DB$3=$K214,IF($C214="W",1,IF($C214="1/2W",0.5,0)),0)</f>
        <v>0</v>
      </c>
      <c r="DC214" s="146">
        <f>IF(DB$3=$K214,IF($C214="L",1,IF($C214="1/2L",0.5,0)),0)</f>
        <v>0</v>
      </c>
      <c r="DD214" s="146">
        <f>IF(DD$3=$K214,IF($C214="W",1,IF($C214="1/2W",0.5,0)),0)</f>
        <v>0</v>
      </c>
      <c r="DE214" s="147">
        <f>IF(DD$3=$K214,IF($C214="L",1,IF($C214="1/2L",0.5,0)),0)</f>
        <v>0</v>
      </c>
      <c r="DF214" s="143">
        <f>IF(AND(L214&lt;DF$3,$C214="W"),1+DF213,DF213)</f>
        <v>8</v>
      </c>
      <c r="DG214" s="133">
        <f>IF(DF214&gt;DF213,L214+DG213,DG213)</f>
        <v>10.598</v>
      </c>
      <c r="DH214" s="146">
        <f>IF(AND(L214&gt;DH$3,$C214="W"),1+DH213,0+DH213)</f>
        <v>3</v>
      </c>
      <c r="DI214" s="133">
        <f>IF(DH214&gt;DH213,L214+DI213,DI213)</f>
        <v>15.98</v>
      </c>
      <c r="DJ214" t="s" s="304">
        <f>IF($D214="","",$D214)</f>
        <v>184</v>
      </c>
      <c r="DK214" s="146">
        <f>IF(AND($B214=" ",$D214&lt;&gt;""),1,0)</f>
        <v>0</v>
      </c>
    </row>
    <row r="215" ht="14.55" customHeight="1">
      <c r="A215" s="107"/>
      <c r="B215" s="108"/>
      <c r="C215" t="s" s="109">
        <v>51</v>
      </c>
      <c r="D215" s="110"/>
      <c r="E215" s="111"/>
      <c r="F215" s="113"/>
      <c r="G215" s="252"/>
      <c r="H215" s="114"/>
      <c r="I215" t="s" s="275">
        <v>54</v>
      </c>
      <c r="J215" s="276">
        <f>IF(OR(I214="TO",I214="TU",I214="TO1",I214="TU1",I214="TO2",I214="TU2"),J214,IF(OR(I214="AH1",I214="AH2"),IF(OR(I215="AH1",I215="AH2"),-J214,IF(OR(I215="EH1",I215="EH2"),-J214+0.5,"")),IF(OR(I214="EH1",I214="EH2"),IF(OR(I215="AH1",I215="AH2"),-J214+0.5,IF(OR(I215="EH1",I215="EH2"),-J214+1,"")),IF(AND(OR(I214="DNB1",I214="DNB2"),OR(I215="AH1",I215="AH2")),0,IF(AND(I214="Not ScoreBoth",OR(I215="TO1",I215="TO2")),0.5,"")))))</f>
        <v>0</v>
      </c>
      <c r="K215" t="s" s="117">
        <v>48</v>
      </c>
      <c r="L215" s="277">
        <v>2.37</v>
      </c>
      <c r="M215" s="278"/>
      <c r="N215" s="120"/>
      <c r="O215" s="121">
        <f>IF(OR(AE214="",AE215=""),"",ROUND(IF(L216&gt;0,IF(M215&gt;0,M215,IF(M214&gt;0,IF(N214=TRUE,ROUND((M214*AE215)/AE214,0),(M214*AE215)/AE214),IF(M215&gt;0,ROUND(M215,IF(N214=0,2,IF(N214=0.1,1,0))),IF(M216&gt;0,ROUND(O216*AE215/AE216,IF(N214=0,2,IF(N214=0.1,1,0))),0)))),IF(M215&gt;0,M215,ROUND((M214*AE215)/AE214,IF(N214=0,2,IF(N214=0.1,1,0))))),2))</f>
        <v>15.8</v>
      </c>
      <c r="P215" s="122">
        <f>IF(OR(L215="",O215=""),"",IF($C215="1/2W",O215/2+O215/2*L215,IF($C215="1/2L",O215/2,IF(I215="Lay",((O215*(L215/(L215-1)))-O215)*(1-_xlfn.XLOOKUP(K215,'Janeiro 2023 - Valor Real'!A3:A15,'Janeiro 2023 - Valor Real'!C3:C15,0))+O215,(O215*L215-O215)*(1-_xlfn.XLOOKUP(K215,'Janeiro 2023 - Valor Real'!A3:A15,'Janeiro 2023 - Valor Real'!C3:C15,0))+O215))))</f>
        <v>37.446</v>
      </c>
      <c r="Q215" s="279">
        <f>IF(K215="","",IF(_xlfn.XLOOKUP(K215,K$95:K101,DJ$95:DJ101,0,,-1)=DJ215,_xlfn.XLOOKUP(K215,K$95:K101,Q$95:Q101,1,,-1)+1,1))</f>
        <v>1</v>
      </c>
      <c r="R215" s="280">
        <f>IF(K215="","",_xlfn.XLOOKUP(K215,K$95:K101,R$95:R101,0,,-1)+IF($C215=" ",1,0))</f>
        <v>0</v>
      </c>
      <c r="S215" s="125"/>
      <c r="T215" s="126"/>
      <c r="U215" s="126"/>
      <c r="V215" s="224"/>
      <c r="W215" s="126"/>
      <c r="X215" s="127"/>
      <c r="Y215" s="128"/>
      <c r="Z215" s="129"/>
      <c r="AA215" s="129"/>
      <c r="AB215" s="129"/>
      <c r="AC215" s="129"/>
      <c r="AD215" s="130"/>
      <c r="AE215" s="131">
        <f>IF(L215="","",IF(L216&gt;0,(SUM(((L214-1)*(1-_xlfn.XLOOKUP(K214,'Janeiro 2023 - Valor Real'!A3:A15,'Janeiro 2023 - Valor Real'!C3:C15,0))+1),((L215-1)*(1-_xlfn.XLOOKUP(K215,'Janeiro 2023 - Valor Real'!A3:A15,'Janeiro 2023 - Valor Real'!C3:C15,0))+1),((L216-1)*(1-_xlfn.XLOOKUP(K216,'Janeiro 2023 - Valor Real'!A3:A15,'Janeiro 2023 - Valor Real'!C3:C15,0))+1))/((L215-1)*(1-_xlfn.XLOOKUP(K215,'Janeiro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Real'!C3:C15,0))+1))/((L214-1)*(1-_xlfn.XLOOKUP(K214,'Janeiro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Real'!C3:C15,0))+1))/((L215-1)*(1-_xlfn.XLOOKUP(K215,'Janeiro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Real'!C3:C15,0))+1))/((L216-1)*(1-_xlfn.XLOOKUP(K216,'Janeiro 2023 - Valor Real'!A3:A15,'Janeiro 2023 - Valor Real'!C3:C15,0))+1)),IF(I215="Lay",IF(I214="Lay",((L214/(L214-1)-1)*(1-_xlfn.XLOOKUP(K214,'Janeiro 2023 - Valor Real'!A3:A15,'Janeiro 2023 - Valor Real'!C3:C15,0))+1)/(((L214/(L214-1)-1)*(1-_xlfn.XLOOKUP(K214,'Janeiro 2023 - Valor Real'!A3:A15,'Janeiro 2023 - Valor Real'!C3:C15,0))+1)+((L215/(L215-1)-1)*(1-_xlfn.XLOOKUP(K215,'Janeiro 2023 - Valor Real'!A3:A15,'Janeiro 2023 - Valor Real'!C3:C15,0))+1)),((L214-1)*(1-_xlfn.XLOOKUP(K214,'Janeiro 2023 - Valor Real'!A3:A15,'Janeiro 2023 - Valor Real'!C3:C15,0))+1)/(((L214-1)*(1-_xlfn.XLOOKUP(K214,'Janeiro 2023 - Valor Real'!A3:A15,'Janeiro 2023 - Valor Real'!C3:C15,0))+1)+((L215/(L215-1)-1)*(1-_xlfn.XLOOKUP(K215,'Janeiro 2023 - Valor Real'!A3:A15,'Janeiro 2023 - Valor Real'!C3:C15,0))+1))),IF(I214="Lay",((L214/(L214-1)-1)*(1-_xlfn.XLOOKUP(K214,'Janeiro 2023 - Valor Real'!A3:A15,'Janeiro 2023 - Valor Real'!C3:C15,0))+1)/((((L214/(L214-1)-1)*(1-_xlfn.XLOOKUP(K214,'Janeiro 2023 - Valor Real'!A3:A15,'Janeiro 2023 - Valor Real'!C3:C15,0))+1))+((L215-1)*(1-_xlfn.XLOOKUP(K215,'Janeiro 2023 - Valor Real'!A3:A15,'Janeiro 2023 - Valor Real'!C3:C15,0))+1)),((L214-1)*(1-_xlfn.XLOOKUP(K214,'Janeiro 2023 - Valor Real'!A3:A15,'Janeiro 2023 - Valor Real'!C3:C15,0))+1)/(((L214-1)*(1-_xlfn.XLOOKUP(K214,'Janeiro 2023 - Valor Real'!A3:A15,'Janeiro 2023 - Valor Real'!C3:C15,0))+1)+((L215-1)*(1-_xlfn.XLOOKUP(K215,'Janeiro 2023 - Valor Real'!A3:A15,'Janeiro 2023 - Valor Real'!C3:C15,0))+1))))))</f>
        <v>0.441696113074205</v>
      </c>
      <c r="AF215" s="132">
        <f>IF($K215=AF$3,ROUND(IF(OR($C215="W",$C215="1/2W",$C215="1/2L"),$P215-$O215,IF($C215="X",0,-$O215)),2),0)</f>
        <v>0</v>
      </c>
      <c r="AG215" s="133">
        <f>IF($K215=AG$3,ROUND(IF(OR($C215="W",$C215="1/2W",$C215="1/2L"),$P215-$O215,IF($C215="X",0,-$O215)),2),0)</f>
        <v>0</v>
      </c>
      <c r="AH215" s="133">
        <f>IF($K215=AH$3,ROUND(IF(OR($C215="W",$C215="1/2W",$C215="1/2L"),$P215-$O215,IF($C215="X",0,-$O215)),2),0)</f>
        <v>0</v>
      </c>
      <c r="AI215" s="133">
        <f>IF($K215=AI$3,ROUND(IF(OR($C215="W",$C215="1/2W",$C215="1/2L"),$P215-$O215,IF($C215="X",0,-$O215)),2),0)</f>
        <v>0</v>
      </c>
      <c r="AJ215" s="133">
        <f>IF($K215=AJ$3,ROUND(IF(OR($C215="W",$C215="1/2W",$C215="1/2L"),$P215-$O215,IF($C215="X",0,-$O215)),2),0)</f>
        <v>0</v>
      </c>
      <c r="AK215" s="133">
        <f>IF($K215=AK$3,ROUND(IF(OR($C215="W",$C215="1/2W",$C215="1/2L"),$P215-$O215,IF($C215="X",0,-$O215)),2),0)</f>
        <v>0</v>
      </c>
      <c r="AL215" s="133">
        <f>IF($K215=AL$3,ROUND(IF(OR($C215="W",$C215="1/2W",$C215="1/2L"),$P215-$O215,IF($C215="X",0,-$O215)),2),0)</f>
        <v>0</v>
      </c>
      <c r="AM215" s="133">
        <f>IF($K215=AM$3,ROUND(IF(OR($C215="W",$C215="1/2W",$C215="1/2L"),$P215-$O215,IF($C215="X",0,-$O215)),2),0)</f>
        <v>0</v>
      </c>
      <c r="AN215" s="133">
        <f>IF($K215=AN$3,ROUND(IF(OR($C215="W",$C215="1/2W",$C215="1/2L"),$P215-$O215,IF($C215="X",0,-$O215)),2),0)</f>
        <v>0</v>
      </c>
      <c r="AO215" s="133">
        <f>IF($K215=AO$3,ROUND(IF(OR($C215="W",$C215="1/2W",$C215="1/2L"),$P215-$O215,IF($C215="X",0,-$O215)),2),0)</f>
        <v>0</v>
      </c>
      <c r="AP215" s="133">
        <f>IF($K215=AP$3,ROUND(IF(OR($C215="W",$C215="1/2W",$C215="1/2L"),$P215-$O215,IF($C215="X",0,-$O215)),2),0)</f>
        <v>0</v>
      </c>
      <c r="AQ215" s="133">
        <f>IF($K215=AQ$3,ROUND(IF(OR($C215="W",$C215="1/2W",$C215="1/2L"),$P215-$O215,IF($C215="X",0,-$O215)),2),0)</f>
        <v>-15.8</v>
      </c>
      <c r="AR215" s="134">
        <f>IF($K215=AR$3,ROUND(IF(OR($C215="W",$C215="1/2W",$C215="1/2L"),$P215-$O215,IF($C215="X",0,-$O215)),2),0)</f>
        <v>0</v>
      </c>
      <c r="AS215" s="132">
        <f>IF(AND($B214=" ",$K215=AS$3),$O215,0)</f>
        <v>0</v>
      </c>
      <c r="AT215" s="133">
        <f>IF(AND($B214=" ",K215=AT$3),$O215,0)</f>
        <v>0</v>
      </c>
      <c r="AU215" s="133">
        <f>IF(AND($B214=" ",$K215=AU$3),$O215,0)</f>
        <v>0</v>
      </c>
      <c r="AV215" s="133">
        <f>IF(AND($B214=" ",$K215=AV$3),$O215,0)</f>
        <v>0</v>
      </c>
      <c r="AW215" s="133">
        <f>IF(AND($B214=" ",$K215=AW$3),$O215,0)</f>
        <v>0</v>
      </c>
      <c r="AX215" s="133">
        <f>IF(AND($B214=" ",$K215=AX$3),$O215,0)</f>
        <v>0</v>
      </c>
      <c r="AY215" s="135">
        <f>IF(AND($B214=" ",$K215=AY$3),$O215,0)</f>
        <v>0</v>
      </c>
      <c r="AZ215" s="136">
        <f>IF(AND($B214=" ",$K215=AZ$3),$O215,0)</f>
        <v>0</v>
      </c>
      <c r="BA215" s="136">
        <f>IF(AND($B214=" ",$K215=BA$3),$O215,0)</f>
        <v>0</v>
      </c>
      <c r="BB215" s="136">
        <f>IF(AND($B214=" ",$K215=BB$3),$O215,0)</f>
        <v>0</v>
      </c>
      <c r="BC215" s="137">
        <f>IF(AND($B214=" ",$K215=BC$3),$O215,0)</f>
        <v>0</v>
      </c>
      <c r="BD215" s="133">
        <f>IF(AND($B214=" ",$K215=BD$3),$O215,0)</f>
        <v>0</v>
      </c>
      <c r="BE215" s="134">
        <f>IF(AND($B214=" ",$K215=BE$3),$O215,0)</f>
        <v>0</v>
      </c>
      <c r="BF215" s="132">
        <f>IF($K215=BF$3,IF($C215="X",0,$O215),0)</f>
        <v>0</v>
      </c>
      <c r="BG215" s="281">
        <f>IF($K215=BG$3,IF($C215="X",0,$O215),0)</f>
        <v>0</v>
      </c>
      <c r="BH215" s="133">
        <f>IF($K215=BH$3,IF($C215="X",0,$O215),0)</f>
        <v>0</v>
      </c>
      <c r="BI215" s="133">
        <f>IF($K215=BI$3,IF($C215="X",0,$O215),0)</f>
        <v>0</v>
      </c>
      <c r="BJ215" s="133">
        <f>IF($K215=BJ$3,IF($C215="X",0,$O215),0)</f>
        <v>0</v>
      </c>
      <c r="BK215" s="133">
        <f>IF($K215=BK$3,IF($C215="X",0,$O215),0)</f>
        <v>0</v>
      </c>
      <c r="BL215" s="133">
        <f>IF($K215=BL$3,IF($C215="X",0,$O215),0)</f>
        <v>0</v>
      </c>
      <c r="BM215" s="135">
        <f>IF($K215=BM$3,IF($C215="X",0,$O215),0)</f>
        <v>0</v>
      </c>
      <c r="BN215" s="136">
        <f>IF($K215=BN$3,IF($C215="X",0,$O215),0)</f>
        <v>0</v>
      </c>
      <c r="BO215" s="136">
        <f>IF($K215=BO$3,IF($C215="X",0,$O215),0)</f>
        <v>0</v>
      </c>
      <c r="BP215" s="136">
        <f>IF($K215=BP$3,IF($C215="X",0,$O215),0)</f>
        <v>0</v>
      </c>
      <c r="BQ215" s="137">
        <f>IF($K215=BQ$3,IF($C215="X",0,$O215),0)</f>
        <v>15.8</v>
      </c>
      <c r="BR215" s="134">
        <f>IF($K215=BR$3,IF($C215="X",0,$O215),0)</f>
        <v>0</v>
      </c>
      <c r="BS215" s="282"/>
      <c r="BT215" s="283"/>
      <c r="BU215" s="140"/>
      <c r="BV215" s="283"/>
      <c r="BW215" s="140"/>
      <c r="BX215" s="140"/>
      <c r="BY215" s="140"/>
      <c r="BZ215" s="283"/>
      <c r="CA215" s="140"/>
      <c r="CB215" s="140"/>
      <c r="CC215" s="140"/>
      <c r="CD215" s="141"/>
      <c r="CE215" s="142"/>
      <c r="CF215" s="284">
        <f>IF(CF$3=$K215,IF($C215="W",1,IF($C215="1/2W",0.5,0)),0)</f>
        <v>0</v>
      </c>
      <c r="CG215" s="285">
        <f>IF(CF$3=$K215,IF($C215="L",1,IF($C215="1/2L",0.5,0)),0)</f>
        <v>0</v>
      </c>
      <c r="CH215" s="285">
        <f>IF(CH$3=$K215,IF($C215="W",1,IF($C215="1/2W",0.5,0)),0)</f>
        <v>0</v>
      </c>
      <c r="CI215" s="285">
        <f>IF(CH$3=$K215,IF($C215="L",1,IF($C215="1/2L",0.5,0)),0)</f>
        <v>0</v>
      </c>
      <c r="CJ215" s="285">
        <f>IF(CJ$3=$K215,IF($C215="W",1,IF($C215="1/2W",0.5,0)),0)</f>
        <v>0</v>
      </c>
      <c r="CK215" s="285">
        <f>IF(CJ$3=$K215,IF($C215="L",1,IF($C215="1/2L",0.5,0)),0)</f>
        <v>0</v>
      </c>
      <c r="CL215" s="285">
        <f>IF(CL$3=$K215,IF($C215="W",1,IF($C215="1/2W",0.5,0)),0)</f>
        <v>0</v>
      </c>
      <c r="CM215" s="285">
        <f>IF(CL$3=$K215,IF($C215="L",1,IF($C215="1/2L",0.5,0)),0)</f>
        <v>0</v>
      </c>
      <c r="CN215" s="285">
        <f>IF(CN$3=$K215,IF($C215="W",1,IF($C215="1/2W",0.5,0)),0)</f>
        <v>0</v>
      </c>
      <c r="CO215" s="285">
        <f>IF(CN$3=$K215,IF($C215="L",1,IF($C215="1/2L",0.5,0)),0)</f>
        <v>0</v>
      </c>
      <c r="CP215" s="285">
        <f>IF(CP$3=$K215,IF($C215="W",1,IF($C215="1/2W",0.5,0)),0)</f>
        <v>0</v>
      </c>
      <c r="CQ215" s="285">
        <f>IF(CP$3=$K215,IF($C215="L",1,IF($C215="1/2L",0.5,0)),0)</f>
        <v>0</v>
      </c>
      <c r="CR215" s="285">
        <f>IF(CR$3=$K215,IF($C215="W",1,IF($C215="1/2W",0.5,0)),0)</f>
        <v>0</v>
      </c>
      <c r="CS215" s="285">
        <f>IF(CR$3=$K215,IF($C215="L",1,IF($C215="1/2L",0.5,0)),0)</f>
        <v>0</v>
      </c>
      <c r="CT215" s="145">
        <f>IF(CT$3=$K215,IF($C215="W",1,IF($C215="1/2W",0.5,0)),0)</f>
        <v>0</v>
      </c>
      <c r="CU215" s="146">
        <f>IF(CT$3=$K215,IF($C215="L",1,IF($C215="1/2L",0.5,0)),0)</f>
        <v>0</v>
      </c>
      <c r="CV215" s="146">
        <f>IF(CV$3=$K215,IF($C215="W",1,IF($C215="1/2W",0.5,0)),0)</f>
        <v>0</v>
      </c>
      <c r="CW215" s="146">
        <f>IF(CV$3=$K215,IF($C215="L",1,IF($C215="1/2L",0.5,0)),0)</f>
        <v>0</v>
      </c>
      <c r="CX215" s="146">
        <f>IF(CX$3=$K215,IF($C215="W",1,IF($C215="1/2W",0.5,0)),0)</f>
        <v>0</v>
      </c>
      <c r="CY215" s="146">
        <f>IF(CX$3=$K215,IF($C215="L",1,IF($C215="1/2L",0.5,0)),0)</f>
        <v>0</v>
      </c>
      <c r="CZ215" s="146">
        <f>IF(CZ$3=$K215,IF($C215="W",1,IF($C215="1/2W",0.5,0)),0)</f>
        <v>0</v>
      </c>
      <c r="DA215" s="146">
        <f>IF(CZ$3=$K215,IF($C215="L",1,IF($C215="1/2L",0.5,0)),0)</f>
        <v>0</v>
      </c>
      <c r="DB215" s="146">
        <f>IF(DB$3=$K215,IF($C215="W",1,IF($C215="1/2W",0.5,0)),0)</f>
        <v>0</v>
      </c>
      <c r="DC215" s="146">
        <f>IF(DB$3=$K215,IF($C215="L",1,IF($C215="1/2L",0.5,0)),0)</f>
        <v>1</v>
      </c>
      <c r="DD215" s="146">
        <f>IF(DD$3=$K215,IF($C215="W",1,IF($C215="1/2W",0.5,0)),0)</f>
        <v>0</v>
      </c>
      <c r="DE215" s="147">
        <f>IF(DD$3=$K215,IF($C215="L",1,IF($C215="1/2L",0.5,0)),0)</f>
        <v>0</v>
      </c>
      <c r="DF215" s="143">
        <f>IF(AND(L215&lt;DF$3,$C215="W"),1+DF214,DF214)</f>
        <v>8</v>
      </c>
      <c r="DG215" s="133">
        <f>IF(DF215&gt;DF214,L215+DG214,DG214)</f>
        <v>10.598</v>
      </c>
      <c r="DH215" s="146">
        <f>IF(AND(L215&gt;DH$3,$C215="W"),1+DH214,0+DH214)</f>
        <v>3</v>
      </c>
      <c r="DI215" s="133">
        <f>IF(DH215&gt;DH214,L215+DI214,DI214)</f>
        <v>15.98</v>
      </c>
      <c r="DJ215" t="s" s="304">
        <f>IF($D214="","",$D214)</f>
        <v>184</v>
      </c>
      <c r="DK215" s="286"/>
    </row>
    <row r="216" ht="14.55" customHeight="1">
      <c r="A216" s="149"/>
      <c r="B216" s="150"/>
      <c r="C216" t="s" s="151">
        <v>58</v>
      </c>
      <c r="D216" s="152"/>
      <c r="E216" s="153"/>
      <c r="F216" s="155"/>
      <c r="G216" s="252"/>
      <c r="H216" s="156"/>
      <c r="I216" s="287"/>
      <c r="J216" s="288"/>
      <c r="K216" s="156"/>
      <c r="L216" s="289"/>
      <c r="M216" s="290"/>
      <c r="N216" s="161"/>
      <c r="O216" t="s" s="162">
        <f>IF(OR(AE214="",AE215=""),"",IF(L216&gt;0,ROUND(IF(M216&gt;0,M216,IF(M214&gt;0,ROUND((M214*AE216)/AE214,IF(N214=0,2,IF(N214=0.1,1,0))),IF(M215&gt;0,ROUND((M215*AE216)/AE215,IF(N214=0,2,IF(N214=0.1,1,0))),IF(M216&gt;0,M216,0)))),2),""))</f>
      </c>
      <c r="P216" t="s" s="163">
        <f>IF(I215="Lay",O215*(L215/(L215-1))-O215,IF(I214="Lay",O214*(L214/(L214-1))-O214,IF(OR(L216="",O216=""),"",IF($C216="1/2W",O216/2+O216/2*L216,IF($C216="1/2L",O216/2,(O216*L216-O216)*(1-_xlfn.XLOOKUP(K216,'Janeiro 2023 - Valor Real'!A3:A15,'Janeiro 2023 - Valor Real'!C3:C15,0))+O216)))))</f>
      </c>
      <c r="Q216" t="s" s="154">
        <f>IF(K216="","",IF(_xlfn.XLOOKUP(K216,K$96:K102,DJ$96:DJ102,0,,-1)=DJ216,_xlfn.XLOOKUP(K216,K$96:K102,Q$96:Q102,1,,-1)+1,1))</f>
      </c>
      <c r="R216" t="s" s="163">
        <f>IF(K216="","",_xlfn.XLOOKUP(K216,K$96:K102,R$96:R102,0,,-1)+IF($C216=" ",1,0))</f>
      </c>
      <c r="S216" s="166"/>
      <c r="T216" s="155"/>
      <c r="U216" s="155"/>
      <c r="V216" s="166"/>
      <c r="W216" s="155"/>
      <c r="X216" s="167"/>
      <c r="Y216" s="128"/>
      <c r="Z216" s="129"/>
      <c r="AA216" s="129"/>
      <c r="AB216" s="129"/>
      <c r="AC216" s="129"/>
      <c r="AD216" s="168"/>
      <c r="AE216" t="s" s="169">
        <f>IF(L216="","",(SUM(((L214-1)*(1-_xlfn.XLOOKUP(K214,'Janeiro 2023 - Valor Real'!A3:A15,'Janeiro 2023 - Valor Real'!C3:C15,0))+1),((L215-1)*(1-_xlfn.XLOOKUP(K215,'Janeiro 2023 - Valor Real'!A3:A15,'Janeiro 2023 - Valor Real'!C3:C15,0))+1),((L216-1)*(1-_xlfn.XLOOKUP(K216,'Janeiro 2023 - Valor Real'!A3:A15,'Janeiro 2023 - Valor Real'!C3:C15,0))+1))/((L216-1)*(1-_xlfn.XLOOKUP(K216,'Janeiro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Real'!C3:C15,0))+1))/((L214-1)*(1-_xlfn.XLOOKUP(K214,'Janeiro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Real'!C3:C15,0))+1))/((L215-1)*(1-_xlfn.XLOOKUP(K215,'Janeiro 2023 - Valor Real'!A3:A15,'Janeiro 2023 - Valor Real'!C3:C15,0))+1)+SUM(((L214-1)*(1-_xlfn.XLOOKUP(K214,'Janeiro 2023 - Valor Real'!A3:A15,'Janeiro 2023 - Valor Real'!C3:C15,0))+1),((L215-1)*(1-_xlfn.XLOOKUP(K215,'Janeiro 2023 - Valor Real'!A3:A15,'Janeiro 2023 - Valor Real'!C3:C15,0))+1),((L216-1)*(1-_xlfn.XLOOKUP(K216,'Janeiro 2023 - Valor Real'!A3:A15,'Janeiro 2023 - Valor Real'!C3:C15,0))+1))/((L216-1)*(1-_xlfn.XLOOKUP(K216,'Janeiro 2023 - Valor Real'!A3:A15,'Janeiro 2023 - Valor Real'!C3:C15,0))+1)))</f>
      </c>
      <c r="AF216" s="132">
        <f>IF($K216=AF$3,ROUND(IF(OR($C216="W",$C216="1/2W",$C216="1/2L"),$P216-$O216,IF($C216="X",0,-$O216)),2),0)</f>
        <v>0</v>
      </c>
      <c r="AG216" s="133">
        <f>IF($K216=AG$3,ROUND(IF(OR($C216="W",$C216="1/2W",$C216="1/2L"),$P216-$O216,IF($C216="X",0,-$O216)),2),0)</f>
        <v>0</v>
      </c>
      <c r="AH216" s="133">
        <f>IF($K216=AH$3,ROUND(IF(OR($C216="W",$C216="1/2W",$C216="1/2L"),$P216-$O216,IF($C216="X",0,-$O216)),2),0)</f>
        <v>0</v>
      </c>
      <c r="AI216" s="133">
        <f>IF($K216=AI$3,ROUND(IF(OR($C216="W",$C216="1/2W",$C216="1/2L"),$P216-$O216,IF($C216="X",0,-$O216)),2),0)</f>
        <v>0</v>
      </c>
      <c r="AJ216" s="133">
        <f>IF($K216=AJ$3,ROUND(IF(OR($C216="W",$C216="1/2W",$C216="1/2L"),$P216-$O216,IF($C216="X",0,-$O216)),2),0)</f>
        <v>0</v>
      </c>
      <c r="AK216" s="133">
        <f>IF($K216=AK$3,ROUND(IF(OR($C216="W",$C216="1/2W",$C216="1/2L"),$P216-$O216,IF($C216="X",0,-$O216)),2),0)</f>
        <v>0</v>
      </c>
      <c r="AL216" s="133">
        <f>IF($K216=AL$3,ROUND(IF(OR($C216="W",$C216="1/2W",$C216="1/2L"),$P216-$O216,IF($C216="X",0,-$O216)),2),0)</f>
        <v>0</v>
      </c>
      <c r="AM216" s="133">
        <f>IF($K216=AM$3,ROUND(IF(OR($C216="W",$C216="1/2W",$C216="1/2L"),$P216-$O216,IF($C216="X",0,-$O216)),2),0)</f>
        <v>0</v>
      </c>
      <c r="AN216" s="133">
        <f>IF($K216=AN$3,ROUND(IF(OR($C216="W",$C216="1/2W",$C216="1/2L"),$P216-$O216,IF($C216="X",0,-$O216)),2),0)</f>
        <v>0</v>
      </c>
      <c r="AO216" s="133">
        <f>IF($K216=AO$3,ROUND(IF(OR($C216="W",$C216="1/2W",$C216="1/2L"),$P216-$O216,IF($C216="X",0,-$O216)),2),0)</f>
        <v>0</v>
      </c>
      <c r="AP216" s="133">
        <f>IF($K216=AP$3,ROUND(IF(OR($C216="W",$C216="1/2W",$C216="1/2L"),$P216-$O216,IF($C216="X",0,-$O216)),2),0)</f>
        <v>0</v>
      </c>
      <c r="AQ216" s="133">
        <f>IF($K216=AQ$3,ROUND(IF(OR($C216="W",$C216="1/2W",$C216="1/2L"),$P216-$O216,IF($C216="X",0,-$O216)),2),0)</f>
        <v>0</v>
      </c>
      <c r="AR216" s="134">
        <f>IF($K216=AR$3,ROUND(IF(OR($C216="W",$C216="1/2W",$C216="1/2L"),$P216-$O216,IF($C216="X",0,-$O216)),2),0)</f>
        <v>0</v>
      </c>
      <c r="AS216" s="132">
        <f>IF(AND($B214=" ",$K216=AS$3),$O216,0)</f>
        <v>0</v>
      </c>
      <c r="AT216" s="133">
        <f>IF(AND($B214=" ",K216=AT$3),$O216,0)</f>
        <v>0</v>
      </c>
      <c r="AU216" s="133">
        <f>IF(AND($B214=" ",$K216=AU$3),$O216,0)</f>
        <v>0</v>
      </c>
      <c r="AV216" s="133">
        <f>IF(AND($B214=" ",$K216=AV$3),$O216,0)</f>
        <v>0</v>
      </c>
      <c r="AW216" s="133">
        <f>IF(AND($B214=" ",$K216=AW$3),$O216,0)</f>
        <v>0</v>
      </c>
      <c r="AX216" s="133">
        <f>IF(AND($B214=" ",$K216=AX$3),$O216,0)</f>
        <v>0</v>
      </c>
      <c r="AY216" s="135">
        <f>IF(AND($B214=" ",$K216=AY$3),$O216,0)</f>
        <v>0</v>
      </c>
      <c r="AZ216" s="136">
        <f>IF(AND($B214=" ",$K216=AZ$3),$O216,0)</f>
        <v>0</v>
      </c>
      <c r="BA216" s="136">
        <f>IF(AND($B214=" ",$K216=BA$3),$O216,0)</f>
        <v>0</v>
      </c>
      <c r="BB216" s="136">
        <f>IF(AND($B214=" ",$K216=BB$3),$O216,0)</f>
        <v>0</v>
      </c>
      <c r="BC216" s="137">
        <f>IF(AND($B214=" ",$K216=BC$3),$O216,0)</f>
        <v>0</v>
      </c>
      <c r="BD216" s="133">
        <f>IF(AND($B214=" ",$K216=BD$3),$O216,0)</f>
        <v>0</v>
      </c>
      <c r="BE216" s="134">
        <f>IF(AND($B214=" ",$K216=BE$3),$O216,0)</f>
        <v>0</v>
      </c>
      <c r="BF216" s="132">
        <f>IF($K216=BF$3,IF($C216="X",0,$O216),0)</f>
        <v>0</v>
      </c>
      <c r="BG216" s="281">
        <f>IF($K216=BG$3,IF($C216="X",0,$O216),0)</f>
        <v>0</v>
      </c>
      <c r="BH216" s="133">
        <f>IF($K216=BH$3,IF($C216="X",0,$O216),0)</f>
        <v>0</v>
      </c>
      <c r="BI216" s="133">
        <f>IF($K216=BI$3,IF($C216="X",0,$O216),0)</f>
        <v>0</v>
      </c>
      <c r="BJ216" s="133">
        <f>IF($K216=BJ$3,IF($C216="X",0,$O216),0)</f>
        <v>0</v>
      </c>
      <c r="BK216" s="133">
        <f>IF($K216=BK$3,IF($C216="X",0,$O216),0)</f>
        <v>0</v>
      </c>
      <c r="BL216" s="133">
        <f>IF($K216=BL$3,IF($C216="X",0,$O216),0)</f>
        <v>0</v>
      </c>
      <c r="BM216" s="135">
        <f>IF($K216=BM$3,IF($C216="X",0,$O216),0)</f>
        <v>0</v>
      </c>
      <c r="BN216" s="136">
        <f>IF($K216=BN$3,IF($C216="X",0,$O216),0)</f>
        <v>0</v>
      </c>
      <c r="BO216" s="136">
        <f>IF($K216=BO$3,IF($C216="X",0,$O216),0)</f>
        <v>0</v>
      </c>
      <c r="BP216" s="136">
        <f>IF($K216=BP$3,IF($C216="X",0,$O216),0)</f>
        <v>0</v>
      </c>
      <c r="BQ216" s="137">
        <f>IF($K216=BQ$3,IF($C216="X",0,$O216),0)</f>
        <v>0</v>
      </c>
      <c r="BR216" s="134">
        <f>IF($K216=BR$3,IF($C216="X",0,$O216),0)</f>
        <v>0</v>
      </c>
      <c r="BS216" s="282"/>
      <c r="BT216" s="283"/>
      <c r="BU216" s="140"/>
      <c r="BV216" s="283"/>
      <c r="BW216" s="140"/>
      <c r="BX216" s="140"/>
      <c r="BY216" s="140"/>
      <c r="BZ216" s="283"/>
      <c r="CA216" s="140"/>
      <c r="CB216" s="140"/>
      <c r="CC216" s="140"/>
      <c r="CD216" s="141"/>
      <c r="CE216" s="142"/>
      <c r="CF216" s="284">
        <f>IF(CF$3=$K216,IF($C216="W",1,IF($C216="1/2W",0.5,0)),0)</f>
        <v>0</v>
      </c>
      <c r="CG216" s="285">
        <f>IF(CF$3=$K216,IF($C216="L",1,IF($C216="1/2L",0.5,0)),0)</f>
        <v>0</v>
      </c>
      <c r="CH216" s="285">
        <f>IF(CH$3=$K216,IF($C216="W",1,IF($C216="1/2W",0.5,0)),0)</f>
        <v>0</v>
      </c>
      <c r="CI216" s="285">
        <f>IF(CH$3=$K216,IF($C216="L",1,IF($C216="1/2L",0.5,0)),0)</f>
        <v>0</v>
      </c>
      <c r="CJ216" s="285">
        <f>IF(CJ$3=$K216,IF($C216="W",1,IF($C216="1/2W",0.5,0)),0)</f>
        <v>0</v>
      </c>
      <c r="CK216" s="285">
        <f>IF(CJ$3=$K216,IF($C216="L",1,IF($C216="1/2L",0.5,0)),0)</f>
        <v>0</v>
      </c>
      <c r="CL216" s="285">
        <f>IF(CL$3=$K216,IF($C216="W",1,IF($C216="1/2W",0.5,0)),0)</f>
        <v>0</v>
      </c>
      <c r="CM216" s="285">
        <f>IF(CL$3=$K216,IF($C216="L",1,IF($C216="1/2L",0.5,0)),0)</f>
        <v>0</v>
      </c>
      <c r="CN216" s="285">
        <f>IF(CN$3=$K216,IF($C216="W",1,IF($C216="1/2W",0.5,0)),0)</f>
        <v>0</v>
      </c>
      <c r="CO216" s="285">
        <f>IF(CN$3=$K216,IF($C216="L",1,IF($C216="1/2L",0.5,0)),0)</f>
        <v>0</v>
      </c>
      <c r="CP216" s="285">
        <f>IF(CP$3=$K216,IF($C216="W",1,IF($C216="1/2W",0.5,0)),0)</f>
        <v>0</v>
      </c>
      <c r="CQ216" s="285">
        <f>IF(CP$3=$K216,IF($C216="L",1,IF($C216="1/2L",0.5,0)),0)</f>
        <v>0</v>
      </c>
      <c r="CR216" s="285">
        <f>IF(CR$3=$K216,IF($C216="W",1,IF($C216="1/2W",0.5,0)),0)</f>
        <v>0</v>
      </c>
      <c r="CS216" s="285">
        <f>IF(CR$3=$K216,IF($C216="L",1,IF($C216="1/2L",0.5,0)),0)</f>
        <v>0</v>
      </c>
      <c r="CT216" s="145">
        <f>IF(CT$3=$K216,IF($C216="W",1,IF($C216="1/2W",0.5,0)),0)</f>
        <v>0</v>
      </c>
      <c r="CU216" s="146">
        <f>IF(CT$3=$K216,IF($C216="L",1,IF($C216="1/2L",0.5,0)),0)</f>
        <v>0</v>
      </c>
      <c r="CV216" s="146">
        <f>IF(CV$3=$K216,IF($C216="W",1,IF($C216="1/2W",0.5,0)),0)</f>
        <v>0</v>
      </c>
      <c r="CW216" s="146">
        <f>IF(CV$3=$K216,IF($C216="L",1,IF($C216="1/2L",0.5,0)),0)</f>
        <v>0</v>
      </c>
      <c r="CX216" s="146">
        <f>IF(CX$3=$K216,IF($C216="W",1,IF($C216="1/2W",0.5,0)),0)</f>
        <v>0</v>
      </c>
      <c r="CY216" s="146">
        <f>IF(CX$3=$K216,IF($C216="L",1,IF($C216="1/2L",0.5,0)),0)</f>
        <v>0</v>
      </c>
      <c r="CZ216" s="146">
        <f>IF(CZ$3=$K216,IF($C216="W",1,IF($C216="1/2W",0.5,0)),0)</f>
        <v>0</v>
      </c>
      <c r="DA216" s="146">
        <f>IF(CZ$3=$K216,IF($C216="L",1,IF($C216="1/2L",0.5,0)),0)</f>
        <v>0</v>
      </c>
      <c r="DB216" s="146">
        <f>IF(DB$3=$K216,IF($C216="W",1,IF($C216="1/2W",0.5,0)),0)</f>
        <v>0</v>
      </c>
      <c r="DC216" s="146">
        <f>IF(DB$3=$K216,IF($C216="L",1,IF($C216="1/2L",0.5,0)),0)</f>
        <v>0</v>
      </c>
      <c r="DD216" s="146">
        <f>IF(DD$3=$K216,IF($C216="W",1,IF($C216="1/2W",0.5,0)),0)</f>
        <v>0</v>
      </c>
      <c r="DE216" s="147">
        <f>IF(DD$3=$K216,IF($C216="L",1,IF($C216="1/2L",0.5,0)),0)</f>
        <v>0</v>
      </c>
      <c r="DF216" s="143">
        <f>IF(AND(L216&lt;DF$3,$C216="W"),1+DF215,DF215)</f>
        <v>8</v>
      </c>
      <c r="DG216" s="133">
        <f>IF(DF216&gt;DF215,L216+DG215,DG215)</f>
        <v>10.598</v>
      </c>
      <c r="DH216" s="146">
        <f>IF(AND(L216&gt;DH$3,$C216="W"),1+DH215,0+DH215)</f>
        <v>3</v>
      </c>
      <c r="DI216" s="133">
        <f>IF(DH216&gt;DH215,L216+DI215,DI215)</f>
        <v>15.98</v>
      </c>
      <c r="DJ216" t="s" s="304">
        <f>IF($D214="","",$D214)</f>
        <v>184</v>
      </c>
      <c r="DK216" s="286"/>
    </row>
    <row r="217" ht="14.55" customHeight="1">
      <c r="A217" s="171">
        <f>$A214+1</f>
        <v>72</v>
      </c>
      <c r="B217" t="s" s="172">
        <f>IF(AND(_xlfn.XLOOKUP(H217,H97:H$97,G97:G$97,0)=G217,_xlfn.XLOOKUP("TempoBet",K217:K219,L217:L219,0)&gt;0),"X",IF(OR(C217="W",C218="W",C219="W",C217="1/2W",C218="1/2W",C219="1/2W",C217="1/2L",C218="1/2L",C219="1/2L"),"OK",IF(OR(C217="L",C218="L",C219="L"),"LOSS",IF(OR(C217="X",C218="X",C219="X"),"Anulado"," "))))</f>
        <v>50</v>
      </c>
      <c r="C217" t="s" s="173">
        <v>56</v>
      </c>
      <c r="D217" t="s" s="305">
        <f>IF(G217="","",$D214)</f>
        <v>184</v>
      </c>
      <c r="E217" t="s" s="175">
        <f>IF(G217=""," ","– "&amp;COUNTIF(D26:D$195,$D217))</f>
        <v>96</v>
      </c>
      <c r="F217" t="s" s="176"/>
      <c r="G217" s="177">
        <v>44946.583333333336</v>
      </c>
      <c r="H217" t="s" s="178">
        <v>223</v>
      </c>
      <c r="I217" t="s" s="179">
        <v>54</v>
      </c>
      <c r="J217" s="291">
        <v>4</v>
      </c>
      <c r="K217" t="s" s="181">
        <v>48</v>
      </c>
      <c r="L217" s="182">
        <v>1.98</v>
      </c>
      <c r="M217" s="183">
        <v>269.6</v>
      </c>
      <c r="N217" s="184">
        <v>0</v>
      </c>
      <c r="O217" s="185">
        <f>IF(OR(AE217="",AE218=""),"",ROUND(IF(L219&gt;0,IF(M217&gt;0,M217,IF(M218&gt;0,ROUND((M218*AE217)/AE218,IF(N217=0,2,IF(N217=0.1,1,0))),ROUND((M219*AE217)/AE219,IF(N217=0,2,IF(N217=0.1,1,0))))),IF(M217&gt;0,M217,ROUND((M218*AE217)/AE218,IF(N217=0,2,IF(N217=0.1,1,0))))),2))</f>
        <v>269.6</v>
      </c>
      <c r="P217" s="186">
        <f>IF(OR(L217="",O217=""),"",IF($C217="1/2W",O217/2+O217/2*L217,IF($C217="1/2L",O217/2,IF(I217="Lay",(O217*(L217/(L217-1))-O217)*(1-_xlfn.XLOOKUP(K217,'Janeiro 2023 - Valor Real'!A3:A15,'Janeiro 2023 - Valor Real'!C3:C15,0))+O217,(O217*L217-O217)*(1-_xlfn.XLOOKUP(K217,'Janeiro 2023 - Valor Real'!A3:A15,'Janeiro 2023 - Valor Real'!C3:C15,0))+O217))))</f>
        <v>533.808</v>
      </c>
      <c r="Q217" s="187">
        <f>IF(K217="","",IF(_xlfn.XLOOKUP(K217,K97:K$97,DJ97:DJ$97,0,,-1)=DJ217,_xlfn.XLOOKUP(K217,K97:K$97,Q97:Q$97,1,,-1)+1,1))</f>
        <v>1</v>
      </c>
      <c r="R217" s="188">
        <f>IF(K217="","",_xlfn.XLOOKUP(K217,K97:K$97,R97:R$97,0,,-1)+IF($C217=" ",1,0))</f>
        <v>0</v>
      </c>
      <c r="S217" s="189">
        <f>IF($B217="Anulado",0,ROUND(IF(OR($B217="LOSS",$B217="OK"),IF(OR($C217="W",$C217="1/2W",$C217="1/2L"),P217-O217,IF($C217="L",-O217,0))+IF(OR($C218="W",$C218="1/2W",$C218="1/2L"),P218-O218,IF($C218="L",-O218,0))+IF(OR($C219="W",$C219="1/2W",$C219="1/2L"),P219-O219,IF($C219="L",-O219,0)),IF(AND(OR($C217="W",$C217="1/2W",$C217="1/2L"),C218="W"),P217+P218-SUM(O217:O219)+_xlfn.XLOOKUP("X",C217:C219,O217:O219,0),IF(AND(C217=TRUE,C219="W"),P217+P219-SUM(O217:O219),IF(AND(C218="W",C219="W"),P218+P219-SUM(O217:O219)+_xlfn.XLOOKUP("X",C217:C219,O217:O219,0),IF(L219&gt;0,IF(OR($C217="W",$C217="1/2W",$C217="1/2L"),P217-SUM(O217:O219)+_xlfn.XLOOKUP("X",C217:C219,O217:O219,0),IF(OR($C217="W",$C217="1/2W",$C217="1/2L"),P218-SUM(O217:O219)+_xlfn.XLOOKUP("X",C217:C219,O217:O219,0),IF(OR($C217="W",$C217="1/2W",$C217="1/2L"),P219-SUM(O217:O219)+_xlfn.XLOOKUP("X",C217:C219,O217:O219,0),IF(SUM(P217:P219)/3-SUM(O217:O219)+_xlfn.XLOOKUP("X",C217:C219,O217:O219,0)&gt;0,SUM(P217:P219)/3-SUM(O217:O219)+_xlfn.XLOOKUP("X",C217:C219,O217:O219,0),LARGE(P217:P219,1)-SUM(O217:O219))))),IF(OR($C217="W",$C217="1/2W",$C217="1/2L"),P217-SUM(O217:O218)+_xlfn.XLOOKUP("X",C217:C219,O217:O219,0),IF(OR($C217="W",$C217="1/2W",$C217="1/2L"),P218-SUM(O217:O218)+_xlfn.XLOOKUP("X",C217:C219,O217:O219,0),SUM(P217:P218)/2-SUM(O217:O218)+_xlfn.XLOOKUP("X",C217:C219,O217:O219,0)))))))),2))</f>
        <v>20.46</v>
      </c>
      <c r="T217" s="190">
        <f>IF(S217=0,0,S217/SUM(O217:O219))</f>
        <v>0.0398558488360768</v>
      </c>
      <c r="U217" s="191">
        <f>IF($D217=$D214,IF(OR($B217="LOSS",$B217="OK",$B217="Anulada"),S217,0)+U214,IF(OR($B217="LOSS",$B217="OK",$B217="Anulada"),S217,0))</f>
        <v>53.35</v>
      </c>
      <c r="V217" s="191">
        <f>IF($D217="",0,IF($D217=$D214,IF($B217=" ",IF(I219="",IF(OR(AND(I217="DNB1",I218="DNB2"),AND(OR(I217="DNB1",I217="DNB2"),J218=0),AND(OR(I218="DNB1",I218="DNB2"),J217=0),AND(I217="DNB2",I218="DNB1"),AND(IF(J217=0,(J217+1)/ROUND(J217+1,0),J217/ROUND(J217,0))=1,IF(J218=0,(J218+1)/ROUND(IF(J218="",0,J218)+1,0),IF(J218="",0,J218)/ROUND(IF(J218="",1,J218),0))=1,OR(J217&lt;&gt;""),J218&lt;&gt;"")),0,IF(S217&lt;0,IF(I219="",SMALL(P217:P218,1)-SUM(O217:O218),0),SMALL(P217:P218,1)-SUM(O217:O218))),IF(S217&lt;0,IF(I219="",SMALL(P217:P219,1)-SUM(O217:O219),0),LARGE(P217:P219,1)-SUM(O217:O219))),S217)+V214,IF(I219="",IF(OR(AND(I217="DNB1",I218="DNB2"),AND(OR(I217="DNB1",I217="DNB2"),J218=0),AND(OR(I218="DNB1",I218="DNB2"),J217=0),AND(I217="DNB2",I218="DNB1"),AND(IF(J217=0,(J217+1)/ROUND(J217+1,0),J217/ROUND(J217,0))=1,IF(J218=0,(IF(J218="",0,J218)+1)/ROUND(IF(J218="",0,J218)+1,0),IF(J218="",0,J218)/ROUND(IF(J218="",0,J218)+1,0))=1,OR(J217&lt;&gt;""),J218&lt;&gt;"")),0,IF(S217&lt;0,IF(I219="",SMALL(P217:P218,1)-SUM(O217:O218),0),SMALL(P217:P219,1)-SUM(O217:O219))),IF(S217&lt;0,IF(I219="",SMALL(P217:P219,1)-SUM(O217:O219),0),LARGE(P217:P219,1)-SUM(O217:O219)))))</f>
        <v>53.3475</v>
      </c>
      <c r="W217" s="191">
        <f>IF($D217=$D214,IF(S217&lt;0,IF(I219="",S217,0),S217)+W214,S217)</f>
        <v>53.35</v>
      </c>
      <c r="X217" t="s" s="192">
        <f>IF(OR(SUM(R217:R219)=0,V217=W217),ROUND(IF(W217=0,0,W217/Y217)*100,2)&amp;"%",ROUND(IF(V217=0,0,V217/Y217)*100,2)&amp;"% a "&amp;ROUND(IF(W217=0,0,W217/Y217)*100,2)&amp;"%")</f>
        <v>224</v>
      </c>
      <c r="Y217" s="193">
        <f>IF($D217=$D214,Y214+SUM(O217:O219),SUM(O217:O219))</f>
        <v>1286.95</v>
      </c>
      <c r="Z217" s="191">
        <f>IF($B217=" ",SUM(O217:O219),0)+Z214</f>
        <v>0</v>
      </c>
      <c r="AA217" s="191">
        <f>IF(G217="","",IF($B217="Anulado",LARGE(P217:P219,1)-SUM(O217:O219)+AA214,AA214))</f>
        <v>16.5099</v>
      </c>
      <c r="AB217" s="191">
        <f>IF($D217="","",AB214+S217)</f>
        <v>178.46</v>
      </c>
      <c r="AC217" s="194">
        <f>IF($D217="","",IF($B217=" ",IF(DAY(G217)=DAY(TODAY()),1+AC214,0+AC214),0+AC214))</f>
        <v>0</v>
      </c>
      <c r="AD217" s="195">
        <f>(((L218/(L218-1)-1)*(1-_xlfn.XLOOKUP(K218,'Janeiro 2023 - Valor Real'!A3:A15,'Janeiro 2023 - Valor Real'!C3:C15,0))+1))/(((L217-1)*(1-_xlfn.XLOOKUP(K217,'Janeiro 2023 - Valor Real'!A3:A15,'Janeiro 2023 - Valor Real'!C3:C15,0))+1)+((L218/(L218-1)-1)*(1-_xlfn.XLOOKUP(K218,'Janeiro 2023 - Valor Real'!A3:A15,'Janeiro 2023 - Valor Real'!C3:C15,0))+1))</f>
        <v>0.481720997756368</v>
      </c>
      <c r="AE217" s="196">
        <f>IF(L217="","",IF(L219&gt;0,(SUM(((L217-1)*(1-_xlfn.XLOOKUP(K217,'Janeiro 2023 - Valor Real'!A3:A15,'Janeiro 2023 - Valor Real'!C3:C15,0))+1),((L218-1)*(1-_xlfn.XLOOKUP(K218,'Janeiro 2023 - Valor Real'!A3:A15,'Janeiro 2023 - Valor Real'!C3:C15,0))+1),((L219-1)*(1-_xlfn.XLOOKUP(K219,'Janeiro 2023 - Valor Real'!A3:A15,'Janeiro 2023 - Valor Real'!C3:C15,0))+1))/((L217-1)*(1-_xlfn.XLOOKUP(K217,'Janeiro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Real'!C3:C15,0))+1))/((L217-1)*(1-_xlfn.XLOOKUP(K217,'Janeiro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Real'!C3:C15,0))+1))/((L218-1)*(1-_xlfn.XLOOKUP(K218,'Janeiro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Real'!C3:C15,0))+1))/((L219-1)*(1-_xlfn.XLOOKUP(K219,'Janeiro 2023 - Valor Real'!A3:A15,'Janeiro 2023 - Valor Real'!C3:C15,0))+1)),IF(I217="Lay",IF(I218="Lay",((L218/(L218-1)-1)*(1-_xlfn.XLOOKUP(K218,'Janeiro 2023 - Valor Real'!A3:A15,'Janeiro 2023 - Valor Real'!C3:C15,0))+1)/(((L218/(L218-1)-1)*(1-_xlfn.XLOOKUP(K218,'Janeiro 2023 - Valor Real'!A3:A15,'Janeiro 2023 - Valor Real'!C3:C15,0))+1)+((L217/(L217-1)-1)*(1-_xlfn.XLOOKUP(K217,'Janeiro 2023 - Valor Real'!A3:A15,'Janeiro 2023 - Valor Real'!C3:C15,0))+1)),((L218-1)*(1-_xlfn.XLOOKUP(K218,'Janeiro 2023 - Valor Real'!A3:A15,'Janeiro 2023 - Valor Real'!C3:C15,0))+1)/(((L218-1)*(1-_xlfn.XLOOKUP(K218,'Janeiro 2023 - Valor Real'!A3:A15,'Janeiro 2023 - Valor Real'!C3:C15,0))+1)+((L217/(L217-1)-1)*(1-_xlfn.XLOOKUP(K217,'Janeiro 2023 - Valor Real'!A3:A15,'Janeiro 2023 - Valor Real'!C3:C15,0))+1))),IF(I218="Lay",(((L218/(L218-1)-1)*(1-_xlfn.XLOOKUP(K218,'Janeiro 2023 - Valor Real'!A3:A15,'Janeiro 2023 - Valor Real'!C3:C15,0))+1))/(((L217-1)*(1-_xlfn.XLOOKUP(K217,'Janeiro 2023 - Valor Real'!A3:A15,'Janeiro 2023 - Valor Real'!C3:C15,0))+1)+((L218/(L218-1)-1)*(1-_xlfn.XLOOKUP(K218,'Janeiro 2023 - Valor Real'!A3:A15,'Janeiro 2023 - Valor Real'!C3:C15,0))+1)),((L218-1)*(1-_xlfn.XLOOKUP(K218,'Janeiro 2023 - Valor Real'!A3:A15,'Janeiro 2023 - Valor Real'!C3:C15,0))+1)/(((L218-1)*(1-_xlfn.XLOOKUP(K218,'Janeiro 2023 - Valor Real'!A3:A15,'Janeiro 2023 - Valor Real'!C3:C15,0))+1)+((L217-1)*(1-_xlfn.XLOOKUP(K217,'Janeiro 2023 - Valor Real'!A3:A15,'Janeiro 2023 - Valor Real'!C3:C15,0))+1))))))</f>
        <v>0.525179856115108</v>
      </c>
      <c r="AF217" s="197">
        <f>IF($K217=AF$3,ROUND(IF(OR($C217="W",$C217="1/2W",$C217="1/2L"),$P217-$O217,IF($C217="X",0,-$O217)),2),0)</f>
        <v>0</v>
      </c>
      <c r="AG217" s="198">
        <f>IF($K217=AG$3,ROUND(IF(OR($C217="W",$C217="1/2W",$C217="1/2L"),$P217-$O217,IF($C217="X",0,-$O217)),2),0)</f>
        <v>0</v>
      </c>
      <c r="AH217" s="198">
        <f>IF($K217=AH$3,ROUND(IF(OR($C217="W",$C217="1/2W",$C217="1/2L"),$P217-$O217,IF($C217="X",0,-$O217)),2),0)</f>
        <v>0</v>
      </c>
      <c r="AI217" s="198">
        <f>IF($K217=AI$3,ROUND(IF(OR($C217="W",$C217="1/2W",$C217="1/2L"),$P217-$O217,IF($C217="X",0,-$O217)),2),0)</f>
        <v>0</v>
      </c>
      <c r="AJ217" s="198">
        <f>IF($K217=AJ$3,ROUND(IF(OR($C217="W",$C217="1/2W",$C217="1/2L"),$P217-$O217,IF($C217="X",0,-$O217)),2),0)</f>
        <v>0</v>
      </c>
      <c r="AK217" s="198">
        <f>IF($K217=AK$3,ROUND(IF(OR($C217="W",$C217="1/2W",$C217="1/2L"),$P217-$O217,IF($C217="X",0,-$O217)),2),0)</f>
        <v>0</v>
      </c>
      <c r="AL217" s="198">
        <f>IF($K217=AL$3,ROUND(IF(OR($C217="W",$C217="1/2W",$C217="1/2L"),$P217-$O217,IF($C217="X",0,-$O217)),2),0)</f>
        <v>0</v>
      </c>
      <c r="AM217" s="198">
        <f>IF($K217=AM$3,ROUND(IF(OR($C217="W",$C217="1/2W",$C217="1/2L"),$P217-$O217,IF($C217="X",0,-$O217)),2),0)</f>
        <v>0</v>
      </c>
      <c r="AN217" s="198">
        <f>IF($K217=AN$3,ROUND(IF(OR($C217="W",$C217="1/2W",$C217="1/2L"),$P217-$O217,IF($C217="X",0,-$O217)),2),0)</f>
        <v>0</v>
      </c>
      <c r="AO217" s="198">
        <f>IF($K217=AO$3,ROUND(IF(OR($C217="W",$C217="1/2W",$C217="1/2L"),$P217-$O217,IF($C217="X",0,-$O217)),2),0)</f>
        <v>0</v>
      </c>
      <c r="AP217" s="198">
        <f>IF($K217=AP$3,ROUND(IF(OR($C217="W",$C217="1/2W",$C217="1/2L"),$P217-$O217,IF($C217="X",0,-$O217)),2),0)</f>
        <v>0</v>
      </c>
      <c r="AQ217" s="198">
        <f>IF($K217=AQ$3,ROUND(IF(OR($C217="W",$C217="1/2W",$C217="1/2L"),$P217-$O217,IF($C217="X",0,-$O217)),2),0)</f>
        <v>264.21</v>
      </c>
      <c r="AR217" s="199">
        <f>IF($K217=AR$3,ROUND(IF(OR($C217="W",$C217="1/2W",$C217="1/2L"),$P217-$O217,IF($C217="X",0,-$O217)),2),0)</f>
        <v>0</v>
      </c>
      <c r="AS217" s="197">
        <f>IF(AND($B217=" ",$K217=AS$3),$O217,0)</f>
        <v>0</v>
      </c>
      <c r="AT217" s="198">
        <f>IF(AND($B217=" ",$K217=AT$3),$O217,0)</f>
        <v>0</v>
      </c>
      <c r="AU217" s="198">
        <f>IF(AND($B217=" ",$K217=AU$3),$O217,0)</f>
        <v>0</v>
      </c>
      <c r="AV217" s="198">
        <f>IF(AND($B217=" ",$K217=AV$3),$O217,0)</f>
        <v>0</v>
      </c>
      <c r="AW217" s="198">
        <f>IF(AND($B217=" ",$K217=AW$3),$O217,0)</f>
        <v>0</v>
      </c>
      <c r="AX217" s="198">
        <f>IF(AND($B217=" ",$K217=AX$3),$O217,0)</f>
        <v>0</v>
      </c>
      <c r="AY217" s="200">
        <f>IF(AND($B217=" ",$K217=AY$3),$O217,0)</f>
        <v>0</v>
      </c>
      <c r="AZ217" s="201">
        <f>IF(AND($B217=" ",$K217=AZ$3),$O217,0)</f>
        <v>0</v>
      </c>
      <c r="BA217" s="201">
        <f>IF(AND($B217=" ",$K217=BA$3),$O217,0)</f>
        <v>0</v>
      </c>
      <c r="BB217" s="201">
        <f>IF(AND($B217=" ",$K217=BB$3),$O217,0)</f>
        <v>0</v>
      </c>
      <c r="BC217" s="202">
        <f>IF(AND($B217=" ",$K217=BC$3),$O217,0)</f>
        <v>0</v>
      </c>
      <c r="BD217" s="198">
        <f>IF(AND($B217=" ",$K217=BD$3),$O217,0)</f>
        <v>0</v>
      </c>
      <c r="BE217" s="199">
        <f>IF(AND($B217=" ",$K217=BE$3),$O217,0)</f>
        <v>0</v>
      </c>
      <c r="BF217" s="203">
        <f>IF($K217=BF$3,IF($C217="X",0,$O217),0)</f>
        <v>0</v>
      </c>
      <c r="BG217" s="198">
        <f>IF($K217=BG$3,IF($C217="X",0,$O217),0)</f>
        <v>0</v>
      </c>
      <c r="BH217" s="198">
        <f>IF($K217=BH$3,IF($C217="X",0,$O217),0)</f>
        <v>0</v>
      </c>
      <c r="BI217" s="198">
        <f>IF($K217=BI$3,IF($C217="X",0,$O217),0)</f>
        <v>0</v>
      </c>
      <c r="BJ217" s="198">
        <f>IF($K217=BJ$3,IF($C217="X",0,$O217),0)</f>
        <v>0</v>
      </c>
      <c r="BK217" s="198">
        <f>IF($K217=BK$3,IF($C217="X",0,$O217),0)</f>
        <v>0</v>
      </c>
      <c r="BL217" s="198">
        <f>IF($K217=BL$3,IF($C217="X",0,$O217),0)</f>
        <v>0</v>
      </c>
      <c r="BM217" s="200">
        <f>IF($K217=BM$3,IF($C217="X",0,$O217),0)</f>
        <v>0</v>
      </c>
      <c r="BN217" s="201">
        <f>IF($K217=BN$3,IF($C217="X",0,$O217),0)</f>
        <v>0</v>
      </c>
      <c r="BO217" s="201">
        <f>IF($K217=BO$3,IF($C217="X",0,$O217),0)</f>
        <v>0</v>
      </c>
      <c r="BP217" s="201">
        <f>IF($K217=BP$3,IF($C217="X",0,$O217),0)</f>
        <v>0</v>
      </c>
      <c r="BQ217" s="202">
        <f>IF($K217=BQ$3,IF($C217="X",0,$O217),0)</f>
        <v>269.6</v>
      </c>
      <c r="BR217" s="199">
        <f>IF($K217=BR$3,IF($C217="X",0,$O217),0)</f>
        <v>0</v>
      </c>
      <c r="BS217" s="204">
        <f>IF($B217="LOSS",IF(AND($K217=BS$3,$C217="L"),-$O217,0)+IF(AND($K218=BS$3,$C218="L"),-$O218,0)+IF(AND($K219=BS$3,$C219="L"),-$O219,0),IF(OR(AND($K217=BS$3,OR($C217="W",$C217="1/2W")),AND($K218=BS$3,OR($C218="W",$C218="1/2W")),AND($K219=BS$3,OR($C219="W",$C219="1/2W"))),$S217,0))</f>
        <v>0</v>
      </c>
      <c r="BT217" s="201">
        <f>IF($B217="LOSS",IF(AND($K217=BT$3,$C217="L"),-$O217,0)+IF(AND($K218=BT$3,$C218="L"),-$O218,0)+IF(AND($K218=BT$3,$C219="L"),-$O219,0),IF(OR(AND($K218=BT$3,OR($C217="W",$C217="1/2W")),AND($K218=BT$3,OR($C218="W",$C218="1/2W")),AND($K218=BT$3,OR($C219="W",$C219="1/2W"))),$S217,0))</f>
        <v>0</v>
      </c>
      <c r="BU217" s="201">
        <f>IF($B217="LOSS",IF(AND($K217=BU$3,$C217="L"),-$O217,0)+IF(AND($K218=BU$3,$C218="L"),-$O218,0)+IF(AND($K218=BU$3,$C219="L"),-$O219,0),IF(OR(AND($K218=BU$3,OR($C217="W",$C217="1/2W")),AND($K218=BU$3,OR($C218="W",$C218="1/2W")),AND($K218=BU$3,OR($C219="W",$C219="1/2W"))),$S217,0))</f>
        <v>0</v>
      </c>
      <c r="BV217" s="201">
        <f>IF($B217="LOSS",IF(AND($K217=BV$3,$C217="L"),-$O217,0)+IF(AND($K218=BV$3,$C218="L"),-$O218,0)+IF(AND($K219=BV$3,$C219="L"),-$O219,0),IF(OR(AND($K217=BV$3,OR($C217="W",$C217="1/2W")),AND($K218=BV$3,OR($C218="W",$C218="1/2W")),AND($K219=BV$3,OR($C219="W",$C219="1/2W"))),$S217,0))</f>
        <v>0</v>
      </c>
      <c r="BW217" s="201">
        <f>IF($B217="LOSS",IF(AND($K217=BW$3,$C217="L"),-$O217,0)+IF(AND($K218=BW$3,$C218="L"),-$O218,0)+IF(AND($K219=BW$3,$C219="L"),-$O219,0),IF(OR(AND($K217=BW$3,OR($C217="W",$C217="1/2W")),AND($K218=BW$3,OR($C218="W",$C218="1/2W")),AND($K219=BW$3,OR($C219="W",$C219="1/2W"))),$S217,0))</f>
        <v>0</v>
      </c>
      <c r="BX217" s="201">
        <f>IF($B217="LOSS",IF(AND($K217=BX$3,$C217="L"),-$O217,0)+IF(AND($K218=BX$3,$C218="L"),-$O218,0)+IF(AND($K219=BX$3,$C219="L"),-$O219,0),IF(OR(AND($K217=BX$3,OR($C217="W",$C217="1/2W")),AND($K218=BX$3,OR($C218="W",$C218="1/2W")),AND($K219=BX$3,OR($C219="W",$C219="1/2W"))),$S217,0))</f>
        <v>0</v>
      </c>
      <c r="BY217" s="201">
        <f>IF($B217="LOSS",IF(AND($K217=BY$3,$C217="L"),-$O217,0)+IF(AND($K218=BY$3,$C218="L"),-$O218,0)+IF(AND($K219=BY$3,$C219="L"),-$O219,0),IF(OR(AND($K217=BY$3,OR($C217="W",$C217="1/2W")),AND($K218=BY$3,OR($C218="W",$C218="1/2W")),AND($K219=BY$3,OR($C219="W",$C219="1/2W"))),$S217,0))</f>
        <v>0</v>
      </c>
      <c r="BZ217" s="205">
        <f>IF($B217="LOSS",IF(AND($K217=BZ$3,$C217="L"),-$O217,0)+IF(AND($K218=BZ$3,$C218="L"),-$O218,0)+IF(AND($K219=BZ$3,$C219="L"),-$O219,0),IF(OR(AND($K217=BZ$3,OR($C217="W",$C217="1/2W")),AND($K218=BZ$3,OR($C218="W",$C218="1/2W")),AND($K219=BZ$3,OR($C219="W",$C219="1/2W"))),$S217,0))</f>
        <v>0</v>
      </c>
      <c r="CA217" s="205">
        <f>IF($B217="LOSS",IF(AND($K217=CA$3,$C217="L"),-$O217,0)+IF(AND($K218=CA$3,$C218="L"),-$O218,0)+IF(AND($K219=CA$3,$C219="L"),-$O219,0),IF(OR(AND($K217=CA$3,OR($C217="W",$C217="1/2W")),AND($K218=CA$3,OR($C218="W",$C218="1/2W")),AND($K219=CA$3,OR($C219="W",$C219="1/2W"))),$S217,0))</f>
        <v>0</v>
      </c>
      <c r="CB217" s="205">
        <f>IF($B217="LOSS",IF(AND($K217=CB$3,$C217="L"),-$O217,0)+IF(AND($K218=CB$3,$C218="L"),-$O218,0)+IF(AND($K219=CB$3,$C219="L"),-$O219,0),IF(OR(AND($K217=CB$3,OR($C217="W",$C217="1/2W")),AND($K218=CB$3,OR($C218="W",$C218="1/2W")),AND($K219=CB$3,OR($C219="W",$C219="1/2W"))),$S217,0))</f>
        <v>0</v>
      </c>
      <c r="CC217" s="205">
        <f>IF($B217="LOSS",IF(AND($K217=CC$3,$C217="L"),-$O217,0)+IF(AND($K218=CC$3,$C218="L"),-$O218,0)+IF(AND($K219=CC$3,$C219="L"),-$O219,0),IF(OR(AND($K217=CC$3,OR($C217="W",$C217="1/2W")),AND($K218=CC$3,OR($C218="W",$C218="1/2W")),AND($K219=CC$3,OR($C219="W",$C219="1/2W"))),$S217,0))</f>
        <v>0</v>
      </c>
      <c r="CD217" s="202">
        <f>IF($B217="LOSS",IF(AND($K217=CD$3,$C217="L"),-$O217,0)+IF(AND($K218=CD$3,$C218="L"),-$O218,0)+IF(AND($K219=CD$3,$C219="L"),-$O219,0),IF(OR(AND($K217=CD$3,OR($C217="W",$C217="1/2W")),AND($K218=CD$3,OR($C218="W",$C218="1/2W")),AND($K219=CD$3,OR($C219="W",$C219="1/2W"))),$S217,0))</f>
        <v>20.46</v>
      </c>
      <c r="CE217" s="199">
        <f>IF($B217="LOSS",IF(AND($K217=CE$3,$C217="L"),-$O217,0)+IF(AND($K218=CE$3,$C218="L"),-$O218,0)+IF(AND($K219=CE$3,$C219="L"),-$O219,0),IF(OR(AND($K217=CE$3,OR($C217="W",$C217="1/2W")),AND($K218=CE$3,OR($C218="W",$C218="1/2W")),AND($K219=CE$3,OR($C219="W",$C219="1/2W"))),$S217,0))</f>
        <v>0</v>
      </c>
      <c r="CF217" s="206">
        <f>IF(CF$3=$K217,IF($C217="W",1,IF($C217="1/2W",0.5,0)),0)</f>
        <v>0</v>
      </c>
      <c r="CG217" s="207">
        <f>IF(CF$3=$K217,IF($C217="L",1,IF($C217="1/2L",0.5,0)),0)</f>
        <v>0</v>
      </c>
      <c r="CH217" s="207">
        <f>IF(CH$3=$K217,IF($C217="W",1,IF($C217="1/2W",0.5,0)),0)</f>
        <v>0</v>
      </c>
      <c r="CI217" s="207">
        <f>IF(CH$3=$K217,IF($C217="L",1,IF($C217="1/2L",0.5,0)),0)</f>
        <v>0</v>
      </c>
      <c r="CJ217" s="207">
        <f>IF(CJ$3=$K217,IF($C217="W",1,IF($C217="1/2W",0.5,0)),0)</f>
        <v>0</v>
      </c>
      <c r="CK217" s="207">
        <f>IF(CJ$3=$K217,IF($C217="L",1,IF($C217="1/2L",0.5,0)),0)</f>
        <v>0</v>
      </c>
      <c r="CL217" s="207">
        <f>IF(CL$3=$K217,IF($C217="W",1,IF($C217="1/2W",0.5,0)),0)</f>
        <v>0</v>
      </c>
      <c r="CM217" s="207">
        <f>IF(CL$3=$K217,IF($C217="L",1,IF($C217="1/2L",0.5,0)),0)</f>
        <v>0</v>
      </c>
      <c r="CN217" s="207">
        <f>IF(CN$3=$K217,IF($C217="W",1,IF($C217="1/2W",0.5,0)),0)</f>
        <v>0</v>
      </c>
      <c r="CO217" s="207">
        <f>IF(CN$3=$K217,IF($C217="L",1,IF($C217="1/2L",0.5,0)),0)</f>
        <v>0</v>
      </c>
      <c r="CP217" s="207">
        <f>IF(CP$3=$K217,IF($C217="W",1,IF($C217="1/2W",0.5,0)),0)</f>
        <v>0</v>
      </c>
      <c r="CQ217" s="207">
        <f>IF(CP$3=$K217,IF($C217="L",1,IF($C217="1/2L",0.5,0)),0)</f>
        <v>0</v>
      </c>
      <c r="CR217" s="207">
        <f>IF(CR$3=$K217,IF($C217="W",1,IF($C217="1/2W",0.5,0)),0)</f>
        <v>0</v>
      </c>
      <c r="CS217" s="207">
        <f>IF(CR$3=$K217,IF($C217="L",1,IF($C217="1/2L",0.5,0)),0)</f>
        <v>0</v>
      </c>
      <c r="CT217" s="208">
        <f>IF(CT$3=$K217,IF($C217="W",1,IF($C217="1/2W",0.5,0)),0)</f>
        <v>0</v>
      </c>
      <c r="CU217" s="209">
        <f>IF(CT$3=$K217,IF($C217="L",1,IF($C217="1/2L",0.5,0)),0)</f>
        <v>0</v>
      </c>
      <c r="CV217" s="209">
        <f>IF(CV$3=$K217,IF($C217="W",1,IF($C217="1/2W",0.5,0)),0)</f>
        <v>0</v>
      </c>
      <c r="CW217" s="209">
        <f>IF(CV$3=$K217,IF($C217="L",1,IF($C217="1/2L",0.5,0)),0)</f>
        <v>0</v>
      </c>
      <c r="CX217" s="209">
        <f>IF(CX$3=$K217,IF($C217="W",1,IF($C217="1/2W",0.5,0)),0)</f>
        <v>0</v>
      </c>
      <c r="CY217" s="209">
        <f>IF(CX$3=$K217,IF($C217="L",1,IF($C217="1/2L",0.5,0)),0)</f>
        <v>0</v>
      </c>
      <c r="CZ217" s="209">
        <f>IF(CZ$3=$K217,IF($C217="W",1,IF($C217="1/2W",0.5,0)),0)</f>
        <v>0</v>
      </c>
      <c r="DA217" s="209">
        <f>IF(CZ$3=$K217,IF($C217="L",1,IF($C217="1/2L",0.5,0)),0)</f>
        <v>0</v>
      </c>
      <c r="DB217" s="209">
        <f>IF(DB$3=$K217,IF($C217="W",1,IF($C217="1/2W",0.5,0)),0)</f>
        <v>1</v>
      </c>
      <c r="DC217" s="209">
        <f>IF(DB$3=$K217,IF($C217="L",1,IF($C217="1/2L",0.5,0)),0)</f>
        <v>0</v>
      </c>
      <c r="DD217" s="209">
        <f>IF(DD$3=$K217,IF($C217="W",1,IF($C217="1/2W",0.5,0)),0)</f>
        <v>0</v>
      </c>
      <c r="DE217" s="210">
        <f>IF(DD$3=$K217,IF($C217="L",1,IF($C217="1/2L",0.5,0)),0)</f>
        <v>0</v>
      </c>
      <c r="DF217" s="211">
        <f>IF(AND(L217&lt;DF$3,$C217="W"),1+DF216,DF216)</f>
        <v>8</v>
      </c>
      <c r="DG217" s="198">
        <f>IF(DF217&gt;DF216,L217+DG216,DG216)</f>
        <v>10.598</v>
      </c>
      <c r="DH217" s="209">
        <f>IF(AND(L217&gt;DH$3,$C217="W"),1+DH216,0+DH216)</f>
        <v>3</v>
      </c>
      <c r="DI217" s="198">
        <f>IF(DH217&gt;DH216,L217+DI216,DI216)</f>
        <v>15.98</v>
      </c>
      <c r="DJ217" t="s" s="306">
        <f>IF($D217="","",$D217)</f>
        <v>184</v>
      </c>
      <c r="DK217" s="209">
        <f>IF(AND($B217=" ",$D217&lt;&gt;""),1,0)</f>
        <v>0</v>
      </c>
    </row>
    <row r="218" ht="14.55" customHeight="1">
      <c r="A218" s="107"/>
      <c r="B218" s="108"/>
      <c r="C218" t="s" s="213">
        <v>51</v>
      </c>
      <c r="D218" s="110"/>
      <c r="E218" s="111"/>
      <c r="F218" s="113"/>
      <c r="G218" s="214"/>
      <c r="H218" s="114"/>
      <c r="I218" t="s" s="215">
        <v>57</v>
      </c>
      <c r="J218" s="296">
        <f>IF(OR(I217="TO",I217="TU",I217="TO1",I217="TU1",I217="TO2",I217="TU2"),J217,IF(OR(I217="AH1",I217="AH2"),IF(OR(I218="AH1",I218="AH2"),-J217,IF(OR(I218="EH1",I218="EH2"),-J217+0.5,"")),IF(OR(I217="EH1",I217="EH2"),IF(OR(I218="AH1",I218="AH2"),-J217+0.5,IF(OR(I218="EH1",I218="EH2"),-J217+1,"")),IF(AND(OR(I217="DNB1",I217="DNB2"),OR(I218="AH1",I218="AH2")),0,IF(AND(I217="Not ScoreBoth",OR(I218="TO1",I218="TO2")),0.5,"")))))</f>
        <v>-4</v>
      </c>
      <c r="K218" t="s" s="217">
        <v>44</v>
      </c>
      <c r="L218" s="218">
        <v>2.19</v>
      </c>
      <c r="M218" s="219"/>
      <c r="N218" s="120"/>
      <c r="O218" s="220">
        <f>IF(OR(AE217="",AE218=""),"",ROUND(IF(L219&gt;0,IF(M218&gt;0,M218,IF(M217&gt;0,IF(N217=TRUE,ROUND((M217*AE218)/AE217,0),(M217*AE218)/AE217),IF(M218&gt;0,ROUND(M218,IF(N217=0,2,IF(N217=0.1,1,0))),IF(M219&gt;0,ROUND(O219*AE218/AE219,IF(N217=0,2,IF(N217=0.1,1,0))),0)))),IF(M218&gt;0,M218,ROUND((M217*AE218)/AE217,IF(N217=0,2,IF(N217=0.1,1,0))))),2))</f>
        <v>243.75</v>
      </c>
      <c r="P218" s="221">
        <f>IF(OR(L218="",O218=""),"",IF($C218="1/2W",O218/2+O218/2*L218,IF($C218="1/2L",O218/2,IF(I218="Lay",((O218*(L218/(L218-1)))-O218)*(1-_xlfn.XLOOKUP(K218,'Janeiro 2023 - Valor Real'!A3:A15,'Janeiro 2023 - Valor Real'!C3:C15,0))+O218,(O218*L218-O218)*(1-_xlfn.XLOOKUP(K218,'Janeiro 2023 - Valor Real'!A3:A15,'Janeiro 2023 - Valor Real'!C3:C15,0))+O218))))</f>
        <v>533.8125</v>
      </c>
      <c r="Q218" s="222">
        <f>IF(K218="","",IF(_xlfn.XLOOKUP(K218,K98:K$98,DJ98:DJ$98,0,,-1)=DJ218,_xlfn.XLOOKUP(K218,K98:K$98,Q98:Q$98,1,,-1)+1,1))</f>
        <v>1</v>
      </c>
      <c r="R218" s="223">
        <f>IF(K218="","",_xlfn.XLOOKUP(K218,K98:K$98,R98:R$98,0,,-1)+IF($C218=" ",1,0))</f>
        <v>0</v>
      </c>
      <c r="S218" s="125"/>
      <c r="T218" s="126"/>
      <c r="U218" s="126"/>
      <c r="V218" s="224"/>
      <c r="W218" s="126"/>
      <c r="X218" s="127"/>
      <c r="Y218" s="128"/>
      <c r="Z218" s="129"/>
      <c r="AA218" s="129"/>
      <c r="AB218" s="129"/>
      <c r="AC218" s="129"/>
      <c r="AD218" s="225">
        <f>(((L218/(L218-1)-1)*(1-_xlfn.XLOOKUP(K218,'Janeiro 2023 - Valor Real'!A3:A15,'Janeiro 2023 - Valor Real'!C3:C15,0))+1))</f>
        <v>1.84033613445378</v>
      </c>
      <c r="AE218" s="226">
        <f>IF(L218="","",IF(L219&gt;0,(SUM(((L217-1)*(1-_xlfn.XLOOKUP(K217,'Janeiro 2023 - Valor Real'!A3:A15,'Janeiro 2023 - Valor Real'!C3:C15,0))+1),((L218-1)*(1-_xlfn.XLOOKUP(K218,'Janeiro 2023 - Valor Real'!A3:A15,'Janeiro 2023 - Valor Real'!C3:C15,0))+1),((L219-1)*(1-_xlfn.XLOOKUP(K219,'Janeiro 2023 - Valor Real'!A3:A15,'Janeiro 2023 - Valor Real'!C3:C15,0))+1))/((L218-1)*(1-_xlfn.XLOOKUP(K218,'Janeiro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Real'!C3:C15,0))+1))/((L217-1)*(1-_xlfn.XLOOKUP(K217,'Janeiro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Real'!C3:C15,0))+1))/((L218-1)*(1-_xlfn.XLOOKUP(K218,'Janeiro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Real'!C3:C15,0))+1))/((L219-1)*(1-_xlfn.XLOOKUP(K219,'Janeiro 2023 - Valor Real'!A3:A15,'Janeiro 2023 - Valor Real'!C3:C15,0))+1)),IF(I218="Lay",IF(I217="Lay",((L217/(L217-1)-1)*(1-_xlfn.XLOOKUP(K217,'Janeiro 2023 - Valor Real'!A3:A15,'Janeiro 2023 - Valor Real'!C3:C15,0))+1)/(((L217/(L217-1)-1)*(1-_xlfn.XLOOKUP(K217,'Janeiro 2023 - Valor Real'!A3:A15,'Janeiro 2023 - Valor Real'!C3:C15,0))+1)+((L218/(L218-1)-1)*(1-_xlfn.XLOOKUP(K218,'Janeiro 2023 - Valor Real'!A3:A15,'Janeiro 2023 - Valor Real'!C3:C15,0))+1)),((L217-1)*(1-_xlfn.XLOOKUP(K217,'Janeiro 2023 - Valor Real'!A3:A15,'Janeiro 2023 - Valor Real'!C3:C15,0))+1)/(((L217-1)*(1-_xlfn.XLOOKUP(K217,'Janeiro 2023 - Valor Real'!A3:A15,'Janeiro 2023 - Valor Real'!C3:C15,0))+1)+((L218/(L218-1)-1)*(1-_xlfn.XLOOKUP(K218,'Janeiro 2023 - Valor Real'!A3:A15,'Janeiro 2023 - Valor Real'!C3:C15,0))+1))),IF(I217="Lay",((L217/(L217-1)-1)*(1-_xlfn.XLOOKUP(K217,'Janeiro 2023 - Valor Real'!A3:A15,'Janeiro 2023 - Valor Real'!C3:C15,0))+1)/((((L217/(L217-1)-1)*(1-_xlfn.XLOOKUP(K217,'Janeiro 2023 - Valor Real'!A3:A15,'Janeiro 2023 - Valor Real'!C3:C15,0))+1))+((L218-1)*(1-_xlfn.XLOOKUP(K218,'Janeiro 2023 - Valor Real'!A3:A15,'Janeiro 2023 - Valor Real'!C3:C15,0))+1)),((L217-1)*(1-_xlfn.XLOOKUP(K217,'Janeiro 2023 - Valor Real'!A3:A15,'Janeiro 2023 - Valor Real'!C3:C15,0))+1)/(((L217-1)*(1-_xlfn.XLOOKUP(K217,'Janeiro 2023 - Valor Real'!A3:A15,'Janeiro 2023 - Valor Real'!C3:C15,0))+1)+((L218-1)*(1-_xlfn.XLOOKUP(K218,'Janeiro 2023 - Valor Real'!A3:A15,'Janeiro 2023 - Valor Real'!C3:C15,0))+1))))))</f>
        <v>0.474820143884892</v>
      </c>
      <c r="AF218" s="197">
        <f>IF($K218=AF$3,ROUND(IF(OR($C218="W",$C218="1/2W",$C218="1/2L"),$P218-$O218,IF($C218="X",0,-$O218)),2),0)</f>
        <v>0</v>
      </c>
      <c r="AG218" s="198">
        <f>IF($K218=AG$3,ROUND(IF(OR($C218="W",$C218="1/2W",$C218="1/2L"),$P218-$O218,IF($C218="X",0,-$O218)),2),0)</f>
        <v>0</v>
      </c>
      <c r="AH218" s="198">
        <f>IF($K218=AH$3,ROUND(IF(OR($C218="W",$C218="1/2W",$C218="1/2L"),$P218-$O218,IF($C218="X",0,-$O218)),2),0)</f>
        <v>0</v>
      </c>
      <c r="AI218" s="198">
        <f>IF($K218=AI$3,ROUND(IF(OR($C218="W",$C218="1/2W",$C218="1/2L"),$P218-$O218,IF($C218="X",0,-$O218)),2),0)</f>
        <v>0</v>
      </c>
      <c r="AJ218" s="198">
        <f>IF($K218=AJ$3,ROUND(IF(OR($C218="W",$C218="1/2W",$C218="1/2L"),$P218-$O218,IF($C218="X",0,-$O218)),2),0)</f>
        <v>0</v>
      </c>
      <c r="AK218" s="198">
        <f>IF($K218=AK$3,ROUND(IF(OR($C218="W",$C218="1/2W",$C218="1/2L"),$P218-$O218,IF($C218="X",0,-$O218)),2),0)</f>
        <v>0</v>
      </c>
      <c r="AL218" s="198">
        <f>IF($K218=AL$3,ROUND(IF(OR($C218="W",$C218="1/2W",$C218="1/2L"),$P218-$O218,IF($C218="X",0,-$O218)),2),0)</f>
        <v>0</v>
      </c>
      <c r="AM218" s="198">
        <f>IF($K218=AM$3,ROUND(IF(OR($C218="W",$C218="1/2W",$C218="1/2L"),$P218-$O218,IF($C218="X",0,-$O218)),2),0)</f>
        <v>-243.75</v>
      </c>
      <c r="AN218" s="198">
        <f>IF($K218=AN$3,ROUND(IF(OR($C218="W",$C218="1/2W",$C218="1/2L"),$P218-$O218,IF($C218="X",0,-$O218)),2),0)</f>
        <v>0</v>
      </c>
      <c r="AO218" s="198">
        <f>IF($K218=AO$3,ROUND(IF(OR($C218="W",$C218="1/2W",$C218="1/2L"),$P218-$O218,IF($C218="X",0,-$O218)),2),0)</f>
        <v>0</v>
      </c>
      <c r="AP218" s="198">
        <f>IF($K218=AP$3,ROUND(IF(OR($C218="W",$C218="1/2W",$C218="1/2L"),$P218-$O218,IF($C218="X",0,-$O218)),2),0)</f>
        <v>0</v>
      </c>
      <c r="AQ218" s="198">
        <f>IF($K218=AQ$3,ROUND(IF(OR($C218="W",$C218="1/2W",$C218="1/2L"),$P218-$O218,IF($C218="X",0,-$O218)),2),0)</f>
        <v>0</v>
      </c>
      <c r="AR218" s="199">
        <f>IF($K218=AR$3,ROUND(IF(OR($C218="W",$C218="1/2W",$C218="1/2L"),$P218-$O218,IF($C218="X",0,-$O218)),2),0)</f>
        <v>0</v>
      </c>
      <c r="AS218" s="197">
        <f>IF(AND($B217=" ",$K218=AS$3),$O218,0)</f>
        <v>0</v>
      </c>
      <c r="AT218" s="198">
        <f>IF(AND($B217=" ",K218=AT$3),$O218,0)</f>
        <v>0</v>
      </c>
      <c r="AU218" s="198">
        <f>IF(AND($B217=" ",$K218=AU$3),$O218,0)</f>
        <v>0</v>
      </c>
      <c r="AV218" s="198">
        <f>IF(AND($B217=" ",$K218=AV$3),$O218,0)</f>
        <v>0</v>
      </c>
      <c r="AW218" s="198">
        <f>IF(AND($B217=" ",$K218=AW$3),$O218,0)</f>
        <v>0</v>
      </c>
      <c r="AX218" s="198">
        <f>IF(AND($B217=" ",$K218=AX$3),$O218,0)</f>
        <v>0</v>
      </c>
      <c r="AY218" s="200">
        <f>IF(AND($B217=" ",$K218=AY$3),$O218,0)</f>
        <v>0</v>
      </c>
      <c r="AZ218" s="201">
        <f>IF(AND($B217=" ",$K218=AZ$3),$O218,0)</f>
        <v>0</v>
      </c>
      <c r="BA218" s="201">
        <f>IF(AND($B217=" ",$K218=BA$3),$O218,0)</f>
        <v>0</v>
      </c>
      <c r="BB218" s="201">
        <f>IF(AND($B217=" ",$K218=BB$3),$O218,0)</f>
        <v>0</v>
      </c>
      <c r="BC218" s="202">
        <f>IF(AND($B217=" ",$K218=BC$3),$O218,0)</f>
        <v>0</v>
      </c>
      <c r="BD218" s="198">
        <f>IF(AND($B217=" ",$K218=BD$3),$O218,0)</f>
        <v>0</v>
      </c>
      <c r="BE218" s="199">
        <f>IF(AND($B217=" ",$K218=BE$3),$O218,0)</f>
        <v>0</v>
      </c>
      <c r="BF218" s="197">
        <f>IF($K218=BF$3,IF($C218="X",0,$O218),0)</f>
        <v>0</v>
      </c>
      <c r="BG218" s="198">
        <f>IF($K218=BG$3,IF($C218="X",0,$O218),0)</f>
        <v>0</v>
      </c>
      <c r="BH218" s="198">
        <f>IF($K218=BH$3,IF($C218="X",0,$O218),0)</f>
        <v>0</v>
      </c>
      <c r="BI218" s="198">
        <f>IF($K218=BI$3,IF($C218="X",0,$O218),0)</f>
        <v>0</v>
      </c>
      <c r="BJ218" s="198">
        <f>IF($K218=BJ$3,IF($C218="X",0,$O218),0)</f>
        <v>0</v>
      </c>
      <c r="BK218" s="198">
        <f>IF($K218=BK$3,IF($C218="X",0,$O218),0)</f>
        <v>0</v>
      </c>
      <c r="BL218" s="198">
        <f>IF($K218=BL$3,IF($C218="X",0,$O218),0)</f>
        <v>0</v>
      </c>
      <c r="BM218" s="227">
        <f>IF($K218=BM$3,IF($C218="X",0,$O218),0)</f>
        <v>243.75</v>
      </c>
      <c r="BN218" s="205">
        <f>IF($K218=BN$3,IF($C218="X",0,$O218),0)</f>
        <v>0</v>
      </c>
      <c r="BO218" s="205">
        <f>IF($K218=BO$3,IF($C218="X",0,$O218),0)</f>
        <v>0</v>
      </c>
      <c r="BP218" s="205">
        <f>IF($K218=BP$3,IF($C218="X",0,$O218),0)</f>
        <v>0</v>
      </c>
      <c r="BQ218" s="202">
        <f>IF($K218=BQ$3,IF($C218="X",0,$O218),0)</f>
        <v>0</v>
      </c>
      <c r="BR218" s="199">
        <f>IF($K218=BR$3,IF($C218="X",0,$O218),0)</f>
        <v>0</v>
      </c>
      <c r="BS218" s="228"/>
      <c r="BT218" s="229"/>
      <c r="BU218" s="140"/>
      <c r="BV218" s="229"/>
      <c r="BW218" s="140"/>
      <c r="BX218" s="140"/>
      <c r="BY218" s="140"/>
      <c r="BZ218" s="229"/>
      <c r="CA218" s="140"/>
      <c r="CB218" s="140"/>
      <c r="CC218" s="140"/>
      <c r="CD218" s="141"/>
      <c r="CE218" s="142"/>
      <c r="CF218" s="230">
        <f>IF(CF$3=$K218,IF($C218="W",1,IF($C218="1/2W",0.5,0)),0)</f>
        <v>0</v>
      </c>
      <c r="CG218" s="231">
        <f>IF(CF$3=$K218,IF($C218="L",1,IF($C218="1/2L",0.5,0)),0)</f>
        <v>0</v>
      </c>
      <c r="CH218" s="231">
        <f>IF(CH$3=$K218,IF($C218="W",1,IF($C218="1/2W",0.5,0)),0)</f>
        <v>0</v>
      </c>
      <c r="CI218" s="231">
        <f>IF(CH$3=$K218,IF($C218="L",1,IF($C218="1/2L",0.5,0)),0)</f>
        <v>0</v>
      </c>
      <c r="CJ218" s="231">
        <f>IF(CJ$3=$K218,IF($C218="W",1,IF($C218="1/2W",0.5,0)),0)</f>
        <v>0</v>
      </c>
      <c r="CK218" s="231">
        <f>IF(CJ$3=$K218,IF($C218="L",1,IF($C218="1/2L",0.5,0)),0)</f>
        <v>0</v>
      </c>
      <c r="CL218" s="231">
        <f>IF(CL$3=$K218,IF($C218="W",1,IF($C218="1/2W",0.5,0)),0)</f>
        <v>0</v>
      </c>
      <c r="CM218" s="231">
        <f>IF(CL$3=$K218,IF($C218="L",1,IF($C218="1/2L",0.5,0)),0)</f>
        <v>0</v>
      </c>
      <c r="CN218" s="231">
        <f>IF(CN$3=$K218,IF($C218="W",1,IF($C218="1/2W",0.5,0)),0)</f>
        <v>0</v>
      </c>
      <c r="CO218" s="231">
        <f>IF(CN$3=$K218,IF($C218="L",1,IF($C218="1/2L",0.5,0)),0)</f>
        <v>0</v>
      </c>
      <c r="CP218" s="231">
        <f>IF(CP$3=$K218,IF($C218="W",1,IF($C218="1/2W",0.5,0)),0)</f>
        <v>0</v>
      </c>
      <c r="CQ218" s="231">
        <f>IF(CP$3=$K218,IF($C218="L",1,IF($C218="1/2L",0.5,0)),0)</f>
        <v>0</v>
      </c>
      <c r="CR218" s="231">
        <f>IF(CR$3=$K218,IF($C218="W",1,IF($C218="1/2W",0.5,0)),0)</f>
        <v>0</v>
      </c>
      <c r="CS218" s="231">
        <f>IF(CR$3=$K218,IF($C218="L",1,IF($C218="1/2L",0.5,0)),0)</f>
        <v>0</v>
      </c>
      <c r="CT218" s="208">
        <f>IF(CT$3=$K218,IF($C218="W",1,IF($C218="1/2W",0.5,0)),0)</f>
        <v>0</v>
      </c>
      <c r="CU218" s="209">
        <f>IF(CT$3=$K218,IF($C218="L",1,IF($C218="1/2L",0.5,0)),0)</f>
        <v>1</v>
      </c>
      <c r="CV218" s="209">
        <f>IF(CV$3=$K218,IF($C218="W",1,IF($C218="1/2W",0.5,0)),0)</f>
        <v>0</v>
      </c>
      <c r="CW218" s="209">
        <f>IF(CV$3=$K218,IF($C218="L",1,IF($C218="1/2L",0.5,0)),0)</f>
        <v>0</v>
      </c>
      <c r="CX218" s="209">
        <f>IF(CX$3=$K218,IF($C218="W",1,IF($C218="1/2W",0.5,0)),0)</f>
        <v>0</v>
      </c>
      <c r="CY218" s="209">
        <f>IF(CX$3=$K218,IF($C218="L",1,IF($C218="1/2L",0.5,0)),0)</f>
        <v>0</v>
      </c>
      <c r="CZ218" s="209">
        <f>IF(CZ$3=$K218,IF($C218="W",1,IF($C218="1/2W",0.5,0)),0)</f>
        <v>0</v>
      </c>
      <c r="DA218" s="209">
        <f>IF(CZ$3=$K218,IF($C218="L",1,IF($C218="1/2L",0.5,0)),0)</f>
        <v>0</v>
      </c>
      <c r="DB218" s="209">
        <f>IF(DB$3=$K218,IF($C218="W",1,IF($C218="1/2W",0.5,0)),0)</f>
        <v>0</v>
      </c>
      <c r="DC218" s="209">
        <f>IF(DB$3=$K218,IF($C218="L",1,IF($C218="1/2L",0.5,0)),0)</f>
        <v>0</v>
      </c>
      <c r="DD218" s="209">
        <f>IF(DD$3=$K218,IF($C218="W",1,IF($C218="1/2W",0.5,0)),0)</f>
        <v>0</v>
      </c>
      <c r="DE218" s="210">
        <f>IF(DD$3=$K218,IF($C218="L",1,IF($C218="1/2L",0.5,0)),0)</f>
        <v>0</v>
      </c>
      <c r="DF218" s="211">
        <f>IF(AND(L218&lt;DF$3,$C218="W"),1+DF217,DF217)</f>
        <v>8</v>
      </c>
      <c r="DG218" s="198">
        <f>IF(DF218&gt;DF217,L218+DG217,DG217)</f>
        <v>10.598</v>
      </c>
      <c r="DH218" s="209">
        <f>IF(AND(L218&gt;DH$3,$C218="W"),1+DH217,0+DH217)</f>
        <v>3</v>
      </c>
      <c r="DI218" s="198">
        <f>IF(DH218&gt;DH217,L218+DI217,DI217)</f>
        <v>15.98</v>
      </c>
      <c r="DJ218" t="s" s="306">
        <f>IF($D217="","",$D217)</f>
        <v>184</v>
      </c>
      <c r="DK218" s="232"/>
    </row>
    <row r="219" ht="14.55" customHeight="1">
      <c r="A219" s="149"/>
      <c r="B219" s="150"/>
      <c r="C219" t="s" s="233">
        <v>58</v>
      </c>
      <c r="D219" s="152"/>
      <c r="E219" s="153"/>
      <c r="F219" s="155"/>
      <c r="G219" s="234"/>
      <c r="H219" s="156"/>
      <c r="I219" s="235"/>
      <c r="J219" s="236"/>
      <c r="K219" s="237"/>
      <c r="L219" s="238"/>
      <c r="M219" s="239"/>
      <c r="N219" s="161"/>
      <c r="O219" t="s" s="240">
        <f>IF(OR(AE217="",AE218=""),"",IF(L219&gt;0,ROUND(IF(M219&gt;0,M219,IF(M217&gt;0,ROUND((M217*AE219)/AE217,IF(N217=0,2,IF(N217=0.1,1,0))),IF(M218&gt;0,ROUND((M218*AE219)/AE218,IF(N217=0,2,IF(N217=0.1,1,0))),IF(M219&gt;0,M219,0)))),2),""))</f>
      </c>
      <c r="P219" t="s" s="241">
        <f>IF(I218="Lay",O218*(L218/(L218-1))-O218,IF(I217="Lay",O217*(L217/(L217-1))-O217,IF(OR(L219="",O219=""),"",IF($C219="1/2W",O219/2+O219/2*L219,IF($C219="1/2L",O219/2,(O219*L219-O219)*(1-_xlfn.XLOOKUP(K219,'Janeiro 2023 - Valor Real'!A3:A15,'Janeiro 2023 - Valor Real'!C3:C15,0))+O219)))))</f>
      </c>
      <c r="Q219" t="s" s="242">
        <f>IF(K219="","",IF(_xlfn.XLOOKUP(K219,K99:K$99,DJ99:DJ$99,0,,-1)=DJ219,_xlfn.XLOOKUP(K219,K99:K$99,Q99:Q$99,1,,-1)+1,1))</f>
      </c>
      <c r="R219" t="s" s="243">
        <f>IF(K219="","",_xlfn.XLOOKUP(K219,K99:K$99,R99:R$99,0,,-1)+IF($C219=" ",1,0))</f>
      </c>
      <c r="S219" s="166"/>
      <c r="T219" s="155"/>
      <c r="U219" s="155"/>
      <c r="V219" s="166"/>
      <c r="W219" s="155"/>
      <c r="X219" s="167"/>
      <c r="Y219" s="128"/>
      <c r="Z219" s="129"/>
      <c r="AA219" s="129"/>
      <c r="AB219" s="129"/>
      <c r="AC219" s="129"/>
      <c r="AD219" s="244">
        <f>((L218/(L218-1)-1))</f>
        <v>0.840336134453782</v>
      </c>
      <c r="AE219" t="s" s="245">
        <f>IF(L219="","",(SUM(((L217-1)*(1-_xlfn.XLOOKUP(K217,'Janeiro 2023 - Valor Real'!A3:A15,'Janeiro 2023 - Valor Real'!C3:C15,0))+1),((L218-1)*(1-_xlfn.XLOOKUP(K218,'Janeiro 2023 - Valor Real'!A3:A15,'Janeiro 2023 - Valor Real'!C3:C15,0))+1),((L219-1)*(1-_xlfn.XLOOKUP(K219,'Janeiro 2023 - Valor Real'!A3:A15,'Janeiro 2023 - Valor Real'!C3:C15,0))+1))/((L219-1)*(1-_xlfn.XLOOKUP(K219,'Janeiro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Real'!C3:C15,0))+1))/((L217-1)*(1-_xlfn.XLOOKUP(K217,'Janeiro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Real'!C3:C15,0))+1))/((L218-1)*(1-_xlfn.XLOOKUP(K218,'Janeiro 2023 - Valor Real'!A3:A15,'Janeiro 2023 - Valor Real'!C3:C15,0))+1)+SUM(((L217-1)*(1-_xlfn.XLOOKUP(K217,'Janeiro 2023 - Valor Real'!A3:A15,'Janeiro 2023 - Valor Real'!C3:C15,0))+1),((L218-1)*(1-_xlfn.XLOOKUP(K218,'Janeiro 2023 - Valor Real'!A3:A15,'Janeiro 2023 - Valor Real'!C3:C15,0))+1),((L219-1)*(1-_xlfn.XLOOKUP(K219,'Janeiro 2023 - Valor Real'!A3:A15,'Janeiro 2023 - Valor Real'!C3:C15,0))+1))/((L219-1)*(1-_xlfn.XLOOKUP(K219,'Janeiro 2023 - Valor Real'!A3:A15,'Janeiro 2023 - Valor Real'!C3:C15,0))+1)))</f>
      </c>
      <c r="AF219" s="197">
        <f>IF($K219=AF$3,ROUND(IF(OR($C219="W",$C219="1/2W",$C219="1/2L"),$P219-$O219,IF($C219="X",0,-$O219)),2),0)</f>
        <v>0</v>
      </c>
      <c r="AG219" s="198">
        <f>IF($K219=AG$3,ROUND(IF(OR($C219="W",$C219="1/2W",$C219="1/2L"),$P219-$O219,IF($C219="X",0,-$O219)),2),0)</f>
        <v>0</v>
      </c>
      <c r="AH219" s="198">
        <f>IF($K219=AH$3,ROUND(IF(OR($C219="W",$C219="1/2W",$C219="1/2L"),$P219-$O219,IF($C219="X",0,-$O219)),2),0)</f>
        <v>0</v>
      </c>
      <c r="AI219" s="198">
        <f>IF($K219=AI$3,ROUND(IF(OR($C219="W",$C219="1/2W",$C219="1/2L"),$P219-$O219,IF($C219="X",0,-$O219)),2),0)</f>
        <v>0</v>
      </c>
      <c r="AJ219" s="198">
        <f>IF($K219=AJ$3,ROUND(IF(OR($C219="W",$C219="1/2W",$C219="1/2L"),$P219-$O219,IF($C219="X",0,-$O219)),2),0)</f>
        <v>0</v>
      </c>
      <c r="AK219" s="198">
        <f>IF($K219=AK$3,ROUND(IF(OR($C219="W",$C219="1/2W",$C219="1/2L"),$P219-$O219,IF($C219="X",0,-$O219)),2),0)</f>
        <v>0</v>
      </c>
      <c r="AL219" s="198">
        <f>IF($K219=AL$3,ROUND(IF(OR($C219="W",$C219="1/2W",$C219="1/2L"),$P219-$O219,IF($C219="X",0,-$O219)),2),0)</f>
        <v>0</v>
      </c>
      <c r="AM219" s="198">
        <f>IF($K219=AM$3,ROUND(IF(OR($C219="W",$C219="1/2W",$C219="1/2L"),$P219-$O219,IF($C219="X",0,-$O219)),2),0)</f>
        <v>0</v>
      </c>
      <c r="AN219" s="198">
        <f>IF($K219=AN$3,ROUND(IF(OR($C219="W",$C219="1/2W",$C219="1/2L"),$P219-$O219,IF($C219="X",0,-$O219)),2),0)</f>
        <v>0</v>
      </c>
      <c r="AO219" s="198">
        <f>IF($K219=AO$3,ROUND(IF(OR($C219="W",$C219="1/2W",$C219="1/2L"),$P219-$O219,IF($C219="X",0,-$O219)),2),0)</f>
        <v>0</v>
      </c>
      <c r="AP219" s="198">
        <f>IF($K219=AP$3,ROUND(IF(OR($C219="W",$C219="1/2W",$C219="1/2L"),$P219-$O219,IF($C219="X",0,-$O219)),2),0)</f>
        <v>0</v>
      </c>
      <c r="AQ219" s="198">
        <f>IF($K219=AQ$3,ROUND(IF(OR($C219="W",$C219="1/2W",$C219="1/2L"),$P219-$O219,IF($C219="X",0,-$O219)),2),0)</f>
        <v>0</v>
      </c>
      <c r="AR219" s="199">
        <f>IF($K219=AR$3,ROUND(IF(OR($C219="W",$C219="1/2W",$C219="1/2L"),$P219-$O219,IF($C219="X",0,-$O219)),2),0)</f>
        <v>0</v>
      </c>
      <c r="AS219" s="197">
        <f>IF(AND($B217=" ",$K219=AS$3),$O219,0)</f>
        <v>0</v>
      </c>
      <c r="AT219" s="198">
        <f>IF(AND($B217=" ",K219=AT$3),$O219,0)</f>
        <v>0</v>
      </c>
      <c r="AU219" s="198">
        <f>IF(AND($B217=" ",$K219=AU$3),$O219,0)</f>
        <v>0</v>
      </c>
      <c r="AV219" s="198">
        <f>IF(AND($B217=" ",$K219=AV$3),$O219,0)</f>
        <v>0</v>
      </c>
      <c r="AW219" s="198">
        <f>IF(AND($B217=" ",$K219=AW$3),$O219,0)</f>
        <v>0</v>
      </c>
      <c r="AX219" s="198">
        <f>IF(AND($B217=" ",$K219=AX$3),$O219,0)</f>
        <v>0</v>
      </c>
      <c r="AY219" s="200">
        <f>IF(AND($B217=" ",$K219=AY$3),$O219,0)</f>
        <v>0</v>
      </c>
      <c r="AZ219" s="201">
        <f>IF(AND($B217=" ",$K219=AZ$3),$O219,0)</f>
        <v>0</v>
      </c>
      <c r="BA219" s="201">
        <f>IF(AND($B217=" ",$K219=BA$3),$O219,0)</f>
        <v>0</v>
      </c>
      <c r="BB219" s="201">
        <f>IF(AND($B217=" ",$K219=BB$3),$O219,0)</f>
        <v>0</v>
      </c>
      <c r="BC219" s="202">
        <f>IF(AND($B217=" ",$K219=BC$3),$O219,0)</f>
        <v>0</v>
      </c>
      <c r="BD219" s="198">
        <f>IF(AND($B217=" ",$K219=BD$3),$O219,0)</f>
        <v>0</v>
      </c>
      <c r="BE219" s="199">
        <f>IF(AND($B217=" ",$K219=BE$3),$O219,0)</f>
        <v>0</v>
      </c>
      <c r="BF219" s="197">
        <f>IF($K219=BF$3,IF($C219="X",0,$O219),0)</f>
        <v>0</v>
      </c>
      <c r="BG219" s="198">
        <f>IF($K219=BG$3,IF($C219="X",0,$O219),0)</f>
        <v>0</v>
      </c>
      <c r="BH219" s="198">
        <f>IF($K219=BH$3,IF($C219="X",0,$O219),0)</f>
        <v>0</v>
      </c>
      <c r="BI219" s="198">
        <f>IF($K219=BI$3,IF($C219="X",0,$O219),0)</f>
        <v>0</v>
      </c>
      <c r="BJ219" s="198">
        <f>IF($K219=BJ$3,IF($C219="X",0,$O219),0)</f>
        <v>0</v>
      </c>
      <c r="BK219" s="198">
        <f>IF($K219=BK$3,IF($C219="X",0,$O219),0)</f>
        <v>0</v>
      </c>
      <c r="BL219" s="198">
        <f>IF($K219=BL$3,IF($C219="X",0,$O219),0)</f>
        <v>0</v>
      </c>
      <c r="BM219" s="200">
        <f>IF($K219=BM$3,IF($C219="X",0,$O219),0)</f>
        <v>0</v>
      </c>
      <c r="BN219" s="201">
        <f>IF($K219=BN$3,IF($C219="X",0,$O219),0)</f>
        <v>0</v>
      </c>
      <c r="BO219" s="201">
        <f>IF($K219=BO$3,IF($C219="X",0,$O219),0)</f>
        <v>0</v>
      </c>
      <c r="BP219" s="201">
        <f>IF($K219=BP$3,IF($C219="X",0,$O219),0)</f>
        <v>0</v>
      </c>
      <c r="BQ219" s="202">
        <f>IF($K219=BQ$3,IF($C219="X",0,$O219),0)</f>
        <v>0</v>
      </c>
      <c r="BR219" s="199">
        <f>IF($K219=BR$3,IF($C219="X",0,$O219),0)</f>
        <v>0</v>
      </c>
      <c r="BS219" s="228"/>
      <c r="BT219" s="229"/>
      <c r="BU219" s="140"/>
      <c r="BV219" s="229"/>
      <c r="BW219" s="140"/>
      <c r="BX219" s="140"/>
      <c r="BY219" s="140"/>
      <c r="BZ219" s="229"/>
      <c r="CA219" s="140"/>
      <c r="CB219" s="140"/>
      <c r="CC219" s="140"/>
      <c r="CD219" s="141"/>
      <c r="CE219" s="142"/>
      <c r="CF219" s="230">
        <f>IF(CF$3=$K219,IF($C219="W",1,IF($C219="1/2W",0.5,0)),0)</f>
        <v>0</v>
      </c>
      <c r="CG219" s="231">
        <f>IF(CF$3=$K219,IF($C219="L",1,IF($C219="1/2L",0.5,0)),0)</f>
        <v>0</v>
      </c>
      <c r="CH219" s="231">
        <f>IF(CH$3=$K219,IF($C219="W",1,IF($C219="1/2W",0.5,0)),0)</f>
        <v>0</v>
      </c>
      <c r="CI219" s="231">
        <f>IF(CH$3=$K219,IF($C219="L",1,IF($C219="1/2L",0.5,0)),0)</f>
        <v>0</v>
      </c>
      <c r="CJ219" s="231">
        <f>IF(CJ$3=$K219,IF($C219="W",1,IF($C219="1/2W",0.5,0)),0)</f>
        <v>0</v>
      </c>
      <c r="CK219" s="231">
        <f>IF(CJ$3=$K219,IF($C219="L",1,IF($C219="1/2L",0.5,0)),0)</f>
        <v>0</v>
      </c>
      <c r="CL219" s="231">
        <f>IF(CL$3=$K219,IF($C219="W",1,IF($C219="1/2W",0.5,0)),0)</f>
        <v>0</v>
      </c>
      <c r="CM219" s="231">
        <f>IF(CL$3=$K219,IF($C219="L",1,IF($C219="1/2L",0.5,0)),0)</f>
        <v>0</v>
      </c>
      <c r="CN219" s="231">
        <f>IF(CN$3=$K219,IF($C219="W",1,IF($C219="1/2W",0.5,0)),0)</f>
        <v>0</v>
      </c>
      <c r="CO219" s="231">
        <f>IF(CN$3=$K219,IF($C219="L",1,IF($C219="1/2L",0.5,0)),0)</f>
        <v>0</v>
      </c>
      <c r="CP219" s="231">
        <f>IF(CP$3=$K219,IF($C219="W",1,IF($C219="1/2W",0.5,0)),0)</f>
        <v>0</v>
      </c>
      <c r="CQ219" s="231">
        <f>IF(CP$3=$K219,IF($C219="L",1,IF($C219="1/2L",0.5,0)),0)</f>
        <v>0</v>
      </c>
      <c r="CR219" s="231">
        <f>IF(CR$3=$K219,IF($C219="W",1,IF($C219="1/2W",0.5,0)),0)</f>
        <v>0</v>
      </c>
      <c r="CS219" s="231">
        <f>IF(CR$3=$K219,IF($C219="L",1,IF($C219="1/2L",0.5,0)),0)</f>
        <v>0</v>
      </c>
      <c r="CT219" s="208">
        <f>IF(CT$3=$K219,IF($C219="W",1,IF($C219="1/2W",0.5,0)),0)</f>
        <v>0</v>
      </c>
      <c r="CU219" s="209">
        <f>IF(CT$3=$K219,IF($C219="L",1,IF($C219="1/2L",0.5,0)),0)</f>
        <v>0</v>
      </c>
      <c r="CV219" s="209">
        <f>IF(CV$3=$K219,IF($C219="W",1,IF($C219="1/2W",0.5,0)),0)</f>
        <v>0</v>
      </c>
      <c r="CW219" s="209">
        <f>IF(CV$3=$K219,IF($C219="L",1,IF($C219="1/2L",0.5,0)),0)</f>
        <v>0</v>
      </c>
      <c r="CX219" s="209">
        <f>IF(CX$3=$K219,IF($C219="W",1,IF($C219="1/2W",0.5,0)),0)</f>
        <v>0</v>
      </c>
      <c r="CY219" s="209">
        <f>IF(CX$3=$K219,IF($C219="L",1,IF($C219="1/2L",0.5,0)),0)</f>
        <v>0</v>
      </c>
      <c r="CZ219" s="209">
        <f>IF(CZ$3=$K219,IF($C219="W",1,IF($C219="1/2W",0.5,0)),0)</f>
        <v>0</v>
      </c>
      <c r="DA219" s="209">
        <f>IF(CZ$3=$K219,IF($C219="L",1,IF($C219="1/2L",0.5,0)),0)</f>
        <v>0</v>
      </c>
      <c r="DB219" s="209">
        <f>IF(DB$3=$K219,IF($C219="W",1,IF($C219="1/2W",0.5,0)),0)</f>
        <v>0</v>
      </c>
      <c r="DC219" s="209">
        <f>IF(DB$3=$K219,IF($C219="L",1,IF($C219="1/2L",0.5,0)),0)</f>
        <v>0</v>
      </c>
      <c r="DD219" s="209">
        <f>IF(DD$3=$K219,IF($C219="W",1,IF($C219="1/2W",0.5,0)),0)</f>
        <v>0</v>
      </c>
      <c r="DE219" s="210">
        <f>IF(DD$3=$K219,IF($C219="L",1,IF($C219="1/2L",0.5,0)),0)</f>
        <v>0</v>
      </c>
      <c r="DF219" s="211">
        <f>IF(AND(L219&lt;DF$3,$C219="W"),1+DF218,DF218)</f>
        <v>8</v>
      </c>
      <c r="DG219" s="198">
        <f>IF(DF219&gt;DF218,L219+DG218,DG218)</f>
        <v>10.598</v>
      </c>
      <c r="DH219" s="209">
        <f>IF(AND(L219&gt;DH$3,$C219="W"),1+DH218,0+DH218)</f>
        <v>3</v>
      </c>
      <c r="DI219" s="198">
        <f>IF(DH219&gt;DH218,L219+DI218,DI218)</f>
        <v>15.98</v>
      </c>
      <c r="DJ219" t="s" s="306">
        <f>IF($D217="","",$D217)</f>
        <v>184</v>
      </c>
      <c r="DK219" s="232"/>
    </row>
    <row r="220" ht="14.55" customHeight="1">
      <c r="A220" s="246">
        <f>$A217+1</f>
        <v>73</v>
      </c>
      <c r="B220" t="s" s="247">
        <f>IF(AND(_xlfn.XLOOKUP(H220,H$94:H106,G$94:G106,0)=G220,_xlfn.XLOOKUP("TempoBet",K220:K222,L220:L222,0)&gt;0),"X",IF(OR(C220="W",C221="W",C222="W",C220="1/2W",C221="1/2W",C222="1/2W",C220="1/2L",C221="1/2L",C222="1/2L"),"OK",IF(OR(C220="L",C221="L",C222="L"),"LOSS",IF(OR(C220="X",C221="X",C222="X"),"Anulado"," "))))</f>
        <v>50</v>
      </c>
      <c r="C220" t="s" s="248">
        <v>56</v>
      </c>
      <c r="D220" t="s" s="303">
        <f>IF(G220="","",$D217)</f>
        <v>184</v>
      </c>
      <c r="E220" t="s" s="250">
        <v>93</v>
      </c>
      <c r="F220" t="s" s="251"/>
      <c r="G220" s="252">
        <f>IF(H220="","",_xlfn.XLOOKUP(H220,H$4:H219,G$4:G219,""))</f>
        <v>44946.583333333336</v>
      </c>
      <c r="H220" t="s" s="253">
        <v>223</v>
      </c>
      <c r="I220" t="s" s="254">
        <v>54</v>
      </c>
      <c r="J220" s="255">
        <v>4.5</v>
      </c>
      <c r="K220" t="s" s="256">
        <v>48</v>
      </c>
      <c r="L220" s="257">
        <v>1.86</v>
      </c>
      <c r="M220" s="258">
        <v>207.8</v>
      </c>
      <c r="N220" s="259">
        <v>0</v>
      </c>
      <c r="O220" s="260">
        <f>IF(OR(AE220="",AE221=""),"",ROUND(IF(L222&gt;0,IF(M220&gt;0,M220,IF(M221&gt;0,ROUND((M221*AE220)/AE221,IF(N220=0,2,IF(N220=0.1,1,0))),ROUND((M222*AE220)/AE222,IF(N220=0,2,IF(N220=0.1,1,0))))),IF(M220&gt;0,M220,ROUND((M221*AE220)/AE221,IF(N220=0,2,IF(N220=0.1,1,0))))),2))</f>
        <v>207.8</v>
      </c>
      <c r="P220" s="261">
        <f>IF(OR(L220="",O220=""),"",IF($C220="1/2W",O220/2+O220/2*L220,IF($C220="1/2L",O220/2,IF(I220="Lay",(O220*(L220/(L220-1))-O220)*(1-_xlfn.XLOOKUP(K220,'Janeiro 2023 - Valor Real'!A3:A15,'Janeiro 2023 - Valor Real'!C3:C15,0))+O220,(O220*L220-O220)*(1-_xlfn.XLOOKUP(K220,'Janeiro 2023 - Valor Real'!A3:A15,'Janeiro 2023 - Valor Real'!C3:C15,0))+O220))))</f>
        <v>386.508</v>
      </c>
      <c r="Q220" s="262">
        <f>IF(K220="","",IF(_xlfn.XLOOKUP(K220,K$94:K106,DJ$94:DJ106,0,,-1)=DJ220,_xlfn.XLOOKUP(K220,K$94:K106,Q$94:Q106,1,,-1)+1,1))</f>
        <v>1</v>
      </c>
      <c r="R220" s="263">
        <f>IF(K220="","",_xlfn.XLOOKUP(K220,K$94:K106,R$94:R106,0,,-1)+IF($C220=" ",1,0))</f>
        <v>0</v>
      </c>
      <c r="S220" s="264">
        <f>IF($B220="Anulado",0,ROUND(IF(OR($B220="LOSS",$B220="OK"),IF(OR($C220="W",$C220="1/2W",$C220="1/2L"),P220-O220,IF($C220="L",-O220,0))+IF(OR($C221="W",$C221="1/2W",$C221="1/2L"),P221-O221,IF($C221="L",-O221,0))+IF(OR($C222="W",$C222="1/2W",$C222="1/2L"),P222-O222,IF($C222="L",-O222,0)),IF(AND(OR($C220="W",$C220="1/2W",$C220="1/2L"),C221="W"),P220+P221-SUM(O220:O222)+_xlfn.XLOOKUP("X",C220:C222,O220:O222,0),IF(AND(C220=TRUE,C222="W"),P220+P222-SUM(O220:O222),IF(AND(C221="W",C222="W"),P221+P222-SUM(O220:O222)+_xlfn.XLOOKUP("X",C220:C222,O220:O222,0),IF(L222&gt;0,IF(OR($C220="W",$C220="1/2W",$C220="1/2L"),P220-SUM(O220:O222)+_xlfn.XLOOKUP("X",C220:C222,O220:O222,0),IF(OR($C220="W",$C220="1/2W",$C220="1/2L"),P221-SUM(O220:O222)+_xlfn.XLOOKUP("X",C220:C222,O220:O222,0),IF(OR($C220="W",$C220="1/2W",$C220="1/2L"),P222-SUM(O220:O222)+_xlfn.XLOOKUP("X",C220:C222,O220:O222,0),IF(SUM(P220:P222)/3-SUM(O220:O222)+_xlfn.XLOOKUP("X",C220:C222,O220:O222,0)&gt;0,SUM(P220:P222)/3-SUM(O220:O222)+_xlfn.XLOOKUP("X",C220:C222,O220:O222,0),LARGE(P220:P222,1)-SUM(O220:O222))))),IF(OR($C220="W",$C220="1/2W",$C220="1/2L"),P220-SUM(O220:O221)+_xlfn.XLOOKUP("X",C220:C222,O220:O222,0),IF(OR($C220="W",$C220="1/2W",$C220="1/2L"),P221-SUM(O220:O221)+_xlfn.XLOOKUP("X",C220:C222,O220:O222,0),SUM(P220:P221)/2-SUM(O220:O221)+_xlfn.XLOOKUP("X",C220:C222,O220:O222,0)))))))),2))</f>
        <v>23.71</v>
      </c>
      <c r="T220" s="265">
        <f>IF(S220=0,0,S220/SUM(O220:O222))</f>
        <v>0.0653528114663727</v>
      </c>
      <c r="U220" s="266">
        <f>IF($D220=$D217,IF(OR($B220="LOSS",$B220="OK",$B220="Anulada"),S220,0)+U217,IF(OR($B220="LOSS",$B220="OK",$B220="Anulada"),S220,0))</f>
        <v>77.06</v>
      </c>
      <c r="V220" s="266">
        <f>IF($D220="",0,IF($D220=$D217,IF($B220=" ",IF(I222="",IF(OR(AND(I220="DNB1",I221="DNB2"),AND(OR(I220="DNB1",I220="DNB2"),J221=0),AND(OR(I221="DNB1",I221="DNB2"),J220=0),AND(I220="DNB2",I221="DNB1"),AND(IF(J220=0,(J220+1)/ROUND(J220+1,0),J220/ROUND(J220,0))=1,IF(J221=0,(J221+1)/ROUND(IF(J221="",0,J221)+1,0),IF(J221="",0,J221)/ROUND(IF(J221="",1,J221),0))=1,OR(J220&lt;&gt;""),J221&lt;&gt;"")),0,IF(S220&lt;0,IF(I222="",SMALL(P220:P221,1)-SUM(O220:O221),0),SMALL(P220:P221,1)-SUM(O220:O221))),IF(S220&lt;0,IF(I222="",SMALL(P220:P222,1)-SUM(O220:O222),0),LARGE(P220:P222,1)-SUM(O220:O222))),S220)+V217,IF(I222="",IF(OR(AND(I220="DNB1",I221="DNB2"),AND(OR(I220="DNB1",I220="DNB2"),J221=0),AND(OR(I221="DNB1",I221="DNB2"),J220=0),AND(I220="DNB2",I221="DNB1"),AND(IF(J220=0,(J220+1)/ROUND(J220+1,0),J220/ROUND(J220,0))=1,IF(J221=0,(IF(J221="",0,J221)+1)/ROUND(IF(J221="",0,J221)+1,0),IF(J221="",0,J221)/ROUND(IF(J221="",0,J221)+1,0))=1,OR(J220&lt;&gt;""),J221&lt;&gt;"")),0,IF(S220&lt;0,IF(I222="",SMALL(P220:P221,1)-SUM(O220:O221),0),SMALL(P220:P222,1)-SUM(O220:O222))),IF(S220&lt;0,IF(I222="",SMALL(P220:P222,1)-SUM(O220:O222),0),LARGE(P220:P222,1)-SUM(O220:O222)))))</f>
        <v>77.0575</v>
      </c>
      <c r="W220" s="266">
        <f>IF($D220=$D217,IF(S220&lt;0,IF(I222="",S220,0),S220)+W217,S220)</f>
        <v>77.06</v>
      </c>
      <c r="X220" t="s" s="267">
        <f>IF(OR(SUM(R220:R222)=0,V220=W220),ROUND(IF(W220=0,0,W220/Y220)*100,2)&amp;"%",ROUND(IF(V220=0,0,V220/Y220)*100,2)&amp;"% a "&amp;ROUND(IF(W220=0,0,W220/Y220)*100,2)&amp;"%")</f>
        <v>225</v>
      </c>
      <c r="Y220" s="268">
        <f>IF($D220=$D217,Y217+SUM(O220:O222),SUM(O220:O222))</f>
        <v>1649.75</v>
      </c>
      <c r="Z220" s="266">
        <f>IF($B220=" ",SUM(O220:O222),0)+Z217</f>
        <v>0</v>
      </c>
      <c r="AA220" s="266">
        <f>IF(G220="","",IF($B220="Anulado",LARGE(P220:P222,1)-SUM(O220:O222)+AA217,AA217))</f>
        <v>16.5099</v>
      </c>
      <c r="AB220" s="266">
        <f>IF($D220="","",AB217+S220)</f>
        <v>202.17</v>
      </c>
      <c r="AC220" s="269">
        <f>IF($D220="","",IF($B220=" ",IF(DAY(G220)=DAY(TODAY()),1+AC217,0+AC217),0+AC217))</f>
        <v>0</v>
      </c>
      <c r="AD220" s="270">
        <f>(1-_xlfn.XLOOKUP(K218,'Janeiro 2023 - Valor Real'!A3:A15,'Janeiro 2023 - Valor Real'!C3:C15,0))+1</f>
        <v>2</v>
      </c>
      <c r="AE220" s="271">
        <f>IF(L220="","",IF(L222&gt;0,(SUM(((L220-1)*(1-_xlfn.XLOOKUP(K220,'Janeiro 2023 - Valor Real'!A3:A15,'Janeiro 2023 - Valor Real'!C3:C15,0))+1),((L221-1)*(1-_xlfn.XLOOKUP(K221,'Janeiro 2023 - Valor Real'!A3:A15,'Janeiro 2023 - Valor Real'!C3:C15,0))+1),((L222-1)*(1-_xlfn.XLOOKUP(K222,'Janeiro 2023 - Valor Real'!A3:A15,'Janeiro 2023 - Valor Real'!C3:C15,0))+1))/((L220-1)*(1-_xlfn.XLOOKUP(K220,'Janeiro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Real'!C3:C15,0))+1))/((L220-1)*(1-_xlfn.XLOOKUP(K220,'Janeiro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Real'!C3:C15,0))+1))/((L221-1)*(1-_xlfn.XLOOKUP(K221,'Janeiro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Real'!C3:C15,0))+1))/((L222-1)*(1-_xlfn.XLOOKUP(K222,'Janeiro 2023 - Valor Real'!A3:A15,'Janeiro 2023 - Valor Real'!C3:C15,0))+1)),IF(I220="Lay",IF(I221="Lay",((L221/(L221-1)-1)*(1-_xlfn.XLOOKUP(K221,'Janeiro 2023 - Valor Real'!A3:A15,'Janeiro 2023 - Valor Real'!C3:C15,0))+1)/(((L221/(L221-1)-1)*(1-_xlfn.XLOOKUP(K221,'Janeiro 2023 - Valor Real'!A3:A15,'Janeiro 2023 - Valor Real'!C3:C15,0))+1)+((L220/(L220-1)-1)*(1-_xlfn.XLOOKUP(K220,'Janeiro 2023 - Valor Real'!A3:A15,'Janeiro 2023 - Valor Real'!C3:C15,0))+1)),((L221-1)*(1-_xlfn.XLOOKUP(K221,'Janeiro 2023 - Valor Real'!A3:A15,'Janeiro 2023 - Valor Real'!C3:C15,0))+1)/(((L221-1)*(1-_xlfn.XLOOKUP(K221,'Janeiro 2023 - Valor Real'!A3:A15,'Janeiro 2023 - Valor Real'!C3:C15,0))+1)+((L220/(L220-1)-1)*(1-_xlfn.XLOOKUP(K220,'Janeiro 2023 - Valor Real'!A3:A15,'Janeiro 2023 - Valor Real'!C3:C15,0))+1))),IF(I221="Lay",(((L221/(L221-1)-1)*(1-_xlfn.XLOOKUP(K221,'Janeiro 2023 - Valor Real'!A3:A15,'Janeiro 2023 - Valor Real'!C3:C15,0))+1))/(((L220-1)*(1-_xlfn.XLOOKUP(K220,'Janeiro 2023 - Valor Real'!A3:A15,'Janeiro 2023 - Valor Real'!C3:C15,0))+1)+((L221/(L221-1)-1)*(1-_xlfn.XLOOKUP(K221,'Janeiro 2023 - Valor Real'!A3:A15,'Janeiro 2023 - Valor Real'!C3:C15,0))+1)),((L221-1)*(1-_xlfn.XLOOKUP(K221,'Janeiro 2023 - Valor Real'!A3:A15,'Janeiro 2023 - Valor Real'!C3:C15,0))+1)/(((L221-1)*(1-_xlfn.XLOOKUP(K221,'Janeiro 2023 - Valor Real'!A3:A15,'Janeiro 2023 - Valor Real'!C3:C15,0))+1)+((L220-1)*(1-_xlfn.XLOOKUP(K220,'Janeiro 2023 - Valor Real'!A3:A15,'Janeiro 2023 - Valor Real'!C3:C15,0))+1))))))</f>
        <v>0.570438799076212</v>
      </c>
      <c r="AF220" s="132">
        <f>IF($K220=AF$3,ROUND(IF(OR($C220="W",$C220="1/2W",$C220="1/2L"),$P220-$O220,IF($C220="X",0,-$O220)),2),0)</f>
        <v>0</v>
      </c>
      <c r="AG220" s="133">
        <f>IF($K220=AG$3,ROUND(IF(OR($C220="W",$C220="1/2W",$C220="1/2L"),$P220-$O220,IF($C220="X",0,-$O220)),2),0)</f>
        <v>0</v>
      </c>
      <c r="AH220" s="133">
        <f>IF($K220=AH$3,ROUND(IF(OR($C220="W",$C220="1/2W",$C220="1/2L"),$P220-$O220,IF($C220="X",0,-$O220)),2),0)</f>
        <v>0</v>
      </c>
      <c r="AI220" s="133">
        <f>IF($K220=AI$3,ROUND(IF(OR($C220="W",$C220="1/2W",$C220="1/2L"),$P220-$O220,IF($C220="X",0,-$O220)),2),0)</f>
        <v>0</v>
      </c>
      <c r="AJ220" s="133">
        <f>IF($K220=AJ$3,ROUND(IF(OR($C220="W",$C220="1/2W",$C220="1/2L"),$P220-$O220,IF($C220="X",0,-$O220)),2),0)</f>
        <v>0</v>
      </c>
      <c r="AK220" s="133">
        <f>IF($K220=AK$3,ROUND(IF(OR($C220="W",$C220="1/2W",$C220="1/2L"),$P220-$O220,IF($C220="X",0,-$O220)),2),0)</f>
        <v>0</v>
      </c>
      <c r="AL220" s="133">
        <f>IF($K220=AL$3,ROUND(IF(OR($C220="W",$C220="1/2W",$C220="1/2L"),$P220-$O220,IF($C220="X",0,-$O220)),2),0)</f>
        <v>0</v>
      </c>
      <c r="AM220" s="133">
        <f>IF($K220=AM$3,ROUND(IF(OR($C220="W",$C220="1/2W",$C220="1/2L"),$P220-$O220,IF($C220="X",0,-$O220)),2),0)</f>
        <v>0</v>
      </c>
      <c r="AN220" s="133">
        <f>IF($K220=AN$3,ROUND(IF(OR($C220="W",$C220="1/2W",$C220="1/2L"),$P220-$O220,IF($C220="X",0,-$O220)),2),0)</f>
        <v>0</v>
      </c>
      <c r="AO220" s="133">
        <f>IF($K220=AO$3,ROUND(IF(OR($C220="W",$C220="1/2W",$C220="1/2L"),$P220-$O220,IF($C220="X",0,-$O220)),2),0)</f>
        <v>0</v>
      </c>
      <c r="AP220" s="133">
        <f>IF($K220=AP$3,ROUND(IF(OR($C220="W",$C220="1/2W",$C220="1/2L"),$P220-$O220,IF($C220="X",0,-$O220)),2),0)</f>
        <v>0</v>
      </c>
      <c r="AQ220" s="133">
        <f>IF($K220=AQ$3,ROUND(IF(OR($C220="W",$C220="1/2W",$C220="1/2L"),$P220-$O220,IF($C220="X",0,-$O220)),2),0)</f>
        <v>178.71</v>
      </c>
      <c r="AR220" s="134">
        <f>IF($K220=AR$3,ROUND(IF(OR($C220="W",$C220="1/2W",$C220="1/2L"),$P220-$O220,IF($C220="X",0,-$O220)),2),0)</f>
        <v>0</v>
      </c>
      <c r="AS220" s="132">
        <f>IF(AND($B220=" ",$K220=AS$3),$O220,0)</f>
        <v>0</v>
      </c>
      <c r="AT220" s="133">
        <f>IF(AND($B220=" ",$K220=AT$3),$O220,0)</f>
        <v>0</v>
      </c>
      <c r="AU220" s="133">
        <f>IF(AND($B220=" ",$K220=AU$3),$O220,0)</f>
        <v>0</v>
      </c>
      <c r="AV220" s="133">
        <f>IF(AND($B220=" ",$K220=AV$3),$O220,0)</f>
        <v>0</v>
      </c>
      <c r="AW220" s="133">
        <f>IF(AND($B220=" ",$K220=AW$3),$O220,0)</f>
        <v>0</v>
      </c>
      <c r="AX220" s="133">
        <f>IF(AND($B220=" ",$K220=AX$3),$O220,0)</f>
        <v>0</v>
      </c>
      <c r="AY220" s="135">
        <f>IF(AND($B220=" ",$K220=AY$3),$O220,0)</f>
        <v>0</v>
      </c>
      <c r="AZ220" s="136">
        <f>IF(AND($B220=" ",$K220=AZ$3),$O220,0)</f>
        <v>0</v>
      </c>
      <c r="BA220" s="136">
        <f>IF(AND($B220=" ",$K220=BA$3),$O220,0)</f>
        <v>0</v>
      </c>
      <c r="BB220" s="136">
        <f>IF(AND($B220=" ",$K220=BB$3),$O220,0)</f>
        <v>0</v>
      </c>
      <c r="BC220" s="137">
        <f>IF(AND($B220=" ",$K220=BC$3),$O220,0)</f>
        <v>0</v>
      </c>
      <c r="BD220" s="133">
        <f>IF(AND($B220=" ",$K220=BD$3),$O220,0)</f>
        <v>0</v>
      </c>
      <c r="BE220" s="134">
        <f>IF(AND($B220=" ",$K220=BE$3),$O220,0)</f>
        <v>0</v>
      </c>
      <c r="BF220" s="132">
        <f>IF($K220=BF$3,IF($C220="X",0,$O220),0)</f>
        <v>0</v>
      </c>
      <c r="BG220" s="133">
        <f>IF($K220=BG$3,IF($C220="X",0,$O220),0)</f>
        <v>0</v>
      </c>
      <c r="BH220" s="133">
        <f>IF($K220=BH$3,IF($C220="X",0,$O220),0)</f>
        <v>0</v>
      </c>
      <c r="BI220" s="133">
        <f>IF($K220=BI$3,IF($C220="X",0,$O220),0)</f>
        <v>0</v>
      </c>
      <c r="BJ220" s="133">
        <f>IF($K220=BJ$3,IF($C220="X",0,$O220),0)</f>
        <v>0</v>
      </c>
      <c r="BK220" s="133">
        <f>IF($K220=BK$3,IF($C220="X",0,$O220),0)</f>
        <v>0</v>
      </c>
      <c r="BL220" s="133">
        <f>IF($K220=BL$3,IF($C220="X",0,$O220),0)</f>
        <v>0</v>
      </c>
      <c r="BM220" s="135">
        <f>IF($K220=BM$3,IF($C220="X",0,$O220),0)</f>
        <v>0</v>
      </c>
      <c r="BN220" s="136">
        <f>IF($K220=BN$3,IF($C220="X",0,$O220),0)</f>
        <v>0</v>
      </c>
      <c r="BO220" s="136">
        <f>IF($K220=BO$3,IF($C220="X",0,$O220),0)</f>
        <v>0</v>
      </c>
      <c r="BP220" s="136">
        <f>IF($K220=BP$3,IF($C220="X",0,$O220),0)</f>
        <v>0</v>
      </c>
      <c r="BQ220" s="137">
        <f>IF($K220=BQ$3,IF($C220="X",0,$O220),0)</f>
        <v>207.8</v>
      </c>
      <c r="BR220" s="134">
        <f>IF($K220=BR$3,IF($C220="X",0,$O220),0)</f>
        <v>0</v>
      </c>
      <c r="BS220" s="170">
        <f>IF($B220="LOSS",IF(AND($K220=BS$3,$C220="L"),-$O220,0)+IF(AND($K221=BS$3,$C221="L"),-$O221,0)+IF(AND($K222=BS$3,$C222="L"),-$O222,0),IF(OR(AND($K220=BS$3,OR($C220="W",$C220="1/2W")),AND($K221=BS$3,OR($C221="W",$C221="1/2W")),AND($K222=BS$3,OR($C222="W",$C222="1/2W"))),$S220,0))</f>
        <v>0</v>
      </c>
      <c r="BT220" s="272">
        <f>IF($B220="LOSS",IF(AND($K220=BT$3,$C220="L"),-$O220,0)+IF(AND($K221=BT$3,$C221="L"),-$O221,0)+IF(AND($K221=BT$3,$C222="L"),-$O222,0),IF(OR(AND($K221=BT$3,OR($C220="W",$C220="1/2W")),AND($K221=BT$3,OR($C221="W",$C221="1/2W")),AND($K221=BT$3,OR($C222="W",$C222="1/2W"))),$S220,0))</f>
        <v>0</v>
      </c>
      <c r="BU220" s="136">
        <f>IF($B220="LOSS",IF(AND($K220=BU$3,$C220="L"),-$O220,0)+IF(AND($K221=BU$3,$C221="L"),-$O221,0)+IF(AND($K221=BU$3,$C222="L"),-$O222,0),IF(OR(AND($K221=BU$3,OR($C220="W",$C220="1/2W")),AND($K221=BU$3,OR($C221="W",$C221="1/2W")),AND($K221=BU$3,OR($C222="W",$C222="1/2W"))),$S220,0))</f>
        <v>0</v>
      </c>
      <c r="BV220" s="136">
        <f>IF($B220="LOSS",IF(AND($K220=BV$3,$C220="L"),-$O220,0)+IF(AND($K221=BV$3,$C221="L"),-$O221,0)+IF(AND($K222=BV$3,$C222="L"),-$O222,0),IF(OR(AND($K220=BV$3,OR($C220="W",$C220="1/2W")),AND($K221=BV$3,OR($C221="W",$C221="1/2W")),AND($K222=BV$3,OR($C222="W",$C222="1/2W"))),$S220,0))</f>
        <v>0</v>
      </c>
      <c r="BW220" s="136">
        <f>IF($B220="LOSS",IF(AND($K220=BW$3,$C220="L"),-$O220,0)+IF(AND($K221=BW$3,$C221="L"),-$O221,0)+IF(AND($K222=BW$3,$C222="L"),-$O222,0),IF(OR(AND($K220=BW$3,OR($C220="W",$C220="1/2W")),AND($K221=BW$3,OR($C221="W",$C221="1/2W")),AND($K222=BW$3,OR($C222="W",$C222="1/2W"))),$S220,0))</f>
        <v>0</v>
      </c>
      <c r="BX220" s="136">
        <f>IF($B220="LOSS",IF(AND($K220=BX$3,$C220="L"),-$O220,0)+IF(AND($K221=BX$3,$C221="L"),-$O221,0)+IF(AND($K222=BX$3,$C222="L"),-$O222,0),IF(OR(AND($K220=BX$3,OR($C220="W",$C220="1/2W")),AND($K221=BX$3,OR($C221="W",$C221="1/2W")),AND($K222=BX$3,OR($C222="W",$C222="1/2W"))),$S220,0))</f>
        <v>0</v>
      </c>
      <c r="BY220" s="136">
        <f>IF($B220="LOSS",IF(AND($K220=BY$3,$C220="L"),-$O220,0)+IF(AND($K221=BY$3,$C221="L"),-$O221,0)+IF(AND($K222=BY$3,$C222="L"),-$O222,0),IF(OR(AND($K220=BY$3,OR($C220="W",$C220="1/2W")),AND($K221=BY$3,OR($C221="W",$C221="1/2W")),AND($K222=BY$3,OR($C222="W",$C222="1/2W"))),$S220,0))</f>
        <v>0</v>
      </c>
      <c r="BZ220" s="136">
        <f>IF($B220="LOSS",IF(AND($K220=BZ$3,$C220="L"),-$O220,0)+IF(AND($K221=BZ$3,$C221="L"),-$O221,0)+IF(AND($K222=BZ$3,$C222="L"),-$O222,0),IF(OR(AND($K220=BZ$3,OR($C220="W",$C220="1/2W")),AND($K221=BZ$3,OR($C221="W",$C221="1/2W")),AND($K222=BZ$3,OR($C222="W",$C222="1/2W"))),$S220,0))</f>
        <v>0</v>
      </c>
      <c r="CA220" s="136">
        <f>IF($B220="LOSS",IF(AND($K220=CA$3,$C220="L"),-$O220,0)+IF(AND($K221=CA$3,$C221="L"),-$O221,0)+IF(AND($K222=CA$3,$C222="L"),-$O222,0),IF(OR(AND($K220=CA$3,OR($C220="W",$C220="1/2W")),AND($K221=CA$3,OR($C221="W",$C221="1/2W")),AND($K222=CA$3,OR($C222="W",$C222="1/2W"))),$S220,0))</f>
        <v>0</v>
      </c>
      <c r="CB220" s="136">
        <f>IF($B220="LOSS",IF(AND($K220=CB$3,$C220="L"),-$O220,0)+IF(AND($K221=CB$3,$C221="L"),-$O221,0)+IF(AND($K222=CB$3,$C222="L"),-$O222,0),IF(OR(AND($K220=CB$3,OR($C220="W",$C220="1/2W")),AND($K221=CB$3,OR($C221="W",$C221="1/2W")),AND($K222=CB$3,OR($C222="W",$C222="1/2W"))),$S220,0))</f>
        <v>0</v>
      </c>
      <c r="CC220" s="136">
        <f>IF($B220="LOSS",IF(AND($K220=CC$3,$C220="L"),-$O220,0)+IF(AND($K221=CC$3,$C221="L"),-$O221,0)+IF(AND($K222=CC$3,$C222="L"),-$O222,0),IF(OR(AND($K220=CC$3,OR($C220="W",$C220="1/2W")),AND($K221=CC$3,OR($C221="W",$C221="1/2W")),AND($K222=CC$3,OR($C222="W",$C222="1/2W"))),$S220,0))</f>
        <v>0</v>
      </c>
      <c r="CD220" s="137">
        <f>IF($B220="LOSS",IF(AND($K220=CD$3,$C220="L"),-$O220,0)+IF(AND($K221=CD$3,$C221="L"),-$O221,0)+IF(AND($K222=CD$3,$C222="L"),-$O222,0),IF(OR(AND($K220=CD$3,OR($C220="W",$C220="1/2W")),AND($K221=CD$3,OR($C221="W",$C221="1/2W")),AND($K222=CD$3,OR($C222="W",$C222="1/2W"))),$S220,0))</f>
        <v>23.71</v>
      </c>
      <c r="CE220" s="134">
        <f>IF($B220="LOSS",IF(AND($K220=CE$3,$C220="L"),-$O220,0)+IF(AND($K221=CE$3,$C221="L"),-$O221,0)+IF(AND($K222=CE$3,$C222="L"),-$O222,0),IF(OR(AND($K220=CE$3,OR($C220="W",$C220="1/2W")),AND($K221=CE$3,OR($C221="W",$C221="1/2W")),AND($K222=CE$3,OR($C222="W",$C222="1/2W"))),$S220,0))</f>
        <v>0</v>
      </c>
      <c r="CF220" s="273">
        <f>IF(CF$3=$K220,IF($C220="W",1,IF($C220="1/2W",0.5,0)),0)</f>
        <v>0</v>
      </c>
      <c r="CG220" s="274">
        <f>IF(CF$3=$K220,IF($C220="L",1,IF($C220="1/2L",0.5,0)),0)</f>
        <v>0</v>
      </c>
      <c r="CH220" s="274">
        <f>IF(CH$3=$K220,IF($C220="W",1,IF($C220="1/2W",0.5,0)),0)</f>
        <v>0</v>
      </c>
      <c r="CI220" s="274">
        <f>IF(CH$3=$K220,IF($C220="L",1,IF($C220="1/2L",0.5,0)),0)</f>
        <v>0</v>
      </c>
      <c r="CJ220" s="274">
        <f>IF(CJ$3=$K220,IF($C220="W",1,IF($C220="1/2W",0.5,0)),0)</f>
        <v>0</v>
      </c>
      <c r="CK220" s="274">
        <f>IF(CJ$3=$K220,IF($C220="L",1,IF($C220="1/2L",0.5,0)),0)</f>
        <v>0</v>
      </c>
      <c r="CL220" s="274">
        <f>IF(CL$3=$K220,IF($C220="W",1,IF($C220="1/2W",0.5,0)),0)</f>
        <v>0</v>
      </c>
      <c r="CM220" s="274">
        <f>IF(CL$3=$K220,IF($C220="L",1,IF($C220="1/2L",0.5,0)),0)</f>
        <v>0</v>
      </c>
      <c r="CN220" s="274">
        <f>IF(CN$3=$K220,IF($C220="W",1,IF($C220="1/2W",0.5,0)),0)</f>
        <v>0</v>
      </c>
      <c r="CO220" s="274">
        <f>IF(CN$3=$K220,IF($C220="L",1,IF($C220="1/2L",0.5,0)),0)</f>
        <v>0</v>
      </c>
      <c r="CP220" s="274">
        <f>IF(CP$3=$K220,IF($C220="W",1,IF($C220="1/2W",0.5,0)),0)</f>
        <v>0</v>
      </c>
      <c r="CQ220" s="274">
        <f>IF(CP$3=$K220,IF($C220="L",1,IF($C220="1/2L",0.5,0)),0)</f>
        <v>0</v>
      </c>
      <c r="CR220" s="274">
        <f>IF(CR$3=$K220,IF($C220="W",1,IF($C220="1/2W",0.5,0)),0)</f>
        <v>0</v>
      </c>
      <c r="CS220" s="274">
        <f>IF(CR$3=$K220,IF($C220="L",1,IF($C220="1/2L",0.5,0)),0)</f>
        <v>0</v>
      </c>
      <c r="CT220" s="145">
        <f>IF(CT$3=$K220,IF($C220="W",1,IF($C220="1/2W",0.5,0)),0)</f>
        <v>0</v>
      </c>
      <c r="CU220" s="146">
        <f>IF(CT$3=$K220,IF($C220="L",1,IF($C220="1/2L",0.5,0)),0)</f>
        <v>0</v>
      </c>
      <c r="CV220" s="146">
        <f>IF(CV$3=$K220,IF($C220="W",1,IF($C220="1/2W",0.5,0)),0)</f>
        <v>0</v>
      </c>
      <c r="CW220" s="146">
        <f>IF(CV$3=$K220,IF($C220="L",1,IF($C220="1/2L",0.5,0)),0)</f>
        <v>0</v>
      </c>
      <c r="CX220" s="146">
        <f>IF(CX$3=$K220,IF($C220="W",1,IF($C220="1/2W",0.5,0)),0)</f>
        <v>0</v>
      </c>
      <c r="CY220" s="146">
        <f>IF(CX$3=$K220,IF($C220="L",1,IF($C220="1/2L",0.5,0)),0)</f>
        <v>0</v>
      </c>
      <c r="CZ220" s="146">
        <f>IF(CZ$3=$K220,IF($C220="W",1,IF($C220="1/2W",0.5,0)),0)</f>
        <v>0</v>
      </c>
      <c r="DA220" s="146">
        <f>IF(CZ$3=$K220,IF($C220="L",1,IF($C220="1/2L",0.5,0)),0)</f>
        <v>0</v>
      </c>
      <c r="DB220" s="146">
        <f>IF(DB$3=$K220,IF($C220="W",1,IF($C220="1/2W",0.5,0)),0)</f>
        <v>1</v>
      </c>
      <c r="DC220" s="146">
        <f>IF(DB$3=$K220,IF($C220="L",1,IF($C220="1/2L",0.5,0)),0)</f>
        <v>0</v>
      </c>
      <c r="DD220" s="146">
        <f>IF(DD$3=$K220,IF($C220="W",1,IF($C220="1/2W",0.5,0)),0)</f>
        <v>0</v>
      </c>
      <c r="DE220" s="147">
        <f>IF(DD$3=$K220,IF($C220="L",1,IF($C220="1/2L",0.5,0)),0)</f>
        <v>0</v>
      </c>
      <c r="DF220" s="143">
        <f>IF(AND(L220&lt;DF$3,$C220="W"),1+DF219,DF219)</f>
        <v>8</v>
      </c>
      <c r="DG220" s="133">
        <f>IF(DF220&gt;DF219,L220+DG219,DG219)</f>
        <v>10.598</v>
      </c>
      <c r="DH220" s="146">
        <f>IF(AND(L220&gt;DH$3,$C220="W"),1+DH219,0+DH219)</f>
        <v>3</v>
      </c>
      <c r="DI220" s="133">
        <f>IF(DH220&gt;DH219,L220+DI219,DI219)</f>
        <v>15.98</v>
      </c>
      <c r="DJ220" t="s" s="304">
        <f>IF($D220="","",$D220)</f>
        <v>184</v>
      </c>
      <c r="DK220" s="146">
        <f>IF(AND($B220=" ",$D220&lt;&gt;""),1,0)</f>
        <v>0</v>
      </c>
    </row>
    <row r="221" ht="14.55" customHeight="1">
      <c r="A221" s="107"/>
      <c r="B221" s="108"/>
      <c r="C221" t="s" s="109">
        <v>51</v>
      </c>
      <c r="D221" s="110"/>
      <c r="E221" s="111"/>
      <c r="F221" s="113"/>
      <c r="G221" s="252"/>
      <c r="H221" s="114"/>
      <c r="I221" t="s" s="275">
        <v>57</v>
      </c>
      <c r="J221" s="276">
        <f>IF(OR(I220="TO",I220="TU",I220="TO1",I220="TU1",I220="TO2",I220="TU2"),J220,IF(OR(I220="AH1",I220="AH2"),IF(OR(I221="AH1",I221="AH2"),-J220,IF(OR(I221="EH1",I221="EH2"),-J220+0.5,"")),IF(OR(I220="EH1",I220="EH2"),IF(OR(I221="AH1",I221="AH2"),-J220+0.5,IF(OR(I221="EH1",I221="EH2"),-J220+1,"")),IF(AND(OR(I220="DNB1",I220="DNB2"),OR(I221="AH1",I221="AH2")),0,IF(AND(I220="Not ScoreBoth",OR(I221="TO1",I221="TO2")),0.5,"")))))</f>
        <v>-4.5</v>
      </c>
      <c r="K221" t="s" s="117">
        <v>44</v>
      </c>
      <c r="L221" s="277">
        <v>2.47</v>
      </c>
      <c r="M221" s="278">
        <v>155</v>
      </c>
      <c r="N221" s="120"/>
      <c r="O221" s="121">
        <f>IF(OR(AE220="",AE221=""),"",ROUND(IF(L222&gt;0,IF(M221&gt;0,M221,IF(M220&gt;0,IF(N220=TRUE,ROUND((M220*AE221)/AE220,0),(M220*AE221)/AE220),IF(M221&gt;0,ROUND(M221,IF(N220=0,2,IF(N220=0.1,1,0))),IF(M222&gt;0,ROUND(O222*AE221/AE222,IF(N220=0,2,IF(N220=0.1,1,0))),0)))),IF(M221&gt;0,M221,ROUND((M220*AE221)/AE220,IF(N220=0,2,IF(N220=0.1,1,0))))),2))</f>
        <v>155</v>
      </c>
      <c r="P221" s="122">
        <f>IF(OR(L221="",O221=""),"",IF($C221="1/2W",O221/2+O221/2*L221,IF($C221="1/2L",O221/2,IF(I221="Lay",((O221*(L221/(L221-1)))-O221)*(1-_xlfn.XLOOKUP(K221,'Janeiro 2023 - Valor Real'!A3:A15,'Janeiro 2023 - Valor Real'!C3:C15,0))+O221,(O221*L221-O221)*(1-_xlfn.XLOOKUP(K221,'Janeiro 2023 - Valor Real'!A3:A15,'Janeiro 2023 - Valor Real'!C3:C15,0))+O221))))</f>
        <v>382.85</v>
      </c>
      <c r="Q221" s="279">
        <f>IF(K221="","",IF(_xlfn.XLOOKUP(K221,K$95:K107,DJ$95:DJ107,0,,-1)=DJ221,_xlfn.XLOOKUP(K221,K$95:K107,Q$95:Q107,1,,-1)+1,1))</f>
        <v>1</v>
      </c>
      <c r="R221" s="280">
        <f>IF(K221="","",_xlfn.XLOOKUP(K221,K$95:K107,R$95:R107,0,,-1)+IF($C221=" ",1,0))</f>
        <v>0</v>
      </c>
      <c r="S221" s="125"/>
      <c r="T221" s="126"/>
      <c r="U221" s="126"/>
      <c r="V221" s="224"/>
      <c r="W221" s="126"/>
      <c r="X221" s="127"/>
      <c r="Y221" s="128"/>
      <c r="Z221" s="129"/>
      <c r="AA221" s="129"/>
      <c r="AB221" s="129"/>
      <c r="AC221" s="129"/>
      <c r="AD221" s="130"/>
      <c r="AE221" s="131">
        <f>IF(L221="","",IF(L222&gt;0,(SUM(((L220-1)*(1-_xlfn.XLOOKUP(K220,'Janeiro 2023 - Valor Real'!A3:A15,'Janeiro 2023 - Valor Real'!C3:C15,0))+1),((L221-1)*(1-_xlfn.XLOOKUP(K221,'Janeiro 2023 - Valor Real'!A3:A15,'Janeiro 2023 - Valor Real'!C3:C15,0))+1),((L222-1)*(1-_xlfn.XLOOKUP(K222,'Janeiro 2023 - Valor Real'!A3:A15,'Janeiro 2023 - Valor Real'!C3:C15,0))+1))/((L221-1)*(1-_xlfn.XLOOKUP(K221,'Janeiro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Real'!C3:C15,0))+1))/((L220-1)*(1-_xlfn.XLOOKUP(K220,'Janeiro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Real'!C3:C15,0))+1))/((L221-1)*(1-_xlfn.XLOOKUP(K221,'Janeiro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Real'!C3:C15,0))+1))/((L222-1)*(1-_xlfn.XLOOKUP(K222,'Janeiro 2023 - Valor Real'!A3:A15,'Janeiro 2023 - Valor Real'!C3:C15,0))+1)),IF(I221="Lay",IF(I220="Lay",((L220/(L220-1)-1)*(1-_xlfn.XLOOKUP(K220,'Janeiro 2023 - Valor Real'!A3:A15,'Janeiro 2023 - Valor Real'!C3:C15,0))+1)/(((L220/(L220-1)-1)*(1-_xlfn.XLOOKUP(K220,'Janeiro 2023 - Valor Real'!A3:A15,'Janeiro 2023 - Valor Real'!C3:C15,0))+1)+((L221/(L221-1)-1)*(1-_xlfn.XLOOKUP(K221,'Janeiro 2023 - Valor Real'!A3:A15,'Janeiro 2023 - Valor Real'!C3:C15,0))+1)),((L220-1)*(1-_xlfn.XLOOKUP(K220,'Janeiro 2023 - Valor Real'!A3:A15,'Janeiro 2023 - Valor Real'!C3:C15,0))+1)/(((L220-1)*(1-_xlfn.XLOOKUP(K220,'Janeiro 2023 - Valor Real'!A3:A15,'Janeiro 2023 - Valor Real'!C3:C15,0))+1)+((L221/(L221-1)-1)*(1-_xlfn.XLOOKUP(K221,'Janeiro 2023 - Valor Real'!A3:A15,'Janeiro 2023 - Valor Real'!C3:C15,0))+1))),IF(I220="Lay",((L220/(L220-1)-1)*(1-_xlfn.XLOOKUP(K220,'Janeiro 2023 - Valor Real'!A3:A15,'Janeiro 2023 - Valor Real'!C3:C15,0))+1)/((((L220/(L220-1)-1)*(1-_xlfn.XLOOKUP(K220,'Janeiro 2023 - Valor Real'!A3:A15,'Janeiro 2023 - Valor Real'!C3:C15,0))+1))+((L221-1)*(1-_xlfn.XLOOKUP(K221,'Janeiro 2023 - Valor Real'!A3:A15,'Janeiro 2023 - Valor Real'!C3:C15,0))+1)),((L220-1)*(1-_xlfn.XLOOKUP(K220,'Janeiro 2023 - Valor Real'!A3:A15,'Janeiro 2023 - Valor Real'!C3:C15,0))+1)/(((L220-1)*(1-_xlfn.XLOOKUP(K220,'Janeiro 2023 - Valor Real'!A3:A15,'Janeiro 2023 - Valor Real'!C3:C15,0))+1)+((L221-1)*(1-_xlfn.XLOOKUP(K221,'Janeiro 2023 - Valor Real'!A3:A15,'Janeiro 2023 - Valor Real'!C3:C15,0))+1))))))</f>
        <v>0.429561200923788</v>
      </c>
      <c r="AF221" s="132">
        <f>IF($K221=AF$3,ROUND(IF(OR($C221="W",$C221="1/2W",$C221="1/2L"),$P221-$O221,IF($C221="X",0,-$O221)),2),0)</f>
        <v>0</v>
      </c>
      <c r="AG221" s="133">
        <f>IF($K221=AG$3,ROUND(IF(OR($C221="W",$C221="1/2W",$C221="1/2L"),$P221-$O221,IF($C221="X",0,-$O221)),2),0)</f>
        <v>0</v>
      </c>
      <c r="AH221" s="133">
        <f>IF($K221=AH$3,ROUND(IF(OR($C221="W",$C221="1/2W",$C221="1/2L"),$P221-$O221,IF($C221="X",0,-$O221)),2),0)</f>
        <v>0</v>
      </c>
      <c r="AI221" s="133">
        <f>IF($K221=AI$3,ROUND(IF(OR($C221="W",$C221="1/2W",$C221="1/2L"),$P221-$O221,IF($C221="X",0,-$O221)),2),0)</f>
        <v>0</v>
      </c>
      <c r="AJ221" s="133">
        <f>IF($K221=AJ$3,ROUND(IF(OR($C221="W",$C221="1/2W",$C221="1/2L"),$P221-$O221,IF($C221="X",0,-$O221)),2),0)</f>
        <v>0</v>
      </c>
      <c r="AK221" s="133">
        <f>IF($K221=AK$3,ROUND(IF(OR($C221="W",$C221="1/2W",$C221="1/2L"),$P221-$O221,IF($C221="X",0,-$O221)),2),0)</f>
        <v>0</v>
      </c>
      <c r="AL221" s="133">
        <f>IF($K221=AL$3,ROUND(IF(OR($C221="W",$C221="1/2W",$C221="1/2L"),$P221-$O221,IF($C221="X",0,-$O221)),2),0)</f>
        <v>0</v>
      </c>
      <c r="AM221" s="133">
        <f>IF($K221=AM$3,ROUND(IF(OR($C221="W",$C221="1/2W",$C221="1/2L"),$P221-$O221,IF($C221="X",0,-$O221)),2),0)</f>
        <v>-155</v>
      </c>
      <c r="AN221" s="133">
        <f>IF($K221=AN$3,ROUND(IF(OR($C221="W",$C221="1/2W",$C221="1/2L"),$P221-$O221,IF($C221="X",0,-$O221)),2),0)</f>
        <v>0</v>
      </c>
      <c r="AO221" s="133">
        <f>IF($K221=AO$3,ROUND(IF(OR($C221="W",$C221="1/2W",$C221="1/2L"),$P221-$O221,IF($C221="X",0,-$O221)),2),0)</f>
        <v>0</v>
      </c>
      <c r="AP221" s="133">
        <f>IF($K221=AP$3,ROUND(IF(OR($C221="W",$C221="1/2W",$C221="1/2L"),$P221-$O221,IF($C221="X",0,-$O221)),2),0)</f>
        <v>0</v>
      </c>
      <c r="AQ221" s="133">
        <f>IF($K221=AQ$3,ROUND(IF(OR($C221="W",$C221="1/2W",$C221="1/2L"),$P221-$O221,IF($C221="X",0,-$O221)),2),0)</f>
        <v>0</v>
      </c>
      <c r="AR221" s="134">
        <f>IF($K221=AR$3,ROUND(IF(OR($C221="W",$C221="1/2W",$C221="1/2L"),$P221-$O221,IF($C221="X",0,-$O221)),2),0)</f>
        <v>0</v>
      </c>
      <c r="AS221" s="132">
        <f>IF(AND($B220=" ",$K221=AS$3),$O221,0)</f>
        <v>0</v>
      </c>
      <c r="AT221" s="133">
        <f>IF(AND($B220=" ",K221=AT$3),$O221,0)</f>
        <v>0</v>
      </c>
      <c r="AU221" s="133">
        <f>IF(AND($B220=" ",$K221=AU$3),$O221,0)</f>
        <v>0</v>
      </c>
      <c r="AV221" s="133">
        <f>IF(AND($B220=" ",$K221=AV$3),$O221,0)</f>
        <v>0</v>
      </c>
      <c r="AW221" s="133">
        <f>IF(AND($B220=" ",$K221=AW$3),$O221,0)</f>
        <v>0</v>
      </c>
      <c r="AX221" s="133">
        <f>IF(AND($B220=" ",$K221=AX$3),$O221,0)</f>
        <v>0</v>
      </c>
      <c r="AY221" s="135">
        <f>IF(AND($B220=" ",$K221=AY$3),$O221,0)</f>
        <v>0</v>
      </c>
      <c r="AZ221" s="136">
        <f>IF(AND($B220=" ",$K221=AZ$3),$O221,0)</f>
        <v>0</v>
      </c>
      <c r="BA221" s="136">
        <f>IF(AND($B220=" ",$K221=BA$3),$O221,0)</f>
        <v>0</v>
      </c>
      <c r="BB221" s="136">
        <f>IF(AND($B220=" ",$K221=BB$3),$O221,0)</f>
        <v>0</v>
      </c>
      <c r="BC221" s="137">
        <f>IF(AND($B220=" ",$K221=BC$3),$O221,0)</f>
        <v>0</v>
      </c>
      <c r="BD221" s="133">
        <f>IF(AND($B220=" ",$K221=BD$3),$O221,0)</f>
        <v>0</v>
      </c>
      <c r="BE221" s="134">
        <f>IF(AND($B220=" ",$K221=BE$3),$O221,0)</f>
        <v>0</v>
      </c>
      <c r="BF221" s="132">
        <f>IF($K221=BF$3,IF($C221="X",0,$O221),0)</f>
        <v>0</v>
      </c>
      <c r="BG221" s="281">
        <f>IF($K221=BG$3,IF($C221="X",0,$O221),0)</f>
        <v>0</v>
      </c>
      <c r="BH221" s="133">
        <f>IF($K221=BH$3,IF($C221="X",0,$O221),0)</f>
        <v>0</v>
      </c>
      <c r="BI221" s="133">
        <f>IF($K221=BI$3,IF($C221="X",0,$O221),0)</f>
        <v>0</v>
      </c>
      <c r="BJ221" s="133">
        <f>IF($K221=BJ$3,IF($C221="X",0,$O221),0)</f>
        <v>0</v>
      </c>
      <c r="BK221" s="133">
        <f>IF($K221=BK$3,IF($C221="X",0,$O221),0)</f>
        <v>0</v>
      </c>
      <c r="BL221" s="133">
        <f>IF($K221=BL$3,IF($C221="X",0,$O221),0)</f>
        <v>0</v>
      </c>
      <c r="BM221" s="135">
        <f>IF($K221=BM$3,IF($C221="X",0,$O221),0)</f>
        <v>155</v>
      </c>
      <c r="BN221" s="136">
        <f>IF($K221=BN$3,IF($C221="X",0,$O221),0)</f>
        <v>0</v>
      </c>
      <c r="BO221" s="136">
        <f>IF($K221=BO$3,IF($C221="X",0,$O221),0)</f>
        <v>0</v>
      </c>
      <c r="BP221" s="136">
        <f>IF($K221=BP$3,IF($C221="X",0,$O221),0)</f>
        <v>0</v>
      </c>
      <c r="BQ221" s="137">
        <f>IF($K221=BQ$3,IF($C221="X",0,$O221),0)</f>
        <v>0</v>
      </c>
      <c r="BR221" s="134">
        <f>IF($K221=BR$3,IF($C221="X",0,$O221),0)</f>
        <v>0</v>
      </c>
      <c r="BS221" s="282"/>
      <c r="BT221" s="283"/>
      <c r="BU221" s="140"/>
      <c r="BV221" s="283"/>
      <c r="BW221" s="140"/>
      <c r="BX221" s="140"/>
      <c r="BY221" s="140"/>
      <c r="BZ221" s="283"/>
      <c r="CA221" s="140"/>
      <c r="CB221" s="140"/>
      <c r="CC221" s="140"/>
      <c r="CD221" s="141"/>
      <c r="CE221" s="142"/>
      <c r="CF221" s="284">
        <f>IF(CF$3=$K221,IF($C221="W",1,IF($C221="1/2W",0.5,0)),0)</f>
        <v>0</v>
      </c>
      <c r="CG221" s="285">
        <f>IF(CF$3=$K221,IF($C221="L",1,IF($C221="1/2L",0.5,0)),0)</f>
        <v>0</v>
      </c>
      <c r="CH221" s="285">
        <f>IF(CH$3=$K221,IF($C221="W",1,IF($C221="1/2W",0.5,0)),0)</f>
        <v>0</v>
      </c>
      <c r="CI221" s="285">
        <f>IF(CH$3=$K221,IF($C221="L",1,IF($C221="1/2L",0.5,0)),0)</f>
        <v>0</v>
      </c>
      <c r="CJ221" s="285">
        <f>IF(CJ$3=$K221,IF($C221="W",1,IF($C221="1/2W",0.5,0)),0)</f>
        <v>0</v>
      </c>
      <c r="CK221" s="285">
        <f>IF(CJ$3=$K221,IF($C221="L",1,IF($C221="1/2L",0.5,0)),0)</f>
        <v>0</v>
      </c>
      <c r="CL221" s="285">
        <f>IF(CL$3=$K221,IF($C221="W",1,IF($C221="1/2W",0.5,0)),0)</f>
        <v>0</v>
      </c>
      <c r="CM221" s="285">
        <f>IF(CL$3=$K221,IF($C221="L",1,IF($C221="1/2L",0.5,0)),0)</f>
        <v>0</v>
      </c>
      <c r="CN221" s="285">
        <f>IF(CN$3=$K221,IF($C221="W",1,IF($C221="1/2W",0.5,0)),0)</f>
        <v>0</v>
      </c>
      <c r="CO221" s="285">
        <f>IF(CN$3=$K221,IF($C221="L",1,IF($C221="1/2L",0.5,0)),0)</f>
        <v>0</v>
      </c>
      <c r="CP221" s="285">
        <f>IF(CP$3=$K221,IF($C221="W",1,IF($C221="1/2W",0.5,0)),0)</f>
        <v>0</v>
      </c>
      <c r="CQ221" s="285">
        <f>IF(CP$3=$K221,IF($C221="L",1,IF($C221="1/2L",0.5,0)),0)</f>
        <v>0</v>
      </c>
      <c r="CR221" s="285">
        <f>IF(CR$3=$K221,IF($C221="W",1,IF($C221="1/2W",0.5,0)),0)</f>
        <v>0</v>
      </c>
      <c r="CS221" s="285">
        <f>IF(CR$3=$K221,IF($C221="L",1,IF($C221="1/2L",0.5,0)),0)</f>
        <v>0</v>
      </c>
      <c r="CT221" s="145">
        <f>IF(CT$3=$K221,IF($C221="W",1,IF($C221="1/2W",0.5,0)),0)</f>
        <v>0</v>
      </c>
      <c r="CU221" s="146">
        <f>IF(CT$3=$K221,IF($C221="L",1,IF($C221="1/2L",0.5,0)),0)</f>
        <v>1</v>
      </c>
      <c r="CV221" s="146">
        <f>IF(CV$3=$K221,IF($C221="W",1,IF($C221="1/2W",0.5,0)),0)</f>
        <v>0</v>
      </c>
      <c r="CW221" s="146">
        <f>IF(CV$3=$K221,IF($C221="L",1,IF($C221="1/2L",0.5,0)),0)</f>
        <v>0</v>
      </c>
      <c r="CX221" s="146">
        <f>IF(CX$3=$K221,IF($C221="W",1,IF($C221="1/2W",0.5,0)),0)</f>
        <v>0</v>
      </c>
      <c r="CY221" s="146">
        <f>IF(CX$3=$K221,IF($C221="L",1,IF($C221="1/2L",0.5,0)),0)</f>
        <v>0</v>
      </c>
      <c r="CZ221" s="146">
        <f>IF(CZ$3=$K221,IF($C221="W",1,IF($C221="1/2W",0.5,0)),0)</f>
        <v>0</v>
      </c>
      <c r="DA221" s="146">
        <f>IF(CZ$3=$K221,IF($C221="L",1,IF($C221="1/2L",0.5,0)),0)</f>
        <v>0</v>
      </c>
      <c r="DB221" s="146">
        <f>IF(DB$3=$K221,IF($C221="W",1,IF($C221="1/2W",0.5,0)),0)</f>
        <v>0</v>
      </c>
      <c r="DC221" s="146">
        <f>IF(DB$3=$K221,IF($C221="L",1,IF($C221="1/2L",0.5,0)),0)</f>
        <v>0</v>
      </c>
      <c r="DD221" s="146">
        <f>IF(DD$3=$K221,IF($C221="W",1,IF($C221="1/2W",0.5,0)),0)</f>
        <v>0</v>
      </c>
      <c r="DE221" s="147">
        <f>IF(DD$3=$K221,IF($C221="L",1,IF($C221="1/2L",0.5,0)),0)</f>
        <v>0</v>
      </c>
      <c r="DF221" s="143">
        <f>IF(AND(L221&lt;DF$3,$C221="W"),1+DF220,DF220)</f>
        <v>8</v>
      </c>
      <c r="DG221" s="133">
        <f>IF(DF221&gt;DF220,L221+DG220,DG220)</f>
        <v>10.598</v>
      </c>
      <c r="DH221" s="146">
        <f>IF(AND(L221&gt;DH$3,$C221="W"),1+DH220,0+DH220)</f>
        <v>3</v>
      </c>
      <c r="DI221" s="133">
        <f>IF(DH221&gt;DH220,L221+DI220,DI220)</f>
        <v>15.98</v>
      </c>
      <c r="DJ221" t="s" s="304">
        <f>IF($D220="","",$D220)</f>
        <v>184</v>
      </c>
      <c r="DK221" s="286"/>
    </row>
    <row r="222" ht="14.55" customHeight="1">
      <c r="A222" s="149"/>
      <c r="B222" s="150"/>
      <c r="C222" t="s" s="151">
        <v>58</v>
      </c>
      <c r="D222" s="152"/>
      <c r="E222" s="153"/>
      <c r="F222" s="155"/>
      <c r="G222" s="252"/>
      <c r="H222" s="156"/>
      <c r="I222" s="287"/>
      <c r="J222" s="288"/>
      <c r="K222" s="156"/>
      <c r="L222" s="289"/>
      <c r="M222" s="290"/>
      <c r="N222" s="161"/>
      <c r="O222" t="s" s="162">
        <f>IF(OR(AE220="",AE221=""),"",IF(L222&gt;0,ROUND(IF(M222&gt;0,M222,IF(M220&gt;0,ROUND((M220*AE222)/AE220,IF(N220=0,2,IF(N220=0.1,1,0))),IF(M221&gt;0,ROUND((M221*AE222)/AE221,IF(N220=0,2,IF(N220=0.1,1,0))),IF(M222&gt;0,M222,0)))),2),""))</f>
      </c>
      <c r="P222" t="s" s="163">
        <f>IF(I221="Lay",O221*(L221/(L221-1))-O221,IF(I220="Lay",O220*(L220/(L220-1))-O220,IF(OR(L222="",O222=""),"",IF($C222="1/2W",O222/2+O222/2*L222,IF($C222="1/2L",O222/2,(O222*L222-O222)*(1-_xlfn.XLOOKUP(K222,'Janeiro 2023 - Valor Real'!A3:A15,'Janeiro 2023 - Valor Real'!C3:C15,0))+O222)))))</f>
      </c>
      <c r="Q222" t="s" s="154">
        <f>IF(K222="","",IF(_xlfn.XLOOKUP(K222,K$96:K108,DJ$96:DJ108,0,,-1)=DJ222,_xlfn.XLOOKUP(K222,K$96:K108,Q$96:Q108,1,,-1)+1,1))</f>
      </c>
      <c r="R222" t="s" s="163">
        <f>IF(K222="","",_xlfn.XLOOKUP(K222,K$96:K108,R$96:R108,0,,-1)+IF($C222=" ",1,0))</f>
      </c>
      <c r="S222" s="166"/>
      <c r="T222" s="155"/>
      <c r="U222" s="155"/>
      <c r="V222" s="166"/>
      <c r="W222" s="155"/>
      <c r="X222" s="167"/>
      <c r="Y222" s="128"/>
      <c r="Z222" s="129"/>
      <c r="AA222" s="129"/>
      <c r="AB222" s="129"/>
      <c r="AC222" s="129"/>
      <c r="AD222" s="168"/>
      <c r="AE222" t="s" s="169">
        <f>IF(L222="","",(SUM(((L220-1)*(1-_xlfn.XLOOKUP(K220,'Janeiro 2023 - Valor Real'!A3:A15,'Janeiro 2023 - Valor Real'!C3:C15,0))+1),((L221-1)*(1-_xlfn.XLOOKUP(K221,'Janeiro 2023 - Valor Real'!A3:A15,'Janeiro 2023 - Valor Real'!C3:C15,0))+1),((L222-1)*(1-_xlfn.XLOOKUP(K222,'Janeiro 2023 - Valor Real'!A3:A15,'Janeiro 2023 - Valor Real'!C3:C15,0))+1))/((L222-1)*(1-_xlfn.XLOOKUP(K222,'Janeiro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Real'!C3:C15,0))+1))/((L220-1)*(1-_xlfn.XLOOKUP(K220,'Janeiro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Real'!C3:C15,0))+1))/((L221-1)*(1-_xlfn.XLOOKUP(K221,'Janeiro 2023 - Valor Real'!A3:A15,'Janeiro 2023 - Valor Real'!C3:C15,0))+1)+SUM(((L220-1)*(1-_xlfn.XLOOKUP(K220,'Janeiro 2023 - Valor Real'!A3:A15,'Janeiro 2023 - Valor Real'!C3:C15,0))+1),((L221-1)*(1-_xlfn.XLOOKUP(K221,'Janeiro 2023 - Valor Real'!A3:A15,'Janeiro 2023 - Valor Real'!C3:C15,0))+1),((L222-1)*(1-_xlfn.XLOOKUP(K222,'Janeiro 2023 - Valor Real'!A3:A15,'Janeiro 2023 - Valor Real'!C3:C15,0))+1))/((L222-1)*(1-_xlfn.XLOOKUP(K222,'Janeiro 2023 - Valor Real'!A3:A15,'Janeiro 2023 - Valor Real'!C3:C15,0))+1)))</f>
      </c>
      <c r="AF222" s="132">
        <f>IF($K222=AF$3,ROUND(IF(OR($C222="W",$C222="1/2W",$C222="1/2L"),$P222-$O222,IF($C222="X",0,-$O222)),2),0)</f>
        <v>0</v>
      </c>
      <c r="AG222" s="133">
        <f>IF($K222=AG$3,ROUND(IF(OR($C222="W",$C222="1/2W",$C222="1/2L"),$P222-$O222,IF($C222="X",0,-$O222)),2),0)</f>
        <v>0</v>
      </c>
      <c r="AH222" s="133">
        <f>IF($K222=AH$3,ROUND(IF(OR($C222="W",$C222="1/2W",$C222="1/2L"),$P222-$O222,IF($C222="X",0,-$O222)),2),0)</f>
        <v>0</v>
      </c>
      <c r="AI222" s="133">
        <f>IF($K222=AI$3,ROUND(IF(OR($C222="W",$C222="1/2W",$C222="1/2L"),$P222-$O222,IF($C222="X",0,-$O222)),2),0)</f>
        <v>0</v>
      </c>
      <c r="AJ222" s="133">
        <f>IF($K222=AJ$3,ROUND(IF(OR($C222="W",$C222="1/2W",$C222="1/2L"),$P222-$O222,IF($C222="X",0,-$O222)),2),0)</f>
        <v>0</v>
      </c>
      <c r="AK222" s="133">
        <f>IF($K222=AK$3,ROUND(IF(OR($C222="W",$C222="1/2W",$C222="1/2L"),$P222-$O222,IF($C222="X",0,-$O222)),2),0)</f>
        <v>0</v>
      </c>
      <c r="AL222" s="133">
        <f>IF($K222=AL$3,ROUND(IF(OR($C222="W",$C222="1/2W",$C222="1/2L"),$P222-$O222,IF($C222="X",0,-$O222)),2),0)</f>
        <v>0</v>
      </c>
      <c r="AM222" s="133">
        <f>IF($K222=AM$3,ROUND(IF(OR($C222="W",$C222="1/2W",$C222="1/2L"),$P222-$O222,IF($C222="X",0,-$O222)),2),0)</f>
        <v>0</v>
      </c>
      <c r="AN222" s="133">
        <f>IF($K222=AN$3,ROUND(IF(OR($C222="W",$C222="1/2W",$C222="1/2L"),$P222-$O222,IF($C222="X",0,-$O222)),2),0)</f>
        <v>0</v>
      </c>
      <c r="AO222" s="133">
        <f>IF($K222=AO$3,ROUND(IF(OR($C222="W",$C222="1/2W",$C222="1/2L"),$P222-$O222,IF($C222="X",0,-$O222)),2),0)</f>
        <v>0</v>
      </c>
      <c r="AP222" s="133">
        <f>IF($K222=AP$3,ROUND(IF(OR($C222="W",$C222="1/2W",$C222="1/2L"),$P222-$O222,IF($C222="X",0,-$O222)),2),0)</f>
        <v>0</v>
      </c>
      <c r="AQ222" s="133">
        <f>IF($K222=AQ$3,ROUND(IF(OR($C222="W",$C222="1/2W",$C222="1/2L"),$P222-$O222,IF($C222="X",0,-$O222)),2),0)</f>
        <v>0</v>
      </c>
      <c r="AR222" s="134">
        <f>IF($K222=AR$3,ROUND(IF(OR($C222="W",$C222="1/2W",$C222="1/2L"),$P222-$O222,IF($C222="X",0,-$O222)),2),0)</f>
        <v>0</v>
      </c>
      <c r="AS222" s="132">
        <f>IF(AND($B220=" ",$K222=AS$3),$O222,0)</f>
        <v>0</v>
      </c>
      <c r="AT222" s="133">
        <f>IF(AND($B220=" ",K222=AT$3),$O222,0)</f>
        <v>0</v>
      </c>
      <c r="AU222" s="133">
        <f>IF(AND($B220=" ",$K222=AU$3),$O222,0)</f>
        <v>0</v>
      </c>
      <c r="AV222" s="133">
        <f>IF(AND($B220=" ",$K222=AV$3),$O222,0)</f>
        <v>0</v>
      </c>
      <c r="AW222" s="133">
        <f>IF(AND($B220=" ",$K222=AW$3),$O222,0)</f>
        <v>0</v>
      </c>
      <c r="AX222" s="133">
        <f>IF(AND($B220=" ",$K222=AX$3),$O222,0)</f>
        <v>0</v>
      </c>
      <c r="AY222" s="135">
        <f>IF(AND($B220=" ",$K222=AY$3),$O222,0)</f>
        <v>0</v>
      </c>
      <c r="AZ222" s="136">
        <f>IF(AND($B220=" ",$K222=AZ$3),$O222,0)</f>
        <v>0</v>
      </c>
      <c r="BA222" s="136">
        <f>IF(AND($B220=" ",$K222=BA$3),$O222,0)</f>
        <v>0</v>
      </c>
      <c r="BB222" s="136">
        <f>IF(AND($B220=" ",$K222=BB$3),$O222,0)</f>
        <v>0</v>
      </c>
      <c r="BC222" s="137">
        <f>IF(AND($B220=" ",$K222=BC$3),$O222,0)</f>
        <v>0</v>
      </c>
      <c r="BD222" s="133">
        <f>IF(AND($B220=" ",$K222=BD$3),$O222,0)</f>
        <v>0</v>
      </c>
      <c r="BE222" s="134">
        <f>IF(AND($B220=" ",$K222=BE$3),$O222,0)</f>
        <v>0</v>
      </c>
      <c r="BF222" s="132">
        <f>IF($K222=BF$3,IF($C222="X",0,$O222),0)</f>
        <v>0</v>
      </c>
      <c r="BG222" s="281">
        <f>IF($K222=BG$3,IF($C222="X",0,$O222),0)</f>
        <v>0</v>
      </c>
      <c r="BH222" s="133">
        <f>IF($K222=BH$3,IF($C222="X",0,$O222),0)</f>
        <v>0</v>
      </c>
      <c r="BI222" s="133">
        <f>IF($K222=BI$3,IF($C222="X",0,$O222),0)</f>
        <v>0</v>
      </c>
      <c r="BJ222" s="133">
        <f>IF($K222=BJ$3,IF($C222="X",0,$O222),0)</f>
        <v>0</v>
      </c>
      <c r="BK222" s="133">
        <f>IF($K222=BK$3,IF($C222="X",0,$O222),0)</f>
        <v>0</v>
      </c>
      <c r="BL222" s="133">
        <f>IF($K222=BL$3,IF($C222="X",0,$O222),0)</f>
        <v>0</v>
      </c>
      <c r="BM222" s="135">
        <f>IF($K222=BM$3,IF($C222="X",0,$O222),0)</f>
        <v>0</v>
      </c>
      <c r="BN222" s="136">
        <f>IF($K222=BN$3,IF($C222="X",0,$O222),0)</f>
        <v>0</v>
      </c>
      <c r="BO222" s="136">
        <f>IF($K222=BO$3,IF($C222="X",0,$O222),0)</f>
        <v>0</v>
      </c>
      <c r="BP222" s="136">
        <f>IF($K222=BP$3,IF($C222="X",0,$O222),0)</f>
        <v>0</v>
      </c>
      <c r="BQ222" s="137">
        <f>IF($K222=BQ$3,IF($C222="X",0,$O222),0)</f>
        <v>0</v>
      </c>
      <c r="BR222" s="134">
        <f>IF($K222=BR$3,IF($C222="X",0,$O222),0)</f>
        <v>0</v>
      </c>
      <c r="BS222" s="282"/>
      <c r="BT222" s="283"/>
      <c r="BU222" s="140"/>
      <c r="BV222" s="283"/>
      <c r="BW222" s="140"/>
      <c r="BX222" s="140"/>
      <c r="BY222" s="140"/>
      <c r="BZ222" s="283"/>
      <c r="CA222" s="140"/>
      <c r="CB222" s="140"/>
      <c r="CC222" s="140"/>
      <c r="CD222" s="141"/>
      <c r="CE222" s="142"/>
      <c r="CF222" s="284">
        <f>IF(CF$3=$K222,IF($C222="W",1,IF($C222="1/2W",0.5,0)),0)</f>
        <v>0</v>
      </c>
      <c r="CG222" s="285">
        <f>IF(CF$3=$K222,IF($C222="L",1,IF($C222="1/2L",0.5,0)),0)</f>
        <v>0</v>
      </c>
      <c r="CH222" s="285">
        <f>IF(CH$3=$K222,IF($C222="W",1,IF($C222="1/2W",0.5,0)),0)</f>
        <v>0</v>
      </c>
      <c r="CI222" s="285">
        <f>IF(CH$3=$K222,IF($C222="L",1,IF($C222="1/2L",0.5,0)),0)</f>
        <v>0</v>
      </c>
      <c r="CJ222" s="285">
        <f>IF(CJ$3=$K222,IF($C222="W",1,IF($C222="1/2W",0.5,0)),0)</f>
        <v>0</v>
      </c>
      <c r="CK222" s="285">
        <f>IF(CJ$3=$K222,IF($C222="L",1,IF($C222="1/2L",0.5,0)),0)</f>
        <v>0</v>
      </c>
      <c r="CL222" s="285">
        <f>IF(CL$3=$K222,IF($C222="W",1,IF($C222="1/2W",0.5,0)),0)</f>
        <v>0</v>
      </c>
      <c r="CM222" s="285">
        <f>IF(CL$3=$K222,IF($C222="L",1,IF($C222="1/2L",0.5,0)),0)</f>
        <v>0</v>
      </c>
      <c r="CN222" s="285">
        <f>IF(CN$3=$K222,IF($C222="W",1,IF($C222="1/2W",0.5,0)),0)</f>
        <v>0</v>
      </c>
      <c r="CO222" s="285">
        <f>IF(CN$3=$K222,IF($C222="L",1,IF($C222="1/2L",0.5,0)),0)</f>
        <v>0</v>
      </c>
      <c r="CP222" s="285">
        <f>IF(CP$3=$K222,IF($C222="W",1,IF($C222="1/2W",0.5,0)),0)</f>
        <v>0</v>
      </c>
      <c r="CQ222" s="285">
        <f>IF(CP$3=$K222,IF($C222="L",1,IF($C222="1/2L",0.5,0)),0)</f>
        <v>0</v>
      </c>
      <c r="CR222" s="285">
        <f>IF(CR$3=$K222,IF($C222="W",1,IF($C222="1/2W",0.5,0)),0)</f>
        <v>0</v>
      </c>
      <c r="CS222" s="285">
        <f>IF(CR$3=$K222,IF($C222="L",1,IF($C222="1/2L",0.5,0)),0)</f>
        <v>0</v>
      </c>
      <c r="CT222" s="145">
        <f>IF(CT$3=$K222,IF($C222="W",1,IF($C222="1/2W",0.5,0)),0)</f>
        <v>0</v>
      </c>
      <c r="CU222" s="146">
        <f>IF(CT$3=$K222,IF($C222="L",1,IF($C222="1/2L",0.5,0)),0)</f>
        <v>0</v>
      </c>
      <c r="CV222" s="146">
        <f>IF(CV$3=$K222,IF($C222="W",1,IF($C222="1/2W",0.5,0)),0)</f>
        <v>0</v>
      </c>
      <c r="CW222" s="146">
        <f>IF(CV$3=$K222,IF($C222="L",1,IF($C222="1/2L",0.5,0)),0)</f>
        <v>0</v>
      </c>
      <c r="CX222" s="146">
        <f>IF(CX$3=$K222,IF($C222="W",1,IF($C222="1/2W",0.5,0)),0)</f>
        <v>0</v>
      </c>
      <c r="CY222" s="146">
        <f>IF(CX$3=$K222,IF($C222="L",1,IF($C222="1/2L",0.5,0)),0)</f>
        <v>0</v>
      </c>
      <c r="CZ222" s="146">
        <f>IF(CZ$3=$K222,IF($C222="W",1,IF($C222="1/2W",0.5,0)),0)</f>
        <v>0</v>
      </c>
      <c r="DA222" s="146">
        <f>IF(CZ$3=$K222,IF($C222="L",1,IF($C222="1/2L",0.5,0)),0)</f>
        <v>0</v>
      </c>
      <c r="DB222" s="146">
        <f>IF(DB$3=$K222,IF($C222="W",1,IF($C222="1/2W",0.5,0)),0)</f>
        <v>0</v>
      </c>
      <c r="DC222" s="146">
        <f>IF(DB$3=$K222,IF($C222="L",1,IF($C222="1/2L",0.5,0)),0)</f>
        <v>0</v>
      </c>
      <c r="DD222" s="146">
        <f>IF(DD$3=$K222,IF($C222="W",1,IF($C222="1/2W",0.5,0)),0)</f>
        <v>0</v>
      </c>
      <c r="DE222" s="147">
        <f>IF(DD$3=$K222,IF($C222="L",1,IF($C222="1/2L",0.5,0)),0)</f>
        <v>0</v>
      </c>
      <c r="DF222" s="143">
        <f>IF(AND(L222&lt;DF$3,$C222="W"),1+DF221,DF221)</f>
        <v>8</v>
      </c>
      <c r="DG222" s="133">
        <f>IF(DF222&gt;DF221,L222+DG221,DG221)</f>
        <v>10.598</v>
      </c>
      <c r="DH222" s="146">
        <f>IF(AND(L222&gt;DH$3,$C222="W"),1+DH221,0+DH221)</f>
        <v>3</v>
      </c>
      <c r="DI222" s="133">
        <f>IF(DH222&gt;DH221,L222+DI221,DI221)</f>
        <v>15.98</v>
      </c>
      <c r="DJ222" t="s" s="304">
        <f>IF($D220="","",$D220)</f>
        <v>184</v>
      </c>
      <c r="DK222" s="286"/>
    </row>
    <row r="223" ht="14.55" customHeight="1">
      <c r="A223" s="171">
        <f>$A220+1</f>
        <v>74</v>
      </c>
      <c r="B223" t="s" s="172">
        <f>IF(AND(_xlfn.XLOOKUP(H223,H$97:H103,G$97:G103,0)=G223,_xlfn.XLOOKUP("TempoBet",K223:K225,L223:L225,0)&gt;0),"X",IF(OR(C223="W",C224="W",C225="W",C223="1/2W",C224="1/2W",C225="1/2W",C223="1/2L",C224="1/2L",C225="1/2L"),"OK",IF(OR(C223="L",C224="L",C225="L"),"LOSS",IF(OR(C223="X",C224="X",C225="X"),"Anulado"," "))))</f>
        <v>50</v>
      </c>
      <c r="C223" t="s" s="173">
        <v>56</v>
      </c>
      <c r="D223" t="s" s="305">
        <v>226</v>
      </c>
      <c r="E223" t="s" s="175">
        <v>52</v>
      </c>
      <c r="F223" t="s" s="176"/>
      <c r="G223" s="177">
        <v>44945.541666666664</v>
      </c>
      <c r="H223" t="s" s="178">
        <v>227</v>
      </c>
      <c r="I223" s="298">
        <v>2</v>
      </c>
      <c r="J223" s="180"/>
      <c r="K223" t="s" s="181">
        <v>44</v>
      </c>
      <c r="L223" s="182">
        <v>2.41</v>
      </c>
      <c r="M223" s="183"/>
      <c r="N223" s="184">
        <v>0</v>
      </c>
      <c r="O223" s="185">
        <f>IF(OR(AE223="",AE224=""),"",ROUND(IF(L225&gt;0,IF(M223&gt;0,M223,IF(M224&gt;0,ROUND((M224*AE223)/AE224,IF(N223=0,2,IF(N223=0.1,1,0))),ROUND((M225*AE223)/AE225,IF(N223=0,2,IF(N223=0.1,1,0))))),IF(M223&gt;0,M223,ROUND((M224*AE223)/AE224,IF(N223=0,2,IF(N223=0.1,1,0))))),2))</f>
        <v>15.34</v>
      </c>
      <c r="P223" s="186">
        <f>IF(OR(L223="",O223=""),"",IF($C223="1/2W",O223/2+O223/2*L223,IF($C223="1/2L",O223/2,IF(I223="Lay",(O223*(L223/(L223-1))-O223)*(1-_xlfn.XLOOKUP(K223,'Janeiro 2023 - Valor Real'!A3:A15,'Janeiro 2023 - Valor Real'!C3:C15,0))+O223,(O223*L223-O223)*(1-_xlfn.XLOOKUP(K223,'Janeiro 2023 - Valor Real'!A3:A15,'Janeiro 2023 - Valor Real'!C3:C15,0))+O223))))</f>
        <v>36.9694</v>
      </c>
      <c r="Q223" s="187">
        <f>IF(K223="","",IF(_xlfn.XLOOKUP(K223,K$97:K103,DJ$97:DJ103,0,,-1)=DJ223,_xlfn.XLOOKUP(K223,K$97:K103,Q$97:Q103,1,,-1)+1,1))</f>
        <v>1</v>
      </c>
      <c r="R223" s="188">
        <f>IF(K223="","",_xlfn.XLOOKUP(K223,K$97:K103,R$97:R103,0,,-1)+IF($C223=" ",1,0))</f>
        <v>0</v>
      </c>
      <c r="S223" s="189">
        <f>IF($B223="Anulado",0,ROUND(IF(OR($B223="LOSS",$B223="OK"),IF(OR($C223="W",$C223="1/2W",$C223="1/2L"),P223-O223,IF($C223="L",-O223,0))+IF(OR($C224="W",$C224="1/2W",$C224="1/2L"),P224-O224,IF($C224="L",-O224,0))+IF(OR($C225="W",$C225="1/2W",$C225="1/2L"),P225-O225,IF($C225="L",-O225,0)),IF(AND(OR($C223="W",$C223="1/2W",$C223="1/2L"),C224="W"),P223+P224-SUM(O223:O225)+_xlfn.XLOOKUP("X",C223:C225,O223:O225,0),IF(AND(C223=TRUE,C225="W"),P223+P225-SUM(O223:O225),IF(AND(C224="W",C225="W"),P224+P225-SUM(O223:O225)+_xlfn.XLOOKUP("X",C223:C225,O223:O225,0),IF(L225&gt;0,IF(OR($C223="W",$C223="1/2W",$C223="1/2L"),P223-SUM(O223:O225)+_xlfn.XLOOKUP("X",C223:C225,O223:O225,0),IF(OR($C223="W",$C223="1/2W",$C223="1/2L"),P224-SUM(O223:O225)+_xlfn.XLOOKUP("X",C223:C225,O223:O225,0),IF(OR($C223="W",$C223="1/2W",$C223="1/2L"),P225-SUM(O223:O225)+_xlfn.XLOOKUP("X",C223:C225,O223:O225,0),IF(SUM(P223:P225)/3-SUM(O223:O225)+_xlfn.XLOOKUP("X",C223:C225,O223:O225,0)&gt;0,SUM(P223:P225)/3-SUM(O223:O225)+_xlfn.XLOOKUP("X",C223:C225,O223:O225,0),LARGE(P223:P225,1)-SUM(O223:O225))))),IF(OR($C223="W",$C223="1/2W",$C223="1/2L"),P223-SUM(O223:O224)+_xlfn.XLOOKUP("X",C223:C225,O223:O225,0),IF(OR($C223="W",$C223="1/2W",$C223="1/2L"),P224-SUM(O223:O224)+_xlfn.XLOOKUP("X",C223:C225,O223:O225,0),SUM(P223:P224)/2-SUM(O223:O224)+_xlfn.XLOOKUP("X",C223:C225,O223:O225,0)))))))),2))</f>
        <v>1.43</v>
      </c>
      <c r="T223" s="190">
        <f>IF(S223=0,0,S223/SUM(O223:O225))</f>
        <v>0.0402363534046145</v>
      </c>
      <c r="U223" s="191">
        <f>IF($D223=$D220,IF(OR($B223="LOSS",$B223="OK",$B223="Anulada"),S223,0)+U220,IF(OR($B223="LOSS",$B223="OK",$B223="Anulada"),S223,0))</f>
        <v>1.43</v>
      </c>
      <c r="V223" s="191">
        <f>IF($D223="",0,IF($D223=$D220,IF($B223=" ",IF(I225="",IF(OR(AND(I223="DNB1",I224="DNB2"),AND(OR(I223="DNB1",I223="DNB2"),J224=0),AND(OR(I224="DNB1",I224="DNB2"),J223=0),AND(I223="DNB2",I224="DNB1"),AND(IF(J223=0,(J223+1)/ROUND(J223+1,0),J223/ROUND(J223,0))=1,IF(J224=0,(J224+1)/ROUND(IF(J224="",0,J224)+1,0),IF(J224="",0,J224)/ROUND(IF(J224="",1,J224),0))=1,OR(J223&lt;&gt;""),J224&lt;&gt;"")),0,IF(S223&lt;0,IF(I225="",SMALL(P223:P224,1)-SUM(O223:O224),0),SMALL(P223:P224,1)-SUM(O223:O224))),IF(S223&lt;0,IF(I225="",SMALL(P223:P225,1)-SUM(O223:O225),0),LARGE(P223:P225,1)-SUM(O223:O225))),S223)+V220,IF(I225="",IF(OR(AND(I223="DNB1",I224="DNB2"),AND(OR(I223="DNB1",I223="DNB2"),J224=0),AND(OR(I224="DNB1",I224="DNB2"),J223=0),AND(I223="DNB2",I224="DNB1"),AND(IF(J223=0,(J223+1)/ROUND(J223+1,0),J223/ROUND(J223,0))=1,IF(J224=0,(IF(J224="",0,J224)+1)/ROUND(IF(J224="",0,J224)+1,0),IF(J224="",0,J224)/ROUND(IF(J224="",0,J224)+1,0))=1,OR(J223&lt;&gt;""),J224&lt;&gt;"")),0,IF(S223&lt;0,IF(I225="",SMALL(P223:P224,1)-SUM(O223:O224),0),SMALL(P223:P225,1)-SUM(O223:O225))),IF(S223&lt;0,IF(I225="",SMALL(P223:P225,1)-SUM(O223:O225),0),LARGE(P223:P225,1)-SUM(O223:O225)))))</f>
        <v>1.426</v>
      </c>
      <c r="W223" s="191">
        <f>IF($D223=$D220,IF(S223&lt;0,IF(I225="",S223,0),S223)+W220,S223)</f>
        <v>1.43</v>
      </c>
      <c r="X223" t="s" s="192">
        <f>IF(OR(SUM(R223:R225)=0,V223=W223),ROUND(IF(W223=0,0,W223/Y223)*100,2)&amp;"%",ROUND(IF(V223=0,0,V223/Y223)*100,2)&amp;"% a "&amp;ROUND(IF(W223=0,0,W223/Y223)*100,2)&amp;"%")</f>
        <v>228</v>
      </c>
      <c r="Y223" s="193">
        <f>IF($D223=$D220,Y220+SUM(O223:O225),SUM(O223:O225))</f>
        <v>35.54</v>
      </c>
      <c r="Z223" s="191">
        <f>IF($B223=" ",SUM(O223:O225),0)+Z220</f>
        <v>0</v>
      </c>
      <c r="AA223" s="191">
        <f>IF(G223="","",IF($B223="Anulado",LARGE(P223:P225,1)-SUM(O223:O225)+AA220,AA220))</f>
        <v>16.5099</v>
      </c>
      <c r="AB223" s="191">
        <f>IF($D223="","",AB220+S223)</f>
        <v>203.6</v>
      </c>
      <c r="AC223" s="194">
        <f>IF($D223="","",IF($B223=" ",IF(DAY(G223)=DAY(TODAY()),1+AC220,0+AC220),0+AC220))</f>
        <v>0</v>
      </c>
      <c r="AD223" s="195">
        <f>(((L224/(L224-1)-1)*(1-_xlfn.XLOOKUP(K224,'Janeiro 2023 - Valor Real'!A3:A15,'Janeiro 2023 - Valor Real'!C3:C15,0))+1))/(((L223-1)*(1-_xlfn.XLOOKUP(K223,'Janeiro 2023 - Valor Real'!A3:A15,'Janeiro 2023 - Valor Real'!C3:C15,0))+1)+((L224/(L224-1)-1)*(1-_xlfn.XLOOKUP(K224,'Janeiro 2023 - Valor Real'!A3:A15,'Janeiro 2023 - Valor Real'!C3:C15,0))+1))</f>
        <v>0.477769365323865</v>
      </c>
      <c r="AE223" s="196">
        <f>IF(L223="","",IF(L225&gt;0,(SUM(((L223-1)*(1-_xlfn.XLOOKUP(K223,'Janeiro 2023 - Valor Real'!A3:A15,'Janeiro 2023 - Valor Real'!C3:C15,0))+1),((L224-1)*(1-_xlfn.XLOOKUP(K224,'Janeiro 2023 - Valor Real'!A3:A15,'Janeiro 2023 - Valor Real'!C3:C15,0))+1),((L225-1)*(1-_xlfn.XLOOKUP(K225,'Janeiro 2023 - Valor Real'!A3:A15,'Janeiro 2023 - Valor Real'!C3:C15,0))+1))/((L223-1)*(1-_xlfn.XLOOKUP(K223,'Janeiro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Real'!C3:C15,0))+1))/((L223-1)*(1-_xlfn.XLOOKUP(K223,'Janeiro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Real'!C3:C15,0))+1))/((L224-1)*(1-_xlfn.XLOOKUP(K224,'Janeiro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Real'!C3:C15,0))+1))/((L225-1)*(1-_xlfn.XLOOKUP(K225,'Janeiro 2023 - Valor Real'!A3:A15,'Janeiro 2023 - Valor Real'!C3:C15,0))+1)),IF(I223="Lay",IF(I224="Lay",((L224/(L224-1)-1)*(1-_xlfn.XLOOKUP(K224,'Janeiro 2023 - Valor Real'!A3:A15,'Janeiro 2023 - Valor Real'!C3:C15,0))+1)/(((L224/(L224-1)-1)*(1-_xlfn.XLOOKUP(K224,'Janeiro 2023 - Valor Real'!A3:A15,'Janeiro 2023 - Valor Real'!C3:C15,0))+1)+((L223/(L223-1)-1)*(1-_xlfn.XLOOKUP(K223,'Janeiro 2023 - Valor Real'!A3:A15,'Janeiro 2023 - Valor Real'!C3:C15,0))+1)),((L224-1)*(1-_xlfn.XLOOKUP(K224,'Janeiro 2023 - Valor Real'!A3:A15,'Janeiro 2023 - Valor Real'!C3:C15,0))+1)/(((L224-1)*(1-_xlfn.XLOOKUP(K224,'Janeiro 2023 - Valor Real'!A3:A15,'Janeiro 2023 - Valor Real'!C3:C15,0))+1)+((L223/(L223-1)-1)*(1-_xlfn.XLOOKUP(K223,'Janeiro 2023 - Valor Real'!A3:A15,'Janeiro 2023 - Valor Real'!C3:C15,0))+1))),IF(I224="Lay",(((L224/(L224-1)-1)*(1-_xlfn.XLOOKUP(K224,'Janeiro 2023 - Valor Real'!A3:A15,'Janeiro 2023 - Valor Real'!C3:C15,0))+1))/(((L223-1)*(1-_xlfn.XLOOKUP(K223,'Janeiro 2023 - Valor Real'!A3:A15,'Janeiro 2023 - Valor Real'!C3:C15,0))+1)+((L224/(L224-1)-1)*(1-_xlfn.XLOOKUP(K224,'Janeiro 2023 - Valor Real'!A3:A15,'Janeiro 2023 - Valor Real'!C3:C15,0))+1)),((L224-1)*(1-_xlfn.XLOOKUP(K224,'Janeiro 2023 - Valor Real'!A3:A15,'Janeiro 2023 - Valor Real'!C3:C15,0))+1)/(((L224-1)*(1-_xlfn.XLOOKUP(K224,'Janeiro 2023 - Valor Real'!A3:A15,'Janeiro 2023 - Valor Real'!C3:C15,0))+1)+((L223-1)*(1-_xlfn.XLOOKUP(K223,'Janeiro 2023 - Valor Real'!A3:A15,'Janeiro 2023 - Valor Real'!C3:C15,0))+1))))))</f>
        <v>0.431603773584906</v>
      </c>
      <c r="AF223" s="197">
        <f>IF($K223=AF$3,ROUND(IF(OR($C223="W",$C223="1/2W",$C223="1/2L"),$P223-$O223,IF($C223="X",0,-$O223)),2),0)</f>
        <v>0</v>
      </c>
      <c r="AG223" s="198">
        <f>IF($K223=AG$3,ROUND(IF(OR($C223="W",$C223="1/2W",$C223="1/2L"),$P223-$O223,IF($C223="X",0,-$O223)),2),0)</f>
        <v>0</v>
      </c>
      <c r="AH223" s="198">
        <f>IF($K223=AH$3,ROUND(IF(OR($C223="W",$C223="1/2W",$C223="1/2L"),$P223-$O223,IF($C223="X",0,-$O223)),2),0)</f>
        <v>0</v>
      </c>
      <c r="AI223" s="198">
        <f>IF($K223=AI$3,ROUND(IF(OR($C223="W",$C223="1/2W",$C223="1/2L"),$P223-$O223,IF($C223="X",0,-$O223)),2),0)</f>
        <v>0</v>
      </c>
      <c r="AJ223" s="198">
        <f>IF($K223=AJ$3,ROUND(IF(OR($C223="W",$C223="1/2W",$C223="1/2L"),$P223-$O223,IF($C223="X",0,-$O223)),2),0)</f>
        <v>0</v>
      </c>
      <c r="AK223" s="198">
        <f>IF($K223=AK$3,ROUND(IF(OR($C223="W",$C223="1/2W",$C223="1/2L"),$P223-$O223,IF($C223="X",0,-$O223)),2),0)</f>
        <v>0</v>
      </c>
      <c r="AL223" s="198">
        <f>IF($K223=AL$3,ROUND(IF(OR($C223="W",$C223="1/2W",$C223="1/2L"),$P223-$O223,IF($C223="X",0,-$O223)),2),0)</f>
        <v>0</v>
      </c>
      <c r="AM223" s="198">
        <f>IF($K223=AM$3,ROUND(IF(OR($C223="W",$C223="1/2W",$C223="1/2L"),$P223-$O223,IF($C223="X",0,-$O223)),2),0)</f>
        <v>21.63</v>
      </c>
      <c r="AN223" s="198">
        <f>IF($K223=AN$3,ROUND(IF(OR($C223="W",$C223="1/2W",$C223="1/2L"),$P223-$O223,IF($C223="X",0,-$O223)),2),0)</f>
        <v>0</v>
      </c>
      <c r="AO223" s="198">
        <f>IF($K223=AO$3,ROUND(IF(OR($C223="W",$C223="1/2W",$C223="1/2L"),$P223-$O223,IF($C223="X",0,-$O223)),2),0)</f>
        <v>0</v>
      </c>
      <c r="AP223" s="198">
        <f>IF($K223=AP$3,ROUND(IF(OR($C223="W",$C223="1/2W",$C223="1/2L"),$P223-$O223,IF($C223="X",0,-$O223)),2),0)</f>
        <v>0</v>
      </c>
      <c r="AQ223" s="198">
        <f>IF($K223=AQ$3,ROUND(IF(OR($C223="W",$C223="1/2W",$C223="1/2L"),$P223-$O223,IF($C223="X",0,-$O223)),2),0)</f>
        <v>0</v>
      </c>
      <c r="AR223" s="199">
        <f>IF($K223=AR$3,ROUND(IF(OR($C223="W",$C223="1/2W",$C223="1/2L"),$P223-$O223,IF($C223="X",0,-$O223)),2),0)</f>
        <v>0</v>
      </c>
      <c r="AS223" s="197">
        <f>IF(AND($B223=" ",$K223=AS$3),$O223,0)</f>
        <v>0</v>
      </c>
      <c r="AT223" s="198">
        <f>IF(AND($B223=" ",$K223=AT$3),$O223,0)</f>
        <v>0</v>
      </c>
      <c r="AU223" s="198">
        <f>IF(AND($B223=" ",$K223=AU$3),$O223,0)</f>
        <v>0</v>
      </c>
      <c r="AV223" s="198">
        <f>IF(AND($B223=" ",$K223=AV$3),$O223,0)</f>
        <v>0</v>
      </c>
      <c r="AW223" s="198">
        <f>IF(AND($B223=" ",$K223=AW$3),$O223,0)</f>
        <v>0</v>
      </c>
      <c r="AX223" s="198">
        <f>IF(AND($B223=" ",$K223=AX$3),$O223,0)</f>
        <v>0</v>
      </c>
      <c r="AY223" s="200">
        <f>IF(AND($B223=" ",$K223=AY$3),$O223,0)</f>
        <v>0</v>
      </c>
      <c r="AZ223" s="201">
        <f>IF(AND($B223=" ",$K223=AZ$3),$O223,0)</f>
        <v>0</v>
      </c>
      <c r="BA223" s="201">
        <f>IF(AND($B223=" ",$K223=BA$3),$O223,0)</f>
        <v>0</v>
      </c>
      <c r="BB223" s="201">
        <f>IF(AND($B223=" ",$K223=BB$3),$O223,0)</f>
        <v>0</v>
      </c>
      <c r="BC223" s="202">
        <f>IF(AND($B223=" ",$K223=BC$3),$O223,0)</f>
        <v>0</v>
      </c>
      <c r="BD223" s="198">
        <f>IF(AND($B223=" ",$K223=BD$3),$O223,0)</f>
        <v>0</v>
      </c>
      <c r="BE223" s="199">
        <f>IF(AND($B223=" ",$K223=BE$3),$O223,0)</f>
        <v>0</v>
      </c>
      <c r="BF223" s="203">
        <f>IF($K223=BF$3,IF($C223="X",0,$O223),0)</f>
        <v>0</v>
      </c>
      <c r="BG223" s="198">
        <f>IF($K223=BG$3,IF($C223="X",0,$O223),0)</f>
        <v>0</v>
      </c>
      <c r="BH223" s="198">
        <f>IF($K223=BH$3,IF($C223="X",0,$O223),0)</f>
        <v>0</v>
      </c>
      <c r="BI223" s="198">
        <f>IF($K223=BI$3,IF($C223="X",0,$O223),0)</f>
        <v>0</v>
      </c>
      <c r="BJ223" s="198">
        <f>IF($K223=BJ$3,IF($C223="X",0,$O223),0)</f>
        <v>0</v>
      </c>
      <c r="BK223" s="198">
        <f>IF($K223=BK$3,IF($C223="X",0,$O223),0)</f>
        <v>0</v>
      </c>
      <c r="BL223" s="198">
        <f>IF($K223=BL$3,IF($C223="X",0,$O223),0)</f>
        <v>0</v>
      </c>
      <c r="BM223" s="200">
        <f>IF($K223=BM$3,IF($C223="X",0,$O223),0)</f>
        <v>15.34</v>
      </c>
      <c r="BN223" s="201">
        <f>IF($K223=BN$3,IF($C223="X",0,$O223),0)</f>
        <v>0</v>
      </c>
      <c r="BO223" s="201">
        <f>IF($K223=BO$3,IF($C223="X",0,$O223),0)</f>
        <v>0</v>
      </c>
      <c r="BP223" s="201">
        <f>IF($K223=BP$3,IF($C223="X",0,$O223),0)</f>
        <v>0</v>
      </c>
      <c r="BQ223" s="202">
        <f>IF($K223=BQ$3,IF($C223="X",0,$O223),0)</f>
        <v>0</v>
      </c>
      <c r="BR223" s="199">
        <f>IF($K223=BR$3,IF($C223="X",0,$O223),0)</f>
        <v>0</v>
      </c>
      <c r="BS223" s="204">
        <f>IF($B223="LOSS",IF(AND($K223=BS$3,$C223="L"),-$O223,0)+IF(AND($K224=BS$3,$C224="L"),-$O224,0)+IF(AND($K225=BS$3,$C225="L"),-$O225,0),IF(OR(AND($K223=BS$3,OR($C223="W",$C223="1/2W")),AND($K224=BS$3,OR($C224="W",$C224="1/2W")),AND($K225=BS$3,OR($C225="W",$C225="1/2W"))),$S223,0))</f>
        <v>0</v>
      </c>
      <c r="BT223" s="201">
        <f>IF($B223="LOSS",IF(AND($K223=BT$3,$C223="L"),-$O223,0)+IF(AND($K224=BT$3,$C224="L"),-$O224,0)+IF(AND($K224=BT$3,$C225="L"),-$O225,0),IF(OR(AND($K224=BT$3,OR($C223="W",$C223="1/2W")),AND($K224=BT$3,OR($C224="W",$C224="1/2W")),AND($K224=BT$3,OR($C225="W",$C225="1/2W"))),$S223,0))</f>
        <v>0</v>
      </c>
      <c r="BU223" s="201">
        <f>IF($B223="LOSS",IF(AND($K223=BU$3,$C223="L"),-$O223,0)+IF(AND($K224=BU$3,$C224="L"),-$O224,0)+IF(AND($K224=BU$3,$C225="L"),-$O225,0),IF(OR(AND($K224=BU$3,OR($C223="W",$C223="1/2W")),AND($K224=BU$3,OR($C224="W",$C224="1/2W")),AND($K224=BU$3,OR($C225="W",$C225="1/2W"))),$S223,0))</f>
        <v>0</v>
      </c>
      <c r="BV223" s="201">
        <f>IF($B223="LOSS",IF(AND($K223=BV$3,$C223="L"),-$O223,0)+IF(AND($K224=BV$3,$C224="L"),-$O224,0)+IF(AND($K225=BV$3,$C225="L"),-$O225,0),IF(OR(AND($K223=BV$3,OR($C223="W",$C223="1/2W")),AND($K224=BV$3,OR($C224="W",$C224="1/2W")),AND($K225=BV$3,OR($C225="W",$C225="1/2W"))),$S223,0))</f>
        <v>0</v>
      </c>
      <c r="BW223" s="201">
        <f>IF($B223="LOSS",IF(AND($K223=BW$3,$C223="L"),-$O223,0)+IF(AND($K224=BW$3,$C224="L"),-$O224,0)+IF(AND($K225=BW$3,$C225="L"),-$O225,0),IF(OR(AND($K223=BW$3,OR($C223="W",$C223="1/2W")),AND($K224=BW$3,OR($C224="W",$C224="1/2W")),AND($K225=BW$3,OR($C225="W",$C225="1/2W"))),$S223,0))</f>
        <v>0</v>
      </c>
      <c r="BX223" s="201">
        <f>IF($B223="LOSS",IF(AND($K223=BX$3,$C223="L"),-$O223,0)+IF(AND($K224=BX$3,$C224="L"),-$O224,0)+IF(AND($K225=BX$3,$C225="L"),-$O225,0),IF(OR(AND($K223=BX$3,OR($C223="W",$C223="1/2W")),AND($K224=BX$3,OR($C224="W",$C224="1/2W")),AND($K225=BX$3,OR($C225="W",$C225="1/2W"))),$S223,0))</f>
        <v>0</v>
      </c>
      <c r="BY223" s="201">
        <f>IF($B223="LOSS",IF(AND($K223=BY$3,$C223="L"),-$O223,0)+IF(AND($K224=BY$3,$C224="L"),-$O224,0)+IF(AND($K225=BY$3,$C225="L"),-$O225,0),IF(OR(AND($K223=BY$3,OR($C223="W",$C223="1/2W")),AND($K224=BY$3,OR($C224="W",$C224="1/2W")),AND($K225=BY$3,OR($C225="W",$C225="1/2W"))),$S223,0))</f>
        <v>0</v>
      </c>
      <c r="BZ223" s="205">
        <f>IF($B223="LOSS",IF(AND($K223=BZ$3,$C223="L"),-$O223,0)+IF(AND($K224=BZ$3,$C224="L"),-$O224,0)+IF(AND($K225=BZ$3,$C225="L"),-$O225,0),IF(OR(AND($K223=BZ$3,OR($C223="W",$C223="1/2W")),AND($K224=BZ$3,OR($C224="W",$C224="1/2W")),AND($K225=BZ$3,OR($C225="W",$C225="1/2W"))),$S223,0))</f>
        <v>1.43</v>
      </c>
      <c r="CA223" s="205">
        <f>IF($B223="LOSS",IF(AND($K223=CA$3,$C223="L"),-$O223,0)+IF(AND($K224=CA$3,$C224="L"),-$O224,0)+IF(AND($K225=CA$3,$C225="L"),-$O225,0),IF(OR(AND($K223=CA$3,OR($C223="W",$C223="1/2W")),AND($K224=CA$3,OR($C224="W",$C224="1/2W")),AND($K225=CA$3,OR($C225="W",$C225="1/2W"))),$S223,0))</f>
        <v>0</v>
      </c>
      <c r="CB223" s="205">
        <f>IF($B223="LOSS",IF(AND($K223=CB$3,$C223="L"),-$O223,0)+IF(AND($K224=CB$3,$C224="L"),-$O224,0)+IF(AND($K225=CB$3,$C225="L"),-$O225,0),IF(OR(AND($K223=CB$3,OR($C223="W",$C223="1/2W")),AND($K224=CB$3,OR($C224="W",$C224="1/2W")),AND($K225=CB$3,OR($C225="W",$C225="1/2W"))),$S223,0))</f>
        <v>0</v>
      </c>
      <c r="CC223" s="205">
        <f>IF($B223="LOSS",IF(AND($K223=CC$3,$C223="L"),-$O223,0)+IF(AND($K224=CC$3,$C224="L"),-$O224,0)+IF(AND($K225=CC$3,$C225="L"),-$O225,0),IF(OR(AND($K223=CC$3,OR($C223="W",$C223="1/2W")),AND($K224=CC$3,OR($C224="W",$C224="1/2W")),AND($K225=CC$3,OR($C225="W",$C225="1/2W"))),$S223,0))</f>
        <v>0</v>
      </c>
      <c r="CD223" s="202">
        <f>IF($B223="LOSS",IF(AND($K223=CD$3,$C223="L"),-$O223,0)+IF(AND($K224=CD$3,$C224="L"),-$O224,0)+IF(AND($K225=CD$3,$C225="L"),-$O225,0),IF(OR(AND($K223=CD$3,OR($C223="W",$C223="1/2W")),AND($K224=CD$3,OR($C224="W",$C224="1/2W")),AND($K225=CD$3,OR($C225="W",$C225="1/2W"))),$S223,0))</f>
        <v>0</v>
      </c>
      <c r="CE223" s="199">
        <f>IF($B223="LOSS",IF(AND($K223=CE$3,$C223="L"),-$O223,0)+IF(AND($K224=CE$3,$C224="L"),-$O224,0)+IF(AND($K225=CE$3,$C225="L"),-$O225,0),IF(OR(AND($K223=CE$3,OR($C223="W",$C223="1/2W")),AND($K224=CE$3,OR($C224="W",$C224="1/2W")),AND($K225=CE$3,OR($C225="W",$C225="1/2W"))),$S223,0))</f>
        <v>0</v>
      </c>
      <c r="CF223" s="206">
        <f>IF(CF$3=$K223,IF($C223="W",1,IF($C223="1/2W",0.5,0)),0)</f>
        <v>0</v>
      </c>
      <c r="CG223" s="207">
        <f>IF(CF$3=$K223,IF($C223="L",1,IF($C223="1/2L",0.5,0)),0)</f>
        <v>0</v>
      </c>
      <c r="CH223" s="207">
        <f>IF(CH$3=$K223,IF($C223="W",1,IF($C223="1/2W",0.5,0)),0)</f>
        <v>0</v>
      </c>
      <c r="CI223" s="207">
        <f>IF(CH$3=$K223,IF($C223="L",1,IF($C223="1/2L",0.5,0)),0)</f>
        <v>0</v>
      </c>
      <c r="CJ223" s="207">
        <f>IF(CJ$3=$K223,IF($C223="W",1,IF($C223="1/2W",0.5,0)),0)</f>
        <v>0</v>
      </c>
      <c r="CK223" s="207">
        <f>IF(CJ$3=$K223,IF($C223="L",1,IF($C223="1/2L",0.5,0)),0)</f>
        <v>0</v>
      </c>
      <c r="CL223" s="207">
        <f>IF(CL$3=$K223,IF($C223="W",1,IF($C223="1/2W",0.5,0)),0)</f>
        <v>0</v>
      </c>
      <c r="CM223" s="207">
        <f>IF(CL$3=$K223,IF($C223="L",1,IF($C223="1/2L",0.5,0)),0)</f>
        <v>0</v>
      </c>
      <c r="CN223" s="207">
        <f>IF(CN$3=$K223,IF($C223="W",1,IF($C223="1/2W",0.5,0)),0)</f>
        <v>0</v>
      </c>
      <c r="CO223" s="207">
        <f>IF(CN$3=$K223,IF($C223="L",1,IF($C223="1/2L",0.5,0)),0)</f>
        <v>0</v>
      </c>
      <c r="CP223" s="207">
        <f>IF(CP$3=$K223,IF($C223="W",1,IF($C223="1/2W",0.5,0)),0)</f>
        <v>0</v>
      </c>
      <c r="CQ223" s="207">
        <f>IF(CP$3=$K223,IF($C223="L",1,IF($C223="1/2L",0.5,0)),0)</f>
        <v>0</v>
      </c>
      <c r="CR223" s="207">
        <f>IF(CR$3=$K223,IF($C223="W",1,IF($C223="1/2W",0.5,0)),0)</f>
        <v>0</v>
      </c>
      <c r="CS223" s="207">
        <f>IF(CR$3=$K223,IF($C223="L",1,IF($C223="1/2L",0.5,0)),0)</f>
        <v>0</v>
      </c>
      <c r="CT223" s="208">
        <f>IF(CT$3=$K223,IF($C223="W",1,IF($C223="1/2W",0.5,0)),0)</f>
        <v>1</v>
      </c>
      <c r="CU223" s="209">
        <f>IF(CT$3=$K223,IF($C223="L",1,IF($C223="1/2L",0.5,0)),0)</f>
        <v>0</v>
      </c>
      <c r="CV223" s="209">
        <f>IF(CV$3=$K223,IF($C223="W",1,IF($C223="1/2W",0.5,0)),0)</f>
        <v>0</v>
      </c>
      <c r="CW223" s="209">
        <f>IF(CV$3=$K223,IF($C223="L",1,IF($C223="1/2L",0.5,0)),0)</f>
        <v>0</v>
      </c>
      <c r="CX223" s="209">
        <f>IF(CX$3=$K223,IF($C223="W",1,IF($C223="1/2W",0.5,0)),0)</f>
        <v>0</v>
      </c>
      <c r="CY223" s="209">
        <f>IF(CX$3=$K223,IF($C223="L",1,IF($C223="1/2L",0.5,0)),0)</f>
        <v>0</v>
      </c>
      <c r="CZ223" s="209">
        <f>IF(CZ$3=$K223,IF($C223="W",1,IF($C223="1/2W",0.5,0)),0)</f>
        <v>0</v>
      </c>
      <c r="DA223" s="209">
        <f>IF(CZ$3=$K223,IF($C223="L",1,IF($C223="1/2L",0.5,0)),0)</f>
        <v>0</v>
      </c>
      <c r="DB223" s="209">
        <f>IF(DB$3=$K223,IF($C223="W",1,IF($C223="1/2W",0.5,0)),0)</f>
        <v>0</v>
      </c>
      <c r="DC223" s="209">
        <f>IF(DB$3=$K223,IF($C223="L",1,IF($C223="1/2L",0.5,0)),0)</f>
        <v>0</v>
      </c>
      <c r="DD223" s="209">
        <f>IF(DD$3=$K223,IF($C223="W",1,IF($C223="1/2W",0.5,0)),0)</f>
        <v>0</v>
      </c>
      <c r="DE223" s="210">
        <f>IF(DD$3=$K223,IF($C223="L",1,IF($C223="1/2L",0.5,0)),0)</f>
        <v>0</v>
      </c>
      <c r="DF223" s="211">
        <f>IF(AND(L223&lt;DF$3,$C223="W"),1+DF222,DF222)</f>
        <v>8</v>
      </c>
      <c r="DG223" s="198">
        <f>IF(DF223&gt;DF222,L223+DG222,DG222)</f>
        <v>10.598</v>
      </c>
      <c r="DH223" s="209">
        <f>IF(AND(L223&gt;DH$3,$C223="W"),1+DH222,0+DH222)</f>
        <v>3</v>
      </c>
      <c r="DI223" s="198">
        <f>IF(DH223&gt;DH222,L223+DI222,DI222)</f>
        <v>15.98</v>
      </c>
      <c r="DJ223" t="s" s="306">
        <f>IF($D223="","",$D223)</f>
        <v>229</v>
      </c>
      <c r="DK223" s="209">
        <f>IF(AND($B223=" ",$D223&lt;&gt;""),1,0)</f>
        <v>0</v>
      </c>
    </row>
    <row r="224" ht="14.55" customHeight="1">
      <c r="A224" s="107"/>
      <c r="B224" s="108"/>
      <c r="C224" t="s" s="213">
        <v>51</v>
      </c>
      <c r="D224" s="110"/>
      <c r="E224" s="111"/>
      <c r="F224" s="112"/>
      <c r="G224" s="214"/>
      <c r="H224" s="114"/>
      <c r="I224" s="299">
        <v>1</v>
      </c>
      <c r="J224" t="s" s="216">
        <f>IF(OR(I223="TO",I223="TU",I223="TO1",I223="TU1",I223="TO2",I223="TU2"),J223,IF(OR(I223="AH1",I223="AH2"),IF(OR(I224="AH1",I224="AH2"),-J223,IF(OR(I224="EH1",I224="EH2"),-J223+0.5,"")),IF(OR(I223="EH1",I223="EH2"),IF(OR(I224="AH1",I224="AH2"),-J223+0.5,IF(OR(I224="EH1",I224="EH2"),-J223+1,"")),IF(AND(OR(I223="DNB1",I223="DNB2"),OR(I224="AH1",I224="AH2")),0,IF(AND(I223="Not ScoreBoth",OR(I224="TO1",I224="TO2")),0.5,"")))))</f>
      </c>
      <c r="K224" t="s" s="217">
        <v>37</v>
      </c>
      <c r="L224" s="218">
        <v>1.83</v>
      </c>
      <c r="M224" s="219">
        <v>20.2</v>
      </c>
      <c r="N224" s="120"/>
      <c r="O224" s="220">
        <f>IF(OR(AE223="",AE224=""),"",ROUND(IF(L225&gt;0,IF(M224&gt;0,M224,IF(M223&gt;0,IF(N223=TRUE,ROUND((M223*AE224)/AE223,0),(M223*AE224)/AE223),IF(M224&gt;0,ROUND(M224,IF(N223=0,2,IF(N223=0.1,1,0))),IF(M225&gt;0,ROUND(O225*AE224/AE225,IF(N223=0,2,IF(N223=0.1,1,0))),0)))),IF(M224&gt;0,M224,ROUND((M223*AE224)/AE223,IF(N223=0,2,IF(N223=0.1,1,0))))),2))</f>
        <v>20.2</v>
      </c>
      <c r="P224" s="221">
        <f>IF(OR(L224="",O224=""),"",IF($C224="1/2W",O224/2+O224/2*L224,IF($C224="1/2L",O224/2,IF(I224="Lay",((O224*(L224/(L224-1)))-O224)*(1-_xlfn.XLOOKUP(K224,'Janeiro 2023 - Valor Real'!A3:A15,'Janeiro 2023 - Valor Real'!C3:C15,0))+O224,(O224*L224-O224)*(1-_xlfn.XLOOKUP(K224,'Janeiro 2023 - Valor Real'!A3:A15,'Janeiro 2023 - Valor Real'!C3:C15,0))+O224))))</f>
        <v>36.966</v>
      </c>
      <c r="Q224" s="222">
        <f>IF(K224="","",IF(_xlfn.XLOOKUP(K224,K$98:K104,DJ$98:DJ104,0,,-1)=DJ224,_xlfn.XLOOKUP(K224,K$98:K104,Q$98:Q104,1,,-1)+1,1))</f>
        <v>1</v>
      </c>
      <c r="R224" s="223">
        <f>IF(K224="","",_xlfn.XLOOKUP(K224,K$98:K104,R$98:R104,0,,-1)+IF($C224=" ",1,0))</f>
        <v>0</v>
      </c>
      <c r="S224" s="125"/>
      <c r="T224" s="126"/>
      <c r="U224" s="126"/>
      <c r="V224" s="224"/>
      <c r="W224" s="126"/>
      <c r="X224" s="127"/>
      <c r="Y224" s="128"/>
      <c r="Z224" s="129"/>
      <c r="AA224" s="129"/>
      <c r="AB224" s="129"/>
      <c r="AC224" s="129"/>
      <c r="AD224" s="225">
        <f>(((L224/(L224-1)-1)*(1-_xlfn.XLOOKUP(K224,'Janeiro 2023 - Valor Real'!A3:A15,'Janeiro 2023 - Valor Real'!C3:C15,0))+1))</f>
        <v>2.20481927710843</v>
      </c>
      <c r="AE224" s="226">
        <f>IF(L224="","",IF(L225&gt;0,(SUM(((L223-1)*(1-_xlfn.XLOOKUP(K223,'Janeiro 2023 - Valor Real'!A3:A15,'Janeiro 2023 - Valor Real'!C3:C15,0))+1),((L224-1)*(1-_xlfn.XLOOKUP(K224,'Janeiro 2023 - Valor Real'!A3:A15,'Janeiro 2023 - Valor Real'!C3:C15,0))+1),((L225-1)*(1-_xlfn.XLOOKUP(K225,'Janeiro 2023 - Valor Real'!A3:A15,'Janeiro 2023 - Valor Real'!C3:C15,0))+1))/((L224-1)*(1-_xlfn.XLOOKUP(K224,'Janeiro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Real'!C3:C15,0))+1))/((L223-1)*(1-_xlfn.XLOOKUP(K223,'Janeiro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Real'!C3:C15,0))+1))/((L224-1)*(1-_xlfn.XLOOKUP(K224,'Janeiro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Real'!C3:C15,0))+1))/((L225-1)*(1-_xlfn.XLOOKUP(K225,'Janeiro 2023 - Valor Real'!A3:A15,'Janeiro 2023 - Valor Real'!C3:C15,0))+1)),IF(I224="Lay",IF(I223="Lay",((L223/(L223-1)-1)*(1-_xlfn.XLOOKUP(K223,'Janeiro 2023 - Valor Real'!A3:A15,'Janeiro 2023 - Valor Real'!C3:C15,0))+1)/(((L223/(L223-1)-1)*(1-_xlfn.XLOOKUP(K223,'Janeiro 2023 - Valor Real'!A3:A15,'Janeiro 2023 - Valor Real'!C3:C15,0))+1)+((L224/(L224-1)-1)*(1-_xlfn.XLOOKUP(K224,'Janeiro 2023 - Valor Real'!A3:A15,'Janeiro 2023 - Valor Real'!C3:C15,0))+1)),((L223-1)*(1-_xlfn.XLOOKUP(K223,'Janeiro 2023 - Valor Real'!A3:A15,'Janeiro 2023 - Valor Real'!C3:C15,0))+1)/(((L223-1)*(1-_xlfn.XLOOKUP(K223,'Janeiro 2023 - Valor Real'!A3:A15,'Janeiro 2023 - Valor Real'!C3:C15,0))+1)+((L224/(L224-1)-1)*(1-_xlfn.XLOOKUP(K224,'Janeiro 2023 - Valor Real'!A3:A15,'Janeiro 2023 - Valor Real'!C3:C15,0))+1))),IF(I223="Lay",((L223/(L223-1)-1)*(1-_xlfn.XLOOKUP(K223,'Janeiro 2023 - Valor Real'!A3:A15,'Janeiro 2023 - Valor Real'!C3:C15,0))+1)/((((L223/(L223-1)-1)*(1-_xlfn.XLOOKUP(K223,'Janeiro 2023 - Valor Real'!A3:A15,'Janeiro 2023 - Valor Real'!C3:C15,0))+1))+((L224-1)*(1-_xlfn.XLOOKUP(K224,'Janeiro 2023 - Valor Real'!A3:A15,'Janeiro 2023 - Valor Real'!C3:C15,0))+1)),((L223-1)*(1-_xlfn.XLOOKUP(K223,'Janeiro 2023 - Valor Real'!A3:A15,'Janeiro 2023 - Valor Real'!C3:C15,0))+1)/(((L223-1)*(1-_xlfn.XLOOKUP(K223,'Janeiro 2023 - Valor Real'!A3:A15,'Janeiro 2023 - Valor Real'!C3:C15,0))+1)+((L224-1)*(1-_xlfn.XLOOKUP(K224,'Janeiro 2023 - Valor Real'!A3:A15,'Janeiro 2023 - Valor Real'!C3:C15,0))+1))))))</f>
        <v>0.568396226415094</v>
      </c>
      <c r="AF224" s="197">
        <f>IF($K224=AF$3,ROUND(IF(OR($C224="W",$C224="1/2W",$C224="1/2L"),$P224-$O224,IF($C224="X",0,-$O224)),2),0)</f>
        <v>-20.2</v>
      </c>
      <c r="AG224" s="198">
        <f>IF($K224=AG$3,ROUND(IF(OR($C224="W",$C224="1/2W",$C224="1/2L"),$P224-$O224,IF($C224="X",0,-$O224)),2),0)</f>
        <v>0</v>
      </c>
      <c r="AH224" s="198">
        <f>IF($K224=AH$3,ROUND(IF(OR($C224="W",$C224="1/2W",$C224="1/2L"),$P224-$O224,IF($C224="X",0,-$O224)),2),0)</f>
        <v>0</v>
      </c>
      <c r="AI224" s="198">
        <f>IF($K224=AI$3,ROUND(IF(OR($C224="W",$C224="1/2W",$C224="1/2L"),$P224-$O224,IF($C224="X",0,-$O224)),2),0)</f>
        <v>0</v>
      </c>
      <c r="AJ224" s="198">
        <f>IF($K224=AJ$3,ROUND(IF(OR($C224="W",$C224="1/2W",$C224="1/2L"),$P224-$O224,IF($C224="X",0,-$O224)),2),0)</f>
        <v>0</v>
      </c>
      <c r="AK224" s="198">
        <f>IF($K224=AK$3,ROUND(IF(OR($C224="W",$C224="1/2W",$C224="1/2L"),$P224-$O224,IF($C224="X",0,-$O224)),2),0)</f>
        <v>0</v>
      </c>
      <c r="AL224" s="198">
        <f>IF($K224=AL$3,ROUND(IF(OR($C224="W",$C224="1/2W",$C224="1/2L"),$P224-$O224,IF($C224="X",0,-$O224)),2),0)</f>
        <v>0</v>
      </c>
      <c r="AM224" s="198">
        <f>IF($K224=AM$3,ROUND(IF(OR($C224="W",$C224="1/2W",$C224="1/2L"),$P224-$O224,IF($C224="X",0,-$O224)),2),0)</f>
        <v>0</v>
      </c>
      <c r="AN224" s="198">
        <f>IF($K224=AN$3,ROUND(IF(OR($C224="W",$C224="1/2W",$C224="1/2L"),$P224-$O224,IF($C224="X",0,-$O224)),2),0)</f>
        <v>0</v>
      </c>
      <c r="AO224" s="198">
        <f>IF($K224=AO$3,ROUND(IF(OR($C224="W",$C224="1/2W",$C224="1/2L"),$P224-$O224,IF($C224="X",0,-$O224)),2),0)</f>
        <v>0</v>
      </c>
      <c r="AP224" s="198">
        <f>IF($K224=AP$3,ROUND(IF(OR($C224="W",$C224="1/2W",$C224="1/2L"),$P224-$O224,IF($C224="X",0,-$O224)),2),0)</f>
        <v>0</v>
      </c>
      <c r="AQ224" s="198">
        <f>IF($K224=AQ$3,ROUND(IF(OR($C224="W",$C224="1/2W",$C224="1/2L"),$P224-$O224,IF($C224="X",0,-$O224)),2),0)</f>
        <v>0</v>
      </c>
      <c r="AR224" s="199">
        <f>IF($K224=AR$3,ROUND(IF(OR($C224="W",$C224="1/2W",$C224="1/2L"),$P224-$O224,IF($C224="X",0,-$O224)),2),0)</f>
        <v>0</v>
      </c>
      <c r="AS224" s="197">
        <f>IF(AND($B223=" ",$K224=AS$3),$O224,0)</f>
        <v>0</v>
      </c>
      <c r="AT224" s="198">
        <f>IF(AND($B223=" ",K224=AT$3),$O224,0)</f>
        <v>0</v>
      </c>
      <c r="AU224" s="198">
        <f>IF(AND($B223=" ",$K224=AU$3),$O224,0)</f>
        <v>0</v>
      </c>
      <c r="AV224" s="198">
        <f>IF(AND($B223=" ",$K224=AV$3),$O224,0)</f>
        <v>0</v>
      </c>
      <c r="AW224" s="198">
        <f>IF(AND($B223=" ",$K224=AW$3),$O224,0)</f>
        <v>0</v>
      </c>
      <c r="AX224" s="198">
        <f>IF(AND($B223=" ",$K224=AX$3),$O224,0)</f>
        <v>0</v>
      </c>
      <c r="AY224" s="200">
        <f>IF(AND($B223=" ",$K224=AY$3),$O224,0)</f>
        <v>0</v>
      </c>
      <c r="AZ224" s="201">
        <f>IF(AND($B223=" ",$K224=AZ$3),$O224,0)</f>
        <v>0</v>
      </c>
      <c r="BA224" s="201">
        <f>IF(AND($B223=" ",$K224=BA$3),$O224,0)</f>
        <v>0</v>
      </c>
      <c r="BB224" s="201">
        <f>IF(AND($B223=" ",$K224=BB$3),$O224,0)</f>
        <v>0</v>
      </c>
      <c r="BC224" s="202">
        <f>IF(AND($B223=" ",$K224=BC$3),$O224,0)</f>
        <v>0</v>
      </c>
      <c r="BD224" s="198">
        <f>IF(AND($B223=" ",$K224=BD$3),$O224,0)</f>
        <v>0</v>
      </c>
      <c r="BE224" s="199">
        <f>IF(AND($B223=" ",$K224=BE$3),$O224,0)</f>
        <v>0</v>
      </c>
      <c r="BF224" s="197">
        <f>IF($K224=BF$3,IF($C224="X",0,$O224),0)</f>
        <v>20.2</v>
      </c>
      <c r="BG224" s="198">
        <f>IF($K224=BG$3,IF($C224="X",0,$O224),0)</f>
        <v>0</v>
      </c>
      <c r="BH224" s="198">
        <f>IF($K224=BH$3,IF($C224="X",0,$O224),0)</f>
        <v>0</v>
      </c>
      <c r="BI224" s="198">
        <f>IF($K224=BI$3,IF($C224="X",0,$O224),0)</f>
        <v>0</v>
      </c>
      <c r="BJ224" s="198">
        <f>IF($K224=BJ$3,IF($C224="X",0,$O224),0)</f>
        <v>0</v>
      </c>
      <c r="BK224" s="198">
        <f>IF($K224=BK$3,IF($C224="X",0,$O224),0)</f>
        <v>0</v>
      </c>
      <c r="BL224" s="198">
        <f>IF($K224=BL$3,IF($C224="X",0,$O224),0)</f>
        <v>0</v>
      </c>
      <c r="BM224" s="227">
        <f>IF($K224=BM$3,IF($C224="X",0,$O224),0)</f>
        <v>0</v>
      </c>
      <c r="BN224" s="205">
        <f>IF($K224=BN$3,IF($C224="X",0,$O224),0)</f>
        <v>0</v>
      </c>
      <c r="BO224" s="205">
        <f>IF($K224=BO$3,IF($C224="X",0,$O224),0)</f>
        <v>0</v>
      </c>
      <c r="BP224" s="205">
        <f>IF($K224=BP$3,IF($C224="X",0,$O224),0)</f>
        <v>0</v>
      </c>
      <c r="BQ224" s="202">
        <f>IF($K224=BQ$3,IF($C224="X",0,$O224),0)</f>
        <v>0</v>
      </c>
      <c r="BR224" s="199">
        <f>IF($K224=BR$3,IF($C224="X",0,$O224),0)</f>
        <v>0</v>
      </c>
      <c r="BS224" s="228"/>
      <c r="BT224" s="229"/>
      <c r="BU224" s="140"/>
      <c r="BV224" s="229"/>
      <c r="BW224" s="140"/>
      <c r="BX224" s="140"/>
      <c r="BY224" s="140"/>
      <c r="BZ224" s="229"/>
      <c r="CA224" s="140"/>
      <c r="CB224" s="140"/>
      <c r="CC224" s="140"/>
      <c r="CD224" s="141"/>
      <c r="CE224" s="142"/>
      <c r="CF224" s="230">
        <f>IF(CF$3=$K224,IF($C224="W",1,IF($C224="1/2W",0.5,0)),0)</f>
        <v>0</v>
      </c>
      <c r="CG224" s="231">
        <f>IF(CF$3=$K224,IF($C224="L",1,IF($C224="1/2L",0.5,0)),0)</f>
        <v>1</v>
      </c>
      <c r="CH224" s="231">
        <f>IF(CH$3=$K224,IF($C224="W",1,IF($C224="1/2W",0.5,0)),0)</f>
        <v>0</v>
      </c>
      <c r="CI224" s="231">
        <f>IF(CH$3=$K224,IF($C224="L",1,IF($C224="1/2L",0.5,0)),0)</f>
        <v>0</v>
      </c>
      <c r="CJ224" s="231">
        <f>IF(CJ$3=$K224,IF($C224="W",1,IF($C224="1/2W",0.5,0)),0)</f>
        <v>0</v>
      </c>
      <c r="CK224" s="231">
        <f>IF(CJ$3=$K224,IF($C224="L",1,IF($C224="1/2L",0.5,0)),0)</f>
        <v>0</v>
      </c>
      <c r="CL224" s="231">
        <f>IF(CL$3=$K224,IF($C224="W",1,IF($C224="1/2W",0.5,0)),0)</f>
        <v>0</v>
      </c>
      <c r="CM224" s="231">
        <f>IF(CL$3=$K224,IF($C224="L",1,IF($C224="1/2L",0.5,0)),0)</f>
        <v>0</v>
      </c>
      <c r="CN224" s="231">
        <f>IF(CN$3=$K224,IF($C224="W",1,IF($C224="1/2W",0.5,0)),0)</f>
        <v>0</v>
      </c>
      <c r="CO224" s="231">
        <f>IF(CN$3=$K224,IF($C224="L",1,IF($C224="1/2L",0.5,0)),0)</f>
        <v>0</v>
      </c>
      <c r="CP224" s="231">
        <f>IF(CP$3=$K224,IF($C224="W",1,IF($C224="1/2W",0.5,0)),0)</f>
        <v>0</v>
      </c>
      <c r="CQ224" s="231">
        <f>IF(CP$3=$K224,IF($C224="L",1,IF($C224="1/2L",0.5,0)),0)</f>
        <v>0</v>
      </c>
      <c r="CR224" s="231">
        <f>IF(CR$3=$K224,IF($C224="W",1,IF($C224="1/2W",0.5,0)),0)</f>
        <v>0</v>
      </c>
      <c r="CS224" s="231">
        <f>IF(CR$3=$K224,IF($C224="L",1,IF($C224="1/2L",0.5,0)),0)</f>
        <v>0</v>
      </c>
      <c r="CT224" s="208">
        <f>IF(CT$3=$K224,IF($C224="W",1,IF($C224="1/2W",0.5,0)),0)</f>
        <v>0</v>
      </c>
      <c r="CU224" s="209">
        <f>IF(CT$3=$K224,IF($C224="L",1,IF($C224="1/2L",0.5,0)),0)</f>
        <v>0</v>
      </c>
      <c r="CV224" s="209">
        <f>IF(CV$3=$K224,IF($C224="W",1,IF($C224="1/2W",0.5,0)),0)</f>
        <v>0</v>
      </c>
      <c r="CW224" s="209">
        <f>IF(CV$3=$K224,IF($C224="L",1,IF($C224="1/2L",0.5,0)),0)</f>
        <v>0</v>
      </c>
      <c r="CX224" s="209">
        <f>IF(CX$3=$K224,IF($C224="W",1,IF($C224="1/2W",0.5,0)),0)</f>
        <v>0</v>
      </c>
      <c r="CY224" s="209">
        <f>IF(CX$3=$K224,IF($C224="L",1,IF($C224="1/2L",0.5,0)),0)</f>
        <v>0</v>
      </c>
      <c r="CZ224" s="209">
        <f>IF(CZ$3=$K224,IF($C224="W",1,IF($C224="1/2W",0.5,0)),0)</f>
        <v>0</v>
      </c>
      <c r="DA224" s="209">
        <f>IF(CZ$3=$K224,IF($C224="L",1,IF($C224="1/2L",0.5,0)),0)</f>
        <v>0</v>
      </c>
      <c r="DB224" s="209">
        <f>IF(DB$3=$K224,IF($C224="W",1,IF($C224="1/2W",0.5,0)),0)</f>
        <v>0</v>
      </c>
      <c r="DC224" s="209">
        <f>IF(DB$3=$K224,IF($C224="L",1,IF($C224="1/2L",0.5,0)),0)</f>
        <v>0</v>
      </c>
      <c r="DD224" s="209">
        <f>IF(DD$3=$K224,IF($C224="W",1,IF($C224="1/2W",0.5,0)),0)</f>
        <v>0</v>
      </c>
      <c r="DE224" s="210">
        <f>IF(DD$3=$K224,IF($C224="L",1,IF($C224="1/2L",0.5,0)),0)</f>
        <v>0</v>
      </c>
      <c r="DF224" s="211">
        <f>IF(AND(L224&lt;DF$3,$C224="W"),1+DF223,DF223)</f>
        <v>8</v>
      </c>
      <c r="DG224" s="198">
        <f>IF(DF224&gt;DF223,L224+DG223,DG223)</f>
        <v>10.598</v>
      </c>
      <c r="DH224" s="209">
        <f>IF(AND(L224&gt;DH$3,$C224="W"),1+DH223,0+DH223)</f>
        <v>3</v>
      </c>
      <c r="DI224" s="198">
        <f>IF(DH224&gt;DH223,L224+DI223,DI223)</f>
        <v>15.98</v>
      </c>
      <c r="DJ224" t="s" s="306">
        <f>IF($D223="","",$D223)</f>
        <v>229</v>
      </c>
      <c r="DK224" s="232"/>
    </row>
    <row r="225" ht="14.55" customHeight="1">
      <c r="A225" s="149"/>
      <c r="B225" s="150"/>
      <c r="C225" t="s" s="313">
        <v>58</v>
      </c>
      <c r="D225" s="314"/>
      <c r="E225" s="315"/>
      <c r="F225" s="154"/>
      <c r="G225" s="311"/>
      <c r="H225" s="307"/>
      <c r="I225" s="316"/>
      <c r="J225" s="317"/>
      <c r="K225" s="318"/>
      <c r="L225" s="319"/>
      <c r="M225" s="320"/>
      <c r="N225" s="161"/>
      <c r="O225" t="s" s="240">
        <f>IF(OR(AE223="",AE224=""),"",IF(L225&gt;0,ROUND(IF(M225&gt;0,M225,IF(M223&gt;0,ROUND((M223*AE225)/AE223,IF(N223=0,2,IF(N223=0.1,1,0))),IF(M224&gt;0,ROUND((M224*AE225)/AE224,IF(N223=0,2,IF(N223=0.1,1,0))),IF(M225&gt;0,M225,0)))),2),""))</f>
      </c>
      <c r="P225" t="s" s="241">
        <f>IF(I224="Lay",O224*(L224/(L224-1))-O224,IF(I223="Lay",O223*(L223/(L223-1))-O223,IF(OR(L225="",O225=""),"",IF($C225="1/2W",O225/2+O225/2*L225,IF($C225="1/2L",O225/2,(O225*L225-O225)*(1-_xlfn.XLOOKUP(K225,'Janeiro 2023 - Valor Real'!A3:A15,'Janeiro 2023 - Valor Real'!C3:C15,0))+O225)))))</f>
      </c>
      <c r="Q225" t="s" s="242">
        <f>IF(K225="","",IF(_xlfn.XLOOKUP(K225,K$99:K105,DJ$99:DJ105,0,,-1)=DJ225,_xlfn.XLOOKUP(K225,K$99:K105,Q$99:Q105,1,,-1)+1,1))</f>
      </c>
      <c r="R225" t="s" s="243">
        <f>IF(K225="","",_xlfn.XLOOKUP(K225,K$99:K105,R$99:R105,0,,-1)+IF($C225=" ",1,0))</f>
      </c>
      <c r="S225" s="166"/>
      <c r="T225" s="155"/>
      <c r="U225" s="155"/>
      <c r="V225" s="166"/>
      <c r="W225" s="155"/>
      <c r="X225" s="167"/>
      <c r="Y225" s="128"/>
      <c r="Z225" s="129"/>
      <c r="AA225" s="129"/>
      <c r="AB225" s="129"/>
      <c r="AC225" s="129"/>
      <c r="AD225" s="244">
        <f>((L224/(L224-1)-1))</f>
        <v>1.20481927710843</v>
      </c>
      <c r="AE225" t="s" s="245">
        <f>IF(L225="","",(SUM(((L223-1)*(1-_xlfn.XLOOKUP(K223,'Janeiro 2023 - Valor Real'!A3:A15,'Janeiro 2023 - Valor Real'!C3:C15,0))+1),((L224-1)*(1-_xlfn.XLOOKUP(K224,'Janeiro 2023 - Valor Real'!A3:A15,'Janeiro 2023 - Valor Real'!C3:C15,0))+1),((L225-1)*(1-_xlfn.XLOOKUP(K225,'Janeiro 2023 - Valor Real'!A3:A15,'Janeiro 2023 - Valor Real'!C3:C15,0))+1))/((L225-1)*(1-_xlfn.XLOOKUP(K225,'Janeiro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Real'!C3:C15,0))+1))/((L223-1)*(1-_xlfn.XLOOKUP(K223,'Janeiro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Real'!C3:C15,0))+1))/((L224-1)*(1-_xlfn.XLOOKUP(K224,'Janeiro 2023 - Valor Real'!A3:A15,'Janeiro 2023 - Valor Real'!C3:C15,0))+1)+SUM(((L223-1)*(1-_xlfn.XLOOKUP(K223,'Janeiro 2023 - Valor Real'!A3:A15,'Janeiro 2023 - Valor Real'!C3:C15,0))+1),((L224-1)*(1-_xlfn.XLOOKUP(K224,'Janeiro 2023 - Valor Real'!A3:A15,'Janeiro 2023 - Valor Real'!C3:C15,0))+1),((L225-1)*(1-_xlfn.XLOOKUP(K225,'Janeiro 2023 - Valor Real'!A3:A15,'Janeiro 2023 - Valor Real'!C3:C15,0))+1))/((L225-1)*(1-_xlfn.XLOOKUP(K225,'Janeiro 2023 - Valor Real'!A3:A15,'Janeiro 2023 - Valor Real'!C3:C15,0))+1)))</f>
      </c>
      <c r="AF225" s="197">
        <f>IF($K225=AF$3,ROUND(IF(OR($C225="W",$C225="1/2W",$C225="1/2L"),$P225-$O225,IF($C225="X",0,-$O225)),2),0)</f>
        <v>0</v>
      </c>
      <c r="AG225" s="198">
        <f>IF($K225=AG$3,ROUND(IF(OR($C225="W",$C225="1/2W",$C225="1/2L"),$P225-$O225,IF($C225="X",0,-$O225)),2),0)</f>
        <v>0</v>
      </c>
      <c r="AH225" s="198">
        <f>IF($K225=AH$3,ROUND(IF(OR($C225="W",$C225="1/2W",$C225="1/2L"),$P225-$O225,IF($C225="X",0,-$O225)),2),0)</f>
        <v>0</v>
      </c>
      <c r="AI225" s="198">
        <f>IF($K225=AI$3,ROUND(IF(OR($C225="W",$C225="1/2W",$C225="1/2L"),$P225-$O225,IF($C225="X",0,-$O225)),2),0)</f>
        <v>0</v>
      </c>
      <c r="AJ225" s="198">
        <f>IF($K225=AJ$3,ROUND(IF(OR($C225="W",$C225="1/2W",$C225="1/2L"),$P225-$O225,IF($C225="X",0,-$O225)),2),0)</f>
        <v>0</v>
      </c>
      <c r="AK225" s="198">
        <f>IF($K225=AK$3,ROUND(IF(OR($C225="W",$C225="1/2W",$C225="1/2L"),$P225-$O225,IF($C225="X",0,-$O225)),2),0)</f>
        <v>0</v>
      </c>
      <c r="AL225" s="198">
        <f>IF($K225=AL$3,ROUND(IF(OR($C225="W",$C225="1/2W",$C225="1/2L"),$P225-$O225,IF($C225="X",0,-$O225)),2),0)</f>
        <v>0</v>
      </c>
      <c r="AM225" s="198">
        <f>IF($K225=AM$3,ROUND(IF(OR($C225="W",$C225="1/2W",$C225="1/2L"),$P225-$O225,IF($C225="X",0,-$O225)),2),0)</f>
        <v>0</v>
      </c>
      <c r="AN225" s="198">
        <f>IF($K225=AN$3,ROUND(IF(OR($C225="W",$C225="1/2W",$C225="1/2L"),$P225-$O225,IF($C225="X",0,-$O225)),2),0)</f>
        <v>0</v>
      </c>
      <c r="AO225" s="198">
        <f>IF($K225=AO$3,ROUND(IF(OR($C225="W",$C225="1/2W",$C225="1/2L"),$P225-$O225,IF($C225="X",0,-$O225)),2),0)</f>
        <v>0</v>
      </c>
      <c r="AP225" s="198">
        <f>IF($K225=AP$3,ROUND(IF(OR($C225="W",$C225="1/2W",$C225="1/2L"),$P225-$O225,IF($C225="X",0,-$O225)),2),0)</f>
        <v>0</v>
      </c>
      <c r="AQ225" s="198">
        <f>IF($K225=AQ$3,ROUND(IF(OR($C225="W",$C225="1/2W",$C225="1/2L"),$P225-$O225,IF($C225="X",0,-$O225)),2),0)</f>
        <v>0</v>
      </c>
      <c r="AR225" s="199">
        <f>IF($K225=AR$3,ROUND(IF(OR($C225="W",$C225="1/2W",$C225="1/2L"),$P225-$O225,IF($C225="X",0,-$O225)),2),0)</f>
        <v>0</v>
      </c>
      <c r="AS225" s="197">
        <f>IF(AND($B223=" ",$K225=AS$3),$O225,0)</f>
        <v>0</v>
      </c>
      <c r="AT225" s="198">
        <f>IF(AND($B223=" ",K225=AT$3),$O225,0)</f>
        <v>0</v>
      </c>
      <c r="AU225" s="198">
        <f>IF(AND($B223=" ",$K225=AU$3),$O225,0)</f>
        <v>0</v>
      </c>
      <c r="AV225" s="198">
        <f>IF(AND($B223=" ",$K225=AV$3),$O225,0)</f>
        <v>0</v>
      </c>
      <c r="AW225" s="198">
        <f>IF(AND($B223=" ",$K225=AW$3),$O225,0)</f>
        <v>0</v>
      </c>
      <c r="AX225" s="198">
        <f>IF(AND($B223=" ",$K225=AX$3),$O225,0)</f>
        <v>0</v>
      </c>
      <c r="AY225" s="200">
        <f>IF(AND($B223=" ",$K225=AY$3),$O225,0)</f>
        <v>0</v>
      </c>
      <c r="AZ225" s="201">
        <f>IF(AND($B223=" ",$K225=AZ$3),$O225,0)</f>
        <v>0</v>
      </c>
      <c r="BA225" s="201">
        <f>IF(AND($B223=" ",$K225=BA$3),$O225,0)</f>
        <v>0</v>
      </c>
      <c r="BB225" s="201">
        <f>IF(AND($B223=" ",$K225=BB$3),$O225,0)</f>
        <v>0</v>
      </c>
      <c r="BC225" s="202">
        <f>IF(AND($B223=" ",$K225=BC$3),$O225,0)</f>
        <v>0</v>
      </c>
      <c r="BD225" s="198">
        <f>IF(AND($B223=" ",$K225=BD$3),$O225,0)</f>
        <v>0</v>
      </c>
      <c r="BE225" s="199">
        <f>IF(AND($B223=" ",$K225=BE$3),$O225,0)</f>
        <v>0</v>
      </c>
      <c r="BF225" s="197">
        <f>IF($K225=BF$3,IF($C225="X",0,$O225),0)</f>
        <v>0</v>
      </c>
      <c r="BG225" s="198">
        <f>IF($K225=BG$3,IF($C225="X",0,$O225),0)</f>
        <v>0</v>
      </c>
      <c r="BH225" s="198">
        <f>IF($K225=BH$3,IF($C225="X",0,$O225),0)</f>
        <v>0</v>
      </c>
      <c r="BI225" s="198">
        <f>IF($K225=BI$3,IF($C225="X",0,$O225),0)</f>
        <v>0</v>
      </c>
      <c r="BJ225" s="198">
        <f>IF($K225=BJ$3,IF($C225="X",0,$O225),0)</f>
        <v>0</v>
      </c>
      <c r="BK225" s="198">
        <f>IF($K225=BK$3,IF($C225="X",0,$O225),0)</f>
        <v>0</v>
      </c>
      <c r="BL225" s="198">
        <f>IF($K225=BL$3,IF($C225="X",0,$O225),0)</f>
        <v>0</v>
      </c>
      <c r="BM225" s="200">
        <f>IF($K225=BM$3,IF($C225="X",0,$O225),0)</f>
        <v>0</v>
      </c>
      <c r="BN225" s="201">
        <f>IF($K225=BN$3,IF($C225="X",0,$O225),0)</f>
        <v>0</v>
      </c>
      <c r="BO225" s="201">
        <f>IF($K225=BO$3,IF($C225="X",0,$O225),0)</f>
        <v>0</v>
      </c>
      <c r="BP225" s="201">
        <f>IF($K225=BP$3,IF($C225="X",0,$O225),0)</f>
        <v>0</v>
      </c>
      <c r="BQ225" s="202">
        <f>IF($K225=BQ$3,IF($C225="X",0,$O225),0)</f>
        <v>0</v>
      </c>
      <c r="BR225" s="199">
        <f>IF($K225=BR$3,IF($C225="X",0,$O225),0)</f>
        <v>0</v>
      </c>
      <c r="BS225" s="228"/>
      <c r="BT225" s="229"/>
      <c r="BU225" s="140"/>
      <c r="BV225" s="229"/>
      <c r="BW225" s="140"/>
      <c r="BX225" s="140"/>
      <c r="BY225" s="140"/>
      <c r="BZ225" s="229"/>
      <c r="CA225" s="140"/>
      <c r="CB225" s="140"/>
      <c r="CC225" s="140"/>
      <c r="CD225" s="141"/>
      <c r="CE225" s="142"/>
      <c r="CF225" s="230">
        <f>IF(CF$3=$K225,IF($C225="W",1,IF($C225="1/2W",0.5,0)),0)</f>
        <v>0</v>
      </c>
      <c r="CG225" s="231">
        <f>IF(CF$3=$K225,IF($C225="L",1,IF($C225="1/2L",0.5,0)),0)</f>
        <v>0</v>
      </c>
      <c r="CH225" s="231">
        <f>IF(CH$3=$K225,IF($C225="W",1,IF($C225="1/2W",0.5,0)),0)</f>
        <v>0</v>
      </c>
      <c r="CI225" s="231">
        <f>IF(CH$3=$K225,IF($C225="L",1,IF($C225="1/2L",0.5,0)),0)</f>
        <v>0</v>
      </c>
      <c r="CJ225" s="231">
        <f>IF(CJ$3=$K225,IF($C225="W",1,IF($C225="1/2W",0.5,0)),0)</f>
        <v>0</v>
      </c>
      <c r="CK225" s="231">
        <f>IF(CJ$3=$K225,IF($C225="L",1,IF($C225="1/2L",0.5,0)),0)</f>
        <v>0</v>
      </c>
      <c r="CL225" s="231">
        <f>IF(CL$3=$K225,IF($C225="W",1,IF($C225="1/2W",0.5,0)),0)</f>
        <v>0</v>
      </c>
      <c r="CM225" s="231">
        <f>IF(CL$3=$K225,IF($C225="L",1,IF($C225="1/2L",0.5,0)),0)</f>
        <v>0</v>
      </c>
      <c r="CN225" s="231">
        <f>IF(CN$3=$K225,IF($C225="W",1,IF($C225="1/2W",0.5,0)),0)</f>
        <v>0</v>
      </c>
      <c r="CO225" s="231">
        <f>IF(CN$3=$K225,IF($C225="L",1,IF($C225="1/2L",0.5,0)),0)</f>
        <v>0</v>
      </c>
      <c r="CP225" s="231">
        <f>IF(CP$3=$K225,IF($C225="W",1,IF($C225="1/2W",0.5,0)),0)</f>
        <v>0</v>
      </c>
      <c r="CQ225" s="231">
        <f>IF(CP$3=$K225,IF($C225="L",1,IF($C225="1/2L",0.5,0)),0)</f>
        <v>0</v>
      </c>
      <c r="CR225" s="231">
        <f>IF(CR$3=$K225,IF($C225="W",1,IF($C225="1/2W",0.5,0)),0)</f>
        <v>0</v>
      </c>
      <c r="CS225" s="231">
        <f>IF(CR$3=$K225,IF($C225="L",1,IF($C225="1/2L",0.5,0)),0)</f>
        <v>0</v>
      </c>
      <c r="CT225" s="208">
        <f>IF(CT$3=$K225,IF($C225="W",1,IF($C225="1/2W",0.5,0)),0)</f>
        <v>0</v>
      </c>
      <c r="CU225" s="209">
        <f>IF(CT$3=$K225,IF($C225="L",1,IF($C225="1/2L",0.5,0)),0)</f>
        <v>0</v>
      </c>
      <c r="CV225" s="209">
        <f>IF(CV$3=$K225,IF($C225="W",1,IF($C225="1/2W",0.5,0)),0)</f>
        <v>0</v>
      </c>
      <c r="CW225" s="209">
        <f>IF(CV$3=$K225,IF($C225="L",1,IF($C225="1/2L",0.5,0)),0)</f>
        <v>0</v>
      </c>
      <c r="CX225" s="209">
        <f>IF(CX$3=$K225,IF($C225="W",1,IF($C225="1/2W",0.5,0)),0)</f>
        <v>0</v>
      </c>
      <c r="CY225" s="209">
        <f>IF(CX$3=$K225,IF($C225="L",1,IF($C225="1/2L",0.5,0)),0)</f>
        <v>0</v>
      </c>
      <c r="CZ225" s="209">
        <f>IF(CZ$3=$K225,IF($C225="W",1,IF($C225="1/2W",0.5,0)),0)</f>
        <v>0</v>
      </c>
      <c r="DA225" s="209">
        <f>IF(CZ$3=$K225,IF($C225="L",1,IF($C225="1/2L",0.5,0)),0)</f>
        <v>0</v>
      </c>
      <c r="DB225" s="209">
        <f>IF(DB$3=$K225,IF($C225="W",1,IF($C225="1/2W",0.5,0)),0)</f>
        <v>0</v>
      </c>
      <c r="DC225" s="209">
        <f>IF(DB$3=$K225,IF($C225="L",1,IF($C225="1/2L",0.5,0)),0)</f>
        <v>0</v>
      </c>
      <c r="DD225" s="209">
        <f>IF(DD$3=$K225,IF($C225="W",1,IF($C225="1/2W",0.5,0)),0)</f>
        <v>0</v>
      </c>
      <c r="DE225" s="210">
        <f>IF(DD$3=$K225,IF($C225="L",1,IF($C225="1/2L",0.5,0)),0)</f>
        <v>0</v>
      </c>
      <c r="DF225" s="211">
        <f>IF(AND(L225&lt;DF$3,$C225="W"),1+DF224,DF224)</f>
        <v>8</v>
      </c>
      <c r="DG225" s="198">
        <f>IF(DF225&gt;DF224,L225+DG224,DG224)</f>
        <v>10.598</v>
      </c>
      <c r="DH225" s="209">
        <f>IF(AND(L225&gt;DH$3,$C225="W"),1+DH224,0+DH224)</f>
        <v>3</v>
      </c>
      <c r="DI225" s="198">
        <f>IF(DH225&gt;DH224,L225+DI224,DI224)</f>
        <v>15.98</v>
      </c>
      <c r="DJ225" t="s" s="306">
        <f>IF($D223="","",$D223)</f>
        <v>229</v>
      </c>
      <c r="DK225" s="232"/>
    </row>
    <row r="226" ht="14.55" customHeight="1">
      <c r="A226" s="246">
        <f>$A223+1</f>
        <v>75</v>
      </c>
      <c r="B226" t="s" s="247">
        <f>IF(AND(_xlfn.XLOOKUP(H226,H$87:H130,G$87:G130,0)=G226,_xlfn.XLOOKUP("TempoBet",K226:K228,L226:L228,0)&gt;0),"X",IF(OR(C226="W",C227="W",C228="W",C226="1/2W",C227="1/2W",C228="1/2W",C226="1/2L",C227="1/2L",C228="1/2L"),"OK",IF(OR(C226="L",C227="L",C228="L"),"LOSS",IF(OR(C226="X",C227="X",C228="X"),"Anulado"," "))))</f>
        <v>50</v>
      </c>
      <c r="C226" t="s" s="321">
        <v>56</v>
      </c>
      <c r="D226" t="s" s="322">
        <f>IF(G226="","",$D223)</f>
        <v>229</v>
      </c>
      <c r="E226" t="s" s="323">
        <v>59</v>
      </c>
      <c r="F226" t="s" s="251"/>
      <c r="G226" s="312">
        <v>44945.541666666664</v>
      </c>
      <c r="H226" t="s" s="308">
        <v>227</v>
      </c>
      <c r="I226" s="324">
        <v>2</v>
      </c>
      <c r="J226" s="325"/>
      <c r="K226" t="s" s="326">
        <v>44</v>
      </c>
      <c r="L226" s="327">
        <v>2.41</v>
      </c>
      <c r="M226" s="328">
        <f>28.72-O223</f>
        <v>13.38</v>
      </c>
      <c r="N226" s="259">
        <v>0</v>
      </c>
      <c r="O226" s="260">
        <f>IF(OR(AE226="",AE227=""),"",ROUND(IF(L228&gt;0,IF(M226&gt;0,M226,IF(M227&gt;0,ROUND((M227*AE226)/AE227,IF(N226=0,2,IF(N226=0.1,1,0))),ROUND((M228*AE226)/AE228,IF(N226=0,2,IF(N226=0.1,1,0))))),IF(M226&gt;0,M226,ROUND((M227*AE226)/AE227,IF(N226=0,2,IF(N226=0.1,1,0))))),2))</f>
        <v>13.38</v>
      </c>
      <c r="P226" s="261">
        <f>IF(OR(L226="",O226=""),"",IF($C226="1/2W",O226/2+O226/2*L226,IF($C226="1/2L",O226/2,IF(I226="Lay",(O226*(L226/(L226-1))-O226)*(1-_xlfn.XLOOKUP(K226,'Janeiro 2023 - Valor Real'!A3:A15,'Janeiro 2023 - Valor Real'!C3:C15,0))+O226,(O226*L226-O226)*(1-_xlfn.XLOOKUP(K226,'Janeiro 2023 - Valor Real'!A3:A15,'Janeiro 2023 - Valor Real'!C3:C15,0))+O226))))</f>
        <v>32.2458</v>
      </c>
      <c r="Q226" s="262">
        <f>IF(K226="","",IF(_xlfn.XLOOKUP(K226,K$87:K130,DJ$87:DJ130,0,,-1)=DJ226,_xlfn.XLOOKUP(K226,K$87:K130,Q$87:Q130,1,,-1)+1,1))</f>
        <v>1</v>
      </c>
      <c r="R226" s="263">
        <f>IF(K226="","",_xlfn.XLOOKUP(K226,K$87:K130,R$87:R130,0,,-1)+IF($C226=" ",1,0))</f>
        <v>0</v>
      </c>
      <c r="S226" s="264">
        <f>IF($B226="Anulado",0,ROUND(IF(OR($B226="LOSS",$B226="OK"),IF(OR($C226="W",$C226="1/2W",$C226="1/2L"),P226-O226,IF($C226="L",-O226,0))+IF(OR($C227="W",$C227="1/2W",$C227="1/2L"),P227-O227,IF($C227="L",-O227,0))+IF(OR($C228="W",$C228="1/2W",$C228="1/2L"),P228-O228,IF($C228="L",-O228,0)),IF(AND(OR($C226="W",$C226="1/2W",$C226="1/2L"),C227="W"),P226+P227-SUM(O226:O228)+_xlfn.XLOOKUP("X",C226:C228,O226:O228,0),IF(AND(C226=TRUE,C228="W"),P226+P228-SUM(O226:O228),IF(AND(C227="W",C228="W"),P227+P228-SUM(O226:O228)+_xlfn.XLOOKUP("X",C226:C228,O226:O228,0),IF(L228&gt;0,IF(OR($C226="W",$C226="1/2W",$C226="1/2L"),P226-SUM(O226:O228)+_xlfn.XLOOKUP("X",C226:C228,O226:O228,0),IF(OR($C226="W",$C226="1/2W",$C226="1/2L"),P227-SUM(O226:O228)+_xlfn.XLOOKUP("X",C226:C228,O226:O228,0),IF(OR($C226="W",$C226="1/2W",$C226="1/2L"),P228-SUM(O226:O228)+_xlfn.XLOOKUP("X",C226:C228,O226:O228,0),IF(SUM(P226:P228)/3-SUM(O226:O228)+_xlfn.XLOOKUP("X",C226:C228,O226:O228,0)&gt;0,SUM(P226:P228)/3-SUM(O226:O228)+_xlfn.XLOOKUP("X",C226:C228,O226:O228,0),LARGE(P226:P228,1)-SUM(O226:O228))))),IF(OR($C226="W",$C226="1/2W",$C226="1/2L"),P226-SUM(O226:O227)+_xlfn.XLOOKUP("X",C226:C228,O226:O228,0),IF(OR($C226="W",$C226="1/2W",$C226="1/2L"),P227-SUM(O226:O227)+_xlfn.XLOOKUP("X",C226:C228,O226:O228,0),SUM(P226:P227)/2-SUM(O226:O227)+_xlfn.XLOOKUP("X",C226:C228,O226:O228,0)))))))),2))</f>
        <v>-1.63</v>
      </c>
      <c r="T226" s="265">
        <f>IF(S226=0,0,S226/SUM(O226:O228))</f>
        <v>-0.0481109799291617</v>
      </c>
      <c r="U226" s="266">
        <f>IF($D226=$D223,IF(OR($B226="LOSS",$B226="OK",$B226="Anulada"),S226,0)+U223,IF(OR($B226="LOSS",$B226="OK",$B226="Anulada"),S226,0))</f>
        <v>-0.2</v>
      </c>
      <c r="V226" s="266">
        <f>IF($D226="",0,IF($D226=$D223,IF($B226=" ",IF(I228="",IF(OR(AND(I226="DNB1",I227="DNB2"),AND(OR(I226="DNB1",I226="DNB2"),J227=0),AND(OR(I227="DNB1",I227="DNB2"),J226=0),AND(I226="DNB2",I227="DNB1"),AND(IF(J226=0,(J226+1)/ROUND(J226+1,0),J226/ROUND(J226,0))=1,IF(J227=0,(J227+1)/ROUND(IF(J227="",0,J227)+1,0),IF(J227="",0,J227)/ROUND(IF(J227="",1,J227),0))=1,OR(J226&lt;&gt;""),J227&lt;&gt;"")),0,IF(S226&lt;0,IF(I228="",SMALL(P226:P227,1)-SUM(O226:O227),0),SMALL(P226:P227,1)-SUM(O226:O227))),IF(S226&lt;0,IF(I228="",SMALL(P226:P228,1)-SUM(O226:O228),0),LARGE(P226:P228,1)-SUM(O226:O228))),S226)+V223,IF(I228="",IF(OR(AND(I226="DNB1",I227="DNB2"),AND(OR(I226="DNB1",I226="DNB2"),J227=0),AND(OR(I227="DNB1",I227="DNB2"),J226=0),AND(I226="DNB2",I227="DNB1"),AND(IF(J226=0,(J226+1)/ROUND(J226+1,0),J226/ROUND(J226,0))=1,IF(J227=0,(IF(J227="",0,J227)+1)/ROUND(IF(J227="",0,J227)+1,0),IF(J227="",0,J227)/ROUND(IF(J227="",0,J227)+1,0))=1,OR(J226&lt;&gt;""),J227&lt;&gt;"")),0,IF(S226&lt;0,IF(I228="",SMALL(P226:P227,1)-SUM(O226:O227),0),SMALL(P226:P228,1)-SUM(O226:O228))),IF(S226&lt;0,IF(I228="",SMALL(P226:P228,1)-SUM(O226:O228),0),LARGE(P226:P228,1)-SUM(O226:O228)))))</f>
        <v>-0.204</v>
      </c>
      <c r="W226" s="266">
        <f>IF($D226=$D223,IF(S226&lt;0,IF(I228="",S226,0),S226)+W223,S226)</f>
        <v>-0.2</v>
      </c>
      <c r="X226" t="s" s="267">
        <f>IF(OR(SUM(R226:R228)=0,V226=W226),ROUND(IF(W226=0,0,W226/Y226)*100,2)&amp;"%",ROUND(IF(V226=0,0,V226/Y226)*100,2)&amp;"% a "&amp;ROUND(IF(W226=0,0,W226/Y226)*100,2)&amp;"%")</f>
        <v>230</v>
      </c>
      <c r="Y226" s="268">
        <f>IF($D226=$D223,Y223+SUM(O226:O228),SUM(O226:O228))</f>
        <v>69.42</v>
      </c>
      <c r="Z226" s="266">
        <f>IF($B226=" ",SUM(O226:O228),0)+Z223</f>
        <v>0</v>
      </c>
      <c r="AA226" s="266">
        <f>IF(G226="","",IF($B226="Anulado",LARGE(P226:P228,1)-SUM(O226:O228)+AA223,AA223))</f>
        <v>16.5099</v>
      </c>
      <c r="AB226" s="266">
        <f>IF($D226="","",AB223+S226)</f>
        <v>201.97</v>
      </c>
      <c r="AC226" s="269">
        <f>IF($D226="","",IF($B226=" ",IF(DAY(G226)=DAY(TODAY()),1+AC223,0+AC223),0+AC223))</f>
        <v>0</v>
      </c>
      <c r="AD226" s="270">
        <f>(1-_xlfn.XLOOKUP(K224,'Janeiro 2023 - Valor Real'!A3:A15,'Janeiro 2023 - Valor Real'!C3:C15,0))+1</f>
        <v>2</v>
      </c>
      <c r="AE226" s="271">
        <f>IF(L226="","",IF(L228&gt;0,(SUM(((L226-1)*(1-_xlfn.XLOOKUP(K226,'Janeiro 2023 - Valor Real'!A3:A15,'Janeiro 2023 - Valor Real'!C3:C15,0))+1),((L227-1)*(1-_xlfn.XLOOKUP(K227,'Janeiro 2023 - Valor Real'!A3:A15,'Janeiro 2023 - Valor Real'!C3:C15,0))+1),((L228-1)*(1-_xlfn.XLOOKUP(K228,'Janeiro 2023 - Valor Real'!A3:A15,'Janeiro 2023 - Valor Real'!C3:C15,0))+1))/((L226-1)*(1-_xlfn.XLOOKUP(K226,'Janeiro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Real'!C3:C15,0))+1))/((L226-1)*(1-_xlfn.XLOOKUP(K226,'Janeiro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Real'!C3:C15,0))+1))/((L227-1)*(1-_xlfn.XLOOKUP(K227,'Janeiro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Real'!C3:C15,0))+1))/((L228-1)*(1-_xlfn.XLOOKUP(K228,'Janeiro 2023 - Valor Real'!A3:A15,'Janeiro 2023 - Valor Real'!C3:C15,0))+1)),IF(I226="Lay",IF(I227="Lay",((L227/(L227-1)-1)*(1-_xlfn.XLOOKUP(K227,'Janeiro 2023 - Valor Real'!A3:A15,'Janeiro 2023 - Valor Real'!C3:C15,0))+1)/(((L227/(L227-1)-1)*(1-_xlfn.XLOOKUP(K227,'Janeiro 2023 - Valor Real'!A3:A15,'Janeiro 2023 - Valor Real'!C3:C15,0))+1)+((L226/(L226-1)-1)*(1-_xlfn.XLOOKUP(K226,'Janeiro 2023 - Valor Real'!A3:A15,'Janeiro 2023 - Valor Real'!C3:C15,0))+1)),((L227-1)*(1-_xlfn.XLOOKUP(K227,'Janeiro 2023 - Valor Real'!A3:A15,'Janeiro 2023 - Valor Real'!C3:C15,0))+1)/(((L227-1)*(1-_xlfn.XLOOKUP(K227,'Janeiro 2023 - Valor Real'!A3:A15,'Janeiro 2023 - Valor Real'!C3:C15,0))+1)+((L226/(L226-1)-1)*(1-_xlfn.XLOOKUP(K226,'Janeiro 2023 - Valor Real'!A3:A15,'Janeiro 2023 - Valor Real'!C3:C15,0))+1))),IF(I227="Lay",(((L227/(L227-1)-1)*(1-_xlfn.XLOOKUP(K227,'Janeiro 2023 - Valor Real'!A3:A15,'Janeiro 2023 - Valor Real'!C3:C15,0))+1))/(((L226-1)*(1-_xlfn.XLOOKUP(K226,'Janeiro 2023 - Valor Real'!A3:A15,'Janeiro 2023 - Valor Real'!C3:C15,0))+1)+((L227/(L227-1)-1)*(1-_xlfn.XLOOKUP(K227,'Janeiro 2023 - Valor Real'!A3:A15,'Janeiro 2023 - Valor Real'!C3:C15,0))+1)),((L227-1)*(1-_xlfn.XLOOKUP(K227,'Janeiro 2023 - Valor Real'!A3:A15,'Janeiro 2023 - Valor Real'!C3:C15,0))+1)/(((L227-1)*(1-_xlfn.XLOOKUP(K227,'Janeiro 2023 - Valor Real'!A3:A15,'Janeiro 2023 - Valor Real'!C3:C15,0))+1)+((L226-1)*(1-_xlfn.XLOOKUP(K226,'Janeiro 2023 - Valor Real'!A3:A15,'Janeiro 2023 - Valor Real'!C3:C15,0))+1))))))</f>
        <v>0.394472361809045</v>
      </c>
      <c r="AF226" s="132">
        <f>IF($K226=AF$3,ROUND(IF(OR($C226="W",$C226="1/2W",$C226="1/2L"),$P226-$O226,IF($C226="X",0,-$O226)),2),0)</f>
        <v>0</v>
      </c>
      <c r="AG226" s="133">
        <f>IF($K226=AG$3,ROUND(IF(OR($C226="W",$C226="1/2W",$C226="1/2L"),$P226-$O226,IF($C226="X",0,-$O226)),2),0)</f>
        <v>0</v>
      </c>
      <c r="AH226" s="133">
        <f>IF($K226=AH$3,ROUND(IF(OR($C226="W",$C226="1/2W",$C226="1/2L"),$P226-$O226,IF($C226="X",0,-$O226)),2),0)</f>
        <v>0</v>
      </c>
      <c r="AI226" s="133">
        <f>IF($K226=AI$3,ROUND(IF(OR($C226="W",$C226="1/2W",$C226="1/2L"),$P226-$O226,IF($C226="X",0,-$O226)),2),0)</f>
        <v>0</v>
      </c>
      <c r="AJ226" s="133">
        <f>IF($K226=AJ$3,ROUND(IF(OR($C226="W",$C226="1/2W",$C226="1/2L"),$P226-$O226,IF($C226="X",0,-$O226)),2),0)</f>
        <v>0</v>
      </c>
      <c r="AK226" s="133">
        <f>IF($K226=AK$3,ROUND(IF(OR($C226="W",$C226="1/2W",$C226="1/2L"),$P226-$O226,IF($C226="X",0,-$O226)),2),0)</f>
        <v>0</v>
      </c>
      <c r="AL226" s="133">
        <f>IF($K226=AL$3,ROUND(IF(OR($C226="W",$C226="1/2W",$C226="1/2L"),$P226-$O226,IF($C226="X",0,-$O226)),2),0)</f>
        <v>0</v>
      </c>
      <c r="AM226" s="133">
        <f>IF($K226=AM$3,ROUND(IF(OR($C226="W",$C226="1/2W",$C226="1/2L"),$P226-$O226,IF($C226="X",0,-$O226)),2),0)</f>
        <v>18.87</v>
      </c>
      <c r="AN226" s="133">
        <f>IF($K226=AN$3,ROUND(IF(OR($C226="W",$C226="1/2W",$C226="1/2L"),$P226-$O226,IF($C226="X",0,-$O226)),2),0)</f>
        <v>0</v>
      </c>
      <c r="AO226" s="133">
        <f>IF($K226=AO$3,ROUND(IF(OR($C226="W",$C226="1/2W",$C226="1/2L"),$P226-$O226,IF($C226="X",0,-$O226)),2),0)</f>
        <v>0</v>
      </c>
      <c r="AP226" s="133">
        <f>IF($K226=AP$3,ROUND(IF(OR($C226="W",$C226="1/2W",$C226="1/2L"),$P226-$O226,IF($C226="X",0,-$O226)),2),0)</f>
        <v>0</v>
      </c>
      <c r="AQ226" s="133">
        <f>IF($K226=AQ$3,ROUND(IF(OR($C226="W",$C226="1/2W",$C226="1/2L"),$P226-$O226,IF($C226="X",0,-$O226)),2),0)</f>
        <v>0</v>
      </c>
      <c r="AR226" s="134">
        <f>IF($K226=AR$3,ROUND(IF(OR($C226="W",$C226="1/2W",$C226="1/2L"),$P226-$O226,IF($C226="X",0,-$O226)),2),0)</f>
        <v>0</v>
      </c>
      <c r="AS226" s="132">
        <f>IF(AND($B226=" ",$K226=AS$3),$O226,0)</f>
        <v>0</v>
      </c>
      <c r="AT226" s="133">
        <f>IF(AND($B226=" ",$K226=AT$3),$O226,0)</f>
        <v>0</v>
      </c>
      <c r="AU226" s="133">
        <f>IF(AND($B226=" ",$K226=AU$3),$O226,0)</f>
        <v>0</v>
      </c>
      <c r="AV226" s="133">
        <f>IF(AND($B226=" ",$K226=AV$3),$O226,0)</f>
        <v>0</v>
      </c>
      <c r="AW226" s="133">
        <f>IF(AND($B226=" ",$K226=AW$3),$O226,0)</f>
        <v>0</v>
      </c>
      <c r="AX226" s="133">
        <f>IF(AND($B226=" ",$K226=AX$3),$O226,0)</f>
        <v>0</v>
      </c>
      <c r="AY226" s="135">
        <f>IF(AND($B226=" ",$K226=AY$3),$O226,0)</f>
        <v>0</v>
      </c>
      <c r="AZ226" s="136">
        <f>IF(AND($B226=" ",$K226=AZ$3),$O226,0)</f>
        <v>0</v>
      </c>
      <c r="BA226" s="136">
        <f>IF(AND($B226=" ",$K226=BA$3),$O226,0)</f>
        <v>0</v>
      </c>
      <c r="BB226" s="136">
        <f>IF(AND($B226=" ",$K226=BB$3),$O226,0)</f>
        <v>0</v>
      </c>
      <c r="BC226" s="137">
        <f>IF(AND($B226=" ",$K226=BC$3),$O226,0)</f>
        <v>0</v>
      </c>
      <c r="BD226" s="133">
        <f>IF(AND($B226=" ",$K226=BD$3),$O226,0)</f>
        <v>0</v>
      </c>
      <c r="BE226" s="134">
        <f>IF(AND($B226=" ",$K226=BE$3),$O226,0)</f>
        <v>0</v>
      </c>
      <c r="BF226" s="132">
        <f>IF($K226=BF$3,IF($C226="X",0,$O226),0)</f>
        <v>0</v>
      </c>
      <c r="BG226" s="133">
        <f>IF($K226=BG$3,IF($C226="X",0,$O226),0)</f>
        <v>0</v>
      </c>
      <c r="BH226" s="133">
        <f>IF($K226=BH$3,IF($C226="X",0,$O226),0)</f>
        <v>0</v>
      </c>
      <c r="BI226" s="133">
        <f>IF($K226=BI$3,IF($C226="X",0,$O226),0)</f>
        <v>0</v>
      </c>
      <c r="BJ226" s="133">
        <f>IF($K226=BJ$3,IF($C226="X",0,$O226),0)</f>
        <v>0</v>
      </c>
      <c r="BK226" s="133">
        <f>IF($K226=BK$3,IF($C226="X",0,$O226),0)</f>
        <v>0</v>
      </c>
      <c r="BL226" s="133">
        <f>IF($K226=BL$3,IF($C226="X",0,$O226),0)</f>
        <v>0</v>
      </c>
      <c r="BM226" s="135">
        <f>IF($K226=BM$3,IF($C226="X",0,$O226),0)</f>
        <v>13.38</v>
      </c>
      <c r="BN226" s="136">
        <f>IF($K226=BN$3,IF($C226="X",0,$O226),0)</f>
        <v>0</v>
      </c>
      <c r="BO226" s="136">
        <f>IF($K226=BO$3,IF($C226="X",0,$O226),0)</f>
        <v>0</v>
      </c>
      <c r="BP226" s="136">
        <f>IF($K226=BP$3,IF($C226="X",0,$O226),0)</f>
        <v>0</v>
      </c>
      <c r="BQ226" s="137">
        <f>IF($K226=BQ$3,IF($C226="X",0,$O226),0)</f>
        <v>0</v>
      </c>
      <c r="BR226" s="134">
        <f>IF($K226=BR$3,IF($C226="X",0,$O226),0)</f>
        <v>0</v>
      </c>
      <c r="BS226" s="170">
        <f>IF($B226="LOSS",IF(AND($K226=BS$3,$C226="L"),-$O226,0)+IF(AND($K227=BS$3,$C227="L"),-$O227,0)+IF(AND($K228=BS$3,$C228="L"),-$O228,0),IF(OR(AND($K226=BS$3,OR($C226="W",$C226="1/2W")),AND($K227=BS$3,OR($C227="W",$C227="1/2W")),AND($K228=BS$3,OR($C228="W",$C228="1/2W"))),$S226,0))</f>
        <v>0</v>
      </c>
      <c r="BT226" s="272">
        <f>IF($B226="LOSS",IF(AND($K226=BT$3,$C226="L"),-$O226,0)+IF(AND($K227=BT$3,$C227="L"),-$O227,0)+IF(AND($K227=BT$3,$C228="L"),-$O228,0),IF(OR(AND($K227=BT$3,OR($C226="W",$C226="1/2W")),AND($K227=BT$3,OR($C227="W",$C227="1/2W")),AND($K227=BT$3,OR($C228="W",$C228="1/2W"))),$S226,0))</f>
        <v>0</v>
      </c>
      <c r="BU226" s="136">
        <f>IF($B226="LOSS",IF(AND($K226=BU$3,$C226="L"),-$O226,0)+IF(AND($K227=BU$3,$C227="L"),-$O227,0)+IF(AND($K227=BU$3,$C228="L"),-$O228,0),IF(OR(AND($K227=BU$3,OR($C226="W",$C226="1/2W")),AND($K227=BU$3,OR($C227="W",$C227="1/2W")),AND($K227=BU$3,OR($C228="W",$C228="1/2W"))),$S226,0))</f>
        <v>0</v>
      </c>
      <c r="BV226" s="136">
        <f>IF($B226="LOSS",IF(AND($K226=BV$3,$C226="L"),-$O226,0)+IF(AND($K227=BV$3,$C227="L"),-$O227,0)+IF(AND($K228=BV$3,$C228="L"),-$O228,0),IF(OR(AND($K226=BV$3,OR($C226="W",$C226="1/2W")),AND($K227=BV$3,OR($C227="W",$C227="1/2W")),AND($K228=BV$3,OR($C228="W",$C228="1/2W"))),$S226,0))</f>
        <v>0</v>
      </c>
      <c r="BW226" s="136">
        <f>IF($B226="LOSS",IF(AND($K226=BW$3,$C226="L"),-$O226,0)+IF(AND($K227=BW$3,$C227="L"),-$O227,0)+IF(AND($K228=BW$3,$C228="L"),-$O228,0),IF(OR(AND($K226=BW$3,OR($C226="W",$C226="1/2W")),AND($K227=BW$3,OR($C227="W",$C227="1/2W")),AND($K228=BW$3,OR($C228="W",$C228="1/2W"))),$S226,0))</f>
        <v>0</v>
      </c>
      <c r="BX226" s="136">
        <f>IF($B226="LOSS",IF(AND($K226=BX$3,$C226="L"),-$O226,0)+IF(AND($K227=BX$3,$C227="L"),-$O227,0)+IF(AND($K228=BX$3,$C228="L"),-$O228,0),IF(OR(AND($K226=BX$3,OR($C226="W",$C226="1/2W")),AND($K227=BX$3,OR($C227="W",$C227="1/2W")),AND($K228=BX$3,OR($C228="W",$C228="1/2W"))),$S226,0))</f>
        <v>0</v>
      </c>
      <c r="BY226" s="136">
        <f>IF($B226="LOSS",IF(AND($K226=BY$3,$C226="L"),-$O226,0)+IF(AND($K227=BY$3,$C227="L"),-$O227,0)+IF(AND($K228=BY$3,$C228="L"),-$O228,0),IF(OR(AND($K226=BY$3,OR($C226="W",$C226="1/2W")),AND($K227=BY$3,OR($C227="W",$C227="1/2W")),AND($K228=BY$3,OR($C228="W",$C228="1/2W"))),$S226,0))</f>
        <v>0</v>
      </c>
      <c r="BZ226" s="136">
        <f>IF($B226="LOSS",IF(AND($K226=BZ$3,$C226="L"),-$O226,0)+IF(AND($K227=BZ$3,$C227="L"),-$O227,0)+IF(AND($K228=BZ$3,$C228="L"),-$O228,0),IF(OR(AND($K226=BZ$3,OR($C226="W",$C226="1/2W")),AND($K227=BZ$3,OR($C227="W",$C227="1/2W")),AND($K228=BZ$3,OR($C228="W",$C228="1/2W"))),$S226,0))</f>
        <v>-1.63</v>
      </c>
      <c r="CA226" s="136">
        <f>IF($B226="LOSS",IF(AND($K226=CA$3,$C226="L"),-$O226,0)+IF(AND($K227=CA$3,$C227="L"),-$O227,0)+IF(AND($K228=CA$3,$C228="L"),-$O228,0),IF(OR(AND($K226=CA$3,OR($C226="W",$C226="1/2W")),AND($K227=CA$3,OR($C227="W",$C227="1/2W")),AND($K228=CA$3,OR($C228="W",$C228="1/2W"))),$S226,0))</f>
        <v>0</v>
      </c>
      <c r="CB226" s="136">
        <f>IF($B226="LOSS",IF(AND($K226=CB$3,$C226="L"),-$O226,0)+IF(AND($K227=CB$3,$C227="L"),-$O227,0)+IF(AND($K228=CB$3,$C228="L"),-$O228,0),IF(OR(AND($K226=CB$3,OR($C226="W",$C226="1/2W")),AND($K227=CB$3,OR($C227="W",$C227="1/2W")),AND($K228=CB$3,OR($C228="W",$C228="1/2W"))),$S226,0))</f>
        <v>0</v>
      </c>
      <c r="CC226" s="136">
        <f>IF($B226="LOSS",IF(AND($K226=CC$3,$C226="L"),-$O226,0)+IF(AND($K227=CC$3,$C227="L"),-$O227,0)+IF(AND($K228=CC$3,$C228="L"),-$O228,0),IF(OR(AND($K226=CC$3,OR($C226="W",$C226="1/2W")),AND($K227=CC$3,OR($C227="W",$C227="1/2W")),AND($K228=CC$3,OR($C228="W",$C228="1/2W"))),$S226,0))</f>
        <v>0</v>
      </c>
      <c r="CD226" s="137">
        <f>IF($B226="LOSS",IF(AND($K226=CD$3,$C226="L"),-$O226,0)+IF(AND($K227=CD$3,$C227="L"),-$O227,0)+IF(AND($K228=CD$3,$C228="L"),-$O228,0),IF(OR(AND($K226=CD$3,OR($C226="W",$C226="1/2W")),AND($K227=CD$3,OR($C227="W",$C227="1/2W")),AND($K228=CD$3,OR($C228="W",$C228="1/2W"))),$S226,0))</f>
        <v>0</v>
      </c>
      <c r="CE226" s="134">
        <f>IF($B226="LOSS",IF(AND($K226=CE$3,$C226="L"),-$O226,0)+IF(AND($K227=CE$3,$C227="L"),-$O227,0)+IF(AND($K228=CE$3,$C228="L"),-$O228,0),IF(OR(AND($K226=CE$3,OR($C226="W",$C226="1/2W")),AND($K227=CE$3,OR($C227="W",$C227="1/2W")),AND($K228=CE$3,OR($C228="W",$C228="1/2W"))),$S226,0))</f>
        <v>0</v>
      </c>
      <c r="CF226" s="273">
        <f>IF(CF$3=$K226,IF($C226="W",1,IF($C226="1/2W",0.5,0)),0)</f>
        <v>0</v>
      </c>
      <c r="CG226" s="274">
        <f>IF(CF$3=$K226,IF($C226="L",1,IF($C226="1/2L",0.5,0)),0)</f>
        <v>0</v>
      </c>
      <c r="CH226" s="274">
        <f>IF(CH$3=$K226,IF($C226="W",1,IF($C226="1/2W",0.5,0)),0)</f>
        <v>0</v>
      </c>
      <c r="CI226" s="274">
        <f>IF(CH$3=$K226,IF($C226="L",1,IF($C226="1/2L",0.5,0)),0)</f>
        <v>0</v>
      </c>
      <c r="CJ226" s="274">
        <f>IF(CJ$3=$K226,IF($C226="W",1,IF($C226="1/2W",0.5,0)),0)</f>
        <v>0</v>
      </c>
      <c r="CK226" s="274">
        <f>IF(CJ$3=$K226,IF($C226="L",1,IF($C226="1/2L",0.5,0)),0)</f>
        <v>0</v>
      </c>
      <c r="CL226" s="274">
        <f>IF(CL$3=$K226,IF($C226="W",1,IF($C226="1/2W",0.5,0)),0)</f>
        <v>0</v>
      </c>
      <c r="CM226" s="274">
        <f>IF(CL$3=$K226,IF($C226="L",1,IF($C226="1/2L",0.5,0)),0)</f>
        <v>0</v>
      </c>
      <c r="CN226" s="274">
        <f>IF(CN$3=$K226,IF($C226="W",1,IF($C226="1/2W",0.5,0)),0)</f>
        <v>0</v>
      </c>
      <c r="CO226" s="274">
        <f>IF(CN$3=$K226,IF($C226="L",1,IF($C226="1/2L",0.5,0)),0)</f>
        <v>0</v>
      </c>
      <c r="CP226" s="274">
        <f>IF(CP$3=$K226,IF($C226="W",1,IF($C226="1/2W",0.5,0)),0)</f>
        <v>0</v>
      </c>
      <c r="CQ226" s="274">
        <f>IF(CP$3=$K226,IF($C226="L",1,IF($C226="1/2L",0.5,0)),0)</f>
        <v>0</v>
      </c>
      <c r="CR226" s="274">
        <f>IF(CR$3=$K226,IF($C226="W",1,IF($C226="1/2W",0.5,0)),0)</f>
        <v>0</v>
      </c>
      <c r="CS226" s="274">
        <f>IF(CR$3=$K226,IF($C226="L",1,IF($C226="1/2L",0.5,0)),0)</f>
        <v>0</v>
      </c>
      <c r="CT226" s="145">
        <f>IF(CT$3=$K226,IF($C226="W",1,IF($C226="1/2W",0.5,0)),0)</f>
        <v>1</v>
      </c>
      <c r="CU226" s="146">
        <f>IF(CT$3=$K226,IF($C226="L",1,IF($C226="1/2L",0.5,0)),0)</f>
        <v>0</v>
      </c>
      <c r="CV226" s="146">
        <f>IF(CV$3=$K226,IF($C226="W",1,IF($C226="1/2W",0.5,0)),0)</f>
        <v>0</v>
      </c>
      <c r="CW226" s="146">
        <f>IF(CV$3=$K226,IF($C226="L",1,IF($C226="1/2L",0.5,0)),0)</f>
        <v>0</v>
      </c>
      <c r="CX226" s="146">
        <f>IF(CX$3=$K226,IF($C226="W",1,IF($C226="1/2W",0.5,0)),0)</f>
        <v>0</v>
      </c>
      <c r="CY226" s="146">
        <f>IF(CX$3=$K226,IF($C226="L",1,IF($C226="1/2L",0.5,0)),0)</f>
        <v>0</v>
      </c>
      <c r="CZ226" s="146">
        <f>IF(CZ$3=$K226,IF($C226="W",1,IF($C226="1/2W",0.5,0)),0)</f>
        <v>0</v>
      </c>
      <c r="DA226" s="146">
        <f>IF(CZ$3=$K226,IF($C226="L",1,IF($C226="1/2L",0.5,0)),0)</f>
        <v>0</v>
      </c>
      <c r="DB226" s="146">
        <f>IF(DB$3=$K226,IF($C226="W",1,IF($C226="1/2W",0.5,0)),0)</f>
        <v>0</v>
      </c>
      <c r="DC226" s="146">
        <f>IF(DB$3=$K226,IF($C226="L",1,IF($C226="1/2L",0.5,0)),0)</f>
        <v>0</v>
      </c>
      <c r="DD226" s="146">
        <f>IF(DD$3=$K226,IF($C226="W",1,IF($C226="1/2W",0.5,0)),0)</f>
        <v>0</v>
      </c>
      <c r="DE226" s="147">
        <f>IF(DD$3=$K226,IF($C226="L",1,IF($C226="1/2L",0.5,0)),0)</f>
        <v>0</v>
      </c>
      <c r="DF226" s="143">
        <f>IF(AND(L226&lt;DF$3,$C226="W"),1+DF225,DF225)</f>
        <v>8</v>
      </c>
      <c r="DG226" s="133">
        <f>IF(DF226&gt;DF225,L226+DG225,DG225)</f>
        <v>10.598</v>
      </c>
      <c r="DH226" s="146">
        <f>IF(AND(L226&gt;DH$3,$C226="W"),1+DH225,0+DH225)</f>
        <v>3</v>
      </c>
      <c r="DI226" s="133">
        <f>IF(DH226&gt;DH225,L226+DI225,DI225)</f>
        <v>15.98</v>
      </c>
      <c r="DJ226" t="s" s="304">
        <f>IF($D226="","",$D226)</f>
        <v>229</v>
      </c>
      <c r="DK226" s="146">
        <f>IF(AND($B226=" ",$D226&lt;&gt;""),1,0)</f>
        <v>0</v>
      </c>
    </row>
    <row r="227" ht="14.55" customHeight="1">
      <c r="A227" s="107"/>
      <c r="B227" s="108"/>
      <c r="C227" t="s" s="109">
        <v>51</v>
      </c>
      <c r="D227" s="110"/>
      <c r="E227" s="111"/>
      <c r="F227" s="113"/>
      <c r="G227" s="252"/>
      <c r="H227" s="114"/>
      <c r="I227" s="294">
        <v>1</v>
      </c>
      <c r="J227" t="s" s="295">
        <f>IF(OR(I226="TO",I226="TU",I226="TO1",I226="TU1",I226="TO2",I226="TU2"),J226,IF(OR(I226="AH1",I226="AH2"),IF(OR(I227="AH1",I227="AH2"),-J226,IF(OR(I227="EH1",I227="EH2"),-J226+0.5,"")),IF(OR(I226="EH1",I226="EH2"),IF(OR(I227="AH1",I227="AH2"),-J226+0.5,IF(OR(I227="EH1",I227="EH2"),-J226+1,"")),IF(AND(OR(I226="DNB1",I226="DNB2"),OR(I227="AH1",I227="AH2")),0,IF(AND(I226="Not ScoreBoth",OR(I227="TO1",I227="TO2")),0.5,"")))))</f>
      </c>
      <c r="K227" t="s" s="117">
        <v>37</v>
      </c>
      <c r="L227" s="277">
        <v>1.57</v>
      </c>
      <c r="M227" s="278">
        <v>20.5</v>
      </c>
      <c r="N227" s="120"/>
      <c r="O227" s="121">
        <f>IF(OR(AE226="",AE227=""),"",ROUND(IF(L228&gt;0,IF(M227&gt;0,M227,IF(M226&gt;0,IF(N226=TRUE,ROUND((M226*AE227)/AE226,0),(M226*AE227)/AE226),IF(M227&gt;0,ROUND(M227,IF(N226=0,2,IF(N226=0.1,1,0))),IF(M228&gt;0,ROUND(O228*AE227/AE228,IF(N226=0,2,IF(N226=0.1,1,0))),0)))),IF(M227&gt;0,M227,ROUND((M226*AE227)/AE226,IF(N226=0,2,IF(N226=0.1,1,0))))),2))</f>
        <v>20.5</v>
      </c>
      <c r="P227" s="122">
        <f>IF(OR(L227="",O227=""),"",IF($C227="1/2W",O227/2+O227/2*L227,IF($C227="1/2L",O227/2,IF(I227="Lay",((O227*(L227/(L227-1)))-O227)*(1-_xlfn.XLOOKUP(K227,'Janeiro 2023 - Valor Real'!A3:A15,'Janeiro 2023 - Valor Real'!C3:C15,0))+O227,(O227*L227-O227)*(1-_xlfn.XLOOKUP(K227,'Janeiro 2023 - Valor Real'!A3:A15,'Janeiro 2023 - Valor Real'!C3:C15,0))+O227))))</f>
        <v>32.185</v>
      </c>
      <c r="Q227" s="279">
        <f>IF(K227="","",IF(_xlfn.XLOOKUP(K227,K$88:K131,DJ$88:DJ131,0,,-1)=DJ227,_xlfn.XLOOKUP(K227,K$88:K131,Q$88:Q131,1,,-1)+1,1))</f>
        <v>1</v>
      </c>
      <c r="R227" s="280">
        <f>IF(K227="","",_xlfn.XLOOKUP(K227,K$88:K131,R$88:R131,0,,-1)+IF($C227=" ",1,0))</f>
        <v>0</v>
      </c>
      <c r="S227" s="125"/>
      <c r="T227" s="126"/>
      <c r="U227" s="126"/>
      <c r="V227" s="224"/>
      <c r="W227" s="126"/>
      <c r="X227" s="127"/>
      <c r="Y227" s="128"/>
      <c r="Z227" s="129"/>
      <c r="AA227" s="129"/>
      <c r="AB227" s="129"/>
      <c r="AC227" s="129"/>
      <c r="AD227" s="130"/>
      <c r="AE227" s="131">
        <f>IF(L227="","",IF(L228&gt;0,(SUM(((L226-1)*(1-_xlfn.XLOOKUP(K226,'Janeiro 2023 - Valor Real'!A3:A15,'Janeiro 2023 - Valor Real'!C3:C15,0))+1),((L227-1)*(1-_xlfn.XLOOKUP(K227,'Janeiro 2023 - Valor Real'!A3:A15,'Janeiro 2023 - Valor Real'!C3:C15,0))+1),((L228-1)*(1-_xlfn.XLOOKUP(K228,'Janeiro 2023 - Valor Real'!A3:A15,'Janeiro 2023 - Valor Real'!C3:C15,0))+1))/((L227-1)*(1-_xlfn.XLOOKUP(K227,'Janeiro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Real'!C3:C15,0))+1))/((L226-1)*(1-_xlfn.XLOOKUP(K226,'Janeiro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Real'!C3:C15,0))+1))/((L227-1)*(1-_xlfn.XLOOKUP(K227,'Janeiro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Real'!C3:C15,0))+1))/((L228-1)*(1-_xlfn.XLOOKUP(K228,'Janeiro 2023 - Valor Real'!A3:A15,'Janeiro 2023 - Valor Real'!C3:C15,0))+1)),IF(I227="Lay",IF(I226="Lay",((L226/(L226-1)-1)*(1-_xlfn.XLOOKUP(K226,'Janeiro 2023 - Valor Real'!A3:A15,'Janeiro 2023 - Valor Real'!C3:C15,0))+1)/(((L226/(L226-1)-1)*(1-_xlfn.XLOOKUP(K226,'Janeiro 2023 - Valor Real'!A3:A15,'Janeiro 2023 - Valor Real'!C3:C15,0))+1)+((L227/(L227-1)-1)*(1-_xlfn.XLOOKUP(K227,'Janeiro 2023 - Valor Real'!A3:A15,'Janeiro 2023 - Valor Real'!C3:C15,0))+1)),((L226-1)*(1-_xlfn.XLOOKUP(K226,'Janeiro 2023 - Valor Real'!A3:A15,'Janeiro 2023 - Valor Real'!C3:C15,0))+1)/(((L226-1)*(1-_xlfn.XLOOKUP(K226,'Janeiro 2023 - Valor Real'!A3:A15,'Janeiro 2023 - Valor Real'!C3:C15,0))+1)+((L227/(L227-1)-1)*(1-_xlfn.XLOOKUP(K227,'Janeiro 2023 - Valor Real'!A3:A15,'Janeiro 2023 - Valor Real'!C3:C15,0))+1))),IF(I226="Lay",((L226/(L226-1)-1)*(1-_xlfn.XLOOKUP(K226,'Janeiro 2023 - Valor Real'!A3:A15,'Janeiro 2023 - Valor Real'!C3:C15,0))+1)/((((L226/(L226-1)-1)*(1-_xlfn.XLOOKUP(K226,'Janeiro 2023 - Valor Real'!A3:A15,'Janeiro 2023 - Valor Real'!C3:C15,0))+1))+((L227-1)*(1-_xlfn.XLOOKUP(K227,'Janeiro 2023 - Valor Real'!A3:A15,'Janeiro 2023 - Valor Real'!C3:C15,0))+1)),((L226-1)*(1-_xlfn.XLOOKUP(K226,'Janeiro 2023 - Valor Real'!A3:A15,'Janeiro 2023 - Valor Real'!C3:C15,0))+1)/(((L226-1)*(1-_xlfn.XLOOKUP(K226,'Janeiro 2023 - Valor Real'!A3:A15,'Janeiro 2023 - Valor Real'!C3:C15,0))+1)+((L227-1)*(1-_xlfn.XLOOKUP(K227,'Janeiro 2023 - Valor Real'!A3:A15,'Janeiro 2023 - Valor Real'!C3:C15,0))+1))))))</f>
        <v>0.605527638190955</v>
      </c>
      <c r="AF227" s="132">
        <f>IF($K227=AF$3,ROUND(IF(OR($C227="W",$C227="1/2W",$C227="1/2L"),$P227-$O227,IF($C227="X",0,-$O227)),2),0)</f>
        <v>-20.5</v>
      </c>
      <c r="AG227" s="133">
        <f>IF($K227=AG$3,ROUND(IF(OR($C227="W",$C227="1/2W",$C227="1/2L"),$P227-$O227,IF($C227="X",0,-$O227)),2),0)</f>
        <v>0</v>
      </c>
      <c r="AH227" s="133">
        <f>IF($K227=AH$3,ROUND(IF(OR($C227="W",$C227="1/2W",$C227="1/2L"),$P227-$O227,IF($C227="X",0,-$O227)),2),0)</f>
        <v>0</v>
      </c>
      <c r="AI227" s="133">
        <f>IF($K227=AI$3,ROUND(IF(OR($C227="W",$C227="1/2W",$C227="1/2L"),$P227-$O227,IF($C227="X",0,-$O227)),2),0)</f>
        <v>0</v>
      </c>
      <c r="AJ227" s="133">
        <f>IF($K227=AJ$3,ROUND(IF(OR($C227="W",$C227="1/2W",$C227="1/2L"),$P227-$O227,IF($C227="X",0,-$O227)),2),0)</f>
        <v>0</v>
      </c>
      <c r="AK227" s="133">
        <f>IF($K227=AK$3,ROUND(IF(OR($C227="W",$C227="1/2W",$C227="1/2L"),$P227-$O227,IF($C227="X",0,-$O227)),2),0)</f>
        <v>0</v>
      </c>
      <c r="AL227" s="133">
        <f>IF($K227=AL$3,ROUND(IF(OR($C227="W",$C227="1/2W",$C227="1/2L"),$P227-$O227,IF($C227="X",0,-$O227)),2),0)</f>
        <v>0</v>
      </c>
      <c r="AM227" s="133">
        <f>IF($K227=AM$3,ROUND(IF(OR($C227="W",$C227="1/2W",$C227="1/2L"),$P227-$O227,IF($C227="X",0,-$O227)),2),0)</f>
        <v>0</v>
      </c>
      <c r="AN227" s="133">
        <f>IF($K227=AN$3,ROUND(IF(OR($C227="W",$C227="1/2W",$C227="1/2L"),$P227-$O227,IF($C227="X",0,-$O227)),2),0)</f>
        <v>0</v>
      </c>
      <c r="AO227" s="133">
        <f>IF($K227=AO$3,ROUND(IF(OR($C227="W",$C227="1/2W",$C227="1/2L"),$P227-$O227,IF($C227="X",0,-$O227)),2),0)</f>
        <v>0</v>
      </c>
      <c r="AP227" s="133">
        <f>IF($K227=AP$3,ROUND(IF(OR($C227="W",$C227="1/2W",$C227="1/2L"),$P227-$O227,IF($C227="X",0,-$O227)),2),0)</f>
        <v>0</v>
      </c>
      <c r="AQ227" s="133">
        <f>IF($K227=AQ$3,ROUND(IF(OR($C227="W",$C227="1/2W",$C227="1/2L"),$P227-$O227,IF($C227="X",0,-$O227)),2),0)</f>
        <v>0</v>
      </c>
      <c r="AR227" s="134">
        <f>IF($K227=AR$3,ROUND(IF(OR($C227="W",$C227="1/2W",$C227="1/2L"),$P227-$O227,IF($C227="X",0,-$O227)),2),0)</f>
        <v>0</v>
      </c>
      <c r="AS227" s="132">
        <f>IF(AND($B226=" ",$K227=AS$3),$O227,0)</f>
        <v>0</v>
      </c>
      <c r="AT227" s="133">
        <f>IF(AND($B226=" ",K227=AT$3),$O227,0)</f>
        <v>0</v>
      </c>
      <c r="AU227" s="133">
        <f>IF(AND($B226=" ",$K227=AU$3),$O227,0)</f>
        <v>0</v>
      </c>
      <c r="AV227" s="133">
        <f>IF(AND($B226=" ",$K227=AV$3),$O227,0)</f>
        <v>0</v>
      </c>
      <c r="AW227" s="133">
        <f>IF(AND($B226=" ",$K227=AW$3),$O227,0)</f>
        <v>0</v>
      </c>
      <c r="AX227" s="133">
        <f>IF(AND($B226=" ",$K227=AX$3),$O227,0)</f>
        <v>0</v>
      </c>
      <c r="AY227" s="135">
        <f>IF(AND($B226=" ",$K227=AY$3),$O227,0)</f>
        <v>0</v>
      </c>
      <c r="AZ227" s="136">
        <f>IF(AND($B226=" ",$K227=AZ$3),$O227,0)</f>
        <v>0</v>
      </c>
      <c r="BA227" s="136">
        <f>IF(AND($B226=" ",$K227=BA$3),$O227,0)</f>
        <v>0</v>
      </c>
      <c r="BB227" s="136">
        <f>IF(AND($B226=" ",$K227=BB$3),$O227,0)</f>
        <v>0</v>
      </c>
      <c r="BC227" s="137">
        <f>IF(AND($B226=" ",$K227=BC$3),$O227,0)</f>
        <v>0</v>
      </c>
      <c r="BD227" s="133">
        <f>IF(AND($B226=" ",$K227=BD$3),$O227,0)</f>
        <v>0</v>
      </c>
      <c r="BE227" s="134">
        <f>IF(AND($B226=" ",$K227=BE$3),$O227,0)</f>
        <v>0</v>
      </c>
      <c r="BF227" s="132">
        <f>IF($K227=BF$3,IF($C227="X",0,$O227),0)</f>
        <v>20.5</v>
      </c>
      <c r="BG227" s="281">
        <f>IF($K227=BG$3,IF($C227="X",0,$O227),0)</f>
        <v>0</v>
      </c>
      <c r="BH227" s="133">
        <f>IF($K227=BH$3,IF($C227="X",0,$O227),0)</f>
        <v>0</v>
      </c>
      <c r="BI227" s="133">
        <f>IF($K227=BI$3,IF($C227="X",0,$O227),0)</f>
        <v>0</v>
      </c>
      <c r="BJ227" s="133">
        <f>IF($K227=BJ$3,IF($C227="X",0,$O227),0)</f>
        <v>0</v>
      </c>
      <c r="BK227" s="133">
        <f>IF($K227=BK$3,IF($C227="X",0,$O227),0)</f>
        <v>0</v>
      </c>
      <c r="BL227" s="133">
        <f>IF($K227=BL$3,IF($C227="X",0,$O227),0)</f>
        <v>0</v>
      </c>
      <c r="BM227" s="135">
        <f>IF($K227=BM$3,IF($C227="X",0,$O227),0)</f>
        <v>0</v>
      </c>
      <c r="BN227" s="136">
        <f>IF($K227=BN$3,IF($C227="X",0,$O227),0)</f>
        <v>0</v>
      </c>
      <c r="BO227" s="136">
        <f>IF($K227=BO$3,IF($C227="X",0,$O227),0)</f>
        <v>0</v>
      </c>
      <c r="BP227" s="136">
        <f>IF($K227=BP$3,IF($C227="X",0,$O227),0)</f>
        <v>0</v>
      </c>
      <c r="BQ227" s="137">
        <f>IF($K227=BQ$3,IF($C227="X",0,$O227),0)</f>
        <v>0</v>
      </c>
      <c r="BR227" s="134">
        <f>IF($K227=BR$3,IF($C227="X",0,$O227),0)</f>
        <v>0</v>
      </c>
      <c r="BS227" s="282"/>
      <c r="BT227" s="283"/>
      <c r="BU227" s="140"/>
      <c r="BV227" s="283"/>
      <c r="BW227" s="140"/>
      <c r="BX227" s="140"/>
      <c r="BY227" s="140"/>
      <c r="BZ227" s="283"/>
      <c r="CA227" s="140"/>
      <c r="CB227" s="140"/>
      <c r="CC227" s="140"/>
      <c r="CD227" s="141"/>
      <c r="CE227" s="142"/>
      <c r="CF227" s="284">
        <f>IF(CF$3=$K227,IF($C227="W",1,IF($C227="1/2W",0.5,0)),0)</f>
        <v>0</v>
      </c>
      <c r="CG227" s="285">
        <f>IF(CF$3=$K227,IF($C227="L",1,IF($C227="1/2L",0.5,0)),0)</f>
        <v>1</v>
      </c>
      <c r="CH227" s="285">
        <f>IF(CH$3=$K227,IF($C227="W",1,IF($C227="1/2W",0.5,0)),0)</f>
        <v>0</v>
      </c>
      <c r="CI227" s="285">
        <f>IF(CH$3=$K227,IF($C227="L",1,IF($C227="1/2L",0.5,0)),0)</f>
        <v>0</v>
      </c>
      <c r="CJ227" s="285">
        <f>IF(CJ$3=$K227,IF($C227="W",1,IF($C227="1/2W",0.5,0)),0)</f>
        <v>0</v>
      </c>
      <c r="CK227" s="285">
        <f>IF(CJ$3=$K227,IF($C227="L",1,IF($C227="1/2L",0.5,0)),0)</f>
        <v>0</v>
      </c>
      <c r="CL227" s="285">
        <f>IF(CL$3=$K227,IF($C227="W",1,IF($C227="1/2W",0.5,0)),0)</f>
        <v>0</v>
      </c>
      <c r="CM227" s="285">
        <f>IF(CL$3=$K227,IF($C227="L",1,IF($C227="1/2L",0.5,0)),0)</f>
        <v>0</v>
      </c>
      <c r="CN227" s="285">
        <f>IF(CN$3=$K227,IF($C227="W",1,IF($C227="1/2W",0.5,0)),0)</f>
        <v>0</v>
      </c>
      <c r="CO227" s="285">
        <f>IF(CN$3=$K227,IF($C227="L",1,IF($C227="1/2L",0.5,0)),0)</f>
        <v>0</v>
      </c>
      <c r="CP227" s="285">
        <f>IF(CP$3=$K227,IF($C227="W",1,IF($C227="1/2W",0.5,0)),0)</f>
        <v>0</v>
      </c>
      <c r="CQ227" s="285">
        <f>IF(CP$3=$K227,IF($C227="L",1,IF($C227="1/2L",0.5,0)),0)</f>
        <v>0</v>
      </c>
      <c r="CR227" s="285">
        <f>IF(CR$3=$K227,IF($C227="W",1,IF($C227="1/2W",0.5,0)),0)</f>
        <v>0</v>
      </c>
      <c r="CS227" s="285">
        <f>IF(CR$3=$K227,IF($C227="L",1,IF($C227="1/2L",0.5,0)),0)</f>
        <v>0</v>
      </c>
      <c r="CT227" s="145">
        <f>IF(CT$3=$K227,IF($C227="W",1,IF($C227="1/2W",0.5,0)),0)</f>
        <v>0</v>
      </c>
      <c r="CU227" s="146">
        <f>IF(CT$3=$K227,IF($C227="L",1,IF($C227="1/2L",0.5,0)),0)</f>
        <v>0</v>
      </c>
      <c r="CV227" s="146">
        <f>IF(CV$3=$K227,IF($C227="W",1,IF($C227="1/2W",0.5,0)),0)</f>
        <v>0</v>
      </c>
      <c r="CW227" s="146">
        <f>IF(CV$3=$K227,IF($C227="L",1,IF($C227="1/2L",0.5,0)),0)</f>
        <v>0</v>
      </c>
      <c r="CX227" s="146">
        <f>IF(CX$3=$K227,IF($C227="W",1,IF($C227="1/2W",0.5,0)),0)</f>
        <v>0</v>
      </c>
      <c r="CY227" s="146">
        <f>IF(CX$3=$K227,IF($C227="L",1,IF($C227="1/2L",0.5,0)),0)</f>
        <v>0</v>
      </c>
      <c r="CZ227" s="146">
        <f>IF(CZ$3=$K227,IF($C227="W",1,IF($C227="1/2W",0.5,0)),0)</f>
        <v>0</v>
      </c>
      <c r="DA227" s="146">
        <f>IF(CZ$3=$K227,IF($C227="L",1,IF($C227="1/2L",0.5,0)),0)</f>
        <v>0</v>
      </c>
      <c r="DB227" s="146">
        <f>IF(DB$3=$K227,IF($C227="W",1,IF($C227="1/2W",0.5,0)),0)</f>
        <v>0</v>
      </c>
      <c r="DC227" s="146">
        <f>IF(DB$3=$K227,IF($C227="L",1,IF($C227="1/2L",0.5,0)),0)</f>
        <v>0</v>
      </c>
      <c r="DD227" s="146">
        <f>IF(DD$3=$K227,IF($C227="W",1,IF($C227="1/2W",0.5,0)),0)</f>
        <v>0</v>
      </c>
      <c r="DE227" s="147">
        <f>IF(DD$3=$K227,IF($C227="L",1,IF($C227="1/2L",0.5,0)),0)</f>
        <v>0</v>
      </c>
      <c r="DF227" s="143">
        <f>IF(AND(L227&lt;DF$3,$C227="W"),1+DF226,DF226)</f>
        <v>8</v>
      </c>
      <c r="DG227" s="133">
        <f>IF(DF227&gt;DF226,L227+DG226,DG226)</f>
        <v>10.598</v>
      </c>
      <c r="DH227" s="146">
        <f>IF(AND(L227&gt;DH$3,$C227="W"),1+DH226,0+DH226)</f>
        <v>3</v>
      </c>
      <c r="DI227" s="133">
        <f>IF(DH227&gt;DH226,L227+DI226,DI226)</f>
        <v>15.98</v>
      </c>
      <c r="DJ227" t="s" s="304">
        <f>IF($D226="","",$D226)</f>
        <v>229</v>
      </c>
      <c r="DK227" s="286"/>
    </row>
    <row r="228" ht="14.55" customHeight="1">
      <c r="A228" s="149"/>
      <c r="B228" s="150"/>
      <c r="C228" t="s" s="151">
        <v>58</v>
      </c>
      <c r="D228" s="152"/>
      <c r="E228" s="153"/>
      <c r="F228" s="155"/>
      <c r="G228" s="252"/>
      <c r="H228" s="156"/>
      <c r="I228" s="287"/>
      <c r="J228" s="288"/>
      <c r="K228" s="156"/>
      <c r="L228" s="289"/>
      <c r="M228" s="290"/>
      <c r="N228" s="161"/>
      <c r="O228" t="s" s="162">
        <f>IF(OR(AE226="",AE227=""),"",IF(L228&gt;0,ROUND(IF(M228&gt;0,M228,IF(M226&gt;0,ROUND((M226*AE228)/AE226,IF(N226=0,2,IF(N226=0.1,1,0))),IF(M227&gt;0,ROUND((M227*AE228)/AE227,IF(N226=0,2,IF(N226=0.1,1,0))),IF(M228&gt;0,M228,0)))),2),""))</f>
      </c>
      <c r="P228" t="s" s="163">
        <f>IF(I227="Lay",O227*(L227/(L227-1))-O227,IF(I226="Lay",O226*(L226/(L226-1))-O226,IF(OR(L228="",O228=""),"",IF($C228="1/2W",O228/2+O228/2*L228,IF($C228="1/2L",O228/2,(O228*L228-O228)*(1-_xlfn.XLOOKUP(K228,'Janeiro 2023 - Valor Real'!A3:A15,'Janeiro 2023 - Valor Real'!C3:C15,0))+O228)))))</f>
      </c>
      <c r="Q228" t="s" s="154">
        <f>IF(K228="","",IF(_xlfn.XLOOKUP(K228,K$89:K132,DJ$89:DJ132,0,,-1)=DJ228,_xlfn.XLOOKUP(K228,K$89:K132,Q$89:Q132,1,,-1)+1,1))</f>
      </c>
      <c r="R228" t="s" s="163">
        <f>IF(K228="","",_xlfn.XLOOKUP(K228,K$89:K132,R$89:R132,0,,-1)+IF($C228=" ",1,0))</f>
      </c>
      <c r="S228" s="166"/>
      <c r="T228" s="155"/>
      <c r="U228" s="155"/>
      <c r="V228" s="166"/>
      <c r="W228" s="155"/>
      <c r="X228" s="167"/>
      <c r="Y228" s="128"/>
      <c r="Z228" s="129"/>
      <c r="AA228" s="129"/>
      <c r="AB228" s="129"/>
      <c r="AC228" s="129"/>
      <c r="AD228" s="168"/>
      <c r="AE228" t="s" s="169">
        <f>IF(L228="","",(SUM(((L226-1)*(1-_xlfn.XLOOKUP(K226,'Janeiro 2023 - Valor Real'!A3:A15,'Janeiro 2023 - Valor Real'!C3:C15,0))+1),((L227-1)*(1-_xlfn.XLOOKUP(K227,'Janeiro 2023 - Valor Real'!A3:A15,'Janeiro 2023 - Valor Real'!C3:C15,0))+1),((L228-1)*(1-_xlfn.XLOOKUP(K228,'Janeiro 2023 - Valor Real'!A3:A15,'Janeiro 2023 - Valor Real'!C3:C15,0))+1))/((L228-1)*(1-_xlfn.XLOOKUP(K228,'Janeiro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Real'!C3:C15,0))+1))/((L226-1)*(1-_xlfn.XLOOKUP(K226,'Janeiro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Real'!C3:C15,0))+1))/((L227-1)*(1-_xlfn.XLOOKUP(K227,'Janeiro 2023 - Valor Real'!A3:A15,'Janeiro 2023 - Valor Real'!C3:C15,0))+1)+SUM(((L226-1)*(1-_xlfn.XLOOKUP(K226,'Janeiro 2023 - Valor Real'!A3:A15,'Janeiro 2023 - Valor Real'!C3:C15,0))+1),((L227-1)*(1-_xlfn.XLOOKUP(K227,'Janeiro 2023 - Valor Real'!A3:A15,'Janeiro 2023 - Valor Real'!C3:C15,0))+1),((L228-1)*(1-_xlfn.XLOOKUP(K228,'Janeiro 2023 - Valor Real'!A3:A15,'Janeiro 2023 - Valor Real'!C3:C15,0))+1))/((L228-1)*(1-_xlfn.XLOOKUP(K228,'Janeiro 2023 - Valor Real'!A3:A15,'Janeiro 2023 - Valor Real'!C3:C15,0))+1)))</f>
      </c>
      <c r="AF228" s="132">
        <f>IF($K228=AF$3,ROUND(IF(OR($C228="W",$C228="1/2W",$C228="1/2L"),$P228-$O228,IF($C228="X",0,-$O228)),2),0)</f>
        <v>0</v>
      </c>
      <c r="AG228" s="133">
        <f>IF($K228=AG$3,ROUND(IF(OR($C228="W",$C228="1/2W",$C228="1/2L"),$P228-$O228,IF($C228="X",0,-$O228)),2),0)</f>
        <v>0</v>
      </c>
      <c r="AH228" s="133">
        <f>IF($K228=AH$3,ROUND(IF(OR($C228="W",$C228="1/2W",$C228="1/2L"),$P228-$O228,IF($C228="X",0,-$O228)),2),0)</f>
        <v>0</v>
      </c>
      <c r="AI228" s="133">
        <f>IF($K228=AI$3,ROUND(IF(OR($C228="W",$C228="1/2W",$C228="1/2L"),$P228-$O228,IF($C228="X",0,-$O228)),2),0)</f>
        <v>0</v>
      </c>
      <c r="AJ228" s="133">
        <f>IF($K228=AJ$3,ROUND(IF(OR($C228="W",$C228="1/2W",$C228="1/2L"),$P228-$O228,IF($C228="X",0,-$O228)),2),0)</f>
        <v>0</v>
      </c>
      <c r="AK228" s="133">
        <f>IF($K228=AK$3,ROUND(IF(OR($C228="W",$C228="1/2W",$C228="1/2L"),$P228-$O228,IF($C228="X",0,-$O228)),2),0)</f>
        <v>0</v>
      </c>
      <c r="AL228" s="133">
        <f>IF($K228=AL$3,ROUND(IF(OR($C228="W",$C228="1/2W",$C228="1/2L"),$P228-$O228,IF($C228="X",0,-$O228)),2),0)</f>
        <v>0</v>
      </c>
      <c r="AM228" s="133">
        <f>IF($K228=AM$3,ROUND(IF(OR($C228="W",$C228="1/2W",$C228="1/2L"),$P228-$O228,IF($C228="X",0,-$O228)),2),0)</f>
        <v>0</v>
      </c>
      <c r="AN228" s="133">
        <f>IF($K228=AN$3,ROUND(IF(OR($C228="W",$C228="1/2W",$C228="1/2L"),$P228-$O228,IF($C228="X",0,-$O228)),2),0)</f>
        <v>0</v>
      </c>
      <c r="AO228" s="133">
        <f>IF($K228=AO$3,ROUND(IF(OR($C228="W",$C228="1/2W",$C228="1/2L"),$P228-$O228,IF($C228="X",0,-$O228)),2),0)</f>
        <v>0</v>
      </c>
      <c r="AP228" s="133">
        <f>IF($K228=AP$3,ROUND(IF(OR($C228="W",$C228="1/2W",$C228="1/2L"),$P228-$O228,IF($C228="X",0,-$O228)),2),0)</f>
        <v>0</v>
      </c>
      <c r="AQ228" s="133">
        <f>IF($K228=AQ$3,ROUND(IF(OR($C228="W",$C228="1/2W",$C228="1/2L"),$P228-$O228,IF($C228="X",0,-$O228)),2),0)</f>
        <v>0</v>
      </c>
      <c r="AR228" s="134">
        <f>IF($K228=AR$3,ROUND(IF(OR($C228="W",$C228="1/2W",$C228="1/2L"),$P228-$O228,IF($C228="X",0,-$O228)),2),0)</f>
        <v>0</v>
      </c>
      <c r="AS228" s="132">
        <f>IF(AND($B226=" ",$K228=AS$3),$O228,0)</f>
        <v>0</v>
      </c>
      <c r="AT228" s="133">
        <f>IF(AND($B226=" ",K228=AT$3),$O228,0)</f>
        <v>0</v>
      </c>
      <c r="AU228" s="133">
        <f>IF(AND($B226=" ",$K228=AU$3),$O228,0)</f>
        <v>0</v>
      </c>
      <c r="AV228" s="133">
        <f>IF(AND($B226=" ",$K228=AV$3),$O228,0)</f>
        <v>0</v>
      </c>
      <c r="AW228" s="133">
        <f>IF(AND($B226=" ",$K228=AW$3),$O228,0)</f>
        <v>0</v>
      </c>
      <c r="AX228" s="133">
        <f>IF(AND($B226=" ",$K228=AX$3),$O228,0)</f>
        <v>0</v>
      </c>
      <c r="AY228" s="135">
        <f>IF(AND($B226=" ",$K228=AY$3),$O228,0)</f>
        <v>0</v>
      </c>
      <c r="AZ228" s="136">
        <f>IF(AND($B226=" ",$K228=AZ$3),$O228,0)</f>
        <v>0</v>
      </c>
      <c r="BA228" s="136">
        <f>IF(AND($B226=" ",$K228=BA$3),$O228,0)</f>
        <v>0</v>
      </c>
      <c r="BB228" s="136">
        <f>IF(AND($B226=" ",$K228=BB$3),$O228,0)</f>
        <v>0</v>
      </c>
      <c r="BC228" s="137">
        <f>IF(AND($B226=" ",$K228=BC$3),$O228,0)</f>
        <v>0</v>
      </c>
      <c r="BD228" s="133">
        <f>IF(AND($B226=" ",$K228=BD$3),$O228,0)</f>
        <v>0</v>
      </c>
      <c r="BE228" s="134">
        <f>IF(AND($B226=" ",$K228=BE$3),$O228,0)</f>
        <v>0</v>
      </c>
      <c r="BF228" s="132">
        <f>IF($K228=BF$3,IF($C228="X",0,$O228),0)</f>
        <v>0</v>
      </c>
      <c r="BG228" s="281">
        <f>IF($K228=BG$3,IF($C228="X",0,$O228),0)</f>
        <v>0</v>
      </c>
      <c r="BH228" s="133">
        <f>IF($K228=BH$3,IF($C228="X",0,$O228),0)</f>
        <v>0</v>
      </c>
      <c r="BI228" s="133">
        <f>IF($K228=BI$3,IF($C228="X",0,$O228),0)</f>
        <v>0</v>
      </c>
      <c r="BJ228" s="133">
        <f>IF($K228=BJ$3,IF($C228="X",0,$O228),0)</f>
        <v>0</v>
      </c>
      <c r="BK228" s="133">
        <f>IF($K228=BK$3,IF($C228="X",0,$O228),0)</f>
        <v>0</v>
      </c>
      <c r="BL228" s="133">
        <f>IF($K228=BL$3,IF($C228="X",0,$O228),0)</f>
        <v>0</v>
      </c>
      <c r="BM228" s="135">
        <f>IF($K228=BM$3,IF($C228="X",0,$O228),0)</f>
        <v>0</v>
      </c>
      <c r="BN228" s="136">
        <f>IF($K228=BN$3,IF($C228="X",0,$O228),0)</f>
        <v>0</v>
      </c>
      <c r="BO228" s="136">
        <f>IF($K228=BO$3,IF($C228="X",0,$O228),0)</f>
        <v>0</v>
      </c>
      <c r="BP228" s="136">
        <f>IF($K228=BP$3,IF($C228="X",0,$O228),0)</f>
        <v>0</v>
      </c>
      <c r="BQ228" s="137">
        <f>IF($K228=BQ$3,IF($C228="X",0,$O228),0)</f>
        <v>0</v>
      </c>
      <c r="BR228" s="134">
        <f>IF($K228=BR$3,IF($C228="X",0,$O228),0)</f>
        <v>0</v>
      </c>
      <c r="BS228" s="282"/>
      <c r="BT228" s="283"/>
      <c r="BU228" s="140"/>
      <c r="BV228" s="283"/>
      <c r="BW228" s="140"/>
      <c r="BX228" s="140"/>
      <c r="BY228" s="140"/>
      <c r="BZ228" s="283"/>
      <c r="CA228" s="140"/>
      <c r="CB228" s="140"/>
      <c r="CC228" s="140"/>
      <c r="CD228" s="141"/>
      <c r="CE228" s="142"/>
      <c r="CF228" s="284">
        <f>IF(CF$3=$K228,IF($C228="W",1,IF($C228="1/2W",0.5,0)),0)</f>
        <v>0</v>
      </c>
      <c r="CG228" s="285">
        <f>IF(CF$3=$K228,IF($C228="L",1,IF($C228="1/2L",0.5,0)),0)</f>
        <v>0</v>
      </c>
      <c r="CH228" s="285">
        <f>IF(CH$3=$K228,IF($C228="W",1,IF($C228="1/2W",0.5,0)),0)</f>
        <v>0</v>
      </c>
      <c r="CI228" s="285">
        <f>IF(CH$3=$K228,IF($C228="L",1,IF($C228="1/2L",0.5,0)),0)</f>
        <v>0</v>
      </c>
      <c r="CJ228" s="285">
        <f>IF(CJ$3=$K228,IF($C228="W",1,IF($C228="1/2W",0.5,0)),0)</f>
        <v>0</v>
      </c>
      <c r="CK228" s="285">
        <f>IF(CJ$3=$K228,IF($C228="L",1,IF($C228="1/2L",0.5,0)),0)</f>
        <v>0</v>
      </c>
      <c r="CL228" s="285">
        <f>IF(CL$3=$K228,IF($C228="W",1,IF($C228="1/2W",0.5,0)),0)</f>
        <v>0</v>
      </c>
      <c r="CM228" s="285">
        <f>IF(CL$3=$K228,IF($C228="L",1,IF($C228="1/2L",0.5,0)),0)</f>
        <v>0</v>
      </c>
      <c r="CN228" s="285">
        <f>IF(CN$3=$K228,IF($C228="W",1,IF($C228="1/2W",0.5,0)),0)</f>
        <v>0</v>
      </c>
      <c r="CO228" s="285">
        <f>IF(CN$3=$K228,IF($C228="L",1,IF($C228="1/2L",0.5,0)),0)</f>
        <v>0</v>
      </c>
      <c r="CP228" s="285">
        <f>IF(CP$3=$K228,IF($C228="W",1,IF($C228="1/2W",0.5,0)),0)</f>
        <v>0</v>
      </c>
      <c r="CQ228" s="285">
        <f>IF(CP$3=$K228,IF($C228="L",1,IF($C228="1/2L",0.5,0)),0)</f>
        <v>0</v>
      </c>
      <c r="CR228" s="285">
        <f>IF(CR$3=$K228,IF($C228="W",1,IF($C228="1/2W",0.5,0)),0)</f>
        <v>0</v>
      </c>
      <c r="CS228" s="285">
        <f>IF(CR$3=$K228,IF($C228="L",1,IF($C228="1/2L",0.5,0)),0)</f>
        <v>0</v>
      </c>
      <c r="CT228" s="145">
        <f>IF(CT$3=$K228,IF($C228="W",1,IF($C228="1/2W",0.5,0)),0)</f>
        <v>0</v>
      </c>
      <c r="CU228" s="146">
        <f>IF(CT$3=$K228,IF($C228="L",1,IF($C228="1/2L",0.5,0)),0)</f>
        <v>0</v>
      </c>
      <c r="CV228" s="146">
        <f>IF(CV$3=$K228,IF($C228="W",1,IF($C228="1/2W",0.5,0)),0)</f>
        <v>0</v>
      </c>
      <c r="CW228" s="146">
        <f>IF(CV$3=$K228,IF($C228="L",1,IF($C228="1/2L",0.5,0)),0)</f>
        <v>0</v>
      </c>
      <c r="CX228" s="146">
        <f>IF(CX$3=$K228,IF($C228="W",1,IF($C228="1/2W",0.5,0)),0)</f>
        <v>0</v>
      </c>
      <c r="CY228" s="146">
        <f>IF(CX$3=$K228,IF($C228="L",1,IF($C228="1/2L",0.5,0)),0)</f>
        <v>0</v>
      </c>
      <c r="CZ228" s="146">
        <f>IF(CZ$3=$K228,IF($C228="W",1,IF($C228="1/2W",0.5,0)),0)</f>
        <v>0</v>
      </c>
      <c r="DA228" s="146">
        <f>IF(CZ$3=$K228,IF($C228="L",1,IF($C228="1/2L",0.5,0)),0)</f>
        <v>0</v>
      </c>
      <c r="DB228" s="146">
        <f>IF(DB$3=$K228,IF($C228="W",1,IF($C228="1/2W",0.5,0)),0)</f>
        <v>0</v>
      </c>
      <c r="DC228" s="146">
        <f>IF(DB$3=$K228,IF($C228="L",1,IF($C228="1/2L",0.5,0)),0)</f>
        <v>0</v>
      </c>
      <c r="DD228" s="146">
        <f>IF(DD$3=$K228,IF($C228="W",1,IF($C228="1/2W",0.5,0)),0)</f>
        <v>0</v>
      </c>
      <c r="DE228" s="147">
        <f>IF(DD$3=$K228,IF($C228="L",1,IF($C228="1/2L",0.5,0)),0)</f>
        <v>0</v>
      </c>
      <c r="DF228" s="143">
        <f>IF(AND(L228&lt;DF$3,$C228="W"),1+DF227,DF227)</f>
        <v>8</v>
      </c>
      <c r="DG228" s="133">
        <f>IF(DF228&gt;DF227,L228+DG227,DG227)</f>
        <v>10.598</v>
      </c>
      <c r="DH228" s="146">
        <f>IF(AND(L228&gt;DH$3,$C228="W"),1+DH227,0+DH227)</f>
        <v>3</v>
      </c>
      <c r="DI228" s="133">
        <f>IF(DH228&gt;DH227,L228+DI227,DI227)</f>
        <v>15.98</v>
      </c>
      <c r="DJ228" t="s" s="304">
        <f>IF($D226="","",$D226)</f>
        <v>229</v>
      </c>
      <c r="DK228" s="286"/>
    </row>
    <row r="229" ht="14.55" customHeight="1">
      <c r="A229" s="171">
        <f>$A226+1</f>
        <v>76</v>
      </c>
      <c r="B229" t="s" s="172">
        <f>IF(AND(_xlfn.XLOOKUP(H229,H$84:H133,G$84:G133,0)=G229,_xlfn.XLOOKUP("TempoBet",K229:K231,L229:L231,0)&gt;0),"X",IF(OR(C229="W",C230="W",C231="W",C229="1/2W",C230="1/2W",C231="1/2W",C229="1/2L",C230="1/2L",C231="1/2L"),"OK",IF(OR(C229="L",C230="L",C231="L"),"LOSS",IF(OR(C229="X",C230="X",C231="X"),"Anulado"," "))))</f>
        <v>50</v>
      </c>
      <c r="C229" t="s" s="173">
        <v>56</v>
      </c>
      <c r="D229" t="s" s="305">
        <f>IF(G229="","",$D226)</f>
        <v>229</v>
      </c>
      <c r="E229" t="s" s="175">
        <f>IF(G229=""," ","– "&amp;COUNTIF(D$4:D231,$D229))</f>
        <v>63</v>
      </c>
      <c r="F229" t="s" s="176"/>
      <c r="G229" s="177">
        <v>44945.604166666664</v>
      </c>
      <c r="H229" t="s" s="178">
        <v>231</v>
      </c>
      <c r="I229" s="298">
        <v>2</v>
      </c>
      <c r="J229" s="180"/>
      <c r="K229" t="s" s="181">
        <v>41</v>
      </c>
      <c r="L229" s="182">
        <v>1.85</v>
      </c>
      <c r="M229" s="183"/>
      <c r="N229" s="184">
        <v>0</v>
      </c>
      <c r="O229" s="185">
        <f>IF(OR(AE229="",AE230=""),"",ROUND(IF(L231&gt;0,IF(M229&gt;0,M229,IF(M230&gt;0,ROUND((M230*AE229)/AE230,IF(N229=0,2,IF(N229=0.1,1,0))),ROUND((M231*AE229)/AE231,IF(N229=0,2,IF(N229=0.1,1,0))))),IF(M229&gt;0,M229,ROUND((M230*AE229)/AE230,IF(N229=0,2,IF(N229=0.1,1,0))))),2))</f>
        <v>13.24</v>
      </c>
      <c r="P229" s="186">
        <f>IF(OR(L229="",O229=""),"",IF($C229="1/2W",O229/2+O229/2*L229,IF($C229="1/2L",O229/2,IF(I229="Lay",(O229*(L229/(L229-1))-O229)*(1-_xlfn.XLOOKUP(K229,'Janeiro 2023 - Valor Real'!A3:A15,'Janeiro 2023 - Valor Real'!C3:C15,0))+O229,(O229*L229-O229)*(1-_xlfn.XLOOKUP(K229,'Janeiro 2023 - Valor Real'!A3:A15,'Janeiro 2023 - Valor Real'!C3:C15,0))+O229))))</f>
        <v>24.494</v>
      </c>
      <c r="Q229" s="187">
        <f>IF(K229="","",IF(_xlfn.XLOOKUP(K229,K$84:K133,DJ$84:DJ133,0,,-1)=DJ229,_xlfn.XLOOKUP(K229,K$84:K133,Q$84:Q133,1,,-1)+1,1))</f>
        <v>1</v>
      </c>
      <c r="R229" s="188">
        <f>IF(K229="","",_xlfn.XLOOKUP(K229,K$84:K133,R$84:R133,0,,-1)+IF($C229=" ",1,0))</f>
        <v>0</v>
      </c>
      <c r="S229" s="189">
        <f>IF($B229="Anulado",0,ROUND(IF(OR($B229="LOSS",$B229="OK"),IF(OR($C229="W",$C229="1/2W",$C229="1/2L"),P229-O229,IF($C229="L",-O229,0))+IF(OR($C230="W",$C230="1/2W",$C230="1/2L"),P230-O230,IF($C230="L",-O230,0))+IF(OR($C231="W",$C231="1/2W",$C231="1/2L"),P231-O231,IF($C231="L",-O231,0)),IF(AND(OR($C229="W",$C229="1/2W",$C229="1/2L"),C230="W"),P229+P230-SUM(O229:O231)+_xlfn.XLOOKUP("X",C229:C231,O229:O231,0),IF(AND(C229=TRUE,C231="W"),P229+P231-SUM(O229:O231),IF(AND(C230="W",C231="W"),P230+P231-SUM(O229:O231)+_xlfn.XLOOKUP("X",C229:C231,O229:O231,0),IF(L231&gt;0,IF(OR($C229="W",$C229="1/2W",$C229="1/2L"),P229-SUM(O229:O231)+_xlfn.XLOOKUP("X",C229:C231,O229:O231,0),IF(OR($C229="W",$C229="1/2W",$C229="1/2L"),P230-SUM(O229:O231)+_xlfn.XLOOKUP("X",C229:C231,O229:O231,0),IF(OR($C229="W",$C229="1/2W",$C229="1/2L"),P231-SUM(O229:O231)+_xlfn.XLOOKUP("X",C229:C231,O229:O231,0),IF(SUM(P229:P231)/3-SUM(O229:O231)+_xlfn.XLOOKUP("X",C229:C231,O229:O231,0)&gt;0,SUM(P229:P231)/3-SUM(O229:O231)+_xlfn.XLOOKUP("X",C229:C231,O229:O231,0),LARGE(P229:P231,1)-SUM(O229:O231))))),IF(OR($C229="W",$C229="1/2W",$C229="1/2L"),P229-SUM(O229:O230)+_xlfn.XLOOKUP("X",C229:C231,O229:O231,0),IF(OR($C229="W",$C229="1/2W",$C229="1/2L"),P230-SUM(O229:O230)+_xlfn.XLOOKUP("X",C229:C231,O229:O231,0),SUM(P229:P230)/2-SUM(O229:O230)+_xlfn.XLOOKUP("X",C229:C231,O229:O231,0)))))))),2))</f>
        <v>1.17</v>
      </c>
      <c r="T229" s="190">
        <f>IF(S229=0,0,S229/SUM(O229:O231))</f>
        <v>0.0501715265866209</v>
      </c>
      <c r="U229" s="191">
        <f>IF($D229=$D226,IF(OR($B229="LOSS",$B229="OK",$B229="Anulada"),S229,0)+U226,IF(OR($B229="LOSS",$B229="OK",$B229="Anulada"),S229,0))</f>
        <v>0.97</v>
      </c>
      <c r="V229" s="191">
        <f>IF($D229="",0,IF($D229=$D226,IF($B229=" ",IF(I231="",IF(OR(AND(I229="DNB1",I230="DNB2"),AND(OR(I229="DNB1",I229="DNB2"),J230=0),AND(OR(I230="DNB1",I230="DNB2"),J229=0),AND(I229="DNB2",I230="DNB1"),AND(IF(J229=0,(J229+1)/ROUND(J229+1,0),J229/ROUND(J229,0))=1,IF(J230=0,(J230+1)/ROUND(IF(J230="",0,J230)+1,0),IF(J230="",0,J230)/ROUND(IF(J230="",1,J230),0))=1,OR(J229&lt;&gt;""),J230&lt;&gt;"")),0,IF(S229&lt;0,IF(I231="",SMALL(P229:P230,1)-SUM(O229:O230),0),SMALL(P229:P230,1)-SUM(O229:O230))),IF(S229&lt;0,IF(I231="",SMALL(P229:P231,1)-SUM(O229:O231),0),LARGE(P229:P231,1)-SUM(O229:O231))),S229)+V226,IF(I231="",IF(OR(AND(I229="DNB1",I230="DNB2"),AND(OR(I229="DNB1",I229="DNB2"),J230=0),AND(OR(I230="DNB1",I230="DNB2"),J229=0),AND(I229="DNB2",I230="DNB1"),AND(IF(J229=0,(J229+1)/ROUND(J229+1,0),J229/ROUND(J229,0))=1,IF(J230=0,(IF(J230="",0,J230)+1)/ROUND(IF(J230="",0,J230)+1,0),IF(J230="",0,J230)/ROUND(IF(J230="",0,J230)+1,0))=1,OR(J229&lt;&gt;""),J230&lt;&gt;"")),0,IF(S229&lt;0,IF(I231="",SMALL(P229:P230,1)-SUM(O229:O230),0),SMALL(P229:P231,1)-SUM(O229:O231))),IF(S229&lt;0,IF(I231="",SMALL(P229:P231,1)-SUM(O229:O231),0),LARGE(P229:P231,1)-SUM(O229:O231)))))</f>
        <v>0.966</v>
      </c>
      <c r="W229" s="191">
        <f>IF($D229=$D226,IF(S229&lt;0,IF(I231="",S229,0),S229)+W226,S229)</f>
        <v>0.97</v>
      </c>
      <c r="X229" t="s" s="192">
        <f>IF(OR(SUM(R229:R231)=0,V229=W229),ROUND(IF(W229=0,0,W229/Y229)*100,2)&amp;"%",ROUND(IF(V229=0,0,V229/Y229)*100,2)&amp;"% a "&amp;ROUND(IF(W229=0,0,W229/Y229)*100,2)&amp;"%")</f>
        <v>232</v>
      </c>
      <c r="Y229" s="193">
        <f>IF($D229=$D226,Y226+SUM(O229:O231),SUM(O229:O231))</f>
        <v>92.73999999999999</v>
      </c>
      <c r="Z229" s="191">
        <f>IF($B229=" ",SUM(O229:O231),0)+Z226</f>
        <v>0</v>
      </c>
      <c r="AA229" s="191">
        <f>IF(G229="","",IF($B229="Anulado",LARGE(P229:P231,1)-SUM(O229:O231)+AA226,AA226))</f>
        <v>16.5099</v>
      </c>
      <c r="AB229" s="191">
        <f>IF($D229="","",AB226+S229)</f>
        <v>203.14</v>
      </c>
      <c r="AC229" s="194">
        <f>IF($D229="","",IF($B229=" ",IF(DAY(G229)=DAY(TODAY()),1+AC226,0+AC226),0+AC226))</f>
        <v>0</v>
      </c>
      <c r="AD229" s="195">
        <f>(((L230/(L230-1)-1)*(1-_xlfn.XLOOKUP(K230,'Janeiro 2023 - Valor Real'!A3:A15,'Janeiro 2023 - Valor Real'!C3:C15,0))+1))/(((L229-1)*(1-_xlfn.XLOOKUP(K229,'Janeiro 2023 - Valor Real'!A3:A15,'Janeiro 2023 - Valor Real'!C3:C15,0))+1)+((L230/(L230-1)-1)*(1-_xlfn.XLOOKUP(K230,'Janeiro 2023 - Valor Real'!A3:A15,'Janeiro 2023 - Valor Real'!C3:C15,0))+1))</f>
        <v>0.478770564476406</v>
      </c>
      <c r="AE229" s="196">
        <f>IF(L229="","",IF(L231&gt;0,(SUM(((L229-1)*(1-_xlfn.XLOOKUP(K229,'Janeiro 2023 - Valor Real'!A3:A15,'Janeiro 2023 - Valor Real'!C3:C15,0))+1),((L230-1)*(1-_xlfn.XLOOKUP(K230,'Janeiro 2023 - Valor Real'!A3:A15,'Janeiro 2023 - Valor Real'!C3:C15,0))+1),((L231-1)*(1-_xlfn.XLOOKUP(K231,'Janeiro 2023 - Valor Real'!A3:A15,'Janeiro 2023 - Valor Real'!C3:C15,0))+1))/((L229-1)*(1-_xlfn.XLOOKUP(K229,'Janeiro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Real'!C3:C15,0))+1))/((L229-1)*(1-_xlfn.XLOOKUP(K229,'Janeiro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Real'!C3:C15,0))+1))/((L230-1)*(1-_xlfn.XLOOKUP(K230,'Janeiro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Real'!C3:C15,0))+1))/((L231-1)*(1-_xlfn.XLOOKUP(K231,'Janeiro 2023 - Valor Real'!A3:A15,'Janeiro 2023 - Valor Real'!C3:C15,0))+1)),IF(I229="Lay",IF(I230="Lay",((L230/(L230-1)-1)*(1-_xlfn.XLOOKUP(K230,'Janeiro 2023 - Valor Real'!A3:A15,'Janeiro 2023 - Valor Real'!C3:C15,0))+1)/(((L230/(L230-1)-1)*(1-_xlfn.XLOOKUP(K230,'Janeiro 2023 - Valor Real'!A3:A15,'Janeiro 2023 - Valor Real'!C3:C15,0))+1)+((L229/(L229-1)-1)*(1-_xlfn.XLOOKUP(K229,'Janeiro 2023 - Valor Real'!A3:A15,'Janeiro 2023 - Valor Real'!C3:C15,0))+1)),((L230-1)*(1-_xlfn.XLOOKUP(K230,'Janeiro 2023 - Valor Real'!A3:A15,'Janeiro 2023 - Valor Real'!C3:C15,0))+1)/(((L230-1)*(1-_xlfn.XLOOKUP(K230,'Janeiro 2023 - Valor Real'!A3:A15,'Janeiro 2023 - Valor Real'!C3:C15,0))+1)+((L229/(L229-1)-1)*(1-_xlfn.XLOOKUP(K229,'Janeiro 2023 - Valor Real'!A3:A15,'Janeiro 2023 - Valor Real'!C3:C15,0))+1))),IF(I230="Lay",(((L230/(L230-1)-1)*(1-_xlfn.XLOOKUP(K230,'Janeiro 2023 - Valor Real'!A3:A15,'Janeiro 2023 - Valor Real'!C3:C15,0))+1))/(((L229-1)*(1-_xlfn.XLOOKUP(K229,'Janeiro 2023 - Valor Real'!A3:A15,'Janeiro 2023 - Valor Real'!C3:C15,0))+1)+((L230/(L230-1)-1)*(1-_xlfn.XLOOKUP(K230,'Janeiro 2023 - Valor Real'!A3:A15,'Janeiro 2023 - Valor Real'!C3:C15,0))+1)),((L230-1)*(1-_xlfn.XLOOKUP(K230,'Janeiro 2023 - Valor Real'!A3:A15,'Janeiro 2023 - Valor Real'!C3:C15,0))+1)/(((L230-1)*(1-_xlfn.XLOOKUP(K230,'Janeiro 2023 - Valor Real'!A3:A15,'Janeiro 2023 - Valor Real'!C3:C15,0))+1)+((L229-1)*(1-_xlfn.XLOOKUP(K229,'Janeiro 2023 - Valor Real'!A3:A15,'Janeiro 2023 - Valor Real'!C3:C15,0))+1))))))</f>
        <v>0.567757009345794</v>
      </c>
      <c r="AF229" s="197">
        <f>IF($K229=AF$3,ROUND(IF(OR($C229="W",$C229="1/2W",$C229="1/2L"),$P229-$O229,IF($C229="X",0,-$O229)),2),0)</f>
        <v>0</v>
      </c>
      <c r="AG229" s="198">
        <f>IF($K229=AG$3,ROUND(IF(OR($C229="W",$C229="1/2W",$C229="1/2L"),$P229-$O229,IF($C229="X",0,-$O229)),2),0)</f>
        <v>0</v>
      </c>
      <c r="AH229" s="198">
        <f>IF($K229=AH$3,ROUND(IF(OR($C229="W",$C229="1/2W",$C229="1/2L"),$P229-$O229,IF($C229="X",0,-$O229)),2),0)</f>
        <v>0</v>
      </c>
      <c r="AI229" s="198">
        <f>IF($K229=AI$3,ROUND(IF(OR($C229="W",$C229="1/2W",$C229="1/2L"),$P229-$O229,IF($C229="X",0,-$O229)),2),0)</f>
        <v>0</v>
      </c>
      <c r="AJ229" s="198">
        <f>IF($K229=AJ$3,ROUND(IF(OR($C229="W",$C229="1/2W",$C229="1/2L"),$P229-$O229,IF($C229="X",0,-$O229)),2),0)</f>
        <v>11.25</v>
      </c>
      <c r="AK229" s="198">
        <f>IF($K229=AK$3,ROUND(IF(OR($C229="W",$C229="1/2W",$C229="1/2L"),$P229-$O229,IF($C229="X",0,-$O229)),2),0)</f>
        <v>0</v>
      </c>
      <c r="AL229" s="198">
        <f>IF($K229=AL$3,ROUND(IF(OR($C229="W",$C229="1/2W",$C229="1/2L"),$P229-$O229,IF($C229="X",0,-$O229)),2),0)</f>
        <v>0</v>
      </c>
      <c r="AM229" s="198">
        <f>IF($K229=AM$3,ROUND(IF(OR($C229="W",$C229="1/2W",$C229="1/2L"),$P229-$O229,IF($C229="X",0,-$O229)),2),0)</f>
        <v>0</v>
      </c>
      <c r="AN229" s="198">
        <f>IF($K229=AN$3,ROUND(IF(OR($C229="W",$C229="1/2W",$C229="1/2L"),$P229-$O229,IF($C229="X",0,-$O229)),2),0)</f>
        <v>0</v>
      </c>
      <c r="AO229" s="198">
        <f>IF($K229=AO$3,ROUND(IF(OR($C229="W",$C229="1/2W",$C229="1/2L"),$P229-$O229,IF($C229="X",0,-$O229)),2),0)</f>
        <v>0</v>
      </c>
      <c r="AP229" s="198">
        <f>IF($K229=AP$3,ROUND(IF(OR($C229="W",$C229="1/2W",$C229="1/2L"),$P229-$O229,IF($C229="X",0,-$O229)),2),0)</f>
        <v>0</v>
      </c>
      <c r="AQ229" s="198">
        <f>IF($K229=AQ$3,ROUND(IF(OR($C229="W",$C229="1/2W",$C229="1/2L"),$P229-$O229,IF($C229="X",0,-$O229)),2),0)</f>
        <v>0</v>
      </c>
      <c r="AR229" s="199">
        <f>IF($K229=AR$3,ROUND(IF(OR($C229="W",$C229="1/2W",$C229="1/2L"),$P229-$O229,IF($C229="X",0,-$O229)),2),0)</f>
        <v>0</v>
      </c>
      <c r="AS229" s="197">
        <f>IF(AND($B229=" ",$K229=AS$3),$O229,0)</f>
        <v>0</v>
      </c>
      <c r="AT229" s="198">
        <f>IF(AND($B229=" ",$K229=AT$3),$O229,0)</f>
        <v>0</v>
      </c>
      <c r="AU229" s="198">
        <f>IF(AND($B229=" ",$K229=AU$3),$O229,0)</f>
        <v>0</v>
      </c>
      <c r="AV229" s="198">
        <f>IF(AND($B229=" ",$K229=AV$3),$O229,0)</f>
        <v>0</v>
      </c>
      <c r="AW229" s="198">
        <f>IF(AND($B229=" ",$K229=AW$3),$O229,0)</f>
        <v>0</v>
      </c>
      <c r="AX229" s="198">
        <f>IF(AND($B229=" ",$K229=AX$3),$O229,0)</f>
        <v>0</v>
      </c>
      <c r="AY229" s="200">
        <f>IF(AND($B229=" ",$K229=AY$3),$O229,0)</f>
        <v>0</v>
      </c>
      <c r="AZ229" s="201">
        <f>IF(AND($B229=" ",$K229=AZ$3),$O229,0)</f>
        <v>0</v>
      </c>
      <c r="BA229" s="201">
        <f>IF(AND($B229=" ",$K229=BA$3),$O229,0)</f>
        <v>0</v>
      </c>
      <c r="BB229" s="201">
        <f>IF(AND($B229=" ",$K229=BB$3),$O229,0)</f>
        <v>0</v>
      </c>
      <c r="BC229" s="202">
        <f>IF(AND($B229=" ",$K229=BC$3),$O229,0)</f>
        <v>0</v>
      </c>
      <c r="BD229" s="198">
        <f>IF(AND($B229=" ",$K229=BD$3),$O229,0)</f>
        <v>0</v>
      </c>
      <c r="BE229" s="199">
        <f>IF(AND($B229=" ",$K229=BE$3),$O229,0)</f>
        <v>0</v>
      </c>
      <c r="BF229" s="203">
        <f>IF($K229=BF$3,IF($C229="X",0,$O229),0)</f>
        <v>0</v>
      </c>
      <c r="BG229" s="198">
        <f>IF($K229=BG$3,IF($C229="X",0,$O229),0)</f>
        <v>0</v>
      </c>
      <c r="BH229" s="198">
        <f>IF($K229=BH$3,IF($C229="X",0,$O229),0)</f>
        <v>0</v>
      </c>
      <c r="BI229" s="198">
        <f>IF($K229=BI$3,IF($C229="X",0,$O229),0)</f>
        <v>0</v>
      </c>
      <c r="BJ229" s="198">
        <f>IF($K229=BJ$3,IF($C229="X",0,$O229),0)</f>
        <v>13.24</v>
      </c>
      <c r="BK229" s="198">
        <f>IF($K229=BK$3,IF($C229="X",0,$O229),0)</f>
        <v>0</v>
      </c>
      <c r="BL229" s="198">
        <f>IF($K229=BL$3,IF($C229="X",0,$O229),0)</f>
        <v>0</v>
      </c>
      <c r="BM229" s="200">
        <f>IF($K229=BM$3,IF($C229="X",0,$O229),0)</f>
        <v>0</v>
      </c>
      <c r="BN229" s="201">
        <f>IF($K229=BN$3,IF($C229="X",0,$O229),0)</f>
        <v>0</v>
      </c>
      <c r="BO229" s="201">
        <f>IF($K229=BO$3,IF($C229="X",0,$O229),0)</f>
        <v>0</v>
      </c>
      <c r="BP229" s="201">
        <f>IF($K229=BP$3,IF($C229="X",0,$O229),0)</f>
        <v>0</v>
      </c>
      <c r="BQ229" s="202">
        <f>IF($K229=BQ$3,IF($C229="X",0,$O229),0)</f>
        <v>0</v>
      </c>
      <c r="BR229" s="199">
        <f>IF($K229=BR$3,IF($C229="X",0,$O229),0)</f>
        <v>0</v>
      </c>
      <c r="BS229" s="204">
        <f>IF($B229="LOSS",IF(AND($K229=BS$3,$C229="L"),-$O229,0)+IF(AND($K230=BS$3,$C230="L"),-$O230,0)+IF(AND($K231=BS$3,$C231="L"),-$O231,0),IF(OR(AND($K229=BS$3,OR($C229="W",$C229="1/2W")),AND($K230=BS$3,OR($C230="W",$C230="1/2W")),AND($K231=BS$3,OR($C231="W",$C231="1/2W"))),$S229,0))</f>
        <v>0</v>
      </c>
      <c r="BT229" s="201">
        <f>IF($B229="LOSS",IF(AND($K229=BT$3,$C229="L"),-$O229,0)+IF(AND($K230=BT$3,$C230="L"),-$O230,0)+IF(AND($K230=BT$3,$C231="L"),-$O231,0),IF(OR(AND($K230=BT$3,OR($C229="W",$C229="1/2W")),AND($K230=BT$3,OR($C230="W",$C230="1/2W")),AND($K230=BT$3,OR($C231="W",$C231="1/2W"))),$S229,0))</f>
        <v>0</v>
      </c>
      <c r="BU229" s="201">
        <f>IF($B229="LOSS",IF(AND($K229=BU$3,$C229="L"),-$O229,0)+IF(AND($K230=BU$3,$C230="L"),-$O230,0)+IF(AND($K230=BU$3,$C231="L"),-$O231,0),IF(OR(AND($K230=BU$3,OR($C229="W",$C229="1/2W")),AND($K230=BU$3,OR($C230="W",$C230="1/2W")),AND($K230=BU$3,OR($C231="W",$C231="1/2W"))),$S229,0))</f>
        <v>0</v>
      </c>
      <c r="BV229" s="201">
        <f>IF($B229="LOSS",IF(AND($K229=BV$3,$C229="L"),-$O229,0)+IF(AND($K230=BV$3,$C230="L"),-$O230,0)+IF(AND($K231=BV$3,$C231="L"),-$O231,0),IF(OR(AND($K229=BV$3,OR($C229="W",$C229="1/2W")),AND($K230=BV$3,OR($C230="W",$C230="1/2W")),AND($K231=BV$3,OR($C231="W",$C231="1/2W"))),$S229,0))</f>
        <v>0</v>
      </c>
      <c r="BW229" s="201">
        <f>IF($B229="LOSS",IF(AND($K229=BW$3,$C229="L"),-$O229,0)+IF(AND($K230=BW$3,$C230="L"),-$O230,0)+IF(AND($K231=BW$3,$C231="L"),-$O231,0),IF(OR(AND($K229=BW$3,OR($C229="W",$C229="1/2W")),AND($K230=BW$3,OR($C230="W",$C230="1/2W")),AND($K231=BW$3,OR($C231="W",$C231="1/2W"))),$S229,0))</f>
        <v>1.17</v>
      </c>
      <c r="BX229" s="201">
        <f>IF($B229="LOSS",IF(AND($K229=BX$3,$C229="L"),-$O229,0)+IF(AND($K230=BX$3,$C230="L"),-$O230,0)+IF(AND($K231=BX$3,$C231="L"),-$O231,0),IF(OR(AND($K229=BX$3,OR($C229="W",$C229="1/2W")),AND($K230=BX$3,OR($C230="W",$C230="1/2W")),AND($K231=BX$3,OR($C231="W",$C231="1/2W"))),$S229,0))</f>
        <v>0</v>
      </c>
      <c r="BY229" s="201">
        <f>IF($B229="LOSS",IF(AND($K229=BY$3,$C229="L"),-$O229,0)+IF(AND($K230=BY$3,$C230="L"),-$O230,0)+IF(AND($K231=BY$3,$C231="L"),-$O231,0),IF(OR(AND($K229=BY$3,OR($C229="W",$C229="1/2W")),AND($K230=BY$3,OR($C230="W",$C230="1/2W")),AND($K231=BY$3,OR($C231="W",$C231="1/2W"))),$S229,0))</f>
        <v>0</v>
      </c>
      <c r="BZ229" s="205">
        <f>IF($B229="LOSS",IF(AND($K229=BZ$3,$C229="L"),-$O229,0)+IF(AND($K230=BZ$3,$C230="L"),-$O230,0)+IF(AND($K231=BZ$3,$C231="L"),-$O231,0),IF(OR(AND($K229=BZ$3,OR($C229="W",$C229="1/2W")),AND($K230=BZ$3,OR($C230="W",$C230="1/2W")),AND($K231=BZ$3,OR($C231="W",$C231="1/2W"))),$S229,0))</f>
        <v>0</v>
      </c>
      <c r="CA229" s="205">
        <f>IF($B229="LOSS",IF(AND($K229=CA$3,$C229="L"),-$O229,0)+IF(AND($K230=CA$3,$C230="L"),-$O230,0)+IF(AND($K231=CA$3,$C231="L"),-$O231,0),IF(OR(AND($K229=CA$3,OR($C229="W",$C229="1/2W")),AND($K230=CA$3,OR($C230="W",$C230="1/2W")),AND($K231=CA$3,OR($C231="W",$C231="1/2W"))),$S229,0))</f>
        <v>0</v>
      </c>
      <c r="CB229" s="205">
        <f>IF($B229="LOSS",IF(AND($K229=CB$3,$C229="L"),-$O229,0)+IF(AND($K230=CB$3,$C230="L"),-$O230,0)+IF(AND($K231=CB$3,$C231="L"),-$O231,0),IF(OR(AND($K229=CB$3,OR($C229="W",$C229="1/2W")),AND($K230=CB$3,OR($C230="W",$C230="1/2W")),AND($K231=CB$3,OR($C231="W",$C231="1/2W"))),$S229,0))</f>
        <v>0</v>
      </c>
      <c r="CC229" s="205">
        <f>IF($B229="LOSS",IF(AND($K229=CC$3,$C229="L"),-$O229,0)+IF(AND($K230=CC$3,$C230="L"),-$O230,0)+IF(AND($K231=CC$3,$C231="L"),-$O231,0),IF(OR(AND($K229=CC$3,OR($C229="W",$C229="1/2W")),AND($K230=CC$3,OR($C230="W",$C230="1/2W")),AND($K231=CC$3,OR($C231="W",$C231="1/2W"))),$S229,0))</f>
        <v>0</v>
      </c>
      <c r="CD229" s="202">
        <f>IF($B229="LOSS",IF(AND($K229=CD$3,$C229="L"),-$O229,0)+IF(AND($K230=CD$3,$C230="L"),-$O230,0)+IF(AND($K231=CD$3,$C231="L"),-$O231,0),IF(OR(AND($K229=CD$3,OR($C229="W",$C229="1/2W")),AND($K230=CD$3,OR($C230="W",$C230="1/2W")),AND($K231=CD$3,OR($C231="W",$C231="1/2W"))),$S229,0))</f>
        <v>0</v>
      </c>
      <c r="CE229" s="199">
        <f>IF($B229="LOSS",IF(AND($K229=CE$3,$C229="L"),-$O229,0)+IF(AND($K230=CE$3,$C230="L"),-$O230,0)+IF(AND($K231=CE$3,$C231="L"),-$O231,0),IF(OR(AND($K229=CE$3,OR($C229="W",$C229="1/2W")),AND($K230=CE$3,OR($C230="W",$C230="1/2W")),AND($K231=CE$3,OR($C231="W",$C231="1/2W"))),$S229,0))</f>
        <v>0</v>
      </c>
      <c r="CF229" s="206">
        <f>IF(CF$3=$K229,IF($C229="W",1,IF($C229="1/2W",0.5,0)),0)</f>
        <v>0</v>
      </c>
      <c r="CG229" s="207">
        <f>IF(CF$3=$K229,IF($C229="L",1,IF($C229="1/2L",0.5,0)),0)</f>
        <v>0</v>
      </c>
      <c r="CH229" s="207">
        <f>IF(CH$3=$K229,IF($C229="W",1,IF($C229="1/2W",0.5,0)),0)</f>
        <v>0</v>
      </c>
      <c r="CI229" s="207">
        <f>IF(CH$3=$K229,IF($C229="L",1,IF($C229="1/2L",0.5,0)),0)</f>
        <v>0</v>
      </c>
      <c r="CJ229" s="207">
        <f>IF(CJ$3=$K229,IF($C229="W",1,IF($C229="1/2W",0.5,0)),0)</f>
        <v>0</v>
      </c>
      <c r="CK229" s="207">
        <f>IF(CJ$3=$K229,IF($C229="L",1,IF($C229="1/2L",0.5,0)),0)</f>
        <v>0</v>
      </c>
      <c r="CL229" s="207">
        <f>IF(CL$3=$K229,IF($C229="W",1,IF($C229="1/2W",0.5,0)),0)</f>
        <v>0</v>
      </c>
      <c r="CM229" s="207">
        <f>IF(CL$3=$K229,IF($C229="L",1,IF($C229="1/2L",0.5,0)),0)</f>
        <v>0</v>
      </c>
      <c r="CN229" s="207">
        <f>IF(CN$3=$K229,IF($C229="W",1,IF($C229="1/2W",0.5,0)),0)</f>
        <v>1</v>
      </c>
      <c r="CO229" s="207">
        <f>IF(CN$3=$K229,IF($C229="L",1,IF($C229="1/2L",0.5,0)),0)</f>
        <v>0</v>
      </c>
      <c r="CP229" s="207">
        <f>IF(CP$3=$K229,IF($C229="W",1,IF($C229="1/2W",0.5,0)),0)</f>
        <v>0</v>
      </c>
      <c r="CQ229" s="207">
        <f>IF(CP$3=$K229,IF($C229="L",1,IF($C229="1/2L",0.5,0)),0)</f>
        <v>0</v>
      </c>
      <c r="CR229" s="207">
        <f>IF(CR$3=$K229,IF($C229="W",1,IF($C229="1/2W",0.5,0)),0)</f>
        <v>0</v>
      </c>
      <c r="CS229" s="207">
        <f>IF(CR$3=$K229,IF($C229="L",1,IF($C229="1/2L",0.5,0)),0)</f>
        <v>0</v>
      </c>
      <c r="CT229" s="208">
        <f>IF(CT$3=$K229,IF($C229="W",1,IF($C229="1/2W",0.5,0)),0)</f>
        <v>0</v>
      </c>
      <c r="CU229" s="209">
        <f>IF(CT$3=$K229,IF($C229="L",1,IF($C229="1/2L",0.5,0)),0)</f>
        <v>0</v>
      </c>
      <c r="CV229" s="209">
        <f>IF(CV$3=$K229,IF($C229="W",1,IF($C229="1/2W",0.5,0)),0)</f>
        <v>0</v>
      </c>
      <c r="CW229" s="209">
        <f>IF(CV$3=$K229,IF($C229="L",1,IF($C229="1/2L",0.5,0)),0)</f>
        <v>0</v>
      </c>
      <c r="CX229" s="209">
        <f>IF(CX$3=$K229,IF($C229="W",1,IF($C229="1/2W",0.5,0)),0)</f>
        <v>0</v>
      </c>
      <c r="CY229" s="209">
        <f>IF(CX$3=$K229,IF($C229="L",1,IF($C229="1/2L",0.5,0)),0)</f>
        <v>0</v>
      </c>
      <c r="CZ229" s="209">
        <f>IF(CZ$3=$K229,IF($C229="W",1,IF($C229="1/2W",0.5,0)),0)</f>
        <v>0</v>
      </c>
      <c r="DA229" s="209">
        <f>IF(CZ$3=$K229,IF($C229="L",1,IF($C229="1/2L",0.5,0)),0)</f>
        <v>0</v>
      </c>
      <c r="DB229" s="209">
        <f>IF(DB$3=$K229,IF($C229="W",1,IF($C229="1/2W",0.5,0)),0)</f>
        <v>0</v>
      </c>
      <c r="DC229" s="209">
        <f>IF(DB$3=$K229,IF($C229="L",1,IF($C229="1/2L",0.5,0)),0)</f>
        <v>0</v>
      </c>
      <c r="DD229" s="209">
        <f>IF(DD$3=$K229,IF($C229="W",1,IF($C229="1/2W",0.5,0)),0)</f>
        <v>0</v>
      </c>
      <c r="DE229" s="210">
        <f>IF(DD$3=$K229,IF($C229="L",1,IF($C229="1/2L",0.5,0)),0)</f>
        <v>0</v>
      </c>
      <c r="DF229" s="211">
        <f>IF(AND(L229&lt;DF$3,$C229="W"),1+DF228,DF228)</f>
        <v>8</v>
      </c>
      <c r="DG229" s="198">
        <f>IF(DF229&gt;DF228,L229+DG228,DG228)</f>
        <v>10.598</v>
      </c>
      <c r="DH229" s="209">
        <f>IF(AND(L229&gt;DH$3,$C229="W"),1+DH228,0+DH228)</f>
        <v>3</v>
      </c>
      <c r="DI229" s="198">
        <f>IF(DH229&gt;DH228,L229+DI228,DI228)</f>
        <v>15.98</v>
      </c>
      <c r="DJ229" t="s" s="306">
        <f>IF($D229="","",$D229)</f>
        <v>229</v>
      </c>
      <c r="DK229" s="209">
        <f>IF(AND($B229=" ",$D229&lt;&gt;""),1,0)</f>
        <v>0</v>
      </c>
    </row>
    <row r="230" ht="14.55" customHeight="1">
      <c r="A230" s="107"/>
      <c r="B230" s="108"/>
      <c r="C230" t="s" s="213">
        <v>51</v>
      </c>
      <c r="D230" s="110"/>
      <c r="E230" s="111"/>
      <c r="F230" s="113"/>
      <c r="G230" s="214"/>
      <c r="H230" s="114"/>
      <c r="I230" s="299">
        <v>1</v>
      </c>
      <c r="J230" t="s" s="216">
        <f>IF(OR(I229="TO",I229="TU",I229="TO1",I229="TU1",I229="TO2",I229="TU2"),J229,IF(OR(I229="AH1",I229="AH2"),IF(OR(I230="AH1",I230="AH2"),-J229,IF(OR(I230="EH1",I230="EH2"),-J229+0.5,"")),IF(OR(I229="EH1",I229="EH2"),IF(OR(I230="AH1",I230="AH2"),-J229+0.5,IF(OR(I230="EH1",I230="EH2"),-J229+1,"")),IF(AND(OR(I229="DNB1",I229="DNB2"),OR(I230="AH1",I230="AH2")),0,IF(AND(I229="Not ScoreBoth",OR(I230="TO1",I230="TO2")),0.5,"")))))</f>
      </c>
      <c r="K230" t="s" s="217">
        <v>44</v>
      </c>
      <c r="L230" s="218">
        <v>2.43</v>
      </c>
      <c r="M230" s="219">
        <v>10.08</v>
      </c>
      <c r="N230" s="120"/>
      <c r="O230" s="220">
        <f>IF(OR(AE229="",AE230=""),"",ROUND(IF(L231&gt;0,IF(M230&gt;0,M230,IF(M229&gt;0,IF(N229=TRUE,ROUND((M229*AE230)/AE229,0),(M229*AE230)/AE229),IF(M230&gt;0,ROUND(M230,IF(N229=0,2,IF(N229=0.1,1,0))),IF(M231&gt;0,ROUND(O231*AE230/AE231,IF(N229=0,2,IF(N229=0.1,1,0))),0)))),IF(M230&gt;0,M230,ROUND((M229*AE230)/AE229,IF(N229=0,2,IF(N229=0.1,1,0))))),2))</f>
        <v>10.08</v>
      </c>
      <c r="P230" s="221">
        <f>IF(OR(L230="",O230=""),"",IF($C230="1/2W",O230/2+O230/2*L230,IF($C230="1/2L",O230/2,IF(I230="Lay",((O230*(L230/(L230-1)))-O230)*(1-_xlfn.XLOOKUP(K230,'Janeiro 2023 - Valor Real'!A3:A15,'Janeiro 2023 - Valor Real'!C3:C15,0))+O230,(O230*L230-O230)*(1-_xlfn.XLOOKUP(K230,'Janeiro 2023 - Valor Real'!A3:A15,'Janeiro 2023 - Valor Real'!C3:C15,0))+O230))))</f>
        <v>24.4944</v>
      </c>
      <c r="Q230" s="222">
        <f>IF(K230="","",IF(_xlfn.XLOOKUP(K230,K$85:K134,DJ$85:DJ134,0,,-1)=DJ230,_xlfn.XLOOKUP(K230,K$85:K134,Q$85:Q134,1,,-1)+1,1))</f>
        <v>1</v>
      </c>
      <c r="R230" s="223">
        <f>IF(K230="","",_xlfn.XLOOKUP(K230,K$85:K134,R$85:R134,0,,-1)+IF($C230=" ",1,0))</f>
        <v>0</v>
      </c>
      <c r="S230" s="125"/>
      <c r="T230" s="126"/>
      <c r="U230" s="126"/>
      <c r="V230" s="224"/>
      <c r="W230" s="126"/>
      <c r="X230" s="127"/>
      <c r="Y230" s="128"/>
      <c r="Z230" s="129"/>
      <c r="AA230" s="129"/>
      <c r="AB230" s="129"/>
      <c r="AC230" s="129"/>
      <c r="AD230" s="225">
        <f>(((L230/(L230-1)-1)*(1-_xlfn.XLOOKUP(K230,'Janeiro 2023 - Valor Real'!A3:A15,'Janeiro 2023 - Valor Real'!C3:C15,0))+1))</f>
        <v>1.6993006993007</v>
      </c>
      <c r="AE230" s="226">
        <f>IF(L230="","",IF(L231&gt;0,(SUM(((L229-1)*(1-_xlfn.XLOOKUP(K229,'Janeiro 2023 - Valor Real'!A3:A15,'Janeiro 2023 - Valor Real'!C3:C15,0))+1),((L230-1)*(1-_xlfn.XLOOKUP(K230,'Janeiro 2023 - Valor Real'!A3:A15,'Janeiro 2023 - Valor Real'!C3:C15,0))+1),((L231-1)*(1-_xlfn.XLOOKUP(K231,'Janeiro 2023 - Valor Real'!A3:A15,'Janeiro 2023 - Valor Real'!C3:C15,0))+1))/((L230-1)*(1-_xlfn.XLOOKUP(K230,'Janeiro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Real'!C3:C15,0))+1))/((L229-1)*(1-_xlfn.XLOOKUP(K229,'Janeiro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Real'!C3:C15,0))+1))/((L230-1)*(1-_xlfn.XLOOKUP(K230,'Janeiro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Real'!C3:C15,0))+1))/((L231-1)*(1-_xlfn.XLOOKUP(K231,'Janeiro 2023 - Valor Real'!A3:A15,'Janeiro 2023 - Valor Real'!C3:C15,0))+1)),IF(I230="Lay",IF(I229="Lay",((L229/(L229-1)-1)*(1-_xlfn.XLOOKUP(K229,'Janeiro 2023 - Valor Real'!A3:A15,'Janeiro 2023 - Valor Real'!C3:C15,0))+1)/(((L229/(L229-1)-1)*(1-_xlfn.XLOOKUP(K229,'Janeiro 2023 - Valor Real'!A3:A15,'Janeiro 2023 - Valor Real'!C3:C15,0))+1)+((L230/(L230-1)-1)*(1-_xlfn.XLOOKUP(K230,'Janeiro 2023 - Valor Real'!A3:A15,'Janeiro 2023 - Valor Real'!C3:C15,0))+1)),((L229-1)*(1-_xlfn.XLOOKUP(K229,'Janeiro 2023 - Valor Real'!A3:A15,'Janeiro 2023 - Valor Real'!C3:C15,0))+1)/(((L229-1)*(1-_xlfn.XLOOKUP(K229,'Janeiro 2023 - Valor Real'!A3:A15,'Janeiro 2023 - Valor Real'!C3:C15,0))+1)+((L230/(L230-1)-1)*(1-_xlfn.XLOOKUP(K230,'Janeiro 2023 - Valor Real'!A3:A15,'Janeiro 2023 - Valor Real'!C3:C15,0))+1))),IF(I229="Lay",((L229/(L229-1)-1)*(1-_xlfn.XLOOKUP(K229,'Janeiro 2023 - Valor Real'!A3:A15,'Janeiro 2023 - Valor Real'!C3:C15,0))+1)/((((L229/(L229-1)-1)*(1-_xlfn.XLOOKUP(K229,'Janeiro 2023 - Valor Real'!A3:A15,'Janeiro 2023 - Valor Real'!C3:C15,0))+1))+((L230-1)*(1-_xlfn.XLOOKUP(K230,'Janeiro 2023 - Valor Real'!A3:A15,'Janeiro 2023 - Valor Real'!C3:C15,0))+1)),((L229-1)*(1-_xlfn.XLOOKUP(K229,'Janeiro 2023 - Valor Real'!A3:A15,'Janeiro 2023 - Valor Real'!C3:C15,0))+1)/(((L229-1)*(1-_xlfn.XLOOKUP(K229,'Janeiro 2023 - Valor Real'!A3:A15,'Janeiro 2023 - Valor Real'!C3:C15,0))+1)+((L230-1)*(1-_xlfn.XLOOKUP(K230,'Janeiro 2023 - Valor Real'!A3:A15,'Janeiro 2023 - Valor Real'!C3:C15,0))+1))))))</f>
        <v>0.432242990654206</v>
      </c>
      <c r="AF230" s="197">
        <f>IF($K230=AF$3,ROUND(IF(OR($C230="W",$C230="1/2W",$C230="1/2L"),$P230-$O230,IF($C230="X",0,-$O230)),2),0)</f>
        <v>0</v>
      </c>
      <c r="AG230" s="198">
        <f>IF($K230=AG$3,ROUND(IF(OR($C230="W",$C230="1/2W",$C230="1/2L"),$P230-$O230,IF($C230="X",0,-$O230)),2),0)</f>
        <v>0</v>
      </c>
      <c r="AH230" s="198">
        <f>IF($K230=AH$3,ROUND(IF(OR($C230="W",$C230="1/2W",$C230="1/2L"),$P230-$O230,IF($C230="X",0,-$O230)),2),0)</f>
        <v>0</v>
      </c>
      <c r="AI230" s="198">
        <f>IF($K230=AI$3,ROUND(IF(OR($C230="W",$C230="1/2W",$C230="1/2L"),$P230-$O230,IF($C230="X",0,-$O230)),2),0)</f>
        <v>0</v>
      </c>
      <c r="AJ230" s="198">
        <f>IF($K230=AJ$3,ROUND(IF(OR($C230="W",$C230="1/2W",$C230="1/2L"),$P230-$O230,IF($C230="X",0,-$O230)),2),0)</f>
        <v>0</v>
      </c>
      <c r="AK230" s="198">
        <f>IF($K230=AK$3,ROUND(IF(OR($C230="W",$C230="1/2W",$C230="1/2L"),$P230-$O230,IF($C230="X",0,-$O230)),2),0)</f>
        <v>0</v>
      </c>
      <c r="AL230" s="198">
        <f>IF($K230=AL$3,ROUND(IF(OR($C230="W",$C230="1/2W",$C230="1/2L"),$P230-$O230,IF($C230="X",0,-$O230)),2),0)</f>
        <v>0</v>
      </c>
      <c r="AM230" s="198">
        <f>IF($K230=AM$3,ROUND(IF(OR($C230="W",$C230="1/2W",$C230="1/2L"),$P230-$O230,IF($C230="X",0,-$O230)),2),0)</f>
        <v>-10.08</v>
      </c>
      <c r="AN230" s="198">
        <f>IF($K230=AN$3,ROUND(IF(OR($C230="W",$C230="1/2W",$C230="1/2L"),$P230-$O230,IF($C230="X",0,-$O230)),2),0)</f>
        <v>0</v>
      </c>
      <c r="AO230" s="198">
        <f>IF($K230=AO$3,ROUND(IF(OR($C230="W",$C230="1/2W",$C230="1/2L"),$P230-$O230,IF($C230="X",0,-$O230)),2),0)</f>
        <v>0</v>
      </c>
      <c r="AP230" s="198">
        <f>IF($K230=AP$3,ROUND(IF(OR($C230="W",$C230="1/2W",$C230="1/2L"),$P230-$O230,IF($C230="X",0,-$O230)),2),0)</f>
        <v>0</v>
      </c>
      <c r="AQ230" s="198">
        <f>IF($K230=AQ$3,ROUND(IF(OR($C230="W",$C230="1/2W",$C230="1/2L"),$P230-$O230,IF($C230="X",0,-$O230)),2),0)</f>
        <v>0</v>
      </c>
      <c r="AR230" s="199">
        <f>IF($K230=AR$3,ROUND(IF(OR($C230="W",$C230="1/2W",$C230="1/2L"),$P230-$O230,IF($C230="X",0,-$O230)),2),0)</f>
        <v>0</v>
      </c>
      <c r="AS230" s="197">
        <f>IF(AND($B229=" ",$K230=AS$3),$O230,0)</f>
        <v>0</v>
      </c>
      <c r="AT230" s="198">
        <f>IF(AND($B229=" ",K230=AT$3),$O230,0)</f>
        <v>0</v>
      </c>
      <c r="AU230" s="198">
        <f>IF(AND($B229=" ",$K230=AU$3),$O230,0)</f>
        <v>0</v>
      </c>
      <c r="AV230" s="198">
        <f>IF(AND($B229=" ",$K230=AV$3),$O230,0)</f>
        <v>0</v>
      </c>
      <c r="AW230" s="198">
        <f>IF(AND($B229=" ",$K230=AW$3),$O230,0)</f>
        <v>0</v>
      </c>
      <c r="AX230" s="198">
        <f>IF(AND($B229=" ",$K230=AX$3),$O230,0)</f>
        <v>0</v>
      </c>
      <c r="AY230" s="200">
        <f>IF(AND($B229=" ",$K230=AY$3),$O230,0)</f>
        <v>0</v>
      </c>
      <c r="AZ230" s="201">
        <f>IF(AND($B229=" ",$K230=AZ$3),$O230,0)</f>
        <v>0</v>
      </c>
      <c r="BA230" s="201">
        <f>IF(AND($B229=" ",$K230=BA$3),$O230,0)</f>
        <v>0</v>
      </c>
      <c r="BB230" s="201">
        <f>IF(AND($B229=" ",$K230=BB$3),$O230,0)</f>
        <v>0</v>
      </c>
      <c r="BC230" s="202">
        <f>IF(AND($B229=" ",$K230=BC$3),$O230,0)</f>
        <v>0</v>
      </c>
      <c r="BD230" s="198">
        <f>IF(AND($B229=" ",$K230=BD$3),$O230,0)</f>
        <v>0</v>
      </c>
      <c r="BE230" s="199">
        <f>IF(AND($B229=" ",$K230=BE$3),$O230,0)</f>
        <v>0</v>
      </c>
      <c r="BF230" s="197">
        <f>IF($K230=BF$3,IF($C230="X",0,$O230),0)</f>
        <v>0</v>
      </c>
      <c r="BG230" s="198">
        <f>IF($K230=BG$3,IF($C230="X",0,$O230),0)</f>
        <v>0</v>
      </c>
      <c r="BH230" s="198">
        <f>IF($K230=BH$3,IF($C230="X",0,$O230),0)</f>
        <v>0</v>
      </c>
      <c r="BI230" s="198">
        <f>IF($K230=BI$3,IF($C230="X",0,$O230),0)</f>
        <v>0</v>
      </c>
      <c r="BJ230" s="198">
        <f>IF($K230=BJ$3,IF($C230="X",0,$O230),0)</f>
        <v>0</v>
      </c>
      <c r="BK230" s="198">
        <f>IF($K230=BK$3,IF($C230="X",0,$O230),0)</f>
        <v>0</v>
      </c>
      <c r="BL230" s="198">
        <f>IF($K230=BL$3,IF($C230="X",0,$O230),0)</f>
        <v>0</v>
      </c>
      <c r="BM230" s="227">
        <f>IF($K230=BM$3,IF($C230="X",0,$O230),0)</f>
        <v>10.08</v>
      </c>
      <c r="BN230" s="205">
        <f>IF($K230=BN$3,IF($C230="X",0,$O230),0)</f>
        <v>0</v>
      </c>
      <c r="BO230" s="205">
        <f>IF($K230=BO$3,IF($C230="X",0,$O230),0)</f>
        <v>0</v>
      </c>
      <c r="BP230" s="205">
        <f>IF($K230=BP$3,IF($C230="X",0,$O230),0)</f>
        <v>0</v>
      </c>
      <c r="BQ230" s="202">
        <f>IF($K230=BQ$3,IF($C230="X",0,$O230),0)</f>
        <v>0</v>
      </c>
      <c r="BR230" s="199">
        <f>IF($K230=BR$3,IF($C230="X",0,$O230),0)</f>
        <v>0</v>
      </c>
      <c r="BS230" s="228"/>
      <c r="BT230" s="229"/>
      <c r="BU230" s="140"/>
      <c r="BV230" s="229"/>
      <c r="BW230" s="140"/>
      <c r="BX230" s="140"/>
      <c r="BY230" s="140"/>
      <c r="BZ230" s="229"/>
      <c r="CA230" s="140"/>
      <c r="CB230" s="140"/>
      <c r="CC230" s="140"/>
      <c r="CD230" s="141"/>
      <c r="CE230" s="142"/>
      <c r="CF230" s="230">
        <f>IF(CF$3=$K230,IF($C230="W",1,IF($C230="1/2W",0.5,0)),0)</f>
        <v>0</v>
      </c>
      <c r="CG230" s="231">
        <f>IF(CF$3=$K230,IF($C230="L",1,IF($C230="1/2L",0.5,0)),0)</f>
        <v>0</v>
      </c>
      <c r="CH230" s="231">
        <f>IF(CH$3=$K230,IF($C230="W",1,IF($C230="1/2W",0.5,0)),0)</f>
        <v>0</v>
      </c>
      <c r="CI230" s="231">
        <f>IF(CH$3=$K230,IF($C230="L",1,IF($C230="1/2L",0.5,0)),0)</f>
        <v>0</v>
      </c>
      <c r="CJ230" s="231">
        <f>IF(CJ$3=$K230,IF($C230="W",1,IF($C230="1/2W",0.5,0)),0)</f>
        <v>0</v>
      </c>
      <c r="CK230" s="231">
        <f>IF(CJ$3=$K230,IF($C230="L",1,IF($C230="1/2L",0.5,0)),0)</f>
        <v>0</v>
      </c>
      <c r="CL230" s="231">
        <f>IF(CL$3=$K230,IF($C230="W",1,IF($C230="1/2W",0.5,0)),0)</f>
        <v>0</v>
      </c>
      <c r="CM230" s="231">
        <f>IF(CL$3=$K230,IF($C230="L",1,IF($C230="1/2L",0.5,0)),0)</f>
        <v>0</v>
      </c>
      <c r="CN230" s="231">
        <f>IF(CN$3=$K230,IF($C230="W",1,IF($C230="1/2W",0.5,0)),0)</f>
        <v>0</v>
      </c>
      <c r="CO230" s="231">
        <f>IF(CN$3=$K230,IF($C230="L",1,IF($C230="1/2L",0.5,0)),0)</f>
        <v>0</v>
      </c>
      <c r="CP230" s="231">
        <f>IF(CP$3=$K230,IF($C230="W",1,IF($C230="1/2W",0.5,0)),0)</f>
        <v>0</v>
      </c>
      <c r="CQ230" s="231">
        <f>IF(CP$3=$K230,IF($C230="L",1,IF($C230="1/2L",0.5,0)),0)</f>
        <v>0</v>
      </c>
      <c r="CR230" s="231">
        <f>IF(CR$3=$K230,IF($C230="W",1,IF($C230="1/2W",0.5,0)),0)</f>
        <v>0</v>
      </c>
      <c r="CS230" s="231">
        <f>IF(CR$3=$K230,IF($C230="L",1,IF($C230="1/2L",0.5,0)),0)</f>
        <v>0</v>
      </c>
      <c r="CT230" s="208">
        <f>IF(CT$3=$K230,IF($C230="W",1,IF($C230="1/2W",0.5,0)),0)</f>
        <v>0</v>
      </c>
      <c r="CU230" s="209">
        <f>IF(CT$3=$K230,IF($C230="L",1,IF($C230="1/2L",0.5,0)),0)</f>
        <v>1</v>
      </c>
      <c r="CV230" s="209">
        <f>IF(CV$3=$K230,IF($C230="W",1,IF($C230="1/2W",0.5,0)),0)</f>
        <v>0</v>
      </c>
      <c r="CW230" s="209">
        <f>IF(CV$3=$K230,IF($C230="L",1,IF($C230="1/2L",0.5,0)),0)</f>
        <v>0</v>
      </c>
      <c r="CX230" s="209">
        <f>IF(CX$3=$K230,IF($C230="W",1,IF($C230="1/2W",0.5,0)),0)</f>
        <v>0</v>
      </c>
      <c r="CY230" s="209">
        <f>IF(CX$3=$K230,IF($C230="L",1,IF($C230="1/2L",0.5,0)),0)</f>
        <v>0</v>
      </c>
      <c r="CZ230" s="209">
        <f>IF(CZ$3=$K230,IF($C230="W",1,IF($C230="1/2W",0.5,0)),0)</f>
        <v>0</v>
      </c>
      <c r="DA230" s="209">
        <f>IF(CZ$3=$K230,IF($C230="L",1,IF($C230="1/2L",0.5,0)),0)</f>
        <v>0</v>
      </c>
      <c r="DB230" s="209">
        <f>IF(DB$3=$K230,IF($C230="W",1,IF($C230="1/2W",0.5,0)),0)</f>
        <v>0</v>
      </c>
      <c r="DC230" s="209">
        <f>IF(DB$3=$K230,IF($C230="L",1,IF($C230="1/2L",0.5,0)),0)</f>
        <v>0</v>
      </c>
      <c r="DD230" s="209">
        <f>IF(DD$3=$K230,IF($C230="W",1,IF($C230="1/2W",0.5,0)),0)</f>
        <v>0</v>
      </c>
      <c r="DE230" s="210">
        <f>IF(DD$3=$K230,IF($C230="L",1,IF($C230="1/2L",0.5,0)),0)</f>
        <v>0</v>
      </c>
      <c r="DF230" s="211">
        <f>IF(AND(L230&lt;DF$3,$C230="W"),1+DF229,DF229)</f>
        <v>8</v>
      </c>
      <c r="DG230" s="198">
        <f>IF(DF230&gt;DF229,L230+DG229,DG229)</f>
        <v>10.598</v>
      </c>
      <c r="DH230" s="209">
        <f>IF(AND(L230&gt;DH$3,$C230="W"),1+DH229,0+DH229)</f>
        <v>3</v>
      </c>
      <c r="DI230" s="198">
        <f>IF(DH230&gt;DH229,L230+DI229,DI229)</f>
        <v>15.98</v>
      </c>
      <c r="DJ230" t="s" s="306">
        <f>IF($D229="","",$D229)</f>
        <v>229</v>
      </c>
      <c r="DK230" s="232"/>
    </row>
    <row r="231" ht="14.55" customHeight="1">
      <c r="A231" s="149"/>
      <c r="B231" s="150"/>
      <c r="C231" t="s" s="233">
        <v>58</v>
      </c>
      <c r="D231" s="152"/>
      <c r="E231" s="153"/>
      <c r="F231" s="155"/>
      <c r="G231" s="234"/>
      <c r="H231" s="156"/>
      <c r="I231" s="235"/>
      <c r="J231" s="236"/>
      <c r="K231" s="237"/>
      <c r="L231" s="238"/>
      <c r="M231" s="239"/>
      <c r="N231" s="161"/>
      <c r="O231" t="s" s="240">
        <f>IF(OR(AE229="",AE230=""),"",IF(L231&gt;0,ROUND(IF(M231&gt;0,M231,IF(M229&gt;0,ROUND((M229*AE231)/AE229,IF(N229=0,2,IF(N229=0.1,1,0))),IF(M230&gt;0,ROUND((M230*AE231)/AE230,IF(N229=0,2,IF(N229=0.1,1,0))),IF(M231&gt;0,M231,0)))),2),""))</f>
      </c>
      <c r="P231" t="s" s="241">
        <f>IF(I230="Lay",O230*(L230/(L230-1))-O230,IF(I229="Lay",O229*(L229/(L229-1))-O229,IF(OR(L231="",O231=""),"",IF($C231="1/2W",O231/2+O231/2*L231,IF($C231="1/2L",O231/2,(O231*L231-O231)*(1-_xlfn.XLOOKUP(K231,'Janeiro 2023 - Valor Real'!A3:A15,'Janeiro 2023 - Valor Real'!C3:C15,0))+O231)))))</f>
      </c>
      <c r="Q231" t="s" s="242">
        <f>IF(K231="","",IF(_xlfn.XLOOKUP(K231,K$86:K135,DJ$86:DJ135,0,,-1)=DJ231,_xlfn.XLOOKUP(K231,K$86:K135,Q$86:Q135,1,,-1)+1,1))</f>
      </c>
      <c r="R231" t="s" s="243">
        <f>IF(K231="","",_xlfn.XLOOKUP(K231,K$86:K135,R$86:R135,0,,-1)+IF($C231=" ",1,0))</f>
      </c>
      <c r="S231" s="166"/>
      <c r="T231" s="155"/>
      <c r="U231" s="155"/>
      <c r="V231" s="166"/>
      <c r="W231" s="155"/>
      <c r="X231" s="167"/>
      <c r="Y231" s="128"/>
      <c r="Z231" s="129"/>
      <c r="AA231" s="129"/>
      <c r="AB231" s="129"/>
      <c r="AC231" s="129"/>
      <c r="AD231" s="244">
        <f>((L230/(L230-1)-1))</f>
        <v>0.699300699300699</v>
      </c>
      <c r="AE231" t="s" s="245">
        <f>IF(L231="","",(SUM(((L229-1)*(1-_xlfn.XLOOKUP(K229,'Janeiro 2023 - Valor Real'!A3:A15,'Janeiro 2023 - Valor Real'!C3:C15,0))+1),((L230-1)*(1-_xlfn.XLOOKUP(K230,'Janeiro 2023 - Valor Real'!A3:A15,'Janeiro 2023 - Valor Real'!C3:C15,0))+1),((L231-1)*(1-_xlfn.XLOOKUP(K231,'Janeiro 2023 - Valor Real'!A3:A15,'Janeiro 2023 - Valor Real'!C3:C15,0))+1))/((L231-1)*(1-_xlfn.XLOOKUP(K231,'Janeiro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Real'!C3:C15,0))+1))/((L229-1)*(1-_xlfn.XLOOKUP(K229,'Janeiro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Real'!C3:C15,0))+1))/((L230-1)*(1-_xlfn.XLOOKUP(K230,'Janeiro 2023 - Valor Real'!A3:A15,'Janeiro 2023 - Valor Real'!C3:C15,0))+1)+SUM(((L229-1)*(1-_xlfn.XLOOKUP(K229,'Janeiro 2023 - Valor Real'!A3:A15,'Janeiro 2023 - Valor Real'!C3:C15,0))+1),((L230-1)*(1-_xlfn.XLOOKUP(K230,'Janeiro 2023 - Valor Real'!A3:A15,'Janeiro 2023 - Valor Real'!C3:C15,0))+1),((L231-1)*(1-_xlfn.XLOOKUP(K231,'Janeiro 2023 - Valor Real'!A3:A15,'Janeiro 2023 - Valor Real'!C3:C15,0))+1))/((L231-1)*(1-_xlfn.XLOOKUP(K231,'Janeiro 2023 - Valor Real'!A3:A15,'Janeiro 2023 - Valor Real'!C3:C15,0))+1)))</f>
      </c>
      <c r="AF231" s="197">
        <f>IF($K231=AF$3,ROUND(IF(OR($C231="W",$C231="1/2W",$C231="1/2L"),$P231-$O231,IF($C231="X",0,-$O231)),2),0)</f>
        <v>0</v>
      </c>
      <c r="AG231" s="198">
        <f>IF($K231=AG$3,ROUND(IF(OR($C231="W",$C231="1/2W",$C231="1/2L"),$P231-$O231,IF($C231="X",0,-$O231)),2),0)</f>
        <v>0</v>
      </c>
      <c r="AH231" s="198">
        <f>IF($K231=AH$3,ROUND(IF(OR($C231="W",$C231="1/2W",$C231="1/2L"),$P231-$O231,IF($C231="X",0,-$O231)),2),0)</f>
        <v>0</v>
      </c>
      <c r="AI231" s="198">
        <f>IF($K231=AI$3,ROUND(IF(OR($C231="W",$C231="1/2W",$C231="1/2L"),$P231-$O231,IF($C231="X",0,-$O231)),2),0)</f>
        <v>0</v>
      </c>
      <c r="AJ231" s="198">
        <f>IF($K231=AJ$3,ROUND(IF(OR($C231="W",$C231="1/2W",$C231="1/2L"),$P231-$O231,IF($C231="X",0,-$O231)),2),0)</f>
        <v>0</v>
      </c>
      <c r="AK231" s="198">
        <f>IF($K231=AK$3,ROUND(IF(OR($C231="W",$C231="1/2W",$C231="1/2L"),$P231-$O231,IF($C231="X",0,-$O231)),2),0)</f>
        <v>0</v>
      </c>
      <c r="AL231" s="198">
        <f>IF($K231=AL$3,ROUND(IF(OR($C231="W",$C231="1/2W",$C231="1/2L"),$P231-$O231,IF($C231="X",0,-$O231)),2),0)</f>
        <v>0</v>
      </c>
      <c r="AM231" s="198">
        <f>IF($K231=AM$3,ROUND(IF(OR($C231="W",$C231="1/2W",$C231="1/2L"),$P231-$O231,IF($C231="X",0,-$O231)),2),0)</f>
        <v>0</v>
      </c>
      <c r="AN231" s="198">
        <f>IF($K231=AN$3,ROUND(IF(OR($C231="W",$C231="1/2W",$C231="1/2L"),$P231-$O231,IF($C231="X",0,-$O231)),2),0)</f>
        <v>0</v>
      </c>
      <c r="AO231" s="198">
        <f>IF($K231=AO$3,ROUND(IF(OR($C231="W",$C231="1/2W",$C231="1/2L"),$P231-$O231,IF($C231="X",0,-$O231)),2),0)</f>
        <v>0</v>
      </c>
      <c r="AP231" s="198">
        <f>IF($K231=AP$3,ROUND(IF(OR($C231="W",$C231="1/2W",$C231="1/2L"),$P231-$O231,IF($C231="X",0,-$O231)),2),0)</f>
        <v>0</v>
      </c>
      <c r="AQ231" s="198">
        <f>IF($K231=AQ$3,ROUND(IF(OR($C231="W",$C231="1/2W",$C231="1/2L"),$P231-$O231,IF($C231="X",0,-$O231)),2),0)</f>
        <v>0</v>
      </c>
      <c r="AR231" s="199">
        <f>IF($K231=AR$3,ROUND(IF(OR($C231="W",$C231="1/2W",$C231="1/2L"),$P231-$O231,IF($C231="X",0,-$O231)),2),0)</f>
        <v>0</v>
      </c>
      <c r="AS231" s="197">
        <f>IF(AND($B229=" ",$K231=AS$3),$O231,0)</f>
        <v>0</v>
      </c>
      <c r="AT231" s="198">
        <f>IF(AND($B229=" ",K231=AT$3),$O231,0)</f>
        <v>0</v>
      </c>
      <c r="AU231" s="198">
        <f>IF(AND($B229=" ",$K231=AU$3),$O231,0)</f>
        <v>0</v>
      </c>
      <c r="AV231" s="198">
        <f>IF(AND($B229=" ",$K231=AV$3),$O231,0)</f>
        <v>0</v>
      </c>
      <c r="AW231" s="198">
        <f>IF(AND($B229=" ",$K231=AW$3),$O231,0)</f>
        <v>0</v>
      </c>
      <c r="AX231" s="198">
        <f>IF(AND($B229=" ",$K231=AX$3),$O231,0)</f>
        <v>0</v>
      </c>
      <c r="AY231" s="200">
        <f>IF(AND($B229=" ",$K231=AY$3),$O231,0)</f>
        <v>0</v>
      </c>
      <c r="AZ231" s="201">
        <f>IF(AND($B229=" ",$K231=AZ$3),$O231,0)</f>
        <v>0</v>
      </c>
      <c r="BA231" s="201">
        <f>IF(AND($B229=" ",$K231=BA$3),$O231,0)</f>
        <v>0</v>
      </c>
      <c r="BB231" s="201">
        <f>IF(AND($B229=" ",$K231=BB$3),$O231,0)</f>
        <v>0</v>
      </c>
      <c r="BC231" s="202">
        <f>IF(AND($B229=" ",$K231=BC$3),$O231,0)</f>
        <v>0</v>
      </c>
      <c r="BD231" s="198">
        <f>IF(AND($B229=" ",$K231=BD$3),$O231,0)</f>
        <v>0</v>
      </c>
      <c r="BE231" s="199">
        <f>IF(AND($B229=" ",$K231=BE$3),$O231,0)</f>
        <v>0</v>
      </c>
      <c r="BF231" s="197">
        <f>IF($K231=BF$3,IF($C231="X",0,$O231),0)</f>
        <v>0</v>
      </c>
      <c r="BG231" s="198">
        <f>IF($K231=BG$3,IF($C231="X",0,$O231),0)</f>
        <v>0</v>
      </c>
      <c r="BH231" s="198">
        <f>IF($K231=BH$3,IF($C231="X",0,$O231),0)</f>
        <v>0</v>
      </c>
      <c r="BI231" s="198">
        <f>IF($K231=BI$3,IF($C231="X",0,$O231),0)</f>
        <v>0</v>
      </c>
      <c r="BJ231" s="198">
        <f>IF($K231=BJ$3,IF($C231="X",0,$O231),0)</f>
        <v>0</v>
      </c>
      <c r="BK231" s="198">
        <f>IF($K231=BK$3,IF($C231="X",0,$O231),0)</f>
        <v>0</v>
      </c>
      <c r="BL231" s="198">
        <f>IF($K231=BL$3,IF($C231="X",0,$O231),0)</f>
        <v>0</v>
      </c>
      <c r="BM231" s="200">
        <f>IF($K231=BM$3,IF($C231="X",0,$O231),0)</f>
        <v>0</v>
      </c>
      <c r="BN231" s="201">
        <f>IF($K231=BN$3,IF($C231="X",0,$O231),0)</f>
        <v>0</v>
      </c>
      <c r="BO231" s="201">
        <f>IF($K231=BO$3,IF($C231="X",0,$O231),0)</f>
        <v>0</v>
      </c>
      <c r="BP231" s="201">
        <f>IF($K231=BP$3,IF($C231="X",0,$O231),0)</f>
        <v>0</v>
      </c>
      <c r="BQ231" s="202">
        <f>IF($K231=BQ$3,IF($C231="X",0,$O231),0)</f>
        <v>0</v>
      </c>
      <c r="BR231" s="199">
        <f>IF($K231=BR$3,IF($C231="X",0,$O231),0)</f>
        <v>0</v>
      </c>
      <c r="BS231" s="228"/>
      <c r="BT231" s="229"/>
      <c r="BU231" s="140"/>
      <c r="BV231" s="229"/>
      <c r="BW231" s="140"/>
      <c r="BX231" s="140"/>
      <c r="BY231" s="140"/>
      <c r="BZ231" s="229"/>
      <c r="CA231" s="140"/>
      <c r="CB231" s="140"/>
      <c r="CC231" s="140"/>
      <c r="CD231" s="141"/>
      <c r="CE231" s="142"/>
      <c r="CF231" s="230">
        <f>IF(CF$3=$K231,IF($C231="W",1,IF($C231="1/2W",0.5,0)),0)</f>
        <v>0</v>
      </c>
      <c r="CG231" s="231">
        <f>IF(CF$3=$K231,IF($C231="L",1,IF($C231="1/2L",0.5,0)),0)</f>
        <v>0</v>
      </c>
      <c r="CH231" s="231">
        <f>IF(CH$3=$K231,IF($C231="W",1,IF($C231="1/2W",0.5,0)),0)</f>
        <v>0</v>
      </c>
      <c r="CI231" s="231">
        <f>IF(CH$3=$K231,IF($C231="L",1,IF($C231="1/2L",0.5,0)),0)</f>
        <v>0</v>
      </c>
      <c r="CJ231" s="231">
        <f>IF(CJ$3=$K231,IF($C231="W",1,IF($C231="1/2W",0.5,0)),0)</f>
        <v>0</v>
      </c>
      <c r="CK231" s="231">
        <f>IF(CJ$3=$K231,IF($C231="L",1,IF($C231="1/2L",0.5,0)),0)</f>
        <v>0</v>
      </c>
      <c r="CL231" s="231">
        <f>IF(CL$3=$K231,IF($C231="W",1,IF($C231="1/2W",0.5,0)),0)</f>
        <v>0</v>
      </c>
      <c r="CM231" s="231">
        <f>IF(CL$3=$K231,IF($C231="L",1,IF($C231="1/2L",0.5,0)),0)</f>
        <v>0</v>
      </c>
      <c r="CN231" s="231">
        <f>IF(CN$3=$K231,IF($C231="W",1,IF($C231="1/2W",0.5,0)),0)</f>
        <v>0</v>
      </c>
      <c r="CO231" s="231">
        <f>IF(CN$3=$K231,IF($C231="L",1,IF($C231="1/2L",0.5,0)),0)</f>
        <v>0</v>
      </c>
      <c r="CP231" s="231">
        <f>IF(CP$3=$K231,IF($C231="W",1,IF($C231="1/2W",0.5,0)),0)</f>
        <v>0</v>
      </c>
      <c r="CQ231" s="231">
        <f>IF(CP$3=$K231,IF($C231="L",1,IF($C231="1/2L",0.5,0)),0)</f>
        <v>0</v>
      </c>
      <c r="CR231" s="231">
        <f>IF(CR$3=$K231,IF($C231="W",1,IF($C231="1/2W",0.5,0)),0)</f>
        <v>0</v>
      </c>
      <c r="CS231" s="231">
        <f>IF(CR$3=$K231,IF($C231="L",1,IF($C231="1/2L",0.5,0)),0)</f>
        <v>0</v>
      </c>
      <c r="CT231" s="208">
        <f>IF(CT$3=$K231,IF($C231="W",1,IF($C231="1/2W",0.5,0)),0)</f>
        <v>0</v>
      </c>
      <c r="CU231" s="209">
        <f>IF(CT$3=$K231,IF($C231="L",1,IF($C231="1/2L",0.5,0)),0)</f>
        <v>0</v>
      </c>
      <c r="CV231" s="209">
        <f>IF(CV$3=$K231,IF($C231="W",1,IF($C231="1/2W",0.5,0)),0)</f>
        <v>0</v>
      </c>
      <c r="CW231" s="209">
        <f>IF(CV$3=$K231,IF($C231="L",1,IF($C231="1/2L",0.5,0)),0)</f>
        <v>0</v>
      </c>
      <c r="CX231" s="209">
        <f>IF(CX$3=$K231,IF($C231="W",1,IF($C231="1/2W",0.5,0)),0)</f>
        <v>0</v>
      </c>
      <c r="CY231" s="209">
        <f>IF(CX$3=$K231,IF($C231="L",1,IF($C231="1/2L",0.5,0)),0)</f>
        <v>0</v>
      </c>
      <c r="CZ231" s="209">
        <f>IF(CZ$3=$K231,IF($C231="W",1,IF($C231="1/2W",0.5,0)),0)</f>
        <v>0</v>
      </c>
      <c r="DA231" s="209">
        <f>IF(CZ$3=$K231,IF($C231="L",1,IF($C231="1/2L",0.5,0)),0)</f>
        <v>0</v>
      </c>
      <c r="DB231" s="209">
        <f>IF(DB$3=$K231,IF($C231="W",1,IF($C231="1/2W",0.5,0)),0)</f>
        <v>0</v>
      </c>
      <c r="DC231" s="209">
        <f>IF(DB$3=$K231,IF($C231="L",1,IF($C231="1/2L",0.5,0)),0)</f>
        <v>0</v>
      </c>
      <c r="DD231" s="209">
        <f>IF(DD$3=$K231,IF($C231="W",1,IF($C231="1/2W",0.5,0)),0)</f>
        <v>0</v>
      </c>
      <c r="DE231" s="210">
        <f>IF(DD$3=$K231,IF($C231="L",1,IF($C231="1/2L",0.5,0)),0)</f>
        <v>0</v>
      </c>
      <c r="DF231" s="211">
        <f>IF(AND(L231&lt;DF$3,$C231="W"),1+DF230,DF230)</f>
        <v>8</v>
      </c>
      <c r="DG231" s="198">
        <f>IF(DF231&gt;DF230,L231+DG230,DG230)</f>
        <v>10.598</v>
      </c>
      <c r="DH231" s="209">
        <f>IF(AND(L231&gt;DH$3,$C231="W"),1+DH230,0+DH230)</f>
        <v>3</v>
      </c>
      <c r="DI231" s="198">
        <f>IF(DH231&gt;DH230,L231+DI230,DI230)</f>
        <v>15.98</v>
      </c>
      <c r="DJ231" t="s" s="306">
        <f>IF($D229="","",$D229)</f>
        <v>229</v>
      </c>
      <c r="DK231" s="232"/>
    </row>
    <row r="232" ht="14.55" customHeight="1">
      <c r="A232" s="246">
        <f>$A229+1</f>
        <v>77</v>
      </c>
      <c r="B232" t="s" s="247">
        <f>IF(AND(_xlfn.XLOOKUP(H232,H94:H$94,G94:G$94,0)=G232,_xlfn.XLOOKUP("TempoBet",K232:K234,L232:L234,0)&gt;0),"X",IF(OR(C232="W",C233="W",C234="W",C232="1/2W",C233="1/2W",C234="1/2W",C232="1/2L",C233="1/2L",C234="1/2L"),"OK",IF(OR(C232="L",C233="L",C234="L"),"LOSS",IF(OR(C232="X",C233="X",C234="X"),"Anulado"," "))))</f>
        <v>50</v>
      </c>
      <c r="C232" t="s" s="248">
        <v>56</v>
      </c>
      <c r="D232" t="s" s="303">
        <f>IF(G232="","",$D229)</f>
        <v>229</v>
      </c>
      <c r="E232" t="s" s="250">
        <v>106</v>
      </c>
      <c r="F232" t="s" s="251"/>
      <c r="G232" s="252">
        <v>44946.645833333336</v>
      </c>
      <c r="H232" t="s" s="253">
        <v>233</v>
      </c>
      <c r="I232" s="292">
        <v>2</v>
      </c>
      <c r="J232" s="293"/>
      <c r="K232" t="s" s="256">
        <v>37</v>
      </c>
      <c r="L232" s="257">
        <v>2.1</v>
      </c>
      <c r="M232" s="258"/>
      <c r="N232" s="259">
        <v>0.1</v>
      </c>
      <c r="O232" s="260">
        <f>IF(OR(AE232="",AE233=""),"",ROUND(IF(L234&gt;0,IF(M232&gt;0,M232,IF(M233&gt;0,ROUND((M233*AE232)/AE233,IF(N232=0,2,IF(N232=0.1,1,0))),ROUND((M234*AE232)/AE234,IF(N232=0,2,IF(N232=0.1,1,0))))),IF(M232&gt;0,M232,ROUND((M233*AE232)/AE233,IF(N232=0,2,IF(N232=0.1,1,0))))),2))</f>
        <v>29.5</v>
      </c>
      <c r="P232" s="261">
        <f>IF(OR(L232="",O232=""),"",IF($C232="1/2W",O232/2+O232/2*L232,IF($C232="1/2L",O232/2,IF(I232="Lay",(O232*(L232/(L232-1))-O232)*(1-_xlfn.XLOOKUP(K232,'Janeiro 2023 - Valor Real'!A3:A15,'Janeiro 2023 - Valor Real'!C3:C15,0))+O232,(O232*L232-O232)*(1-_xlfn.XLOOKUP(K232,'Janeiro 2023 - Valor Real'!A3:A15,'Janeiro 2023 - Valor Real'!C3:C15,0))+O232))))</f>
        <v>61.95</v>
      </c>
      <c r="Q232" s="262">
        <f>IF(K232="","",IF(_xlfn.XLOOKUP(K232,K94:K$94,DJ94:DJ$94,0,,-1)=DJ232,_xlfn.XLOOKUP(K232,K94:K$94,Q94:Q$94,1,,-1)+1,1))</f>
        <v>1</v>
      </c>
      <c r="R232" s="263">
        <f>IF(K232="","",_xlfn.XLOOKUP(K232,K94:K$94,R94:R$94,0,,-1)+IF($C232=" ",1,0))</f>
        <v>0</v>
      </c>
      <c r="S232" s="264">
        <f>IF($B232="Anulado",0,ROUND(IF(OR($B232="LOSS",$B232="OK"),IF(OR($C232="W",$C232="1/2W",$C232="1/2L"),P232-O232,IF($C232="L",-O232,0))+IF(OR($C233="W",$C233="1/2W",$C233="1/2L"),P233-O233,IF($C233="L",-O233,0))+IF(OR($C234="W",$C234="1/2W",$C234="1/2L"),P234-O234,IF($C234="L",-O234,0)),IF(AND(OR($C232="W",$C232="1/2W",$C232="1/2L"),C233="W"),P232+P233-SUM(O232:O234)+_xlfn.XLOOKUP("X",C232:C234,O232:O234,0),IF(AND(C232=TRUE,C234="W"),P232+P234-SUM(O232:O234),IF(AND(C233="W",C234="W"),P233+P234-SUM(O232:O234)+_xlfn.XLOOKUP("X",C232:C234,O232:O234,0),IF(L234&gt;0,IF(OR($C232="W",$C232="1/2W",$C232="1/2L"),P232-SUM(O232:O234)+_xlfn.XLOOKUP("X",C232:C234,O232:O234,0),IF(OR($C232="W",$C232="1/2W",$C232="1/2L"),P233-SUM(O232:O234)+_xlfn.XLOOKUP("X",C232:C234,O232:O234,0),IF(OR($C232="W",$C232="1/2W",$C232="1/2L"),P234-SUM(O232:O234)+_xlfn.XLOOKUP("X",C232:C234,O232:O234,0),IF(SUM(P232:P234)/3-SUM(O232:O234)+_xlfn.XLOOKUP("X",C232:C234,O232:O234,0)&gt;0,SUM(P232:P234)/3-SUM(O232:O234)+_xlfn.XLOOKUP("X",C232:C234,O232:O234,0),LARGE(P232:P234,1)-SUM(O232:O234))))),IF(OR($C232="W",$C232="1/2W",$C232="1/2L"),P232-SUM(O232:O233)+_xlfn.XLOOKUP("X",C232:C234,O232:O234,0),IF(OR($C232="W",$C232="1/2W",$C232="1/2L"),P233-SUM(O232:O233)+_xlfn.XLOOKUP("X",C232:C234,O232:O234,0),SUM(P232:P233)/2-SUM(O232:O233)+_xlfn.XLOOKUP("X",C232:C234,O232:O234,0)))))))),2))</f>
        <v>0.3</v>
      </c>
      <c r="T232" s="265">
        <f>IF(S232=0,0,S232/SUM(O232:O234))</f>
        <v>0.0048661800486618</v>
      </c>
      <c r="U232" s="266">
        <f>IF($D232=$D229,IF(OR($B232="LOSS",$B232="OK",$B232="Anulada"),S232,0)+U229,IF(OR($B232="LOSS",$B232="OK",$B232="Anulada"),S232,0))</f>
        <v>1.27</v>
      </c>
      <c r="V232" s="266">
        <f>IF($D232="",0,IF($D232=$D229,IF($B232=" ",IF(I234="",IF(OR(AND(I232="DNB1",I233="DNB2"),AND(OR(I232="DNB1",I232="DNB2"),J233=0),AND(OR(I233="DNB1",I233="DNB2"),J232=0),AND(I232="DNB2",I233="DNB1"),AND(IF(J232=0,(J232+1)/ROUND(J232+1,0),J232/ROUND(J232,0))=1,IF(J233=0,(J233+1)/ROUND(IF(J233="",0,J233)+1,0),IF(J233="",0,J233)/ROUND(IF(J233="",1,J233),0))=1,OR(J232&lt;&gt;""),J233&lt;&gt;"")),0,IF(S232&lt;0,IF(I234="",SMALL(P232:P233,1)-SUM(O232:O233),0),SMALL(P232:P233,1)-SUM(O232:O233))),IF(S232&lt;0,IF(I234="",SMALL(P232:P234,1)-SUM(O232:O234),0),LARGE(P232:P234,1)-SUM(O232:O234))),S232)+V229,IF(I234="",IF(OR(AND(I232="DNB1",I233="DNB2"),AND(OR(I232="DNB1",I232="DNB2"),J233=0),AND(OR(I233="DNB1",I233="DNB2"),J232=0),AND(I232="DNB2",I233="DNB1"),AND(IF(J232=0,(J232+1)/ROUND(J232+1,0),J232/ROUND(J232,0))=1,IF(J233=0,(IF(J233="",0,J233)+1)/ROUND(IF(J233="",0,J233)+1,0),IF(J233="",0,J233)/ROUND(IF(J233="",0,J233)+1,0))=1,OR(J232&lt;&gt;""),J233&lt;&gt;"")),0,IF(S232&lt;0,IF(I234="",SMALL(P232:P233,1)-SUM(O232:O233),0),SMALL(P232:P234,1)-SUM(O232:O234))),IF(S232&lt;0,IF(I234="",SMALL(P232:P234,1)-SUM(O232:O234),0),LARGE(P232:P234,1)-SUM(O232:O234)))))</f>
        <v>1.266</v>
      </c>
      <c r="W232" s="266">
        <f>IF($D232=$D229,IF(S232&lt;0,IF(I234="",S232,0),S232)+W229,S232)</f>
        <v>1.27</v>
      </c>
      <c r="X232" t="s" s="267">
        <f>IF(OR(SUM(R232:R234)=0,V232=W232),ROUND(IF(W232=0,0,W232/Y232)*100,2)&amp;"%",ROUND(IF(V232=0,0,V232/Y232)*100,2)&amp;"% a "&amp;ROUND(IF(W232=0,0,W232/Y232)*100,2)&amp;"%")</f>
        <v>234</v>
      </c>
      <c r="Y232" s="268">
        <f>IF($D232=$D229,Y229+SUM(O232:O234),SUM(O232:O234))</f>
        <v>154.39</v>
      </c>
      <c r="Z232" s="266">
        <f>IF($B232=" ",SUM(O232:O234),0)+Z229</f>
        <v>0</v>
      </c>
      <c r="AA232" s="266">
        <f>IF(G232="","",IF($B232="Anulado",LARGE(P232:P234,1)-SUM(O232:O234)+AA229,AA229))</f>
        <v>16.5099</v>
      </c>
      <c r="AB232" s="266">
        <f>IF($D232="","",AB229+S232)</f>
        <v>203.44</v>
      </c>
      <c r="AC232" s="269">
        <f>IF($D232="","",IF($B232=" ",IF(DAY(G232)=DAY(TODAY()),1+AC229,0+AC229),0+AC229))</f>
        <v>0</v>
      </c>
      <c r="AD232" s="270">
        <f>(1-_xlfn.XLOOKUP(K230,'Janeiro 2023 - Valor Real'!A3:A15,'Janeiro 2023 - Valor Real'!C3:C15,0))+1</f>
        <v>2</v>
      </c>
      <c r="AE232" s="271">
        <f>IF(L232="","",IF(L234&gt;0,(SUM(((L232-1)*(1-_xlfn.XLOOKUP(K232,'Janeiro 2023 - Valor Real'!A3:A15,'Janeiro 2023 - Valor Real'!C3:C15,0))+1),((L233-1)*(1-_xlfn.XLOOKUP(K233,'Janeiro 2023 - Valor Real'!A3:A15,'Janeiro 2023 - Valor Real'!C3:C15,0))+1),((L234-1)*(1-_xlfn.XLOOKUP(K234,'Janeiro 2023 - Valor Real'!A3:A15,'Janeiro 2023 - Valor Real'!C3:C15,0))+1))/((L232-1)*(1-_xlfn.XLOOKUP(K232,'Janeiro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Real'!C3:C15,0))+1))/((L232-1)*(1-_xlfn.XLOOKUP(K232,'Janeiro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Real'!C3:C15,0))+1))/((L233-1)*(1-_xlfn.XLOOKUP(K233,'Janeiro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Real'!C3:C15,0))+1))/((L234-1)*(1-_xlfn.XLOOKUP(K234,'Janeiro 2023 - Valor Real'!A3:A15,'Janeiro 2023 - Valor Real'!C3:C15,0))+1)),IF(I232="Lay",IF(I233="Lay",((L233/(L233-1)-1)*(1-_xlfn.XLOOKUP(K233,'Janeiro 2023 - Valor Real'!A3:A15,'Janeiro 2023 - Valor Real'!C3:C15,0))+1)/(((L233/(L233-1)-1)*(1-_xlfn.XLOOKUP(K233,'Janeiro 2023 - Valor Real'!A3:A15,'Janeiro 2023 - Valor Real'!C3:C15,0))+1)+((L232/(L232-1)-1)*(1-_xlfn.XLOOKUP(K232,'Janeiro 2023 - Valor Real'!A3:A15,'Janeiro 2023 - Valor Real'!C3:C15,0))+1)),((L233-1)*(1-_xlfn.XLOOKUP(K233,'Janeiro 2023 - Valor Real'!A3:A15,'Janeiro 2023 - Valor Real'!C3:C15,0))+1)/(((L233-1)*(1-_xlfn.XLOOKUP(K233,'Janeiro 2023 - Valor Real'!A3:A15,'Janeiro 2023 - Valor Real'!C3:C15,0))+1)+((L232/(L232-1)-1)*(1-_xlfn.XLOOKUP(K232,'Janeiro 2023 - Valor Real'!A3:A15,'Janeiro 2023 - Valor Real'!C3:C15,0))+1))),IF(I233="Lay",(((L233/(L233-1)-1)*(1-_xlfn.XLOOKUP(K233,'Janeiro 2023 - Valor Real'!A3:A15,'Janeiro 2023 - Valor Real'!C3:C15,0))+1))/(((L232-1)*(1-_xlfn.XLOOKUP(K232,'Janeiro 2023 - Valor Real'!A3:A15,'Janeiro 2023 - Valor Real'!C3:C15,0))+1)+((L233/(L233-1)-1)*(1-_xlfn.XLOOKUP(K233,'Janeiro 2023 - Valor Real'!A3:A15,'Janeiro 2023 - Valor Real'!C3:C15,0))+1)),((L233-1)*(1-_xlfn.XLOOKUP(K233,'Janeiro 2023 - Valor Real'!A3:A15,'Janeiro 2023 - Valor Real'!C3:C15,0))+1)/(((L233-1)*(1-_xlfn.XLOOKUP(K233,'Janeiro 2023 - Valor Real'!A3:A15,'Janeiro 2023 - Valor Real'!C3:C15,0))+1)+((L232-1)*(1-_xlfn.XLOOKUP(K232,'Janeiro 2023 - Valor Real'!A3:A15,'Janeiro 2023 - Valor Real'!C3:C15,0))+1))))))</f>
        <v>0.478260869565217</v>
      </c>
      <c r="AF232" s="132">
        <f>IF($K232=AF$3,ROUND(IF(OR($C232="W",$C232="1/2W",$C232="1/2L"),$P232-$O232,IF($C232="X",0,-$O232)),2),0)</f>
        <v>32.45</v>
      </c>
      <c r="AG232" s="133">
        <f>IF($K232=AG$3,ROUND(IF(OR($C232="W",$C232="1/2W",$C232="1/2L"),$P232-$O232,IF($C232="X",0,-$O232)),2),0)</f>
        <v>0</v>
      </c>
      <c r="AH232" s="133">
        <f>IF($K232=AH$3,ROUND(IF(OR($C232="W",$C232="1/2W",$C232="1/2L"),$P232-$O232,IF($C232="X",0,-$O232)),2),0)</f>
        <v>0</v>
      </c>
      <c r="AI232" s="133">
        <f>IF($K232=AI$3,ROUND(IF(OR($C232="W",$C232="1/2W",$C232="1/2L"),$P232-$O232,IF($C232="X",0,-$O232)),2),0)</f>
        <v>0</v>
      </c>
      <c r="AJ232" s="133">
        <f>IF($K232=AJ$3,ROUND(IF(OR($C232="W",$C232="1/2W",$C232="1/2L"),$P232-$O232,IF($C232="X",0,-$O232)),2),0)</f>
        <v>0</v>
      </c>
      <c r="AK232" s="133">
        <f>IF($K232=AK$3,ROUND(IF(OR($C232="W",$C232="1/2W",$C232="1/2L"),$P232-$O232,IF($C232="X",0,-$O232)),2),0)</f>
        <v>0</v>
      </c>
      <c r="AL232" s="133">
        <f>IF($K232=AL$3,ROUND(IF(OR($C232="W",$C232="1/2W",$C232="1/2L"),$P232-$O232,IF($C232="X",0,-$O232)),2),0)</f>
        <v>0</v>
      </c>
      <c r="AM232" s="133">
        <f>IF($K232=AM$3,ROUND(IF(OR($C232="W",$C232="1/2W",$C232="1/2L"),$P232-$O232,IF($C232="X",0,-$O232)),2),0)</f>
        <v>0</v>
      </c>
      <c r="AN232" s="133">
        <f>IF($K232=AN$3,ROUND(IF(OR($C232="W",$C232="1/2W",$C232="1/2L"),$P232-$O232,IF($C232="X",0,-$O232)),2),0)</f>
        <v>0</v>
      </c>
      <c r="AO232" s="133">
        <f>IF($K232=AO$3,ROUND(IF(OR($C232="W",$C232="1/2W",$C232="1/2L"),$P232-$O232,IF($C232="X",0,-$O232)),2),0)</f>
        <v>0</v>
      </c>
      <c r="AP232" s="133">
        <f>IF($K232=AP$3,ROUND(IF(OR($C232="W",$C232="1/2W",$C232="1/2L"),$P232-$O232,IF($C232="X",0,-$O232)),2),0)</f>
        <v>0</v>
      </c>
      <c r="AQ232" s="133">
        <f>IF($K232=AQ$3,ROUND(IF(OR($C232="W",$C232="1/2W",$C232="1/2L"),$P232-$O232,IF($C232="X",0,-$O232)),2),0)</f>
        <v>0</v>
      </c>
      <c r="AR232" s="134">
        <f>IF($K232=AR$3,ROUND(IF(OR($C232="W",$C232="1/2W",$C232="1/2L"),$P232-$O232,IF($C232="X",0,-$O232)),2),0)</f>
        <v>0</v>
      </c>
      <c r="AS232" s="132">
        <f>IF(AND($B232=" ",$K232=AS$3),$O232,0)</f>
        <v>0</v>
      </c>
      <c r="AT232" s="133">
        <f>IF(AND($B232=" ",$K232=AT$3),$O232,0)</f>
        <v>0</v>
      </c>
      <c r="AU232" s="133">
        <f>IF(AND($B232=" ",$K232=AU$3),$O232,0)</f>
        <v>0</v>
      </c>
      <c r="AV232" s="133">
        <f>IF(AND($B232=" ",$K232=AV$3),$O232,0)</f>
        <v>0</v>
      </c>
      <c r="AW232" s="133">
        <f>IF(AND($B232=" ",$K232=AW$3),$O232,0)</f>
        <v>0</v>
      </c>
      <c r="AX232" s="133">
        <f>IF(AND($B232=" ",$K232=AX$3),$O232,0)</f>
        <v>0</v>
      </c>
      <c r="AY232" s="135">
        <f>IF(AND($B232=" ",$K232=AY$3),$O232,0)</f>
        <v>0</v>
      </c>
      <c r="AZ232" s="136">
        <f>IF(AND($B232=" ",$K232=AZ$3),$O232,0)</f>
        <v>0</v>
      </c>
      <c r="BA232" s="136">
        <f>IF(AND($B232=" ",$K232=BA$3),$O232,0)</f>
        <v>0</v>
      </c>
      <c r="BB232" s="136">
        <f>IF(AND($B232=" ",$K232=BB$3),$O232,0)</f>
        <v>0</v>
      </c>
      <c r="BC232" s="137">
        <f>IF(AND($B232=" ",$K232=BC$3),$O232,0)</f>
        <v>0</v>
      </c>
      <c r="BD232" s="133">
        <f>IF(AND($B232=" ",$K232=BD$3),$O232,0)</f>
        <v>0</v>
      </c>
      <c r="BE232" s="134">
        <f>IF(AND($B232=" ",$K232=BE$3),$O232,0)</f>
        <v>0</v>
      </c>
      <c r="BF232" s="132">
        <f>IF($K232=BF$3,IF($C232="X",0,$O232),0)</f>
        <v>29.5</v>
      </c>
      <c r="BG232" s="133">
        <f>IF($K232=BG$3,IF($C232="X",0,$O232),0)</f>
        <v>0</v>
      </c>
      <c r="BH232" s="133">
        <f>IF($K232=BH$3,IF($C232="X",0,$O232),0)</f>
        <v>0</v>
      </c>
      <c r="BI232" s="133">
        <f>IF($K232=BI$3,IF($C232="X",0,$O232),0)</f>
        <v>0</v>
      </c>
      <c r="BJ232" s="133">
        <f>IF($K232=BJ$3,IF($C232="X",0,$O232),0)</f>
        <v>0</v>
      </c>
      <c r="BK232" s="133">
        <f>IF($K232=BK$3,IF($C232="X",0,$O232),0)</f>
        <v>0</v>
      </c>
      <c r="BL232" s="133">
        <f>IF($K232=BL$3,IF($C232="X",0,$O232),0)</f>
        <v>0</v>
      </c>
      <c r="BM232" s="135">
        <f>IF($K232=BM$3,IF($C232="X",0,$O232),0)</f>
        <v>0</v>
      </c>
      <c r="BN232" s="136">
        <f>IF($K232=BN$3,IF($C232="X",0,$O232),0)</f>
        <v>0</v>
      </c>
      <c r="BO232" s="136">
        <f>IF($K232=BO$3,IF($C232="X",0,$O232),0)</f>
        <v>0</v>
      </c>
      <c r="BP232" s="136">
        <f>IF($K232=BP$3,IF($C232="X",0,$O232),0)</f>
        <v>0</v>
      </c>
      <c r="BQ232" s="137">
        <f>IF($K232=BQ$3,IF($C232="X",0,$O232),0)</f>
        <v>0</v>
      </c>
      <c r="BR232" s="134">
        <f>IF($K232=BR$3,IF($C232="X",0,$O232),0)</f>
        <v>0</v>
      </c>
      <c r="BS232" s="170">
        <f>IF($B232="LOSS",IF(AND($K232=BS$3,$C232="L"),-$O232,0)+IF(AND($K233=BS$3,$C233="L"),-$O233,0)+IF(AND($K234=BS$3,$C234="L"),-$O234,0),IF(OR(AND($K232=BS$3,OR($C232="W",$C232="1/2W")),AND($K233=BS$3,OR($C233="W",$C233="1/2W")),AND($K234=BS$3,OR($C234="W",$C234="1/2W"))),$S232,0))</f>
        <v>0.3</v>
      </c>
      <c r="BT232" s="272">
        <f>IF($B232="LOSS",IF(AND($K232=BT$3,$C232="L"),-$O232,0)+IF(AND($K233=BT$3,$C233="L"),-$O233,0)+IF(AND($K233=BT$3,$C234="L"),-$O234,0),IF(OR(AND($K233=BT$3,OR($C232="W",$C232="1/2W")),AND($K233=BT$3,OR($C233="W",$C233="1/2W")),AND($K233=BT$3,OR($C234="W",$C234="1/2W"))),$S232,0))</f>
        <v>0</v>
      </c>
      <c r="BU232" s="136">
        <f>IF($B232="LOSS",IF(AND($K232=BU$3,$C232="L"),-$O232,0)+IF(AND($K233=BU$3,$C233="L"),-$O233,0)+IF(AND($K233=BU$3,$C234="L"),-$O234,0),IF(OR(AND($K233=BU$3,OR($C232="W",$C232="1/2W")),AND($K233=BU$3,OR($C233="W",$C233="1/2W")),AND($K233=BU$3,OR($C234="W",$C234="1/2W"))),$S232,0))</f>
        <v>0</v>
      </c>
      <c r="BV232" s="136">
        <f>IF($B232="LOSS",IF(AND($K232=BV$3,$C232="L"),-$O232,0)+IF(AND($K233=BV$3,$C233="L"),-$O233,0)+IF(AND($K234=BV$3,$C234="L"),-$O234,0),IF(OR(AND($K232=BV$3,OR($C232="W",$C232="1/2W")),AND($K233=BV$3,OR($C233="W",$C233="1/2W")),AND($K234=BV$3,OR($C234="W",$C234="1/2W"))),$S232,0))</f>
        <v>0</v>
      </c>
      <c r="BW232" s="136">
        <f>IF($B232="LOSS",IF(AND($K232=BW$3,$C232="L"),-$O232,0)+IF(AND($K233=BW$3,$C233="L"),-$O233,0)+IF(AND($K234=BW$3,$C234="L"),-$O234,0),IF(OR(AND($K232=BW$3,OR($C232="W",$C232="1/2W")),AND($K233=BW$3,OR($C233="W",$C233="1/2W")),AND($K234=BW$3,OR($C234="W",$C234="1/2W"))),$S232,0))</f>
        <v>0</v>
      </c>
      <c r="BX232" s="136">
        <f>IF($B232="LOSS",IF(AND($K232=BX$3,$C232="L"),-$O232,0)+IF(AND($K233=BX$3,$C233="L"),-$O233,0)+IF(AND($K234=BX$3,$C234="L"),-$O234,0),IF(OR(AND($K232=BX$3,OR($C232="W",$C232="1/2W")),AND($K233=BX$3,OR($C233="W",$C233="1/2W")),AND($K234=BX$3,OR($C234="W",$C234="1/2W"))),$S232,0))</f>
        <v>0</v>
      </c>
      <c r="BY232" s="136">
        <f>IF($B232="LOSS",IF(AND($K232=BY$3,$C232="L"),-$O232,0)+IF(AND($K233=BY$3,$C233="L"),-$O233,0)+IF(AND($K234=BY$3,$C234="L"),-$O234,0),IF(OR(AND($K232=BY$3,OR($C232="W",$C232="1/2W")),AND($K233=BY$3,OR($C233="W",$C233="1/2W")),AND($K234=BY$3,OR($C234="W",$C234="1/2W"))),$S232,0))</f>
        <v>0</v>
      </c>
      <c r="BZ232" s="136">
        <f>IF($B232="LOSS",IF(AND($K232=BZ$3,$C232="L"),-$O232,0)+IF(AND($K233=BZ$3,$C233="L"),-$O233,0)+IF(AND($K234=BZ$3,$C234="L"),-$O234,0),IF(OR(AND($K232=BZ$3,OR($C232="W",$C232="1/2W")),AND($K233=BZ$3,OR($C233="W",$C233="1/2W")),AND($K234=BZ$3,OR($C234="W",$C234="1/2W"))),$S232,0))</f>
        <v>0</v>
      </c>
      <c r="CA232" s="136">
        <f>IF($B232="LOSS",IF(AND($K232=CA$3,$C232="L"),-$O232,0)+IF(AND($K233=CA$3,$C233="L"),-$O233,0)+IF(AND($K234=CA$3,$C234="L"),-$O234,0),IF(OR(AND($K232=CA$3,OR($C232="W",$C232="1/2W")),AND($K233=CA$3,OR($C233="W",$C233="1/2W")),AND($K234=CA$3,OR($C234="W",$C234="1/2W"))),$S232,0))</f>
        <v>0</v>
      </c>
      <c r="CB232" s="136">
        <f>IF($B232="LOSS",IF(AND($K232=CB$3,$C232="L"),-$O232,0)+IF(AND($K233=CB$3,$C233="L"),-$O233,0)+IF(AND($K234=CB$3,$C234="L"),-$O234,0),IF(OR(AND($K232=CB$3,OR($C232="W",$C232="1/2W")),AND($K233=CB$3,OR($C233="W",$C233="1/2W")),AND($K234=CB$3,OR($C234="W",$C234="1/2W"))),$S232,0))</f>
        <v>0</v>
      </c>
      <c r="CC232" s="136">
        <f>IF($B232="LOSS",IF(AND($K232=CC$3,$C232="L"),-$O232,0)+IF(AND($K233=CC$3,$C233="L"),-$O233,0)+IF(AND($K234=CC$3,$C234="L"),-$O234,0),IF(OR(AND($K232=CC$3,OR($C232="W",$C232="1/2W")),AND($K233=CC$3,OR($C233="W",$C233="1/2W")),AND($K234=CC$3,OR($C234="W",$C234="1/2W"))),$S232,0))</f>
        <v>0</v>
      </c>
      <c r="CD232" s="137">
        <f>IF($B232="LOSS",IF(AND($K232=CD$3,$C232="L"),-$O232,0)+IF(AND($K233=CD$3,$C233="L"),-$O233,0)+IF(AND($K234=CD$3,$C234="L"),-$O234,0),IF(OR(AND($K232=CD$3,OR($C232="W",$C232="1/2W")),AND($K233=CD$3,OR($C233="W",$C233="1/2W")),AND($K234=CD$3,OR($C234="W",$C234="1/2W"))),$S232,0))</f>
        <v>0</v>
      </c>
      <c r="CE232" s="134">
        <f>IF($B232="LOSS",IF(AND($K232=CE$3,$C232="L"),-$O232,0)+IF(AND($K233=CE$3,$C233="L"),-$O233,0)+IF(AND($K234=CE$3,$C234="L"),-$O234,0),IF(OR(AND($K232=CE$3,OR($C232="W",$C232="1/2W")),AND($K233=CE$3,OR($C233="W",$C233="1/2W")),AND($K234=CE$3,OR($C234="W",$C234="1/2W"))),$S232,0))</f>
        <v>0</v>
      </c>
      <c r="CF232" s="273">
        <f>IF(CF$3=$K232,IF($C232="W",1,IF($C232="1/2W",0.5,0)),0)</f>
        <v>1</v>
      </c>
      <c r="CG232" s="274">
        <f>IF(CF$3=$K232,IF($C232="L",1,IF($C232="1/2L",0.5,0)),0)</f>
        <v>0</v>
      </c>
      <c r="CH232" s="274">
        <f>IF(CH$3=$K232,IF($C232="W",1,IF($C232="1/2W",0.5,0)),0)</f>
        <v>0</v>
      </c>
      <c r="CI232" s="274">
        <f>IF(CH$3=$K232,IF($C232="L",1,IF($C232="1/2L",0.5,0)),0)</f>
        <v>0</v>
      </c>
      <c r="CJ232" s="274">
        <f>IF(CJ$3=$K232,IF($C232="W",1,IF($C232="1/2W",0.5,0)),0)</f>
        <v>0</v>
      </c>
      <c r="CK232" s="274">
        <f>IF(CJ$3=$K232,IF($C232="L",1,IF($C232="1/2L",0.5,0)),0)</f>
        <v>0</v>
      </c>
      <c r="CL232" s="274">
        <f>IF(CL$3=$K232,IF($C232="W",1,IF($C232="1/2W",0.5,0)),0)</f>
        <v>0</v>
      </c>
      <c r="CM232" s="274">
        <f>IF(CL$3=$K232,IF($C232="L",1,IF($C232="1/2L",0.5,0)),0)</f>
        <v>0</v>
      </c>
      <c r="CN232" s="274">
        <f>IF(CN$3=$K232,IF($C232="W",1,IF($C232="1/2W",0.5,0)),0)</f>
        <v>0</v>
      </c>
      <c r="CO232" s="274">
        <f>IF(CN$3=$K232,IF($C232="L",1,IF($C232="1/2L",0.5,0)),0)</f>
        <v>0</v>
      </c>
      <c r="CP232" s="274">
        <f>IF(CP$3=$K232,IF($C232="W",1,IF($C232="1/2W",0.5,0)),0)</f>
        <v>0</v>
      </c>
      <c r="CQ232" s="274">
        <f>IF(CP$3=$K232,IF($C232="L",1,IF($C232="1/2L",0.5,0)),0)</f>
        <v>0</v>
      </c>
      <c r="CR232" s="274">
        <f>IF(CR$3=$K232,IF($C232="W",1,IF($C232="1/2W",0.5,0)),0)</f>
        <v>0</v>
      </c>
      <c r="CS232" s="274">
        <f>IF(CR$3=$K232,IF($C232="L",1,IF($C232="1/2L",0.5,0)),0)</f>
        <v>0</v>
      </c>
      <c r="CT232" s="145">
        <f>IF(CT$3=$K232,IF($C232="W",1,IF($C232="1/2W",0.5,0)),0)</f>
        <v>0</v>
      </c>
      <c r="CU232" s="146">
        <f>IF(CT$3=$K232,IF($C232="L",1,IF($C232="1/2L",0.5,0)),0)</f>
        <v>0</v>
      </c>
      <c r="CV232" s="146">
        <f>IF(CV$3=$K232,IF($C232="W",1,IF($C232="1/2W",0.5,0)),0)</f>
        <v>0</v>
      </c>
      <c r="CW232" s="146">
        <f>IF(CV$3=$K232,IF($C232="L",1,IF($C232="1/2L",0.5,0)),0)</f>
        <v>0</v>
      </c>
      <c r="CX232" s="146">
        <f>IF(CX$3=$K232,IF($C232="W",1,IF($C232="1/2W",0.5,0)),0)</f>
        <v>0</v>
      </c>
      <c r="CY232" s="146">
        <f>IF(CX$3=$K232,IF($C232="L",1,IF($C232="1/2L",0.5,0)),0)</f>
        <v>0</v>
      </c>
      <c r="CZ232" s="146">
        <f>IF(CZ$3=$K232,IF($C232="W",1,IF($C232="1/2W",0.5,0)),0)</f>
        <v>0</v>
      </c>
      <c r="DA232" s="146">
        <f>IF(CZ$3=$K232,IF($C232="L",1,IF($C232="1/2L",0.5,0)),0)</f>
        <v>0</v>
      </c>
      <c r="DB232" s="146">
        <f>IF(DB$3=$K232,IF($C232="W",1,IF($C232="1/2W",0.5,0)),0)</f>
        <v>0</v>
      </c>
      <c r="DC232" s="146">
        <f>IF(DB$3=$K232,IF($C232="L",1,IF($C232="1/2L",0.5,0)),0)</f>
        <v>0</v>
      </c>
      <c r="DD232" s="146">
        <f>IF(DD$3=$K232,IF($C232="W",1,IF($C232="1/2W",0.5,0)),0)</f>
        <v>0</v>
      </c>
      <c r="DE232" s="147">
        <f>IF(DD$3=$K232,IF($C232="L",1,IF($C232="1/2L",0.5,0)),0)</f>
        <v>0</v>
      </c>
      <c r="DF232" s="143">
        <f>IF(AND(L232&lt;DF$3,$C232="W"),1+DF231,DF231)</f>
        <v>8</v>
      </c>
      <c r="DG232" s="133">
        <f>IF(DF232&gt;DF231,L232+DG231,DG231)</f>
        <v>10.598</v>
      </c>
      <c r="DH232" s="146">
        <f>IF(AND(L232&gt;DH$3,$C232="W"),1+DH231,0+DH231)</f>
        <v>3</v>
      </c>
      <c r="DI232" s="133">
        <f>IF(DH232&gt;DH231,L232+DI231,DI231)</f>
        <v>15.98</v>
      </c>
      <c r="DJ232" t="s" s="304">
        <f>IF($D232="","",$D232)</f>
        <v>229</v>
      </c>
      <c r="DK232" s="146">
        <f>IF(AND($B232=" ",$D232&lt;&gt;""),1,0)</f>
        <v>0</v>
      </c>
    </row>
    <row r="233" ht="14.55" customHeight="1">
      <c r="A233" s="107"/>
      <c r="B233" s="108"/>
      <c r="C233" t="s" s="109">
        <v>51</v>
      </c>
      <c r="D233" s="110"/>
      <c r="E233" s="111"/>
      <c r="F233" s="113"/>
      <c r="G233" s="252"/>
      <c r="H233" s="114"/>
      <c r="I233" t="s" s="275">
        <v>54</v>
      </c>
      <c r="J233" s="276">
        <v>0.5</v>
      </c>
      <c r="K233" t="s" s="117">
        <v>44</v>
      </c>
      <c r="L233" s="277">
        <v>1.925</v>
      </c>
      <c r="M233" s="278">
        <v>32.15</v>
      </c>
      <c r="N233" s="120"/>
      <c r="O233" s="121">
        <f>IF(OR(AE232="",AE233=""),"",ROUND(IF(L234&gt;0,IF(M233&gt;0,M233,IF(M232&gt;0,IF(N232=TRUE,ROUND((M232*AE233)/AE232,0),(M232*AE233)/AE232),IF(M233&gt;0,ROUND(M233,IF(N232=0,2,IF(N232=0.1,1,0))),IF(M234&gt;0,ROUND(O234*AE233/AE234,IF(N232=0,2,IF(N232=0.1,1,0))),0)))),IF(M233&gt;0,M233,ROUND((M232*AE233)/AE232,IF(N232=0,2,IF(N232=0.1,1,0))))),2))</f>
        <v>32.15</v>
      </c>
      <c r="P233" s="122">
        <f>IF(OR(L233="",O233=""),"",IF($C233="1/2W",O233/2+O233/2*L233,IF($C233="1/2L",O233/2,IF(I233="Lay",((O233*(L233/(L233-1)))-O233)*(1-_xlfn.XLOOKUP(K233,'Janeiro 2023 - Valor Real'!A3:A15,'Janeiro 2023 - Valor Real'!C3:C15,0))+O233,(O233*L233-O233)*(1-_xlfn.XLOOKUP(K233,'Janeiro 2023 - Valor Real'!A3:A15,'Janeiro 2023 - Valor Real'!C3:C15,0))+O233))))</f>
        <v>61.88875</v>
      </c>
      <c r="Q233" s="279">
        <f>IF(K233="","",IF(_xlfn.XLOOKUP(K233,K95:K$95,DJ95:DJ$95,0,,-1)=DJ233,_xlfn.XLOOKUP(K233,K95:K$95,Q95:Q$95,1,,-1)+1,1))</f>
        <v>1</v>
      </c>
      <c r="R233" s="280">
        <f>IF(K233="","",_xlfn.XLOOKUP(K233,K95:K$95,R95:R$95,0,,-1)+IF($C233=" ",1,0))</f>
        <v>0</v>
      </c>
      <c r="S233" s="125"/>
      <c r="T233" s="126"/>
      <c r="U233" s="126"/>
      <c r="V233" s="224"/>
      <c r="W233" s="126"/>
      <c r="X233" s="127"/>
      <c r="Y233" s="128"/>
      <c r="Z233" s="129"/>
      <c r="AA233" s="129"/>
      <c r="AB233" s="129"/>
      <c r="AC233" s="129"/>
      <c r="AD233" s="130"/>
      <c r="AE233" s="131">
        <f>IF(L233="","",IF(L234&gt;0,(SUM(((L232-1)*(1-_xlfn.XLOOKUP(K232,'Janeiro 2023 - Valor Real'!A3:A15,'Janeiro 2023 - Valor Real'!C3:C15,0))+1),((L233-1)*(1-_xlfn.XLOOKUP(K233,'Janeiro 2023 - Valor Real'!A3:A15,'Janeiro 2023 - Valor Real'!C3:C15,0))+1),((L234-1)*(1-_xlfn.XLOOKUP(K234,'Janeiro 2023 - Valor Real'!A3:A15,'Janeiro 2023 - Valor Real'!C3:C15,0))+1))/((L233-1)*(1-_xlfn.XLOOKUP(K233,'Janeiro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Real'!C3:C15,0))+1))/((L232-1)*(1-_xlfn.XLOOKUP(K232,'Janeiro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Real'!C3:C15,0))+1))/((L233-1)*(1-_xlfn.XLOOKUP(K233,'Janeiro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Real'!C3:C15,0))+1))/((L234-1)*(1-_xlfn.XLOOKUP(K234,'Janeiro 2023 - Valor Real'!A3:A15,'Janeiro 2023 - Valor Real'!C3:C15,0))+1)),IF(I233="Lay",IF(I232="Lay",((L232/(L232-1)-1)*(1-_xlfn.XLOOKUP(K232,'Janeiro 2023 - Valor Real'!A3:A15,'Janeiro 2023 - Valor Real'!C3:C15,0))+1)/(((L232/(L232-1)-1)*(1-_xlfn.XLOOKUP(K232,'Janeiro 2023 - Valor Real'!A3:A15,'Janeiro 2023 - Valor Real'!C3:C15,0))+1)+((L233/(L233-1)-1)*(1-_xlfn.XLOOKUP(K233,'Janeiro 2023 - Valor Real'!A3:A15,'Janeiro 2023 - Valor Real'!C3:C15,0))+1)),((L232-1)*(1-_xlfn.XLOOKUP(K232,'Janeiro 2023 - Valor Real'!A3:A15,'Janeiro 2023 - Valor Real'!C3:C15,0))+1)/(((L232-1)*(1-_xlfn.XLOOKUP(K232,'Janeiro 2023 - Valor Real'!A3:A15,'Janeiro 2023 - Valor Real'!C3:C15,0))+1)+((L233/(L233-1)-1)*(1-_xlfn.XLOOKUP(K233,'Janeiro 2023 - Valor Real'!A3:A15,'Janeiro 2023 - Valor Real'!C3:C15,0))+1))),IF(I232="Lay",((L232/(L232-1)-1)*(1-_xlfn.XLOOKUP(K232,'Janeiro 2023 - Valor Real'!A3:A15,'Janeiro 2023 - Valor Real'!C3:C15,0))+1)/((((L232/(L232-1)-1)*(1-_xlfn.XLOOKUP(K232,'Janeiro 2023 - Valor Real'!A3:A15,'Janeiro 2023 - Valor Real'!C3:C15,0))+1))+((L233-1)*(1-_xlfn.XLOOKUP(K233,'Janeiro 2023 - Valor Real'!A3:A15,'Janeiro 2023 - Valor Real'!C3:C15,0))+1)),((L232-1)*(1-_xlfn.XLOOKUP(K232,'Janeiro 2023 - Valor Real'!A3:A15,'Janeiro 2023 - Valor Real'!C3:C15,0))+1)/(((L232-1)*(1-_xlfn.XLOOKUP(K232,'Janeiro 2023 - Valor Real'!A3:A15,'Janeiro 2023 - Valor Real'!C3:C15,0))+1)+((L233-1)*(1-_xlfn.XLOOKUP(K233,'Janeiro 2023 - Valor Real'!A3:A15,'Janeiro 2023 - Valor Real'!C3:C15,0))+1))))))</f>
        <v>0.521739130434783</v>
      </c>
      <c r="AF233" s="132">
        <f>IF($K233=AF$3,ROUND(IF(OR($C233="W",$C233="1/2W",$C233="1/2L"),$P233-$O233,IF($C233="X",0,-$O233)),2),0)</f>
        <v>0</v>
      </c>
      <c r="AG233" s="133">
        <f>IF($K233=AG$3,ROUND(IF(OR($C233="W",$C233="1/2W",$C233="1/2L"),$P233-$O233,IF($C233="X",0,-$O233)),2),0)</f>
        <v>0</v>
      </c>
      <c r="AH233" s="133">
        <f>IF($K233=AH$3,ROUND(IF(OR($C233="W",$C233="1/2W",$C233="1/2L"),$P233-$O233,IF($C233="X",0,-$O233)),2),0)</f>
        <v>0</v>
      </c>
      <c r="AI233" s="133">
        <f>IF($K233=AI$3,ROUND(IF(OR($C233="W",$C233="1/2W",$C233="1/2L"),$P233-$O233,IF($C233="X",0,-$O233)),2),0)</f>
        <v>0</v>
      </c>
      <c r="AJ233" s="133">
        <f>IF($K233=AJ$3,ROUND(IF(OR($C233="W",$C233="1/2W",$C233="1/2L"),$P233-$O233,IF($C233="X",0,-$O233)),2),0)</f>
        <v>0</v>
      </c>
      <c r="AK233" s="133">
        <f>IF($K233=AK$3,ROUND(IF(OR($C233="W",$C233="1/2W",$C233="1/2L"),$P233-$O233,IF($C233="X",0,-$O233)),2),0)</f>
        <v>0</v>
      </c>
      <c r="AL233" s="133">
        <f>IF($K233=AL$3,ROUND(IF(OR($C233="W",$C233="1/2W",$C233="1/2L"),$P233-$O233,IF($C233="X",0,-$O233)),2),0)</f>
        <v>0</v>
      </c>
      <c r="AM233" s="133">
        <f>IF($K233=AM$3,ROUND(IF(OR($C233="W",$C233="1/2W",$C233="1/2L"),$P233-$O233,IF($C233="X",0,-$O233)),2),0)</f>
        <v>-32.15</v>
      </c>
      <c r="AN233" s="133">
        <f>IF($K233=AN$3,ROUND(IF(OR($C233="W",$C233="1/2W",$C233="1/2L"),$P233-$O233,IF($C233="X",0,-$O233)),2),0)</f>
        <v>0</v>
      </c>
      <c r="AO233" s="133">
        <f>IF($K233=AO$3,ROUND(IF(OR($C233="W",$C233="1/2W",$C233="1/2L"),$P233-$O233,IF($C233="X",0,-$O233)),2),0)</f>
        <v>0</v>
      </c>
      <c r="AP233" s="133">
        <f>IF($K233=AP$3,ROUND(IF(OR($C233="W",$C233="1/2W",$C233="1/2L"),$P233-$O233,IF($C233="X",0,-$O233)),2),0)</f>
        <v>0</v>
      </c>
      <c r="AQ233" s="133">
        <f>IF($K233=AQ$3,ROUND(IF(OR($C233="W",$C233="1/2W",$C233="1/2L"),$P233-$O233,IF($C233="X",0,-$O233)),2),0)</f>
        <v>0</v>
      </c>
      <c r="AR233" s="134">
        <f>IF($K233=AR$3,ROUND(IF(OR($C233="W",$C233="1/2W",$C233="1/2L"),$P233-$O233,IF($C233="X",0,-$O233)),2),0)</f>
        <v>0</v>
      </c>
      <c r="AS233" s="132">
        <f>IF(AND($B232=" ",$K233=AS$3),$O233,0)</f>
        <v>0</v>
      </c>
      <c r="AT233" s="133">
        <f>IF(AND($B232=" ",K233=AT$3),$O233,0)</f>
        <v>0</v>
      </c>
      <c r="AU233" s="133">
        <f>IF(AND($B232=" ",$K233=AU$3),$O233,0)</f>
        <v>0</v>
      </c>
      <c r="AV233" s="133">
        <f>IF(AND($B232=" ",$K233=AV$3),$O233,0)</f>
        <v>0</v>
      </c>
      <c r="AW233" s="133">
        <f>IF(AND($B232=" ",$K233=AW$3),$O233,0)</f>
        <v>0</v>
      </c>
      <c r="AX233" s="133">
        <f>IF(AND($B232=" ",$K233=AX$3),$O233,0)</f>
        <v>0</v>
      </c>
      <c r="AY233" s="135">
        <f>IF(AND($B232=" ",$K233=AY$3),$O233,0)</f>
        <v>0</v>
      </c>
      <c r="AZ233" s="136">
        <f>IF(AND($B232=" ",$K233=AZ$3),$O233,0)</f>
        <v>0</v>
      </c>
      <c r="BA233" s="136">
        <f>IF(AND($B232=" ",$K233=BA$3),$O233,0)</f>
        <v>0</v>
      </c>
      <c r="BB233" s="136">
        <f>IF(AND($B232=" ",$K233=BB$3),$O233,0)</f>
        <v>0</v>
      </c>
      <c r="BC233" s="137">
        <f>IF(AND($B232=" ",$K233=BC$3),$O233,0)</f>
        <v>0</v>
      </c>
      <c r="BD233" s="133">
        <f>IF(AND($B232=" ",$K233=BD$3),$O233,0)</f>
        <v>0</v>
      </c>
      <c r="BE233" s="134">
        <f>IF(AND($B232=" ",$K233=BE$3),$O233,0)</f>
        <v>0</v>
      </c>
      <c r="BF233" s="132">
        <f>IF($K233=BF$3,IF($C233="X",0,$O233),0)</f>
        <v>0</v>
      </c>
      <c r="BG233" s="281">
        <f>IF($K233=BG$3,IF($C233="X",0,$O233),0)</f>
        <v>0</v>
      </c>
      <c r="BH233" s="133">
        <f>IF($K233=BH$3,IF($C233="X",0,$O233),0)</f>
        <v>0</v>
      </c>
      <c r="BI233" s="133">
        <f>IF($K233=BI$3,IF($C233="X",0,$O233),0)</f>
        <v>0</v>
      </c>
      <c r="BJ233" s="133">
        <f>IF($K233=BJ$3,IF($C233="X",0,$O233),0)</f>
        <v>0</v>
      </c>
      <c r="BK233" s="133">
        <f>IF($K233=BK$3,IF($C233="X",0,$O233),0)</f>
        <v>0</v>
      </c>
      <c r="BL233" s="133">
        <f>IF($K233=BL$3,IF($C233="X",0,$O233),0)</f>
        <v>0</v>
      </c>
      <c r="BM233" s="135">
        <f>IF($K233=BM$3,IF($C233="X",0,$O233),0)</f>
        <v>32.15</v>
      </c>
      <c r="BN233" s="136">
        <f>IF($K233=BN$3,IF($C233="X",0,$O233),0)</f>
        <v>0</v>
      </c>
      <c r="BO233" s="136">
        <f>IF($K233=BO$3,IF($C233="X",0,$O233),0)</f>
        <v>0</v>
      </c>
      <c r="BP233" s="136">
        <f>IF($K233=BP$3,IF($C233="X",0,$O233),0)</f>
        <v>0</v>
      </c>
      <c r="BQ233" s="137">
        <f>IF($K233=BQ$3,IF($C233="X",0,$O233),0)</f>
        <v>0</v>
      </c>
      <c r="BR233" s="134">
        <f>IF($K233=BR$3,IF($C233="X",0,$O233),0)</f>
        <v>0</v>
      </c>
      <c r="BS233" s="282"/>
      <c r="BT233" s="283"/>
      <c r="BU233" s="140"/>
      <c r="BV233" s="283"/>
      <c r="BW233" s="140"/>
      <c r="BX233" s="140"/>
      <c r="BY233" s="140"/>
      <c r="BZ233" s="283"/>
      <c r="CA233" s="140"/>
      <c r="CB233" s="140"/>
      <c r="CC233" s="140"/>
      <c r="CD233" s="141"/>
      <c r="CE233" s="142"/>
      <c r="CF233" s="284">
        <f>IF(CF$3=$K233,IF($C233="W",1,IF($C233="1/2W",0.5,0)),0)</f>
        <v>0</v>
      </c>
      <c r="CG233" s="285">
        <f>IF(CF$3=$K233,IF($C233="L",1,IF($C233="1/2L",0.5,0)),0)</f>
        <v>0</v>
      </c>
      <c r="CH233" s="285">
        <f>IF(CH$3=$K233,IF($C233="W",1,IF($C233="1/2W",0.5,0)),0)</f>
        <v>0</v>
      </c>
      <c r="CI233" s="285">
        <f>IF(CH$3=$K233,IF($C233="L",1,IF($C233="1/2L",0.5,0)),0)</f>
        <v>0</v>
      </c>
      <c r="CJ233" s="285">
        <f>IF(CJ$3=$K233,IF($C233="W",1,IF($C233="1/2W",0.5,0)),0)</f>
        <v>0</v>
      </c>
      <c r="CK233" s="285">
        <f>IF(CJ$3=$K233,IF($C233="L",1,IF($C233="1/2L",0.5,0)),0)</f>
        <v>0</v>
      </c>
      <c r="CL233" s="285">
        <f>IF(CL$3=$K233,IF($C233="W",1,IF($C233="1/2W",0.5,0)),0)</f>
        <v>0</v>
      </c>
      <c r="CM233" s="285">
        <f>IF(CL$3=$K233,IF($C233="L",1,IF($C233="1/2L",0.5,0)),0)</f>
        <v>0</v>
      </c>
      <c r="CN233" s="285">
        <f>IF(CN$3=$K233,IF($C233="W",1,IF($C233="1/2W",0.5,0)),0)</f>
        <v>0</v>
      </c>
      <c r="CO233" s="285">
        <f>IF(CN$3=$K233,IF($C233="L",1,IF($C233="1/2L",0.5,0)),0)</f>
        <v>0</v>
      </c>
      <c r="CP233" s="285">
        <f>IF(CP$3=$K233,IF($C233="W",1,IF($C233="1/2W",0.5,0)),0)</f>
        <v>0</v>
      </c>
      <c r="CQ233" s="285">
        <f>IF(CP$3=$K233,IF($C233="L",1,IF($C233="1/2L",0.5,0)),0)</f>
        <v>0</v>
      </c>
      <c r="CR233" s="285">
        <f>IF(CR$3=$K233,IF($C233="W",1,IF($C233="1/2W",0.5,0)),0)</f>
        <v>0</v>
      </c>
      <c r="CS233" s="285">
        <f>IF(CR$3=$K233,IF($C233="L",1,IF($C233="1/2L",0.5,0)),0)</f>
        <v>0</v>
      </c>
      <c r="CT233" s="145">
        <f>IF(CT$3=$K233,IF($C233="W",1,IF($C233="1/2W",0.5,0)),0)</f>
        <v>0</v>
      </c>
      <c r="CU233" s="146">
        <f>IF(CT$3=$K233,IF($C233="L",1,IF($C233="1/2L",0.5,0)),0)</f>
        <v>1</v>
      </c>
      <c r="CV233" s="146">
        <f>IF(CV$3=$K233,IF($C233="W",1,IF($C233="1/2W",0.5,0)),0)</f>
        <v>0</v>
      </c>
      <c r="CW233" s="146">
        <f>IF(CV$3=$K233,IF($C233="L",1,IF($C233="1/2L",0.5,0)),0)</f>
        <v>0</v>
      </c>
      <c r="CX233" s="146">
        <f>IF(CX$3=$K233,IF($C233="W",1,IF($C233="1/2W",0.5,0)),0)</f>
        <v>0</v>
      </c>
      <c r="CY233" s="146">
        <f>IF(CX$3=$K233,IF($C233="L",1,IF($C233="1/2L",0.5,0)),0)</f>
        <v>0</v>
      </c>
      <c r="CZ233" s="146">
        <f>IF(CZ$3=$K233,IF($C233="W",1,IF($C233="1/2W",0.5,0)),0)</f>
        <v>0</v>
      </c>
      <c r="DA233" s="146">
        <f>IF(CZ$3=$K233,IF($C233="L",1,IF($C233="1/2L",0.5,0)),0)</f>
        <v>0</v>
      </c>
      <c r="DB233" s="146">
        <f>IF(DB$3=$K233,IF($C233="W",1,IF($C233="1/2W",0.5,0)),0)</f>
        <v>0</v>
      </c>
      <c r="DC233" s="146">
        <f>IF(DB$3=$K233,IF($C233="L",1,IF($C233="1/2L",0.5,0)),0)</f>
        <v>0</v>
      </c>
      <c r="DD233" s="146">
        <f>IF(DD$3=$K233,IF($C233="W",1,IF($C233="1/2W",0.5,0)),0)</f>
        <v>0</v>
      </c>
      <c r="DE233" s="147">
        <f>IF(DD$3=$K233,IF($C233="L",1,IF($C233="1/2L",0.5,0)),0)</f>
        <v>0</v>
      </c>
      <c r="DF233" s="143">
        <f>IF(AND(L233&lt;DF$3,$C233="W"),1+DF232,DF232)</f>
        <v>8</v>
      </c>
      <c r="DG233" s="133">
        <f>IF(DF233&gt;DF232,L233+DG232,DG232)</f>
        <v>10.598</v>
      </c>
      <c r="DH233" s="146">
        <f>IF(AND(L233&gt;DH$3,$C233="W"),1+DH232,0+DH232)</f>
        <v>3</v>
      </c>
      <c r="DI233" s="133">
        <f>IF(DH233&gt;DH232,L233+DI232,DI232)</f>
        <v>15.98</v>
      </c>
      <c r="DJ233" t="s" s="304">
        <f>IF($D232="","",$D232)</f>
        <v>229</v>
      </c>
      <c r="DK233" s="286"/>
    </row>
    <row r="234" ht="14.55" customHeight="1">
      <c r="A234" s="149"/>
      <c r="B234" s="150"/>
      <c r="C234" t="s" s="151">
        <v>58</v>
      </c>
      <c r="D234" s="152"/>
      <c r="E234" s="153"/>
      <c r="F234" s="155"/>
      <c r="G234" s="252"/>
      <c r="H234" s="156"/>
      <c r="I234" s="287"/>
      <c r="J234" s="288"/>
      <c r="K234" s="156"/>
      <c r="L234" s="289"/>
      <c r="M234" s="290"/>
      <c r="N234" s="161"/>
      <c r="O234" t="s" s="162">
        <f>IF(OR(AE232="",AE233=""),"",IF(L234&gt;0,ROUND(IF(M234&gt;0,M234,IF(M232&gt;0,ROUND((M232*AE234)/AE232,IF(N232=0,2,IF(N232=0.1,1,0))),IF(M233&gt;0,ROUND((M233*AE234)/AE233,IF(N232=0,2,IF(N232=0.1,1,0))),IF(M234&gt;0,M234,0)))),2),""))</f>
      </c>
      <c r="P234" t="s" s="163">
        <f>IF(I233="Lay",O233*(L233/(L233-1))-O233,IF(I232="Lay",O232*(L232/(L232-1))-O232,IF(OR(L234="",O234=""),"",IF($C234="1/2W",O234/2+O234/2*L234,IF($C234="1/2L",O234/2,(O234*L234-O234)*(1-_xlfn.XLOOKUP(K234,'Janeiro 2023 - Valor Real'!A3:A15,'Janeiro 2023 - Valor Real'!C3:C15,0))+O234)))))</f>
      </c>
      <c r="Q234" t="s" s="154">
        <f>IF(K234="","",IF(_xlfn.XLOOKUP(K234,K96:K$96,DJ96:DJ$96,0,,-1)=DJ234,_xlfn.XLOOKUP(K234,K96:K$96,Q96:Q$96,1,,-1)+1,1))</f>
      </c>
      <c r="R234" t="s" s="163">
        <f>IF(K234="","",_xlfn.XLOOKUP(K234,K96:K$96,R96:R$96,0,,-1)+IF($C234=" ",1,0))</f>
      </c>
      <c r="S234" s="166"/>
      <c r="T234" s="155"/>
      <c r="U234" s="155"/>
      <c r="V234" s="166"/>
      <c r="W234" s="155"/>
      <c r="X234" s="167"/>
      <c r="Y234" s="128"/>
      <c r="Z234" s="129"/>
      <c r="AA234" s="129"/>
      <c r="AB234" s="129"/>
      <c r="AC234" s="129"/>
      <c r="AD234" s="168"/>
      <c r="AE234" t="s" s="169">
        <f>IF(L234="","",(SUM(((L232-1)*(1-_xlfn.XLOOKUP(K232,'Janeiro 2023 - Valor Real'!A3:A15,'Janeiro 2023 - Valor Real'!C3:C15,0))+1),((L233-1)*(1-_xlfn.XLOOKUP(K233,'Janeiro 2023 - Valor Real'!A3:A15,'Janeiro 2023 - Valor Real'!C3:C15,0))+1),((L234-1)*(1-_xlfn.XLOOKUP(K234,'Janeiro 2023 - Valor Real'!A3:A15,'Janeiro 2023 - Valor Real'!C3:C15,0))+1))/((L234-1)*(1-_xlfn.XLOOKUP(K234,'Janeiro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Real'!C3:C15,0))+1))/((L232-1)*(1-_xlfn.XLOOKUP(K232,'Janeiro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Real'!C3:C15,0))+1))/((L233-1)*(1-_xlfn.XLOOKUP(K233,'Janeiro 2023 - Valor Real'!A3:A15,'Janeiro 2023 - Valor Real'!C3:C15,0))+1)+SUM(((L232-1)*(1-_xlfn.XLOOKUP(K232,'Janeiro 2023 - Valor Real'!A3:A15,'Janeiro 2023 - Valor Real'!C3:C15,0))+1),((L233-1)*(1-_xlfn.XLOOKUP(K233,'Janeiro 2023 - Valor Real'!A3:A15,'Janeiro 2023 - Valor Real'!C3:C15,0))+1),((L234-1)*(1-_xlfn.XLOOKUP(K234,'Janeiro 2023 - Valor Real'!A3:A15,'Janeiro 2023 - Valor Real'!C3:C15,0))+1))/((L234-1)*(1-_xlfn.XLOOKUP(K234,'Janeiro 2023 - Valor Real'!A3:A15,'Janeiro 2023 - Valor Real'!C3:C15,0))+1)))</f>
      </c>
      <c r="AF234" s="132">
        <f>IF($K234=AF$3,ROUND(IF(OR($C234="W",$C234="1/2W",$C234="1/2L"),$P234-$O234,IF($C234="X",0,-$O234)),2),0)</f>
        <v>0</v>
      </c>
      <c r="AG234" s="133">
        <f>IF($K234=AG$3,ROUND(IF(OR($C234="W",$C234="1/2W",$C234="1/2L"),$P234-$O234,IF($C234="X",0,-$O234)),2),0)</f>
        <v>0</v>
      </c>
      <c r="AH234" s="133">
        <f>IF($K234=AH$3,ROUND(IF(OR($C234="W",$C234="1/2W",$C234="1/2L"),$P234-$O234,IF($C234="X",0,-$O234)),2),0)</f>
        <v>0</v>
      </c>
      <c r="AI234" s="133">
        <f>IF($K234=AI$3,ROUND(IF(OR($C234="W",$C234="1/2W",$C234="1/2L"),$P234-$O234,IF($C234="X",0,-$O234)),2),0)</f>
        <v>0</v>
      </c>
      <c r="AJ234" s="133">
        <f>IF($K234=AJ$3,ROUND(IF(OR($C234="W",$C234="1/2W",$C234="1/2L"),$P234-$O234,IF($C234="X",0,-$O234)),2),0)</f>
        <v>0</v>
      </c>
      <c r="AK234" s="133">
        <f>IF($K234=AK$3,ROUND(IF(OR($C234="W",$C234="1/2W",$C234="1/2L"),$P234-$O234,IF($C234="X",0,-$O234)),2),0)</f>
        <v>0</v>
      </c>
      <c r="AL234" s="133">
        <f>IF($K234=AL$3,ROUND(IF(OR($C234="W",$C234="1/2W",$C234="1/2L"),$P234-$O234,IF($C234="X",0,-$O234)),2),0)</f>
        <v>0</v>
      </c>
      <c r="AM234" s="133">
        <f>IF($K234=AM$3,ROUND(IF(OR($C234="W",$C234="1/2W",$C234="1/2L"),$P234-$O234,IF($C234="X",0,-$O234)),2),0)</f>
        <v>0</v>
      </c>
      <c r="AN234" s="133">
        <f>IF($K234=AN$3,ROUND(IF(OR($C234="W",$C234="1/2W",$C234="1/2L"),$P234-$O234,IF($C234="X",0,-$O234)),2),0)</f>
        <v>0</v>
      </c>
      <c r="AO234" s="133">
        <f>IF($K234=AO$3,ROUND(IF(OR($C234="W",$C234="1/2W",$C234="1/2L"),$P234-$O234,IF($C234="X",0,-$O234)),2),0)</f>
        <v>0</v>
      </c>
      <c r="AP234" s="133">
        <f>IF($K234=AP$3,ROUND(IF(OR($C234="W",$C234="1/2W",$C234="1/2L"),$P234-$O234,IF($C234="X",0,-$O234)),2),0)</f>
        <v>0</v>
      </c>
      <c r="AQ234" s="133">
        <f>IF($K234=AQ$3,ROUND(IF(OR($C234="W",$C234="1/2W",$C234="1/2L"),$P234-$O234,IF($C234="X",0,-$O234)),2),0)</f>
        <v>0</v>
      </c>
      <c r="AR234" s="134">
        <f>IF($K234=AR$3,ROUND(IF(OR($C234="W",$C234="1/2W",$C234="1/2L"),$P234-$O234,IF($C234="X",0,-$O234)),2),0)</f>
        <v>0</v>
      </c>
      <c r="AS234" s="132">
        <f>IF(AND($B232=" ",$K234=AS$3),$O234,0)</f>
        <v>0</v>
      </c>
      <c r="AT234" s="133">
        <f>IF(AND($B232=" ",K234=AT$3),$O234,0)</f>
        <v>0</v>
      </c>
      <c r="AU234" s="133">
        <f>IF(AND($B232=" ",$K234=AU$3),$O234,0)</f>
        <v>0</v>
      </c>
      <c r="AV234" s="133">
        <f>IF(AND($B232=" ",$K234=AV$3),$O234,0)</f>
        <v>0</v>
      </c>
      <c r="AW234" s="133">
        <f>IF(AND($B232=" ",$K234=AW$3),$O234,0)</f>
        <v>0</v>
      </c>
      <c r="AX234" s="133">
        <f>IF(AND($B232=" ",$K234=AX$3),$O234,0)</f>
        <v>0</v>
      </c>
      <c r="AY234" s="135">
        <f>IF(AND($B232=" ",$K234=AY$3),$O234,0)</f>
        <v>0</v>
      </c>
      <c r="AZ234" s="136">
        <f>IF(AND($B232=" ",$K234=AZ$3),$O234,0)</f>
        <v>0</v>
      </c>
      <c r="BA234" s="136">
        <f>IF(AND($B232=" ",$K234=BA$3),$O234,0)</f>
        <v>0</v>
      </c>
      <c r="BB234" s="136">
        <f>IF(AND($B232=" ",$K234=BB$3),$O234,0)</f>
        <v>0</v>
      </c>
      <c r="BC234" s="137">
        <f>IF(AND($B232=" ",$K234=BC$3),$O234,0)</f>
        <v>0</v>
      </c>
      <c r="BD234" s="133">
        <f>IF(AND($B232=" ",$K234=BD$3),$O234,0)</f>
        <v>0</v>
      </c>
      <c r="BE234" s="134">
        <f>IF(AND($B232=" ",$K234=BE$3),$O234,0)</f>
        <v>0</v>
      </c>
      <c r="BF234" s="132">
        <f>IF($K234=BF$3,IF($C234="X",0,$O234),0)</f>
        <v>0</v>
      </c>
      <c r="BG234" s="281">
        <f>IF($K234=BG$3,IF($C234="X",0,$O234),0)</f>
        <v>0</v>
      </c>
      <c r="BH234" s="133">
        <f>IF($K234=BH$3,IF($C234="X",0,$O234),0)</f>
        <v>0</v>
      </c>
      <c r="BI234" s="133">
        <f>IF($K234=BI$3,IF($C234="X",0,$O234),0)</f>
        <v>0</v>
      </c>
      <c r="BJ234" s="133">
        <f>IF($K234=BJ$3,IF($C234="X",0,$O234),0)</f>
        <v>0</v>
      </c>
      <c r="BK234" s="133">
        <f>IF($K234=BK$3,IF($C234="X",0,$O234),0)</f>
        <v>0</v>
      </c>
      <c r="BL234" s="133">
        <f>IF($K234=BL$3,IF($C234="X",0,$O234),0)</f>
        <v>0</v>
      </c>
      <c r="BM234" s="135">
        <f>IF($K234=BM$3,IF($C234="X",0,$O234),0)</f>
        <v>0</v>
      </c>
      <c r="BN234" s="136">
        <f>IF($K234=BN$3,IF($C234="X",0,$O234),0)</f>
        <v>0</v>
      </c>
      <c r="BO234" s="136">
        <f>IF($K234=BO$3,IF($C234="X",0,$O234),0)</f>
        <v>0</v>
      </c>
      <c r="BP234" s="136">
        <f>IF($K234=BP$3,IF($C234="X",0,$O234),0)</f>
        <v>0</v>
      </c>
      <c r="BQ234" s="137">
        <f>IF($K234=BQ$3,IF($C234="X",0,$O234),0)</f>
        <v>0</v>
      </c>
      <c r="BR234" s="134">
        <f>IF($K234=BR$3,IF($C234="X",0,$O234),0)</f>
        <v>0</v>
      </c>
      <c r="BS234" s="282"/>
      <c r="BT234" s="283"/>
      <c r="BU234" s="140"/>
      <c r="BV234" s="283"/>
      <c r="BW234" s="140"/>
      <c r="BX234" s="140"/>
      <c r="BY234" s="140"/>
      <c r="BZ234" s="283"/>
      <c r="CA234" s="140"/>
      <c r="CB234" s="140"/>
      <c r="CC234" s="140"/>
      <c r="CD234" s="141"/>
      <c r="CE234" s="142"/>
      <c r="CF234" s="284">
        <f>IF(CF$3=$K234,IF($C234="W",1,IF($C234="1/2W",0.5,0)),0)</f>
        <v>0</v>
      </c>
      <c r="CG234" s="285">
        <f>IF(CF$3=$K234,IF($C234="L",1,IF($C234="1/2L",0.5,0)),0)</f>
        <v>0</v>
      </c>
      <c r="CH234" s="285">
        <f>IF(CH$3=$K234,IF($C234="W",1,IF($C234="1/2W",0.5,0)),0)</f>
        <v>0</v>
      </c>
      <c r="CI234" s="285">
        <f>IF(CH$3=$K234,IF($C234="L",1,IF($C234="1/2L",0.5,0)),0)</f>
        <v>0</v>
      </c>
      <c r="CJ234" s="285">
        <f>IF(CJ$3=$K234,IF($C234="W",1,IF($C234="1/2W",0.5,0)),0)</f>
        <v>0</v>
      </c>
      <c r="CK234" s="285">
        <f>IF(CJ$3=$K234,IF($C234="L",1,IF($C234="1/2L",0.5,0)),0)</f>
        <v>0</v>
      </c>
      <c r="CL234" s="285">
        <f>IF(CL$3=$K234,IF($C234="W",1,IF($C234="1/2W",0.5,0)),0)</f>
        <v>0</v>
      </c>
      <c r="CM234" s="285">
        <f>IF(CL$3=$K234,IF($C234="L",1,IF($C234="1/2L",0.5,0)),0)</f>
        <v>0</v>
      </c>
      <c r="CN234" s="285">
        <f>IF(CN$3=$K234,IF($C234="W",1,IF($C234="1/2W",0.5,0)),0)</f>
        <v>0</v>
      </c>
      <c r="CO234" s="285">
        <f>IF(CN$3=$K234,IF($C234="L",1,IF($C234="1/2L",0.5,0)),0)</f>
        <v>0</v>
      </c>
      <c r="CP234" s="285">
        <f>IF(CP$3=$K234,IF($C234="W",1,IF($C234="1/2W",0.5,0)),0)</f>
        <v>0</v>
      </c>
      <c r="CQ234" s="285">
        <f>IF(CP$3=$K234,IF($C234="L",1,IF($C234="1/2L",0.5,0)),0)</f>
        <v>0</v>
      </c>
      <c r="CR234" s="285">
        <f>IF(CR$3=$K234,IF($C234="W",1,IF($C234="1/2W",0.5,0)),0)</f>
        <v>0</v>
      </c>
      <c r="CS234" s="285">
        <f>IF(CR$3=$K234,IF($C234="L",1,IF($C234="1/2L",0.5,0)),0)</f>
        <v>0</v>
      </c>
      <c r="CT234" s="145">
        <f>IF(CT$3=$K234,IF($C234="W",1,IF($C234="1/2W",0.5,0)),0)</f>
        <v>0</v>
      </c>
      <c r="CU234" s="146">
        <f>IF(CT$3=$K234,IF($C234="L",1,IF($C234="1/2L",0.5,0)),0)</f>
        <v>0</v>
      </c>
      <c r="CV234" s="146">
        <f>IF(CV$3=$K234,IF($C234="W",1,IF($C234="1/2W",0.5,0)),0)</f>
        <v>0</v>
      </c>
      <c r="CW234" s="146">
        <f>IF(CV$3=$K234,IF($C234="L",1,IF($C234="1/2L",0.5,0)),0)</f>
        <v>0</v>
      </c>
      <c r="CX234" s="146">
        <f>IF(CX$3=$K234,IF($C234="W",1,IF($C234="1/2W",0.5,0)),0)</f>
        <v>0</v>
      </c>
      <c r="CY234" s="146">
        <f>IF(CX$3=$K234,IF($C234="L",1,IF($C234="1/2L",0.5,0)),0)</f>
        <v>0</v>
      </c>
      <c r="CZ234" s="146">
        <f>IF(CZ$3=$K234,IF($C234="W",1,IF($C234="1/2W",0.5,0)),0)</f>
        <v>0</v>
      </c>
      <c r="DA234" s="146">
        <f>IF(CZ$3=$K234,IF($C234="L",1,IF($C234="1/2L",0.5,0)),0)</f>
        <v>0</v>
      </c>
      <c r="DB234" s="146">
        <f>IF(DB$3=$K234,IF($C234="W",1,IF($C234="1/2W",0.5,0)),0)</f>
        <v>0</v>
      </c>
      <c r="DC234" s="146">
        <f>IF(DB$3=$K234,IF($C234="L",1,IF($C234="1/2L",0.5,0)),0)</f>
        <v>0</v>
      </c>
      <c r="DD234" s="146">
        <f>IF(DD$3=$K234,IF($C234="W",1,IF($C234="1/2W",0.5,0)),0)</f>
        <v>0</v>
      </c>
      <c r="DE234" s="147">
        <f>IF(DD$3=$K234,IF($C234="L",1,IF($C234="1/2L",0.5,0)),0)</f>
        <v>0</v>
      </c>
      <c r="DF234" s="143">
        <f>IF(AND(L234&lt;DF$3,$C234="W"),1+DF233,DF233)</f>
        <v>8</v>
      </c>
      <c r="DG234" s="133">
        <f>IF(DF234&gt;DF233,L234+DG233,DG233)</f>
        <v>10.598</v>
      </c>
      <c r="DH234" s="146">
        <f>IF(AND(L234&gt;DH$3,$C234="W"),1+DH233,0+DH233)</f>
        <v>3</v>
      </c>
      <c r="DI234" s="133">
        <f>IF(DH234&gt;DH233,L234+DI233,DI233)</f>
        <v>15.98</v>
      </c>
      <c r="DJ234" t="s" s="304">
        <f>IF($D232="","",$D232)</f>
        <v>229</v>
      </c>
      <c r="DK234" s="286"/>
    </row>
    <row r="235" ht="14.55" customHeight="1">
      <c r="A235" s="171">
        <f>$A232+1</f>
        <v>78</v>
      </c>
      <c r="B235" t="s" s="172">
        <f>IF(AND(_xlfn.XLOOKUP(H235,H91:H$97,G91:G$97,0)=G235,_xlfn.XLOOKUP("TempoBet",K235:K237,L235:L237,0)&gt;0),"X",IF(OR(C235="W",C236="W",C237="W",C235="1/2W",C236="1/2W",C237="1/2W",C235="1/2L",C236="1/2L",C237="1/2L"),"OK",IF(OR(C235="L",C236="L",C237="L"),"LOSS",IF(OR(C235="X",C236="X",C237="X"),"Anulado"," "))))</f>
        <v>50</v>
      </c>
      <c r="C235" t="s" s="173">
        <v>51</v>
      </c>
      <c r="D235" t="s" s="305">
        <f>IF(G235="","",$D232)</f>
        <v>229</v>
      </c>
      <c r="E235" t="s" s="175">
        <f>IF(G235=""," ","– "&amp;COUNTIF(D$4:D237,$D235))</f>
        <v>108</v>
      </c>
      <c r="F235" t="s" s="176"/>
      <c r="G235" s="177">
        <v>44945.25</v>
      </c>
      <c r="H235" t="s" s="178">
        <v>235</v>
      </c>
      <c r="I235" t="s" s="179">
        <v>54</v>
      </c>
      <c r="J235" s="291">
        <v>0</v>
      </c>
      <c r="K235" t="s" s="181">
        <v>44</v>
      </c>
      <c r="L235" s="182">
        <v>1.39</v>
      </c>
      <c r="M235" s="183"/>
      <c r="N235" s="184">
        <v>0</v>
      </c>
      <c r="O235" s="185">
        <f>IF(OR(AE235="",AE236=""),"",ROUND(IF(L237&gt;0,IF(M235&gt;0,M235,IF(M236&gt;0,ROUND((M236*AE235)/AE236,IF(N235=0,2,IF(N235=0.1,1,0))),ROUND((M237*AE235)/AE237,IF(N235=0,2,IF(N235=0.1,1,0))))),IF(M235&gt;0,M235,ROUND((M236*AE235)/AE236,IF(N235=0,2,IF(N235=0.1,1,0))))),2))</f>
        <v>13.31</v>
      </c>
      <c r="P235" s="186">
        <f>IF(OR(L235="",O235=""),"",IF($C235="1/2W",O235/2+O235/2*L235,IF($C235="1/2L",O235/2,IF(I235="Lay",(O235*(L235/(L235-1))-O235)*(1-_xlfn.XLOOKUP(K235,'Janeiro 2023 - Valor Real'!A3:A15,'Janeiro 2023 - Valor Real'!C3:C15,0))+O235,(O235*L235-O235)*(1-_xlfn.XLOOKUP(K235,'Janeiro 2023 - Valor Real'!A3:A15,'Janeiro 2023 - Valor Real'!C3:C15,0))+O235))))</f>
        <v>18.5009</v>
      </c>
      <c r="Q235" s="187">
        <f>IF(K235="","",IF(_xlfn.XLOOKUP(K235,K91:K$97,DJ91:DJ$97,0,,-1)=DJ235,_xlfn.XLOOKUP(K235,K91:K$97,Q91:Q$97,1,,-1)+1,1))</f>
        <v>1</v>
      </c>
      <c r="R235" s="188">
        <f>IF(K235="","",_xlfn.XLOOKUP(K235,K91:K$97,R91:R$97,0,,-1)+IF($C235=" ",1,0))</f>
        <v>0</v>
      </c>
      <c r="S235" s="189">
        <f>IF($B235="Anulado",0,ROUND(IF(OR($B235="LOSS",$B235="OK"),IF(OR($C235="W",$C235="1/2W",$C235="1/2L"),P235-O235,IF($C235="L",-O235,0))+IF(OR($C236="W",$C236="1/2W",$C236="1/2L"),P236-O236,IF($C236="L",-O236,0))+IF(OR($C237="W",$C237="1/2W",$C237="1/2L"),P237-O237,IF($C237="L",-O237,0)),IF(AND(OR($C235="W",$C235="1/2W",$C235="1/2L"),C236="W"),P235+P236-SUM(O235:O237)+_xlfn.XLOOKUP("X",C235:C237,O235:O237,0),IF(AND(C235=TRUE,C237="W"),P235+P237-SUM(O235:O237),IF(AND(C236="W",C237="W"),P236+P237-SUM(O235:O237)+_xlfn.XLOOKUP("X",C235:C237,O235:O237,0),IF(L237&gt;0,IF(OR($C235="W",$C235="1/2W",$C235="1/2L"),P235-SUM(O235:O237)+_xlfn.XLOOKUP("X",C235:C237,O235:O237,0),IF(OR($C235="W",$C235="1/2W",$C235="1/2L"),P236-SUM(O235:O237)+_xlfn.XLOOKUP("X",C235:C237,O235:O237,0),IF(OR($C235="W",$C235="1/2W",$C235="1/2L"),P237-SUM(O235:O237)+_xlfn.XLOOKUP("X",C235:C237,O235:O237,0),IF(SUM(P235:P237)/3-SUM(O235:O237)+_xlfn.XLOOKUP("X",C235:C237,O235:O237,0)&gt;0,SUM(P235:P237)/3-SUM(O235:O237)+_xlfn.XLOOKUP("X",C235:C237,O235:O237,0),LARGE(P235:P237,1)-SUM(O235:O237))))),IF(OR($C235="W",$C235="1/2W",$C235="1/2L"),P235-SUM(O235:O236)+_xlfn.XLOOKUP("X",C235:C237,O235:O237,0),IF(OR($C235="W",$C235="1/2W",$C235="1/2L"),P236-SUM(O235:O236)+_xlfn.XLOOKUP("X",C235:C237,O235:O237,0),SUM(P235:P236)/2-SUM(O235:O236)+_xlfn.XLOOKUP("X",C235:C237,O235:O237,0)))))))),2))</f>
        <v>1.08</v>
      </c>
      <c r="T235" s="190">
        <f>IF(S235=0,0,S235/SUM(O235:O237))</f>
        <v>0.0619977037887486</v>
      </c>
      <c r="U235" s="191">
        <f>IF($D235=$D232,IF(OR($B235="LOSS",$B235="OK",$B235="Anulada"),S235,0)+U232,IF(OR($B235="LOSS",$B235="OK",$B235="Anulada"),S235,0))</f>
        <v>2.35</v>
      </c>
      <c r="V235" s="191">
        <f>IF($D235="",0,IF($D235=$D232,IF($B235=" ",IF(I237="",IF(OR(AND(I235="DNB1",I236="DNB2"),AND(OR(I235="DNB1",I235="DNB2"),J236=0),AND(OR(I236="DNB1",I236="DNB2"),J235=0),AND(I235="DNB2",I236="DNB1"),AND(IF(J235=0,(J235+1)/ROUND(J235+1,0),J235/ROUND(J235,0))=1,IF(J236=0,(J236+1)/ROUND(IF(J236="",0,J236)+1,0),IF(J236="",0,J236)/ROUND(IF(J236="",1,J236),0))=1,OR(J235&lt;&gt;""),J236&lt;&gt;"")),0,IF(S235&lt;0,IF(I237="",SMALL(P235:P236,1)-SUM(O235:O236),0),SMALL(P235:P236,1)-SUM(O235:O236))),IF(S235&lt;0,IF(I237="",SMALL(P235:P237,1)-SUM(O235:O237),0),LARGE(P235:P237,1)-SUM(O235:O237))),S235)+V232,IF(I237="",IF(OR(AND(I235="DNB1",I236="DNB2"),AND(OR(I235="DNB1",I235="DNB2"),J236=0),AND(OR(I236="DNB1",I236="DNB2"),J235=0),AND(I235="DNB2",I236="DNB1"),AND(IF(J235=0,(J235+1)/ROUND(J235+1,0),J235/ROUND(J235,0))=1,IF(J236=0,(IF(J236="",0,J236)+1)/ROUND(IF(J236="",0,J236)+1,0),IF(J236="",0,J236)/ROUND(IF(J236="",0,J236)+1,0))=1,OR(J235&lt;&gt;""),J236&lt;&gt;"")),0,IF(S235&lt;0,IF(I237="",SMALL(P235:P236,1)-SUM(O235:O236),0),SMALL(P235:P237,1)-SUM(O235:O237))),IF(S235&lt;0,IF(I237="",SMALL(P235:P237,1)-SUM(O235:O237),0),LARGE(P235:P237,1)-SUM(O235:O237)))))</f>
        <v>2.346</v>
      </c>
      <c r="W235" s="191">
        <f>IF($D235=$D232,IF(S235&lt;0,IF(I237="",S235,0),S235)+W232,S235)</f>
        <v>2.35</v>
      </c>
      <c r="X235" t="s" s="192">
        <f>IF(OR(SUM(R235:R237)=0,V235=W235),ROUND(IF(W235=0,0,W235/Y235)*100,2)&amp;"%",ROUND(IF(V235=0,0,V235/Y235)*100,2)&amp;"% a "&amp;ROUND(IF(W235=0,0,W235/Y235)*100,2)&amp;"%")</f>
        <v>236</v>
      </c>
      <c r="Y235" s="193">
        <f>IF($D235=$D232,Y232+SUM(O235:O237),SUM(O235:O237))</f>
        <v>171.81</v>
      </c>
      <c r="Z235" s="191">
        <f>IF($B235=" ",SUM(O235:O237),0)+Z232</f>
        <v>0</v>
      </c>
      <c r="AA235" s="191">
        <f>IF(G235="","",IF($B235="Anulado",LARGE(P235:P237,1)-SUM(O235:O237)+AA232,AA232))</f>
        <v>16.5099</v>
      </c>
      <c r="AB235" s="191">
        <f>IF($D235="","",AB232+S235)</f>
        <v>204.52</v>
      </c>
      <c r="AC235" s="194">
        <f>IF($D235="","",IF($B235=" ",IF(DAY(G235)=DAY(TODAY()),1+AC232,0+AC232),0+AC232))</f>
        <v>0</v>
      </c>
      <c r="AD235" s="195">
        <f>(((L236/(L236-1)-1)*(1-_xlfn.XLOOKUP(K236,'Janeiro 2023 - Valor Real'!A3:A15,'Janeiro 2023 - Valor Real'!C3:C15,0))+1))/(((L235-1)*(1-_xlfn.XLOOKUP(K235,'Janeiro 2023 - Valor Real'!A3:A15,'Janeiro 2023 - Valor Real'!C3:C15,0))+1)+((L236/(L236-1)-1)*(1-_xlfn.XLOOKUP(K236,'Janeiro 2023 - Valor Real'!A3:A15,'Janeiro 2023 - Valor Real'!C3:C15,0))+1))</f>
        <v>0.480512546716498</v>
      </c>
      <c r="AE235" s="196">
        <f>IF(L235="","",IF(L237&gt;0,(SUM(((L235-1)*(1-_xlfn.XLOOKUP(K235,'Janeiro 2023 - Valor Real'!A3:A15,'Janeiro 2023 - Valor Real'!C3:C15,0))+1),((L236-1)*(1-_xlfn.XLOOKUP(K236,'Janeiro 2023 - Valor Real'!A3:A15,'Janeiro 2023 - Valor Real'!C3:C15,0))+1),((L237-1)*(1-_xlfn.XLOOKUP(K237,'Janeiro 2023 - Valor Real'!A3:A15,'Janeiro 2023 - Valor Real'!C3:C15,0))+1))/((L235-1)*(1-_xlfn.XLOOKUP(K235,'Janeiro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Real'!C3:C15,0))+1))/((L235-1)*(1-_xlfn.XLOOKUP(K235,'Janeiro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Real'!C3:C15,0))+1))/((L236-1)*(1-_xlfn.XLOOKUP(K236,'Janeiro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Real'!C3:C15,0))+1))/((L237-1)*(1-_xlfn.XLOOKUP(K237,'Janeiro 2023 - Valor Real'!A3:A15,'Janeiro 2023 - Valor Real'!C3:C15,0))+1)),IF(I235="Lay",IF(I236="Lay",((L236/(L236-1)-1)*(1-_xlfn.XLOOKUP(K236,'Janeiro 2023 - Valor Real'!A3:A15,'Janeiro 2023 - Valor Real'!C3:C15,0))+1)/(((L236/(L236-1)-1)*(1-_xlfn.XLOOKUP(K236,'Janeiro 2023 - Valor Real'!A3:A15,'Janeiro 2023 - Valor Real'!C3:C15,0))+1)+((L235/(L235-1)-1)*(1-_xlfn.XLOOKUP(K235,'Janeiro 2023 - Valor Real'!A3:A15,'Janeiro 2023 - Valor Real'!C3:C15,0))+1)),((L236-1)*(1-_xlfn.XLOOKUP(K236,'Janeiro 2023 - Valor Real'!A3:A15,'Janeiro 2023 - Valor Real'!C3:C15,0))+1)/(((L236-1)*(1-_xlfn.XLOOKUP(K236,'Janeiro 2023 - Valor Real'!A3:A15,'Janeiro 2023 - Valor Real'!C3:C15,0))+1)+((L235/(L235-1)-1)*(1-_xlfn.XLOOKUP(K235,'Janeiro 2023 - Valor Real'!A3:A15,'Janeiro 2023 - Valor Real'!C3:C15,0))+1))),IF(I236="Lay",(((L236/(L236-1)-1)*(1-_xlfn.XLOOKUP(K236,'Janeiro 2023 - Valor Real'!A3:A15,'Janeiro 2023 - Valor Real'!C3:C15,0))+1))/(((L235-1)*(1-_xlfn.XLOOKUP(K235,'Janeiro 2023 - Valor Real'!A3:A15,'Janeiro 2023 - Valor Real'!C3:C15,0))+1)+((L236/(L236-1)-1)*(1-_xlfn.XLOOKUP(K236,'Janeiro 2023 - Valor Real'!A3:A15,'Janeiro 2023 - Valor Real'!C3:C15,0))+1)),((L236-1)*(1-_xlfn.XLOOKUP(K236,'Janeiro 2023 - Valor Real'!A3:A15,'Janeiro 2023 - Valor Real'!C3:C15,0))+1)/(((L236-1)*(1-_xlfn.XLOOKUP(K236,'Janeiro 2023 - Valor Real'!A3:A15,'Janeiro 2023 - Valor Real'!C3:C15,0))+1)+((L235-1)*(1-_xlfn.XLOOKUP(K235,'Janeiro 2023 - Valor Real'!A3:A15,'Janeiro 2023 - Valor Real'!C3:C15,0))+1))))))</f>
        <v>0.764006791171477</v>
      </c>
      <c r="AF235" s="197">
        <f>IF($K235=AF$3,ROUND(IF(OR($C235="W",$C235="1/2W",$C235="1/2L"),$P235-$O235,IF($C235="X",0,-$O235)),2),0)</f>
        <v>0</v>
      </c>
      <c r="AG235" s="198">
        <f>IF($K235=AG$3,ROUND(IF(OR($C235="W",$C235="1/2W",$C235="1/2L"),$P235-$O235,IF($C235="X",0,-$O235)),2),0)</f>
        <v>0</v>
      </c>
      <c r="AH235" s="198">
        <f>IF($K235=AH$3,ROUND(IF(OR($C235="W",$C235="1/2W",$C235="1/2L"),$P235-$O235,IF($C235="X",0,-$O235)),2),0)</f>
        <v>0</v>
      </c>
      <c r="AI235" s="198">
        <f>IF($K235=AI$3,ROUND(IF(OR($C235="W",$C235="1/2W",$C235="1/2L"),$P235-$O235,IF($C235="X",0,-$O235)),2),0)</f>
        <v>0</v>
      </c>
      <c r="AJ235" s="198">
        <f>IF($K235=AJ$3,ROUND(IF(OR($C235="W",$C235="1/2W",$C235="1/2L"),$P235-$O235,IF($C235="X",0,-$O235)),2),0)</f>
        <v>0</v>
      </c>
      <c r="AK235" s="198">
        <f>IF($K235=AK$3,ROUND(IF(OR($C235="W",$C235="1/2W",$C235="1/2L"),$P235-$O235,IF($C235="X",0,-$O235)),2),0)</f>
        <v>0</v>
      </c>
      <c r="AL235" s="198">
        <f>IF($K235=AL$3,ROUND(IF(OR($C235="W",$C235="1/2W",$C235="1/2L"),$P235-$O235,IF($C235="X",0,-$O235)),2),0)</f>
        <v>0</v>
      </c>
      <c r="AM235" s="198">
        <f>IF($K235=AM$3,ROUND(IF(OR($C235="W",$C235="1/2W",$C235="1/2L"),$P235-$O235,IF($C235="X",0,-$O235)),2),0)</f>
        <v>-13.31</v>
      </c>
      <c r="AN235" s="198">
        <f>IF($K235=AN$3,ROUND(IF(OR($C235="W",$C235="1/2W",$C235="1/2L"),$P235-$O235,IF($C235="X",0,-$O235)),2),0)</f>
        <v>0</v>
      </c>
      <c r="AO235" s="198">
        <f>IF($K235=AO$3,ROUND(IF(OR($C235="W",$C235="1/2W",$C235="1/2L"),$P235-$O235,IF($C235="X",0,-$O235)),2),0)</f>
        <v>0</v>
      </c>
      <c r="AP235" s="198">
        <f>IF($K235=AP$3,ROUND(IF(OR($C235="W",$C235="1/2W",$C235="1/2L"),$P235-$O235,IF($C235="X",0,-$O235)),2),0)</f>
        <v>0</v>
      </c>
      <c r="AQ235" s="198">
        <f>IF($K235=AQ$3,ROUND(IF(OR($C235="W",$C235="1/2W",$C235="1/2L"),$P235-$O235,IF($C235="X",0,-$O235)),2),0)</f>
        <v>0</v>
      </c>
      <c r="AR235" s="199">
        <f>IF($K235=AR$3,ROUND(IF(OR($C235="W",$C235="1/2W",$C235="1/2L"),$P235-$O235,IF($C235="X",0,-$O235)),2),0)</f>
        <v>0</v>
      </c>
      <c r="AS235" s="197">
        <f>IF(AND($B235=" ",$K235=AS$3),$O235,0)</f>
        <v>0</v>
      </c>
      <c r="AT235" s="198">
        <f>IF(AND($B235=" ",$K235=AT$3),$O235,0)</f>
        <v>0</v>
      </c>
      <c r="AU235" s="198">
        <f>IF(AND($B235=" ",$K235=AU$3),$O235,0)</f>
        <v>0</v>
      </c>
      <c r="AV235" s="198">
        <f>IF(AND($B235=" ",$K235=AV$3),$O235,0)</f>
        <v>0</v>
      </c>
      <c r="AW235" s="198">
        <f>IF(AND($B235=" ",$K235=AW$3),$O235,0)</f>
        <v>0</v>
      </c>
      <c r="AX235" s="198">
        <f>IF(AND($B235=" ",$K235=AX$3),$O235,0)</f>
        <v>0</v>
      </c>
      <c r="AY235" s="200">
        <f>IF(AND($B235=" ",$K235=AY$3),$O235,0)</f>
        <v>0</v>
      </c>
      <c r="AZ235" s="201">
        <f>IF(AND($B235=" ",$K235=AZ$3),$O235,0)</f>
        <v>0</v>
      </c>
      <c r="BA235" s="201">
        <f>IF(AND($B235=" ",$K235=BA$3),$O235,0)</f>
        <v>0</v>
      </c>
      <c r="BB235" s="201">
        <f>IF(AND($B235=" ",$K235=BB$3),$O235,0)</f>
        <v>0</v>
      </c>
      <c r="BC235" s="202">
        <f>IF(AND($B235=" ",$K235=BC$3),$O235,0)</f>
        <v>0</v>
      </c>
      <c r="BD235" s="198">
        <f>IF(AND($B235=" ",$K235=BD$3),$O235,0)</f>
        <v>0</v>
      </c>
      <c r="BE235" s="199">
        <f>IF(AND($B235=" ",$K235=BE$3),$O235,0)</f>
        <v>0</v>
      </c>
      <c r="BF235" s="203">
        <f>IF($K235=BF$3,IF($C235="X",0,$O235),0)</f>
        <v>0</v>
      </c>
      <c r="BG235" s="198">
        <f>IF($K235=BG$3,IF($C235="X",0,$O235),0)</f>
        <v>0</v>
      </c>
      <c r="BH235" s="198">
        <f>IF($K235=BH$3,IF($C235="X",0,$O235),0)</f>
        <v>0</v>
      </c>
      <c r="BI235" s="198">
        <f>IF($K235=BI$3,IF($C235="X",0,$O235),0)</f>
        <v>0</v>
      </c>
      <c r="BJ235" s="198">
        <f>IF($K235=BJ$3,IF($C235="X",0,$O235),0)</f>
        <v>0</v>
      </c>
      <c r="BK235" s="198">
        <f>IF($K235=BK$3,IF($C235="X",0,$O235),0)</f>
        <v>0</v>
      </c>
      <c r="BL235" s="198">
        <f>IF($K235=BL$3,IF($C235="X",0,$O235),0)</f>
        <v>0</v>
      </c>
      <c r="BM235" s="200">
        <f>IF($K235=BM$3,IF($C235="X",0,$O235),0)</f>
        <v>13.31</v>
      </c>
      <c r="BN235" s="201">
        <f>IF($K235=BN$3,IF($C235="X",0,$O235),0)</f>
        <v>0</v>
      </c>
      <c r="BO235" s="201">
        <f>IF($K235=BO$3,IF($C235="X",0,$O235),0)</f>
        <v>0</v>
      </c>
      <c r="BP235" s="201">
        <f>IF($K235=BP$3,IF($C235="X",0,$O235),0)</f>
        <v>0</v>
      </c>
      <c r="BQ235" s="202">
        <f>IF($K235=BQ$3,IF($C235="X",0,$O235),0)</f>
        <v>0</v>
      </c>
      <c r="BR235" s="199">
        <f>IF($K235=BR$3,IF($C235="X",0,$O235),0)</f>
        <v>0</v>
      </c>
      <c r="BS235" s="204">
        <f>IF($B235="LOSS",IF(AND($K235=BS$3,$C235="L"),-$O235,0)+IF(AND($K236=BS$3,$C236="L"),-$O236,0)+IF(AND($K237=BS$3,$C237="L"),-$O237,0),IF(OR(AND($K235=BS$3,OR($C235="W",$C235="1/2W")),AND($K236=BS$3,OR($C236="W",$C236="1/2W")),AND($K237=BS$3,OR($C237="W",$C237="1/2W"))),$S235,0))</f>
        <v>0</v>
      </c>
      <c r="BT235" s="201">
        <f>IF($B235="LOSS",IF(AND($K235=BT$3,$C235="L"),-$O235,0)+IF(AND($K236=BT$3,$C236="L"),-$O236,0)+IF(AND($K236=BT$3,$C237="L"),-$O237,0),IF(OR(AND($K236=BT$3,OR($C235="W",$C235="1/2W")),AND($K236=BT$3,OR($C236="W",$C236="1/2W")),AND($K236=BT$3,OR($C237="W",$C237="1/2W"))),$S235,0))</f>
        <v>1.08</v>
      </c>
      <c r="BU235" s="201">
        <f>IF($B235="LOSS",IF(AND($K235=BU$3,$C235="L"),-$O235,0)+IF(AND($K236=BU$3,$C236="L"),-$O236,0)+IF(AND($K236=BU$3,$C237="L"),-$O237,0),IF(OR(AND($K236=BU$3,OR($C235="W",$C235="1/2W")),AND($K236=BU$3,OR($C236="W",$C236="1/2W")),AND($K236=BU$3,OR($C237="W",$C237="1/2W"))),$S235,0))</f>
        <v>0</v>
      </c>
      <c r="BV235" s="201">
        <f>IF($B235="LOSS",IF(AND($K235=BV$3,$C235="L"),-$O235,0)+IF(AND($K236=BV$3,$C236="L"),-$O236,0)+IF(AND($K237=BV$3,$C237="L"),-$O237,0),IF(OR(AND($K235=BV$3,OR($C235="W",$C235="1/2W")),AND($K236=BV$3,OR($C236="W",$C236="1/2W")),AND($K237=BV$3,OR($C237="W",$C237="1/2W"))),$S235,0))</f>
        <v>0</v>
      </c>
      <c r="BW235" s="201">
        <f>IF($B235="LOSS",IF(AND($K235=BW$3,$C235="L"),-$O235,0)+IF(AND($K236=BW$3,$C236="L"),-$O236,0)+IF(AND($K237=BW$3,$C237="L"),-$O237,0),IF(OR(AND($K235=BW$3,OR($C235="W",$C235="1/2W")),AND($K236=BW$3,OR($C236="W",$C236="1/2W")),AND($K237=BW$3,OR($C237="W",$C237="1/2W"))),$S235,0))</f>
        <v>0</v>
      </c>
      <c r="BX235" s="201">
        <f>IF($B235="LOSS",IF(AND($K235=BX$3,$C235="L"),-$O235,0)+IF(AND($K236=BX$3,$C236="L"),-$O236,0)+IF(AND($K237=BX$3,$C237="L"),-$O237,0),IF(OR(AND($K235=BX$3,OR($C235="W",$C235="1/2W")),AND($K236=BX$3,OR($C236="W",$C236="1/2W")),AND($K237=BX$3,OR($C237="W",$C237="1/2W"))),$S235,0))</f>
        <v>0</v>
      </c>
      <c r="BY235" s="201">
        <f>IF($B235="LOSS",IF(AND($K235=BY$3,$C235="L"),-$O235,0)+IF(AND($K236=BY$3,$C236="L"),-$O236,0)+IF(AND($K237=BY$3,$C237="L"),-$O237,0),IF(OR(AND($K235=BY$3,OR($C235="W",$C235="1/2W")),AND($K236=BY$3,OR($C236="W",$C236="1/2W")),AND($K237=BY$3,OR($C237="W",$C237="1/2W"))),$S235,0))</f>
        <v>0</v>
      </c>
      <c r="BZ235" s="205">
        <f>IF($B235="LOSS",IF(AND($K235=BZ$3,$C235="L"),-$O235,0)+IF(AND($K236=BZ$3,$C236="L"),-$O236,0)+IF(AND($K237=BZ$3,$C237="L"),-$O237,0),IF(OR(AND($K235=BZ$3,OR($C235="W",$C235="1/2W")),AND($K236=BZ$3,OR($C236="W",$C236="1/2W")),AND($K237=BZ$3,OR($C237="W",$C237="1/2W"))),$S235,0))</f>
        <v>0</v>
      </c>
      <c r="CA235" s="205">
        <f>IF($B235="LOSS",IF(AND($K235=CA$3,$C235="L"),-$O235,0)+IF(AND($K236=CA$3,$C236="L"),-$O236,0)+IF(AND($K237=CA$3,$C237="L"),-$O237,0),IF(OR(AND($K235=CA$3,OR($C235="W",$C235="1/2W")),AND($K236=CA$3,OR($C236="W",$C236="1/2W")),AND($K237=CA$3,OR($C237="W",$C237="1/2W"))),$S235,0))</f>
        <v>0</v>
      </c>
      <c r="CB235" s="205">
        <f>IF($B235="LOSS",IF(AND($K235=CB$3,$C235="L"),-$O235,0)+IF(AND($K236=CB$3,$C236="L"),-$O236,0)+IF(AND($K237=CB$3,$C237="L"),-$O237,0),IF(OR(AND($K235=CB$3,OR($C235="W",$C235="1/2W")),AND($K236=CB$3,OR($C236="W",$C236="1/2W")),AND($K237=CB$3,OR($C237="W",$C237="1/2W"))),$S235,0))</f>
        <v>0</v>
      </c>
      <c r="CC235" s="205">
        <f>IF($B235="LOSS",IF(AND($K235=CC$3,$C235="L"),-$O235,0)+IF(AND($K236=CC$3,$C236="L"),-$O236,0)+IF(AND($K237=CC$3,$C237="L"),-$O237,0),IF(OR(AND($K235=CC$3,OR($C235="W",$C235="1/2W")),AND($K236=CC$3,OR($C236="W",$C236="1/2W")),AND($K237=CC$3,OR($C237="W",$C237="1/2W"))),$S235,0))</f>
        <v>0</v>
      </c>
      <c r="CD235" s="202">
        <f>IF($B235="LOSS",IF(AND($K235=CD$3,$C235="L"),-$O235,0)+IF(AND($K236=CD$3,$C236="L"),-$O236,0)+IF(AND($K237=CD$3,$C237="L"),-$O237,0),IF(OR(AND($K235=CD$3,OR($C235="W",$C235="1/2W")),AND($K236=CD$3,OR($C236="W",$C236="1/2W")),AND($K237=CD$3,OR($C237="W",$C237="1/2W"))),$S235,0))</f>
        <v>0</v>
      </c>
      <c r="CE235" s="199">
        <f>IF($B235="LOSS",IF(AND($K235=CE$3,$C235="L"),-$O235,0)+IF(AND($K236=CE$3,$C236="L"),-$O236,0)+IF(AND($K237=CE$3,$C237="L"),-$O237,0),IF(OR(AND($K235=CE$3,OR($C235="W",$C235="1/2W")),AND($K236=CE$3,OR($C236="W",$C236="1/2W")),AND($K237=CE$3,OR($C237="W",$C237="1/2W"))),$S235,0))</f>
        <v>0</v>
      </c>
      <c r="CF235" s="206">
        <f>IF(CF$3=$K235,IF($C235="W",1,IF($C235="1/2W",0.5,0)),0)</f>
        <v>0</v>
      </c>
      <c r="CG235" s="207">
        <f>IF(CF$3=$K235,IF($C235="L",1,IF($C235="1/2L",0.5,0)),0)</f>
        <v>0</v>
      </c>
      <c r="CH235" s="207">
        <f>IF(CH$3=$K235,IF($C235="W",1,IF($C235="1/2W",0.5,0)),0)</f>
        <v>0</v>
      </c>
      <c r="CI235" s="207">
        <f>IF(CH$3=$K235,IF($C235="L",1,IF($C235="1/2L",0.5,0)),0)</f>
        <v>0</v>
      </c>
      <c r="CJ235" s="207">
        <f>IF(CJ$3=$K235,IF($C235="W",1,IF($C235="1/2W",0.5,0)),0)</f>
        <v>0</v>
      </c>
      <c r="CK235" s="207">
        <f>IF(CJ$3=$K235,IF($C235="L",1,IF($C235="1/2L",0.5,0)),0)</f>
        <v>0</v>
      </c>
      <c r="CL235" s="207">
        <f>IF(CL$3=$K235,IF($C235="W",1,IF($C235="1/2W",0.5,0)),0)</f>
        <v>0</v>
      </c>
      <c r="CM235" s="207">
        <f>IF(CL$3=$K235,IF($C235="L",1,IF($C235="1/2L",0.5,0)),0)</f>
        <v>0</v>
      </c>
      <c r="CN235" s="207">
        <f>IF(CN$3=$K235,IF($C235="W",1,IF($C235="1/2W",0.5,0)),0)</f>
        <v>0</v>
      </c>
      <c r="CO235" s="207">
        <f>IF(CN$3=$K235,IF($C235="L",1,IF($C235="1/2L",0.5,0)),0)</f>
        <v>0</v>
      </c>
      <c r="CP235" s="207">
        <f>IF(CP$3=$K235,IF($C235="W",1,IF($C235="1/2W",0.5,0)),0)</f>
        <v>0</v>
      </c>
      <c r="CQ235" s="207">
        <f>IF(CP$3=$K235,IF($C235="L",1,IF($C235="1/2L",0.5,0)),0)</f>
        <v>0</v>
      </c>
      <c r="CR235" s="207">
        <f>IF(CR$3=$K235,IF($C235="W",1,IF($C235="1/2W",0.5,0)),0)</f>
        <v>0</v>
      </c>
      <c r="CS235" s="207">
        <f>IF(CR$3=$K235,IF($C235="L",1,IF($C235="1/2L",0.5,0)),0)</f>
        <v>0</v>
      </c>
      <c r="CT235" s="208">
        <f>IF(CT$3=$K235,IF($C235="W",1,IF($C235="1/2W",0.5,0)),0)</f>
        <v>0</v>
      </c>
      <c r="CU235" s="209">
        <f>IF(CT$3=$K235,IF($C235="L",1,IF($C235="1/2L",0.5,0)),0)</f>
        <v>1</v>
      </c>
      <c r="CV235" s="209">
        <f>IF(CV$3=$K235,IF($C235="W",1,IF($C235="1/2W",0.5,0)),0)</f>
        <v>0</v>
      </c>
      <c r="CW235" s="209">
        <f>IF(CV$3=$K235,IF($C235="L",1,IF($C235="1/2L",0.5,0)),0)</f>
        <v>0</v>
      </c>
      <c r="CX235" s="209">
        <f>IF(CX$3=$K235,IF($C235="W",1,IF($C235="1/2W",0.5,0)),0)</f>
        <v>0</v>
      </c>
      <c r="CY235" s="209">
        <f>IF(CX$3=$K235,IF($C235="L",1,IF($C235="1/2L",0.5,0)),0)</f>
        <v>0</v>
      </c>
      <c r="CZ235" s="209">
        <f>IF(CZ$3=$K235,IF($C235="W",1,IF($C235="1/2W",0.5,0)),0)</f>
        <v>0</v>
      </c>
      <c r="DA235" s="209">
        <f>IF(CZ$3=$K235,IF($C235="L",1,IF($C235="1/2L",0.5,0)),0)</f>
        <v>0</v>
      </c>
      <c r="DB235" s="209">
        <f>IF(DB$3=$K235,IF($C235="W",1,IF($C235="1/2W",0.5,0)),0)</f>
        <v>0</v>
      </c>
      <c r="DC235" s="209">
        <f>IF(DB$3=$K235,IF($C235="L",1,IF($C235="1/2L",0.5,0)),0)</f>
        <v>0</v>
      </c>
      <c r="DD235" s="209">
        <f>IF(DD$3=$K235,IF($C235="W",1,IF($C235="1/2W",0.5,0)),0)</f>
        <v>0</v>
      </c>
      <c r="DE235" s="210">
        <f>IF(DD$3=$K235,IF($C235="L",1,IF($C235="1/2L",0.5,0)),0)</f>
        <v>0</v>
      </c>
      <c r="DF235" s="211">
        <f>IF(AND(L235&lt;DF$3,$C235="W"),1+DF234,DF234)</f>
        <v>8</v>
      </c>
      <c r="DG235" s="198">
        <f>IF(DF235&gt;DF234,L235+DG234,DG234)</f>
        <v>10.598</v>
      </c>
      <c r="DH235" s="209">
        <f>IF(AND(L235&gt;DH$3,$C235="W"),1+DH234,0+DH234)</f>
        <v>3</v>
      </c>
      <c r="DI235" s="198">
        <f>IF(DH235&gt;DH234,L235+DI234,DI234)</f>
        <v>15.98</v>
      </c>
      <c r="DJ235" t="s" s="306">
        <f>IF($D235="","",$D235)</f>
        <v>229</v>
      </c>
      <c r="DK235" s="209">
        <f>IF(AND($B235=" ",$D235&lt;&gt;""),1,0)</f>
        <v>0</v>
      </c>
    </row>
    <row r="236" ht="14.55" customHeight="1">
      <c r="A236" s="107"/>
      <c r="B236" s="108"/>
      <c r="C236" t="s" s="213">
        <v>56</v>
      </c>
      <c r="D236" s="110"/>
      <c r="E236" s="111"/>
      <c r="F236" s="113"/>
      <c r="G236" s="214"/>
      <c r="H236" s="114"/>
      <c r="I236" t="s" s="215">
        <v>62</v>
      </c>
      <c r="J236" t="s" s="216">
        <f>IF(OR(I235="TO",I235="TU",I235="TO1",I235="TU1",I235="TO2",I235="TU2"),J235,IF(OR(I235="AH1",I235="AH2"),IF(OR(I236="AH1",I236="AH2"),-J235,IF(OR(I236="EH1",I236="EH2"),-J235+0.5,"")),IF(OR(I235="EH1",I235="EH2"),IF(OR(I236="AH1",I236="AH2"),-J235+0.5,IF(OR(I236="EH1",I236="EH2"),-J235+1,"")),IF(AND(OR(I235="DNB1",I235="DNB2"),OR(I236="AH1",I236="AH2")),0,IF(AND(I235="Not ScoreBoth",OR(I236="TO1",I236="TO2")),0.5,"")))))</f>
      </c>
      <c r="K236" t="s" s="217">
        <v>38</v>
      </c>
      <c r="L236" s="218">
        <v>4.5</v>
      </c>
      <c r="M236" s="219">
        <v>4.11</v>
      </c>
      <c r="N236" s="120"/>
      <c r="O236" s="220">
        <f>IF(OR(AE235="",AE236=""),"",ROUND(IF(L237&gt;0,IF(M236&gt;0,M236,IF(M235&gt;0,IF(N235=TRUE,ROUND((M235*AE236)/AE235,0),(M235*AE236)/AE235),IF(M236&gt;0,ROUND(M236,IF(N235=0,2,IF(N235=0.1,1,0))),IF(M237&gt;0,ROUND(O237*AE236/AE237,IF(N235=0,2,IF(N235=0.1,1,0))),0)))),IF(M236&gt;0,M236,ROUND((M235*AE236)/AE235,IF(N235=0,2,IF(N235=0.1,1,0))))),2))</f>
        <v>4.11</v>
      </c>
      <c r="P236" s="221">
        <f>IF(OR(L236="",O236=""),"",IF($C236="1/2W",O236/2+O236/2*L236,IF($C236="1/2L",O236/2,IF(I236="Lay",((O236*(L236/(L236-1)))-O236)*(1-_xlfn.XLOOKUP(K236,'Janeiro 2023 - Valor Real'!A3:A15,'Janeiro 2023 - Valor Real'!C3:C15,0))+O236,(O236*L236-O236)*(1-_xlfn.XLOOKUP(K236,'Janeiro 2023 - Valor Real'!A3:A15,'Janeiro 2023 - Valor Real'!C3:C15,0))+O236))))</f>
        <v>18.495</v>
      </c>
      <c r="Q236" s="222">
        <f>IF(K236="","",IF(_xlfn.XLOOKUP(K236,K92:K$98,DJ92:DJ$98,0,,-1)=DJ236,_xlfn.XLOOKUP(K236,K92:K$98,Q92:Q$98,1,,-1)+1,1))</f>
        <v>1</v>
      </c>
      <c r="R236" s="223">
        <f>IF(K236="","",_xlfn.XLOOKUP(K236,K92:K$98,R92:R$98,0,,-1)+IF($C236=" ",1,0))</f>
        <v>0</v>
      </c>
      <c r="S236" s="125"/>
      <c r="T236" s="126"/>
      <c r="U236" s="126"/>
      <c r="V236" s="224"/>
      <c r="W236" s="126"/>
      <c r="X236" s="127"/>
      <c r="Y236" s="128"/>
      <c r="Z236" s="129"/>
      <c r="AA236" s="129"/>
      <c r="AB236" s="129"/>
      <c r="AC236" s="129"/>
      <c r="AD236" s="225">
        <f>(((L236/(L236-1)-1)*(1-_xlfn.XLOOKUP(K236,'Janeiro 2023 - Valor Real'!A3:A15,'Janeiro 2023 - Valor Real'!C3:C15,0))+1))</f>
        <v>1.28571428571429</v>
      </c>
      <c r="AE236" s="226">
        <f>IF(L236="","",IF(L237&gt;0,(SUM(((L235-1)*(1-_xlfn.XLOOKUP(K235,'Janeiro 2023 - Valor Real'!A3:A15,'Janeiro 2023 - Valor Real'!C3:C15,0))+1),((L236-1)*(1-_xlfn.XLOOKUP(K236,'Janeiro 2023 - Valor Real'!A3:A15,'Janeiro 2023 - Valor Real'!C3:C15,0))+1),((L237-1)*(1-_xlfn.XLOOKUP(K237,'Janeiro 2023 - Valor Real'!A3:A15,'Janeiro 2023 - Valor Real'!C3:C15,0))+1))/((L236-1)*(1-_xlfn.XLOOKUP(K236,'Janeiro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Real'!C3:C15,0))+1))/((L235-1)*(1-_xlfn.XLOOKUP(K235,'Janeiro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Real'!C3:C15,0))+1))/((L236-1)*(1-_xlfn.XLOOKUP(K236,'Janeiro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Real'!C3:C15,0))+1))/((L237-1)*(1-_xlfn.XLOOKUP(K237,'Janeiro 2023 - Valor Real'!A3:A15,'Janeiro 2023 - Valor Real'!C3:C15,0))+1)),IF(I236="Lay",IF(I235="Lay",((L235/(L235-1)-1)*(1-_xlfn.XLOOKUP(K235,'Janeiro 2023 - Valor Real'!A3:A15,'Janeiro 2023 - Valor Real'!C3:C15,0))+1)/(((L235/(L235-1)-1)*(1-_xlfn.XLOOKUP(K235,'Janeiro 2023 - Valor Real'!A3:A15,'Janeiro 2023 - Valor Real'!C3:C15,0))+1)+((L236/(L236-1)-1)*(1-_xlfn.XLOOKUP(K236,'Janeiro 2023 - Valor Real'!A3:A15,'Janeiro 2023 - Valor Real'!C3:C15,0))+1)),((L235-1)*(1-_xlfn.XLOOKUP(K235,'Janeiro 2023 - Valor Real'!A3:A15,'Janeiro 2023 - Valor Real'!C3:C15,0))+1)/(((L235-1)*(1-_xlfn.XLOOKUP(K235,'Janeiro 2023 - Valor Real'!A3:A15,'Janeiro 2023 - Valor Real'!C3:C15,0))+1)+((L236/(L236-1)-1)*(1-_xlfn.XLOOKUP(K236,'Janeiro 2023 - Valor Real'!A3:A15,'Janeiro 2023 - Valor Real'!C3:C15,0))+1))),IF(I235="Lay",((L235/(L235-1)-1)*(1-_xlfn.XLOOKUP(K235,'Janeiro 2023 - Valor Real'!A3:A15,'Janeiro 2023 - Valor Real'!C3:C15,0))+1)/((((L235/(L235-1)-1)*(1-_xlfn.XLOOKUP(K235,'Janeiro 2023 - Valor Real'!A3:A15,'Janeiro 2023 - Valor Real'!C3:C15,0))+1))+((L236-1)*(1-_xlfn.XLOOKUP(K236,'Janeiro 2023 - Valor Real'!A3:A15,'Janeiro 2023 - Valor Real'!C3:C15,0))+1)),((L235-1)*(1-_xlfn.XLOOKUP(K235,'Janeiro 2023 - Valor Real'!A3:A15,'Janeiro 2023 - Valor Real'!C3:C15,0))+1)/(((L235-1)*(1-_xlfn.XLOOKUP(K235,'Janeiro 2023 - Valor Real'!A3:A15,'Janeiro 2023 - Valor Real'!C3:C15,0))+1)+((L236-1)*(1-_xlfn.XLOOKUP(K236,'Janeiro 2023 - Valor Real'!A3:A15,'Janeiro 2023 - Valor Real'!C3:C15,0))+1))))))</f>
        <v>0.235993208828523</v>
      </c>
      <c r="AF236" s="197">
        <f>IF($K236=AF$3,ROUND(IF(OR($C236="W",$C236="1/2W",$C236="1/2L"),$P236-$O236,IF($C236="X",0,-$O236)),2),0)</f>
        <v>0</v>
      </c>
      <c r="AG236" s="198">
        <f>IF($K236=AG$3,ROUND(IF(OR($C236="W",$C236="1/2W",$C236="1/2L"),$P236-$O236,IF($C236="X",0,-$O236)),2),0)</f>
        <v>14.39</v>
      </c>
      <c r="AH236" s="198">
        <f>IF($K236=AH$3,ROUND(IF(OR($C236="W",$C236="1/2W",$C236="1/2L"),$P236-$O236,IF($C236="X",0,-$O236)),2),0)</f>
        <v>0</v>
      </c>
      <c r="AI236" s="198">
        <f>IF($K236=AI$3,ROUND(IF(OR($C236="W",$C236="1/2W",$C236="1/2L"),$P236-$O236,IF($C236="X",0,-$O236)),2),0)</f>
        <v>0</v>
      </c>
      <c r="AJ236" s="198">
        <f>IF($K236=AJ$3,ROUND(IF(OR($C236="W",$C236="1/2W",$C236="1/2L"),$P236-$O236,IF($C236="X",0,-$O236)),2),0)</f>
        <v>0</v>
      </c>
      <c r="AK236" s="198">
        <f>IF($K236=AK$3,ROUND(IF(OR($C236="W",$C236="1/2W",$C236="1/2L"),$P236-$O236,IF($C236="X",0,-$O236)),2),0)</f>
        <v>0</v>
      </c>
      <c r="AL236" s="198">
        <f>IF($K236=AL$3,ROUND(IF(OR($C236="W",$C236="1/2W",$C236="1/2L"),$P236-$O236,IF($C236="X",0,-$O236)),2),0)</f>
        <v>0</v>
      </c>
      <c r="AM236" s="198">
        <f>IF($K236=AM$3,ROUND(IF(OR($C236="W",$C236="1/2W",$C236="1/2L"),$P236-$O236,IF($C236="X",0,-$O236)),2),0)</f>
        <v>0</v>
      </c>
      <c r="AN236" s="198">
        <f>IF($K236=AN$3,ROUND(IF(OR($C236="W",$C236="1/2W",$C236="1/2L"),$P236-$O236,IF($C236="X",0,-$O236)),2),0)</f>
        <v>0</v>
      </c>
      <c r="AO236" s="198">
        <f>IF($K236=AO$3,ROUND(IF(OR($C236="W",$C236="1/2W",$C236="1/2L"),$P236-$O236,IF($C236="X",0,-$O236)),2),0)</f>
        <v>0</v>
      </c>
      <c r="AP236" s="198">
        <f>IF($K236=AP$3,ROUND(IF(OR($C236="W",$C236="1/2W",$C236="1/2L"),$P236-$O236,IF($C236="X",0,-$O236)),2),0)</f>
        <v>0</v>
      </c>
      <c r="AQ236" s="198">
        <f>IF($K236=AQ$3,ROUND(IF(OR($C236="W",$C236="1/2W",$C236="1/2L"),$P236-$O236,IF($C236="X",0,-$O236)),2),0)</f>
        <v>0</v>
      </c>
      <c r="AR236" s="199">
        <f>IF($K236=AR$3,ROUND(IF(OR($C236="W",$C236="1/2W",$C236="1/2L"),$P236-$O236,IF($C236="X",0,-$O236)),2),0)</f>
        <v>0</v>
      </c>
      <c r="AS236" s="197">
        <f>IF(AND($B235=" ",$K236=AS$3),$O236,0)</f>
        <v>0</v>
      </c>
      <c r="AT236" s="198">
        <f>IF(AND($B235=" ",K236=AT$3),$O236,0)</f>
        <v>0</v>
      </c>
      <c r="AU236" s="198">
        <f>IF(AND($B235=" ",$K236=AU$3),$O236,0)</f>
        <v>0</v>
      </c>
      <c r="AV236" s="198">
        <f>IF(AND($B235=" ",$K236=AV$3),$O236,0)</f>
        <v>0</v>
      </c>
      <c r="AW236" s="198">
        <f>IF(AND($B235=" ",$K236=AW$3),$O236,0)</f>
        <v>0</v>
      </c>
      <c r="AX236" s="198">
        <f>IF(AND($B235=" ",$K236=AX$3),$O236,0)</f>
        <v>0</v>
      </c>
      <c r="AY236" s="200">
        <f>IF(AND($B235=" ",$K236=AY$3),$O236,0)</f>
        <v>0</v>
      </c>
      <c r="AZ236" s="201">
        <f>IF(AND($B235=" ",$K236=AZ$3),$O236,0)</f>
        <v>0</v>
      </c>
      <c r="BA236" s="201">
        <f>IF(AND($B235=" ",$K236=BA$3),$O236,0)</f>
        <v>0</v>
      </c>
      <c r="BB236" s="201">
        <f>IF(AND($B235=" ",$K236=BB$3),$O236,0)</f>
        <v>0</v>
      </c>
      <c r="BC236" s="202">
        <f>IF(AND($B235=" ",$K236=BC$3),$O236,0)</f>
        <v>0</v>
      </c>
      <c r="BD236" s="198">
        <f>IF(AND($B235=" ",$K236=BD$3),$O236,0)</f>
        <v>0</v>
      </c>
      <c r="BE236" s="199">
        <f>IF(AND($B235=" ",$K236=BE$3),$O236,0)</f>
        <v>0</v>
      </c>
      <c r="BF236" s="197">
        <f>IF($K236=BF$3,IF($C236="X",0,$O236),0)</f>
        <v>0</v>
      </c>
      <c r="BG236" s="198">
        <f>IF($K236=BG$3,IF($C236="X",0,$O236),0)</f>
        <v>4.11</v>
      </c>
      <c r="BH236" s="198">
        <f>IF($K236=BH$3,IF($C236="X",0,$O236),0)</f>
        <v>0</v>
      </c>
      <c r="BI236" s="198">
        <f>IF($K236=BI$3,IF($C236="X",0,$O236),0)</f>
        <v>0</v>
      </c>
      <c r="BJ236" s="198">
        <f>IF($K236=BJ$3,IF($C236="X",0,$O236),0)</f>
        <v>0</v>
      </c>
      <c r="BK236" s="198">
        <f>IF($K236=BK$3,IF($C236="X",0,$O236),0)</f>
        <v>0</v>
      </c>
      <c r="BL236" s="198">
        <f>IF($K236=BL$3,IF($C236="X",0,$O236),0)</f>
        <v>0</v>
      </c>
      <c r="BM236" s="227">
        <f>IF($K236=BM$3,IF($C236="X",0,$O236),0)</f>
        <v>0</v>
      </c>
      <c r="BN236" s="205">
        <f>IF($K236=BN$3,IF($C236="X",0,$O236),0)</f>
        <v>0</v>
      </c>
      <c r="BO236" s="205">
        <f>IF($K236=BO$3,IF($C236="X",0,$O236),0)</f>
        <v>0</v>
      </c>
      <c r="BP236" s="205">
        <f>IF($K236=BP$3,IF($C236="X",0,$O236),0)</f>
        <v>0</v>
      </c>
      <c r="BQ236" s="202">
        <f>IF($K236=BQ$3,IF($C236="X",0,$O236),0)</f>
        <v>0</v>
      </c>
      <c r="BR236" s="199">
        <f>IF($K236=BR$3,IF($C236="X",0,$O236),0)</f>
        <v>0</v>
      </c>
      <c r="BS236" s="228"/>
      <c r="BT236" s="229"/>
      <c r="BU236" s="140"/>
      <c r="BV236" s="229"/>
      <c r="BW236" s="140"/>
      <c r="BX236" s="140"/>
      <c r="BY236" s="140"/>
      <c r="BZ236" s="229"/>
      <c r="CA236" s="140"/>
      <c r="CB236" s="140"/>
      <c r="CC236" s="140"/>
      <c r="CD236" s="141"/>
      <c r="CE236" s="142"/>
      <c r="CF236" s="230">
        <f>IF(CF$3=$K236,IF($C236="W",1,IF($C236="1/2W",0.5,0)),0)</f>
        <v>0</v>
      </c>
      <c r="CG236" s="231">
        <f>IF(CF$3=$K236,IF($C236="L",1,IF($C236="1/2L",0.5,0)),0)</f>
        <v>0</v>
      </c>
      <c r="CH236" s="231">
        <f>IF(CH$3=$K236,IF($C236="W",1,IF($C236="1/2W",0.5,0)),0)</f>
        <v>1</v>
      </c>
      <c r="CI236" s="231">
        <f>IF(CH$3=$K236,IF($C236="L",1,IF($C236="1/2L",0.5,0)),0)</f>
        <v>0</v>
      </c>
      <c r="CJ236" s="231">
        <f>IF(CJ$3=$K236,IF($C236="W",1,IF($C236="1/2W",0.5,0)),0)</f>
        <v>0</v>
      </c>
      <c r="CK236" s="231">
        <f>IF(CJ$3=$K236,IF($C236="L",1,IF($C236="1/2L",0.5,0)),0)</f>
        <v>0</v>
      </c>
      <c r="CL236" s="231">
        <f>IF(CL$3=$K236,IF($C236="W",1,IF($C236="1/2W",0.5,0)),0)</f>
        <v>0</v>
      </c>
      <c r="CM236" s="231">
        <f>IF(CL$3=$K236,IF($C236="L",1,IF($C236="1/2L",0.5,0)),0)</f>
        <v>0</v>
      </c>
      <c r="CN236" s="231">
        <f>IF(CN$3=$K236,IF($C236="W",1,IF($C236="1/2W",0.5,0)),0)</f>
        <v>0</v>
      </c>
      <c r="CO236" s="231">
        <f>IF(CN$3=$K236,IF($C236="L",1,IF($C236="1/2L",0.5,0)),0)</f>
        <v>0</v>
      </c>
      <c r="CP236" s="231">
        <f>IF(CP$3=$K236,IF($C236="W",1,IF($C236="1/2W",0.5,0)),0)</f>
        <v>0</v>
      </c>
      <c r="CQ236" s="231">
        <f>IF(CP$3=$K236,IF($C236="L",1,IF($C236="1/2L",0.5,0)),0)</f>
        <v>0</v>
      </c>
      <c r="CR236" s="231">
        <f>IF(CR$3=$K236,IF($C236="W",1,IF($C236="1/2W",0.5,0)),0)</f>
        <v>0</v>
      </c>
      <c r="CS236" s="231">
        <f>IF(CR$3=$K236,IF($C236="L",1,IF($C236="1/2L",0.5,0)),0)</f>
        <v>0</v>
      </c>
      <c r="CT236" s="208">
        <f>IF(CT$3=$K236,IF($C236="W",1,IF($C236="1/2W",0.5,0)),0)</f>
        <v>0</v>
      </c>
      <c r="CU236" s="209">
        <f>IF(CT$3=$K236,IF($C236="L",1,IF($C236="1/2L",0.5,0)),0)</f>
        <v>0</v>
      </c>
      <c r="CV236" s="209">
        <f>IF(CV$3=$K236,IF($C236="W",1,IF($C236="1/2W",0.5,0)),0)</f>
        <v>0</v>
      </c>
      <c r="CW236" s="209">
        <f>IF(CV$3=$K236,IF($C236="L",1,IF($C236="1/2L",0.5,0)),0)</f>
        <v>0</v>
      </c>
      <c r="CX236" s="209">
        <f>IF(CX$3=$K236,IF($C236="W",1,IF($C236="1/2W",0.5,0)),0)</f>
        <v>0</v>
      </c>
      <c r="CY236" s="209">
        <f>IF(CX$3=$K236,IF($C236="L",1,IF($C236="1/2L",0.5,0)),0)</f>
        <v>0</v>
      </c>
      <c r="CZ236" s="209">
        <f>IF(CZ$3=$K236,IF($C236="W",1,IF($C236="1/2W",0.5,0)),0)</f>
        <v>0</v>
      </c>
      <c r="DA236" s="209">
        <f>IF(CZ$3=$K236,IF($C236="L",1,IF($C236="1/2L",0.5,0)),0)</f>
        <v>0</v>
      </c>
      <c r="DB236" s="209">
        <f>IF(DB$3=$K236,IF($C236="W",1,IF($C236="1/2W",0.5,0)),0)</f>
        <v>0</v>
      </c>
      <c r="DC236" s="209">
        <f>IF(DB$3=$K236,IF($C236="L",1,IF($C236="1/2L",0.5,0)),0)</f>
        <v>0</v>
      </c>
      <c r="DD236" s="209">
        <f>IF(DD$3=$K236,IF($C236="W",1,IF($C236="1/2W",0.5,0)),0)</f>
        <v>0</v>
      </c>
      <c r="DE236" s="210">
        <f>IF(DD$3=$K236,IF($C236="L",1,IF($C236="1/2L",0.5,0)),0)</f>
        <v>0</v>
      </c>
      <c r="DF236" s="211">
        <f>IF(AND(L236&lt;DF$3,$C236="W"),1+DF235,DF235)</f>
        <v>8</v>
      </c>
      <c r="DG236" s="198">
        <f>IF(DF236&gt;DF235,L236+DG235,DG235)</f>
        <v>10.598</v>
      </c>
      <c r="DH236" s="209">
        <f>IF(AND(L236&gt;DH$3,$C236="W"),1+DH235,0+DH235)</f>
        <v>4</v>
      </c>
      <c r="DI236" s="198">
        <f>IF(DH236&gt;DH235,L236+DI235,DI235)</f>
        <v>20.48</v>
      </c>
      <c r="DJ236" t="s" s="306">
        <f>IF($D235="","",$D235)</f>
        <v>229</v>
      </c>
      <c r="DK236" s="232"/>
    </row>
    <row r="237" ht="14.55" customHeight="1">
      <c r="A237" s="149"/>
      <c r="B237" s="150"/>
      <c r="C237" t="s" s="233">
        <v>58</v>
      </c>
      <c r="D237" s="152"/>
      <c r="E237" s="153"/>
      <c r="F237" s="155"/>
      <c r="G237" s="234"/>
      <c r="H237" s="156"/>
      <c r="I237" s="235"/>
      <c r="J237" s="236"/>
      <c r="K237" s="237"/>
      <c r="L237" s="238"/>
      <c r="M237" s="239"/>
      <c r="N237" s="161"/>
      <c r="O237" t="s" s="240">
        <f>IF(OR(AE235="",AE236=""),"",IF(L237&gt;0,ROUND(IF(M237&gt;0,M237,IF(M235&gt;0,ROUND((M235*AE237)/AE235,IF(N235=0,2,IF(N235=0.1,1,0))),IF(M236&gt;0,ROUND((M236*AE237)/AE236,IF(N235=0,2,IF(N235=0.1,1,0))),IF(M237&gt;0,M237,0)))),2),""))</f>
      </c>
      <c r="P237" t="s" s="241">
        <f>IF(I236="Lay",O236*(L236/(L236-1))-O236,IF(I235="Lay",O235*(L235/(L235-1))-O235,IF(OR(L237="",O237=""),"",IF($C237="1/2W",O237/2+O237/2*L237,IF($C237="1/2L",O237/2,(O237*L237-O237)*(1-_xlfn.XLOOKUP(K237,'Janeiro 2023 - Valor Real'!A3:A15,'Janeiro 2023 - Valor Real'!C3:C15,0))+O237)))))</f>
      </c>
      <c r="Q237" t="s" s="242">
        <f>IF(K237="","",IF(_xlfn.XLOOKUP(K237,K93:K$99,DJ93:DJ$99,0,,-1)=DJ237,_xlfn.XLOOKUP(K237,K93:K$99,Q93:Q$99,1,,-1)+1,1))</f>
      </c>
      <c r="R237" t="s" s="243">
        <f>IF(K237="","",_xlfn.XLOOKUP(K237,K93:K$99,R93:R$99,0,,-1)+IF($C237=" ",1,0))</f>
      </c>
      <c r="S237" s="166"/>
      <c r="T237" s="155"/>
      <c r="U237" s="155"/>
      <c r="V237" s="166"/>
      <c r="W237" s="155"/>
      <c r="X237" s="167"/>
      <c r="Y237" s="128"/>
      <c r="Z237" s="129"/>
      <c r="AA237" s="129"/>
      <c r="AB237" s="129"/>
      <c r="AC237" s="129"/>
      <c r="AD237" s="244">
        <f>((L236/(L236-1)-1))</f>
        <v>0.285714285714286</v>
      </c>
      <c r="AE237" t="s" s="245">
        <f>IF(L237="","",(SUM(((L235-1)*(1-_xlfn.XLOOKUP(K235,'Janeiro 2023 - Valor Real'!A3:A15,'Janeiro 2023 - Valor Real'!C3:C15,0))+1),((L236-1)*(1-_xlfn.XLOOKUP(K236,'Janeiro 2023 - Valor Real'!A3:A15,'Janeiro 2023 - Valor Real'!C3:C15,0))+1),((L237-1)*(1-_xlfn.XLOOKUP(K237,'Janeiro 2023 - Valor Real'!A3:A15,'Janeiro 2023 - Valor Real'!C3:C15,0))+1))/((L237-1)*(1-_xlfn.XLOOKUP(K237,'Janeiro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Real'!C3:C15,0))+1))/((L235-1)*(1-_xlfn.XLOOKUP(K235,'Janeiro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Real'!C3:C15,0))+1))/((L236-1)*(1-_xlfn.XLOOKUP(K236,'Janeiro 2023 - Valor Real'!A3:A15,'Janeiro 2023 - Valor Real'!C3:C15,0))+1)+SUM(((L235-1)*(1-_xlfn.XLOOKUP(K235,'Janeiro 2023 - Valor Real'!A3:A15,'Janeiro 2023 - Valor Real'!C3:C15,0))+1),((L236-1)*(1-_xlfn.XLOOKUP(K236,'Janeiro 2023 - Valor Real'!A3:A15,'Janeiro 2023 - Valor Real'!C3:C15,0))+1),((L237-1)*(1-_xlfn.XLOOKUP(K237,'Janeiro 2023 - Valor Real'!A3:A15,'Janeiro 2023 - Valor Real'!C3:C15,0))+1))/((L237-1)*(1-_xlfn.XLOOKUP(K237,'Janeiro 2023 - Valor Real'!A3:A15,'Janeiro 2023 - Valor Real'!C3:C15,0))+1)))</f>
      </c>
      <c r="AF237" s="197">
        <f>IF($K237=AF$3,ROUND(IF(OR($C237="W",$C237="1/2W",$C237="1/2L"),$P237-$O237,IF($C237="X",0,-$O237)),2),0)</f>
        <v>0</v>
      </c>
      <c r="AG237" s="198">
        <f>IF($K237=AG$3,ROUND(IF(OR($C237="W",$C237="1/2W",$C237="1/2L"),$P237-$O237,IF($C237="X",0,-$O237)),2),0)</f>
        <v>0</v>
      </c>
      <c r="AH237" s="198">
        <f>IF($K237=AH$3,ROUND(IF(OR($C237="W",$C237="1/2W",$C237="1/2L"),$P237-$O237,IF($C237="X",0,-$O237)),2),0)</f>
        <v>0</v>
      </c>
      <c r="AI237" s="198">
        <f>IF($K237=AI$3,ROUND(IF(OR($C237="W",$C237="1/2W",$C237="1/2L"),$P237-$O237,IF($C237="X",0,-$O237)),2),0)</f>
        <v>0</v>
      </c>
      <c r="AJ237" s="198">
        <f>IF($K237=AJ$3,ROUND(IF(OR($C237="W",$C237="1/2W",$C237="1/2L"),$P237-$O237,IF($C237="X",0,-$O237)),2),0)</f>
        <v>0</v>
      </c>
      <c r="AK237" s="198">
        <f>IF($K237=AK$3,ROUND(IF(OR($C237="W",$C237="1/2W",$C237="1/2L"),$P237-$O237,IF($C237="X",0,-$O237)),2),0)</f>
        <v>0</v>
      </c>
      <c r="AL237" s="198">
        <f>IF($K237=AL$3,ROUND(IF(OR($C237="W",$C237="1/2W",$C237="1/2L"),$P237-$O237,IF($C237="X",0,-$O237)),2),0)</f>
        <v>0</v>
      </c>
      <c r="AM237" s="198">
        <f>IF($K237=AM$3,ROUND(IF(OR($C237="W",$C237="1/2W",$C237="1/2L"),$P237-$O237,IF($C237="X",0,-$O237)),2),0)</f>
        <v>0</v>
      </c>
      <c r="AN237" s="198">
        <f>IF($K237=AN$3,ROUND(IF(OR($C237="W",$C237="1/2W",$C237="1/2L"),$P237-$O237,IF($C237="X",0,-$O237)),2),0)</f>
        <v>0</v>
      </c>
      <c r="AO237" s="198">
        <f>IF($K237=AO$3,ROUND(IF(OR($C237="W",$C237="1/2W",$C237="1/2L"),$P237-$O237,IF($C237="X",0,-$O237)),2),0)</f>
        <v>0</v>
      </c>
      <c r="AP237" s="198">
        <f>IF($K237=AP$3,ROUND(IF(OR($C237="W",$C237="1/2W",$C237="1/2L"),$P237-$O237,IF($C237="X",0,-$O237)),2),0)</f>
        <v>0</v>
      </c>
      <c r="AQ237" s="198">
        <f>IF($K237=AQ$3,ROUND(IF(OR($C237="W",$C237="1/2W",$C237="1/2L"),$P237-$O237,IF($C237="X",0,-$O237)),2),0)</f>
        <v>0</v>
      </c>
      <c r="AR237" s="199">
        <f>IF($K237=AR$3,ROUND(IF(OR($C237="W",$C237="1/2W",$C237="1/2L"),$P237-$O237,IF($C237="X",0,-$O237)),2),0)</f>
        <v>0</v>
      </c>
      <c r="AS237" s="197">
        <f>IF(AND($B235=" ",$K237=AS$3),$O237,0)</f>
        <v>0</v>
      </c>
      <c r="AT237" s="198">
        <f>IF(AND($B235=" ",K237=AT$3),$O237,0)</f>
        <v>0</v>
      </c>
      <c r="AU237" s="198">
        <f>IF(AND($B235=" ",$K237=AU$3),$O237,0)</f>
        <v>0</v>
      </c>
      <c r="AV237" s="198">
        <f>IF(AND($B235=" ",$K237=AV$3),$O237,0)</f>
        <v>0</v>
      </c>
      <c r="AW237" s="198">
        <f>IF(AND($B235=" ",$K237=AW$3),$O237,0)</f>
        <v>0</v>
      </c>
      <c r="AX237" s="198">
        <f>IF(AND($B235=" ",$K237=AX$3),$O237,0)</f>
        <v>0</v>
      </c>
      <c r="AY237" s="200">
        <f>IF(AND($B235=" ",$K237=AY$3),$O237,0)</f>
        <v>0</v>
      </c>
      <c r="AZ237" s="201">
        <f>IF(AND($B235=" ",$K237=AZ$3),$O237,0)</f>
        <v>0</v>
      </c>
      <c r="BA237" s="201">
        <f>IF(AND($B235=" ",$K237=BA$3),$O237,0)</f>
        <v>0</v>
      </c>
      <c r="BB237" s="201">
        <f>IF(AND($B235=" ",$K237=BB$3),$O237,0)</f>
        <v>0</v>
      </c>
      <c r="BC237" s="202">
        <f>IF(AND($B235=" ",$K237=BC$3),$O237,0)</f>
        <v>0</v>
      </c>
      <c r="BD237" s="198">
        <f>IF(AND($B235=" ",$K237=BD$3),$O237,0)</f>
        <v>0</v>
      </c>
      <c r="BE237" s="199">
        <f>IF(AND($B235=" ",$K237=BE$3),$O237,0)</f>
        <v>0</v>
      </c>
      <c r="BF237" s="197">
        <f>IF($K237=BF$3,IF($C237="X",0,$O237),0)</f>
        <v>0</v>
      </c>
      <c r="BG237" s="198">
        <f>IF($K237=BG$3,IF($C237="X",0,$O237),0)</f>
        <v>0</v>
      </c>
      <c r="BH237" s="198">
        <f>IF($K237=BH$3,IF($C237="X",0,$O237),0)</f>
        <v>0</v>
      </c>
      <c r="BI237" s="198">
        <f>IF($K237=BI$3,IF($C237="X",0,$O237),0)</f>
        <v>0</v>
      </c>
      <c r="BJ237" s="198">
        <f>IF($K237=BJ$3,IF($C237="X",0,$O237),0)</f>
        <v>0</v>
      </c>
      <c r="BK237" s="198">
        <f>IF($K237=BK$3,IF($C237="X",0,$O237),0)</f>
        <v>0</v>
      </c>
      <c r="BL237" s="198">
        <f>IF($K237=BL$3,IF($C237="X",0,$O237),0)</f>
        <v>0</v>
      </c>
      <c r="BM237" s="200">
        <f>IF($K237=BM$3,IF($C237="X",0,$O237),0)</f>
        <v>0</v>
      </c>
      <c r="BN237" s="201">
        <f>IF($K237=BN$3,IF($C237="X",0,$O237),0)</f>
        <v>0</v>
      </c>
      <c r="BO237" s="201">
        <f>IF($K237=BO$3,IF($C237="X",0,$O237),0)</f>
        <v>0</v>
      </c>
      <c r="BP237" s="201">
        <f>IF($K237=BP$3,IF($C237="X",0,$O237),0)</f>
        <v>0</v>
      </c>
      <c r="BQ237" s="202">
        <f>IF($K237=BQ$3,IF($C237="X",0,$O237),0)</f>
        <v>0</v>
      </c>
      <c r="BR237" s="199">
        <f>IF($K237=BR$3,IF($C237="X",0,$O237),0)</f>
        <v>0</v>
      </c>
      <c r="BS237" s="228"/>
      <c r="BT237" s="229"/>
      <c r="BU237" s="140"/>
      <c r="BV237" s="229"/>
      <c r="BW237" s="140"/>
      <c r="BX237" s="140"/>
      <c r="BY237" s="140"/>
      <c r="BZ237" s="229"/>
      <c r="CA237" s="140"/>
      <c r="CB237" s="140"/>
      <c r="CC237" s="140"/>
      <c r="CD237" s="141"/>
      <c r="CE237" s="142"/>
      <c r="CF237" s="230">
        <f>IF(CF$3=$K237,IF($C237="W",1,IF($C237="1/2W",0.5,0)),0)</f>
        <v>0</v>
      </c>
      <c r="CG237" s="231">
        <f>IF(CF$3=$K237,IF($C237="L",1,IF($C237="1/2L",0.5,0)),0)</f>
        <v>0</v>
      </c>
      <c r="CH237" s="231">
        <f>IF(CH$3=$K237,IF($C237="W",1,IF($C237="1/2W",0.5,0)),0)</f>
        <v>0</v>
      </c>
      <c r="CI237" s="231">
        <f>IF(CH$3=$K237,IF($C237="L",1,IF($C237="1/2L",0.5,0)),0)</f>
        <v>0</v>
      </c>
      <c r="CJ237" s="231">
        <f>IF(CJ$3=$K237,IF($C237="W",1,IF($C237="1/2W",0.5,0)),0)</f>
        <v>0</v>
      </c>
      <c r="CK237" s="231">
        <f>IF(CJ$3=$K237,IF($C237="L",1,IF($C237="1/2L",0.5,0)),0)</f>
        <v>0</v>
      </c>
      <c r="CL237" s="231">
        <f>IF(CL$3=$K237,IF($C237="W",1,IF($C237="1/2W",0.5,0)),0)</f>
        <v>0</v>
      </c>
      <c r="CM237" s="231">
        <f>IF(CL$3=$K237,IF($C237="L",1,IF($C237="1/2L",0.5,0)),0)</f>
        <v>0</v>
      </c>
      <c r="CN237" s="231">
        <f>IF(CN$3=$K237,IF($C237="W",1,IF($C237="1/2W",0.5,0)),0)</f>
        <v>0</v>
      </c>
      <c r="CO237" s="231">
        <f>IF(CN$3=$K237,IF($C237="L",1,IF($C237="1/2L",0.5,0)),0)</f>
        <v>0</v>
      </c>
      <c r="CP237" s="231">
        <f>IF(CP$3=$K237,IF($C237="W",1,IF($C237="1/2W",0.5,0)),0)</f>
        <v>0</v>
      </c>
      <c r="CQ237" s="231">
        <f>IF(CP$3=$K237,IF($C237="L",1,IF($C237="1/2L",0.5,0)),0)</f>
        <v>0</v>
      </c>
      <c r="CR237" s="231">
        <f>IF(CR$3=$K237,IF($C237="W",1,IF($C237="1/2W",0.5,0)),0)</f>
        <v>0</v>
      </c>
      <c r="CS237" s="231">
        <f>IF(CR$3=$K237,IF($C237="L",1,IF($C237="1/2L",0.5,0)),0)</f>
        <v>0</v>
      </c>
      <c r="CT237" s="208">
        <f>IF(CT$3=$K237,IF($C237="W",1,IF($C237="1/2W",0.5,0)),0)</f>
        <v>0</v>
      </c>
      <c r="CU237" s="209">
        <f>IF(CT$3=$K237,IF($C237="L",1,IF($C237="1/2L",0.5,0)),0)</f>
        <v>0</v>
      </c>
      <c r="CV237" s="209">
        <f>IF(CV$3=$K237,IF($C237="W",1,IF($C237="1/2W",0.5,0)),0)</f>
        <v>0</v>
      </c>
      <c r="CW237" s="209">
        <f>IF(CV$3=$K237,IF($C237="L",1,IF($C237="1/2L",0.5,0)),0)</f>
        <v>0</v>
      </c>
      <c r="CX237" s="209">
        <f>IF(CX$3=$K237,IF($C237="W",1,IF($C237="1/2W",0.5,0)),0)</f>
        <v>0</v>
      </c>
      <c r="CY237" s="209">
        <f>IF(CX$3=$K237,IF($C237="L",1,IF($C237="1/2L",0.5,0)),0)</f>
        <v>0</v>
      </c>
      <c r="CZ237" s="209">
        <f>IF(CZ$3=$K237,IF($C237="W",1,IF($C237="1/2W",0.5,0)),0)</f>
        <v>0</v>
      </c>
      <c r="DA237" s="209">
        <f>IF(CZ$3=$K237,IF($C237="L",1,IF($C237="1/2L",0.5,0)),0)</f>
        <v>0</v>
      </c>
      <c r="DB237" s="209">
        <f>IF(DB$3=$K237,IF($C237="W",1,IF($C237="1/2W",0.5,0)),0)</f>
        <v>0</v>
      </c>
      <c r="DC237" s="209">
        <f>IF(DB$3=$K237,IF($C237="L",1,IF($C237="1/2L",0.5,0)),0)</f>
        <v>0</v>
      </c>
      <c r="DD237" s="209">
        <f>IF(DD$3=$K237,IF($C237="W",1,IF($C237="1/2W",0.5,0)),0)</f>
        <v>0</v>
      </c>
      <c r="DE237" s="210">
        <f>IF(DD$3=$K237,IF($C237="L",1,IF($C237="1/2L",0.5,0)),0)</f>
        <v>0</v>
      </c>
      <c r="DF237" s="211">
        <f>IF(AND(L237&lt;DF$3,$C237="W"),1+DF236,DF236)</f>
        <v>8</v>
      </c>
      <c r="DG237" s="198">
        <f>IF(DF237&gt;DF236,L237+DG236,DG236)</f>
        <v>10.598</v>
      </c>
      <c r="DH237" s="209">
        <f>IF(AND(L237&gt;DH$3,$C237="W"),1+DH236,0+DH236)</f>
        <v>4</v>
      </c>
      <c r="DI237" s="198">
        <f>IF(DH237&gt;DH236,L237+DI236,DI236)</f>
        <v>20.48</v>
      </c>
      <c r="DJ237" t="s" s="306">
        <f>IF($D235="","",$D235)</f>
        <v>229</v>
      </c>
      <c r="DK237" s="232"/>
    </row>
    <row r="238" ht="14.55" customHeight="1">
      <c r="A238" s="246">
        <f>$A235+1</f>
        <v>79</v>
      </c>
      <c r="B238" t="s" s="247">
        <f>IF(AND(_xlfn.XLOOKUP(H238,H$94:H100,G$94:G100,0)=G238,_xlfn.XLOOKUP("TempoBet",K238:K240,L238:L240,0)&gt;0),"X",IF(OR(C238="W",C239="W",C240="W",C238="1/2W",C239="1/2W",C240="1/2W",C238="1/2L",C239="1/2L",C240="1/2L"),"OK",IF(OR(C238="L",C239="L",C240="L"),"LOSS",IF(OR(C238="X",C239="X",C240="X"),"Anulado"," "))))</f>
        <v>50</v>
      </c>
      <c r="C238" t="s" s="248">
        <v>56</v>
      </c>
      <c r="D238" t="s" s="303">
        <f>IF(G238="","",$D235)</f>
        <v>229</v>
      </c>
      <c r="E238" t="s" s="250">
        <v>111</v>
      </c>
      <c r="F238" t="s" s="251"/>
      <c r="G238" s="252">
        <v>44945.25</v>
      </c>
      <c r="H238" t="s" s="253">
        <v>235</v>
      </c>
      <c r="I238" s="292">
        <v>2</v>
      </c>
      <c r="J238" s="293"/>
      <c r="K238" t="s" s="256">
        <v>48</v>
      </c>
      <c r="L238" s="257">
        <v>5.7</v>
      </c>
      <c r="M238" s="258">
        <v>5.62</v>
      </c>
      <c r="N238" s="259">
        <v>0</v>
      </c>
      <c r="O238" s="260">
        <f>IF(OR(AE238="",AE239=""),"",ROUND(IF(L240&gt;0,IF(M238&gt;0,M238,IF(M239&gt;0,ROUND((M239*AE238)/AE239,IF(N238=0,2,IF(N238=0.1,1,0))),ROUND((M240*AE238)/AE240,IF(N238=0,2,IF(N238=0.1,1,0))))),IF(M238&gt;0,M238,ROUND((M239*AE238)/AE239,IF(N238=0,2,IF(N238=0.1,1,0))))),2))</f>
        <v>5.62</v>
      </c>
      <c r="P238" s="261">
        <f>IF(OR(L238="",O238=""),"",IF($C238="1/2W",O238/2+O238/2*L238,IF($C238="1/2L",O238/2,IF(I238="Lay",(O238*(L238/(L238-1))-O238)*(1-_xlfn.XLOOKUP(K238,'Janeiro 2023 - Valor Real'!A3:A15,'Janeiro 2023 - Valor Real'!C3:C15,0))+O238,(O238*L238-O238)*(1-_xlfn.XLOOKUP(K238,'Janeiro 2023 - Valor Real'!A3:A15,'Janeiro 2023 - Valor Real'!C3:C15,0))+O238))))</f>
        <v>32.034</v>
      </c>
      <c r="Q238" s="262">
        <f>IF(K238="","",IF(_xlfn.XLOOKUP(K238,K$94:K100,DJ$94:DJ100,0,,-1)=DJ238,_xlfn.XLOOKUP(K238,K$94:K100,Q$94:Q100,1,,-1)+1,1))</f>
        <v>1</v>
      </c>
      <c r="R238" s="263">
        <f>IF(K238="","",_xlfn.XLOOKUP(K238,K$94:K100,R$94:R100,0,,-1)+IF($C238=" ",1,0))</f>
        <v>0</v>
      </c>
      <c r="S238" s="264">
        <f>IF($B238="Anulado",0,ROUND(IF(OR($B238="LOSS",$B238="OK"),IF(OR($C238="W",$C238="1/2W",$C238="1/2L"),P238-O238,IF($C238="L",-O238,0))+IF(OR($C239="W",$C239="1/2W",$C239="1/2L"),P239-O239,IF($C239="L",-O239,0))+IF(OR($C240="W",$C240="1/2W",$C240="1/2L"),P240-O240,IF($C240="L",-O240,0)),IF(AND(OR($C238="W",$C238="1/2W",$C238="1/2L"),C239="W"),P238+P239-SUM(O238:O240)+_xlfn.XLOOKUP("X",C238:C240,O238:O240,0),IF(AND(C238=TRUE,C240="W"),P238+P240-SUM(O238:O240),IF(AND(C239="W",C240="W"),P239+P240-SUM(O238:O240)+_xlfn.XLOOKUP("X",C238:C240,O238:O240,0),IF(L240&gt;0,IF(OR($C238="W",$C238="1/2W",$C238="1/2L"),P238-SUM(O238:O240)+_xlfn.XLOOKUP("X",C238:C240,O238:O240,0),IF(OR($C238="W",$C238="1/2W",$C238="1/2L"),P239-SUM(O238:O240)+_xlfn.XLOOKUP("X",C238:C240,O238:O240,0),IF(OR($C238="W",$C238="1/2W",$C238="1/2L"),P240-SUM(O238:O240)+_xlfn.XLOOKUP("X",C238:C240,O238:O240,0),IF(SUM(P238:P240)/3-SUM(O238:O240)+_xlfn.XLOOKUP("X",C238:C240,O238:O240,0)&gt;0,SUM(P238:P240)/3-SUM(O238:O240)+_xlfn.XLOOKUP("X",C238:C240,O238:O240,0),LARGE(P238:P240,1)-SUM(O238:O240))))),IF(OR($C238="W",$C238="1/2W",$C238="1/2L"),P238-SUM(O238:O239)+_xlfn.XLOOKUP("X",C238:C240,O238:O240,0),IF(OR($C238="W",$C238="1/2W",$C238="1/2L"),P239-SUM(O238:O239)+_xlfn.XLOOKUP("X",C238:C240,O238:O240,0),SUM(P238:P239)/2-SUM(O238:O239)+_xlfn.XLOOKUP("X",C238:C240,O238:O240,0)))))))),2))</f>
        <v>1.99</v>
      </c>
      <c r="T238" s="265">
        <f>IF(S238=0,0,S238/SUM(O238:O240))</f>
        <v>0.0662450066577896</v>
      </c>
      <c r="U238" s="266">
        <f>IF($D238=$D235,IF(OR($B238="LOSS",$B238="OK",$B238="Anulada"),S238,0)+U235,IF(OR($B238="LOSS",$B238="OK",$B238="Anulada"),S238,0))</f>
        <v>4.34</v>
      </c>
      <c r="V238" s="266">
        <f>IF($D238="",0,IF($D238=$D235,IF($B238=" ",IF(I240="",IF(OR(AND(I238="DNB1",I239="DNB2"),AND(OR(I238="DNB1",I238="DNB2"),J239=0),AND(OR(I239="DNB1",I239="DNB2"),J238=0),AND(I238="DNB2",I239="DNB1"),AND(IF(J238=0,(J238+1)/ROUND(J238+1,0),J238/ROUND(J238,0))=1,IF(J239=0,(J239+1)/ROUND(IF(J239="",0,J239)+1,0),IF(J239="",0,J239)/ROUND(IF(J239="",1,J239),0))=1,OR(J238&lt;&gt;""),J239&lt;&gt;"")),0,IF(S238&lt;0,IF(I240="",SMALL(P238:P239,1)-SUM(O238:O239),0),SMALL(P238:P239,1)-SUM(O238:O239))),IF(S238&lt;0,IF(I240="",SMALL(P238:P240,1)-SUM(O238:O240),0),LARGE(P238:P240,1)-SUM(O238:O240))),S238)+V235,IF(I240="",IF(OR(AND(I238="DNB1",I239="DNB2"),AND(OR(I238="DNB1",I238="DNB2"),J239=0),AND(OR(I239="DNB1",I239="DNB2"),J238=0),AND(I238="DNB2",I239="DNB1"),AND(IF(J238=0,(J238+1)/ROUND(J238+1,0),J238/ROUND(J238,0))=1,IF(J239=0,(IF(J239="",0,J239)+1)/ROUND(IF(J239="",0,J239)+1,0),IF(J239="",0,J239)/ROUND(IF(J239="",0,J239)+1,0))=1,OR(J238&lt;&gt;""),J239&lt;&gt;"")),0,IF(S238&lt;0,IF(I240="",SMALL(P238:P239,1)-SUM(O238:O239),0),SMALL(P238:P240,1)-SUM(O238:O240))),IF(S238&lt;0,IF(I240="",SMALL(P238:P240,1)-SUM(O238:O240),0),LARGE(P238:P240,1)-SUM(O238:O240)))))</f>
        <v>4.336</v>
      </c>
      <c r="W238" s="266">
        <f>IF($D238=$D235,IF(S238&lt;0,IF(I240="",S238,0),S238)+W235,S238)</f>
        <v>4.34</v>
      </c>
      <c r="X238" t="s" s="267">
        <f>IF(OR(SUM(R238:R240)=0,V238=W238),ROUND(IF(W238=0,0,W238/Y238)*100,2)&amp;"%",ROUND(IF(V238=0,0,V238/Y238)*100,2)&amp;"% a "&amp;ROUND(IF(W238=0,0,W238/Y238)*100,2)&amp;"%")</f>
        <v>237</v>
      </c>
      <c r="Y238" s="268">
        <f>IF($D238=$D235,Y235+SUM(O238:O240),SUM(O238:O240))</f>
        <v>201.85</v>
      </c>
      <c r="Z238" s="266">
        <f>IF($B238=" ",SUM(O238:O240),0)+Z235</f>
        <v>0</v>
      </c>
      <c r="AA238" s="266">
        <f>IF(G238="","",IF($B238="Anulado",LARGE(P238:P240,1)-SUM(O238:O240)+AA235,AA235))</f>
        <v>16.5099</v>
      </c>
      <c r="AB238" s="266">
        <f>IF($D238="","",AB235+S238)</f>
        <v>206.51</v>
      </c>
      <c r="AC238" s="269">
        <f>IF($D238="","",IF($B238=" ",IF(DAY(G238)=DAY(TODAY()),1+AC235,0+AC235),0+AC235))</f>
        <v>0</v>
      </c>
      <c r="AD238" s="270">
        <f>(1-_xlfn.XLOOKUP(K236,'Janeiro 2023 - Valor Real'!A3:A15,'Janeiro 2023 - Valor Real'!C3:C15,0))+1</f>
        <v>2</v>
      </c>
      <c r="AE238" s="271">
        <f>IF(L238="","",IF(L240&gt;0,(SUM(((L238-1)*(1-_xlfn.XLOOKUP(K238,'Janeiro 2023 - Valor Real'!A3:A15,'Janeiro 2023 - Valor Real'!C3:C15,0))+1),((L239-1)*(1-_xlfn.XLOOKUP(K239,'Janeiro 2023 - Valor Real'!A3:A15,'Janeiro 2023 - Valor Real'!C3:C15,0))+1),((L240-1)*(1-_xlfn.XLOOKUP(K240,'Janeiro 2023 - Valor Real'!A3:A15,'Janeiro 2023 - Valor Real'!C3:C15,0))+1))/((L238-1)*(1-_xlfn.XLOOKUP(K238,'Janeiro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Real'!C3:C15,0))+1))/((L238-1)*(1-_xlfn.XLOOKUP(K238,'Janeiro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Real'!C3:C15,0))+1))/((L239-1)*(1-_xlfn.XLOOKUP(K239,'Janeiro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Real'!C3:C15,0))+1))/((L240-1)*(1-_xlfn.XLOOKUP(K240,'Janeiro 2023 - Valor Real'!A3:A15,'Janeiro 2023 - Valor Real'!C3:C15,0))+1)),IF(I238="Lay",IF(I239="Lay",((L239/(L239-1)-1)*(1-_xlfn.XLOOKUP(K239,'Janeiro 2023 - Valor Real'!A3:A15,'Janeiro 2023 - Valor Real'!C3:C15,0))+1)/(((L239/(L239-1)-1)*(1-_xlfn.XLOOKUP(K239,'Janeiro 2023 - Valor Real'!A3:A15,'Janeiro 2023 - Valor Real'!C3:C15,0))+1)+((L238/(L238-1)-1)*(1-_xlfn.XLOOKUP(K238,'Janeiro 2023 - Valor Real'!A3:A15,'Janeiro 2023 - Valor Real'!C3:C15,0))+1)),((L239-1)*(1-_xlfn.XLOOKUP(K239,'Janeiro 2023 - Valor Real'!A3:A15,'Janeiro 2023 - Valor Real'!C3:C15,0))+1)/(((L239-1)*(1-_xlfn.XLOOKUP(K239,'Janeiro 2023 - Valor Real'!A3:A15,'Janeiro 2023 - Valor Real'!C3:C15,0))+1)+((L238/(L238-1)-1)*(1-_xlfn.XLOOKUP(K238,'Janeiro 2023 - Valor Real'!A3:A15,'Janeiro 2023 - Valor Real'!C3:C15,0))+1))),IF(I239="Lay",(((L239/(L239-1)-1)*(1-_xlfn.XLOOKUP(K239,'Janeiro 2023 - Valor Real'!A3:A15,'Janeiro 2023 - Valor Real'!C3:C15,0))+1))/(((L238-1)*(1-_xlfn.XLOOKUP(K238,'Janeiro 2023 - Valor Real'!A3:A15,'Janeiro 2023 - Valor Real'!C3:C15,0))+1)+((L239/(L239-1)-1)*(1-_xlfn.XLOOKUP(K239,'Janeiro 2023 - Valor Real'!A3:A15,'Janeiro 2023 - Valor Real'!C3:C15,0))+1)),((L239-1)*(1-_xlfn.XLOOKUP(K239,'Janeiro 2023 - Valor Real'!A3:A15,'Janeiro 2023 - Valor Real'!C3:C15,0))+1)/(((L239-1)*(1-_xlfn.XLOOKUP(K239,'Janeiro 2023 - Valor Real'!A3:A15,'Janeiro 2023 - Valor Real'!C3:C15,0))+1)+((L238-1)*(1-_xlfn.XLOOKUP(K238,'Janeiro 2023 - Valor Real'!A3:A15,'Janeiro 2023 - Valor Real'!C3:C15,0))+1))))))</f>
        <v>0.187069170430235</v>
      </c>
      <c r="AF238" s="132">
        <f>IF($K238=AF$3,ROUND(IF(OR($C238="W",$C238="1/2W",$C238="1/2L"),$P238-$O238,IF($C238="X",0,-$O238)),2),0)</f>
        <v>0</v>
      </c>
      <c r="AG238" s="133">
        <f>IF($K238=AG$3,ROUND(IF(OR($C238="W",$C238="1/2W",$C238="1/2L"),$P238-$O238,IF($C238="X",0,-$O238)),2),0)</f>
        <v>0</v>
      </c>
      <c r="AH238" s="133">
        <f>IF($K238=AH$3,ROUND(IF(OR($C238="W",$C238="1/2W",$C238="1/2L"),$P238-$O238,IF($C238="X",0,-$O238)),2),0)</f>
        <v>0</v>
      </c>
      <c r="AI238" s="133">
        <f>IF($K238=AI$3,ROUND(IF(OR($C238="W",$C238="1/2W",$C238="1/2L"),$P238-$O238,IF($C238="X",0,-$O238)),2),0)</f>
        <v>0</v>
      </c>
      <c r="AJ238" s="133">
        <f>IF($K238=AJ$3,ROUND(IF(OR($C238="W",$C238="1/2W",$C238="1/2L"),$P238-$O238,IF($C238="X",0,-$O238)),2),0)</f>
        <v>0</v>
      </c>
      <c r="AK238" s="133">
        <f>IF($K238=AK$3,ROUND(IF(OR($C238="W",$C238="1/2W",$C238="1/2L"),$P238-$O238,IF($C238="X",0,-$O238)),2),0)</f>
        <v>0</v>
      </c>
      <c r="AL238" s="133">
        <f>IF($K238=AL$3,ROUND(IF(OR($C238="W",$C238="1/2W",$C238="1/2L"),$P238-$O238,IF($C238="X",0,-$O238)),2),0)</f>
        <v>0</v>
      </c>
      <c r="AM238" s="133">
        <f>IF($K238=AM$3,ROUND(IF(OR($C238="W",$C238="1/2W",$C238="1/2L"),$P238-$O238,IF($C238="X",0,-$O238)),2),0)</f>
        <v>0</v>
      </c>
      <c r="AN238" s="133">
        <f>IF($K238=AN$3,ROUND(IF(OR($C238="W",$C238="1/2W",$C238="1/2L"),$P238-$O238,IF($C238="X",0,-$O238)),2),0)</f>
        <v>0</v>
      </c>
      <c r="AO238" s="133">
        <f>IF($K238=AO$3,ROUND(IF(OR($C238="W",$C238="1/2W",$C238="1/2L"),$P238-$O238,IF($C238="X",0,-$O238)),2),0)</f>
        <v>0</v>
      </c>
      <c r="AP238" s="133">
        <f>IF($K238=AP$3,ROUND(IF(OR($C238="W",$C238="1/2W",$C238="1/2L"),$P238-$O238,IF($C238="X",0,-$O238)),2),0)</f>
        <v>0</v>
      </c>
      <c r="AQ238" s="133">
        <f>IF($K238=AQ$3,ROUND(IF(OR($C238="W",$C238="1/2W",$C238="1/2L"),$P238-$O238,IF($C238="X",0,-$O238)),2),0)</f>
        <v>26.41</v>
      </c>
      <c r="AR238" s="134">
        <f>IF($K238=AR$3,ROUND(IF(OR($C238="W",$C238="1/2W",$C238="1/2L"),$P238-$O238,IF($C238="X",0,-$O238)),2),0)</f>
        <v>0</v>
      </c>
      <c r="AS238" s="132">
        <f>IF(AND($B238=" ",$K238=AS$3),$O238,0)</f>
        <v>0</v>
      </c>
      <c r="AT238" s="133">
        <f>IF(AND($B238=" ",$K238=AT$3),$O238,0)</f>
        <v>0</v>
      </c>
      <c r="AU238" s="133">
        <f>IF(AND($B238=" ",$K238=AU$3),$O238,0)</f>
        <v>0</v>
      </c>
      <c r="AV238" s="133">
        <f>IF(AND($B238=" ",$K238=AV$3),$O238,0)</f>
        <v>0</v>
      </c>
      <c r="AW238" s="133">
        <f>IF(AND($B238=" ",$K238=AW$3),$O238,0)</f>
        <v>0</v>
      </c>
      <c r="AX238" s="133">
        <f>IF(AND($B238=" ",$K238=AX$3),$O238,0)</f>
        <v>0</v>
      </c>
      <c r="AY238" s="135">
        <f>IF(AND($B238=" ",$K238=AY$3),$O238,0)</f>
        <v>0</v>
      </c>
      <c r="AZ238" s="136">
        <f>IF(AND($B238=" ",$K238=AZ$3),$O238,0)</f>
        <v>0</v>
      </c>
      <c r="BA238" s="136">
        <f>IF(AND($B238=" ",$K238=BA$3),$O238,0)</f>
        <v>0</v>
      </c>
      <c r="BB238" s="136">
        <f>IF(AND($B238=" ",$K238=BB$3),$O238,0)</f>
        <v>0</v>
      </c>
      <c r="BC238" s="137">
        <f>IF(AND($B238=" ",$K238=BC$3),$O238,0)</f>
        <v>0</v>
      </c>
      <c r="BD238" s="133">
        <f>IF(AND($B238=" ",$K238=BD$3),$O238,0)</f>
        <v>0</v>
      </c>
      <c r="BE238" s="134">
        <f>IF(AND($B238=" ",$K238=BE$3),$O238,0)</f>
        <v>0</v>
      </c>
      <c r="BF238" s="132">
        <f>IF($K238=BF$3,IF($C238="X",0,$O238),0)</f>
        <v>0</v>
      </c>
      <c r="BG238" s="133">
        <f>IF($K238=BG$3,IF($C238="X",0,$O238),0)</f>
        <v>0</v>
      </c>
      <c r="BH238" s="133">
        <f>IF($K238=BH$3,IF($C238="X",0,$O238),0)</f>
        <v>0</v>
      </c>
      <c r="BI238" s="133">
        <f>IF($K238=BI$3,IF($C238="X",0,$O238),0)</f>
        <v>0</v>
      </c>
      <c r="BJ238" s="133">
        <f>IF($K238=BJ$3,IF($C238="X",0,$O238),0)</f>
        <v>0</v>
      </c>
      <c r="BK238" s="133">
        <f>IF($K238=BK$3,IF($C238="X",0,$O238),0)</f>
        <v>0</v>
      </c>
      <c r="BL238" s="133">
        <f>IF($K238=BL$3,IF($C238="X",0,$O238),0)</f>
        <v>0</v>
      </c>
      <c r="BM238" s="135">
        <f>IF($K238=BM$3,IF($C238="X",0,$O238),0)</f>
        <v>0</v>
      </c>
      <c r="BN238" s="136">
        <f>IF($K238=BN$3,IF($C238="X",0,$O238),0)</f>
        <v>0</v>
      </c>
      <c r="BO238" s="136">
        <f>IF($K238=BO$3,IF($C238="X",0,$O238),0)</f>
        <v>0</v>
      </c>
      <c r="BP238" s="136">
        <f>IF($K238=BP$3,IF($C238="X",0,$O238),0)</f>
        <v>0</v>
      </c>
      <c r="BQ238" s="137">
        <f>IF($K238=BQ$3,IF($C238="X",0,$O238),0)</f>
        <v>5.62</v>
      </c>
      <c r="BR238" s="134">
        <f>IF($K238=BR$3,IF($C238="X",0,$O238),0)</f>
        <v>0</v>
      </c>
      <c r="BS238" s="170">
        <f>IF($B238="LOSS",IF(AND($K238=BS$3,$C238="L"),-$O238,0)+IF(AND($K239=BS$3,$C239="L"),-$O239,0)+IF(AND($K240=BS$3,$C240="L"),-$O240,0),IF(OR(AND($K238=BS$3,OR($C238="W",$C238="1/2W")),AND($K239=BS$3,OR($C239="W",$C239="1/2W")),AND($K240=BS$3,OR($C240="W",$C240="1/2W"))),$S238,0))</f>
        <v>0</v>
      </c>
      <c r="BT238" s="272">
        <f>IF($B238="LOSS",IF(AND($K238=BT$3,$C238="L"),-$O238,0)+IF(AND($K239=BT$3,$C239="L"),-$O239,0)+IF(AND($K239=BT$3,$C240="L"),-$O240,0),IF(OR(AND($K239=BT$3,OR($C238="W",$C238="1/2W")),AND($K239=BT$3,OR($C239="W",$C239="1/2W")),AND($K239=BT$3,OR($C240="W",$C240="1/2W"))),$S238,0))</f>
        <v>0</v>
      </c>
      <c r="BU238" s="136">
        <f>IF($B238="LOSS",IF(AND($K238=BU$3,$C238="L"),-$O238,0)+IF(AND($K239=BU$3,$C239="L"),-$O239,0)+IF(AND($K239=BU$3,$C240="L"),-$O240,0),IF(OR(AND($K239=BU$3,OR($C238="W",$C238="1/2W")),AND($K239=BU$3,OR($C239="W",$C239="1/2W")),AND($K239=BU$3,OR($C240="W",$C240="1/2W"))),$S238,0))</f>
        <v>1.99</v>
      </c>
      <c r="BV238" s="136">
        <f>IF($B238="LOSS",IF(AND($K238=BV$3,$C238="L"),-$O238,0)+IF(AND($K239=BV$3,$C239="L"),-$O239,0)+IF(AND($K240=BV$3,$C240="L"),-$O240,0),IF(OR(AND($K238=BV$3,OR($C238="W",$C238="1/2W")),AND($K239=BV$3,OR($C239="W",$C239="1/2W")),AND($K240=BV$3,OR($C240="W",$C240="1/2W"))),$S238,0))</f>
        <v>0</v>
      </c>
      <c r="BW238" s="136">
        <f>IF($B238="LOSS",IF(AND($K238=BW$3,$C238="L"),-$O238,0)+IF(AND($K239=BW$3,$C239="L"),-$O239,0)+IF(AND($K240=BW$3,$C240="L"),-$O240,0),IF(OR(AND($K238=BW$3,OR($C238="W",$C238="1/2W")),AND($K239=BW$3,OR($C239="W",$C239="1/2W")),AND($K240=BW$3,OR($C240="W",$C240="1/2W"))),$S238,0))</f>
        <v>0</v>
      </c>
      <c r="BX238" s="136">
        <f>IF($B238="LOSS",IF(AND($K238=BX$3,$C238="L"),-$O238,0)+IF(AND($K239=BX$3,$C239="L"),-$O239,0)+IF(AND($K240=BX$3,$C240="L"),-$O240,0),IF(OR(AND($K238=BX$3,OR($C238="W",$C238="1/2W")),AND($K239=BX$3,OR($C239="W",$C239="1/2W")),AND($K240=BX$3,OR($C240="W",$C240="1/2W"))),$S238,0))</f>
        <v>0</v>
      </c>
      <c r="BY238" s="136">
        <f>IF($B238="LOSS",IF(AND($K238=BY$3,$C238="L"),-$O238,0)+IF(AND($K239=BY$3,$C239="L"),-$O239,0)+IF(AND($K240=BY$3,$C240="L"),-$O240,0),IF(OR(AND($K238=BY$3,OR($C238="W",$C238="1/2W")),AND($K239=BY$3,OR($C239="W",$C239="1/2W")),AND($K240=BY$3,OR($C240="W",$C240="1/2W"))),$S238,0))</f>
        <v>0</v>
      </c>
      <c r="BZ238" s="136">
        <f>IF($B238="LOSS",IF(AND($K238=BZ$3,$C238="L"),-$O238,0)+IF(AND($K239=BZ$3,$C239="L"),-$O239,0)+IF(AND($K240=BZ$3,$C240="L"),-$O240,0),IF(OR(AND($K238=BZ$3,OR($C238="W",$C238="1/2W")),AND($K239=BZ$3,OR($C239="W",$C239="1/2W")),AND($K240=BZ$3,OR($C240="W",$C240="1/2W"))),$S238,0))</f>
        <v>0</v>
      </c>
      <c r="CA238" s="136">
        <f>IF($B238="LOSS",IF(AND($K238=CA$3,$C238="L"),-$O238,0)+IF(AND($K239=CA$3,$C239="L"),-$O239,0)+IF(AND($K240=CA$3,$C240="L"),-$O240,0),IF(OR(AND($K238=CA$3,OR($C238="W",$C238="1/2W")),AND($K239=CA$3,OR($C239="W",$C239="1/2W")),AND($K240=CA$3,OR($C240="W",$C240="1/2W"))),$S238,0))</f>
        <v>0</v>
      </c>
      <c r="CB238" s="136">
        <f>IF($B238="LOSS",IF(AND($K238=CB$3,$C238="L"),-$O238,0)+IF(AND($K239=CB$3,$C239="L"),-$O239,0)+IF(AND($K240=CB$3,$C240="L"),-$O240,0),IF(OR(AND($K238=CB$3,OR($C238="W",$C238="1/2W")),AND($K239=CB$3,OR($C239="W",$C239="1/2W")),AND($K240=CB$3,OR($C240="W",$C240="1/2W"))),$S238,0))</f>
        <v>0</v>
      </c>
      <c r="CC238" s="136">
        <f>IF($B238="LOSS",IF(AND($K238=CC$3,$C238="L"),-$O238,0)+IF(AND($K239=CC$3,$C239="L"),-$O239,0)+IF(AND($K240=CC$3,$C240="L"),-$O240,0),IF(OR(AND($K238=CC$3,OR($C238="W",$C238="1/2W")),AND($K239=CC$3,OR($C239="W",$C239="1/2W")),AND($K240=CC$3,OR($C240="W",$C240="1/2W"))),$S238,0))</f>
        <v>0</v>
      </c>
      <c r="CD238" s="137">
        <f>IF($B238="LOSS",IF(AND($K238=CD$3,$C238="L"),-$O238,0)+IF(AND($K239=CD$3,$C239="L"),-$O239,0)+IF(AND($K240=CD$3,$C240="L"),-$O240,0),IF(OR(AND($K238=CD$3,OR($C238="W",$C238="1/2W")),AND($K239=CD$3,OR($C239="W",$C239="1/2W")),AND($K240=CD$3,OR($C240="W",$C240="1/2W"))),$S238,0))</f>
        <v>1.99</v>
      </c>
      <c r="CE238" s="134">
        <f>IF($B238="LOSS",IF(AND($K238=CE$3,$C238="L"),-$O238,0)+IF(AND($K239=CE$3,$C239="L"),-$O239,0)+IF(AND($K240=CE$3,$C240="L"),-$O240,0),IF(OR(AND($K238=CE$3,OR($C238="W",$C238="1/2W")),AND($K239=CE$3,OR($C239="W",$C239="1/2W")),AND($K240=CE$3,OR($C240="W",$C240="1/2W"))),$S238,0))</f>
        <v>0</v>
      </c>
      <c r="CF238" s="273">
        <f>IF(CF$3=$K238,IF($C238="W",1,IF($C238="1/2W",0.5,0)),0)</f>
        <v>0</v>
      </c>
      <c r="CG238" s="274">
        <f>IF(CF$3=$K238,IF($C238="L",1,IF($C238="1/2L",0.5,0)),0)</f>
        <v>0</v>
      </c>
      <c r="CH238" s="274">
        <f>IF(CH$3=$K238,IF($C238="W",1,IF($C238="1/2W",0.5,0)),0)</f>
        <v>0</v>
      </c>
      <c r="CI238" s="274">
        <f>IF(CH$3=$K238,IF($C238="L",1,IF($C238="1/2L",0.5,0)),0)</f>
        <v>0</v>
      </c>
      <c r="CJ238" s="274">
        <f>IF(CJ$3=$K238,IF($C238="W",1,IF($C238="1/2W",0.5,0)),0)</f>
        <v>0</v>
      </c>
      <c r="CK238" s="274">
        <f>IF(CJ$3=$K238,IF($C238="L",1,IF($C238="1/2L",0.5,0)),0)</f>
        <v>0</v>
      </c>
      <c r="CL238" s="274">
        <f>IF(CL$3=$K238,IF($C238="W",1,IF($C238="1/2W",0.5,0)),0)</f>
        <v>0</v>
      </c>
      <c r="CM238" s="274">
        <f>IF(CL$3=$K238,IF($C238="L",1,IF($C238="1/2L",0.5,0)),0)</f>
        <v>0</v>
      </c>
      <c r="CN238" s="274">
        <f>IF(CN$3=$K238,IF($C238="W",1,IF($C238="1/2W",0.5,0)),0)</f>
        <v>0</v>
      </c>
      <c r="CO238" s="274">
        <f>IF(CN$3=$K238,IF($C238="L",1,IF($C238="1/2L",0.5,0)),0)</f>
        <v>0</v>
      </c>
      <c r="CP238" s="274">
        <f>IF(CP$3=$K238,IF($C238="W",1,IF($C238="1/2W",0.5,0)),0)</f>
        <v>0</v>
      </c>
      <c r="CQ238" s="274">
        <f>IF(CP$3=$K238,IF($C238="L",1,IF($C238="1/2L",0.5,0)),0)</f>
        <v>0</v>
      </c>
      <c r="CR238" s="274">
        <f>IF(CR$3=$K238,IF($C238="W",1,IF($C238="1/2W",0.5,0)),0)</f>
        <v>0</v>
      </c>
      <c r="CS238" s="274">
        <f>IF(CR$3=$K238,IF($C238="L",1,IF($C238="1/2L",0.5,0)),0)</f>
        <v>0</v>
      </c>
      <c r="CT238" s="145">
        <f>IF(CT$3=$K238,IF($C238="W",1,IF($C238="1/2W",0.5,0)),0)</f>
        <v>0</v>
      </c>
      <c r="CU238" s="146">
        <f>IF(CT$3=$K238,IF($C238="L",1,IF($C238="1/2L",0.5,0)),0)</f>
        <v>0</v>
      </c>
      <c r="CV238" s="146">
        <f>IF(CV$3=$K238,IF($C238="W",1,IF($C238="1/2W",0.5,0)),0)</f>
        <v>0</v>
      </c>
      <c r="CW238" s="146">
        <f>IF(CV$3=$K238,IF($C238="L",1,IF($C238="1/2L",0.5,0)),0)</f>
        <v>0</v>
      </c>
      <c r="CX238" s="146">
        <f>IF(CX$3=$K238,IF($C238="W",1,IF($C238="1/2W",0.5,0)),0)</f>
        <v>0</v>
      </c>
      <c r="CY238" s="146">
        <f>IF(CX$3=$K238,IF($C238="L",1,IF($C238="1/2L",0.5,0)),0)</f>
        <v>0</v>
      </c>
      <c r="CZ238" s="146">
        <f>IF(CZ$3=$K238,IF($C238="W",1,IF($C238="1/2W",0.5,0)),0)</f>
        <v>0</v>
      </c>
      <c r="DA238" s="146">
        <f>IF(CZ$3=$K238,IF($C238="L",1,IF($C238="1/2L",0.5,0)),0)</f>
        <v>0</v>
      </c>
      <c r="DB238" s="146">
        <f>IF(DB$3=$K238,IF($C238="W",1,IF($C238="1/2W",0.5,0)),0)</f>
        <v>1</v>
      </c>
      <c r="DC238" s="146">
        <f>IF(DB$3=$K238,IF($C238="L",1,IF($C238="1/2L",0.5,0)),0)</f>
        <v>0</v>
      </c>
      <c r="DD238" s="146">
        <f>IF(DD$3=$K238,IF($C238="W",1,IF($C238="1/2W",0.5,0)),0)</f>
        <v>0</v>
      </c>
      <c r="DE238" s="147">
        <f>IF(DD$3=$K238,IF($C238="L",1,IF($C238="1/2L",0.5,0)),0)</f>
        <v>0</v>
      </c>
      <c r="DF238" s="143">
        <f>IF(AND(L238&lt;DF$3,$C238="W"),1+DF237,DF237)</f>
        <v>8</v>
      </c>
      <c r="DG238" s="133">
        <f>IF(DF238&gt;DF237,L238+DG237,DG237)</f>
        <v>10.598</v>
      </c>
      <c r="DH238" s="146">
        <f>IF(AND(L238&gt;DH$3,$C238="W"),1+DH237,0+DH237)</f>
        <v>5</v>
      </c>
      <c r="DI238" s="133">
        <f>IF(DH238&gt;DH237,L238+DI237,DI237)</f>
        <v>26.18</v>
      </c>
      <c r="DJ238" t="s" s="304">
        <f>IF($D238="","",$D238)</f>
        <v>229</v>
      </c>
      <c r="DK238" s="146">
        <f>IF(AND($B238=" ",$D238&lt;&gt;""),1,0)</f>
        <v>0</v>
      </c>
    </row>
    <row r="239" ht="14.55" customHeight="1">
      <c r="A239" s="107"/>
      <c r="B239" s="108"/>
      <c r="C239" t="s" s="109">
        <v>51</v>
      </c>
      <c r="D239" s="110"/>
      <c r="E239" s="111"/>
      <c r="F239" s="113"/>
      <c r="G239" s="252"/>
      <c r="H239" s="114"/>
      <c r="I239" t="s" s="275">
        <v>75</v>
      </c>
      <c r="J239" t="s" s="295">
        <f>IF(OR(I238="TO",I238="TU",I238="TO1",I238="TU1",I238="TO2",I238="TU2"),J238,IF(OR(I238="AH1",I238="AH2"),IF(OR(I239="AH1",I239="AH2"),-J238,IF(OR(I239="EH1",I239="EH2"),-J238+0.5,"")),IF(OR(I238="EH1",I238="EH2"),IF(OR(I239="AH1",I239="AH2"),-J238+0.5,IF(OR(I239="EH1",I239="EH2"),-J238+1,"")),IF(AND(OR(I238="DNB1",I238="DNB2"),OR(I239="AH1",I239="AH2")),0,IF(AND(I238="Not ScoreBoth",OR(I239="TO1",I239="TO2")),0.5,"")))))</f>
      </c>
      <c r="K239" t="s" s="117">
        <v>39</v>
      </c>
      <c r="L239" s="277">
        <v>4</v>
      </c>
      <c r="M239" s="278"/>
      <c r="N239" s="120"/>
      <c r="O239" s="121">
        <f>IF(OR(AE238="",AE239=""),"",ROUND(IF(L240&gt;0,IF(M239&gt;0,M239,IF(M238&gt;0,IF(N238=TRUE,ROUND((M238*AE239)/AE238,0),(M238*AE239)/AE238),IF(M239&gt;0,ROUND(M239,IF(N238=0,2,IF(N238=0.1,1,0))),IF(M240&gt;0,ROUND(O240*AE239/AE240,IF(N238=0,2,IF(N238=0.1,1,0))),0)))),IF(M239&gt;0,M239,ROUND((M238*AE239)/AE238,IF(N238=0,2,IF(N238=0.1,1,0))))),2))</f>
        <v>24.42</v>
      </c>
      <c r="P239" s="122">
        <f>IF(OR(L239="",O239=""),"",IF($C239="1/2W",O239/2+O239/2*L239,IF($C239="1/2L",O239/2,IF(I239="Lay",((O239*(L239/(L239-1)))-O239)*(1-_xlfn.XLOOKUP(K239,'Janeiro 2023 - Valor Real'!A3:A15,'Janeiro 2023 - Valor Real'!C3:C15,0))+O239,(O239*L239-O239)*(1-_xlfn.XLOOKUP(K239,'Janeiro 2023 - Valor Real'!A3:A15,'Janeiro 2023 - Valor Real'!C3:C15,0))+O239))))</f>
        <v>32.0309</v>
      </c>
      <c r="Q239" s="279">
        <f>IF(K239="","",IF(_xlfn.XLOOKUP(K239,K$95:K101,DJ$95:DJ101,0,,-1)=DJ239,_xlfn.XLOOKUP(K239,K$95:K101,Q$95:Q101,1,,-1)+1,1))</f>
        <v>1</v>
      </c>
      <c r="R239" s="280">
        <f>IF(K239="","",_xlfn.XLOOKUP(K239,K$95:K101,R$95:R101,0,,-1)+IF($C239=" ",1,0))</f>
        <v>0</v>
      </c>
      <c r="S239" s="125"/>
      <c r="T239" s="126"/>
      <c r="U239" s="126"/>
      <c r="V239" s="224"/>
      <c r="W239" s="126"/>
      <c r="X239" s="127"/>
      <c r="Y239" s="128"/>
      <c r="Z239" s="129"/>
      <c r="AA239" s="129"/>
      <c r="AB239" s="129"/>
      <c r="AC239" s="129"/>
      <c r="AD239" s="130"/>
      <c r="AE239" s="131">
        <f>IF(L239="","",IF(L240&gt;0,(SUM(((L238-1)*(1-_xlfn.XLOOKUP(K238,'Janeiro 2023 - Valor Real'!A3:A15,'Janeiro 2023 - Valor Real'!C3:C15,0))+1),((L239-1)*(1-_xlfn.XLOOKUP(K239,'Janeiro 2023 - Valor Real'!A3:A15,'Janeiro 2023 - Valor Real'!C3:C15,0))+1),((L240-1)*(1-_xlfn.XLOOKUP(K240,'Janeiro 2023 - Valor Real'!A3:A15,'Janeiro 2023 - Valor Real'!C3:C15,0))+1))/((L239-1)*(1-_xlfn.XLOOKUP(K239,'Janeiro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Real'!C3:C15,0))+1))/((L238-1)*(1-_xlfn.XLOOKUP(K238,'Janeiro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Real'!C3:C15,0))+1))/((L239-1)*(1-_xlfn.XLOOKUP(K239,'Janeiro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Real'!C3:C15,0))+1))/((L240-1)*(1-_xlfn.XLOOKUP(K240,'Janeiro 2023 - Valor Real'!A3:A15,'Janeiro 2023 - Valor Real'!C3:C15,0))+1)),IF(I239="Lay",IF(I238="Lay",((L238/(L238-1)-1)*(1-_xlfn.XLOOKUP(K238,'Janeiro 2023 - Valor Real'!A3:A15,'Janeiro 2023 - Valor Real'!C3:C15,0))+1)/(((L238/(L238-1)-1)*(1-_xlfn.XLOOKUP(K238,'Janeiro 2023 - Valor Real'!A3:A15,'Janeiro 2023 - Valor Real'!C3:C15,0))+1)+((L239/(L239-1)-1)*(1-_xlfn.XLOOKUP(K239,'Janeiro 2023 - Valor Real'!A3:A15,'Janeiro 2023 - Valor Real'!C3:C15,0))+1)),((L238-1)*(1-_xlfn.XLOOKUP(K238,'Janeiro 2023 - Valor Real'!A3:A15,'Janeiro 2023 - Valor Real'!C3:C15,0))+1)/(((L238-1)*(1-_xlfn.XLOOKUP(K238,'Janeiro 2023 - Valor Real'!A3:A15,'Janeiro 2023 - Valor Real'!C3:C15,0))+1)+((L239/(L239-1)-1)*(1-_xlfn.XLOOKUP(K239,'Janeiro 2023 - Valor Real'!A3:A15,'Janeiro 2023 - Valor Real'!C3:C15,0))+1))),IF(I238="Lay",((L238/(L238-1)-1)*(1-_xlfn.XLOOKUP(K238,'Janeiro 2023 - Valor Real'!A3:A15,'Janeiro 2023 - Valor Real'!C3:C15,0))+1)/((((L238/(L238-1)-1)*(1-_xlfn.XLOOKUP(K238,'Janeiro 2023 - Valor Real'!A3:A15,'Janeiro 2023 - Valor Real'!C3:C15,0))+1))+((L239-1)*(1-_xlfn.XLOOKUP(K239,'Janeiro 2023 - Valor Real'!A3:A15,'Janeiro 2023 - Valor Real'!C3:C15,0))+1)),((L238-1)*(1-_xlfn.XLOOKUP(K238,'Janeiro 2023 - Valor Real'!A3:A15,'Janeiro 2023 - Valor Real'!C3:C15,0))+1)/(((L238-1)*(1-_xlfn.XLOOKUP(K238,'Janeiro 2023 - Valor Real'!A3:A15,'Janeiro 2023 - Valor Real'!C3:C15,0))+1)+((L239-1)*(1-_xlfn.XLOOKUP(K239,'Janeiro 2023 - Valor Real'!A3:A15,'Janeiro 2023 - Valor Real'!C3:C15,0))+1))))))</f>
        <v>0.812930829569765</v>
      </c>
      <c r="AF239" s="132">
        <f>IF($K239=AF$3,ROUND(IF(OR($C239="W",$C239="1/2W",$C239="1/2L"),$P239-$O239,IF($C239="X",0,-$O239)),2),0)</f>
        <v>0</v>
      </c>
      <c r="AG239" s="133">
        <f>IF($K239=AG$3,ROUND(IF(OR($C239="W",$C239="1/2W",$C239="1/2L"),$P239-$O239,IF($C239="X",0,-$O239)),2),0)</f>
        <v>0</v>
      </c>
      <c r="AH239" s="133">
        <f>IF($K239=AH$3,ROUND(IF(OR($C239="W",$C239="1/2W",$C239="1/2L"),$P239-$O239,IF($C239="X",0,-$O239)),2),0)</f>
        <v>-24.42</v>
      </c>
      <c r="AI239" s="133">
        <f>IF($K239=AI$3,ROUND(IF(OR($C239="W",$C239="1/2W",$C239="1/2L"),$P239-$O239,IF($C239="X",0,-$O239)),2),0)</f>
        <v>0</v>
      </c>
      <c r="AJ239" s="133">
        <f>IF($K239=AJ$3,ROUND(IF(OR($C239="W",$C239="1/2W",$C239="1/2L"),$P239-$O239,IF($C239="X",0,-$O239)),2),0)</f>
        <v>0</v>
      </c>
      <c r="AK239" s="133">
        <f>IF($K239=AK$3,ROUND(IF(OR($C239="W",$C239="1/2W",$C239="1/2L"),$P239-$O239,IF($C239="X",0,-$O239)),2),0)</f>
        <v>0</v>
      </c>
      <c r="AL239" s="133">
        <f>IF($K239=AL$3,ROUND(IF(OR($C239="W",$C239="1/2W",$C239="1/2L"),$P239-$O239,IF($C239="X",0,-$O239)),2),0)</f>
        <v>0</v>
      </c>
      <c r="AM239" s="133">
        <f>IF($K239=AM$3,ROUND(IF(OR($C239="W",$C239="1/2W",$C239="1/2L"),$P239-$O239,IF($C239="X",0,-$O239)),2),0)</f>
        <v>0</v>
      </c>
      <c r="AN239" s="133">
        <f>IF($K239=AN$3,ROUND(IF(OR($C239="W",$C239="1/2W",$C239="1/2L"),$P239-$O239,IF($C239="X",0,-$O239)),2),0)</f>
        <v>0</v>
      </c>
      <c r="AO239" s="133">
        <f>IF($K239=AO$3,ROUND(IF(OR($C239="W",$C239="1/2W",$C239="1/2L"),$P239-$O239,IF($C239="X",0,-$O239)),2),0)</f>
        <v>0</v>
      </c>
      <c r="AP239" s="133">
        <f>IF($K239=AP$3,ROUND(IF(OR($C239="W",$C239="1/2W",$C239="1/2L"),$P239-$O239,IF($C239="X",0,-$O239)),2),0)</f>
        <v>0</v>
      </c>
      <c r="AQ239" s="133">
        <f>IF($K239=AQ$3,ROUND(IF(OR($C239="W",$C239="1/2W",$C239="1/2L"),$P239-$O239,IF($C239="X",0,-$O239)),2),0)</f>
        <v>0</v>
      </c>
      <c r="AR239" s="134">
        <f>IF($K239=AR$3,ROUND(IF(OR($C239="W",$C239="1/2W",$C239="1/2L"),$P239-$O239,IF($C239="X",0,-$O239)),2),0)</f>
        <v>0</v>
      </c>
      <c r="AS239" s="132">
        <f>IF(AND($B238=" ",$K239=AS$3),$O239,0)</f>
        <v>0</v>
      </c>
      <c r="AT239" s="133">
        <f>IF(AND($B238=" ",K239=AT$3),$O239,0)</f>
        <v>0</v>
      </c>
      <c r="AU239" s="133">
        <f>IF(AND($B238=" ",$K239=AU$3),$O239,0)</f>
        <v>0</v>
      </c>
      <c r="AV239" s="133">
        <f>IF(AND($B238=" ",$K239=AV$3),$O239,0)</f>
        <v>0</v>
      </c>
      <c r="AW239" s="133">
        <f>IF(AND($B238=" ",$K239=AW$3),$O239,0)</f>
        <v>0</v>
      </c>
      <c r="AX239" s="133">
        <f>IF(AND($B238=" ",$K239=AX$3),$O239,0)</f>
        <v>0</v>
      </c>
      <c r="AY239" s="135">
        <f>IF(AND($B238=" ",$K239=AY$3),$O239,0)</f>
        <v>0</v>
      </c>
      <c r="AZ239" s="136">
        <f>IF(AND($B238=" ",$K239=AZ$3),$O239,0)</f>
        <v>0</v>
      </c>
      <c r="BA239" s="136">
        <f>IF(AND($B238=" ",$K239=BA$3),$O239,0)</f>
        <v>0</v>
      </c>
      <c r="BB239" s="136">
        <f>IF(AND($B238=" ",$K239=BB$3),$O239,0)</f>
        <v>0</v>
      </c>
      <c r="BC239" s="137">
        <f>IF(AND($B238=" ",$K239=BC$3),$O239,0)</f>
        <v>0</v>
      </c>
      <c r="BD239" s="133">
        <f>IF(AND($B238=" ",$K239=BD$3),$O239,0)</f>
        <v>0</v>
      </c>
      <c r="BE239" s="134">
        <f>IF(AND($B238=" ",$K239=BE$3),$O239,0)</f>
        <v>0</v>
      </c>
      <c r="BF239" s="132">
        <f>IF($K239=BF$3,IF($C239="X",0,$O239),0)</f>
        <v>0</v>
      </c>
      <c r="BG239" s="281">
        <f>IF($K239=BG$3,IF($C239="X",0,$O239),0)</f>
        <v>0</v>
      </c>
      <c r="BH239" s="133">
        <f>IF($K239=BH$3,IF($C239="X",0,$O239),0)</f>
        <v>24.42</v>
      </c>
      <c r="BI239" s="133">
        <f>IF($K239=BI$3,IF($C239="X",0,$O239),0)</f>
        <v>0</v>
      </c>
      <c r="BJ239" s="133">
        <f>IF($K239=BJ$3,IF($C239="X",0,$O239),0)</f>
        <v>0</v>
      </c>
      <c r="BK239" s="133">
        <f>IF($K239=BK$3,IF($C239="X",0,$O239),0)</f>
        <v>0</v>
      </c>
      <c r="BL239" s="133">
        <f>IF($K239=BL$3,IF($C239="X",0,$O239),0)</f>
        <v>0</v>
      </c>
      <c r="BM239" s="135">
        <f>IF($K239=BM$3,IF($C239="X",0,$O239),0)</f>
        <v>0</v>
      </c>
      <c r="BN239" s="136">
        <f>IF($K239=BN$3,IF($C239="X",0,$O239),0)</f>
        <v>0</v>
      </c>
      <c r="BO239" s="136">
        <f>IF($K239=BO$3,IF($C239="X",0,$O239),0)</f>
        <v>0</v>
      </c>
      <c r="BP239" s="136">
        <f>IF($K239=BP$3,IF($C239="X",0,$O239),0)</f>
        <v>0</v>
      </c>
      <c r="BQ239" s="137">
        <f>IF($K239=BQ$3,IF($C239="X",0,$O239),0)</f>
        <v>0</v>
      </c>
      <c r="BR239" s="134">
        <f>IF($K239=BR$3,IF($C239="X",0,$O239),0)</f>
        <v>0</v>
      </c>
      <c r="BS239" s="282"/>
      <c r="BT239" s="283"/>
      <c r="BU239" s="140"/>
      <c r="BV239" s="283"/>
      <c r="BW239" s="140"/>
      <c r="BX239" s="140"/>
      <c r="BY239" s="140"/>
      <c r="BZ239" s="283"/>
      <c r="CA239" s="140"/>
      <c r="CB239" s="140"/>
      <c r="CC239" s="140"/>
      <c r="CD239" s="141"/>
      <c r="CE239" s="142"/>
      <c r="CF239" s="284">
        <f>IF(CF$3=$K239,IF($C239="W",1,IF($C239="1/2W",0.5,0)),0)</f>
        <v>0</v>
      </c>
      <c r="CG239" s="285">
        <f>IF(CF$3=$K239,IF($C239="L",1,IF($C239="1/2L",0.5,0)),0)</f>
        <v>0</v>
      </c>
      <c r="CH239" s="285">
        <f>IF(CH$3=$K239,IF($C239="W",1,IF($C239="1/2W",0.5,0)),0)</f>
        <v>0</v>
      </c>
      <c r="CI239" s="285">
        <f>IF(CH$3=$K239,IF($C239="L",1,IF($C239="1/2L",0.5,0)),0)</f>
        <v>0</v>
      </c>
      <c r="CJ239" s="285">
        <f>IF(CJ$3=$K239,IF($C239="W",1,IF($C239="1/2W",0.5,0)),0)</f>
        <v>0</v>
      </c>
      <c r="CK239" s="285">
        <f>IF(CJ$3=$K239,IF($C239="L",1,IF($C239="1/2L",0.5,0)),0)</f>
        <v>1</v>
      </c>
      <c r="CL239" s="285">
        <f>IF(CL$3=$K239,IF($C239="W",1,IF($C239="1/2W",0.5,0)),0)</f>
        <v>0</v>
      </c>
      <c r="CM239" s="285">
        <f>IF(CL$3=$K239,IF($C239="L",1,IF($C239="1/2L",0.5,0)),0)</f>
        <v>0</v>
      </c>
      <c r="CN239" s="285">
        <f>IF(CN$3=$K239,IF($C239="W",1,IF($C239="1/2W",0.5,0)),0)</f>
        <v>0</v>
      </c>
      <c r="CO239" s="285">
        <f>IF(CN$3=$K239,IF($C239="L",1,IF($C239="1/2L",0.5,0)),0)</f>
        <v>0</v>
      </c>
      <c r="CP239" s="285">
        <f>IF(CP$3=$K239,IF($C239="W",1,IF($C239="1/2W",0.5,0)),0)</f>
        <v>0</v>
      </c>
      <c r="CQ239" s="285">
        <f>IF(CP$3=$K239,IF($C239="L",1,IF($C239="1/2L",0.5,0)),0)</f>
        <v>0</v>
      </c>
      <c r="CR239" s="285">
        <f>IF(CR$3=$K239,IF($C239="W",1,IF($C239="1/2W",0.5,0)),0)</f>
        <v>0</v>
      </c>
      <c r="CS239" s="285">
        <f>IF(CR$3=$K239,IF($C239="L",1,IF($C239="1/2L",0.5,0)),0)</f>
        <v>0</v>
      </c>
      <c r="CT239" s="145">
        <f>IF(CT$3=$K239,IF($C239="W",1,IF($C239="1/2W",0.5,0)),0)</f>
        <v>0</v>
      </c>
      <c r="CU239" s="146">
        <f>IF(CT$3=$K239,IF($C239="L",1,IF($C239="1/2L",0.5,0)),0)</f>
        <v>0</v>
      </c>
      <c r="CV239" s="146">
        <f>IF(CV$3=$K239,IF($C239="W",1,IF($C239="1/2W",0.5,0)),0)</f>
        <v>0</v>
      </c>
      <c r="CW239" s="146">
        <f>IF(CV$3=$K239,IF($C239="L",1,IF($C239="1/2L",0.5,0)),0)</f>
        <v>0</v>
      </c>
      <c r="CX239" s="146">
        <f>IF(CX$3=$K239,IF($C239="W",1,IF($C239="1/2W",0.5,0)),0)</f>
        <v>0</v>
      </c>
      <c r="CY239" s="146">
        <f>IF(CX$3=$K239,IF($C239="L",1,IF($C239="1/2L",0.5,0)),0)</f>
        <v>0</v>
      </c>
      <c r="CZ239" s="146">
        <f>IF(CZ$3=$K239,IF($C239="W",1,IF($C239="1/2W",0.5,0)),0)</f>
        <v>0</v>
      </c>
      <c r="DA239" s="146">
        <f>IF(CZ$3=$K239,IF($C239="L",1,IF($C239="1/2L",0.5,0)),0)</f>
        <v>0</v>
      </c>
      <c r="DB239" s="146">
        <f>IF(DB$3=$K239,IF($C239="W",1,IF($C239="1/2W",0.5,0)),0)</f>
        <v>0</v>
      </c>
      <c r="DC239" s="146">
        <f>IF(DB$3=$K239,IF($C239="L",1,IF($C239="1/2L",0.5,0)),0)</f>
        <v>0</v>
      </c>
      <c r="DD239" s="146">
        <f>IF(DD$3=$K239,IF($C239="W",1,IF($C239="1/2W",0.5,0)),0)</f>
        <v>0</v>
      </c>
      <c r="DE239" s="147">
        <f>IF(DD$3=$K239,IF($C239="L",1,IF($C239="1/2L",0.5,0)),0)</f>
        <v>0</v>
      </c>
      <c r="DF239" s="143">
        <f>IF(AND(L239&lt;DF$3,$C239="W"),1+DF238,DF238)</f>
        <v>8</v>
      </c>
      <c r="DG239" s="133">
        <f>IF(DF239&gt;DF238,L239+DG238,DG238)</f>
        <v>10.598</v>
      </c>
      <c r="DH239" s="146">
        <f>IF(AND(L239&gt;DH$3,$C239="W"),1+DH238,0+DH238)</f>
        <v>5</v>
      </c>
      <c r="DI239" s="133">
        <f>IF(DH239&gt;DH238,L239+DI238,DI238)</f>
        <v>26.18</v>
      </c>
      <c r="DJ239" t="s" s="304">
        <f>IF($D238="","",$D238)</f>
        <v>229</v>
      </c>
      <c r="DK239" s="286"/>
    </row>
    <row r="240" ht="14.55" customHeight="1">
      <c r="A240" s="149"/>
      <c r="B240" s="150"/>
      <c r="C240" t="s" s="151">
        <v>58</v>
      </c>
      <c r="D240" s="152"/>
      <c r="E240" s="153"/>
      <c r="F240" s="155"/>
      <c r="G240" s="252"/>
      <c r="H240" s="156"/>
      <c r="I240" s="287"/>
      <c r="J240" s="288"/>
      <c r="K240" s="156"/>
      <c r="L240" s="289"/>
      <c r="M240" s="290"/>
      <c r="N240" s="161"/>
      <c r="O240" t="s" s="162">
        <f>IF(OR(AE238="",AE239=""),"",IF(L240&gt;0,ROUND(IF(M240&gt;0,M240,IF(M238&gt;0,ROUND((M238*AE240)/AE238,IF(N238=0,2,IF(N238=0.1,1,0))),IF(M239&gt;0,ROUND((M239*AE240)/AE239,IF(N238=0,2,IF(N238=0.1,1,0))),IF(M240&gt;0,M240,0)))),2),""))</f>
      </c>
      <c r="P240" s="297">
        <f>IF(I239="Lay",O239*(L239/(L239-1))-O239,IF(I238="Lay",O238*(L238/(L238-1))-O238,IF(OR(L240="",O240=""),"",IF($C240="1/2W",O240/2+O240/2*L240,IF($C240="1/2L",O240/2,(O240*L240-O240)*(1-_xlfn.XLOOKUP(K240,'Janeiro 2023 - Valor Real'!A3:A15,'Janeiro 2023 - Valor Real'!C3:C15,0))+O240)))))</f>
        <v>8.140000000000001</v>
      </c>
      <c r="Q240" t="s" s="154">
        <f>IF(K240="","",IF(_xlfn.XLOOKUP(K240,K$96:K102,DJ$96:DJ102,0,,-1)=DJ240,_xlfn.XLOOKUP(K240,K$96:K102,Q$96:Q102,1,,-1)+1,1))</f>
      </c>
      <c r="R240" t="s" s="163">
        <f>IF(K240="","",_xlfn.XLOOKUP(K240,K$96:K102,R$96:R102,0,,-1)+IF($C240=" ",1,0))</f>
      </c>
      <c r="S240" s="166"/>
      <c r="T240" s="155"/>
      <c r="U240" s="155"/>
      <c r="V240" s="166"/>
      <c r="W240" s="155"/>
      <c r="X240" s="167"/>
      <c r="Y240" s="128"/>
      <c r="Z240" s="129"/>
      <c r="AA240" s="129"/>
      <c r="AB240" s="129"/>
      <c r="AC240" s="129"/>
      <c r="AD240" s="168"/>
      <c r="AE240" t="s" s="169">
        <f>IF(L240="","",(SUM(((L238-1)*(1-_xlfn.XLOOKUP(K238,'Janeiro 2023 - Valor Real'!A3:A15,'Janeiro 2023 - Valor Real'!C3:C15,0))+1),((L239-1)*(1-_xlfn.XLOOKUP(K239,'Janeiro 2023 - Valor Real'!A3:A15,'Janeiro 2023 - Valor Real'!C3:C15,0))+1),((L240-1)*(1-_xlfn.XLOOKUP(K240,'Janeiro 2023 - Valor Real'!A3:A15,'Janeiro 2023 - Valor Real'!C3:C15,0))+1))/((L240-1)*(1-_xlfn.XLOOKUP(K240,'Janeiro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Real'!C3:C15,0))+1))/((L238-1)*(1-_xlfn.XLOOKUP(K238,'Janeiro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Real'!C3:C15,0))+1))/((L239-1)*(1-_xlfn.XLOOKUP(K239,'Janeiro 2023 - Valor Real'!A3:A15,'Janeiro 2023 - Valor Real'!C3:C15,0))+1)+SUM(((L238-1)*(1-_xlfn.XLOOKUP(K238,'Janeiro 2023 - Valor Real'!A3:A15,'Janeiro 2023 - Valor Real'!C3:C15,0))+1),((L239-1)*(1-_xlfn.XLOOKUP(K239,'Janeiro 2023 - Valor Real'!A3:A15,'Janeiro 2023 - Valor Real'!C3:C15,0))+1),((L240-1)*(1-_xlfn.XLOOKUP(K240,'Janeiro 2023 - Valor Real'!A3:A15,'Janeiro 2023 - Valor Real'!C3:C15,0))+1))/((L240-1)*(1-_xlfn.XLOOKUP(K240,'Janeiro 2023 - Valor Real'!A3:A15,'Janeiro 2023 - Valor Real'!C3:C15,0))+1)))</f>
      </c>
      <c r="AF240" s="132">
        <f>IF($K240=AF$3,ROUND(IF(OR($C240="W",$C240="1/2W",$C240="1/2L"),$P240-$O240,IF($C240="X",0,-$O240)),2),0)</f>
        <v>0</v>
      </c>
      <c r="AG240" s="133">
        <f>IF($K240=AG$3,ROUND(IF(OR($C240="W",$C240="1/2W",$C240="1/2L"),$P240-$O240,IF($C240="X",0,-$O240)),2),0)</f>
        <v>0</v>
      </c>
      <c r="AH240" s="133">
        <f>IF($K240=AH$3,ROUND(IF(OR($C240="W",$C240="1/2W",$C240="1/2L"),$P240-$O240,IF($C240="X",0,-$O240)),2),0)</f>
        <v>0</v>
      </c>
      <c r="AI240" s="133">
        <f>IF($K240=AI$3,ROUND(IF(OR($C240="W",$C240="1/2W",$C240="1/2L"),$P240-$O240,IF($C240="X",0,-$O240)),2),0)</f>
        <v>0</v>
      </c>
      <c r="AJ240" s="133">
        <f>IF($K240=AJ$3,ROUND(IF(OR($C240="W",$C240="1/2W",$C240="1/2L"),$P240-$O240,IF($C240="X",0,-$O240)),2),0)</f>
        <v>0</v>
      </c>
      <c r="AK240" s="133">
        <f>IF($K240=AK$3,ROUND(IF(OR($C240="W",$C240="1/2W",$C240="1/2L"),$P240-$O240,IF($C240="X",0,-$O240)),2),0)</f>
        <v>0</v>
      </c>
      <c r="AL240" s="133">
        <f>IF($K240=AL$3,ROUND(IF(OR($C240="W",$C240="1/2W",$C240="1/2L"),$P240-$O240,IF($C240="X",0,-$O240)),2),0)</f>
        <v>0</v>
      </c>
      <c r="AM240" s="133">
        <f>IF($K240=AM$3,ROUND(IF(OR($C240="W",$C240="1/2W",$C240="1/2L"),$P240-$O240,IF($C240="X",0,-$O240)),2),0)</f>
        <v>0</v>
      </c>
      <c r="AN240" s="133">
        <f>IF($K240=AN$3,ROUND(IF(OR($C240="W",$C240="1/2W",$C240="1/2L"),$P240-$O240,IF($C240="X",0,-$O240)),2),0)</f>
        <v>0</v>
      </c>
      <c r="AO240" s="133">
        <f>IF($K240=AO$3,ROUND(IF(OR($C240="W",$C240="1/2W",$C240="1/2L"),$P240-$O240,IF($C240="X",0,-$O240)),2),0)</f>
        <v>0</v>
      </c>
      <c r="AP240" s="133">
        <f>IF($K240=AP$3,ROUND(IF(OR($C240="W",$C240="1/2W",$C240="1/2L"),$P240-$O240,IF($C240="X",0,-$O240)),2),0)</f>
        <v>0</v>
      </c>
      <c r="AQ240" s="133">
        <f>IF($K240=AQ$3,ROUND(IF(OR($C240="W",$C240="1/2W",$C240="1/2L"),$P240-$O240,IF($C240="X",0,-$O240)),2),0)</f>
        <v>0</v>
      </c>
      <c r="AR240" s="134">
        <f>IF($K240=AR$3,ROUND(IF(OR($C240="W",$C240="1/2W",$C240="1/2L"),$P240-$O240,IF($C240="X",0,-$O240)),2),0)</f>
        <v>0</v>
      </c>
      <c r="AS240" s="132">
        <f>IF(AND($B238=" ",$K240=AS$3),$O240,0)</f>
        <v>0</v>
      </c>
      <c r="AT240" s="133">
        <f>IF(AND($B238=" ",K240=AT$3),$O240,0)</f>
        <v>0</v>
      </c>
      <c r="AU240" s="133">
        <f>IF(AND($B238=" ",$K240=AU$3),$O240,0)</f>
        <v>0</v>
      </c>
      <c r="AV240" s="133">
        <f>IF(AND($B238=" ",$K240=AV$3),$O240,0)</f>
        <v>0</v>
      </c>
      <c r="AW240" s="133">
        <f>IF(AND($B238=" ",$K240=AW$3),$O240,0)</f>
        <v>0</v>
      </c>
      <c r="AX240" s="133">
        <f>IF(AND($B238=" ",$K240=AX$3),$O240,0)</f>
        <v>0</v>
      </c>
      <c r="AY240" s="135">
        <f>IF(AND($B238=" ",$K240=AY$3),$O240,0)</f>
        <v>0</v>
      </c>
      <c r="AZ240" s="136">
        <f>IF(AND($B238=" ",$K240=AZ$3),$O240,0)</f>
        <v>0</v>
      </c>
      <c r="BA240" s="136">
        <f>IF(AND($B238=" ",$K240=BA$3),$O240,0)</f>
        <v>0</v>
      </c>
      <c r="BB240" s="136">
        <f>IF(AND($B238=" ",$K240=BB$3),$O240,0)</f>
        <v>0</v>
      </c>
      <c r="BC240" s="137">
        <f>IF(AND($B238=" ",$K240=BC$3),$O240,0)</f>
        <v>0</v>
      </c>
      <c r="BD240" s="133">
        <f>IF(AND($B238=" ",$K240=BD$3),$O240,0)</f>
        <v>0</v>
      </c>
      <c r="BE240" s="134">
        <f>IF(AND($B238=" ",$K240=BE$3),$O240,0)</f>
        <v>0</v>
      </c>
      <c r="BF240" s="132">
        <f>IF($K240=BF$3,IF($C240="X",0,$O240),0)</f>
        <v>0</v>
      </c>
      <c r="BG240" s="281">
        <f>IF($K240=BG$3,IF($C240="X",0,$O240),0)</f>
        <v>0</v>
      </c>
      <c r="BH240" s="133">
        <f>IF($K240=BH$3,IF($C240="X",0,$O240),0)</f>
        <v>0</v>
      </c>
      <c r="BI240" s="133">
        <f>IF($K240=BI$3,IF($C240="X",0,$O240),0)</f>
        <v>0</v>
      </c>
      <c r="BJ240" s="133">
        <f>IF($K240=BJ$3,IF($C240="X",0,$O240),0)</f>
        <v>0</v>
      </c>
      <c r="BK240" s="133">
        <f>IF($K240=BK$3,IF($C240="X",0,$O240),0)</f>
        <v>0</v>
      </c>
      <c r="BL240" s="133">
        <f>IF($K240=BL$3,IF($C240="X",0,$O240),0)</f>
        <v>0</v>
      </c>
      <c r="BM240" s="135">
        <f>IF($K240=BM$3,IF($C240="X",0,$O240),0)</f>
        <v>0</v>
      </c>
      <c r="BN240" s="136">
        <f>IF($K240=BN$3,IF($C240="X",0,$O240),0)</f>
        <v>0</v>
      </c>
      <c r="BO240" s="136">
        <f>IF($K240=BO$3,IF($C240="X",0,$O240),0)</f>
        <v>0</v>
      </c>
      <c r="BP240" s="136">
        <f>IF($K240=BP$3,IF($C240="X",0,$O240),0)</f>
        <v>0</v>
      </c>
      <c r="BQ240" s="137">
        <f>IF($K240=BQ$3,IF($C240="X",0,$O240),0)</f>
        <v>0</v>
      </c>
      <c r="BR240" s="134">
        <f>IF($K240=BR$3,IF($C240="X",0,$O240),0)</f>
        <v>0</v>
      </c>
      <c r="BS240" s="282"/>
      <c r="BT240" s="283"/>
      <c r="BU240" s="140"/>
      <c r="BV240" s="283"/>
      <c r="BW240" s="140"/>
      <c r="BX240" s="140"/>
      <c r="BY240" s="140"/>
      <c r="BZ240" s="283"/>
      <c r="CA240" s="140"/>
      <c r="CB240" s="140"/>
      <c r="CC240" s="140"/>
      <c r="CD240" s="141"/>
      <c r="CE240" s="142"/>
      <c r="CF240" s="284">
        <f>IF(CF$3=$K240,IF($C240="W",1,IF($C240="1/2W",0.5,0)),0)</f>
        <v>0</v>
      </c>
      <c r="CG240" s="285">
        <f>IF(CF$3=$K240,IF($C240="L",1,IF($C240="1/2L",0.5,0)),0)</f>
        <v>0</v>
      </c>
      <c r="CH240" s="285">
        <f>IF(CH$3=$K240,IF($C240="W",1,IF($C240="1/2W",0.5,0)),0)</f>
        <v>0</v>
      </c>
      <c r="CI240" s="285">
        <f>IF(CH$3=$K240,IF($C240="L",1,IF($C240="1/2L",0.5,0)),0)</f>
        <v>0</v>
      </c>
      <c r="CJ240" s="285">
        <f>IF(CJ$3=$K240,IF($C240="W",1,IF($C240="1/2W",0.5,0)),0)</f>
        <v>0</v>
      </c>
      <c r="CK240" s="285">
        <f>IF(CJ$3=$K240,IF($C240="L",1,IF($C240="1/2L",0.5,0)),0)</f>
        <v>0</v>
      </c>
      <c r="CL240" s="285">
        <f>IF(CL$3=$K240,IF($C240="W",1,IF($C240="1/2W",0.5,0)),0)</f>
        <v>0</v>
      </c>
      <c r="CM240" s="285">
        <f>IF(CL$3=$K240,IF($C240="L",1,IF($C240="1/2L",0.5,0)),0)</f>
        <v>0</v>
      </c>
      <c r="CN240" s="285">
        <f>IF(CN$3=$K240,IF($C240="W",1,IF($C240="1/2W",0.5,0)),0)</f>
        <v>0</v>
      </c>
      <c r="CO240" s="285">
        <f>IF(CN$3=$K240,IF($C240="L",1,IF($C240="1/2L",0.5,0)),0)</f>
        <v>0</v>
      </c>
      <c r="CP240" s="285">
        <f>IF(CP$3=$K240,IF($C240="W",1,IF($C240="1/2W",0.5,0)),0)</f>
        <v>0</v>
      </c>
      <c r="CQ240" s="285">
        <f>IF(CP$3=$K240,IF($C240="L",1,IF($C240="1/2L",0.5,0)),0)</f>
        <v>0</v>
      </c>
      <c r="CR240" s="285">
        <f>IF(CR$3=$K240,IF($C240="W",1,IF($C240="1/2W",0.5,0)),0)</f>
        <v>0</v>
      </c>
      <c r="CS240" s="285">
        <f>IF(CR$3=$K240,IF($C240="L",1,IF($C240="1/2L",0.5,0)),0)</f>
        <v>0</v>
      </c>
      <c r="CT240" s="145">
        <f>IF(CT$3=$K240,IF($C240="W",1,IF($C240="1/2W",0.5,0)),0)</f>
        <v>0</v>
      </c>
      <c r="CU240" s="146">
        <f>IF(CT$3=$K240,IF($C240="L",1,IF($C240="1/2L",0.5,0)),0)</f>
        <v>0</v>
      </c>
      <c r="CV240" s="146">
        <f>IF(CV$3=$K240,IF($C240="W",1,IF($C240="1/2W",0.5,0)),0)</f>
        <v>0</v>
      </c>
      <c r="CW240" s="146">
        <f>IF(CV$3=$K240,IF($C240="L",1,IF($C240="1/2L",0.5,0)),0)</f>
        <v>0</v>
      </c>
      <c r="CX240" s="146">
        <f>IF(CX$3=$K240,IF($C240="W",1,IF($C240="1/2W",0.5,0)),0)</f>
        <v>0</v>
      </c>
      <c r="CY240" s="146">
        <f>IF(CX$3=$K240,IF($C240="L",1,IF($C240="1/2L",0.5,0)),0)</f>
        <v>0</v>
      </c>
      <c r="CZ240" s="146">
        <f>IF(CZ$3=$K240,IF($C240="W",1,IF($C240="1/2W",0.5,0)),0)</f>
        <v>0</v>
      </c>
      <c r="DA240" s="146">
        <f>IF(CZ$3=$K240,IF($C240="L",1,IF($C240="1/2L",0.5,0)),0)</f>
        <v>0</v>
      </c>
      <c r="DB240" s="146">
        <f>IF(DB$3=$K240,IF($C240="W",1,IF($C240="1/2W",0.5,0)),0)</f>
        <v>0</v>
      </c>
      <c r="DC240" s="146">
        <f>IF(DB$3=$K240,IF($C240="L",1,IF($C240="1/2L",0.5,0)),0)</f>
        <v>0</v>
      </c>
      <c r="DD240" s="146">
        <f>IF(DD$3=$K240,IF($C240="W",1,IF($C240="1/2W",0.5,0)),0)</f>
        <v>0</v>
      </c>
      <c r="DE240" s="147">
        <f>IF(DD$3=$K240,IF($C240="L",1,IF($C240="1/2L",0.5,0)),0)</f>
        <v>0</v>
      </c>
      <c r="DF240" s="143">
        <f>IF(AND(L240&lt;DF$3,$C240="W"),1+DF239,DF239)</f>
        <v>8</v>
      </c>
      <c r="DG240" s="133">
        <f>IF(DF240&gt;DF239,L240+DG239,DG239)</f>
        <v>10.598</v>
      </c>
      <c r="DH240" s="146">
        <f>IF(AND(L240&gt;DH$3,$C240="W"),1+DH239,0+DH239)</f>
        <v>5</v>
      </c>
      <c r="DI240" s="133">
        <f>IF(DH240&gt;DH239,L240+DI239,DI239)</f>
        <v>26.18</v>
      </c>
      <c r="DJ240" t="s" s="304">
        <f>IF($D238="","",$D238)</f>
        <v>229</v>
      </c>
      <c r="DK240" s="286"/>
    </row>
    <row r="241" ht="14.55" customHeight="1">
      <c r="A241" s="171">
        <f>$A238+1</f>
        <v>80</v>
      </c>
      <c r="B241" t="s" s="172">
        <f>IF(AND(_xlfn.XLOOKUP(H241,H97:H$97,G97:G$97,0)=G241,_xlfn.XLOOKUP("TempoBet",K241:K243,L241:L243,0)&gt;0),"X",IF(OR(C241="W",C242="W",C243="W",C241="1/2W",C242="1/2W",C243="1/2W",C241="1/2L",C242="1/2L",C243="1/2L"),"OK",IF(OR(C241="L",C242="L",C243="L"),"LOSS",IF(OR(C241="X",C242="X",C243="X"),"Anulado"," "))))</f>
        <v>50</v>
      </c>
      <c r="C241" t="s" s="173">
        <v>56</v>
      </c>
      <c r="D241" t="s" s="305">
        <f>IF(G241="","",$D238)</f>
        <v>229</v>
      </c>
      <c r="E241" t="s" s="175">
        <f>IF(G241=""," ","– "&amp;COUNTIF(D$4:D243,$D241))</f>
        <v>115</v>
      </c>
      <c r="F241" t="s" s="176"/>
      <c r="G241" s="177">
        <f>IF(H241="","",_xlfn.XLOOKUP(H241,H$4:H240,G$4:G240,""))</f>
        <v>44945.25</v>
      </c>
      <c r="H241" t="s" s="178">
        <v>235</v>
      </c>
      <c r="I241" s="298">
        <v>2</v>
      </c>
      <c r="J241" s="180"/>
      <c r="K241" t="s" s="181">
        <v>41</v>
      </c>
      <c r="L241" s="182">
        <v>4.65</v>
      </c>
      <c r="M241" s="183">
        <v>6.16</v>
      </c>
      <c r="N241" s="184">
        <v>0</v>
      </c>
      <c r="O241" s="185">
        <f>IF(OR(AE241="",AE242=""),"",ROUND(IF(L243&gt;0,IF(M241&gt;0,M241,IF(M242&gt;0,ROUND((M242*AE241)/AE242,IF(N241=0,2,IF(N241=0.1,1,0))),ROUND((M243*AE241)/AE243,IF(N241=0,2,IF(N241=0.1,1,0))))),IF(M241&gt;0,M241,ROUND((M242*AE241)/AE242,IF(N241=0,2,IF(N241=0.1,1,0))))),2))</f>
        <v>6.16</v>
      </c>
      <c r="P241" s="186">
        <f>IF(OR(L241="",O241=""),"",IF($C241="1/2W",O241/2+O241/2*L241,IF($C241="1/2L",O241/2,IF(I241="Lay",(O241*(L241/(L241-1))-O241)*(1-_xlfn.XLOOKUP(K241,'Janeiro 2023 - Valor Real'!A3:A15,'Janeiro 2023 - Valor Real'!C3:C15,0))+O241,(O241*L241-O241)*(1-_xlfn.XLOOKUP(K241,'Janeiro 2023 - Valor Real'!A3:A15,'Janeiro 2023 - Valor Real'!C3:C15,0))+O241))))</f>
        <v>28.644</v>
      </c>
      <c r="Q241" s="187">
        <f>IF(K241="","",IF(_xlfn.XLOOKUP(K241,K97:K$97,DJ97:DJ$97,0,,-1)=DJ241,_xlfn.XLOOKUP(K241,K97:K$97,Q97:Q$97,1,,-1)+1,1))</f>
        <v>1</v>
      </c>
      <c r="R241" s="188">
        <f>IF(K241="","",_xlfn.XLOOKUP(K241,K97:K$97,R97:R$97,0,,-1)+IF($C241=" ",1,0))</f>
        <v>0</v>
      </c>
      <c r="S241" s="189">
        <f>IF($B241="Anulado",0,ROUND(IF(OR($B241="LOSS",$B241="OK"),IF(OR($C241="W",$C241="1/2W",$C241="1/2L"),P241-O241,IF($C241="L",-O241,0))+IF(OR($C242="W",$C242="1/2W",$C242="1/2L"),P242-O242,IF($C242="L",-O242,0))+IF(OR($C243="W",$C243="1/2W",$C243="1/2L"),P243-O243,IF($C243="L",-O243,0)),IF(AND(OR($C241="W",$C241="1/2W",$C241="1/2L"),C242="W"),P241+P242-SUM(O241:O243)+_xlfn.XLOOKUP("X",C241:C243,O241:O243,0),IF(AND(C241=TRUE,C243="W"),P241+P243-SUM(O241:O243),IF(AND(C242="W",C243="W"),P242+P243-SUM(O241:O243)+_xlfn.XLOOKUP("X",C241:C243,O241:O243,0),IF(L243&gt;0,IF(OR($C241="W",$C241="1/2W",$C241="1/2L"),P241-SUM(O241:O243)+_xlfn.XLOOKUP("X",C241:C243,O241:O243,0),IF(OR($C241="W",$C241="1/2W",$C241="1/2L"),P242-SUM(O241:O243)+_xlfn.XLOOKUP("X",C241:C243,O241:O243,0),IF(OR($C241="W",$C241="1/2W",$C241="1/2L"),P243-SUM(O241:O243)+_xlfn.XLOOKUP("X",C241:C243,O241:O243,0),IF(SUM(P241:P243)/3-SUM(O241:O243)+_xlfn.XLOOKUP("X",C241:C243,O241:O243,0)&gt;0,SUM(P241:P243)/3-SUM(O241:O243)+_xlfn.XLOOKUP("X",C241:C243,O241:O243,0),LARGE(P241:P243,1)-SUM(O241:O243))))),IF(OR($C241="W",$C241="1/2W",$C241="1/2L"),P241-SUM(O241:O242)+_xlfn.XLOOKUP("X",C241:C243,O241:O243,0),IF(OR($C241="W",$C241="1/2W",$C241="1/2L"),P242-SUM(O241:O242)+_xlfn.XLOOKUP("X",C241:C243,O241:O243,0),SUM(P241:P242)/2-SUM(O241:O242)+_xlfn.XLOOKUP("X",C241:C243,O241:O243,0)))))))),2))</f>
        <v>1.1</v>
      </c>
      <c r="T241" s="190">
        <f>IF(S241=0,0,S241/SUM(O241:O243))</f>
        <v>0.0399419026870007</v>
      </c>
      <c r="U241" s="191">
        <f>IF($D241=$D238,IF(OR($B241="LOSS",$B241="OK",$B241="Anulada"),S241,0)+U238,IF(OR($B241="LOSS",$B241="OK",$B241="Anulada"),S241,0))</f>
        <v>5.44</v>
      </c>
      <c r="V241" s="191">
        <f>IF($D241="",0,IF($D241=$D238,IF($B241=" ",IF(I243="",IF(OR(AND(I241="DNB1",I242="DNB2"),AND(OR(I241="DNB1",I241="DNB2"),J242=0),AND(OR(I242="DNB1",I242="DNB2"),J241=0),AND(I241="DNB2",I242="DNB1"),AND(IF(J241=0,(J241+1)/ROUND(J241+1,0),J241/ROUND(J241,0))=1,IF(J242=0,(J242+1)/ROUND(IF(J242="",0,J242)+1,0),IF(J242="",0,J242)/ROUND(IF(J242="",1,J242),0))=1,OR(J241&lt;&gt;""),J242&lt;&gt;"")),0,IF(S241&lt;0,IF(I243="",SMALL(P241:P242,1)-SUM(O241:O242),0),SMALL(P241:P242,1)-SUM(O241:O242))),IF(S241&lt;0,IF(I243="",SMALL(P241:P243,1)-SUM(O241:O243),0),LARGE(P241:P243,1)-SUM(O241:O243))),S241)+V238,IF(I243="",IF(OR(AND(I241="DNB1",I242="DNB2"),AND(OR(I241="DNB1",I241="DNB2"),J242=0),AND(OR(I242="DNB1",I242="DNB2"),J241=0),AND(I241="DNB2",I242="DNB1"),AND(IF(J241=0,(J241+1)/ROUND(J241+1,0),J241/ROUND(J241,0))=1,IF(J242=0,(IF(J242="",0,J242)+1)/ROUND(IF(J242="",0,J242)+1,0),IF(J242="",0,J242)/ROUND(IF(J242="",0,J242)+1,0))=1,OR(J241&lt;&gt;""),J242&lt;&gt;"")),0,IF(S241&lt;0,IF(I243="",SMALL(P241:P242,1)-SUM(O241:O242),0),SMALL(P241:P243,1)-SUM(O241:O243))),IF(S241&lt;0,IF(I243="",SMALL(P241:P243,1)-SUM(O241:O243),0),LARGE(P241:P243,1)-SUM(O241:O243)))))</f>
        <v>5.436</v>
      </c>
      <c r="W241" s="191">
        <f>IF($D241=$D238,IF(S241&lt;0,IF(I243="",S241,0),S241)+W238,S241)</f>
        <v>5.44</v>
      </c>
      <c r="X241" t="s" s="192">
        <f>IF(OR(SUM(R241:R243)=0,V241=W241),ROUND(IF(W241=0,0,W241/Y241)*100,2)&amp;"%",ROUND(IF(V241=0,0,V241/Y241)*100,2)&amp;"% a "&amp;ROUND(IF(W241=0,0,W241/Y241)*100,2)&amp;"%")</f>
        <v>238</v>
      </c>
      <c r="Y241" s="193">
        <f>IF($D241=$D238,Y238+SUM(O241:O243),SUM(O241:O243))</f>
        <v>229.39</v>
      </c>
      <c r="Z241" s="191">
        <f>IF($B241=" ",SUM(O241:O243),0)+Z238</f>
        <v>0</v>
      </c>
      <c r="AA241" s="191">
        <f>IF(G241="","",IF($B241="Anulado",LARGE(P241:P243,1)-SUM(O241:O243)+AA238,AA238))</f>
        <v>16.5099</v>
      </c>
      <c r="AB241" s="191">
        <f>IF($D241="","",AB238+S241)</f>
        <v>207.61</v>
      </c>
      <c r="AC241" s="194">
        <f>IF($D241="","",IF($B241=" ",IF(DAY(G241)=DAY(TODAY()),1+AC238,0+AC238),0+AC238))</f>
        <v>0</v>
      </c>
      <c r="AD241" s="195">
        <f>(((L242/(L242-1)-1)*(1-_xlfn.XLOOKUP(K242,'Janeiro 2023 - Valor Real'!A3:A15,'Janeiro 2023 - Valor Real'!C3:C15,0))+1))/(((L241-1)*(1-_xlfn.XLOOKUP(K241,'Janeiro 2023 - Valor Real'!A3:A15,'Janeiro 2023 - Valor Real'!C3:C15,0))+1)+((L242/(L242-1)-1)*(1-_xlfn.XLOOKUP(K242,'Janeiro 2023 - Valor Real'!A3:A15,'Janeiro 2023 - Valor Real'!C3:C15,0))+1))</f>
        <v>0.223706176961603</v>
      </c>
      <c r="AE241" s="196">
        <f>IF(L241="","",IF(L243&gt;0,(SUM(((L241-1)*(1-_xlfn.XLOOKUP(K241,'Janeiro 2023 - Valor Real'!A3:A15,'Janeiro 2023 - Valor Real'!C3:C15,0))+1),((L242-1)*(1-_xlfn.XLOOKUP(K242,'Janeiro 2023 - Valor Real'!A3:A15,'Janeiro 2023 - Valor Real'!C3:C15,0))+1),((L243-1)*(1-_xlfn.XLOOKUP(K243,'Janeiro 2023 - Valor Real'!A3:A15,'Janeiro 2023 - Valor Real'!C3:C15,0))+1))/((L241-1)*(1-_xlfn.XLOOKUP(K241,'Janeiro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Real'!C3:C15,0))+1))/((L241-1)*(1-_xlfn.XLOOKUP(K241,'Janeiro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Real'!C3:C15,0))+1))/((L242-1)*(1-_xlfn.XLOOKUP(K242,'Janeiro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Real'!C3:C15,0))+1))/((L243-1)*(1-_xlfn.XLOOKUP(K243,'Janeiro 2023 - Valor Real'!A3:A15,'Janeiro 2023 - Valor Real'!C3:C15,0))+1)),IF(I241="Lay",IF(I242="Lay",((L242/(L242-1)-1)*(1-_xlfn.XLOOKUP(K242,'Janeiro 2023 - Valor Real'!A3:A15,'Janeiro 2023 - Valor Real'!C3:C15,0))+1)/(((L242/(L242-1)-1)*(1-_xlfn.XLOOKUP(K242,'Janeiro 2023 - Valor Real'!A3:A15,'Janeiro 2023 - Valor Real'!C3:C15,0))+1)+((L241/(L241-1)-1)*(1-_xlfn.XLOOKUP(K241,'Janeiro 2023 - Valor Real'!A3:A15,'Janeiro 2023 - Valor Real'!C3:C15,0))+1)),((L242-1)*(1-_xlfn.XLOOKUP(K242,'Janeiro 2023 - Valor Real'!A3:A15,'Janeiro 2023 - Valor Real'!C3:C15,0))+1)/(((L242-1)*(1-_xlfn.XLOOKUP(K242,'Janeiro 2023 - Valor Real'!A3:A15,'Janeiro 2023 - Valor Real'!C3:C15,0))+1)+((L241/(L241-1)-1)*(1-_xlfn.XLOOKUP(K241,'Janeiro 2023 - Valor Real'!A3:A15,'Janeiro 2023 - Valor Real'!C3:C15,0))+1))),IF(I242="Lay",(((L242/(L242-1)-1)*(1-_xlfn.XLOOKUP(K242,'Janeiro 2023 - Valor Real'!A3:A15,'Janeiro 2023 - Valor Real'!C3:C15,0))+1))/(((L241-1)*(1-_xlfn.XLOOKUP(K241,'Janeiro 2023 - Valor Real'!A3:A15,'Janeiro 2023 - Valor Real'!C3:C15,0))+1)+((L242/(L242-1)-1)*(1-_xlfn.XLOOKUP(K242,'Janeiro 2023 - Valor Real'!A3:A15,'Janeiro 2023 - Valor Real'!C3:C15,0))+1)),((L242-1)*(1-_xlfn.XLOOKUP(K242,'Janeiro 2023 - Valor Real'!A3:A15,'Janeiro 2023 - Valor Real'!C3:C15,0))+1)/(((L242-1)*(1-_xlfn.XLOOKUP(K242,'Janeiro 2023 - Valor Real'!A3:A15,'Janeiro 2023 - Valor Real'!C3:C15,0))+1)+((L241-1)*(1-_xlfn.XLOOKUP(K241,'Janeiro 2023 - Valor Real'!A3:A15,'Janeiro 2023 - Valor Real'!C3:C15,0))+1))))))</f>
        <v>0.223706176961603</v>
      </c>
      <c r="AF241" s="197">
        <f>IF($K241=AF$3,ROUND(IF(OR($C241="W",$C241="1/2W",$C241="1/2L"),$P241-$O241,IF($C241="X",0,-$O241)),2),0)</f>
        <v>0</v>
      </c>
      <c r="AG241" s="198">
        <f>IF($K241=AG$3,ROUND(IF(OR($C241="W",$C241="1/2W",$C241="1/2L"),$P241-$O241,IF($C241="X",0,-$O241)),2),0)</f>
        <v>0</v>
      </c>
      <c r="AH241" s="198">
        <f>IF($K241=AH$3,ROUND(IF(OR($C241="W",$C241="1/2W",$C241="1/2L"),$P241-$O241,IF($C241="X",0,-$O241)),2),0)</f>
        <v>0</v>
      </c>
      <c r="AI241" s="198">
        <f>IF($K241=AI$3,ROUND(IF(OR($C241="W",$C241="1/2W",$C241="1/2L"),$P241-$O241,IF($C241="X",0,-$O241)),2),0)</f>
        <v>0</v>
      </c>
      <c r="AJ241" s="198">
        <f>IF($K241=AJ$3,ROUND(IF(OR($C241="W",$C241="1/2W",$C241="1/2L"),$P241-$O241,IF($C241="X",0,-$O241)),2),0)</f>
        <v>22.48</v>
      </c>
      <c r="AK241" s="198">
        <f>IF($K241=AK$3,ROUND(IF(OR($C241="W",$C241="1/2W",$C241="1/2L"),$P241-$O241,IF($C241="X",0,-$O241)),2),0)</f>
        <v>0</v>
      </c>
      <c r="AL241" s="198">
        <f>IF($K241=AL$3,ROUND(IF(OR($C241="W",$C241="1/2W",$C241="1/2L"),$P241-$O241,IF($C241="X",0,-$O241)),2),0)</f>
        <v>0</v>
      </c>
      <c r="AM241" s="198">
        <f>IF($K241=AM$3,ROUND(IF(OR($C241="W",$C241="1/2W",$C241="1/2L"),$P241-$O241,IF($C241="X",0,-$O241)),2),0)</f>
        <v>0</v>
      </c>
      <c r="AN241" s="198">
        <f>IF($K241=AN$3,ROUND(IF(OR($C241="W",$C241="1/2W",$C241="1/2L"),$P241-$O241,IF($C241="X",0,-$O241)),2),0)</f>
        <v>0</v>
      </c>
      <c r="AO241" s="198">
        <f>IF($K241=AO$3,ROUND(IF(OR($C241="W",$C241="1/2W",$C241="1/2L"),$P241-$O241,IF($C241="X",0,-$O241)),2),0)</f>
        <v>0</v>
      </c>
      <c r="AP241" s="198">
        <f>IF($K241=AP$3,ROUND(IF(OR($C241="W",$C241="1/2W",$C241="1/2L"),$P241-$O241,IF($C241="X",0,-$O241)),2),0)</f>
        <v>0</v>
      </c>
      <c r="AQ241" s="198">
        <f>IF($K241=AQ$3,ROUND(IF(OR($C241="W",$C241="1/2W",$C241="1/2L"),$P241-$O241,IF($C241="X",0,-$O241)),2),0)</f>
        <v>0</v>
      </c>
      <c r="AR241" s="199">
        <f>IF($K241=AR$3,ROUND(IF(OR($C241="W",$C241="1/2W",$C241="1/2L"),$P241-$O241,IF($C241="X",0,-$O241)),2),0)</f>
        <v>0</v>
      </c>
      <c r="AS241" s="197">
        <f>IF(AND($B241=" ",$K241=AS$3),$O241,0)</f>
        <v>0</v>
      </c>
      <c r="AT241" s="198">
        <f>IF(AND($B241=" ",$K241=AT$3),$O241,0)</f>
        <v>0</v>
      </c>
      <c r="AU241" s="198">
        <f>IF(AND($B241=" ",$K241=AU$3),$O241,0)</f>
        <v>0</v>
      </c>
      <c r="AV241" s="198">
        <f>IF(AND($B241=" ",$K241=AV$3),$O241,0)</f>
        <v>0</v>
      </c>
      <c r="AW241" s="198">
        <f>IF(AND($B241=" ",$K241=AW$3),$O241,0)</f>
        <v>0</v>
      </c>
      <c r="AX241" s="198">
        <f>IF(AND($B241=" ",$K241=AX$3),$O241,0)</f>
        <v>0</v>
      </c>
      <c r="AY241" s="200">
        <f>IF(AND($B241=" ",$K241=AY$3),$O241,0)</f>
        <v>0</v>
      </c>
      <c r="AZ241" s="201">
        <f>IF(AND($B241=" ",$K241=AZ$3),$O241,0)</f>
        <v>0</v>
      </c>
      <c r="BA241" s="201">
        <f>IF(AND($B241=" ",$K241=BA$3),$O241,0)</f>
        <v>0</v>
      </c>
      <c r="BB241" s="201">
        <f>IF(AND($B241=" ",$K241=BB$3),$O241,0)</f>
        <v>0</v>
      </c>
      <c r="BC241" s="202">
        <f>IF(AND($B241=" ",$K241=BC$3),$O241,0)</f>
        <v>0</v>
      </c>
      <c r="BD241" s="198">
        <f>IF(AND($B241=" ",$K241=BD$3),$O241,0)</f>
        <v>0</v>
      </c>
      <c r="BE241" s="199">
        <f>IF(AND($B241=" ",$K241=BE$3),$O241,0)</f>
        <v>0</v>
      </c>
      <c r="BF241" s="203">
        <f>IF($K241=BF$3,IF($C241="X",0,$O241),0)</f>
        <v>0</v>
      </c>
      <c r="BG241" s="198">
        <f>IF($K241=BG$3,IF($C241="X",0,$O241),0)</f>
        <v>0</v>
      </c>
      <c r="BH241" s="198">
        <f>IF($K241=BH$3,IF($C241="X",0,$O241),0)</f>
        <v>0</v>
      </c>
      <c r="BI241" s="198">
        <f>IF($K241=BI$3,IF($C241="X",0,$O241),0)</f>
        <v>0</v>
      </c>
      <c r="BJ241" s="198">
        <f>IF($K241=BJ$3,IF($C241="X",0,$O241),0)</f>
        <v>6.16</v>
      </c>
      <c r="BK241" s="198">
        <f>IF($K241=BK$3,IF($C241="X",0,$O241),0)</f>
        <v>0</v>
      </c>
      <c r="BL241" s="198">
        <f>IF($K241=BL$3,IF($C241="X",0,$O241),0)</f>
        <v>0</v>
      </c>
      <c r="BM241" s="200">
        <f>IF($K241=BM$3,IF($C241="X",0,$O241),0)</f>
        <v>0</v>
      </c>
      <c r="BN241" s="201">
        <f>IF($K241=BN$3,IF($C241="X",0,$O241),0)</f>
        <v>0</v>
      </c>
      <c r="BO241" s="201">
        <f>IF($K241=BO$3,IF($C241="X",0,$O241),0)</f>
        <v>0</v>
      </c>
      <c r="BP241" s="201">
        <f>IF($K241=BP$3,IF($C241="X",0,$O241),0)</f>
        <v>0</v>
      </c>
      <c r="BQ241" s="202">
        <f>IF($K241=BQ$3,IF($C241="X",0,$O241),0)</f>
        <v>0</v>
      </c>
      <c r="BR241" s="199">
        <f>IF($K241=BR$3,IF($C241="X",0,$O241),0)</f>
        <v>0</v>
      </c>
      <c r="BS241" s="204">
        <f>IF($B241="LOSS",IF(AND($K241=BS$3,$C241="L"),-$O241,0)+IF(AND($K242=BS$3,$C242="L"),-$O242,0)+IF(AND($K243=BS$3,$C243="L"),-$O243,0),IF(OR(AND($K241=BS$3,OR($C241="W",$C241="1/2W")),AND($K242=BS$3,OR($C242="W",$C242="1/2W")),AND($K243=BS$3,OR($C243="W",$C243="1/2W"))),$S241,0))</f>
        <v>0</v>
      </c>
      <c r="BT241" s="201">
        <f>IF($B241="LOSS",IF(AND($K241=BT$3,$C241="L"),-$O241,0)+IF(AND($K242=BT$3,$C242="L"),-$O242,0)+IF(AND($K242=BT$3,$C243="L"),-$O243,0),IF(OR(AND($K242=BT$3,OR($C241="W",$C241="1/2W")),AND($K242=BT$3,OR($C242="W",$C242="1/2W")),AND($K242=BT$3,OR($C243="W",$C243="1/2W"))),$S241,0))</f>
        <v>0</v>
      </c>
      <c r="BU241" s="201">
        <f>IF($B241="LOSS",IF(AND($K241=BU$3,$C241="L"),-$O241,0)+IF(AND($K242=BU$3,$C242="L"),-$O242,0)+IF(AND($K242=BU$3,$C243="L"),-$O243,0),IF(OR(AND($K242=BU$3,OR($C241="W",$C241="1/2W")),AND($K242=BU$3,OR($C242="W",$C242="1/2W")),AND($K242=BU$3,OR($C243="W",$C243="1/2W"))),$S241,0))</f>
        <v>1.1</v>
      </c>
      <c r="BV241" s="201">
        <f>IF($B241="LOSS",IF(AND($K241=BV$3,$C241="L"),-$O241,0)+IF(AND($K242=BV$3,$C242="L"),-$O242,0)+IF(AND($K243=BV$3,$C243="L"),-$O243,0),IF(OR(AND($K241=BV$3,OR($C241="W",$C241="1/2W")),AND($K242=BV$3,OR($C242="W",$C242="1/2W")),AND($K243=BV$3,OR($C243="W",$C243="1/2W"))),$S241,0))</f>
        <v>0</v>
      </c>
      <c r="BW241" s="201">
        <f>IF($B241="LOSS",IF(AND($K241=BW$3,$C241="L"),-$O241,0)+IF(AND($K242=BW$3,$C242="L"),-$O242,0)+IF(AND($K243=BW$3,$C243="L"),-$O243,0),IF(OR(AND($K241=BW$3,OR($C241="W",$C241="1/2W")),AND($K242=BW$3,OR($C242="W",$C242="1/2W")),AND($K243=BW$3,OR($C243="W",$C243="1/2W"))),$S241,0))</f>
        <v>1.1</v>
      </c>
      <c r="BX241" s="201">
        <f>IF($B241="LOSS",IF(AND($K241=BX$3,$C241="L"),-$O241,0)+IF(AND($K242=BX$3,$C242="L"),-$O242,0)+IF(AND($K243=BX$3,$C243="L"),-$O243,0),IF(OR(AND($K241=BX$3,OR($C241="W",$C241="1/2W")),AND($K242=BX$3,OR($C242="W",$C242="1/2W")),AND($K243=BX$3,OR($C243="W",$C243="1/2W"))),$S241,0))</f>
        <v>0</v>
      </c>
      <c r="BY241" s="201">
        <f>IF($B241="LOSS",IF(AND($K241=BY$3,$C241="L"),-$O241,0)+IF(AND($K242=BY$3,$C242="L"),-$O242,0)+IF(AND($K243=BY$3,$C243="L"),-$O243,0),IF(OR(AND($K241=BY$3,OR($C241="W",$C241="1/2W")),AND($K242=BY$3,OR($C242="W",$C242="1/2W")),AND($K243=BY$3,OR($C243="W",$C243="1/2W"))),$S241,0))</f>
        <v>0</v>
      </c>
      <c r="BZ241" s="205">
        <f>IF($B241="LOSS",IF(AND($K241=BZ$3,$C241="L"),-$O241,0)+IF(AND($K242=BZ$3,$C242="L"),-$O242,0)+IF(AND($K243=BZ$3,$C243="L"),-$O243,0),IF(OR(AND($K241=BZ$3,OR($C241="W",$C241="1/2W")),AND($K242=BZ$3,OR($C242="W",$C242="1/2W")),AND($K243=BZ$3,OR($C243="W",$C243="1/2W"))),$S241,0))</f>
        <v>0</v>
      </c>
      <c r="CA241" s="205">
        <f>IF($B241="LOSS",IF(AND($K241=CA$3,$C241="L"),-$O241,0)+IF(AND($K242=CA$3,$C242="L"),-$O242,0)+IF(AND($K243=CA$3,$C243="L"),-$O243,0),IF(OR(AND($K241=CA$3,OR($C241="W",$C241="1/2W")),AND($K242=CA$3,OR($C242="W",$C242="1/2W")),AND($K243=CA$3,OR($C243="W",$C243="1/2W"))),$S241,0))</f>
        <v>0</v>
      </c>
      <c r="CB241" s="205">
        <f>IF($B241="LOSS",IF(AND($K241=CB$3,$C241="L"),-$O241,0)+IF(AND($K242=CB$3,$C242="L"),-$O242,0)+IF(AND($K243=CB$3,$C243="L"),-$O243,0),IF(OR(AND($K241=CB$3,OR($C241="W",$C241="1/2W")),AND($K242=CB$3,OR($C242="W",$C242="1/2W")),AND($K243=CB$3,OR($C243="W",$C243="1/2W"))),$S241,0))</f>
        <v>0</v>
      </c>
      <c r="CC241" s="205">
        <f>IF($B241="LOSS",IF(AND($K241=CC$3,$C241="L"),-$O241,0)+IF(AND($K242=CC$3,$C242="L"),-$O242,0)+IF(AND($K243=CC$3,$C243="L"),-$O243,0),IF(OR(AND($K241=CC$3,OR($C241="W",$C241="1/2W")),AND($K242=CC$3,OR($C242="W",$C242="1/2W")),AND($K243=CC$3,OR($C243="W",$C243="1/2W"))),$S241,0))</f>
        <v>0</v>
      </c>
      <c r="CD241" s="202">
        <f>IF($B241="LOSS",IF(AND($K241=CD$3,$C241="L"),-$O241,0)+IF(AND($K242=CD$3,$C242="L"),-$O242,0)+IF(AND($K243=CD$3,$C243="L"),-$O243,0),IF(OR(AND($K241=CD$3,OR($C241="W",$C241="1/2W")),AND($K242=CD$3,OR($C242="W",$C242="1/2W")),AND($K243=CD$3,OR($C243="W",$C243="1/2W"))),$S241,0))</f>
        <v>0</v>
      </c>
      <c r="CE241" s="199">
        <f>IF($B241="LOSS",IF(AND($K241=CE$3,$C241="L"),-$O241,0)+IF(AND($K242=CE$3,$C242="L"),-$O242,0)+IF(AND($K243=CE$3,$C243="L"),-$O243,0),IF(OR(AND($K241=CE$3,OR($C241="W",$C241="1/2W")),AND($K242=CE$3,OR($C242="W",$C242="1/2W")),AND($K243=CE$3,OR($C243="W",$C243="1/2W"))),$S241,0))</f>
        <v>0</v>
      </c>
      <c r="CF241" s="206">
        <f>IF(CF$3=$K241,IF($C241="W",1,IF($C241="1/2W",0.5,0)),0)</f>
        <v>0</v>
      </c>
      <c r="CG241" s="207">
        <f>IF(CF$3=$K241,IF($C241="L",1,IF($C241="1/2L",0.5,0)),0)</f>
        <v>0</v>
      </c>
      <c r="CH241" s="207">
        <f>IF(CH$3=$K241,IF($C241="W",1,IF($C241="1/2W",0.5,0)),0)</f>
        <v>0</v>
      </c>
      <c r="CI241" s="207">
        <f>IF(CH$3=$K241,IF($C241="L",1,IF($C241="1/2L",0.5,0)),0)</f>
        <v>0</v>
      </c>
      <c r="CJ241" s="207">
        <f>IF(CJ$3=$K241,IF($C241="W",1,IF($C241="1/2W",0.5,0)),0)</f>
        <v>0</v>
      </c>
      <c r="CK241" s="207">
        <f>IF(CJ$3=$K241,IF($C241="L",1,IF($C241="1/2L",0.5,0)),0)</f>
        <v>0</v>
      </c>
      <c r="CL241" s="207">
        <f>IF(CL$3=$K241,IF($C241="W",1,IF($C241="1/2W",0.5,0)),0)</f>
        <v>0</v>
      </c>
      <c r="CM241" s="207">
        <f>IF(CL$3=$K241,IF($C241="L",1,IF($C241="1/2L",0.5,0)),0)</f>
        <v>0</v>
      </c>
      <c r="CN241" s="207">
        <f>IF(CN$3=$K241,IF($C241="W",1,IF($C241="1/2W",0.5,0)),0)</f>
        <v>1</v>
      </c>
      <c r="CO241" s="207">
        <f>IF(CN$3=$K241,IF($C241="L",1,IF($C241="1/2L",0.5,0)),0)</f>
        <v>0</v>
      </c>
      <c r="CP241" s="207">
        <f>IF(CP$3=$K241,IF($C241="W",1,IF($C241="1/2W",0.5,0)),0)</f>
        <v>0</v>
      </c>
      <c r="CQ241" s="207">
        <f>IF(CP$3=$K241,IF($C241="L",1,IF($C241="1/2L",0.5,0)),0)</f>
        <v>0</v>
      </c>
      <c r="CR241" s="207">
        <f>IF(CR$3=$K241,IF($C241="W",1,IF($C241="1/2W",0.5,0)),0)</f>
        <v>0</v>
      </c>
      <c r="CS241" s="207">
        <f>IF(CR$3=$K241,IF($C241="L",1,IF($C241="1/2L",0.5,0)),0)</f>
        <v>0</v>
      </c>
      <c r="CT241" s="208">
        <f>IF(CT$3=$K241,IF($C241="W",1,IF($C241="1/2W",0.5,0)),0)</f>
        <v>0</v>
      </c>
      <c r="CU241" s="209">
        <f>IF(CT$3=$K241,IF($C241="L",1,IF($C241="1/2L",0.5,0)),0)</f>
        <v>0</v>
      </c>
      <c r="CV241" s="209">
        <f>IF(CV$3=$K241,IF($C241="W",1,IF($C241="1/2W",0.5,0)),0)</f>
        <v>0</v>
      </c>
      <c r="CW241" s="209">
        <f>IF(CV$3=$K241,IF($C241="L",1,IF($C241="1/2L",0.5,0)),0)</f>
        <v>0</v>
      </c>
      <c r="CX241" s="209">
        <f>IF(CX$3=$K241,IF($C241="W",1,IF($C241="1/2W",0.5,0)),0)</f>
        <v>0</v>
      </c>
      <c r="CY241" s="209">
        <f>IF(CX$3=$K241,IF($C241="L",1,IF($C241="1/2L",0.5,0)),0)</f>
        <v>0</v>
      </c>
      <c r="CZ241" s="209">
        <f>IF(CZ$3=$K241,IF($C241="W",1,IF($C241="1/2W",0.5,0)),0)</f>
        <v>0</v>
      </c>
      <c r="DA241" s="209">
        <f>IF(CZ$3=$K241,IF($C241="L",1,IF($C241="1/2L",0.5,0)),0)</f>
        <v>0</v>
      </c>
      <c r="DB241" s="209">
        <f>IF(DB$3=$K241,IF($C241="W",1,IF($C241="1/2W",0.5,0)),0)</f>
        <v>0</v>
      </c>
      <c r="DC241" s="209">
        <f>IF(DB$3=$K241,IF($C241="L",1,IF($C241="1/2L",0.5,0)),0)</f>
        <v>0</v>
      </c>
      <c r="DD241" s="209">
        <f>IF(DD$3=$K241,IF($C241="W",1,IF($C241="1/2W",0.5,0)),0)</f>
        <v>0</v>
      </c>
      <c r="DE241" s="210">
        <f>IF(DD$3=$K241,IF($C241="L",1,IF($C241="1/2L",0.5,0)),0)</f>
        <v>0</v>
      </c>
      <c r="DF241" s="211">
        <f>IF(AND(L241&lt;DF$3,$C241="W"),1+DF240,DF240)</f>
        <v>8</v>
      </c>
      <c r="DG241" s="198">
        <f>IF(DF241&gt;DF240,L241+DG240,DG240)</f>
        <v>10.598</v>
      </c>
      <c r="DH241" s="209">
        <f>IF(AND(L241&gt;DH$3,$C241="W"),1+DH240,0+DH240)</f>
        <v>6</v>
      </c>
      <c r="DI241" s="198">
        <f>IF(DH241&gt;DH240,L241+DI240,DI240)</f>
        <v>30.83</v>
      </c>
      <c r="DJ241" t="s" s="306">
        <f>IF($D241="","",$D241)</f>
        <v>229</v>
      </c>
      <c r="DK241" s="209">
        <f>IF(AND($B241=" ",$D241&lt;&gt;""),1,0)</f>
        <v>0</v>
      </c>
    </row>
    <row r="242" ht="14.55" customHeight="1">
      <c r="A242" s="107"/>
      <c r="B242" s="108"/>
      <c r="C242" t="s" s="213">
        <v>51</v>
      </c>
      <c r="D242" s="110"/>
      <c r="E242" s="111"/>
      <c r="F242" s="112"/>
      <c r="G242" s="214"/>
      <c r="H242" s="114"/>
      <c r="I242" t="s" s="215">
        <v>75</v>
      </c>
      <c r="J242" t="s" s="216">
        <f>IF(OR(I241="TO",I241="TU",I241="TO1",I241="TU1",I241="TO2",I241="TU2"),J241,IF(OR(I241="AH1",I241="AH2"),IF(OR(I242="AH1",I242="AH2"),-J241,IF(OR(I242="EH1",I242="EH2"),-J241+0.5,"")),IF(OR(I241="EH1",I241="EH2"),IF(OR(I242="AH1",I242="AH2"),-J241+0.5,IF(OR(I242="EH1",I242="EH2"),-J241+1,"")),IF(AND(OR(I241="DNB1",I241="DNB2"),OR(I242="AH1",I242="AH2")),0,IF(AND(I241="Not ScoreBoth",OR(I242="TO1",I242="TO2")),0.5,"")))))</f>
      </c>
      <c r="K242" t="s" s="217">
        <v>39</v>
      </c>
      <c r="L242" s="218">
        <v>3.75</v>
      </c>
      <c r="M242" s="219"/>
      <c r="N242" s="120"/>
      <c r="O242" s="220">
        <f>IF(OR(AE241="",AE242=""),"",ROUND(IF(L243&gt;0,IF(M242&gt;0,M242,IF(M241&gt;0,IF(N241=TRUE,ROUND((M241*AE242)/AE241,0),(M241*AE242)/AE241),IF(M242&gt;0,ROUND(M242,IF(N241=0,2,IF(N241=0.1,1,0))),IF(M243&gt;0,ROUND(O243*AE242/AE243,IF(N241=0,2,IF(N241=0.1,1,0))),0)))),IF(M242&gt;0,M242,ROUND((M241*AE242)/AE241,IF(N241=0,2,IF(N241=0.1,1,0))))),2))</f>
        <v>21.38</v>
      </c>
      <c r="P242" s="221">
        <f>IF(OR(L242="",O242=""),"",IF($C242="1/2W",O242/2+O242/2*L242,IF($C242="1/2L",O242/2,IF(I242="Lay",((O242*(L242/(L242-1)))-O242)*(1-_xlfn.XLOOKUP(K242,'Janeiro 2023 - Valor Real'!A3:A15,'Janeiro 2023 - Valor Real'!C3:C15,0))+O242,(O242*L242-O242)*(1-_xlfn.XLOOKUP(K242,'Janeiro 2023 - Valor Real'!A3:A15,'Janeiro 2023 - Valor Real'!C3:C15,0))+O242))))</f>
        <v>28.6492</v>
      </c>
      <c r="Q242" s="222">
        <f>IF(K242="","",IF(_xlfn.XLOOKUP(K242,K98:K$98,DJ98:DJ$98,0,,-1)=DJ242,_xlfn.XLOOKUP(K242,K98:K$98,Q98:Q$98,1,,-1)+1,1))</f>
        <v>1</v>
      </c>
      <c r="R242" s="223">
        <f>IF(K242="","",_xlfn.XLOOKUP(K242,K98:K$98,R98:R$98,0,,-1)+IF($C242=" ",1,0))</f>
        <v>0</v>
      </c>
      <c r="S242" s="125"/>
      <c r="T242" s="126"/>
      <c r="U242" s="126"/>
      <c r="V242" s="224"/>
      <c r="W242" s="126"/>
      <c r="X242" s="127"/>
      <c r="Y242" s="128"/>
      <c r="Z242" s="129"/>
      <c r="AA242" s="129"/>
      <c r="AB242" s="129"/>
      <c r="AC242" s="129"/>
      <c r="AD242" s="225">
        <f>(((L242/(L242-1)-1)*(1-_xlfn.XLOOKUP(K242,'Janeiro 2023 - Valor Real'!A3:A15,'Janeiro 2023 - Valor Real'!C3:C15,0))+1))</f>
        <v>1.34</v>
      </c>
      <c r="AE242" s="226">
        <f>IF(L242="","",IF(L243&gt;0,(SUM(((L241-1)*(1-_xlfn.XLOOKUP(K241,'Janeiro 2023 - Valor Real'!A3:A15,'Janeiro 2023 - Valor Real'!C3:C15,0))+1),((L242-1)*(1-_xlfn.XLOOKUP(K242,'Janeiro 2023 - Valor Real'!A3:A15,'Janeiro 2023 - Valor Real'!C3:C15,0))+1),((L243-1)*(1-_xlfn.XLOOKUP(K243,'Janeiro 2023 - Valor Real'!A3:A15,'Janeiro 2023 - Valor Real'!C3:C15,0))+1))/((L242-1)*(1-_xlfn.XLOOKUP(K242,'Janeiro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Real'!C3:C15,0))+1))/((L241-1)*(1-_xlfn.XLOOKUP(K241,'Janeiro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Real'!C3:C15,0))+1))/((L242-1)*(1-_xlfn.XLOOKUP(K242,'Janeiro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Real'!C3:C15,0))+1))/((L243-1)*(1-_xlfn.XLOOKUP(K243,'Janeiro 2023 - Valor Real'!A3:A15,'Janeiro 2023 - Valor Real'!C3:C15,0))+1)),IF(I242="Lay",IF(I241="Lay",((L241/(L241-1)-1)*(1-_xlfn.XLOOKUP(K241,'Janeiro 2023 - Valor Real'!A3:A15,'Janeiro 2023 - Valor Real'!C3:C15,0))+1)/(((L241/(L241-1)-1)*(1-_xlfn.XLOOKUP(K241,'Janeiro 2023 - Valor Real'!A3:A15,'Janeiro 2023 - Valor Real'!C3:C15,0))+1)+((L242/(L242-1)-1)*(1-_xlfn.XLOOKUP(K242,'Janeiro 2023 - Valor Real'!A3:A15,'Janeiro 2023 - Valor Real'!C3:C15,0))+1)),((L241-1)*(1-_xlfn.XLOOKUP(K241,'Janeiro 2023 - Valor Real'!A3:A15,'Janeiro 2023 - Valor Real'!C3:C15,0))+1)/(((L241-1)*(1-_xlfn.XLOOKUP(K241,'Janeiro 2023 - Valor Real'!A3:A15,'Janeiro 2023 - Valor Real'!C3:C15,0))+1)+((L242/(L242-1)-1)*(1-_xlfn.XLOOKUP(K242,'Janeiro 2023 - Valor Real'!A3:A15,'Janeiro 2023 - Valor Real'!C3:C15,0))+1))),IF(I241="Lay",((L241/(L241-1)-1)*(1-_xlfn.XLOOKUP(K241,'Janeiro 2023 - Valor Real'!A3:A15,'Janeiro 2023 - Valor Real'!C3:C15,0))+1)/((((L241/(L241-1)-1)*(1-_xlfn.XLOOKUP(K241,'Janeiro 2023 - Valor Real'!A3:A15,'Janeiro 2023 - Valor Real'!C3:C15,0))+1))+((L242-1)*(1-_xlfn.XLOOKUP(K242,'Janeiro 2023 - Valor Real'!A3:A15,'Janeiro 2023 - Valor Real'!C3:C15,0))+1)),((L241-1)*(1-_xlfn.XLOOKUP(K241,'Janeiro 2023 - Valor Real'!A3:A15,'Janeiro 2023 - Valor Real'!C3:C15,0))+1)/(((L241-1)*(1-_xlfn.XLOOKUP(K241,'Janeiro 2023 - Valor Real'!A3:A15,'Janeiro 2023 - Valor Real'!C3:C15,0))+1)+((L242-1)*(1-_xlfn.XLOOKUP(K242,'Janeiro 2023 - Valor Real'!A3:A15,'Janeiro 2023 - Valor Real'!C3:C15,0))+1))))))</f>
        <v>0.776293823038397</v>
      </c>
      <c r="AF242" s="197">
        <f>IF($K242=AF$3,ROUND(IF(OR($C242="W",$C242="1/2W",$C242="1/2L"),$P242-$O242,IF($C242="X",0,-$O242)),2),0)</f>
        <v>0</v>
      </c>
      <c r="AG242" s="198">
        <f>IF($K242=AG$3,ROUND(IF(OR($C242="W",$C242="1/2W",$C242="1/2L"),$P242-$O242,IF($C242="X",0,-$O242)),2),0)</f>
        <v>0</v>
      </c>
      <c r="AH242" s="198">
        <f>IF($K242=AH$3,ROUND(IF(OR($C242="W",$C242="1/2W",$C242="1/2L"),$P242-$O242,IF($C242="X",0,-$O242)),2),0)</f>
        <v>-21.38</v>
      </c>
      <c r="AI242" s="198">
        <f>IF($K242=AI$3,ROUND(IF(OR($C242="W",$C242="1/2W",$C242="1/2L"),$P242-$O242,IF($C242="X",0,-$O242)),2),0)</f>
        <v>0</v>
      </c>
      <c r="AJ242" s="198">
        <f>IF($K242=AJ$3,ROUND(IF(OR($C242="W",$C242="1/2W",$C242="1/2L"),$P242-$O242,IF($C242="X",0,-$O242)),2),0)</f>
        <v>0</v>
      </c>
      <c r="AK242" s="198">
        <f>IF($K242=AK$3,ROUND(IF(OR($C242="W",$C242="1/2W",$C242="1/2L"),$P242-$O242,IF($C242="X",0,-$O242)),2),0)</f>
        <v>0</v>
      </c>
      <c r="AL242" s="198">
        <f>IF($K242=AL$3,ROUND(IF(OR($C242="W",$C242="1/2W",$C242="1/2L"),$P242-$O242,IF($C242="X",0,-$O242)),2),0)</f>
        <v>0</v>
      </c>
      <c r="AM242" s="198">
        <f>IF($K242=AM$3,ROUND(IF(OR($C242="W",$C242="1/2W",$C242="1/2L"),$P242-$O242,IF($C242="X",0,-$O242)),2),0)</f>
        <v>0</v>
      </c>
      <c r="AN242" s="198">
        <f>IF($K242=AN$3,ROUND(IF(OR($C242="W",$C242="1/2W",$C242="1/2L"),$P242-$O242,IF($C242="X",0,-$O242)),2),0)</f>
        <v>0</v>
      </c>
      <c r="AO242" s="198">
        <f>IF($K242=AO$3,ROUND(IF(OR($C242="W",$C242="1/2W",$C242="1/2L"),$P242-$O242,IF($C242="X",0,-$O242)),2),0)</f>
        <v>0</v>
      </c>
      <c r="AP242" s="198">
        <f>IF($K242=AP$3,ROUND(IF(OR($C242="W",$C242="1/2W",$C242="1/2L"),$P242-$O242,IF($C242="X",0,-$O242)),2),0)</f>
        <v>0</v>
      </c>
      <c r="AQ242" s="198">
        <f>IF($K242=AQ$3,ROUND(IF(OR($C242="W",$C242="1/2W",$C242="1/2L"),$P242-$O242,IF($C242="X",0,-$O242)),2),0)</f>
        <v>0</v>
      </c>
      <c r="AR242" s="199">
        <f>IF($K242=AR$3,ROUND(IF(OR($C242="W",$C242="1/2W",$C242="1/2L"),$P242-$O242,IF($C242="X",0,-$O242)),2),0)</f>
        <v>0</v>
      </c>
      <c r="AS242" s="197">
        <f>IF(AND($B241=" ",$K242=AS$3),$O242,0)</f>
        <v>0</v>
      </c>
      <c r="AT242" s="198">
        <f>IF(AND($B241=" ",K242=AT$3),$O242,0)</f>
        <v>0</v>
      </c>
      <c r="AU242" s="198">
        <f>IF(AND($B241=" ",$K242=AU$3),$O242,0)</f>
        <v>0</v>
      </c>
      <c r="AV242" s="198">
        <f>IF(AND($B241=" ",$K242=AV$3),$O242,0)</f>
        <v>0</v>
      </c>
      <c r="AW242" s="198">
        <f>IF(AND($B241=" ",$K242=AW$3),$O242,0)</f>
        <v>0</v>
      </c>
      <c r="AX242" s="198">
        <f>IF(AND($B241=" ",$K242=AX$3),$O242,0)</f>
        <v>0</v>
      </c>
      <c r="AY242" s="200">
        <f>IF(AND($B241=" ",$K242=AY$3),$O242,0)</f>
        <v>0</v>
      </c>
      <c r="AZ242" s="201">
        <f>IF(AND($B241=" ",$K242=AZ$3),$O242,0)</f>
        <v>0</v>
      </c>
      <c r="BA242" s="201">
        <f>IF(AND($B241=" ",$K242=BA$3),$O242,0)</f>
        <v>0</v>
      </c>
      <c r="BB242" s="201">
        <f>IF(AND($B241=" ",$K242=BB$3),$O242,0)</f>
        <v>0</v>
      </c>
      <c r="BC242" s="202">
        <f>IF(AND($B241=" ",$K242=BC$3),$O242,0)</f>
        <v>0</v>
      </c>
      <c r="BD242" s="198">
        <f>IF(AND($B241=" ",$K242=BD$3),$O242,0)</f>
        <v>0</v>
      </c>
      <c r="BE242" s="199">
        <f>IF(AND($B241=" ",$K242=BE$3),$O242,0)</f>
        <v>0</v>
      </c>
      <c r="BF242" s="197">
        <f>IF($K242=BF$3,IF($C242="X",0,$O242),0)</f>
        <v>0</v>
      </c>
      <c r="BG242" s="198">
        <f>IF($K242=BG$3,IF($C242="X",0,$O242),0)</f>
        <v>0</v>
      </c>
      <c r="BH242" s="198">
        <f>IF($K242=BH$3,IF($C242="X",0,$O242),0)</f>
        <v>21.38</v>
      </c>
      <c r="BI242" s="198">
        <f>IF($K242=BI$3,IF($C242="X",0,$O242),0)</f>
        <v>0</v>
      </c>
      <c r="BJ242" s="198">
        <f>IF($K242=BJ$3,IF($C242="X",0,$O242),0)</f>
        <v>0</v>
      </c>
      <c r="BK242" s="198">
        <f>IF($K242=BK$3,IF($C242="X",0,$O242),0)</f>
        <v>0</v>
      </c>
      <c r="BL242" s="198">
        <f>IF($K242=BL$3,IF($C242="X",0,$O242),0)</f>
        <v>0</v>
      </c>
      <c r="BM242" s="227">
        <f>IF($K242=BM$3,IF($C242="X",0,$O242),0)</f>
        <v>0</v>
      </c>
      <c r="BN242" s="205">
        <f>IF($K242=BN$3,IF($C242="X",0,$O242),0)</f>
        <v>0</v>
      </c>
      <c r="BO242" s="205">
        <f>IF($K242=BO$3,IF($C242="X",0,$O242),0)</f>
        <v>0</v>
      </c>
      <c r="BP242" s="205">
        <f>IF($K242=BP$3,IF($C242="X",0,$O242),0)</f>
        <v>0</v>
      </c>
      <c r="BQ242" s="202">
        <f>IF($K242=BQ$3,IF($C242="X",0,$O242),0)</f>
        <v>0</v>
      </c>
      <c r="BR242" s="199">
        <f>IF($K242=BR$3,IF($C242="X",0,$O242),0)</f>
        <v>0</v>
      </c>
      <c r="BS242" s="228"/>
      <c r="BT242" s="229"/>
      <c r="BU242" s="140"/>
      <c r="BV242" s="229"/>
      <c r="BW242" s="140"/>
      <c r="BX242" s="140"/>
      <c r="BY242" s="140"/>
      <c r="BZ242" s="229"/>
      <c r="CA242" s="140"/>
      <c r="CB242" s="140"/>
      <c r="CC242" s="140"/>
      <c r="CD242" s="141"/>
      <c r="CE242" s="142"/>
      <c r="CF242" s="230">
        <f>IF(CF$3=$K242,IF($C242="W",1,IF($C242="1/2W",0.5,0)),0)</f>
        <v>0</v>
      </c>
      <c r="CG242" s="231">
        <f>IF(CF$3=$K242,IF($C242="L",1,IF($C242="1/2L",0.5,0)),0)</f>
        <v>0</v>
      </c>
      <c r="CH242" s="231">
        <f>IF(CH$3=$K242,IF($C242="W",1,IF($C242="1/2W",0.5,0)),0)</f>
        <v>0</v>
      </c>
      <c r="CI242" s="231">
        <f>IF(CH$3=$K242,IF($C242="L",1,IF($C242="1/2L",0.5,0)),0)</f>
        <v>0</v>
      </c>
      <c r="CJ242" s="231">
        <f>IF(CJ$3=$K242,IF($C242="W",1,IF($C242="1/2W",0.5,0)),0)</f>
        <v>0</v>
      </c>
      <c r="CK242" s="231">
        <f>IF(CJ$3=$K242,IF($C242="L",1,IF($C242="1/2L",0.5,0)),0)</f>
        <v>1</v>
      </c>
      <c r="CL242" s="231">
        <f>IF(CL$3=$K242,IF($C242="W",1,IF($C242="1/2W",0.5,0)),0)</f>
        <v>0</v>
      </c>
      <c r="CM242" s="231">
        <f>IF(CL$3=$K242,IF($C242="L",1,IF($C242="1/2L",0.5,0)),0)</f>
        <v>0</v>
      </c>
      <c r="CN242" s="231">
        <f>IF(CN$3=$K242,IF($C242="W",1,IF($C242="1/2W",0.5,0)),0)</f>
        <v>0</v>
      </c>
      <c r="CO242" s="231">
        <f>IF(CN$3=$K242,IF($C242="L",1,IF($C242="1/2L",0.5,0)),0)</f>
        <v>0</v>
      </c>
      <c r="CP242" s="231">
        <f>IF(CP$3=$K242,IF($C242="W",1,IF($C242="1/2W",0.5,0)),0)</f>
        <v>0</v>
      </c>
      <c r="CQ242" s="231">
        <f>IF(CP$3=$K242,IF($C242="L",1,IF($C242="1/2L",0.5,0)),0)</f>
        <v>0</v>
      </c>
      <c r="CR242" s="231">
        <f>IF(CR$3=$K242,IF($C242="W",1,IF($C242="1/2W",0.5,0)),0)</f>
        <v>0</v>
      </c>
      <c r="CS242" s="231">
        <f>IF(CR$3=$K242,IF($C242="L",1,IF($C242="1/2L",0.5,0)),0)</f>
        <v>0</v>
      </c>
      <c r="CT242" s="208">
        <f>IF(CT$3=$K242,IF($C242="W",1,IF($C242="1/2W",0.5,0)),0)</f>
        <v>0</v>
      </c>
      <c r="CU242" s="209">
        <f>IF(CT$3=$K242,IF($C242="L",1,IF($C242="1/2L",0.5,0)),0)</f>
        <v>0</v>
      </c>
      <c r="CV242" s="209">
        <f>IF(CV$3=$K242,IF($C242="W",1,IF($C242="1/2W",0.5,0)),0)</f>
        <v>0</v>
      </c>
      <c r="CW242" s="209">
        <f>IF(CV$3=$K242,IF($C242="L",1,IF($C242="1/2L",0.5,0)),0)</f>
        <v>0</v>
      </c>
      <c r="CX242" s="209">
        <f>IF(CX$3=$K242,IF($C242="W",1,IF($C242="1/2W",0.5,0)),0)</f>
        <v>0</v>
      </c>
      <c r="CY242" s="209">
        <f>IF(CX$3=$K242,IF($C242="L",1,IF($C242="1/2L",0.5,0)),0)</f>
        <v>0</v>
      </c>
      <c r="CZ242" s="209">
        <f>IF(CZ$3=$K242,IF($C242="W",1,IF($C242="1/2W",0.5,0)),0)</f>
        <v>0</v>
      </c>
      <c r="DA242" s="209">
        <f>IF(CZ$3=$K242,IF($C242="L",1,IF($C242="1/2L",0.5,0)),0)</f>
        <v>0</v>
      </c>
      <c r="DB242" s="209">
        <f>IF(DB$3=$K242,IF($C242="W",1,IF($C242="1/2W",0.5,0)),0)</f>
        <v>0</v>
      </c>
      <c r="DC242" s="209">
        <f>IF(DB$3=$K242,IF($C242="L",1,IF($C242="1/2L",0.5,0)),0)</f>
        <v>0</v>
      </c>
      <c r="DD242" s="209">
        <f>IF(DD$3=$K242,IF($C242="W",1,IF($C242="1/2W",0.5,0)),0)</f>
        <v>0</v>
      </c>
      <c r="DE242" s="210">
        <f>IF(DD$3=$K242,IF($C242="L",1,IF($C242="1/2L",0.5,0)),0)</f>
        <v>0</v>
      </c>
      <c r="DF242" s="211">
        <f>IF(AND(L242&lt;DF$3,$C242="W"),1+DF241,DF241)</f>
        <v>8</v>
      </c>
      <c r="DG242" s="198">
        <f>IF(DF242&gt;DF241,L242+DG241,DG241)</f>
        <v>10.598</v>
      </c>
      <c r="DH242" s="209">
        <f>IF(AND(L242&gt;DH$3,$C242="W"),1+DH241,0+DH241)</f>
        <v>6</v>
      </c>
      <c r="DI242" s="198">
        <f>IF(DH242&gt;DH241,L242+DI241,DI241)</f>
        <v>30.83</v>
      </c>
      <c r="DJ242" t="s" s="306">
        <f>IF($D241="","",$D241)</f>
        <v>229</v>
      </c>
      <c r="DK242" s="232"/>
    </row>
    <row r="243" ht="14.55" customHeight="1">
      <c r="A243" s="149"/>
      <c r="B243" s="150"/>
      <c r="C243" t="s" s="233">
        <v>58</v>
      </c>
      <c r="D243" s="152"/>
      <c r="E243" s="153"/>
      <c r="F243" s="154"/>
      <c r="G243" s="234"/>
      <c r="H243" s="156"/>
      <c r="I243" s="235"/>
      <c r="J243" s="236"/>
      <c r="K243" s="237"/>
      <c r="L243" s="238"/>
      <c r="M243" s="239"/>
      <c r="N243" s="161"/>
      <c r="O243" t="s" s="240">
        <f>IF(OR(AE241="",AE242=""),"",IF(L243&gt;0,ROUND(IF(M243&gt;0,M243,IF(M241&gt;0,ROUND((M241*AE243)/AE241,IF(N241=0,2,IF(N241=0.1,1,0))),IF(M242&gt;0,ROUND((M242*AE243)/AE242,IF(N241=0,2,IF(N241=0.1,1,0))),IF(M243&gt;0,M243,0)))),2),""))</f>
      </c>
      <c r="P243" s="309">
        <f>IF(I242="Lay",O242*(L242/(L242-1))-O242,IF(I241="Lay",O241*(L241/(L241-1))-O241,IF(OR(L243="",O243=""),"",IF($C243="1/2W",O243/2+O243/2*L243,IF($C243="1/2L",O243/2,(O243*L243-O243)*(1-_xlfn.XLOOKUP(K243,'Janeiro 2023 - Valor Real'!A3:A15,'Janeiro 2023 - Valor Real'!C3:C15,0))+O243)))))</f>
        <v>7.77454545454545</v>
      </c>
      <c r="Q243" t="s" s="242">
        <f>IF(K243="","",IF(_xlfn.XLOOKUP(K243,K99:K$99,DJ99:DJ$99,0,,-1)=DJ243,_xlfn.XLOOKUP(K243,K99:K$99,Q99:Q$99,1,,-1)+1,1))</f>
      </c>
      <c r="R243" t="s" s="243">
        <f>IF(K243="","",_xlfn.XLOOKUP(K243,K99:K$99,R99:R$99,0,,-1)+IF($C243=" ",1,0))</f>
      </c>
      <c r="S243" s="166"/>
      <c r="T243" s="155"/>
      <c r="U243" s="155"/>
      <c r="V243" s="166"/>
      <c r="W243" s="155"/>
      <c r="X243" s="167"/>
      <c r="Y243" s="128"/>
      <c r="Z243" s="129"/>
      <c r="AA243" s="129"/>
      <c r="AB243" s="129"/>
      <c r="AC243" s="129"/>
      <c r="AD243" s="244">
        <f>((L242/(L242-1)-1))</f>
        <v>0.363636363636364</v>
      </c>
      <c r="AE243" t="s" s="245">
        <f>IF(L243="","",(SUM(((L241-1)*(1-_xlfn.XLOOKUP(K241,'Janeiro 2023 - Valor Real'!A3:A15,'Janeiro 2023 - Valor Real'!C3:C15,0))+1),((L242-1)*(1-_xlfn.XLOOKUP(K242,'Janeiro 2023 - Valor Real'!A3:A15,'Janeiro 2023 - Valor Real'!C3:C15,0))+1),((L243-1)*(1-_xlfn.XLOOKUP(K243,'Janeiro 2023 - Valor Real'!A3:A15,'Janeiro 2023 - Valor Real'!C3:C15,0))+1))/((L243-1)*(1-_xlfn.XLOOKUP(K243,'Janeiro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Real'!C3:C15,0))+1))/((L241-1)*(1-_xlfn.XLOOKUP(K241,'Janeiro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Real'!C3:C15,0))+1))/((L242-1)*(1-_xlfn.XLOOKUP(K242,'Janeiro 2023 - Valor Real'!A3:A15,'Janeiro 2023 - Valor Real'!C3:C15,0))+1)+SUM(((L241-1)*(1-_xlfn.XLOOKUP(K241,'Janeiro 2023 - Valor Real'!A3:A15,'Janeiro 2023 - Valor Real'!C3:C15,0))+1),((L242-1)*(1-_xlfn.XLOOKUP(K242,'Janeiro 2023 - Valor Real'!A3:A15,'Janeiro 2023 - Valor Real'!C3:C15,0))+1),((L243-1)*(1-_xlfn.XLOOKUP(K243,'Janeiro 2023 - Valor Real'!A3:A15,'Janeiro 2023 - Valor Real'!C3:C15,0))+1))/((L243-1)*(1-_xlfn.XLOOKUP(K243,'Janeiro 2023 - Valor Real'!A3:A15,'Janeiro 2023 - Valor Real'!C3:C15,0))+1)))</f>
      </c>
      <c r="AF243" s="197">
        <f>IF($K243=AF$3,ROUND(IF(OR($C243="W",$C243="1/2W",$C243="1/2L"),$P243-$O243,IF($C243="X",0,-$O243)),2),0)</f>
        <v>0</v>
      </c>
      <c r="AG243" s="198">
        <f>IF($K243=AG$3,ROUND(IF(OR($C243="W",$C243="1/2W",$C243="1/2L"),$P243-$O243,IF($C243="X",0,-$O243)),2),0)</f>
        <v>0</v>
      </c>
      <c r="AH243" s="198">
        <f>IF($K243=AH$3,ROUND(IF(OR($C243="W",$C243="1/2W",$C243="1/2L"),$P243-$O243,IF($C243="X",0,-$O243)),2),0)</f>
        <v>0</v>
      </c>
      <c r="AI243" s="198">
        <f>IF($K243=AI$3,ROUND(IF(OR($C243="W",$C243="1/2W",$C243="1/2L"),$P243-$O243,IF($C243="X",0,-$O243)),2),0)</f>
        <v>0</v>
      </c>
      <c r="AJ243" s="198">
        <f>IF($K243=AJ$3,ROUND(IF(OR($C243="W",$C243="1/2W",$C243="1/2L"),$P243-$O243,IF($C243="X",0,-$O243)),2),0)</f>
        <v>0</v>
      </c>
      <c r="AK243" s="198">
        <f>IF($K243=AK$3,ROUND(IF(OR($C243="W",$C243="1/2W",$C243="1/2L"),$P243-$O243,IF($C243="X",0,-$O243)),2),0)</f>
        <v>0</v>
      </c>
      <c r="AL243" s="198">
        <f>IF($K243=AL$3,ROUND(IF(OR($C243="W",$C243="1/2W",$C243="1/2L"),$P243-$O243,IF($C243="X",0,-$O243)),2),0)</f>
        <v>0</v>
      </c>
      <c r="AM243" s="198">
        <f>IF($K243=AM$3,ROUND(IF(OR($C243="W",$C243="1/2W",$C243="1/2L"),$P243-$O243,IF($C243="X",0,-$O243)),2),0)</f>
        <v>0</v>
      </c>
      <c r="AN243" s="198">
        <f>IF($K243=AN$3,ROUND(IF(OR($C243="W",$C243="1/2W",$C243="1/2L"),$P243-$O243,IF($C243="X",0,-$O243)),2),0)</f>
        <v>0</v>
      </c>
      <c r="AO243" s="198">
        <f>IF($K243=AO$3,ROUND(IF(OR($C243="W",$C243="1/2W",$C243="1/2L"),$P243-$O243,IF($C243="X",0,-$O243)),2),0)</f>
        <v>0</v>
      </c>
      <c r="AP243" s="198">
        <f>IF($K243=AP$3,ROUND(IF(OR($C243="W",$C243="1/2W",$C243="1/2L"),$P243-$O243,IF($C243="X",0,-$O243)),2),0)</f>
        <v>0</v>
      </c>
      <c r="AQ243" s="198">
        <f>IF($K243=AQ$3,ROUND(IF(OR($C243="W",$C243="1/2W",$C243="1/2L"),$P243-$O243,IF($C243="X",0,-$O243)),2),0)</f>
        <v>0</v>
      </c>
      <c r="AR243" s="199">
        <f>IF($K243=AR$3,ROUND(IF(OR($C243="W",$C243="1/2W",$C243="1/2L"),$P243-$O243,IF($C243="X",0,-$O243)),2),0)</f>
        <v>0</v>
      </c>
      <c r="AS243" s="197">
        <f>IF(AND($B241=" ",$K243=AS$3),$O243,0)</f>
        <v>0</v>
      </c>
      <c r="AT243" s="198">
        <f>IF(AND($B241=" ",K243=AT$3),$O243,0)</f>
        <v>0</v>
      </c>
      <c r="AU243" s="198">
        <f>IF(AND($B241=" ",$K243=AU$3),$O243,0)</f>
        <v>0</v>
      </c>
      <c r="AV243" s="198">
        <f>IF(AND($B241=" ",$K243=AV$3),$O243,0)</f>
        <v>0</v>
      </c>
      <c r="AW243" s="198">
        <f>IF(AND($B241=" ",$K243=AW$3),$O243,0)</f>
        <v>0</v>
      </c>
      <c r="AX243" s="198">
        <f>IF(AND($B241=" ",$K243=AX$3),$O243,0)</f>
        <v>0</v>
      </c>
      <c r="AY243" s="200">
        <f>IF(AND($B241=" ",$K243=AY$3),$O243,0)</f>
        <v>0</v>
      </c>
      <c r="AZ243" s="201">
        <f>IF(AND($B241=" ",$K243=AZ$3),$O243,0)</f>
        <v>0</v>
      </c>
      <c r="BA243" s="201">
        <f>IF(AND($B241=" ",$K243=BA$3),$O243,0)</f>
        <v>0</v>
      </c>
      <c r="BB243" s="201">
        <f>IF(AND($B241=" ",$K243=BB$3),$O243,0)</f>
        <v>0</v>
      </c>
      <c r="BC243" s="202">
        <f>IF(AND($B241=" ",$K243=BC$3),$O243,0)</f>
        <v>0</v>
      </c>
      <c r="BD243" s="198">
        <f>IF(AND($B241=" ",$K243=BD$3),$O243,0)</f>
        <v>0</v>
      </c>
      <c r="BE243" s="199">
        <f>IF(AND($B241=" ",$K243=BE$3),$O243,0)</f>
        <v>0</v>
      </c>
      <c r="BF243" s="197">
        <f>IF($K243=BF$3,IF($C243="X",0,$O243),0)</f>
        <v>0</v>
      </c>
      <c r="BG243" s="198">
        <f>IF($K243=BG$3,IF($C243="X",0,$O243),0)</f>
        <v>0</v>
      </c>
      <c r="BH243" s="198">
        <f>IF($K243=BH$3,IF($C243="X",0,$O243),0)</f>
        <v>0</v>
      </c>
      <c r="BI243" s="198">
        <f>IF($K243=BI$3,IF($C243="X",0,$O243),0)</f>
        <v>0</v>
      </c>
      <c r="BJ243" s="198">
        <f>IF($K243=BJ$3,IF($C243="X",0,$O243),0)</f>
        <v>0</v>
      </c>
      <c r="BK243" s="198">
        <f>IF($K243=BK$3,IF($C243="X",0,$O243),0)</f>
        <v>0</v>
      </c>
      <c r="BL243" s="198">
        <f>IF($K243=BL$3,IF($C243="X",0,$O243),0)</f>
        <v>0</v>
      </c>
      <c r="BM243" s="200">
        <f>IF($K243=BM$3,IF($C243="X",0,$O243),0)</f>
        <v>0</v>
      </c>
      <c r="BN243" s="201">
        <f>IF($K243=BN$3,IF($C243="X",0,$O243),0)</f>
        <v>0</v>
      </c>
      <c r="BO243" s="201">
        <f>IF($K243=BO$3,IF($C243="X",0,$O243),0)</f>
        <v>0</v>
      </c>
      <c r="BP243" s="201">
        <f>IF($K243=BP$3,IF($C243="X",0,$O243),0)</f>
        <v>0</v>
      </c>
      <c r="BQ243" s="202">
        <f>IF($K243=BQ$3,IF($C243="X",0,$O243),0)</f>
        <v>0</v>
      </c>
      <c r="BR243" s="199">
        <f>IF($K243=BR$3,IF($C243="X",0,$O243),0)</f>
        <v>0</v>
      </c>
      <c r="BS243" s="228"/>
      <c r="BT243" s="229"/>
      <c r="BU243" s="140"/>
      <c r="BV243" s="229"/>
      <c r="BW243" s="140"/>
      <c r="BX243" s="140"/>
      <c r="BY243" s="140"/>
      <c r="BZ243" s="229"/>
      <c r="CA243" s="140"/>
      <c r="CB243" s="140"/>
      <c r="CC243" s="140"/>
      <c r="CD243" s="141"/>
      <c r="CE243" s="142"/>
      <c r="CF243" s="230">
        <f>IF(CF$3=$K243,IF($C243="W",1,IF($C243="1/2W",0.5,0)),0)</f>
        <v>0</v>
      </c>
      <c r="CG243" s="231">
        <f>IF(CF$3=$K243,IF($C243="L",1,IF($C243="1/2L",0.5,0)),0)</f>
        <v>0</v>
      </c>
      <c r="CH243" s="231">
        <f>IF(CH$3=$K243,IF($C243="W",1,IF($C243="1/2W",0.5,0)),0)</f>
        <v>0</v>
      </c>
      <c r="CI243" s="231">
        <f>IF(CH$3=$K243,IF($C243="L",1,IF($C243="1/2L",0.5,0)),0)</f>
        <v>0</v>
      </c>
      <c r="CJ243" s="231">
        <f>IF(CJ$3=$K243,IF($C243="W",1,IF($C243="1/2W",0.5,0)),0)</f>
        <v>0</v>
      </c>
      <c r="CK243" s="231">
        <f>IF(CJ$3=$K243,IF($C243="L",1,IF($C243="1/2L",0.5,0)),0)</f>
        <v>0</v>
      </c>
      <c r="CL243" s="231">
        <f>IF(CL$3=$K243,IF($C243="W",1,IF($C243="1/2W",0.5,0)),0)</f>
        <v>0</v>
      </c>
      <c r="CM243" s="231">
        <f>IF(CL$3=$K243,IF($C243="L",1,IF($C243="1/2L",0.5,0)),0)</f>
        <v>0</v>
      </c>
      <c r="CN243" s="231">
        <f>IF(CN$3=$K243,IF($C243="W",1,IF($C243="1/2W",0.5,0)),0)</f>
        <v>0</v>
      </c>
      <c r="CO243" s="231">
        <f>IF(CN$3=$K243,IF($C243="L",1,IF($C243="1/2L",0.5,0)),0)</f>
        <v>0</v>
      </c>
      <c r="CP243" s="231">
        <f>IF(CP$3=$K243,IF($C243="W",1,IF($C243="1/2W",0.5,0)),0)</f>
        <v>0</v>
      </c>
      <c r="CQ243" s="231">
        <f>IF(CP$3=$K243,IF($C243="L",1,IF($C243="1/2L",0.5,0)),0)</f>
        <v>0</v>
      </c>
      <c r="CR243" s="231">
        <f>IF(CR$3=$K243,IF($C243="W",1,IF($C243="1/2W",0.5,0)),0)</f>
        <v>0</v>
      </c>
      <c r="CS243" s="231">
        <f>IF(CR$3=$K243,IF($C243="L",1,IF($C243="1/2L",0.5,0)),0)</f>
        <v>0</v>
      </c>
      <c r="CT243" s="208">
        <f>IF(CT$3=$K243,IF($C243="W",1,IF($C243="1/2W",0.5,0)),0)</f>
        <v>0</v>
      </c>
      <c r="CU243" s="209">
        <f>IF(CT$3=$K243,IF($C243="L",1,IF($C243="1/2L",0.5,0)),0)</f>
        <v>0</v>
      </c>
      <c r="CV243" s="209">
        <f>IF(CV$3=$K243,IF($C243="W",1,IF($C243="1/2W",0.5,0)),0)</f>
        <v>0</v>
      </c>
      <c r="CW243" s="209">
        <f>IF(CV$3=$K243,IF($C243="L",1,IF($C243="1/2L",0.5,0)),0)</f>
        <v>0</v>
      </c>
      <c r="CX243" s="209">
        <f>IF(CX$3=$K243,IF($C243="W",1,IF($C243="1/2W",0.5,0)),0)</f>
        <v>0</v>
      </c>
      <c r="CY243" s="209">
        <f>IF(CX$3=$K243,IF($C243="L",1,IF($C243="1/2L",0.5,0)),0)</f>
        <v>0</v>
      </c>
      <c r="CZ243" s="209">
        <f>IF(CZ$3=$K243,IF($C243="W",1,IF($C243="1/2W",0.5,0)),0)</f>
        <v>0</v>
      </c>
      <c r="DA243" s="209">
        <f>IF(CZ$3=$K243,IF($C243="L",1,IF($C243="1/2L",0.5,0)),0)</f>
        <v>0</v>
      </c>
      <c r="DB243" s="209">
        <f>IF(DB$3=$K243,IF($C243="W",1,IF($C243="1/2W",0.5,0)),0)</f>
        <v>0</v>
      </c>
      <c r="DC243" s="209">
        <f>IF(DB$3=$K243,IF($C243="L",1,IF($C243="1/2L",0.5,0)),0)</f>
        <v>0</v>
      </c>
      <c r="DD243" s="209">
        <f>IF(DD$3=$K243,IF($C243="W",1,IF($C243="1/2W",0.5,0)),0)</f>
        <v>0</v>
      </c>
      <c r="DE243" s="210">
        <f>IF(DD$3=$K243,IF($C243="L",1,IF($C243="1/2L",0.5,0)),0)</f>
        <v>0</v>
      </c>
      <c r="DF243" s="211">
        <f>IF(AND(L243&lt;DF$3,$C243="W"),1+DF242,DF242)</f>
        <v>8</v>
      </c>
      <c r="DG243" s="198">
        <f>IF(DF243&gt;DF242,L243+DG242,DG242)</f>
        <v>10.598</v>
      </c>
      <c r="DH243" s="209">
        <f>IF(AND(L243&gt;DH$3,$C243="W"),1+DH242,0+DH242)</f>
        <v>6</v>
      </c>
      <c r="DI243" s="198">
        <f>IF(DH243&gt;DH242,L243+DI242,DI242)</f>
        <v>30.83</v>
      </c>
      <c r="DJ243" t="s" s="306">
        <f>IF($D241="","",$D241)</f>
        <v>229</v>
      </c>
      <c r="DK243" s="232"/>
    </row>
    <row r="244" ht="14.55" customHeight="1">
      <c r="A244" s="246">
        <f>$A241+1</f>
        <v>81</v>
      </c>
      <c r="B244" t="s" s="247">
        <f>IF(AND(_xlfn.XLOOKUP(H244,H$94:H106,G$94:G106,0)=G244,_xlfn.XLOOKUP("TempoBet",K244:K246,L244:L246,0)&gt;0),"X",IF(OR(C244="W",C245="W",C246="W",C244="1/2W",C245="1/2W",C246="1/2W",C244="1/2L",C245="1/2L",C246="1/2L"),"OK",IF(OR(C244="L",C245="L",C246="L"),"LOSS",IF(OR(C244="X",C245="X",C246="X"),"Anulado"," "))))</f>
        <v>50</v>
      </c>
      <c r="C244" t="s" s="248">
        <v>51</v>
      </c>
      <c r="D244" t="s" s="303">
        <f>IF(G244="","",$D241)</f>
        <v>229</v>
      </c>
      <c r="E244" t="s" s="250">
        <v>118</v>
      </c>
      <c r="F244" t="s" s="251"/>
      <c r="G244" s="252">
        <v>44949.697916666664</v>
      </c>
      <c r="H244" t="s" s="253">
        <v>239</v>
      </c>
      <c r="I244" t="s" s="254">
        <v>79</v>
      </c>
      <c r="J244" s="293"/>
      <c r="K244" t="s" s="256">
        <v>38</v>
      </c>
      <c r="L244" s="257">
        <v>5.25</v>
      </c>
      <c r="M244" s="258">
        <v>2.55</v>
      </c>
      <c r="N244" s="259">
        <v>0</v>
      </c>
      <c r="O244" s="260">
        <f>IF(OR(AE244="",AE245=""),"",ROUND(IF(L246&gt;0,IF(M244&gt;0,M244,IF(M245&gt;0,ROUND((M245*AE244)/AE245,IF(N244=0,2,IF(N244=0.1,1,0))),ROUND((M246*AE244)/AE246,IF(N244=0,2,IF(N244=0.1,1,0))))),IF(M244&gt;0,M244,ROUND((M245*AE244)/AE245,IF(N244=0,2,IF(N244=0.1,1,0))))),2))</f>
        <v>2.55</v>
      </c>
      <c r="P244" s="261">
        <f>IF(OR(L244="",O244=""),"",IF($C244="1/2W",O244/2+O244/2*L244,IF($C244="1/2L",O244/2,IF(I244="Lay",(O244*(L244/(L244-1))-O244)*(1-_xlfn.XLOOKUP(K244,'Janeiro 2023 - Valor Real'!A3:A15,'Janeiro 2023 - Valor Real'!C3:C15,0))+O244,(O244*L244-O244)*(1-_xlfn.XLOOKUP(K244,'Janeiro 2023 - Valor Real'!A3:A15,'Janeiro 2023 - Valor Real'!C3:C15,0))+O244))))</f>
        <v>13.3875</v>
      </c>
      <c r="Q244" s="262">
        <f>IF(K244="","",IF(_xlfn.XLOOKUP(K244,K$94:K106,DJ$94:DJ106,0,,-1)=DJ244,_xlfn.XLOOKUP(K244,K$94:K106,Q$94:Q106,1,,-1)+1,1))</f>
        <v>1</v>
      </c>
      <c r="R244" s="263">
        <f>IF(K244="","",_xlfn.XLOOKUP(K244,K$94:K106,R$94:R106,0,,-1)+IF($C244=" ",1,0))</f>
        <v>0</v>
      </c>
      <c r="S244" s="264">
        <f>IF($B244="Anulado",0,ROUND(IF(OR($B244="LOSS",$B244="OK"),IF(OR($C244="W",$C244="1/2W",$C244="1/2L"),P244-O244,IF($C244="L",-O244,0))+IF(OR($C245="W",$C245="1/2W",$C245="1/2L"),P245-O245,IF($C245="L",-O245,0))+IF(OR($C246="W",$C246="1/2W",$C246="1/2L"),P246-O246,IF($C246="L",-O246,0)),IF(AND(OR($C244="W",$C244="1/2W",$C244="1/2L"),C245="W"),P244+P245-SUM(O244:O246)+_xlfn.XLOOKUP("X",C244:C246,O244:O246,0),IF(AND(C244=TRUE,C246="W"),P244+P246-SUM(O244:O246),IF(AND(C245="W",C246="W"),P245+P246-SUM(O244:O246)+_xlfn.XLOOKUP("X",C244:C246,O244:O246,0),IF(L246&gt;0,IF(OR($C244="W",$C244="1/2W",$C244="1/2L"),P244-SUM(O244:O246)+_xlfn.XLOOKUP("X",C244:C246,O244:O246,0),IF(OR($C244="W",$C244="1/2W",$C244="1/2L"),P245-SUM(O244:O246)+_xlfn.XLOOKUP("X",C244:C246,O244:O246,0),IF(OR($C244="W",$C244="1/2W",$C244="1/2L"),P246-SUM(O244:O246)+_xlfn.XLOOKUP("X",C244:C246,O244:O246,0),IF(SUM(P244:P246)/3-SUM(O244:O246)+_xlfn.XLOOKUP("X",C244:C246,O244:O246,0)&gt;0,SUM(P244:P246)/3-SUM(O244:O246)+_xlfn.XLOOKUP("X",C244:C246,O244:O246,0),LARGE(P244:P246,1)-SUM(O244:O246))))),IF(OR($C244="W",$C244="1/2W",$C244="1/2L"),P244-SUM(O244:O245)+_xlfn.XLOOKUP("X",C244:C246,O244:O246,0),IF(OR($C244="W",$C244="1/2W",$C244="1/2L"),P245-SUM(O244:O245)+_xlfn.XLOOKUP("X",C244:C246,O244:O246,0),SUM(P244:P245)/2-SUM(O244:O245)+_xlfn.XLOOKUP("X",C244:C246,O244:O246,0)))))))),2))</f>
        <v>0.54</v>
      </c>
      <c r="T244" s="265">
        <f>IF(S244=0,0,S244/SUM(O244:O246))</f>
        <v>0.0420233463035019</v>
      </c>
      <c r="U244" s="266">
        <f>IF($D244=$D241,IF(OR($B244="LOSS",$B244="OK",$B244="Anulada"),S244,0)+U241,IF(OR($B244="LOSS",$B244="OK",$B244="Anulada"),S244,0))</f>
        <v>5.98</v>
      </c>
      <c r="V244" s="266">
        <f>IF($D244="",0,IF($D244=$D241,IF($B244=" ",IF(I246="",IF(OR(AND(I244="DNB1",I245="DNB2"),AND(OR(I244="DNB1",I244="DNB2"),J245=0),AND(OR(I245="DNB1",I245="DNB2"),J244=0),AND(I244="DNB2",I245="DNB1"),AND(IF(J244=0,(J244+1)/ROUND(J244+1,0),J244/ROUND(J244,0))=1,IF(J245=0,(J245+1)/ROUND(IF(J245="",0,J245)+1,0),IF(J245="",0,J245)/ROUND(IF(J245="",1,J245),0))=1,OR(J244&lt;&gt;""),J245&lt;&gt;"")),0,IF(S244&lt;0,IF(I246="",SMALL(P244:P245,1)-SUM(O244:O245),0),SMALL(P244:P245,1)-SUM(O244:O245))),IF(S244&lt;0,IF(I246="",SMALL(P244:P246,1)-SUM(O244:O246),0),LARGE(P244:P246,1)-SUM(O244:O246))),S244)+V241,IF(I246="",IF(OR(AND(I244="DNB1",I245="DNB2"),AND(OR(I244="DNB1",I244="DNB2"),J245=0),AND(OR(I245="DNB1",I245="DNB2"),J244=0),AND(I244="DNB2",I245="DNB1"),AND(IF(J244=0,(J244+1)/ROUND(J244+1,0),J244/ROUND(J244,0))=1,IF(J245=0,(IF(J245="",0,J245)+1)/ROUND(IF(J245="",0,J245)+1,0),IF(J245="",0,J245)/ROUND(IF(J245="",0,J245)+1,0))=1,OR(J244&lt;&gt;""),J245&lt;&gt;"")),0,IF(S244&lt;0,IF(I246="",SMALL(P244:P245,1)-SUM(O244:O245),0),SMALL(P244:P246,1)-SUM(O244:O246))),IF(S244&lt;0,IF(I246="",SMALL(P244:P246,1)-SUM(O244:O246),0),LARGE(P244:P246,1)-SUM(O244:O246)))))</f>
        <v>5.976</v>
      </c>
      <c r="W244" s="266">
        <f>IF($D244=$D241,IF(S244&lt;0,IF(I246="",S244,0),S244)+W241,S244)</f>
        <v>5.98</v>
      </c>
      <c r="X244" t="s" s="267">
        <f>IF(OR(SUM(R244:R246)=0,V244=W244),ROUND(IF(W244=0,0,W244/Y244)*100,2)&amp;"%",ROUND(IF(V244=0,0,V244/Y244)*100,2)&amp;"% a "&amp;ROUND(IF(W244=0,0,W244/Y244)*100,2)&amp;"%")</f>
        <v>240</v>
      </c>
      <c r="Y244" s="268">
        <f>IF($D244=$D241,Y241+SUM(O244:O246),SUM(O244:O246))</f>
        <v>242.24</v>
      </c>
      <c r="Z244" s="266">
        <f>IF($B244=" ",SUM(O244:O246),0)+Z241</f>
        <v>0</v>
      </c>
      <c r="AA244" s="266">
        <f>IF(G244="","",IF($B244="Anulado",LARGE(P244:P246,1)-SUM(O244:O246)+AA241,AA241))</f>
        <v>16.5099</v>
      </c>
      <c r="AB244" s="266">
        <f>IF($D244="","",AB241+S244)</f>
        <v>208.15</v>
      </c>
      <c r="AC244" s="269">
        <f>IF($D244="","",IF($B244=" ",IF(DAY(G244)=DAY(TODAY()),1+AC241,0+AC241),0+AC241))</f>
        <v>0</v>
      </c>
      <c r="AD244" s="270">
        <f>(1-_xlfn.XLOOKUP(K242,'Janeiro 2023 - Valor Real'!A3:A15,'Janeiro 2023 - Valor Real'!C3:C15,0))+1</f>
        <v>1.935</v>
      </c>
      <c r="AE244" s="271">
        <f>IF(L244="","",IF(L246&gt;0,(SUM(((L244-1)*(1-_xlfn.XLOOKUP(K244,'Janeiro 2023 - Valor Real'!A3:A15,'Janeiro 2023 - Valor Real'!C3:C15,0))+1),((L245-1)*(1-_xlfn.XLOOKUP(K245,'Janeiro 2023 - Valor Real'!A3:A15,'Janeiro 2023 - Valor Real'!C3:C15,0))+1),((L246-1)*(1-_xlfn.XLOOKUP(K246,'Janeiro 2023 - Valor Real'!A3:A15,'Janeiro 2023 - Valor Real'!C3:C15,0))+1))/((L244-1)*(1-_xlfn.XLOOKUP(K244,'Janeiro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Real'!C3:C15,0))+1))/((L244-1)*(1-_xlfn.XLOOKUP(K244,'Janeiro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Real'!C3:C15,0))+1))/((L245-1)*(1-_xlfn.XLOOKUP(K245,'Janeiro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Real'!C3:C15,0))+1))/((L246-1)*(1-_xlfn.XLOOKUP(K246,'Janeiro 2023 - Valor Real'!A3:A15,'Janeiro 2023 - Valor Real'!C3:C15,0))+1)),IF(I244="Lay",IF(I245="Lay",((L245/(L245-1)-1)*(1-_xlfn.XLOOKUP(K245,'Janeiro 2023 - Valor Real'!A3:A15,'Janeiro 2023 - Valor Real'!C3:C15,0))+1)/(((L245/(L245-1)-1)*(1-_xlfn.XLOOKUP(K245,'Janeiro 2023 - Valor Real'!A3:A15,'Janeiro 2023 - Valor Real'!C3:C15,0))+1)+((L244/(L244-1)-1)*(1-_xlfn.XLOOKUP(K244,'Janeiro 2023 - Valor Real'!A3:A15,'Janeiro 2023 - Valor Real'!C3:C15,0))+1)),((L245-1)*(1-_xlfn.XLOOKUP(K245,'Janeiro 2023 - Valor Real'!A3:A15,'Janeiro 2023 - Valor Real'!C3:C15,0))+1)/(((L245-1)*(1-_xlfn.XLOOKUP(K245,'Janeiro 2023 - Valor Real'!A3:A15,'Janeiro 2023 - Valor Real'!C3:C15,0))+1)+((L244/(L244-1)-1)*(1-_xlfn.XLOOKUP(K244,'Janeiro 2023 - Valor Real'!A3:A15,'Janeiro 2023 - Valor Real'!C3:C15,0))+1))),IF(I245="Lay",(((L245/(L245-1)-1)*(1-_xlfn.XLOOKUP(K245,'Janeiro 2023 - Valor Real'!A3:A15,'Janeiro 2023 - Valor Real'!C3:C15,0))+1))/(((L244-1)*(1-_xlfn.XLOOKUP(K244,'Janeiro 2023 - Valor Real'!A3:A15,'Janeiro 2023 - Valor Real'!C3:C15,0))+1)+((L245/(L245-1)-1)*(1-_xlfn.XLOOKUP(K245,'Janeiro 2023 - Valor Real'!A3:A15,'Janeiro 2023 - Valor Real'!C3:C15,0))+1)),((L245-1)*(1-_xlfn.XLOOKUP(K245,'Janeiro 2023 - Valor Real'!A3:A15,'Janeiro 2023 - Valor Real'!C3:C15,0))+1)/(((L245-1)*(1-_xlfn.XLOOKUP(K245,'Janeiro 2023 - Valor Real'!A3:A15,'Janeiro 2023 - Valor Real'!C3:C15,0))+1)+((L244-1)*(1-_xlfn.XLOOKUP(K244,'Janeiro 2023 - Valor Real'!A3:A15,'Janeiro 2023 - Valor Real'!C3:C15,0))+1))))))</f>
        <v>0.198473282442748</v>
      </c>
      <c r="AF244" s="132">
        <f>IF($K244=AF$3,ROUND(IF(OR($C244="W",$C244="1/2W",$C244="1/2L"),$P244-$O244,IF($C244="X",0,-$O244)),2),0)</f>
        <v>0</v>
      </c>
      <c r="AG244" s="133">
        <f>IF($K244=AG$3,ROUND(IF(OR($C244="W",$C244="1/2W",$C244="1/2L"),$P244-$O244,IF($C244="X",0,-$O244)),2),0)</f>
        <v>-2.55</v>
      </c>
      <c r="AH244" s="133">
        <f>IF($K244=AH$3,ROUND(IF(OR($C244="W",$C244="1/2W",$C244="1/2L"),$P244-$O244,IF($C244="X",0,-$O244)),2),0)</f>
        <v>0</v>
      </c>
      <c r="AI244" s="133">
        <f>IF($K244=AI$3,ROUND(IF(OR($C244="W",$C244="1/2W",$C244="1/2L"),$P244-$O244,IF($C244="X",0,-$O244)),2),0)</f>
        <v>0</v>
      </c>
      <c r="AJ244" s="133">
        <f>IF($K244=AJ$3,ROUND(IF(OR($C244="W",$C244="1/2W",$C244="1/2L"),$P244-$O244,IF($C244="X",0,-$O244)),2),0)</f>
        <v>0</v>
      </c>
      <c r="AK244" s="133">
        <f>IF($K244=AK$3,ROUND(IF(OR($C244="W",$C244="1/2W",$C244="1/2L"),$P244-$O244,IF($C244="X",0,-$O244)),2),0)</f>
        <v>0</v>
      </c>
      <c r="AL244" s="133">
        <f>IF($K244=AL$3,ROUND(IF(OR($C244="W",$C244="1/2W",$C244="1/2L"),$P244-$O244,IF($C244="X",0,-$O244)),2),0)</f>
        <v>0</v>
      </c>
      <c r="AM244" s="133">
        <f>IF($K244=AM$3,ROUND(IF(OR($C244="W",$C244="1/2W",$C244="1/2L"),$P244-$O244,IF($C244="X",0,-$O244)),2),0)</f>
        <v>0</v>
      </c>
      <c r="AN244" s="133">
        <f>IF($K244=AN$3,ROUND(IF(OR($C244="W",$C244="1/2W",$C244="1/2L"),$P244-$O244,IF($C244="X",0,-$O244)),2),0)</f>
        <v>0</v>
      </c>
      <c r="AO244" s="133">
        <f>IF($K244=AO$3,ROUND(IF(OR($C244="W",$C244="1/2W",$C244="1/2L"),$P244-$O244,IF($C244="X",0,-$O244)),2),0)</f>
        <v>0</v>
      </c>
      <c r="AP244" s="133">
        <f>IF($K244=AP$3,ROUND(IF(OR($C244="W",$C244="1/2W",$C244="1/2L"),$P244-$O244,IF($C244="X",0,-$O244)),2),0)</f>
        <v>0</v>
      </c>
      <c r="AQ244" s="133">
        <f>IF($K244=AQ$3,ROUND(IF(OR($C244="W",$C244="1/2W",$C244="1/2L"),$P244-$O244,IF($C244="X",0,-$O244)),2),0)</f>
        <v>0</v>
      </c>
      <c r="AR244" s="134">
        <f>IF($K244=AR$3,ROUND(IF(OR($C244="W",$C244="1/2W",$C244="1/2L"),$P244-$O244,IF($C244="X",0,-$O244)),2),0)</f>
        <v>0</v>
      </c>
      <c r="AS244" s="132">
        <f>IF(AND($B244=" ",$K244=AS$3),$O244,0)</f>
        <v>0</v>
      </c>
      <c r="AT244" s="133">
        <f>IF(AND($B244=" ",$K244=AT$3),$O244,0)</f>
        <v>0</v>
      </c>
      <c r="AU244" s="133">
        <f>IF(AND($B244=" ",$K244=AU$3),$O244,0)</f>
        <v>0</v>
      </c>
      <c r="AV244" s="133">
        <f>IF(AND($B244=" ",$K244=AV$3),$O244,0)</f>
        <v>0</v>
      </c>
      <c r="AW244" s="133">
        <f>IF(AND($B244=" ",$K244=AW$3),$O244,0)</f>
        <v>0</v>
      </c>
      <c r="AX244" s="133">
        <f>IF(AND($B244=" ",$K244=AX$3),$O244,0)</f>
        <v>0</v>
      </c>
      <c r="AY244" s="135">
        <f>IF(AND($B244=" ",$K244=AY$3),$O244,0)</f>
        <v>0</v>
      </c>
      <c r="AZ244" s="136">
        <f>IF(AND($B244=" ",$K244=AZ$3),$O244,0)</f>
        <v>0</v>
      </c>
      <c r="BA244" s="136">
        <f>IF(AND($B244=" ",$K244=BA$3),$O244,0)</f>
        <v>0</v>
      </c>
      <c r="BB244" s="136">
        <f>IF(AND($B244=" ",$K244=BB$3),$O244,0)</f>
        <v>0</v>
      </c>
      <c r="BC244" s="137">
        <f>IF(AND($B244=" ",$K244=BC$3),$O244,0)</f>
        <v>0</v>
      </c>
      <c r="BD244" s="133">
        <f>IF(AND($B244=" ",$K244=BD$3),$O244,0)</f>
        <v>0</v>
      </c>
      <c r="BE244" s="134">
        <f>IF(AND($B244=" ",$K244=BE$3),$O244,0)</f>
        <v>0</v>
      </c>
      <c r="BF244" s="132">
        <f>IF($K244=BF$3,IF($C244="X",0,$O244),0)</f>
        <v>0</v>
      </c>
      <c r="BG244" s="133">
        <f>IF($K244=BG$3,IF($C244="X",0,$O244),0)</f>
        <v>2.55</v>
      </c>
      <c r="BH244" s="133">
        <f>IF($K244=BH$3,IF($C244="X",0,$O244),0)</f>
        <v>0</v>
      </c>
      <c r="BI244" s="133">
        <f>IF($K244=BI$3,IF($C244="X",0,$O244),0)</f>
        <v>0</v>
      </c>
      <c r="BJ244" s="133">
        <f>IF($K244=BJ$3,IF($C244="X",0,$O244),0)</f>
        <v>0</v>
      </c>
      <c r="BK244" s="133">
        <f>IF($K244=BK$3,IF($C244="X",0,$O244),0)</f>
        <v>0</v>
      </c>
      <c r="BL244" s="133">
        <f>IF($K244=BL$3,IF($C244="X",0,$O244),0)</f>
        <v>0</v>
      </c>
      <c r="BM244" s="135">
        <f>IF($K244=BM$3,IF($C244="X",0,$O244),0)</f>
        <v>0</v>
      </c>
      <c r="BN244" s="136">
        <f>IF($K244=BN$3,IF($C244="X",0,$O244),0)</f>
        <v>0</v>
      </c>
      <c r="BO244" s="136">
        <f>IF($K244=BO$3,IF($C244="X",0,$O244),0)</f>
        <v>0</v>
      </c>
      <c r="BP244" s="136">
        <f>IF($K244=BP$3,IF($C244="X",0,$O244),0)</f>
        <v>0</v>
      </c>
      <c r="BQ244" s="137">
        <f>IF($K244=BQ$3,IF($C244="X",0,$O244),0)</f>
        <v>0</v>
      </c>
      <c r="BR244" s="134">
        <f>IF($K244=BR$3,IF($C244="X",0,$O244),0)</f>
        <v>0</v>
      </c>
      <c r="BS244" s="170">
        <f>IF($B244="LOSS",IF(AND($K244=BS$3,$C244="L"),-$O244,0)+IF(AND($K245=BS$3,$C245="L"),-$O245,0)+IF(AND($K246=BS$3,$C246="L"),-$O246,0),IF(OR(AND($K244=BS$3,OR($C244="W",$C244="1/2W")),AND($K245=BS$3,OR($C245="W",$C245="1/2W")),AND($K246=BS$3,OR($C246="W",$C246="1/2W"))),$S244,0))</f>
        <v>0</v>
      </c>
      <c r="BT244" s="272">
        <f>IF($B244="LOSS",IF(AND($K244=BT$3,$C244="L"),-$O244,0)+IF(AND($K245=BT$3,$C245="L"),-$O245,0)+IF(AND($K245=BT$3,$C246="L"),-$O246,0),IF(OR(AND($K245=BT$3,OR($C244="W",$C244="1/2W")),AND($K245=BT$3,OR($C245="W",$C245="1/2W")),AND($K245=BT$3,OR($C246="W",$C246="1/2W"))),$S244,0))</f>
        <v>0</v>
      </c>
      <c r="BU244" s="136">
        <f>IF($B244="LOSS",IF(AND($K244=BU$3,$C244="L"),-$O244,0)+IF(AND($K245=BU$3,$C245="L"),-$O245,0)+IF(AND($K245=BU$3,$C246="L"),-$O246,0),IF(OR(AND($K245=BU$3,OR($C244="W",$C244="1/2W")),AND($K245=BU$3,OR($C245="W",$C245="1/2W")),AND($K245=BU$3,OR($C246="W",$C246="1/2W"))),$S244,0))</f>
        <v>0</v>
      </c>
      <c r="BV244" s="136">
        <f>IF($B244="LOSS",IF(AND($K244=BV$3,$C244="L"),-$O244,0)+IF(AND($K245=BV$3,$C245="L"),-$O245,0)+IF(AND($K246=BV$3,$C246="L"),-$O246,0),IF(OR(AND($K244=BV$3,OR($C244="W",$C244="1/2W")),AND($K245=BV$3,OR($C245="W",$C245="1/2W")),AND($K246=BV$3,OR($C246="W",$C246="1/2W"))),$S244,0))</f>
        <v>0</v>
      </c>
      <c r="BW244" s="136">
        <f>IF($B244="LOSS",IF(AND($K244=BW$3,$C244="L"),-$O244,0)+IF(AND($K245=BW$3,$C245="L"),-$O245,0)+IF(AND($K246=BW$3,$C246="L"),-$O246,0),IF(OR(AND($K244=BW$3,OR($C244="W",$C244="1/2W")),AND($K245=BW$3,OR($C245="W",$C245="1/2W")),AND($K246=BW$3,OR($C246="W",$C246="1/2W"))),$S244,0))</f>
        <v>0</v>
      </c>
      <c r="BX244" s="136">
        <f>IF($B244="LOSS",IF(AND($K244=BX$3,$C244="L"),-$O244,0)+IF(AND($K245=BX$3,$C245="L"),-$O245,0)+IF(AND($K246=BX$3,$C246="L"),-$O246,0),IF(OR(AND($K244=BX$3,OR($C244="W",$C244="1/2W")),AND($K245=BX$3,OR($C245="W",$C245="1/2W")),AND($K246=BX$3,OR($C246="W",$C246="1/2W"))),$S244,0))</f>
        <v>0</v>
      </c>
      <c r="BY244" s="136">
        <f>IF($B244="LOSS",IF(AND($K244=BY$3,$C244="L"),-$O244,0)+IF(AND($K245=BY$3,$C245="L"),-$O245,0)+IF(AND($K246=BY$3,$C246="L"),-$O246,0),IF(OR(AND($K244=BY$3,OR($C244="W",$C244="1/2W")),AND($K245=BY$3,OR($C245="W",$C245="1/2W")),AND($K246=BY$3,OR($C246="W",$C246="1/2W"))),$S244,0))</f>
        <v>0</v>
      </c>
      <c r="BZ244" s="136">
        <f>IF($B244="LOSS",IF(AND($K244=BZ$3,$C244="L"),-$O244,0)+IF(AND($K245=BZ$3,$C245="L"),-$O245,0)+IF(AND($K246=BZ$3,$C246="L"),-$O246,0),IF(OR(AND($K244=BZ$3,OR($C244="W",$C244="1/2W")),AND($K245=BZ$3,OR($C245="W",$C245="1/2W")),AND($K246=BZ$3,OR($C246="W",$C246="1/2W"))),$S244,0))</f>
        <v>0</v>
      </c>
      <c r="CA244" s="136">
        <f>IF($B244="LOSS",IF(AND($K244=CA$3,$C244="L"),-$O244,0)+IF(AND($K245=CA$3,$C245="L"),-$O245,0)+IF(AND($K246=CA$3,$C246="L"),-$O246,0),IF(OR(AND($K244=CA$3,OR($C244="W",$C244="1/2W")),AND($K245=CA$3,OR($C245="W",$C245="1/2W")),AND($K246=CA$3,OR($C246="W",$C246="1/2W"))),$S244,0))</f>
        <v>0</v>
      </c>
      <c r="CB244" s="136">
        <f>IF($B244="LOSS",IF(AND($K244=CB$3,$C244="L"),-$O244,0)+IF(AND($K245=CB$3,$C245="L"),-$O245,0)+IF(AND($K246=CB$3,$C246="L"),-$O246,0),IF(OR(AND($K244=CB$3,OR($C244="W",$C244="1/2W")),AND($K245=CB$3,OR($C245="W",$C245="1/2W")),AND($K246=CB$3,OR($C246="W",$C246="1/2W"))),$S244,0))</f>
        <v>0</v>
      </c>
      <c r="CC244" s="136">
        <f>IF($B244="LOSS",IF(AND($K244=CC$3,$C244="L"),-$O244,0)+IF(AND($K245=CC$3,$C245="L"),-$O245,0)+IF(AND($K246=CC$3,$C246="L"),-$O246,0),IF(OR(AND($K244=CC$3,OR($C244="W",$C244="1/2W")),AND($K245=CC$3,OR($C245="W",$C245="1/2W")),AND($K246=CC$3,OR($C246="W",$C246="1/2W"))),$S244,0))</f>
        <v>0</v>
      </c>
      <c r="CD244" s="137">
        <f>IF($B244="LOSS",IF(AND($K244=CD$3,$C244="L"),-$O244,0)+IF(AND($K245=CD$3,$C245="L"),-$O245,0)+IF(AND($K246=CD$3,$C246="L"),-$O246,0),IF(OR(AND($K244=CD$3,OR($C244="W",$C244="1/2W")),AND($K245=CD$3,OR($C245="W",$C245="1/2W")),AND($K246=CD$3,OR($C246="W",$C246="1/2W"))),$S244,0))</f>
        <v>0.54</v>
      </c>
      <c r="CE244" s="134">
        <f>IF($B244="LOSS",IF(AND($K244=CE$3,$C244="L"),-$O244,0)+IF(AND($K245=CE$3,$C245="L"),-$O245,0)+IF(AND($K246=CE$3,$C246="L"),-$O246,0),IF(OR(AND($K244=CE$3,OR($C244="W",$C244="1/2W")),AND($K245=CE$3,OR($C245="W",$C245="1/2W")),AND($K246=CE$3,OR($C246="W",$C246="1/2W"))),$S244,0))</f>
        <v>0</v>
      </c>
      <c r="CF244" s="273">
        <f>IF(CF$3=$K244,IF($C244="W",1,IF($C244="1/2W",0.5,0)),0)</f>
        <v>0</v>
      </c>
      <c r="CG244" s="274">
        <f>IF(CF$3=$K244,IF($C244="L",1,IF($C244="1/2L",0.5,0)),0)</f>
        <v>0</v>
      </c>
      <c r="CH244" s="274">
        <f>IF(CH$3=$K244,IF($C244="W",1,IF($C244="1/2W",0.5,0)),0)</f>
        <v>0</v>
      </c>
      <c r="CI244" s="274">
        <f>IF(CH$3=$K244,IF($C244="L",1,IF($C244="1/2L",0.5,0)),0)</f>
        <v>1</v>
      </c>
      <c r="CJ244" s="274">
        <f>IF(CJ$3=$K244,IF($C244="W",1,IF($C244="1/2W",0.5,0)),0)</f>
        <v>0</v>
      </c>
      <c r="CK244" s="274">
        <f>IF(CJ$3=$K244,IF($C244="L",1,IF($C244="1/2L",0.5,0)),0)</f>
        <v>0</v>
      </c>
      <c r="CL244" s="274">
        <f>IF(CL$3=$K244,IF($C244="W",1,IF($C244="1/2W",0.5,0)),0)</f>
        <v>0</v>
      </c>
      <c r="CM244" s="274">
        <f>IF(CL$3=$K244,IF($C244="L",1,IF($C244="1/2L",0.5,0)),0)</f>
        <v>0</v>
      </c>
      <c r="CN244" s="274">
        <f>IF(CN$3=$K244,IF($C244="W",1,IF($C244="1/2W",0.5,0)),0)</f>
        <v>0</v>
      </c>
      <c r="CO244" s="274">
        <f>IF(CN$3=$K244,IF($C244="L",1,IF($C244="1/2L",0.5,0)),0)</f>
        <v>0</v>
      </c>
      <c r="CP244" s="274">
        <f>IF(CP$3=$K244,IF($C244="W",1,IF($C244="1/2W",0.5,0)),0)</f>
        <v>0</v>
      </c>
      <c r="CQ244" s="274">
        <f>IF(CP$3=$K244,IF($C244="L",1,IF($C244="1/2L",0.5,0)),0)</f>
        <v>0</v>
      </c>
      <c r="CR244" s="274">
        <f>IF(CR$3=$K244,IF($C244="W",1,IF($C244="1/2W",0.5,0)),0)</f>
        <v>0</v>
      </c>
      <c r="CS244" s="274">
        <f>IF(CR$3=$K244,IF($C244="L",1,IF($C244="1/2L",0.5,0)),0)</f>
        <v>0</v>
      </c>
      <c r="CT244" s="145">
        <f>IF(CT$3=$K244,IF($C244="W",1,IF($C244="1/2W",0.5,0)),0)</f>
        <v>0</v>
      </c>
      <c r="CU244" s="146">
        <f>IF(CT$3=$K244,IF($C244="L",1,IF($C244="1/2L",0.5,0)),0)</f>
        <v>0</v>
      </c>
      <c r="CV244" s="146">
        <f>IF(CV$3=$K244,IF($C244="W",1,IF($C244="1/2W",0.5,0)),0)</f>
        <v>0</v>
      </c>
      <c r="CW244" s="146">
        <f>IF(CV$3=$K244,IF($C244="L",1,IF($C244="1/2L",0.5,0)),0)</f>
        <v>0</v>
      </c>
      <c r="CX244" s="146">
        <f>IF(CX$3=$K244,IF($C244="W",1,IF($C244="1/2W",0.5,0)),0)</f>
        <v>0</v>
      </c>
      <c r="CY244" s="146">
        <f>IF(CX$3=$K244,IF($C244="L",1,IF($C244="1/2L",0.5,0)),0)</f>
        <v>0</v>
      </c>
      <c r="CZ244" s="146">
        <f>IF(CZ$3=$K244,IF($C244="W",1,IF($C244="1/2W",0.5,0)),0)</f>
        <v>0</v>
      </c>
      <c r="DA244" s="146">
        <f>IF(CZ$3=$K244,IF($C244="L",1,IF($C244="1/2L",0.5,0)),0)</f>
        <v>0</v>
      </c>
      <c r="DB244" s="146">
        <f>IF(DB$3=$K244,IF($C244="W",1,IF($C244="1/2W",0.5,0)),0)</f>
        <v>0</v>
      </c>
      <c r="DC244" s="146">
        <f>IF(DB$3=$K244,IF($C244="L",1,IF($C244="1/2L",0.5,0)),0)</f>
        <v>0</v>
      </c>
      <c r="DD244" s="146">
        <f>IF(DD$3=$K244,IF($C244="W",1,IF($C244="1/2W",0.5,0)),0)</f>
        <v>0</v>
      </c>
      <c r="DE244" s="147">
        <f>IF(DD$3=$K244,IF($C244="L",1,IF($C244="1/2L",0.5,0)),0)</f>
        <v>0</v>
      </c>
      <c r="DF244" s="143">
        <f>IF(AND(L244&lt;DF$3,$C244="W"),1+DF243,DF243)</f>
        <v>8</v>
      </c>
      <c r="DG244" s="133">
        <f>IF(DF244&gt;DF243,L244+DG243,DG243)</f>
        <v>10.598</v>
      </c>
      <c r="DH244" s="146">
        <f>IF(AND(L244&gt;DH$3,$C244="W"),1+DH243,0+DH243)</f>
        <v>6</v>
      </c>
      <c r="DI244" s="133">
        <f>IF(DH244&gt;DH243,L244+DI243,DI243)</f>
        <v>30.83</v>
      </c>
      <c r="DJ244" t="s" s="304">
        <f>IF($D244="","",$D244)</f>
        <v>229</v>
      </c>
      <c r="DK244" s="146">
        <f>IF(AND($B244=" ",$D244&lt;&gt;""),1,0)</f>
        <v>0</v>
      </c>
    </row>
    <row r="245" ht="14.55" customHeight="1">
      <c r="A245" s="107"/>
      <c r="B245" s="108"/>
      <c r="C245" t="s" s="109">
        <v>56</v>
      </c>
      <c r="D245" s="110"/>
      <c r="E245" s="111"/>
      <c r="F245" s="113"/>
      <c r="G245" s="252"/>
      <c r="H245" s="114"/>
      <c r="I245" t="s" s="275">
        <v>81</v>
      </c>
      <c r="J245" t="s" s="295">
        <f>IF(OR(I244="TO",I244="TU",I244="TO1",I244="TU1",I244="TO2",I244="TU2"),J244,IF(OR(I244="AH1",I244="AH2"),IF(OR(I245="AH1",I245="AH2"),-J244,IF(OR(I245="EH1",I245="EH2"),-J244+0.5,"")),IF(OR(I244="EH1",I244="EH2"),IF(OR(I245="AH1",I245="AH2"),-J244+0.5,IF(OR(I245="EH1",I245="EH2"),-J244+1,"")),IF(AND(OR(I244="DNB1",I244="DNB2"),OR(I245="AH1",I245="AH2")),0,IF(AND(I244="Not ScoreBoth",OR(I245="TO1",I245="TO2")),0.5,"")))))</f>
      </c>
      <c r="K245" t="s" s="117">
        <v>48</v>
      </c>
      <c r="L245" s="277">
        <v>1.3</v>
      </c>
      <c r="M245" s="278"/>
      <c r="N245" s="120"/>
      <c r="O245" s="121">
        <f>IF(OR(AE244="",AE245=""),"",ROUND(IF(L246&gt;0,IF(M245&gt;0,M245,IF(M244&gt;0,IF(N244=TRUE,ROUND((M244*AE245)/AE244,0),(M244*AE245)/AE244),IF(M245&gt;0,ROUND(M245,IF(N244=0,2,IF(N244=0.1,1,0))),IF(M246&gt;0,ROUND(O246*AE245/AE246,IF(N244=0,2,IF(N244=0.1,1,0))),0)))),IF(M245&gt;0,M245,ROUND((M244*AE245)/AE244,IF(N244=0,2,IF(N244=0.1,1,0))))),2))</f>
        <v>10.3</v>
      </c>
      <c r="P245" s="122">
        <f>IF(OR(L245="",O245=""),"",IF($C245="1/2W",O245/2+O245/2*L245,IF($C245="1/2L",O245/2,IF(I245="Lay",((O245*(L245/(L245-1)))-O245)*(1-_xlfn.XLOOKUP(K245,'Janeiro 2023 - Valor Real'!A3:A15,'Janeiro 2023 - Valor Real'!C3:C15,0))+O245,(O245*L245-O245)*(1-_xlfn.XLOOKUP(K245,'Janeiro 2023 - Valor Real'!A3:A15,'Janeiro 2023 - Valor Real'!C3:C15,0))+O245))))</f>
        <v>13.39</v>
      </c>
      <c r="Q245" s="279">
        <f>IF(K245="","",IF(_xlfn.XLOOKUP(K245,K$95:K107,DJ$95:DJ107,0,,-1)=DJ245,_xlfn.XLOOKUP(K245,K$95:K107,Q$95:Q107,1,,-1)+1,1))</f>
        <v>1</v>
      </c>
      <c r="R245" s="280">
        <f>IF(K245="","",_xlfn.XLOOKUP(K245,K$95:K107,R$95:R107,0,,-1)+IF($C245=" ",1,0))</f>
        <v>0</v>
      </c>
      <c r="S245" s="125"/>
      <c r="T245" s="126"/>
      <c r="U245" s="126"/>
      <c r="V245" s="224"/>
      <c r="W245" s="126"/>
      <c r="X245" s="127"/>
      <c r="Y245" s="128"/>
      <c r="Z245" s="129"/>
      <c r="AA245" s="129"/>
      <c r="AB245" s="129"/>
      <c r="AC245" s="129"/>
      <c r="AD245" s="130"/>
      <c r="AE245" s="131">
        <f>IF(L245="","",IF(L246&gt;0,(SUM(((L244-1)*(1-_xlfn.XLOOKUP(K244,'Janeiro 2023 - Valor Real'!A3:A15,'Janeiro 2023 - Valor Real'!C3:C15,0))+1),((L245-1)*(1-_xlfn.XLOOKUP(K245,'Janeiro 2023 - Valor Real'!A3:A15,'Janeiro 2023 - Valor Real'!C3:C15,0))+1),((L246-1)*(1-_xlfn.XLOOKUP(K246,'Janeiro 2023 - Valor Real'!A3:A15,'Janeiro 2023 - Valor Real'!C3:C15,0))+1))/((L245-1)*(1-_xlfn.XLOOKUP(K245,'Janeiro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Real'!C3:C15,0))+1))/((L244-1)*(1-_xlfn.XLOOKUP(K244,'Janeiro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Real'!C3:C15,0))+1))/((L245-1)*(1-_xlfn.XLOOKUP(K245,'Janeiro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Real'!C3:C15,0))+1))/((L246-1)*(1-_xlfn.XLOOKUP(K246,'Janeiro 2023 - Valor Real'!A3:A15,'Janeiro 2023 - Valor Real'!C3:C15,0))+1)),IF(I245="Lay",IF(I244="Lay",((L244/(L244-1)-1)*(1-_xlfn.XLOOKUP(K244,'Janeiro 2023 - Valor Real'!A3:A15,'Janeiro 2023 - Valor Real'!C3:C15,0))+1)/(((L244/(L244-1)-1)*(1-_xlfn.XLOOKUP(K244,'Janeiro 2023 - Valor Real'!A3:A15,'Janeiro 2023 - Valor Real'!C3:C15,0))+1)+((L245/(L245-1)-1)*(1-_xlfn.XLOOKUP(K245,'Janeiro 2023 - Valor Real'!A3:A15,'Janeiro 2023 - Valor Real'!C3:C15,0))+1)),((L244-1)*(1-_xlfn.XLOOKUP(K244,'Janeiro 2023 - Valor Real'!A3:A15,'Janeiro 2023 - Valor Real'!C3:C15,0))+1)/(((L244-1)*(1-_xlfn.XLOOKUP(K244,'Janeiro 2023 - Valor Real'!A3:A15,'Janeiro 2023 - Valor Real'!C3:C15,0))+1)+((L245/(L245-1)-1)*(1-_xlfn.XLOOKUP(K245,'Janeiro 2023 - Valor Real'!A3:A15,'Janeiro 2023 - Valor Real'!C3:C15,0))+1))),IF(I244="Lay",((L244/(L244-1)-1)*(1-_xlfn.XLOOKUP(K244,'Janeiro 2023 - Valor Real'!A3:A15,'Janeiro 2023 - Valor Real'!C3:C15,0))+1)/((((L244/(L244-1)-1)*(1-_xlfn.XLOOKUP(K244,'Janeiro 2023 - Valor Real'!A3:A15,'Janeiro 2023 - Valor Real'!C3:C15,0))+1))+((L245-1)*(1-_xlfn.XLOOKUP(K245,'Janeiro 2023 - Valor Real'!A3:A15,'Janeiro 2023 - Valor Real'!C3:C15,0))+1)),((L244-1)*(1-_xlfn.XLOOKUP(K244,'Janeiro 2023 - Valor Real'!A3:A15,'Janeiro 2023 - Valor Real'!C3:C15,0))+1)/(((L244-1)*(1-_xlfn.XLOOKUP(K244,'Janeiro 2023 - Valor Real'!A3:A15,'Janeiro 2023 - Valor Real'!C3:C15,0))+1)+((L245-1)*(1-_xlfn.XLOOKUP(K245,'Janeiro 2023 - Valor Real'!A3:A15,'Janeiro 2023 - Valor Real'!C3:C15,0))+1))))))</f>
        <v>0.801526717557252</v>
      </c>
      <c r="AF245" s="132">
        <f>IF($K245=AF$3,ROUND(IF(OR($C245="W",$C245="1/2W",$C245="1/2L"),$P245-$O245,IF($C245="X",0,-$O245)),2),0)</f>
        <v>0</v>
      </c>
      <c r="AG245" s="133">
        <f>IF($K245=AG$3,ROUND(IF(OR($C245="W",$C245="1/2W",$C245="1/2L"),$P245-$O245,IF($C245="X",0,-$O245)),2),0)</f>
        <v>0</v>
      </c>
      <c r="AH245" s="133">
        <f>IF($K245=AH$3,ROUND(IF(OR($C245="W",$C245="1/2W",$C245="1/2L"),$P245-$O245,IF($C245="X",0,-$O245)),2),0)</f>
        <v>0</v>
      </c>
      <c r="AI245" s="133">
        <f>IF($K245=AI$3,ROUND(IF(OR($C245="W",$C245="1/2W",$C245="1/2L"),$P245-$O245,IF($C245="X",0,-$O245)),2),0)</f>
        <v>0</v>
      </c>
      <c r="AJ245" s="133">
        <f>IF($K245=AJ$3,ROUND(IF(OR($C245="W",$C245="1/2W",$C245="1/2L"),$P245-$O245,IF($C245="X",0,-$O245)),2),0)</f>
        <v>0</v>
      </c>
      <c r="AK245" s="133">
        <f>IF($K245=AK$3,ROUND(IF(OR($C245="W",$C245="1/2W",$C245="1/2L"),$P245-$O245,IF($C245="X",0,-$O245)),2),0)</f>
        <v>0</v>
      </c>
      <c r="AL245" s="133">
        <f>IF($K245=AL$3,ROUND(IF(OR($C245="W",$C245="1/2W",$C245="1/2L"),$P245-$O245,IF($C245="X",0,-$O245)),2),0)</f>
        <v>0</v>
      </c>
      <c r="AM245" s="133">
        <f>IF($K245=AM$3,ROUND(IF(OR($C245="W",$C245="1/2W",$C245="1/2L"),$P245-$O245,IF($C245="X",0,-$O245)),2),0)</f>
        <v>0</v>
      </c>
      <c r="AN245" s="133">
        <f>IF($K245=AN$3,ROUND(IF(OR($C245="W",$C245="1/2W",$C245="1/2L"),$P245-$O245,IF($C245="X",0,-$O245)),2),0)</f>
        <v>0</v>
      </c>
      <c r="AO245" s="133">
        <f>IF($K245=AO$3,ROUND(IF(OR($C245="W",$C245="1/2W",$C245="1/2L"),$P245-$O245,IF($C245="X",0,-$O245)),2),0)</f>
        <v>0</v>
      </c>
      <c r="AP245" s="133">
        <f>IF($K245=AP$3,ROUND(IF(OR($C245="W",$C245="1/2W",$C245="1/2L"),$P245-$O245,IF($C245="X",0,-$O245)),2),0)</f>
        <v>0</v>
      </c>
      <c r="AQ245" s="133">
        <f>IF($K245=AQ$3,ROUND(IF(OR($C245="W",$C245="1/2W",$C245="1/2L"),$P245-$O245,IF($C245="X",0,-$O245)),2),0)</f>
        <v>3.09</v>
      </c>
      <c r="AR245" s="134">
        <f>IF($K245=AR$3,ROUND(IF(OR($C245="W",$C245="1/2W",$C245="1/2L"),$P245-$O245,IF($C245="X",0,-$O245)),2),0)</f>
        <v>0</v>
      </c>
      <c r="AS245" s="132">
        <f>IF(AND($B244=" ",$K245=AS$3),$O245,0)</f>
        <v>0</v>
      </c>
      <c r="AT245" s="133">
        <f>IF(AND($B244=" ",K245=AT$3),$O245,0)</f>
        <v>0</v>
      </c>
      <c r="AU245" s="133">
        <f>IF(AND($B244=" ",$K245=AU$3),$O245,0)</f>
        <v>0</v>
      </c>
      <c r="AV245" s="133">
        <f>IF(AND($B244=" ",$K245=AV$3),$O245,0)</f>
        <v>0</v>
      </c>
      <c r="AW245" s="133">
        <f>IF(AND($B244=" ",$K245=AW$3),$O245,0)</f>
        <v>0</v>
      </c>
      <c r="AX245" s="133">
        <f>IF(AND($B244=" ",$K245=AX$3),$O245,0)</f>
        <v>0</v>
      </c>
      <c r="AY245" s="135">
        <f>IF(AND($B244=" ",$K245=AY$3),$O245,0)</f>
        <v>0</v>
      </c>
      <c r="AZ245" s="136">
        <f>IF(AND($B244=" ",$K245=AZ$3),$O245,0)</f>
        <v>0</v>
      </c>
      <c r="BA245" s="136">
        <f>IF(AND($B244=" ",$K245=BA$3),$O245,0)</f>
        <v>0</v>
      </c>
      <c r="BB245" s="136">
        <f>IF(AND($B244=" ",$K245=BB$3),$O245,0)</f>
        <v>0</v>
      </c>
      <c r="BC245" s="137">
        <f>IF(AND($B244=" ",$K245=BC$3),$O245,0)</f>
        <v>0</v>
      </c>
      <c r="BD245" s="133">
        <f>IF(AND($B244=" ",$K245=BD$3),$O245,0)</f>
        <v>0</v>
      </c>
      <c r="BE245" s="134">
        <f>IF(AND($B244=" ",$K245=BE$3),$O245,0)</f>
        <v>0</v>
      </c>
      <c r="BF245" s="132">
        <f>IF($K245=BF$3,IF($C245="X",0,$O245),0)</f>
        <v>0</v>
      </c>
      <c r="BG245" s="281">
        <f>IF($K245=BG$3,IF($C245="X",0,$O245),0)</f>
        <v>0</v>
      </c>
      <c r="BH245" s="133">
        <f>IF($K245=BH$3,IF($C245="X",0,$O245),0)</f>
        <v>0</v>
      </c>
      <c r="BI245" s="133">
        <f>IF($K245=BI$3,IF($C245="X",0,$O245),0)</f>
        <v>0</v>
      </c>
      <c r="BJ245" s="133">
        <f>IF($K245=BJ$3,IF($C245="X",0,$O245),0)</f>
        <v>0</v>
      </c>
      <c r="BK245" s="133">
        <f>IF($K245=BK$3,IF($C245="X",0,$O245),0)</f>
        <v>0</v>
      </c>
      <c r="BL245" s="133">
        <f>IF($K245=BL$3,IF($C245="X",0,$O245),0)</f>
        <v>0</v>
      </c>
      <c r="BM245" s="135">
        <f>IF($K245=BM$3,IF($C245="X",0,$O245),0)</f>
        <v>0</v>
      </c>
      <c r="BN245" s="136">
        <f>IF($K245=BN$3,IF($C245="X",0,$O245),0)</f>
        <v>0</v>
      </c>
      <c r="BO245" s="136">
        <f>IF($K245=BO$3,IF($C245="X",0,$O245),0)</f>
        <v>0</v>
      </c>
      <c r="BP245" s="136">
        <f>IF($K245=BP$3,IF($C245="X",0,$O245),0)</f>
        <v>0</v>
      </c>
      <c r="BQ245" s="137">
        <f>IF($K245=BQ$3,IF($C245="X",0,$O245),0)</f>
        <v>10.3</v>
      </c>
      <c r="BR245" s="134">
        <f>IF($K245=BR$3,IF($C245="X",0,$O245),0)</f>
        <v>0</v>
      </c>
      <c r="BS245" s="282"/>
      <c r="BT245" s="283"/>
      <c r="BU245" s="140"/>
      <c r="BV245" s="283"/>
      <c r="BW245" s="140"/>
      <c r="BX245" s="140"/>
      <c r="BY245" s="140"/>
      <c r="BZ245" s="283"/>
      <c r="CA245" s="140"/>
      <c r="CB245" s="140"/>
      <c r="CC245" s="140"/>
      <c r="CD245" s="141"/>
      <c r="CE245" s="142"/>
      <c r="CF245" s="284">
        <f>IF(CF$3=$K245,IF($C245="W",1,IF($C245="1/2W",0.5,0)),0)</f>
        <v>0</v>
      </c>
      <c r="CG245" s="285">
        <f>IF(CF$3=$K245,IF($C245="L",1,IF($C245="1/2L",0.5,0)),0)</f>
        <v>0</v>
      </c>
      <c r="CH245" s="285">
        <f>IF(CH$3=$K245,IF($C245="W",1,IF($C245="1/2W",0.5,0)),0)</f>
        <v>0</v>
      </c>
      <c r="CI245" s="285">
        <f>IF(CH$3=$K245,IF($C245="L",1,IF($C245="1/2L",0.5,0)),0)</f>
        <v>0</v>
      </c>
      <c r="CJ245" s="285">
        <f>IF(CJ$3=$K245,IF($C245="W",1,IF($C245="1/2W",0.5,0)),0)</f>
        <v>0</v>
      </c>
      <c r="CK245" s="285">
        <f>IF(CJ$3=$K245,IF($C245="L",1,IF($C245="1/2L",0.5,0)),0)</f>
        <v>0</v>
      </c>
      <c r="CL245" s="285">
        <f>IF(CL$3=$K245,IF($C245="W",1,IF($C245="1/2W",0.5,0)),0)</f>
        <v>0</v>
      </c>
      <c r="CM245" s="285">
        <f>IF(CL$3=$K245,IF($C245="L",1,IF($C245="1/2L",0.5,0)),0)</f>
        <v>0</v>
      </c>
      <c r="CN245" s="285">
        <f>IF(CN$3=$K245,IF($C245="W",1,IF($C245="1/2W",0.5,0)),0)</f>
        <v>0</v>
      </c>
      <c r="CO245" s="285">
        <f>IF(CN$3=$K245,IF($C245="L",1,IF($C245="1/2L",0.5,0)),0)</f>
        <v>0</v>
      </c>
      <c r="CP245" s="285">
        <f>IF(CP$3=$K245,IF($C245="W",1,IF($C245="1/2W",0.5,0)),0)</f>
        <v>0</v>
      </c>
      <c r="CQ245" s="285">
        <f>IF(CP$3=$K245,IF($C245="L",1,IF($C245="1/2L",0.5,0)),0)</f>
        <v>0</v>
      </c>
      <c r="CR245" s="285">
        <f>IF(CR$3=$K245,IF($C245="W",1,IF($C245="1/2W",0.5,0)),0)</f>
        <v>0</v>
      </c>
      <c r="CS245" s="285">
        <f>IF(CR$3=$K245,IF($C245="L",1,IF($C245="1/2L",0.5,0)),0)</f>
        <v>0</v>
      </c>
      <c r="CT245" s="145">
        <f>IF(CT$3=$K245,IF($C245="W",1,IF($C245="1/2W",0.5,0)),0)</f>
        <v>0</v>
      </c>
      <c r="CU245" s="146">
        <f>IF(CT$3=$K245,IF($C245="L",1,IF($C245="1/2L",0.5,0)),0)</f>
        <v>0</v>
      </c>
      <c r="CV245" s="146">
        <f>IF(CV$3=$K245,IF($C245="W",1,IF($C245="1/2W",0.5,0)),0)</f>
        <v>0</v>
      </c>
      <c r="CW245" s="146">
        <f>IF(CV$3=$K245,IF($C245="L",1,IF($C245="1/2L",0.5,0)),0)</f>
        <v>0</v>
      </c>
      <c r="CX245" s="146">
        <f>IF(CX$3=$K245,IF($C245="W",1,IF($C245="1/2W",0.5,0)),0)</f>
        <v>0</v>
      </c>
      <c r="CY245" s="146">
        <f>IF(CX$3=$K245,IF($C245="L",1,IF($C245="1/2L",0.5,0)),0)</f>
        <v>0</v>
      </c>
      <c r="CZ245" s="146">
        <f>IF(CZ$3=$K245,IF($C245="W",1,IF($C245="1/2W",0.5,0)),0)</f>
        <v>0</v>
      </c>
      <c r="DA245" s="146">
        <f>IF(CZ$3=$K245,IF($C245="L",1,IF($C245="1/2L",0.5,0)),0)</f>
        <v>0</v>
      </c>
      <c r="DB245" s="146">
        <f>IF(DB$3=$K245,IF($C245="W",1,IF($C245="1/2W",0.5,0)),0)</f>
        <v>1</v>
      </c>
      <c r="DC245" s="146">
        <f>IF(DB$3=$K245,IF($C245="L",1,IF($C245="1/2L",0.5,0)),0)</f>
        <v>0</v>
      </c>
      <c r="DD245" s="146">
        <f>IF(DD$3=$K245,IF($C245="W",1,IF($C245="1/2W",0.5,0)),0)</f>
        <v>0</v>
      </c>
      <c r="DE245" s="147">
        <f>IF(DD$3=$K245,IF($C245="L",1,IF($C245="1/2L",0.5,0)),0)</f>
        <v>0</v>
      </c>
      <c r="DF245" s="143">
        <f>IF(AND(L245&lt;DF$3,$C245="W"),1+DF244,DF244)</f>
        <v>9</v>
      </c>
      <c r="DG245" s="133">
        <f>IF(DF245&gt;DF244,L245+DG244,DG244)</f>
        <v>11.898</v>
      </c>
      <c r="DH245" s="146">
        <f>IF(AND(L245&gt;DH$3,$C245="W"),1+DH244,0+DH244)</f>
        <v>6</v>
      </c>
      <c r="DI245" s="133">
        <f>IF(DH245&gt;DH244,L245+DI244,DI244)</f>
        <v>30.83</v>
      </c>
      <c r="DJ245" t="s" s="304">
        <f>IF($D244="","",$D244)</f>
        <v>229</v>
      </c>
      <c r="DK245" s="286"/>
    </row>
    <row r="246" ht="14.55" customHeight="1">
      <c r="A246" s="149"/>
      <c r="B246" s="150"/>
      <c r="C246" t="s" s="151">
        <v>58</v>
      </c>
      <c r="D246" s="152"/>
      <c r="E246" s="153"/>
      <c r="F246" s="155"/>
      <c r="G246" s="252"/>
      <c r="H246" s="156"/>
      <c r="I246" s="287"/>
      <c r="J246" s="288"/>
      <c r="K246" s="156"/>
      <c r="L246" s="289"/>
      <c r="M246" s="290"/>
      <c r="N246" s="161"/>
      <c r="O246" t="s" s="162">
        <f>IF(OR(AE244="",AE245=""),"",IF(L246&gt;0,ROUND(IF(M246&gt;0,M246,IF(M244&gt;0,ROUND((M244*AE246)/AE244,IF(N244=0,2,IF(N244=0.1,1,0))),IF(M245&gt;0,ROUND((M245*AE246)/AE245,IF(N244=0,2,IF(N244=0.1,1,0))),IF(M246&gt;0,M246,0)))),2),""))</f>
      </c>
      <c r="P246" t="s" s="163">
        <f>IF(I245="Lay",O245*(L245/(L245-1))-O245,IF(I244="Lay",O244*(L244/(L244-1))-O244,IF(OR(L246="",O246=""),"",IF($C246="1/2W",O246/2+O246/2*L246,IF($C246="1/2L",O246/2,(O246*L246-O246)*(1-_xlfn.XLOOKUP(K246,'Janeiro 2023 - Valor Real'!A3:A15,'Janeiro 2023 - Valor Real'!C3:C15,0))+O246)))))</f>
      </c>
      <c r="Q246" t="s" s="154">
        <f>IF(K246="","",IF(_xlfn.XLOOKUP(K246,K$96:K108,DJ$96:DJ108,0,,-1)=DJ246,_xlfn.XLOOKUP(K246,K$96:K108,Q$96:Q108,1,,-1)+1,1))</f>
      </c>
      <c r="R246" t="s" s="163">
        <f>IF(K246="","",_xlfn.XLOOKUP(K246,K$96:K108,R$96:R108,0,,-1)+IF($C246=" ",1,0))</f>
      </c>
      <c r="S246" s="166"/>
      <c r="T246" s="155"/>
      <c r="U246" s="155"/>
      <c r="V246" s="166"/>
      <c r="W246" s="155"/>
      <c r="X246" s="167"/>
      <c r="Y246" s="128"/>
      <c r="Z246" s="129"/>
      <c r="AA246" s="129"/>
      <c r="AB246" s="129"/>
      <c r="AC246" s="129"/>
      <c r="AD246" s="168"/>
      <c r="AE246" t="s" s="169">
        <f>IF(L246="","",(SUM(((L244-1)*(1-_xlfn.XLOOKUP(K244,'Janeiro 2023 - Valor Real'!A3:A15,'Janeiro 2023 - Valor Real'!C3:C15,0))+1),((L245-1)*(1-_xlfn.XLOOKUP(K245,'Janeiro 2023 - Valor Real'!A3:A15,'Janeiro 2023 - Valor Real'!C3:C15,0))+1),((L246-1)*(1-_xlfn.XLOOKUP(K246,'Janeiro 2023 - Valor Real'!A3:A15,'Janeiro 2023 - Valor Real'!C3:C15,0))+1))/((L246-1)*(1-_xlfn.XLOOKUP(K246,'Janeiro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Real'!C3:C15,0))+1))/((L244-1)*(1-_xlfn.XLOOKUP(K244,'Janeiro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Real'!C3:C15,0))+1))/((L245-1)*(1-_xlfn.XLOOKUP(K245,'Janeiro 2023 - Valor Real'!A3:A15,'Janeiro 2023 - Valor Real'!C3:C15,0))+1)+SUM(((L244-1)*(1-_xlfn.XLOOKUP(K244,'Janeiro 2023 - Valor Real'!A3:A15,'Janeiro 2023 - Valor Real'!C3:C15,0))+1),((L245-1)*(1-_xlfn.XLOOKUP(K245,'Janeiro 2023 - Valor Real'!A3:A15,'Janeiro 2023 - Valor Real'!C3:C15,0))+1),((L246-1)*(1-_xlfn.XLOOKUP(K246,'Janeiro 2023 - Valor Real'!A3:A15,'Janeiro 2023 - Valor Real'!C3:C15,0))+1))/((L246-1)*(1-_xlfn.XLOOKUP(K246,'Janeiro 2023 - Valor Real'!A3:A15,'Janeiro 2023 - Valor Real'!C3:C15,0))+1)))</f>
      </c>
      <c r="AF246" s="132">
        <f>IF($K246=AF$3,ROUND(IF(OR($C246="W",$C246="1/2W",$C246="1/2L"),$P246-$O246,IF($C246="X",0,-$O246)),2),0)</f>
        <v>0</v>
      </c>
      <c r="AG246" s="133">
        <f>IF($K246=AG$3,ROUND(IF(OR($C246="W",$C246="1/2W",$C246="1/2L"),$P246-$O246,IF($C246="X",0,-$O246)),2),0)</f>
        <v>0</v>
      </c>
      <c r="AH246" s="133">
        <f>IF($K246=AH$3,ROUND(IF(OR($C246="W",$C246="1/2W",$C246="1/2L"),$P246-$O246,IF($C246="X",0,-$O246)),2),0)</f>
        <v>0</v>
      </c>
      <c r="AI246" s="133">
        <f>IF($K246=AI$3,ROUND(IF(OR($C246="W",$C246="1/2W",$C246="1/2L"),$P246-$O246,IF($C246="X",0,-$O246)),2),0)</f>
        <v>0</v>
      </c>
      <c r="AJ246" s="133">
        <f>IF($K246=AJ$3,ROUND(IF(OR($C246="W",$C246="1/2W",$C246="1/2L"),$P246-$O246,IF($C246="X",0,-$O246)),2),0)</f>
        <v>0</v>
      </c>
      <c r="AK246" s="133">
        <f>IF($K246=AK$3,ROUND(IF(OR($C246="W",$C246="1/2W",$C246="1/2L"),$P246-$O246,IF($C246="X",0,-$O246)),2),0)</f>
        <v>0</v>
      </c>
      <c r="AL246" s="133">
        <f>IF($K246=AL$3,ROUND(IF(OR($C246="W",$C246="1/2W",$C246="1/2L"),$P246-$O246,IF($C246="X",0,-$O246)),2),0)</f>
        <v>0</v>
      </c>
      <c r="AM246" s="133">
        <f>IF($K246=AM$3,ROUND(IF(OR($C246="W",$C246="1/2W",$C246="1/2L"),$P246-$O246,IF($C246="X",0,-$O246)),2),0)</f>
        <v>0</v>
      </c>
      <c r="AN246" s="133">
        <f>IF($K246=AN$3,ROUND(IF(OR($C246="W",$C246="1/2W",$C246="1/2L"),$P246-$O246,IF($C246="X",0,-$O246)),2),0)</f>
        <v>0</v>
      </c>
      <c r="AO246" s="133">
        <f>IF($K246=AO$3,ROUND(IF(OR($C246="W",$C246="1/2W",$C246="1/2L"),$P246-$O246,IF($C246="X",0,-$O246)),2),0)</f>
        <v>0</v>
      </c>
      <c r="AP246" s="133">
        <f>IF($K246=AP$3,ROUND(IF(OR($C246="W",$C246="1/2W",$C246="1/2L"),$P246-$O246,IF($C246="X",0,-$O246)),2),0)</f>
        <v>0</v>
      </c>
      <c r="AQ246" s="133">
        <f>IF($K246=AQ$3,ROUND(IF(OR($C246="W",$C246="1/2W",$C246="1/2L"),$P246-$O246,IF($C246="X",0,-$O246)),2),0)</f>
        <v>0</v>
      </c>
      <c r="AR246" s="134">
        <f>IF($K246=AR$3,ROUND(IF(OR($C246="W",$C246="1/2W",$C246="1/2L"),$P246-$O246,IF($C246="X",0,-$O246)),2),0)</f>
        <v>0</v>
      </c>
      <c r="AS246" s="132">
        <f>IF(AND($B244=" ",$K246=AS$3),$O246,0)</f>
        <v>0</v>
      </c>
      <c r="AT246" s="133">
        <f>IF(AND($B244=" ",K246=AT$3),$O246,0)</f>
        <v>0</v>
      </c>
      <c r="AU246" s="133">
        <f>IF(AND($B244=" ",$K246=AU$3),$O246,0)</f>
        <v>0</v>
      </c>
      <c r="AV246" s="133">
        <f>IF(AND($B244=" ",$K246=AV$3),$O246,0)</f>
        <v>0</v>
      </c>
      <c r="AW246" s="133">
        <f>IF(AND($B244=" ",$K246=AW$3),$O246,0)</f>
        <v>0</v>
      </c>
      <c r="AX246" s="133">
        <f>IF(AND($B244=" ",$K246=AX$3),$O246,0)</f>
        <v>0</v>
      </c>
      <c r="AY246" s="135">
        <f>IF(AND($B244=" ",$K246=AY$3),$O246,0)</f>
        <v>0</v>
      </c>
      <c r="AZ246" s="136">
        <f>IF(AND($B244=" ",$K246=AZ$3),$O246,0)</f>
        <v>0</v>
      </c>
      <c r="BA246" s="136">
        <f>IF(AND($B244=" ",$K246=BA$3),$O246,0)</f>
        <v>0</v>
      </c>
      <c r="BB246" s="136">
        <f>IF(AND($B244=" ",$K246=BB$3),$O246,0)</f>
        <v>0</v>
      </c>
      <c r="BC246" s="137">
        <f>IF(AND($B244=" ",$K246=BC$3),$O246,0)</f>
        <v>0</v>
      </c>
      <c r="BD246" s="133">
        <f>IF(AND($B244=" ",$K246=BD$3),$O246,0)</f>
        <v>0</v>
      </c>
      <c r="BE246" s="134">
        <f>IF(AND($B244=" ",$K246=BE$3),$O246,0)</f>
        <v>0</v>
      </c>
      <c r="BF246" s="132">
        <f>IF($K246=BF$3,IF($C246="X",0,$O246),0)</f>
        <v>0</v>
      </c>
      <c r="BG246" s="281">
        <f>IF($K246=BG$3,IF($C246="X",0,$O246),0)</f>
        <v>0</v>
      </c>
      <c r="BH246" s="133">
        <f>IF($K246=BH$3,IF($C246="X",0,$O246),0)</f>
        <v>0</v>
      </c>
      <c r="BI246" s="133">
        <f>IF($K246=BI$3,IF($C246="X",0,$O246),0)</f>
        <v>0</v>
      </c>
      <c r="BJ246" s="133">
        <f>IF($K246=BJ$3,IF($C246="X",0,$O246),0)</f>
        <v>0</v>
      </c>
      <c r="BK246" s="133">
        <f>IF($K246=BK$3,IF($C246="X",0,$O246),0)</f>
        <v>0</v>
      </c>
      <c r="BL246" s="133">
        <f>IF($K246=BL$3,IF($C246="X",0,$O246),0)</f>
        <v>0</v>
      </c>
      <c r="BM246" s="135">
        <f>IF($K246=BM$3,IF($C246="X",0,$O246),0)</f>
        <v>0</v>
      </c>
      <c r="BN246" s="136">
        <f>IF($K246=BN$3,IF($C246="X",0,$O246),0)</f>
        <v>0</v>
      </c>
      <c r="BO246" s="136">
        <f>IF($K246=BO$3,IF($C246="X",0,$O246),0)</f>
        <v>0</v>
      </c>
      <c r="BP246" s="136">
        <f>IF($K246=BP$3,IF($C246="X",0,$O246),0)</f>
        <v>0</v>
      </c>
      <c r="BQ246" s="137">
        <f>IF($K246=BQ$3,IF($C246="X",0,$O246),0)</f>
        <v>0</v>
      </c>
      <c r="BR246" s="134">
        <f>IF($K246=BR$3,IF($C246="X",0,$O246),0)</f>
        <v>0</v>
      </c>
      <c r="BS246" s="282"/>
      <c r="BT246" s="283"/>
      <c r="BU246" s="140"/>
      <c r="BV246" s="283"/>
      <c r="BW246" s="140"/>
      <c r="BX246" s="140"/>
      <c r="BY246" s="140"/>
      <c r="BZ246" s="283"/>
      <c r="CA246" s="140"/>
      <c r="CB246" s="140"/>
      <c r="CC246" s="140"/>
      <c r="CD246" s="141"/>
      <c r="CE246" s="142"/>
      <c r="CF246" s="284">
        <f>IF(CF$3=$K246,IF($C246="W",1,IF($C246="1/2W",0.5,0)),0)</f>
        <v>0</v>
      </c>
      <c r="CG246" s="285">
        <f>IF(CF$3=$K246,IF($C246="L",1,IF($C246="1/2L",0.5,0)),0)</f>
        <v>0</v>
      </c>
      <c r="CH246" s="285">
        <f>IF(CH$3=$K246,IF($C246="W",1,IF($C246="1/2W",0.5,0)),0)</f>
        <v>0</v>
      </c>
      <c r="CI246" s="285">
        <f>IF(CH$3=$K246,IF($C246="L",1,IF($C246="1/2L",0.5,0)),0)</f>
        <v>0</v>
      </c>
      <c r="CJ246" s="285">
        <f>IF(CJ$3=$K246,IF($C246="W",1,IF($C246="1/2W",0.5,0)),0)</f>
        <v>0</v>
      </c>
      <c r="CK246" s="285">
        <f>IF(CJ$3=$K246,IF($C246="L",1,IF($C246="1/2L",0.5,0)),0)</f>
        <v>0</v>
      </c>
      <c r="CL246" s="285">
        <f>IF(CL$3=$K246,IF($C246="W",1,IF($C246="1/2W",0.5,0)),0)</f>
        <v>0</v>
      </c>
      <c r="CM246" s="285">
        <f>IF(CL$3=$K246,IF($C246="L",1,IF($C246="1/2L",0.5,0)),0)</f>
        <v>0</v>
      </c>
      <c r="CN246" s="285">
        <f>IF(CN$3=$K246,IF($C246="W",1,IF($C246="1/2W",0.5,0)),0)</f>
        <v>0</v>
      </c>
      <c r="CO246" s="285">
        <f>IF(CN$3=$K246,IF($C246="L",1,IF($C246="1/2L",0.5,0)),0)</f>
        <v>0</v>
      </c>
      <c r="CP246" s="285">
        <f>IF(CP$3=$K246,IF($C246="W",1,IF($C246="1/2W",0.5,0)),0)</f>
        <v>0</v>
      </c>
      <c r="CQ246" s="285">
        <f>IF(CP$3=$K246,IF($C246="L",1,IF($C246="1/2L",0.5,0)),0)</f>
        <v>0</v>
      </c>
      <c r="CR246" s="285">
        <f>IF(CR$3=$K246,IF($C246="W",1,IF($C246="1/2W",0.5,0)),0)</f>
        <v>0</v>
      </c>
      <c r="CS246" s="285">
        <f>IF(CR$3=$K246,IF($C246="L",1,IF($C246="1/2L",0.5,0)),0)</f>
        <v>0</v>
      </c>
      <c r="CT246" s="145">
        <f>IF(CT$3=$K246,IF($C246="W",1,IF($C246="1/2W",0.5,0)),0)</f>
        <v>0</v>
      </c>
      <c r="CU246" s="146">
        <f>IF(CT$3=$K246,IF($C246="L",1,IF($C246="1/2L",0.5,0)),0)</f>
        <v>0</v>
      </c>
      <c r="CV246" s="146">
        <f>IF(CV$3=$K246,IF($C246="W",1,IF($C246="1/2W",0.5,0)),0)</f>
        <v>0</v>
      </c>
      <c r="CW246" s="146">
        <f>IF(CV$3=$K246,IF($C246="L",1,IF($C246="1/2L",0.5,0)),0)</f>
        <v>0</v>
      </c>
      <c r="CX246" s="146">
        <f>IF(CX$3=$K246,IF($C246="W",1,IF($C246="1/2W",0.5,0)),0)</f>
        <v>0</v>
      </c>
      <c r="CY246" s="146">
        <f>IF(CX$3=$K246,IF($C246="L",1,IF($C246="1/2L",0.5,0)),0)</f>
        <v>0</v>
      </c>
      <c r="CZ246" s="146">
        <f>IF(CZ$3=$K246,IF($C246="W",1,IF($C246="1/2W",0.5,0)),0)</f>
        <v>0</v>
      </c>
      <c r="DA246" s="146">
        <f>IF(CZ$3=$K246,IF($C246="L",1,IF($C246="1/2L",0.5,0)),0)</f>
        <v>0</v>
      </c>
      <c r="DB246" s="146">
        <f>IF(DB$3=$K246,IF($C246="W",1,IF($C246="1/2W",0.5,0)),0)</f>
        <v>0</v>
      </c>
      <c r="DC246" s="146">
        <f>IF(DB$3=$K246,IF($C246="L",1,IF($C246="1/2L",0.5,0)),0)</f>
        <v>0</v>
      </c>
      <c r="DD246" s="146">
        <f>IF(DD$3=$K246,IF($C246="W",1,IF($C246="1/2W",0.5,0)),0)</f>
        <v>0</v>
      </c>
      <c r="DE246" s="147">
        <f>IF(DD$3=$K246,IF($C246="L",1,IF($C246="1/2L",0.5,0)),0)</f>
        <v>0</v>
      </c>
      <c r="DF246" s="143">
        <f>IF(AND(L246&lt;DF$3,$C246="W"),1+DF245,DF245)</f>
        <v>9</v>
      </c>
      <c r="DG246" s="133">
        <f>IF(DF246&gt;DF245,L246+DG245,DG245)</f>
        <v>11.898</v>
      </c>
      <c r="DH246" s="146">
        <f>IF(AND(L246&gt;DH$3,$C246="W"),1+DH245,0+DH245)</f>
        <v>6</v>
      </c>
      <c r="DI246" s="133">
        <f>IF(DH246&gt;DH245,L246+DI245,DI245)</f>
        <v>30.83</v>
      </c>
      <c r="DJ246" t="s" s="304">
        <f>IF($D244="","",$D244)</f>
        <v>229</v>
      </c>
      <c r="DK246" s="286"/>
    </row>
    <row r="247" ht="14.55" customHeight="1">
      <c r="A247" s="171">
        <f>$A244+1</f>
        <v>82</v>
      </c>
      <c r="B247" t="s" s="172">
        <f>IF(AND(_xlfn.XLOOKUP(H247,H$97:H103,G$97:G103,0)=G247,_xlfn.XLOOKUP("TempoBet",K247:K249,L247:L249,0)&gt;0),"X",IF(OR(C247="W",C248="W",C249="W",C247="1/2W",C248="1/2W",C249="1/2W",C247="1/2L",C248="1/2L",C249="1/2L"),"OK",IF(OR(C247="L",C248="L",C249="L"),"LOSS",IF(OR(C247="X",C248="X",C249="X"),"Anulado"," "))))</f>
        <v>50</v>
      </c>
      <c r="C247" t="s" s="173">
        <v>51</v>
      </c>
      <c r="D247" t="s" s="305">
        <f>IF(G247="","",$D244)</f>
        <v>229</v>
      </c>
      <c r="E247" t="s" s="175">
        <f>IF(G247=""," ","– "&amp;COUNTIF(D$4:D249,$D247))</f>
        <v>121</v>
      </c>
      <c r="F247" t="s" s="176"/>
      <c r="G247" s="177">
        <v>44946.25</v>
      </c>
      <c r="H247" t="s" s="178">
        <v>241</v>
      </c>
      <c r="I247" t="s" s="179">
        <v>87</v>
      </c>
      <c r="J247" s="180"/>
      <c r="K247" t="s" s="181">
        <v>37</v>
      </c>
      <c r="L247" s="182">
        <v>2.375</v>
      </c>
      <c r="M247" s="183">
        <v>12.73</v>
      </c>
      <c r="N247" s="184">
        <v>0</v>
      </c>
      <c r="O247" s="185">
        <f>IF(OR(AE247="",AE248=""),"",ROUND(IF(L249&gt;0,IF(M247&gt;0,M247,IF(M248&gt;0,ROUND((M248*AE247)/AE248,IF(N247=0,2,IF(N247=0.1,1,0))),ROUND((M249*AE247)/AE249,IF(N247=0,2,IF(N247=0.1,1,0))))),IF(M247&gt;0,M247,ROUND((M248*AE247)/AE248,IF(N247=0,2,IF(N247=0.1,1,0))))),2))</f>
        <v>12.73</v>
      </c>
      <c r="P247" s="186">
        <f>IF(OR(L247="",O247=""),"",IF($C247="1/2W",O247/2+O247/2*L247,IF($C247="1/2L",O247/2,IF(I247="Lay",(O247*(L247/(L247-1))-O247)*(1-_xlfn.XLOOKUP(K247,'Janeiro 2023 - Valor Real'!A3:A15,'Janeiro 2023 - Valor Real'!C3:C15,0))+O247,(O247*L247-O247)*(1-_xlfn.XLOOKUP(K247,'Janeiro 2023 - Valor Real'!A3:A15,'Janeiro 2023 - Valor Real'!C3:C15,0))+O247))))</f>
        <v>30.23375</v>
      </c>
      <c r="Q247" s="187">
        <f>IF(K247="","",IF(_xlfn.XLOOKUP(K247,K$97:K103,DJ$97:DJ103,0,,-1)=DJ247,_xlfn.XLOOKUP(K247,K$97:K103,Q$97:Q103,1,,-1)+1,1))</f>
        <v>1</v>
      </c>
      <c r="R247" s="188">
        <f>IF(K247="","",_xlfn.XLOOKUP(K247,K$97:K103,R$97:R103,0,,-1)+IF($C247=" ",1,0))</f>
        <v>0</v>
      </c>
      <c r="S247" s="189">
        <f>IF($B247="Anulado",0,ROUND(IF(OR($B247="LOSS",$B247="OK"),IF(OR($C247="W",$C247="1/2W",$C247="1/2L"),P247-O247,IF($C247="L",-O247,0))+IF(OR($C248="W",$C248="1/2W",$C248="1/2L"),P248-O248,IF($C248="L",-O248,0))+IF(OR($C249="W",$C249="1/2W",$C249="1/2L"),P249-O249,IF($C249="L",-O249,0)),IF(AND(OR($C247="W",$C247="1/2W",$C247="1/2L"),C248="W"),P247+P248-SUM(O247:O249)+_xlfn.XLOOKUP("X",C247:C249,O247:O249,0),IF(AND(C247=TRUE,C249="W"),P247+P249-SUM(O247:O249),IF(AND(C248="W",C249="W"),P248+P249-SUM(O247:O249)+_xlfn.XLOOKUP("X",C247:C249,O247:O249,0),IF(L249&gt;0,IF(OR($C247="W",$C247="1/2W",$C247="1/2L"),P247-SUM(O247:O249)+_xlfn.XLOOKUP("X",C247:C249,O247:O249,0),IF(OR($C247="W",$C247="1/2W",$C247="1/2L"),P248-SUM(O247:O249)+_xlfn.XLOOKUP("X",C247:C249,O247:O249,0),IF(OR($C247="W",$C247="1/2W",$C247="1/2L"),P249-SUM(O247:O249)+_xlfn.XLOOKUP("X",C247:C249,O247:O249,0),IF(SUM(P247:P249)/3-SUM(O247:O249)+_xlfn.XLOOKUP("X",C247:C249,O247:O249,0)&gt;0,SUM(P247:P249)/3-SUM(O247:O249)+_xlfn.XLOOKUP("X",C247:C249,O247:O249,0),LARGE(P247:P249,1)-SUM(O247:O249))))),IF(OR($C247="W",$C247="1/2W",$C247="1/2L"),P247-SUM(O247:O248)+_xlfn.XLOOKUP("X",C247:C249,O247:O249,0),IF(OR($C247="W",$C247="1/2W",$C247="1/2L"),P248-SUM(O247:O248)+_xlfn.XLOOKUP("X",C247:C249,O247:O249,0),SUM(P247:P248)/2-SUM(O247:O248)+_xlfn.XLOOKUP("X",C247:C249,O247:O249,0)))))))),2))</f>
        <v>1.41</v>
      </c>
      <c r="T247" s="190">
        <f>IF(S247=0,0,S247/SUM(O247:O249))</f>
        <v>0.0489243580846634</v>
      </c>
      <c r="U247" s="191">
        <f>IF($D247=$D244,IF(OR($B247="LOSS",$B247="OK",$B247="Anulada"),S247,0)+U244,IF(OR($B247="LOSS",$B247="OK",$B247="Anulada"),S247,0))</f>
        <v>7.39</v>
      </c>
      <c r="V247" s="191">
        <f>IF($D247="",0,IF($D247=$D244,IF($B247=" ",IF(I249="",IF(OR(AND(I247="DNB1",I248="DNB2"),AND(OR(I247="DNB1",I247="DNB2"),J248=0),AND(OR(I248="DNB1",I248="DNB2"),J247=0),AND(I247="DNB2",I248="DNB1"),AND(IF(J247=0,(J247+1)/ROUND(J247+1,0),J247/ROUND(J247,0))=1,IF(J248=0,(J248+1)/ROUND(IF(J248="",0,J248)+1,0),IF(J248="",0,J248)/ROUND(IF(J248="",1,J248),0))=1,OR(J247&lt;&gt;""),J248&lt;&gt;"")),0,IF(S247&lt;0,IF(I249="",SMALL(P247:P248,1)-SUM(O247:O248),0),SMALL(P247:P248,1)-SUM(O247:O248))),IF(S247&lt;0,IF(I249="",SMALL(P247:P249,1)-SUM(O247:O249),0),LARGE(P247:P249,1)-SUM(O247:O249))),S247)+V244,IF(I249="",IF(OR(AND(I247="DNB1",I248="DNB2"),AND(OR(I247="DNB1",I247="DNB2"),J248=0),AND(OR(I248="DNB1",I248="DNB2"),J247=0),AND(I247="DNB2",I248="DNB1"),AND(IF(J247=0,(J247+1)/ROUND(J247+1,0),J247/ROUND(J247,0))=1,IF(J248=0,(IF(J248="",0,J248)+1)/ROUND(IF(J248="",0,J248)+1,0),IF(J248="",0,J248)/ROUND(IF(J248="",0,J248)+1,0))=1,OR(J247&lt;&gt;""),J248&lt;&gt;"")),0,IF(S247&lt;0,IF(I249="",SMALL(P247:P248,1)-SUM(O247:O248),0),SMALL(P247:P249,1)-SUM(O247:O249))),IF(S247&lt;0,IF(I249="",SMALL(P247:P249,1)-SUM(O247:O249),0),LARGE(P247:P249,1)-SUM(O247:O249)))))</f>
        <v>7.386</v>
      </c>
      <c r="W247" s="191">
        <f>IF($D247=$D244,IF(S247&lt;0,IF(I249="",S247,0),S247)+W244,S247)</f>
        <v>7.39</v>
      </c>
      <c r="X247" t="s" s="192">
        <f>IF(OR(SUM(R247:R249)=0,V247=W247),ROUND(IF(W247=0,0,W247/Y247)*100,2)&amp;"%",ROUND(IF(V247=0,0,V247/Y247)*100,2)&amp;"% a "&amp;ROUND(IF(W247=0,0,W247/Y247)*100,2)&amp;"%")</f>
        <v>242</v>
      </c>
      <c r="Y247" s="193">
        <f>IF($D247=$D244,Y244+SUM(O247:O249),SUM(O247:O249))</f>
        <v>271.06</v>
      </c>
      <c r="Z247" s="191">
        <f>IF($B247=" ",SUM(O247:O249),0)+Z244</f>
        <v>0</v>
      </c>
      <c r="AA247" s="191">
        <f>IF(G247="","",IF($B247="Anulado",LARGE(P247:P249,1)-SUM(O247:O249)+AA244,AA244))</f>
        <v>16.5099</v>
      </c>
      <c r="AB247" s="191">
        <f>IF($D247="","",AB244+S247)</f>
        <v>209.56</v>
      </c>
      <c r="AC247" s="194">
        <f>IF($D247="","",IF($B247=" ",IF(DAY(G247)=DAY(TODAY()),1+AC244,0+AC244),0+AC244))</f>
        <v>0</v>
      </c>
      <c r="AD247" s="195">
        <f>(((L248/(L248-1)-1)*(1-_xlfn.XLOOKUP(K248,'Janeiro 2023 - Valor Real'!A3:A15,'Janeiro 2023 - Valor Real'!C3:C15,0))+1))/(((L247-1)*(1-_xlfn.XLOOKUP(K247,'Janeiro 2023 - Valor Real'!A3:A15,'Janeiro 2023 - Valor Real'!C3:C15,0))+1)+((L248/(L248-1)-1)*(1-_xlfn.XLOOKUP(K248,'Janeiro 2023 - Valor Real'!A3:A15,'Janeiro 2023 - Valor Real'!C3:C15,0))+1))</f>
        <v>0.456482045039562</v>
      </c>
      <c r="AE247" s="196">
        <f>IF(L247="","",IF(L249&gt;0,(SUM(((L247-1)*(1-_xlfn.XLOOKUP(K247,'Janeiro 2023 - Valor Real'!A3:A15,'Janeiro 2023 - Valor Real'!C3:C15,0))+1),((L248-1)*(1-_xlfn.XLOOKUP(K248,'Janeiro 2023 - Valor Real'!A3:A15,'Janeiro 2023 - Valor Real'!C3:C15,0))+1),((L249-1)*(1-_xlfn.XLOOKUP(K249,'Janeiro 2023 - Valor Real'!A3:A15,'Janeiro 2023 - Valor Real'!C3:C15,0))+1))/((L247-1)*(1-_xlfn.XLOOKUP(K247,'Janeiro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Real'!C3:C15,0))+1))/((L247-1)*(1-_xlfn.XLOOKUP(K247,'Janeiro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Real'!C3:C15,0))+1))/((L248-1)*(1-_xlfn.XLOOKUP(K248,'Janeiro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Real'!C3:C15,0))+1))/((L249-1)*(1-_xlfn.XLOOKUP(K249,'Janeiro 2023 - Valor Real'!A3:A15,'Janeiro 2023 - Valor Real'!C3:C15,0))+1)),IF(I247="Lay",IF(I248="Lay",((L248/(L248-1)-1)*(1-_xlfn.XLOOKUP(K248,'Janeiro 2023 - Valor Real'!A3:A15,'Janeiro 2023 - Valor Real'!C3:C15,0))+1)/(((L248/(L248-1)-1)*(1-_xlfn.XLOOKUP(K248,'Janeiro 2023 - Valor Real'!A3:A15,'Janeiro 2023 - Valor Real'!C3:C15,0))+1)+((L247/(L247-1)-1)*(1-_xlfn.XLOOKUP(K247,'Janeiro 2023 - Valor Real'!A3:A15,'Janeiro 2023 - Valor Real'!C3:C15,0))+1)),((L248-1)*(1-_xlfn.XLOOKUP(K248,'Janeiro 2023 - Valor Real'!A3:A15,'Janeiro 2023 - Valor Real'!C3:C15,0))+1)/(((L248-1)*(1-_xlfn.XLOOKUP(K248,'Janeiro 2023 - Valor Real'!A3:A15,'Janeiro 2023 - Valor Real'!C3:C15,0))+1)+((L247/(L247-1)-1)*(1-_xlfn.XLOOKUP(K247,'Janeiro 2023 - Valor Real'!A3:A15,'Janeiro 2023 - Valor Real'!C3:C15,0))+1))),IF(I248="Lay",(((L248/(L248-1)-1)*(1-_xlfn.XLOOKUP(K248,'Janeiro 2023 - Valor Real'!A3:A15,'Janeiro 2023 - Valor Real'!C3:C15,0))+1))/(((L247-1)*(1-_xlfn.XLOOKUP(K247,'Janeiro 2023 - Valor Real'!A3:A15,'Janeiro 2023 - Valor Real'!C3:C15,0))+1)+((L248/(L248-1)-1)*(1-_xlfn.XLOOKUP(K248,'Janeiro 2023 - Valor Real'!A3:A15,'Janeiro 2023 - Valor Real'!C3:C15,0))+1)),((L248-1)*(1-_xlfn.XLOOKUP(K248,'Janeiro 2023 - Valor Real'!A3:A15,'Janeiro 2023 - Valor Real'!C3:C15,0))+1)/(((L248-1)*(1-_xlfn.XLOOKUP(K248,'Janeiro 2023 - Valor Real'!A3:A15,'Janeiro 2023 - Valor Real'!C3:C15,0))+1)+((L247-1)*(1-_xlfn.XLOOKUP(K247,'Janeiro 2023 - Valor Real'!A3:A15,'Janeiro 2023 - Valor Real'!C3:C15,0))+1))))))</f>
        <v>0.441688803215872</v>
      </c>
      <c r="AF247" s="197">
        <f>IF($K247=AF$3,ROUND(IF(OR($C247="W",$C247="1/2W",$C247="1/2L"),$P247-$O247,IF($C247="X",0,-$O247)),2),0)</f>
        <v>-12.73</v>
      </c>
      <c r="AG247" s="198">
        <f>IF($K247=AG$3,ROUND(IF(OR($C247="W",$C247="1/2W",$C247="1/2L"),$P247-$O247,IF($C247="X",0,-$O247)),2),0)</f>
        <v>0</v>
      </c>
      <c r="AH247" s="198">
        <f>IF($K247=AH$3,ROUND(IF(OR($C247="W",$C247="1/2W",$C247="1/2L"),$P247-$O247,IF($C247="X",0,-$O247)),2),0)</f>
        <v>0</v>
      </c>
      <c r="AI247" s="198">
        <f>IF($K247=AI$3,ROUND(IF(OR($C247="W",$C247="1/2W",$C247="1/2L"),$P247-$O247,IF($C247="X",0,-$O247)),2),0)</f>
        <v>0</v>
      </c>
      <c r="AJ247" s="198">
        <f>IF($K247=AJ$3,ROUND(IF(OR($C247="W",$C247="1/2W",$C247="1/2L"),$P247-$O247,IF($C247="X",0,-$O247)),2),0)</f>
        <v>0</v>
      </c>
      <c r="AK247" s="198">
        <f>IF($K247=AK$3,ROUND(IF(OR($C247="W",$C247="1/2W",$C247="1/2L"),$P247-$O247,IF($C247="X",0,-$O247)),2),0)</f>
        <v>0</v>
      </c>
      <c r="AL247" s="198">
        <f>IF($K247=AL$3,ROUND(IF(OR($C247="W",$C247="1/2W",$C247="1/2L"),$P247-$O247,IF($C247="X",0,-$O247)),2),0)</f>
        <v>0</v>
      </c>
      <c r="AM247" s="198">
        <f>IF($K247=AM$3,ROUND(IF(OR($C247="W",$C247="1/2W",$C247="1/2L"),$P247-$O247,IF($C247="X",0,-$O247)),2),0)</f>
        <v>0</v>
      </c>
      <c r="AN247" s="198">
        <f>IF($K247=AN$3,ROUND(IF(OR($C247="W",$C247="1/2W",$C247="1/2L"),$P247-$O247,IF($C247="X",0,-$O247)),2),0)</f>
        <v>0</v>
      </c>
      <c r="AO247" s="198">
        <f>IF($K247=AO$3,ROUND(IF(OR($C247="W",$C247="1/2W",$C247="1/2L"),$P247-$O247,IF($C247="X",0,-$O247)),2),0)</f>
        <v>0</v>
      </c>
      <c r="AP247" s="198">
        <f>IF($K247=AP$3,ROUND(IF(OR($C247="W",$C247="1/2W",$C247="1/2L"),$P247-$O247,IF($C247="X",0,-$O247)),2),0)</f>
        <v>0</v>
      </c>
      <c r="AQ247" s="198">
        <f>IF($K247=AQ$3,ROUND(IF(OR($C247="W",$C247="1/2W",$C247="1/2L"),$P247-$O247,IF($C247="X",0,-$O247)),2),0)</f>
        <v>0</v>
      </c>
      <c r="AR247" s="199">
        <f>IF($K247=AR$3,ROUND(IF(OR($C247="W",$C247="1/2W",$C247="1/2L"),$P247-$O247,IF($C247="X",0,-$O247)),2),0)</f>
        <v>0</v>
      </c>
      <c r="AS247" s="197">
        <f>IF(AND($B247=" ",$K247=AS$3),$O247,0)</f>
        <v>0</v>
      </c>
      <c r="AT247" s="198">
        <f>IF(AND($B247=" ",$K247=AT$3),$O247,0)</f>
        <v>0</v>
      </c>
      <c r="AU247" s="198">
        <f>IF(AND($B247=" ",$K247=AU$3),$O247,0)</f>
        <v>0</v>
      </c>
      <c r="AV247" s="198">
        <f>IF(AND($B247=" ",$K247=AV$3),$O247,0)</f>
        <v>0</v>
      </c>
      <c r="AW247" s="198">
        <f>IF(AND($B247=" ",$K247=AW$3),$O247,0)</f>
        <v>0</v>
      </c>
      <c r="AX247" s="198">
        <f>IF(AND($B247=" ",$K247=AX$3),$O247,0)</f>
        <v>0</v>
      </c>
      <c r="AY247" s="200">
        <f>IF(AND($B247=" ",$K247=AY$3),$O247,0)</f>
        <v>0</v>
      </c>
      <c r="AZ247" s="201">
        <f>IF(AND($B247=" ",$K247=AZ$3),$O247,0)</f>
        <v>0</v>
      </c>
      <c r="BA247" s="201">
        <f>IF(AND($B247=" ",$K247=BA$3),$O247,0)</f>
        <v>0</v>
      </c>
      <c r="BB247" s="201">
        <f>IF(AND($B247=" ",$K247=BB$3),$O247,0)</f>
        <v>0</v>
      </c>
      <c r="BC247" s="202">
        <f>IF(AND($B247=" ",$K247=BC$3),$O247,0)</f>
        <v>0</v>
      </c>
      <c r="BD247" s="198">
        <f>IF(AND($B247=" ",$K247=BD$3),$O247,0)</f>
        <v>0</v>
      </c>
      <c r="BE247" s="199">
        <f>IF(AND($B247=" ",$K247=BE$3),$O247,0)</f>
        <v>0</v>
      </c>
      <c r="BF247" s="203">
        <f>IF($K247=BF$3,IF($C247="X",0,$O247),0)</f>
        <v>12.73</v>
      </c>
      <c r="BG247" s="198">
        <f>IF($K247=BG$3,IF($C247="X",0,$O247),0)</f>
        <v>0</v>
      </c>
      <c r="BH247" s="198">
        <f>IF($K247=BH$3,IF($C247="X",0,$O247),0)</f>
        <v>0</v>
      </c>
      <c r="BI247" s="198">
        <f>IF($K247=BI$3,IF($C247="X",0,$O247),0)</f>
        <v>0</v>
      </c>
      <c r="BJ247" s="198">
        <f>IF($K247=BJ$3,IF($C247="X",0,$O247),0)</f>
        <v>0</v>
      </c>
      <c r="BK247" s="198">
        <f>IF($K247=BK$3,IF($C247="X",0,$O247),0)</f>
        <v>0</v>
      </c>
      <c r="BL247" s="198">
        <f>IF($K247=BL$3,IF($C247="X",0,$O247),0)</f>
        <v>0</v>
      </c>
      <c r="BM247" s="200">
        <f>IF($K247=BM$3,IF($C247="X",0,$O247),0)</f>
        <v>0</v>
      </c>
      <c r="BN247" s="201">
        <f>IF($K247=BN$3,IF($C247="X",0,$O247),0)</f>
        <v>0</v>
      </c>
      <c r="BO247" s="201">
        <f>IF($K247=BO$3,IF($C247="X",0,$O247),0)</f>
        <v>0</v>
      </c>
      <c r="BP247" s="201">
        <f>IF($K247=BP$3,IF($C247="X",0,$O247),0)</f>
        <v>0</v>
      </c>
      <c r="BQ247" s="202">
        <f>IF($K247=BQ$3,IF($C247="X",0,$O247),0)</f>
        <v>0</v>
      </c>
      <c r="BR247" s="199">
        <f>IF($K247=BR$3,IF($C247="X",0,$O247),0)</f>
        <v>0</v>
      </c>
      <c r="BS247" s="204">
        <f>IF($B247="LOSS",IF(AND($K247=BS$3,$C247="L"),-$O247,0)+IF(AND($K248=BS$3,$C248="L"),-$O248,0)+IF(AND($K249=BS$3,$C249="L"),-$O249,0),IF(OR(AND($K247=BS$3,OR($C247="W",$C247="1/2W")),AND($K248=BS$3,OR($C248="W",$C248="1/2W")),AND($K249=BS$3,OR($C249="W",$C249="1/2W"))),$S247,0))</f>
        <v>0</v>
      </c>
      <c r="BT247" s="201">
        <f>IF($B247="LOSS",IF(AND($K247=BT$3,$C247="L"),-$O247,0)+IF(AND($K248=BT$3,$C248="L"),-$O248,0)+IF(AND($K248=BT$3,$C249="L"),-$O249,0),IF(OR(AND($K248=BT$3,OR($C247="W",$C247="1/2W")),AND($K248=BT$3,OR($C248="W",$C248="1/2W")),AND($K248=BT$3,OR($C249="W",$C249="1/2W"))),$S247,0))</f>
        <v>0</v>
      </c>
      <c r="BU247" s="201">
        <f>IF($B247="LOSS",IF(AND($K247=BU$3,$C247="L"),-$O247,0)+IF(AND($K248=BU$3,$C248="L"),-$O248,0)+IF(AND($K248=BU$3,$C249="L"),-$O249,0),IF(OR(AND($K248=BU$3,OR($C247="W",$C247="1/2W")),AND($K248=BU$3,OR($C248="W",$C248="1/2W")),AND($K248=BU$3,OR($C249="W",$C249="1/2W"))),$S247,0))</f>
        <v>1.41</v>
      </c>
      <c r="BV247" s="201">
        <f>IF($B247="LOSS",IF(AND($K247=BV$3,$C247="L"),-$O247,0)+IF(AND($K248=BV$3,$C248="L"),-$O248,0)+IF(AND($K249=BV$3,$C249="L"),-$O249,0),IF(OR(AND($K247=BV$3,OR($C247="W",$C247="1/2W")),AND($K248=BV$3,OR($C248="W",$C248="1/2W")),AND($K249=BV$3,OR($C249="W",$C249="1/2W"))),$S247,0))</f>
        <v>0</v>
      </c>
      <c r="BW247" s="201">
        <f>IF($B247="LOSS",IF(AND($K247=BW$3,$C247="L"),-$O247,0)+IF(AND($K248=BW$3,$C248="L"),-$O248,0)+IF(AND($K249=BW$3,$C249="L"),-$O249,0),IF(OR(AND($K247=BW$3,OR($C247="W",$C247="1/2W")),AND($K248=BW$3,OR($C248="W",$C248="1/2W")),AND($K249=BW$3,OR($C249="W",$C249="1/2W"))),$S247,0))</f>
        <v>0</v>
      </c>
      <c r="BX247" s="201">
        <f>IF($B247="LOSS",IF(AND($K247=BX$3,$C247="L"),-$O247,0)+IF(AND($K248=BX$3,$C248="L"),-$O248,0)+IF(AND($K249=BX$3,$C249="L"),-$O249,0),IF(OR(AND($K247=BX$3,OR($C247="W",$C247="1/2W")),AND($K248=BX$3,OR($C248="W",$C248="1/2W")),AND($K249=BX$3,OR($C249="W",$C249="1/2W"))),$S247,0))</f>
        <v>0</v>
      </c>
      <c r="BY247" s="201">
        <f>IF($B247="LOSS",IF(AND($K247=BY$3,$C247="L"),-$O247,0)+IF(AND($K248=BY$3,$C248="L"),-$O248,0)+IF(AND($K249=BY$3,$C249="L"),-$O249,0),IF(OR(AND($K247=BY$3,OR($C247="W",$C247="1/2W")),AND($K248=BY$3,OR($C248="W",$C248="1/2W")),AND($K249=BY$3,OR($C249="W",$C249="1/2W"))),$S247,0))</f>
        <v>0</v>
      </c>
      <c r="BZ247" s="205">
        <f>IF($B247="LOSS",IF(AND($K247=BZ$3,$C247="L"),-$O247,0)+IF(AND($K248=BZ$3,$C248="L"),-$O248,0)+IF(AND($K249=BZ$3,$C249="L"),-$O249,0),IF(OR(AND($K247=BZ$3,OR($C247="W",$C247="1/2W")),AND($K248=BZ$3,OR($C248="W",$C248="1/2W")),AND($K249=BZ$3,OR($C249="W",$C249="1/2W"))),$S247,0))</f>
        <v>0</v>
      </c>
      <c r="CA247" s="205">
        <f>IF($B247="LOSS",IF(AND($K247=CA$3,$C247="L"),-$O247,0)+IF(AND($K248=CA$3,$C248="L"),-$O248,0)+IF(AND($K249=CA$3,$C249="L"),-$O249,0),IF(OR(AND($K247=CA$3,OR($C247="W",$C247="1/2W")),AND($K248=CA$3,OR($C248="W",$C248="1/2W")),AND($K249=CA$3,OR($C249="W",$C249="1/2W"))),$S247,0))</f>
        <v>0</v>
      </c>
      <c r="CB247" s="205">
        <f>IF($B247="LOSS",IF(AND($K247=CB$3,$C247="L"),-$O247,0)+IF(AND($K248=CB$3,$C248="L"),-$O248,0)+IF(AND($K249=CB$3,$C249="L"),-$O249,0),IF(OR(AND($K247=CB$3,OR($C247="W",$C247="1/2W")),AND($K248=CB$3,OR($C248="W",$C248="1/2W")),AND($K249=CB$3,OR($C249="W",$C249="1/2W"))),$S247,0))</f>
        <v>0</v>
      </c>
      <c r="CC247" s="205">
        <f>IF($B247="LOSS",IF(AND($K247=CC$3,$C247="L"),-$O247,0)+IF(AND($K248=CC$3,$C248="L"),-$O248,0)+IF(AND($K249=CC$3,$C249="L"),-$O249,0),IF(OR(AND($K247=CC$3,OR($C247="W",$C247="1/2W")),AND($K248=CC$3,OR($C248="W",$C248="1/2W")),AND($K249=CC$3,OR($C249="W",$C249="1/2W"))),$S247,0))</f>
        <v>0</v>
      </c>
      <c r="CD247" s="202">
        <f>IF($B247="LOSS",IF(AND($K247=CD$3,$C247="L"),-$O247,0)+IF(AND($K248=CD$3,$C248="L"),-$O248,0)+IF(AND($K249=CD$3,$C249="L"),-$O249,0),IF(OR(AND($K247=CD$3,OR($C247="W",$C247="1/2W")),AND($K248=CD$3,OR($C248="W",$C248="1/2W")),AND($K249=CD$3,OR($C249="W",$C249="1/2W"))),$S247,0))</f>
        <v>0</v>
      </c>
      <c r="CE247" s="199">
        <f>IF($B247="LOSS",IF(AND($K247=CE$3,$C247="L"),-$O247,0)+IF(AND($K248=CE$3,$C248="L"),-$O248,0)+IF(AND($K249=CE$3,$C249="L"),-$O249,0),IF(OR(AND($K247=CE$3,OR($C247="W",$C247="1/2W")),AND($K248=CE$3,OR($C248="W",$C248="1/2W")),AND($K249=CE$3,OR($C249="W",$C249="1/2W"))),$S247,0))</f>
        <v>0</v>
      </c>
      <c r="CF247" s="206">
        <f>IF(CF$3=$K247,IF($C247="W",1,IF($C247="1/2W",0.5,0)),0)</f>
        <v>0</v>
      </c>
      <c r="CG247" s="207">
        <f>IF(CF$3=$K247,IF($C247="L",1,IF($C247="1/2L",0.5,0)),0)</f>
        <v>1</v>
      </c>
      <c r="CH247" s="207">
        <f>IF(CH$3=$K247,IF($C247="W",1,IF($C247="1/2W",0.5,0)),0)</f>
        <v>0</v>
      </c>
      <c r="CI247" s="207">
        <f>IF(CH$3=$K247,IF($C247="L",1,IF($C247="1/2L",0.5,0)),0)</f>
        <v>0</v>
      </c>
      <c r="CJ247" s="207">
        <f>IF(CJ$3=$K247,IF($C247="W",1,IF($C247="1/2W",0.5,0)),0)</f>
        <v>0</v>
      </c>
      <c r="CK247" s="207">
        <f>IF(CJ$3=$K247,IF($C247="L",1,IF($C247="1/2L",0.5,0)),0)</f>
        <v>0</v>
      </c>
      <c r="CL247" s="207">
        <f>IF(CL$3=$K247,IF($C247="W",1,IF($C247="1/2W",0.5,0)),0)</f>
        <v>0</v>
      </c>
      <c r="CM247" s="207">
        <f>IF(CL$3=$K247,IF($C247="L",1,IF($C247="1/2L",0.5,0)),0)</f>
        <v>0</v>
      </c>
      <c r="CN247" s="207">
        <f>IF(CN$3=$K247,IF($C247="W",1,IF($C247="1/2W",0.5,0)),0)</f>
        <v>0</v>
      </c>
      <c r="CO247" s="207">
        <f>IF(CN$3=$K247,IF($C247="L",1,IF($C247="1/2L",0.5,0)),0)</f>
        <v>0</v>
      </c>
      <c r="CP247" s="207">
        <f>IF(CP$3=$K247,IF($C247="W",1,IF($C247="1/2W",0.5,0)),0)</f>
        <v>0</v>
      </c>
      <c r="CQ247" s="207">
        <f>IF(CP$3=$K247,IF($C247="L",1,IF($C247="1/2L",0.5,0)),0)</f>
        <v>0</v>
      </c>
      <c r="CR247" s="207">
        <f>IF(CR$3=$K247,IF($C247="W",1,IF($C247="1/2W",0.5,0)),0)</f>
        <v>0</v>
      </c>
      <c r="CS247" s="207">
        <f>IF(CR$3=$K247,IF($C247="L",1,IF($C247="1/2L",0.5,0)),0)</f>
        <v>0</v>
      </c>
      <c r="CT247" s="208">
        <f>IF(CT$3=$K247,IF($C247="W",1,IF($C247="1/2W",0.5,0)),0)</f>
        <v>0</v>
      </c>
      <c r="CU247" s="209">
        <f>IF(CT$3=$K247,IF($C247="L",1,IF($C247="1/2L",0.5,0)),0)</f>
        <v>0</v>
      </c>
      <c r="CV247" s="209">
        <f>IF(CV$3=$K247,IF($C247="W",1,IF($C247="1/2W",0.5,0)),0)</f>
        <v>0</v>
      </c>
      <c r="CW247" s="209">
        <f>IF(CV$3=$K247,IF($C247="L",1,IF($C247="1/2L",0.5,0)),0)</f>
        <v>0</v>
      </c>
      <c r="CX247" s="209">
        <f>IF(CX$3=$K247,IF($C247="W",1,IF($C247="1/2W",0.5,0)),0)</f>
        <v>0</v>
      </c>
      <c r="CY247" s="209">
        <f>IF(CX$3=$K247,IF($C247="L",1,IF($C247="1/2L",0.5,0)),0)</f>
        <v>0</v>
      </c>
      <c r="CZ247" s="209">
        <f>IF(CZ$3=$K247,IF($C247="W",1,IF($C247="1/2W",0.5,0)),0)</f>
        <v>0</v>
      </c>
      <c r="DA247" s="209">
        <f>IF(CZ$3=$K247,IF($C247="L",1,IF($C247="1/2L",0.5,0)),0)</f>
        <v>0</v>
      </c>
      <c r="DB247" s="209">
        <f>IF(DB$3=$K247,IF($C247="W",1,IF($C247="1/2W",0.5,0)),0)</f>
        <v>0</v>
      </c>
      <c r="DC247" s="209">
        <f>IF(DB$3=$K247,IF($C247="L",1,IF($C247="1/2L",0.5,0)),0)</f>
        <v>0</v>
      </c>
      <c r="DD247" s="209">
        <f>IF(DD$3=$K247,IF($C247="W",1,IF($C247="1/2W",0.5,0)),0)</f>
        <v>0</v>
      </c>
      <c r="DE247" s="210">
        <f>IF(DD$3=$K247,IF($C247="L",1,IF($C247="1/2L",0.5,0)),0)</f>
        <v>0</v>
      </c>
      <c r="DF247" s="211">
        <f>IF(AND(L247&lt;DF$3,$C247="W"),1+DF246,DF246)</f>
        <v>9</v>
      </c>
      <c r="DG247" s="198">
        <f>IF(DF247&gt;DF246,L247+DG246,DG246)</f>
        <v>11.898</v>
      </c>
      <c r="DH247" s="209">
        <f>IF(AND(L247&gt;DH$3,$C247="W"),1+DH246,0+DH246)</f>
        <v>6</v>
      </c>
      <c r="DI247" s="198">
        <f>IF(DH247&gt;DH246,L247+DI246,DI246)</f>
        <v>30.83</v>
      </c>
      <c r="DJ247" t="s" s="306">
        <f>IF($D247="","",$D247)</f>
        <v>229</v>
      </c>
      <c r="DK247" s="209">
        <f>IF(AND($B247=" ",$D247&lt;&gt;""),1,0)</f>
        <v>0</v>
      </c>
    </row>
    <row r="248" ht="14.55" customHeight="1">
      <c r="A248" s="107"/>
      <c r="B248" s="108"/>
      <c r="C248" t="s" s="213">
        <v>56</v>
      </c>
      <c r="D248" s="110"/>
      <c r="E248" s="111"/>
      <c r="F248" s="113"/>
      <c r="G248" s="214"/>
      <c r="H248" s="114"/>
      <c r="I248" s="299">
        <v>1</v>
      </c>
      <c r="J248" t="s" s="216">
        <f>IF(OR(I247="TO",I247="TU",I247="TO1",I247="TU1",I247="TO2",I247="TU2"),J247,IF(OR(I247="AH1",I247="AH2"),IF(OR(I248="AH1",I248="AH2"),-J247,IF(OR(I248="EH1",I248="EH2"),-J247+0.5,"")),IF(OR(I247="EH1",I247="EH2"),IF(OR(I248="AH1",I248="AH2"),-J247+0.5,IF(OR(I248="EH1",I248="EH2"),-J247+1,"")),IF(AND(OR(I247="DNB1",I247="DNB2"),OR(I248="AH1",I248="AH2")),0,IF(AND(I247="Not ScoreBoth",OR(I248="TO1",I248="TO2")),0.5,"")))))</f>
      </c>
      <c r="K248" t="s" s="217">
        <v>39</v>
      </c>
      <c r="L248" s="218">
        <v>1.94</v>
      </c>
      <c r="M248" s="219"/>
      <c r="N248" s="120"/>
      <c r="O248" s="220">
        <f>IF(OR(AE247="",AE248=""),"",ROUND(IF(L249&gt;0,IF(M248&gt;0,M248,IF(M247&gt;0,IF(N247=TRUE,ROUND((M247*AE248)/AE247,0),(M247*AE248)/AE247),IF(M248&gt;0,ROUND(M248,IF(N247=0,2,IF(N247=0.1,1,0))),IF(M249&gt;0,ROUND(O249*AE248/AE249,IF(N247=0,2,IF(N247=0.1,1,0))),0)))),IF(M248&gt;0,M248,ROUND((M247*AE248)/AE247,IF(N247=0,2,IF(N247=0.1,1,0))))),2))</f>
        <v>16.09</v>
      </c>
      <c r="P248" s="221">
        <f>IF(OR(L248="",O248=""),"",IF($C248="1/2W",O248/2+O248/2*L248,IF($C248="1/2L",O248/2,IF(I248="Lay",((O248*(L248/(L248-1)))-O248)*(1-_xlfn.XLOOKUP(K248,'Janeiro 2023 - Valor Real'!A3:A15,'Janeiro 2023 - Valor Real'!C3:C15,0))+O248,(O248*L248-O248)*(1-_xlfn.XLOOKUP(K248,'Janeiro 2023 - Valor Real'!A3:A15,'Janeiro 2023 - Valor Real'!C3:C15,0))+O248))))</f>
        <v>30.231501</v>
      </c>
      <c r="Q248" s="222">
        <f>IF(K248="","",IF(_xlfn.XLOOKUP(K248,K$98:K104,DJ$98:DJ104,0,,-1)=DJ248,_xlfn.XLOOKUP(K248,K$98:K104,Q$98:Q104,1,,-1)+1,1))</f>
        <v>1</v>
      </c>
      <c r="R248" s="223">
        <f>IF(K248="","",_xlfn.XLOOKUP(K248,K$98:K104,R$98:R104,0,,-1)+IF($C248=" ",1,0))</f>
        <v>0</v>
      </c>
      <c r="S248" s="125"/>
      <c r="T248" s="126"/>
      <c r="U248" s="126"/>
      <c r="V248" s="224"/>
      <c r="W248" s="126"/>
      <c r="X248" s="127"/>
      <c r="Y248" s="128"/>
      <c r="Z248" s="129"/>
      <c r="AA248" s="129"/>
      <c r="AB248" s="129"/>
      <c r="AC248" s="129"/>
      <c r="AD248" s="225">
        <f>(((L248/(L248-1)-1)*(1-_xlfn.XLOOKUP(K248,'Janeiro 2023 - Valor Real'!A3:A15,'Janeiro 2023 - Valor Real'!C3:C15,0))+1))</f>
        <v>1.99468085106383</v>
      </c>
      <c r="AE248" s="226">
        <f>IF(L248="","",IF(L249&gt;0,(SUM(((L247-1)*(1-_xlfn.XLOOKUP(K247,'Janeiro 2023 - Valor Real'!A3:A15,'Janeiro 2023 - Valor Real'!C3:C15,0))+1),((L248-1)*(1-_xlfn.XLOOKUP(K248,'Janeiro 2023 - Valor Real'!A3:A15,'Janeiro 2023 - Valor Real'!C3:C15,0))+1),((L249-1)*(1-_xlfn.XLOOKUP(K249,'Janeiro 2023 - Valor Real'!A3:A15,'Janeiro 2023 - Valor Real'!C3:C15,0))+1))/((L248-1)*(1-_xlfn.XLOOKUP(K248,'Janeiro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Real'!C3:C15,0))+1))/((L247-1)*(1-_xlfn.XLOOKUP(K247,'Janeiro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Real'!C3:C15,0))+1))/((L248-1)*(1-_xlfn.XLOOKUP(K248,'Janeiro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Real'!C3:C15,0))+1))/((L249-1)*(1-_xlfn.XLOOKUP(K249,'Janeiro 2023 - Valor Real'!A3:A15,'Janeiro 2023 - Valor Real'!C3:C15,0))+1)),IF(I248="Lay",IF(I247="Lay",((L247/(L247-1)-1)*(1-_xlfn.XLOOKUP(K247,'Janeiro 2023 - Valor Real'!A3:A15,'Janeiro 2023 - Valor Real'!C3:C15,0))+1)/(((L247/(L247-1)-1)*(1-_xlfn.XLOOKUP(K247,'Janeiro 2023 - Valor Real'!A3:A15,'Janeiro 2023 - Valor Real'!C3:C15,0))+1)+((L248/(L248-1)-1)*(1-_xlfn.XLOOKUP(K248,'Janeiro 2023 - Valor Real'!A3:A15,'Janeiro 2023 - Valor Real'!C3:C15,0))+1)),((L247-1)*(1-_xlfn.XLOOKUP(K247,'Janeiro 2023 - Valor Real'!A3:A15,'Janeiro 2023 - Valor Real'!C3:C15,0))+1)/(((L247-1)*(1-_xlfn.XLOOKUP(K247,'Janeiro 2023 - Valor Real'!A3:A15,'Janeiro 2023 - Valor Real'!C3:C15,0))+1)+((L248/(L248-1)-1)*(1-_xlfn.XLOOKUP(K248,'Janeiro 2023 - Valor Real'!A3:A15,'Janeiro 2023 - Valor Real'!C3:C15,0))+1))),IF(I247="Lay",((L247/(L247-1)-1)*(1-_xlfn.XLOOKUP(K247,'Janeiro 2023 - Valor Real'!A3:A15,'Janeiro 2023 - Valor Real'!C3:C15,0))+1)/((((L247/(L247-1)-1)*(1-_xlfn.XLOOKUP(K247,'Janeiro 2023 - Valor Real'!A3:A15,'Janeiro 2023 - Valor Real'!C3:C15,0))+1))+((L248-1)*(1-_xlfn.XLOOKUP(K248,'Janeiro 2023 - Valor Real'!A3:A15,'Janeiro 2023 - Valor Real'!C3:C15,0))+1)),((L247-1)*(1-_xlfn.XLOOKUP(K247,'Janeiro 2023 - Valor Real'!A3:A15,'Janeiro 2023 - Valor Real'!C3:C15,0))+1)/(((L247-1)*(1-_xlfn.XLOOKUP(K247,'Janeiro 2023 - Valor Real'!A3:A15,'Janeiro 2023 - Valor Real'!C3:C15,0))+1)+((L248-1)*(1-_xlfn.XLOOKUP(K248,'Janeiro 2023 - Valor Real'!A3:A15,'Janeiro 2023 - Valor Real'!C3:C15,0))+1))))))</f>
        <v>0.558311196784128</v>
      </c>
      <c r="AF248" s="197">
        <f>IF($K248=AF$3,ROUND(IF(OR($C248="W",$C248="1/2W",$C248="1/2L"),$P248-$O248,IF($C248="X",0,-$O248)),2),0)</f>
        <v>0</v>
      </c>
      <c r="AG248" s="198">
        <f>IF($K248=AG$3,ROUND(IF(OR($C248="W",$C248="1/2W",$C248="1/2L"),$P248-$O248,IF($C248="X",0,-$O248)),2),0)</f>
        <v>0</v>
      </c>
      <c r="AH248" s="198">
        <f>IF($K248=AH$3,ROUND(IF(OR($C248="W",$C248="1/2W",$C248="1/2L"),$P248-$O248,IF($C248="X",0,-$O248)),2),0)</f>
        <v>14.14</v>
      </c>
      <c r="AI248" s="198">
        <f>IF($K248=AI$3,ROUND(IF(OR($C248="W",$C248="1/2W",$C248="1/2L"),$P248-$O248,IF($C248="X",0,-$O248)),2),0)</f>
        <v>0</v>
      </c>
      <c r="AJ248" s="198">
        <f>IF($K248=AJ$3,ROUND(IF(OR($C248="W",$C248="1/2W",$C248="1/2L"),$P248-$O248,IF($C248="X",0,-$O248)),2),0)</f>
        <v>0</v>
      </c>
      <c r="AK248" s="198">
        <f>IF($K248=AK$3,ROUND(IF(OR($C248="W",$C248="1/2W",$C248="1/2L"),$P248-$O248,IF($C248="X",0,-$O248)),2),0)</f>
        <v>0</v>
      </c>
      <c r="AL248" s="198">
        <f>IF($K248=AL$3,ROUND(IF(OR($C248="W",$C248="1/2W",$C248="1/2L"),$P248-$O248,IF($C248="X",0,-$O248)),2),0)</f>
        <v>0</v>
      </c>
      <c r="AM248" s="198">
        <f>IF($K248=AM$3,ROUND(IF(OR($C248="W",$C248="1/2W",$C248="1/2L"),$P248-$O248,IF($C248="X",0,-$O248)),2),0)</f>
        <v>0</v>
      </c>
      <c r="AN248" s="198">
        <f>IF($K248=AN$3,ROUND(IF(OR($C248="W",$C248="1/2W",$C248="1/2L"),$P248-$O248,IF($C248="X",0,-$O248)),2),0)</f>
        <v>0</v>
      </c>
      <c r="AO248" s="198">
        <f>IF($K248=AO$3,ROUND(IF(OR($C248="W",$C248="1/2W",$C248="1/2L"),$P248-$O248,IF($C248="X",0,-$O248)),2),0)</f>
        <v>0</v>
      </c>
      <c r="AP248" s="198">
        <f>IF($K248=AP$3,ROUND(IF(OR($C248="W",$C248="1/2W",$C248="1/2L"),$P248-$O248,IF($C248="X",0,-$O248)),2),0)</f>
        <v>0</v>
      </c>
      <c r="AQ248" s="198">
        <f>IF($K248=AQ$3,ROUND(IF(OR($C248="W",$C248="1/2W",$C248="1/2L"),$P248-$O248,IF($C248="X",0,-$O248)),2),0)</f>
        <v>0</v>
      </c>
      <c r="AR248" s="199">
        <f>IF($K248=AR$3,ROUND(IF(OR($C248="W",$C248="1/2W",$C248="1/2L"),$P248-$O248,IF($C248="X",0,-$O248)),2),0)</f>
        <v>0</v>
      </c>
      <c r="AS248" s="197">
        <f>IF(AND($B247=" ",$K248=AS$3),$O248,0)</f>
        <v>0</v>
      </c>
      <c r="AT248" s="198">
        <f>IF(AND($B247=" ",K248=AT$3),$O248,0)</f>
        <v>0</v>
      </c>
      <c r="AU248" s="198">
        <f>IF(AND($B247=" ",$K248=AU$3),$O248,0)</f>
        <v>0</v>
      </c>
      <c r="AV248" s="198">
        <f>IF(AND($B247=" ",$K248=AV$3),$O248,0)</f>
        <v>0</v>
      </c>
      <c r="AW248" s="198">
        <f>IF(AND($B247=" ",$K248=AW$3),$O248,0)</f>
        <v>0</v>
      </c>
      <c r="AX248" s="198">
        <f>IF(AND($B247=" ",$K248=AX$3),$O248,0)</f>
        <v>0</v>
      </c>
      <c r="AY248" s="200">
        <f>IF(AND($B247=" ",$K248=AY$3),$O248,0)</f>
        <v>0</v>
      </c>
      <c r="AZ248" s="201">
        <f>IF(AND($B247=" ",$K248=AZ$3),$O248,0)</f>
        <v>0</v>
      </c>
      <c r="BA248" s="201">
        <f>IF(AND($B247=" ",$K248=BA$3),$O248,0)</f>
        <v>0</v>
      </c>
      <c r="BB248" s="201">
        <f>IF(AND($B247=" ",$K248=BB$3),$O248,0)</f>
        <v>0</v>
      </c>
      <c r="BC248" s="202">
        <f>IF(AND($B247=" ",$K248=BC$3),$O248,0)</f>
        <v>0</v>
      </c>
      <c r="BD248" s="198">
        <f>IF(AND($B247=" ",$K248=BD$3),$O248,0)</f>
        <v>0</v>
      </c>
      <c r="BE248" s="199">
        <f>IF(AND($B247=" ",$K248=BE$3),$O248,0)</f>
        <v>0</v>
      </c>
      <c r="BF248" s="197">
        <f>IF($K248=BF$3,IF($C248="X",0,$O248),0)</f>
        <v>0</v>
      </c>
      <c r="BG248" s="198">
        <f>IF($K248=BG$3,IF($C248="X",0,$O248),0)</f>
        <v>0</v>
      </c>
      <c r="BH248" s="198">
        <f>IF($K248=BH$3,IF($C248="X",0,$O248),0)</f>
        <v>16.09</v>
      </c>
      <c r="BI248" s="198">
        <f>IF($K248=BI$3,IF($C248="X",0,$O248),0)</f>
        <v>0</v>
      </c>
      <c r="BJ248" s="198">
        <f>IF($K248=BJ$3,IF($C248="X",0,$O248),0)</f>
        <v>0</v>
      </c>
      <c r="BK248" s="198">
        <f>IF($K248=BK$3,IF($C248="X",0,$O248),0)</f>
        <v>0</v>
      </c>
      <c r="BL248" s="198">
        <f>IF($K248=BL$3,IF($C248="X",0,$O248),0)</f>
        <v>0</v>
      </c>
      <c r="BM248" s="227">
        <f>IF($K248=BM$3,IF($C248="X",0,$O248),0)</f>
        <v>0</v>
      </c>
      <c r="BN248" s="205">
        <f>IF($K248=BN$3,IF($C248="X",0,$O248),0)</f>
        <v>0</v>
      </c>
      <c r="BO248" s="205">
        <f>IF($K248=BO$3,IF($C248="X",0,$O248),0)</f>
        <v>0</v>
      </c>
      <c r="BP248" s="205">
        <f>IF($K248=BP$3,IF($C248="X",0,$O248),0)</f>
        <v>0</v>
      </c>
      <c r="BQ248" s="202">
        <f>IF($K248=BQ$3,IF($C248="X",0,$O248),0)</f>
        <v>0</v>
      </c>
      <c r="BR248" s="199">
        <f>IF($K248=BR$3,IF($C248="X",0,$O248),0)</f>
        <v>0</v>
      </c>
      <c r="BS248" s="228"/>
      <c r="BT248" s="229"/>
      <c r="BU248" s="140"/>
      <c r="BV248" s="229"/>
      <c r="BW248" s="140"/>
      <c r="BX248" s="140"/>
      <c r="BY248" s="140"/>
      <c r="BZ248" s="229"/>
      <c r="CA248" s="140"/>
      <c r="CB248" s="140"/>
      <c r="CC248" s="140"/>
      <c r="CD248" s="141"/>
      <c r="CE248" s="142"/>
      <c r="CF248" s="230">
        <f>IF(CF$3=$K248,IF($C248="W",1,IF($C248="1/2W",0.5,0)),0)</f>
        <v>0</v>
      </c>
      <c r="CG248" s="231">
        <f>IF(CF$3=$K248,IF($C248="L",1,IF($C248="1/2L",0.5,0)),0)</f>
        <v>0</v>
      </c>
      <c r="CH248" s="231">
        <f>IF(CH$3=$K248,IF($C248="W",1,IF($C248="1/2W",0.5,0)),0)</f>
        <v>0</v>
      </c>
      <c r="CI248" s="231">
        <f>IF(CH$3=$K248,IF($C248="L",1,IF($C248="1/2L",0.5,0)),0)</f>
        <v>0</v>
      </c>
      <c r="CJ248" s="231">
        <f>IF(CJ$3=$K248,IF($C248="W",1,IF($C248="1/2W",0.5,0)),0)</f>
        <v>1</v>
      </c>
      <c r="CK248" s="231">
        <f>IF(CJ$3=$K248,IF($C248="L",1,IF($C248="1/2L",0.5,0)),0)</f>
        <v>0</v>
      </c>
      <c r="CL248" s="231">
        <f>IF(CL$3=$K248,IF($C248="W",1,IF($C248="1/2W",0.5,0)),0)</f>
        <v>0</v>
      </c>
      <c r="CM248" s="231">
        <f>IF(CL$3=$K248,IF($C248="L",1,IF($C248="1/2L",0.5,0)),0)</f>
        <v>0</v>
      </c>
      <c r="CN248" s="231">
        <f>IF(CN$3=$K248,IF($C248="W",1,IF($C248="1/2W",0.5,0)),0)</f>
        <v>0</v>
      </c>
      <c r="CO248" s="231">
        <f>IF(CN$3=$K248,IF($C248="L",1,IF($C248="1/2L",0.5,0)),0)</f>
        <v>0</v>
      </c>
      <c r="CP248" s="231">
        <f>IF(CP$3=$K248,IF($C248="W",1,IF($C248="1/2W",0.5,0)),0)</f>
        <v>0</v>
      </c>
      <c r="CQ248" s="231">
        <f>IF(CP$3=$K248,IF($C248="L",1,IF($C248="1/2L",0.5,0)),0)</f>
        <v>0</v>
      </c>
      <c r="CR248" s="231">
        <f>IF(CR$3=$K248,IF($C248="W",1,IF($C248="1/2W",0.5,0)),0)</f>
        <v>0</v>
      </c>
      <c r="CS248" s="231">
        <f>IF(CR$3=$K248,IF($C248="L",1,IF($C248="1/2L",0.5,0)),0)</f>
        <v>0</v>
      </c>
      <c r="CT248" s="208">
        <f>IF(CT$3=$K248,IF($C248="W",1,IF($C248="1/2W",0.5,0)),0)</f>
        <v>0</v>
      </c>
      <c r="CU248" s="209">
        <f>IF(CT$3=$K248,IF($C248="L",1,IF($C248="1/2L",0.5,0)),0)</f>
        <v>0</v>
      </c>
      <c r="CV248" s="209">
        <f>IF(CV$3=$K248,IF($C248="W",1,IF($C248="1/2W",0.5,0)),0)</f>
        <v>0</v>
      </c>
      <c r="CW248" s="209">
        <f>IF(CV$3=$K248,IF($C248="L",1,IF($C248="1/2L",0.5,0)),0)</f>
        <v>0</v>
      </c>
      <c r="CX248" s="209">
        <f>IF(CX$3=$K248,IF($C248="W",1,IF($C248="1/2W",0.5,0)),0)</f>
        <v>0</v>
      </c>
      <c r="CY248" s="209">
        <f>IF(CX$3=$K248,IF($C248="L",1,IF($C248="1/2L",0.5,0)),0)</f>
        <v>0</v>
      </c>
      <c r="CZ248" s="209">
        <f>IF(CZ$3=$K248,IF($C248="W",1,IF($C248="1/2W",0.5,0)),0)</f>
        <v>0</v>
      </c>
      <c r="DA248" s="209">
        <f>IF(CZ$3=$K248,IF($C248="L",1,IF($C248="1/2L",0.5,0)),0)</f>
        <v>0</v>
      </c>
      <c r="DB248" s="209">
        <f>IF(DB$3=$K248,IF($C248="W",1,IF($C248="1/2W",0.5,0)),0)</f>
        <v>0</v>
      </c>
      <c r="DC248" s="209">
        <f>IF(DB$3=$K248,IF($C248="L",1,IF($C248="1/2L",0.5,0)),0)</f>
        <v>0</v>
      </c>
      <c r="DD248" s="209">
        <f>IF(DD$3=$K248,IF($C248="W",1,IF($C248="1/2W",0.5,0)),0)</f>
        <v>0</v>
      </c>
      <c r="DE248" s="210">
        <f>IF(DD$3=$K248,IF($C248="L",1,IF($C248="1/2L",0.5,0)),0)</f>
        <v>0</v>
      </c>
      <c r="DF248" s="211">
        <f>IF(AND(L248&lt;DF$3,$C248="W"),1+DF247,DF247)</f>
        <v>9</v>
      </c>
      <c r="DG248" s="198">
        <f>IF(DF248&gt;DF247,L248+DG247,DG247)</f>
        <v>11.898</v>
      </c>
      <c r="DH248" s="209">
        <f>IF(AND(L248&gt;DH$3,$C248="W"),1+DH247,0+DH247)</f>
        <v>6</v>
      </c>
      <c r="DI248" s="198">
        <f>IF(DH248&gt;DH247,L248+DI247,DI247)</f>
        <v>30.83</v>
      </c>
      <c r="DJ248" t="s" s="306">
        <f>IF($D247="","",$D247)</f>
        <v>229</v>
      </c>
      <c r="DK248" s="232"/>
    </row>
    <row r="249" ht="14.55" customHeight="1">
      <c r="A249" s="149"/>
      <c r="B249" s="150"/>
      <c r="C249" t="s" s="233">
        <v>58</v>
      </c>
      <c r="D249" s="152"/>
      <c r="E249" s="153"/>
      <c r="F249" s="155"/>
      <c r="G249" s="234"/>
      <c r="H249" s="156"/>
      <c r="I249" s="235"/>
      <c r="J249" s="236"/>
      <c r="K249" s="237"/>
      <c r="L249" s="238"/>
      <c r="M249" s="239"/>
      <c r="N249" s="161"/>
      <c r="O249" t="s" s="240">
        <f>IF(OR(AE247="",AE248=""),"",IF(L249&gt;0,ROUND(IF(M249&gt;0,M249,IF(M247&gt;0,ROUND((M247*AE249)/AE247,IF(N247=0,2,IF(N247=0.1,1,0))),IF(M248&gt;0,ROUND((M248*AE249)/AE248,IF(N247=0,2,IF(N247=0.1,1,0))),IF(M249&gt;0,M249,0)))),2),""))</f>
      </c>
      <c r="P249" t="s" s="241">
        <f>IF(I248="Lay",O248*(L248/(L248-1))-O248,IF(I247="Lay",O247*(L247/(L247-1))-O247,IF(OR(L249="",O249=""),"",IF($C249="1/2W",O249/2+O249/2*L249,IF($C249="1/2L",O249/2,(O249*L249-O249)*(1-_xlfn.XLOOKUP(K249,'Janeiro 2023 - Valor Real'!A3:A15,'Janeiro 2023 - Valor Real'!C3:C15,0))+O249)))))</f>
      </c>
      <c r="Q249" t="s" s="242">
        <f>IF(K249="","",IF(_xlfn.XLOOKUP(K249,K$99:K105,DJ$99:DJ105,0,,-1)=DJ249,_xlfn.XLOOKUP(K249,K$99:K105,Q$99:Q105,1,,-1)+1,1))</f>
      </c>
      <c r="R249" t="s" s="243">
        <f>IF(K249="","",_xlfn.XLOOKUP(K249,K$99:K105,R$99:R105,0,,-1)+IF($C249=" ",1,0))</f>
      </c>
      <c r="S249" s="166"/>
      <c r="T249" s="155"/>
      <c r="U249" s="155"/>
      <c r="V249" s="166"/>
      <c r="W249" s="155"/>
      <c r="X249" s="167"/>
      <c r="Y249" s="128"/>
      <c r="Z249" s="129"/>
      <c r="AA249" s="129"/>
      <c r="AB249" s="129"/>
      <c r="AC249" s="129"/>
      <c r="AD249" s="244">
        <f>((L248/(L248-1)-1))</f>
        <v>1.06382978723404</v>
      </c>
      <c r="AE249" t="s" s="245">
        <f>IF(L249="","",(SUM(((L247-1)*(1-_xlfn.XLOOKUP(K247,'Janeiro 2023 - Valor Real'!A3:A15,'Janeiro 2023 - Valor Real'!C3:C15,0))+1),((L248-1)*(1-_xlfn.XLOOKUP(K248,'Janeiro 2023 - Valor Real'!A3:A15,'Janeiro 2023 - Valor Real'!C3:C15,0))+1),((L249-1)*(1-_xlfn.XLOOKUP(K249,'Janeiro 2023 - Valor Real'!A3:A15,'Janeiro 2023 - Valor Real'!C3:C15,0))+1))/((L249-1)*(1-_xlfn.XLOOKUP(K249,'Janeiro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Real'!C3:C15,0))+1))/((L247-1)*(1-_xlfn.XLOOKUP(K247,'Janeiro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Real'!C3:C15,0))+1))/((L248-1)*(1-_xlfn.XLOOKUP(K248,'Janeiro 2023 - Valor Real'!A3:A15,'Janeiro 2023 - Valor Real'!C3:C15,0))+1)+SUM(((L247-1)*(1-_xlfn.XLOOKUP(K247,'Janeiro 2023 - Valor Real'!A3:A15,'Janeiro 2023 - Valor Real'!C3:C15,0))+1),((L248-1)*(1-_xlfn.XLOOKUP(K248,'Janeiro 2023 - Valor Real'!A3:A15,'Janeiro 2023 - Valor Real'!C3:C15,0))+1),((L249-1)*(1-_xlfn.XLOOKUP(K249,'Janeiro 2023 - Valor Real'!A3:A15,'Janeiro 2023 - Valor Real'!C3:C15,0))+1))/((L249-1)*(1-_xlfn.XLOOKUP(K249,'Janeiro 2023 - Valor Real'!A3:A15,'Janeiro 2023 - Valor Real'!C3:C15,0))+1)))</f>
      </c>
      <c r="AF249" s="197">
        <f>IF($K249=AF$3,ROUND(IF(OR($C249="W",$C249="1/2W",$C249="1/2L"),$P249-$O249,IF($C249="X",0,-$O249)),2),0)</f>
        <v>0</v>
      </c>
      <c r="AG249" s="198">
        <f>IF($K249=AG$3,ROUND(IF(OR($C249="W",$C249="1/2W",$C249="1/2L"),$P249-$O249,IF($C249="X",0,-$O249)),2),0)</f>
        <v>0</v>
      </c>
      <c r="AH249" s="198">
        <f>IF($K249=AH$3,ROUND(IF(OR($C249="W",$C249="1/2W",$C249="1/2L"),$P249-$O249,IF($C249="X",0,-$O249)),2),0)</f>
        <v>0</v>
      </c>
      <c r="AI249" s="198">
        <f>IF($K249=AI$3,ROUND(IF(OR($C249="W",$C249="1/2W",$C249="1/2L"),$P249-$O249,IF($C249="X",0,-$O249)),2),0)</f>
        <v>0</v>
      </c>
      <c r="AJ249" s="198">
        <f>IF($K249=AJ$3,ROUND(IF(OR($C249="W",$C249="1/2W",$C249="1/2L"),$P249-$O249,IF($C249="X",0,-$O249)),2),0)</f>
        <v>0</v>
      </c>
      <c r="AK249" s="198">
        <f>IF($K249=AK$3,ROUND(IF(OR($C249="W",$C249="1/2W",$C249="1/2L"),$P249-$O249,IF($C249="X",0,-$O249)),2),0)</f>
        <v>0</v>
      </c>
      <c r="AL249" s="198">
        <f>IF($K249=AL$3,ROUND(IF(OR($C249="W",$C249="1/2W",$C249="1/2L"),$P249-$O249,IF($C249="X",0,-$O249)),2),0)</f>
        <v>0</v>
      </c>
      <c r="AM249" s="198">
        <f>IF($K249=AM$3,ROUND(IF(OR($C249="W",$C249="1/2W",$C249="1/2L"),$P249-$O249,IF($C249="X",0,-$O249)),2),0)</f>
        <v>0</v>
      </c>
      <c r="AN249" s="198">
        <f>IF($K249=AN$3,ROUND(IF(OR($C249="W",$C249="1/2W",$C249="1/2L"),$P249-$O249,IF($C249="X",0,-$O249)),2),0)</f>
        <v>0</v>
      </c>
      <c r="AO249" s="198">
        <f>IF($K249=AO$3,ROUND(IF(OR($C249="W",$C249="1/2W",$C249="1/2L"),$P249-$O249,IF($C249="X",0,-$O249)),2),0)</f>
        <v>0</v>
      </c>
      <c r="AP249" s="198">
        <f>IF($K249=AP$3,ROUND(IF(OR($C249="W",$C249="1/2W",$C249="1/2L"),$P249-$O249,IF($C249="X",0,-$O249)),2),0)</f>
        <v>0</v>
      </c>
      <c r="AQ249" s="198">
        <f>IF($K249=AQ$3,ROUND(IF(OR($C249="W",$C249="1/2W",$C249="1/2L"),$P249-$O249,IF($C249="X",0,-$O249)),2),0)</f>
        <v>0</v>
      </c>
      <c r="AR249" s="199">
        <f>IF($K249=AR$3,ROUND(IF(OR($C249="W",$C249="1/2W",$C249="1/2L"),$P249-$O249,IF($C249="X",0,-$O249)),2),0)</f>
        <v>0</v>
      </c>
      <c r="AS249" s="197">
        <f>IF(AND($B247=" ",$K249=AS$3),$O249,0)</f>
        <v>0</v>
      </c>
      <c r="AT249" s="198">
        <f>IF(AND($B247=" ",K249=AT$3),$O249,0)</f>
        <v>0</v>
      </c>
      <c r="AU249" s="198">
        <f>IF(AND($B247=" ",$K249=AU$3),$O249,0)</f>
        <v>0</v>
      </c>
      <c r="AV249" s="198">
        <f>IF(AND($B247=" ",$K249=AV$3),$O249,0)</f>
        <v>0</v>
      </c>
      <c r="AW249" s="198">
        <f>IF(AND($B247=" ",$K249=AW$3),$O249,0)</f>
        <v>0</v>
      </c>
      <c r="AX249" s="198">
        <f>IF(AND($B247=" ",$K249=AX$3),$O249,0)</f>
        <v>0</v>
      </c>
      <c r="AY249" s="200">
        <f>IF(AND($B247=" ",$K249=AY$3),$O249,0)</f>
        <v>0</v>
      </c>
      <c r="AZ249" s="201">
        <f>IF(AND($B247=" ",$K249=AZ$3),$O249,0)</f>
        <v>0</v>
      </c>
      <c r="BA249" s="201">
        <f>IF(AND($B247=" ",$K249=BA$3),$O249,0)</f>
        <v>0</v>
      </c>
      <c r="BB249" s="201">
        <f>IF(AND($B247=" ",$K249=BB$3),$O249,0)</f>
        <v>0</v>
      </c>
      <c r="BC249" s="202">
        <f>IF(AND($B247=" ",$K249=BC$3),$O249,0)</f>
        <v>0</v>
      </c>
      <c r="BD249" s="198">
        <f>IF(AND($B247=" ",$K249=BD$3),$O249,0)</f>
        <v>0</v>
      </c>
      <c r="BE249" s="199">
        <f>IF(AND($B247=" ",$K249=BE$3),$O249,0)</f>
        <v>0</v>
      </c>
      <c r="BF249" s="197">
        <f>IF($K249=BF$3,IF($C249="X",0,$O249),0)</f>
        <v>0</v>
      </c>
      <c r="BG249" s="198">
        <f>IF($K249=BG$3,IF($C249="X",0,$O249),0)</f>
        <v>0</v>
      </c>
      <c r="BH249" s="198">
        <f>IF($K249=BH$3,IF($C249="X",0,$O249),0)</f>
        <v>0</v>
      </c>
      <c r="BI249" s="198">
        <f>IF($K249=BI$3,IF($C249="X",0,$O249),0)</f>
        <v>0</v>
      </c>
      <c r="BJ249" s="198">
        <f>IF($K249=BJ$3,IF($C249="X",0,$O249),0)</f>
        <v>0</v>
      </c>
      <c r="BK249" s="198">
        <f>IF($K249=BK$3,IF($C249="X",0,$O249),0)</f>
        <v>0</v>
      </c>
      <c r="BL249" s="198">
        <f>IF($K249=BL$3,IF($C249="X",0,$O249),0)</f>
        <v>0</v>
      </c>
      <c r="BM249" s="200">
        <f>IF($K249=BM$3,IF($C249="X",0,$O249),0)</f>
        <v>0</v>
      </c>
      <c r="BN249" s="201">
        <f>IF($K249=BN$3,IF($C249="X",0,$O249),0)</f>
        <v>0</v>
      </c>
      <c r="BO249" s="201">
        <f>IF($K249=BO$3,IF($C249="X",0,$O249),0)</f>
        <v>0</v>
      </c>
      <c r="BP249" s="201">
        <f>IF($K249=BP$3,IF($C249="X",0,$O249),0)</f>
        <v>0</v>
      </c>
      <c r="BQ249" s="202">
        <f>IF($K249=BQ$3,IF($C249="X",0,$O249),0)</f>
        <v>0</v>
      </c>
      <c r="BR249" s="199">
        <f>IF($K249=BR$3,IF($C249="X",0,$O249),0)</f>
        <v>0</v>
      </c>
      <c r="BS249" s="228"/>
      <c r="BT249" s="229"/>
      <c r="BU249" s="140"/>
      <c r="BV249" s="229"/>
      <c r="BW249" s="140"/>
      <c r="BX249" s="140"/>
      <c r="BY249" s="140"/>
      <c r="BZ249" s="229"/>
      <c r="CA249" s="140"/>
      <c r="CB249" s="140"/>
      <c r="CC249" s="140"/>
      <c r="CD249" s="141"/>
      <c r="CE249" s="142"/>
      <c r="CF249" s="230">
        <f>IF(CF$3=$K249,IF($C249="W",1,IF($C249="1/2W",0.5,0)),0)</f>
        <v>0</v>
      </c>
      <c r="CG249" s="231">
        <f>IF(CF$3=$K249,IF($C249="L",1,IF($C249="1/2L",0.5,0)),0)</f>
        <v>0</v>
      </c>
      <c r="CH249" s="231">
        <f>IF(CH$3=$K249,IF($C249="W",1,IF($C249="1/2W",0.5,0)),0)</f>
        <v>0</v>
      </c>
      <c r="CI249" s="231">
        <f>IF(CH$3=$K249,IF($C249="L",1,IF($C249="1/2L",0.5,0)),0)</f>
        <v>0</v>
      </c>
      <c r="CJ249" s="231">
        <f>IF(CJ$3=$K249,IF($C249="W",1,IF($C249="1/2W",0.5,0)),0)</f>
        <v>0</v>
      </c>
      <c r="CK249" s="231">
        <f>IF(CJ$3=$K249,IF($C249="L",1,IF($C249="1/2L",0.5,0)),0)</f>
        <v>0</v>
      </c>
      <c r="CL249" s="231">
        <f>IF(CL$3=$K249,IF($C249="W",1,IF($C249="1/2W",0.5,0)),0)</f>
        <v>0</v>
      </c>
      <c r="CM249" s="231">
        <f>IF(CL$3=$K249,IF($C249="L",1,IF($C249="1/2L",0.5,0)),0)</f>
        <v>0</v>
      </c>
      <c r="CN249" s="231">
        <f>IF(CN$3=$K249,IF($C249="W",1,IF($C249="1/2W",0.5,0)),0)</f>
        <v>0</v>
      </c>
      <c r="CO249" s="231">
        <f>IF(CN$3=$K249,IF($C249="L",1,IF($C249="1/2L",0.5,0)),0)</f>
        <v>0</v>
      </c>
      <c r="CP249" s="231">
        <f>IF(CP$3=$K249,IF($C249="W",1,IF($C249="1/2W",0.5,0)),0)</f>
        <v>0</v>
      </c>
      <c r="CQ249" s="231">
        <f>IF(CP$3=$K249,IF($C249="L",1,IF($C249="1/2L",0.5,0)),0)</f>
        <v>0</v>
      </c>
      <c r="CR249" s="231">
        <f>IF(CR$3=$K249,IF($C249="W",1,IF($C249="1/2W",0.5,0)),0)</f>
        <v>0</v>
      </c>
      <c r="CS249" s="231">
        <f>IF(CR$3=$K249,IF($C249="L",1,IF($C249="1/2L",0.5,0)),0)</f>
        <v>0</v>
      </c>
      <c r="CT249" s="208">
        <f>IF(CT$3=$K249,IF($C249="W",1,IF($C249="1/2W",0.5,0)),0)</f>
        <v>0</v>
      </c>
      <c r="CU249" s="209">
        <f>IF(CT$3=$K249,IF($C249="L",1,IF($C249="1/2L",0.5,0)),0)</f>
        <v>0</v>
      </c>
      <c r="CV249" s="209">
        <f>IF(CV$3=$K249,IF($C249="W",1,IF($C249="1/2W",0.5,0)),0)</f>
        <v>0</v>
      </c>
      <c r="CW249" s="209">
        <f>IF(CV$3=$K249,IF($C249="L",1,IF($C249="1/2L",0.5,0)),0)</f>
        <v>0</v>
      </c>
      <c r="CX249" s="209">
        <f>IF(CX$3=$K249,IF($C249="W",1,IF($C249="1/2W",0.5,0)),0)</f>
        <v>0</v>
      </c>
      <c r="CY249" s="209">
        <f>IF(CX$3=$K249,IF($C249="L",1,IF($C249="1/2L",0.5,0)),0)</f>
        <v>0</v>
      </c>
      <c r="CZ249" s="209">
        <f>IF(CZ$3=$K249,IF($C249="W",1,IF($C249="1/2W",0.5,0)),0)</f>
        <v>0</v>
      </c>
      <c r="DA249" s="209">
        <f>IF(CZ$3=$K249,IF($C249="L",1,IF($C249="1/2L",0.5,0)),0)</f>
        <v>0</v>
      </c>
      <c r="DB249" s="209">
        <f>IF(DB$3=$K249,IF($C249="W",1,IF($C249="1/2W",0.5,0)),0)</f>
        <v>0</v>
      </c>
      <c r="DC249" s="209">
        <f>IF(DB$3=$K249,IF($C249="L",1,IF($C249="1/2L",0.5,0)),0)</f>
        <v>0</v>
      </c>
      <c r="DD249" s="209">
        <f>IF(DD$3=$K249,IF($C249="W",1,IF($C249="1/2W",0.5,0)),0)</f>
        <v>0</v>
      </c>
      <c r="DE249" s="210">
        <f>IF(DD$3=$K249,IF($C249="L",1,IF($C249="1/2L",0.5,0)),0)</f>
        <v>0</v>
      </c>
      <c r="DF249" s="211">
        <f>IF(AND(L249&lt;DF$3,$C249="W"),1+DF248,DF248)</f>
        <v>9</v>
      </c>
      <c r="DG249" s="198">
        <f>IF(DF249&gt;DF248,L249+DG248,DG248)</f>
        <v>11.898</v>
      </c>
      <c r="DH249" s="209">
        <f>IF(AND(L249&gt;DH$3,$C249="W"),1+DH248,0+DH248)</f>
        <v>6</v>
      </c>
      <c r="DI249" s="198">
        <f>IF(DH249&gt;DH248,L249+DI248,DI248)</f>
        <v>30.83</v>
      </c>
      <c r="DJ249" t="s" s="306">
        <f>IF($D247="","",$D247)</f>
        <v>229</v>
      </c>
      <c r="DK249" s="232"/>
    </row>
    <row r="250" ht="14.55" customHeight="1">
      <c r="A250" s="246">
        <f>$A247+1</f>
        <v>83</v>
      </c>
      <c r="B250" t="s" s="247">
        <f>IF(AND(_xlfn.XLOOKUP(H250,H$94:H112,G$94:G112,0)=G250,_xlfn.XLOOKUP("TempoBet",K250:K252,L250:L252,0)&gt;0),"X",IF(OR(C250="W",C251="W",C252="W",C250="1/2W",C251="1/2W",C252="1/2W",C250="1/2L",C251="1/2L",C252="1/2L"),"OK",IF(OR(C250="L",C251="L",C252="L"),"LOSS",IF(OR(C250="X",C251="X",C252="X"),"Anulado"," "))))</f>
        <v>50</v>
      </c>
      <c r="C250" t="s" s="248">
        <v>56</v>
      </c>
      <c r="D250" t="s" s="303">
        <f>IF(G250="","",$D247)</f>
        <v>229</v>
      </c>
      <c r="E250" t="s" s="250">
        <v>124</v>
      </c>
      <c r="F250" t="s" s="251"/>
      <c r="G250" s="252">
        <v>44945.395833333336</v>
      </c>
      <c r="H250" t="s" s="253">
        <v>243</v>
      </c>
      <c r="I250" t="s" s="254">
        <v>54</v>
      </c>
      <c r="J250" s="255">
        <v>0</v>
      </c>
      <c r="K250" t="s" s="256">
        <v>44</v>
      </c>
      <c r="L250" s="257">
        <v>1.854</v>
      </c>
      <c r="M250" s="258"/>
      <c r="N250" s="259">
        <v>0</v>
      </c>
      <c r="O250" s="260">
        <f>IF(OR(AE250="",AE251=""),"",ROUND(IF(L252&gt;0,IF(M250&gt;0,M250,IF(M251&gt;0,ROUND((M251*AE250)/AE251,IF(N250=0,2,IF(N250=0.1,1,0))),ROUND((M252*AE250)/AE252,IF(N250=0,2,IF(N250=0.1,1,0))))),IF(M250&gt;0,M250,ROUND((M251*AE250)/AE251,IF(N250=0,2,IF(N250=0.1,1,0))))),2))</f>
        <v>32.6</v>
      </c>
      <c r="P250" s="261">
        <f>IF(OR(L250="",O250=""),"",IF($C250="1/2W",O250/2+O250/2*L250,IF($C250="1/2L",O250/2,IF(I250="Lay",(O250*(L250/(L250-1))-O250)*(1-_xlfn.XLOOKUP(K250,'Janeiro 2023 - Valor Real'!A3:A15,'Janeiro 2023 - Valor Real'!C3:C15,0))+O250,(O250*L250-O250)*(1-_xlfn.XLOOKUP(K250,'Janeiro 2023 - Valor Real'!A3:A15,'Janeiro 2023 - Valor Real'!C3:C15,0))+O250))))</f>
        <v>60.4404</v>
      </c>
      <c r="Q250" s="262">
        <f>IF(K250="","",IF(_xlfn.XLOOKUP(K250,K$94:K112,DJ$94:DJ112,0,,-1)=DJ250,_xlfn.XLOOKUP(K250,K$94:K112,Q$94:Q112,1,,-1)+1,1))</f>
        <v>1</v>
      </c>
      <c r="R250" s="263">
        <f>IF(K250="","",_xlfn.XLOOKUP(K250,K$94:K112,R$94:R112,0,,-1)+IF($C250=" ",1,0))</f>
        <v>0</v>
      </c>
      <c r="S250" s="264">
        <f>IF($B250="Anulado",0,ROUND(IF(OR($B250="LOSS",$B250="OK"),IF(OR($C250="W",$C250="1/2W",$C250="1/2L"),P250-O250,IF($C250="L",-O250,0))+IF(OR($C251="W",$C251="1/2W",$C251="1/2L"),P251-O251,IF($C251="L",-O251,0))+IF(OR($C252="W",$C252="1/2W",$C252="1/2L"),P252-O252,IF($C252="L",-O252,0)),IF(AND(OR($C250="W",$C250="1/2W",$C250="1/2L"),C251="W"),P250+P251-SUM(O250:O252)+_xlfn.XLOOKUP("X",C250:C252,O250:O252,0),IF(AND(C250=TRUE,C252="W"),P250+P252-SUM(O250:O252),IF(AND(C251="W",C252="W"),P251+P252-SUM(O250:O252)+_xlfn.XLOOKUP("X",C250:C252,O250:O252,0),IF(L252&gt;0,IF(OR($C250="W",$C250="1/2W",$C250="1/2L"),P250-SUM(O250:O252)+_xlfn.XLOOKUP("X",C250:C252,O250:O252,0),IF(OR($C250="W",$C250="1/2W",$C250="1/2L"),P251-SUM(O250:O252)+_xlfn.XLOOKUP("X",C250:C252,O250:O252,0),IF(OR($C250="W",$C250="1/2W",$C250="1/2L"),P252-SUM(O250:O252)+_xlfn.XLOOKUP("X",C250:C252,O250:O252,0),IF(SUM(P250:P252)/3-SUM(O250:O252)+_xlfn.XLOOKUP("X",C250:C252,O250:O252,0)&gt;0,SUM(P250:P252)/3-SUM(O250:O252)+_xlfn.XLOOKUP("X",C250:C252,O250:O252,0),LARGE(P250:P252,1)-SUM(O250:O252))))),IF(OR($C250="W",$C250="1/2W",$C250="1/2L"),P250-SUM(O250:O251)+_xlfn.XLOOKUP("X",C250:C252,O250:O252,0),IF(OR($C250="W",$C250="1/2W",$C250="1/2L"),P251-SUM(O250:O251)+_xlfn.XLOOKUP("X",C250:C252,O250:O252,0),SUM(P250:P251)/2-SUM(O250:O251)+_xlfn.XLOOKUP("X",C250:C252,O250:O252,0)))))))),2))</f>
        <v>2.39</v>
      </c>
      <c r="T250" s="265">
        <f>IF(S250=0,0,S250/SUM(O250:O252))</f>
        <v>0.0411714039621016</v>
      </c>
      <c r="U250" s="266">
        <f>IF($D250=$D247,IF(OR($B250="LOSS",$B250="OK",$B250="Anulada"),S250,0)+U247,IF(OR($B250="LOSS",$B250="OK",$B250="Anulada"),S250,0))</f>
        <v>9.779999999999999</v>
      </c>
      <c r="V250" s="266">
        <f>IF($D250="",0,IF($D250=$D247,IF($B250=" ",IF(I252="",IF(OR(AND(I250="DNB1",I251="DNB2"),AND(OR(I250="DNB1",I250="DNB2"),J251=0),AND(OR(I251="DNB1",I251="DNB2"),J250=0),AND(I250="DNB2",I251="DNB1"),AND(IF(J250=0,(J250+1)/ROUND(J250+1,0),J250/ROUND(J250,0))=1,IF(J251=0,(J251+1)/ROUND(IF(J251="",0,J251)+1,0),IF(J251="",0,J251)/ROUND(IF(J251="",1,J251),0))=1,OR(J250&lt;&gt;""),J251&lt;&gt;"")),0,IF(S250&lt;0,IF(I252="",SMALL(P250:P251,1)-SUM(O250:O251),0),SMALL(P250:P251,1)-SUM(O250:O251))),IF(S250&lt;0,IF(I252="",SMALL(P250:P252,1)-SUM(O250:O252),0),LARGE(P250:P252,1)-SUM(O250:O252))),S250)+V247,IF(I252="",IF(OR(AND(I250="DNB1",I251="DNB2"),AND(OR(I250="DNB1",I250="DNB2"),J251=0),AND(OR(I251="DNB1",I251="DNB2"),J250=0),AND(I250="DNB2",I251="DNB1"),AND(IF(J250=0,(J250+1)/ROUND(J250+1,0),J250/ROUND(J250,0))=1,IF(J251=0,(IF(J251="",0,J251)+1)/ROUND(IF(J251="",0,J251)+1,0),IF(J251="",0,J251)/ROUND(IF(J251="",0,J251)+1,0))=1,OR(J250&lt;&gt;""),J251&lt;&gt;"")),0,IF(S250&lt;0,IF(I252="",SMALL(P250:P251,1)-SUM(O250:O251),0),SMALL(P250:P252,1)-SUM(O250:O252))),IF(S250&lt;0,IF(I252="",SMALL(P250:P252,1)-SUM(O250:O252),0),LARGE(P250:P252,1)-SUM(O250:O252)))))</f>
        <v>9.776</v>
      </c>
      <c r="W250" s="266">
        <f>IF($D250=$D247,IF(S250&lt;0,IF(I252="",S250,0),S250)+W247,S250)</f>
        <v>9.779999999999999</v>
      </c>
      <c r="X250" t="s" s="267">
        <f>IF(OR(SUM(R250:R252)=0,V250=W250),ROUND(IF(W250=0,0,W250/Y250)*100,2)&amp;"%",ROUND(IF(V250=0,0,V250/Y250)*100,2)&amp;"% a "&amp;ROUND(IF(W250=0,0,W250/Y250)*100,2)&amp;"%")</f>
        <v>244</v>
      </c>
      <c r="Y250" s="268">
        <f>IF($D250=$D247,Y247+SUM(O250:O252),SUM(O250:O252))</f>
        <v>329.11</v>
      </c>
      <c r="Z250" s="266">
        <f>IF($B250=" ",SUM(O250:O252),0)+Z247</f>
        <v>0</v>
      </c>
      <c r="AA250" s="266">
        <f>IF(G250="","",IF($B250="Anulado",LARGE(P250:P252,1)-SUM(O250:O252)+AA247,AA247))</f>
        <v>16.5099</v>
      </c>
      <c r="AB250" s="266">
        <f>IF($D250="","",AB247+S250)</f>
        <v>211.95</v>
      </c>
      <c r="AC250" s="269">
        <f>IF($D250="","",IF($B250=" ",IF(DAY(G250)=DAY(TODAY()),1+AC247,0+AC247),0+AC247))</f>
        <v>0</v>
      </c>
      <c r="AD250" s="270">
        <f>(1-_xlfn.XLOOKUP(K248,'Janeiro 2023 - Valor Real'!A3:A15,'Janeiro 2023 - Valor Real'!C3:C15,0))+1</f>
        <v>1.935</v>
      </c>
      <c r="AE250" s="271">
        <f>IF(L250="","",IF(L252&gt;0,(SUM(((L250-1)*(1-_xlfn.XLOOKUP(K250,'Janeiro 2023 - Valor Real'!A3:A15,'Janeiro 2023 - Valor Real'!C3:C15,0))+1),((L251-1)*(1-_xlfn.XLOOKUP(K251,'Janeiro 2023 - Valor Real'!A3:A15,'Janeiro 2023 - Valor Real'!C3:C15,0))+1),((L252-1)*(1-_xlfn.XLOOKUP(K252,'Janeiro 2023 - Valor Real'!A3:A15,'Janeiro 2023 - Valor Real'!C3:C15,0))+1))/((L250-1)*(1-_xlfn.XLOOKUP(K250,'Janeiro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Real'!C3:C15,0))+1))/((L250-1)*(1-_xlfn.XLOOKUP(K250,'Janeiro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Real'!C3:C15,0))+1))/((L251-1)*(1-_xlfn.XLOOKUP(K251,'Janeiro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Real'!C3:C15,0))+1))/((L252-1)*(1-_xlfn.XLOOKUP(K252,'Janeiro 2023 - Valor Real'!A3:A15,'Janeiro 2023 - Valor Real'!C3:C15,0))+1)),IF(I250="Lay",IF(I251="Lay",((L251/(L251-1)-1)*(1-_xlfn.XLOOKUP(K251,'Janeiro 2023 - Valor Real'!A3:A15,'Janeiro 2023 - Valor Real'!C3:C15,0))+1)/(((L251/(L251-1)-1)*(1-_xlfn.XLOOKUP(K251,'Janeiro 2023 - Valor Real'!A3:A15,'Janeiro 2023 - Valor Real'!C3:C15,0))+1)+((L250/(L250-1)-1)*(1-_xlfn.XLOOKUP(K250,'Janeiro 2023 - Valor Real'!A3:A15,'Janeiro 2023 - Valor Real'!C3:C15,0))+1)),((L251-1)*(1-_xlfn.XLOOKUP(K251,'Janeiro 2023 - Valor Real'!A3:A15,'Janeiro 2023 - Valor Real'!C3:C15,0))+1)/(((L251-1)*(1-_xlfn.XLOOKUP(K251,'Janeiro 2023 - Valor Real'!A3:A15,'Janeiro 2023 - Valor Real'!C3:C15,0))+1)+((L250/(L250-1)-1)*(1-_xlfn.XLOOKUP(K250,'Janeiro 2023 - Valor Real'!A3:A15,'Janeiro 2023 - Valor Real'!C3:C15,0))+1))),IF(I251="Lay",(((L251/(L251-1)-1)*(1-_xlfn.XLOOKUP(K251,'Janeiro 2023 - Valor Real'!A3:A15,'Janeiro 2023 - Valor Real'!C3:C15,0))+1))/(((L250-1)*(1-_xlfn.XLOOKUP(K250,'Janeiro 2023 - Valor Real'!A3:A15,'Janeiro 2023 - Valor Real'!C3:C15,0))+1)+((L251/(L251-1)-1)*(1-_xlfn.XLOOKUP(K251,'Janeiro 2023 - Valor Real'!A3:A15,'Janeiro 2023 - Valor Real'!C3:C15,0))+1)),((L251-1)*(1-_xlfn.XLOOKUP(K251,'Janeiro 2023 - Valor Real'!A3:A15,'Janeiro 2023 - Valor Real'!C3:C15,0))+1)/(((L251-1)*(1-_xlfn.XLOOKUP(K251,'Janeiro 2023 - Valor Real'!A3:A15,'Janeiro 2023 - Valor Real'!C3:C15,0))+1)+((L250-1)*(1-_xlfn.XLOOKUP(K250,'Janeiro 2023 - Valor Real'!A3:A15,'Janeiro 2023 - Valor Real'!C3:C15,0))+1))))))</f>
        <v>0.561598486639868</v>
      </c>
      <c r="AF250" s="132">
        <f>IF($K250=AF$3,ROUND(IF(OR($C250="W",$C250="1/2W",$C250="1/2L"),$P250-$O250,IF($C250="X",0,-$O250)),2),0)</f>
        <v>0</v>
      </c>
      <c r="AG250" s="133">
        <f>IF($K250=AG$3,ROUND(IF(OR($C250="W",$C250="1/2W",$C250="1/2L"),$P250-$O250,IF($C250="X",0,-$O250)),2),0)</f>
        <v>0</v>
      </c>
      <c r="AH250" s="133">
        <f>IF($K250=AH$3,ROUND(IF(OR($C250="W",$C250="1/2W",$C250="1/2L"),$P250-$O250,IF($C250="X",0,-$O250)),2),0)</f>
        <v>0</v>
      </c>
      <c r="AI250" s="133">
        <f>IF($K250=AI$3,ROUND(IF(OR($C250="W",$C250="1/2W",$C250="1/2L"),$P250-$O250,IF($C250="X",0,-$O250)),2),0)</f>
        <v>0</v>
      </c>
      <c r="AJ250" s="133">
        <f>IF($K250=AJ$3,ROUND(IF(OR($C250="W",$C250="1/2W",$C250="1/2L"),$P250-$O250,IF($C250="X",0,-$O250)),2),0)</f>
        <v>0</v>
      </c>
      <c r="AK250" s="133">
        <f>IF($K250=AK$3,ROUND(IF(OR($C250="W",$C250="1/2W",$C250="1/2L"),$P250-$O250,IF($C250="X",0,-$O250)),2),0)</f>
        <v>0</v>
      </c>
      <c r="AL250" s="133">
        <f>IF($K250=AL$3,ROUND(IF(OR($C250="W",$C250="1/2W",$C250="1/2L"),$P250-$O250,IF($C250="X",0,-$O250)),2),0)</f>
        <v>0</v>
      </c>
      <c r="AM250" s="133">
        <f>IF($K250=AM$3,ROUND(IF(OR($C250="W",$C250="1/2W",$C250="1/2L"),$P250-$O250,IF($C250="X",0,-$O250)),2),0)</f>
        <v>27.84</v>
      </c>
      <c r="AN250" s="133">
        <f>IF($K250=AN$3,ROUND(IF(OR($C250="W",$C250="1/2W",$C250="1/2L"),$P250-$O250,IF($C250="X",0,-$O250)),2),0)</f>
        <v>0</v>
      </c>
      <c r="AO250" s="133">
        <f>IF($K250=AO$3,ROUND(IF(OR($C250="W",$C250="1/2W",$C250="1/2L"),$P250-$O250,IF($C250="X",0,-$O250)),2),0)</f>
        <v>0</v>
      </c>
      <c r="AP250" s="133">
        <f>IF($K250=AP$3,ROUND(IF(OR($C250="W",$C250="1/2W",$C250="1/2L"),$P250-$O250,IF($C250="X",0,-$O250)),2),0)</f>
        <v>0</v>
      </c>
      <c r="AQ250" s="133">
        <f>IF($K250=AQ$3,ROUND(IF(OR($C250="W",$C250="1/2W",$C250="1/2L"),$P250-$O250,IF($C250="X",0,-$O250)),2),0)</f>
        <v>0</v>
      </c>
      <c r="AR250" s="134">
        <f>IF($K250=AR$3,ROUND(IF(OR($C250="W",$C250="1/2W",$C250="1/2L"),$P250-$O250,IF($C250="X",0,-$O250)),2),0)</f>
        <v>0</v>
      </c>
      <c r="AS250" s="132">
        <f>IF(AND($B250=" ",$K250=AS$3),$O250,0)</f>
        <v>0</v>
      </c>
      <c r="AT250" s="133">
        <f>IF(AND($B250=" ",$K250=AT$3),$O250,0)</f>
        <v>0</v>
      </c>
      <c r="AU250" s="133">
        <f>IF(AND($B250=" ",$K250=AU$3),$O250,0)</f>
        <v>0</v>
      </c>
      <c r="AV250" s="133">
        <f>IF(AND($B250=" ",$K250=AV$3),$O250,0)</f>
        <v>0</v>
      </c>
      <c r="AW250" s="133">
        <f>IF(AND($B250=" ",$K250=AW$3),$O250,0)</f>
        <v>0</v>
      </c>
      <c r="AX250" s="133">
        <f>IF(AND($B250=" ",$K250=AX$3),$O250,0)</f>
        <v>0</v>
      </c>
      <c r="AY250" s="135">
        <f>IF(AND($B250=" ",$K250=AY$3),$O250,0)</f>
        <v>0</v>
      </c>
      <c r="AZ250" s="136">
        <f>IF(AND($B250=" ",$K250=AZ$3),$O250,0)</f>
        <v>0</v>
      </c>
      <c r="BA250" s="136">
        <f>IF(AND($B250=" ",$K250=BA$3),$O250,0)</f>
        <v>0</v>
      </c>
      <c r="BB250" s="136">
        <f>IF(AND($B250=" ",$K250=BB$3),$O250,0)</f>
        <v>0</v>
      </c>
      <c r="BC250" s="137">
        <f>IF(AND($B250=" ",$K250=BC$3),$O250,0)</f>
        <v>0</v>
      </c>
      <c r="BD250" s="133">
        <f>IF(AND($B250=" ",$K250=BD$3),$O250,0)</f>
        <v>0</v>
      </c>
      <c r="BE250" s="134">
        <f>IF(AND($B250=" ",$K250=BE$3),$O250,0)</f>
        <v>0</v>
      </c>
      <c r="BF250" s="132">
        <f>IF($K250=BF$3,IF($C250="X",0,$O250),0)</f>
        <v>0</v>
      </c>
      <c r="BG250" s="133">
        <f>IF($K250=BG$3,IF($C250="X",0,$O250),0)</f>
        <v>0</v>
      </c>
      <c r="BH250" s="133">
        <f>IF($K250=BH$3,IF($C250="X",0,$O250),0)</f>
        <v>0</v>
      </c>
      <c r="BI250" s="133">
        <f>IF($K250=BI$3,IF($C250="X",0,$O250),0)</f>
        <v>0</v>
      </c>
      <c r="BJ250" s="133">
        <f>IF($K250=BJ$3,IF($C250="X",0,$O250),0)</f>
        <v>0</v>
      </c>
      <c r="BK250" s="133">
        <f>IF($K250=BK$3,IF($C250="X",0,$O250),0)</f>
        <v>0</v>
      </c>
      <c r="BL250" s="133">
        <f>IF($K250=BL$3,IF($C250="X",0,$O250),0)</f>
        <v>0</v>
      </c>
      <c r="BM250" s="135">
        <f>IF($K250=BM$3,IF($C250="X",0,$O250),0)</f>
        <v>32.6</v>
      </c>
      <c r="BN250" s="136">
        <f>IF($K250=BN$3,IF($C250="X",0,$O250),0)</f>
        <v>0</v>
      </c>
      <c r="BO250" s="136">
        <f>IF($K250=BO$3,IF($C250="X",0,$O250),0)</f>
        <v>0</v>
      </c>
      <c r="BP250" s="136">
        <f>IF($K250=BP$3,IF($C250="X",0,$O250),0)</f>
        <v>0</v>
      </c>
      <c r="BQ250" s="137">
        <f>IF($K250=BQ$3,IF($C250="X",0,$O250),0)</f>
        <v>0</v>
      </c>
      <c r="BR250" s="134">
        <f>IF($K250=BR$3,IF($C250="X",0,$O250),0)</f>
        <v>0</v>
      </c>
      <c r="BS250" s="170">
        <f>IF($B250="LOSS",IF(AND($K250=BS$3,$C250="L"),-$O250,0)+IF(AND($K251=BS$3,$C251="L"),-$O251,0)+IF(AND($K252=BS$3,$C252="L"),-$O252,0),IF(OR(AND($K250=BS$3,OR($C250="W",$C250="1/2W")),AND($K251=BS$3,OR($C251="W",$C251="1/2W")),AND($K252=BS$3,OR($C252="W",$C252="1/2W"))),$S250,0))</f>
        <v>0</v>
      </c>
      <c r="BT250" s="272">
        <f>IF($B250="LOSS",IF(AND($K250=BT$3,$C250="L"),-$O250,0)+IF(AND($K251=BT$3,$C251="L"),-$O251,0)+IF(AND($K251=BT$3,$C252="L"),-$O252,0),IF(OR(AND($K251=BT$3,OR($C250="W",$C250="1/2W")),AND($K251=BT$3,OR($C251="W",$C251="1/2W")),AND($K251=BT$3,OR($C252="W",$C252="1/2W"))),$S250,0))</f>
        <v>0</v>
      </c>
      <c r="BU250" s="136">
        <f>IF($B250="LOSS",IF(AND($K250=BU$3,$C250="L"),-$O250,0)+IF(AND($K251=BU$3,$C251="L"),-$O251,0)+IF(AND($K251=BU$3,$C252="L"),-$O252,0),IF(OR(AND($K251=BU$3,OR($C250="W",$C250="1/2W")),AND($K251=BU$3,OR($C251="W",$C251="1/2W")),AND($K251=BU$3,OR($C252="W",$C252="1/2W"))),$S250,0))</f>
        <v>0</v>
      </c>
      <c r="BV250" s="136">
        <f>IF($B250="LOSS",IF(AND($K250=BV$3,$C250="L"),-$O250,0)+IF(AND($K251=BV$3,$C251="L"),-$O251,0)+IF(AND($K252=BV$3,$C252="L"),-$O252,0),IF(OR(AND($K250=BV$3,OR($C250="W",$C250="1/2W")),AND($K251=BV$3,OR($C251="W",$C251="1/2W")),AND($K252=BV$3,OR($C252="W",$C252="1/2W"))),$S250,0))</f>
        <v>0</v>
      </c>
      <c r="BW250" s="136">
        <f>IF($B250="LOSS",IF(AND($K250=BW$3,$C250="L"),-$O250,0)+IF(AND($K251=BW$3,$C251="L"),-$O251,0)+IF(AND($K252=BW$3,$C252="L"),-$O252,0),IF(OR(AND($K250=BW$3,OR($C250="W",$C250="1/2W")),AND($K251=BW$3,OR($C251="W",$C251="1/2W")),AND($K252=BW$3,OR($C252="W",$C252="1/2W"))),$S250,0))</f>
        <v>0</v>
      </c>
      <c r="BX250" s="136">
        <f>IF($B250="LOSS",IF(AND($K250=BX$3,$C250="L"),-$O250,0)+IF(AND($K251=BX$3,$C251="L"),-$O251,0)+IF(AND($K252=BX$3,$C252="L"),-$O252,0),IF(OR(AND($K250=BX$3,OR($C250="W",$C250="1/2W")),AND($K251=BX$3,OR($C251="W",$C251="1/2W")),AND($K252=BX$3,OR($C252="W",$C252="1/2W"))),$S250,0))</f>
        <v>0</v>
      </c>
      <c r="BY250" s="136">
        <f>IF($B250="LOSS",IF(AND($K250=BY$3,$C250="L"),-$O250,0)+IF(AND($K251=BY$3,$C251="L"),-$O251,0)+IF(AND($K252=BY$3,$C252="L"),-$O252,0),IF(OR(AND($K250=BY$3,OR($C250="W",$C250="1/2W")),AND($K251=BY$3,OR($C251="W",$C251="1/2W")),AND($K252=BY$3,OR($C252="W",$C252="1/2W"))),$S250,0))</f>
        <v>0</v>
      </c>
      <c r="BZ250" s="136">
        <f>IF($B250="LOSS",IF(AND($K250=BZ$3,$C250="L"),-$O250,0)+IF(AND($K251=BZ$3,$C251="L"),-$O251,0)+IF(AND($K252=BZ$3,$C252="L"),-$O252,0),IF(OR(AND($K250=BZ$3,OR($C250="W",$C250="1/2W")),AND($K251=BZ$3,OR($C251="W",$C251="1/2W")),AND($K252=BZ$3,OR($C252="W",$C252="1/2W"))),$S250,0))</f>
        <v>2.39</v>
      </c>
      <c r="CA250" s="136">
        <f>IF($B250="LOSS",IF(AND($K250=CA$3,$C250="L"),-$O250,0)+IF(AND($K251=CA$3,$C251="L"),-$O251,0)+IF(AND($K252=CA$3,$C252="L"),-$O252,0),IF(OR(AND($K250=CA$3,OR($C250="W",$C250="1/2W")),AND($K251=CA$3,OR($C251="W",$C251="1/2W")),AND($K252=CA$3,OR($C252="W",$C252="1/2W"))),$S250,0))</f>
        <v>0</v>
      </c>
      <c r="CB250" s="136">
        <f>IF($B250="LOSS",IF(AND($K250=CB$3,$C250="L"),-$O250,0)+IF(AND($K251=CB$3,$C251="L"),-$O251,0)+IF(AND($K252=CB$3,$C252="L"),-$O252,0),IF(OR(AND($K250=CB$3,OR($C250="W",$C250="1/2W")),AND($K251=CB$3,OR($C251="W",$C251="1/2W")),AND($K252=CB$3,OR($C252="W",$C252="1/2W"))),$S250,0))</f>
        <v>0</v>
      </c>
      <c r="CC250" s="136">
        <f>IF($B250="LOSS",IF(AND($K250=CC$3,$C250="L"),-$O250,0)+IF(AND($K251=CC$3,$C251="L"),-$O251,0)+IF(AND($K252=CC$3,$C252="L"),-$O252,0),IF(OR(AND($K250=CC$3,OR($C250="W",$C250="1/2W")),AND($K251=CC$3,OR($C251="W",$C251="1/2W")),AND($K252=CC$3,OR($C252="W",$C252="1/2W"))),$S250,0))</f>
        <v>0</v>
      </c>
      <c r="CD250" s="137">
        <f>IF($B250="LOSS",IF(AND($K250=CD$3,$C250="L"),-$O250,0)+IF(AND($K251=CD$3,$C251="L"),-$O251,0)+IF(AND($K252=CD$3,$C252="L"),-$O252,0),IF(OR(AND($K250=CD$3,OR($C250="W",$C250="1/2W")),AND($K251=CD$3,OR($C251="W",$C251="1/2W")),AND($K252=CD$3,OR($C252="W",$C252="1/2W"))),$S250,0))</f>
        <v>0</v>
      </c>
      <c r="CE250" s="134">
        <f>IF($B250="LOSS",IF(AND($K250=CE$3,$C250="L"),-$O250,0)+IF(AND($K251=CE$3,$C251="L"),-$O251,0)+IF(AND($K252=CE$3,$C252="L"),-$O252,0),IF(OR(AND($K250=CE$3,OR($C250="W",$C250="1/2W")),AND($K251=CE$3,OR($C251="W",$C251="1/2W")),AND($K252=CE$3,OR($C252="W",$C252="1/2W"))),$S250,0))</f>
        <v>0</v>
      </c>
      <c r="CF250" s="273">
        <f>IF(CF$3=$K250,IF($C250="W",1,IF($C250="1/2W",0.5,0)),0)</f>
        <v>0</v>
      </c>
      <c r="CG250" s="274">
        <f>IF(CF$3=$K250,IF($C250="L",1,IF($C250="1/2L",0.5,0)),0)</f>
        <v>0</v>
      </c>
      <c r="CH250" s="274">
        <f>IF(CH$3=$K250,IF($C250="W",1,IF($C250="1/2W",0.5,0)),0)</f>
        <v>0</v>
      </c>
      <c r="CI250" s="274">
        <f>IF(CH$3=$K250,IF($C250="L",1,IF($C250="1/2L",0.5,0)),0)</f>
        <v>0</v>
      </c>
      <c r="CJ250" s="274">
        <f>IF(CJ$3=$K250,IF($C250="W",1,IF($C250="1/2W",0.5,0)),0)</f>
        <v>0</v>
      </c>
      <c r="CK250" s="274">
        <f>IF(CJ$3=$K250,IF($C250="L",1,IF($C250="1/2L",0.5,0)),0)</f>
        <v>0</v>
      </c>
      <c r="CL250" s="274">
        <f>IF(CL$3=$K250,IF($C250="W",1,IF($C250="1/2W",0.5,0)),0)</f>
        <v>0</v>
      </c>
      <c r="CM250" s="274">
        <f>IF(CL$3=$K250,IF($C250="L",1,IF($C250="1/2L",0.5,0)),0)</f>
        <v>0</v>
      </c>
      <c r="CN250" s="274">
        <f>IF(CN$3=$K250,IF($C250="W",1,IF($C250="1/2W",0.5,0)),0)</f>
        <v>0</v>
      </c>
      <c r="CO250" s="274">
        <f>IF(CN$3=$K250,IF($C250="L",1,IF($C250="1/2L",0.5,0)),0)</f>
        <v>0</v>
      </c>
      <c r="CP250" s="274">
        <f>IF(CP$3=$K250,IF($C250="W",1,IF($C250="1/2W",0.5,0)),0)</f>
        <v>0</v>
      </c>
      <c r="CQ250" s="274">
        <f>IF(CP$3=$K250,IF($C250="L",1,IF($C250="1/2L",0.5,0)),0)</f>
        <v>0</v>
      </c>
      <c r="CR250" s="274">
        <f>IF(CR$3=$K250,IF($C250="W",1,IF($C250="1/2W",0.5,0)),0)</f>
        <v>0</v>
      </c>
      <c r="CS250" s="274">
        <f>IF(CR$3=$K250,IF($C250="L",1,IF($C250="1/2L",0.5,0)),0)</f>
        <v>0</v>
      </c>
      <c r="CT250" s="145">
        <f>IF(CT$3=$K250,IF($C250="W",1,IF($C250="1/2W",0.5,0)),0)</f>
        <v>1</v>
      </c>
      <c r="CU250" s="146">
        <f>IF(CT$3=$K250,IF($C250="L",1,IF($C250="1/2L",0.5,0)),0)</f>
        <v>0</v>
      </c>
      <c r="CV250" s="146">
        <f>IF(CV$3=$K250,IF($C250="W",1,IF($C250="1/2W",0.5,0)),0)</f>
        <v>0</v>
      </c>
      <c r="CW250" s="146">
        <f>IF(CV$3=$K250,IF($C250="L",1,IF($C250="1/2L",0.5,0)),0)</f>
        <v>0</v>
      </c>
      <c r="CX250" s="146">
        <f>IF(CX$3=$K250,IF($C250="W",1,IF($C250="1/2W",0.5,0)),0)</f>
        <v>0</v>
      </c>
      <c r="CY250" s="146">
        <f>IF(CX$3=$K250,IF($C250="L",1,IF($C250="1/2L",0.5,0)),0)</f>
        <v>0</v>
      </c>
      <c r="CZ250" s="146">
        <f>IF(CZ$3=$K250,IF($C250="W",1,IF($C250="1/2W",0.5,0)),0)</f>
        <v>0</v>
      </c>
      <c r="DA250" s="146">
        <f>IF(CZ$3=$K250,IF($C250="L",1,IF($C250="1/2L",0.5,0)),0)</f>
        <v>0</v>
      </c>
      <c r="DB250" s="146">
        <f>IF(DB$3=$K250,IF($C250="W",1,IF($C250="1/2W",0.5,0)),0)</f>
        <v>0</v>
      </c>
      <c r="DC250" s="146">
        <f>IF(DB$3=$K250,IF($C250="L",1,IF($C250="1/2L",0.5,0)),0)</f>
        <v>0</v>
      </c>
      <c r="DD250" s="146">
        <f>IF(DD$3=$K250,IF($C250="W",1,IF($C250="1/2W",0.5,0)),0)</f>
        <v>0</v>
      </c>
      <c r="DE250" s="147">
        <f>IF(DD$3=$K250,IF($C250="L",1,IF($C250="1/2L",0.5,0)),0)</f>
        <v>0</v>
      </c>
      <c r="DF250" s="143">
        <f>IF(AND(L250&lt;DF$3,$C250="W"),1+DF249,DF249)</f>
        <v>9</v>
      </c>
      <c r="DG250" s="133">
        <f>IF(DF250&gt;DF249,L250+DG249,DG249)</f>
        <v>11.898</v>
      </c>
      <c r="DH250" s="146">
        <f>IF(AND(L250&gt;DH$3,$C250="W"),1+DH249,0+DH249)</f>
        <v>6</v>
      </c>
      <c r="DI250" s="133">
        <f>IF(DH250&gt;DH249,L250+DI249,DI249)</f>
        <v>30.83</v>
      </c>
      <c r="DJ250" t="s" s="304">
        <f>IF($D250="","",$D250)</f>
        <v>229</v>
      </c>
      <c r="DK250" s="146">
        <f>IF(AND($B250=" ",$D250&lt;&gt;""),1,0)</f>
        <v>0</v>
      </c>
    </row>
    <row r="251" ht="14.55" customHeight="1">
      <c r="A251" s="107"/>
      <c r="B251" s="108"/>
      <c r="C251" t="s" s="109">
        <v>51</v>
      </c>
      <c r="D251" s="110"/>
      <c r="E251" s="111"/>
      <c r="F251" s="113"/>
      <c r="G251" s="252"/>
      <c r="H251" s="114"/>
      <c r="I251" t="s" s="275">
        <v>62</v>
      </c>
      <c r="J251" t="s" s="295">
        <f>IF(OR(I250="TO",I250="TU",I250="TO1",I250="TU1",I250="TO2",I250="TU2"),J250,IF(OR(I250="AH1",I250="AH2"),IF(OR(I251="AH1",I251="AH2"),-J250,IF(OR(I251="EH1",I251="EH2"),-J250+0.5,"")),IF(OR(I250="EH1",I250="EH2"),IF(OR(I251="AH1",I251="AH2"),-J250+0.5,IF(OR(I251="EH1",I251="EH2"),-J250+1,"")),IF(AND(OR(I250="DNB1",I250="DNB2"),OR(I251="AH1",I251="AH2")),0,IF(AND(I250="Not ScoreBoth",OR(I251="TO1",I251="TO2")),0.5,"")))))</f>
      </c>
      <c r="K251" t="s" s="117">
        <v>37</v>
      </c>
      <c r="L251" s="277">
        <v>2.375</v>
      </c>
      <c r="M251" s="278">
        <v>25.45</v>
      </c>
      <c r="N251" s="120"/>
      <c r="O251" s="121">
        <f>IF(OR(AE250="",AE251=""),"",ROUND(IF(L252&gt;0,IF(M251&gt;0,M251,IF(M250&gt;0,IF(N250=TRUE,ROUND((M250*AE251)/AE250,0),(M250*AE251)/AE250),IF(M251&gt;0,ROUND(M251,IF(N250=0,2,IF(N250=0.1,1,0))),IF(M252&gt;0,ROUND(O252*AE251/AE252,IF(N250=0,2,IF(N250=0.1,1,0))),0)))),IF(M251&gt;0,M251,ROUND((M250*AE251)/AE250,IF(N250=0,2,IF(N250=0.1,1,0))))),2))</f>
        <v>25.45</v>
      </c>
      <c r="P251" s="122">
        <f>IF(OR(L251="",O251=""),"",IF($C251="1/2W",O251/2+O251/2*L251,IF($C251="1/2L",O251/2,IF(I251="Lay",((O251*(L251/(L251-1)))-O251)*(1-_xlfn.XLOOKUP(K251,'Janeiro 2023 - Valor Real'!A3:A15,'Janeiro 2023 - Valor Real'!C3:C15,0))+O251,(O251*L251-O251)*(1-_xlfn.XLOOKUP(K251,'Janeiro 2023 - Valor Real'!A3:A15,'Janeiro 2023 - Valor Real'!C3:C15,0))+O251))))</f>
        <v>60.44375</v>
      </c>
      <c r="Q251" s="279">
        <f>IF(K251="","",IF(_xlfn.XLOOKUP(K251,K$95:K113,DJ$95:DJ113,0,,-1)=DJ251,_xlfn.XLOOKUP(K251,K$95:K113,Q$95:Q113,1,,-1)+1,1))</f>
        <v>1</v>
      </c>
      <c r="R251" s="280">
        <f>IF(K251="","",_xlfn.XLOOKUP(K251,K$95:K113,R$95:R113,0,,-1)+IF($C251=" ",1,0))</f>
        <v>0</v>
      </c>
      <c r="S251" s="125"/>
      <c r="T251" s="126"/>
      <c r="U251" s="126"/>
      <c r="V251" s="224"/>
      <c r="W251" s="126"/>
      <c r="X251" s="127"/>
      <c r="Y251" s="128"/>
      <c r="Z251" s="129"/>
      <c r="AA251" s="129"/>
      <c r="AB251" s="129"/>
      <c r="AC251" s="129"/>
      <c r="AD251" s="130"/>
      <c r="AE251" s="131">
        <f>IF(L251="","",IF(L252&gt;0,(SUM(((L250-1)*(1-_xlfn.XLOOKUP(K250,'Janeiro 2023 - Valor Real'!A3:A15,'Janeiro 2023 - Valor Real'!C3:C15,0))+1),((L251-1)*(1-_xlfn.XLOOKUP(K251,'Janeiro 2023 - Valor Real'!A3:A15,'Janeiro 2023 - Valor Real'!C3:C15,0))+1),((L252-1)*(1-_xlfn.XLOOKUP(K252,'Janeiro 2023 - Valor Real'!A3:A15,'Janeiro 2023 - Valor Real'!C3:C15,0))+1))/((L251-1)*(1-_xlfn.XLOOKUP(K251,'Janeiro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Real'!C3:C15,0))+1))/((L250-1)*(1-_xlfn.XLOOKUP(K250,'Janeiro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Real'!C3:C15,0))+1))/((L251-1)*(1-_xlfn.XLOOKUP(K251,'Janeiro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Real'!C3:C15,0))+1))/((L252-1)*(1-_xlfn.XLOOKUP(K252,'Janeiro 2023 - Valor Real'!A3:A15,'Janeiro 2023 - Valor Real'!C3:C15,0))+1)),IF(I251="Lay",IF(I250="Lay",((L250/(L250-1)-1)*(1-_xlfn.XLOOKUP(K250,'Janeiro 2023 - Valor Real'!A3:A15,'Janeiro 2023 - Valor Real'!C3:C15,0))+1)/(((L250/(L250-1)-1)*(1-_xlfn.XLOOKUP(K250,'Janeiro 2023 - Valor Real'!A3:A15,'Janeiro 2023 - Valor Real'!C3:C15,0))+1)+((L251/(L251-1)-1)*(1-_xlfn.XLOOKUP(K251,'Janeiro 2023 - Valor Real'!A3:A15,'Janeiro 2023 - Valor Real'!C3:C15,0))+1)),((L250-1)*(1-_xlfn.XLOOKUP(K250,'Janeiro 2023 - Valor Real'!A3:A15,'Janeiro 2023 - Valor Real'!C3:C15,0))+1)/(((L250-1)*(1-_xlfn.XLOOKUP(K250,'Janeiro 2023 - Valor Real'!A3:A15,'Janeiro 2023 - Valor Real'!C3:C15,0))+1)+((L251/(L251-1)-1)*(1-_xlfn.XLOOKUP(K251,'Janeiro 2023 - Valor Real'!A3:A15,'Janeiro 2023 - Valor Real'!C3:C15,0))+1))),IF(I250="Lay",((L250/(L250-1)-1)*(1-_xlfn.XLOOKUP(K250,'Janeiro 2023 - Valor Real'!A3:A15,'Janeiro 2023 - Valor Real'!C3:C15,0))+1)/((((L250/(L250-1)-1)*(1-_xlfn.XLOOKUP(K250,'Janeiro 2023 - Valor Real'!A3:A15,'Janeiro 2023 - Valor Real'!C3:C15,0))+1))+((L251-1)*(1-_xlfn.XLOOKUP(K251,'Janeiro 2023 - Valor Real'!A3:A15,'Janeiro 2023 - Valor Real'!C3:C15,0))+1)),((L250-1)*(1-_xlfn.XLOOKUP(K250,'Janeiro 2023 - Valor Real'!A3:A15,'Janeiro 2023 - Valor Real'!C3:C15,0))+1)/(((L250-1)*(1-_xlfn.XLOOKUP(K250,'Janeiro 2023 - Valor Real'!A3:A15,'Janeiro 2023 - Valor Real'!C3:C15,0))+1)+((L251-1)*(1-_xlfn.XLOOKUP(K251,'Janeiro 2023 - Valor Real'!A3:A15,'Janeiro 2023 - Valor Real'!C3:C15,0))+1))))))</f>
        <v>0.438401513360132</v>
      </c>
      <c r="AF251" s="132">
        <f>IF($K251=AF$3,ROUND(IF(OR($C251="W",$C251="1/2W",$C251="1/2L"),$P251-$O251,IF($C251="X",0,-$O251)),2),0)</f>
        <v>-25.45</v>
      </c>
      <c r="AG251" s="133">
        <f>IF($K251=AG$3,ROUND(IF(OR($C251="W",$C251="1/2W",$C251="1/2L"),$P251-$O251,IF($C251="X",0,-$O251)),2),0)</f>
        <v>0</v>
      </c>
      <c r="AH251" s="133">
        <f>IF($K251=AH$3,ROUND(IF(OR($C251="W",$C251="1/2W",$C251="1/2L"),$P251-$O251,IF($C251="X",0,-$O251)),2),0)</f>
        <v>0</v>
      </c>
      <c r="AI251" s="133">
        <f>IF($K251=AI$3,ROUND(IF(OR($C251="W",$C251="1/2W",$C251="1/2L"),$P251-$O251,IF($C251="X",0,-$O251)),2),0)</f>
        <v>0</v>
      </c>
      <c r="AJ251" s="133">
        <f>IF($K251=AJ$3,ROUND(IF(OR($C251="W",$C251="1/2W",$C251="1/2L"),$P251-$O251,IF($C251="X",0,-$O251)),2),0)</f>
        <v>0</v>
      </c>
      <c r="AK251" s="133">
        <f>IF($K251=AK$3,ROUND(IF(OR($C251="W",$C251="1/2W",$C251="1/2L"),$P251-$O251,IF($C251="X",0,-$O251)),2),0)</f>
        <v>0</v>
      </c>
      <c r="AL251" s="133">
        <f>IF($K251=AL$3,ROUND(IF(OR($C251="W",$C251="1/2W",$C251="1/2L"),$P251-$O251,IF($C251="X",0,-$O251)),2),0)</f>
        <v>0</v>
      </c>
      <c r="AM251" s="133">
        <f>IF($K251=AM$3,ROUND(IF(OR($C251="W",$C251="1/2W",$C251="1/2L"),$P251-$O251,IF($C251="X",0,-$O251)),2),0)</f>
        <v>0</v>
      </c>
      <c r="AN251" s="133">
        <f>IF($K251=AN$3,ROUND(IF(OR($C251="W",$C251="1/2W",$C251="1/2L"),$P251-$O251,IF($C251="X",0,-$O251)),2),0)</f>
        <v>0</v>
      </c>
      <c r="AO251" s="133">
        <f>IF($K251=AO$3,ROUND(IF(OR($C251="W",$C251="1/2W",$C251="1/2L"),$P251-$O251,IF($C251="X",0,-$O251)),2),0)</f>
        <v>0</v>
      </c>
      <c r="AP251" s="133">
        <f>IF($K251=AP$3,ROUND(IF(OR($C251="W",$C251="1/2W",$C251="1/2L"),$P251-$O251,IF($C251="X",0,-$O251)),2),0)</f>
        <v>0</v>
      </c>
      <c r="AQ251" s="133">
        <f>IF($K251=AQ$3,ROUND(IF(OR($C251="W",$C251="1/2W",$C251="1/2L"),$P251-$O251,IF($C251="X",0,-$O251)),2),0)</f>
        <v>0</v>
      </c>
      <c r="AR251" s="134">
        <f>IF($K251=AR$3,ROUND(IF(OR($C251="W",$C251="1/2W",$C251="1/2L"),$P251-$O251,IF($C251="X",0,-$O251)),2),0)</f>
        <v>0</v>
      </c>
      <c r="AS251" s="132">
        <f>IF(AND($B250=" ",$K251=AS$3),$O251,0)</f>
        <v>0</v>
      </c>
      <c r="AT251" s="133">
        <f>IF(AND($B250=" ",K251=AT$3),$O251,0)</f>
        <v>0</v>
      </c>
      <c r="AU251" s="133">
        <f>IF(AND($B250=" ",$K251=AU$3),$O251,0)</f>
        <v>0</v>
      </c>
      <c r="AV251" s="133">
        <f>IF(AND($B250=" ",$K251=AV$3),$O251,0)</f>
        <v>0</v>
      </c>
      <c r="AW251" s="133">
        <f>IF(AND($B250=" ",$K251=AW$3),$O251,0)</f>
        <v>0</v>
      </c>
      <c r="AX251" s="133">
        <f>IF(AND($B250=" ",$K251=AX$3),$O251,0)</f>
        <v>0</v>
      </c>
      <c r="AY251" s="135">
        <f>IF(AND($B250=" ",$K251=AY$3),$O251,0)</f>
        <v>0</v>
      </c>
      <c r="AZ251" s="136">
        <f>IF(AND($B250=" ",$K251=AZ$3),$O251,0)</f>
        <v>0</v>
      </c>
      <c r="BA251" s="136">
        <f>IF(AND($B250=" ",$K251=BA$3),$O251,0)</f>
        <v>0</v>
      </c>
      <c r="BB251" s="136">
        <f>IF(AND($B250=" ",$K251=BB$3),$O251,0)</f>
        <v>0</v>
      </c>
      <c r="BC251" s="137">
        <f>IF(AND($B250=" ",$K251=BC$3),$O251,0)</f>
        <v>0</v>
      </c>
      <c r="BD251" s="133">
        <f>IF(AND($B250=" ",$K251=BD$3),$O251,0)</f>
        <v>0</v>
      </c>
      <c r="BE251" s="134">
        <f>IF(AND($B250=" ",$K251=BE$3),$O251,0)</f>
        <v>0</v>
      </c>
      <c r="BF251" s="132">
        <f>IF($K251=BF$3,IF($C251="X",0,$O251),0)</f>
        <v>25.45</v>
      </c>
      <c r="BG251" s="281">
        <f>IF($K251=BG$3,IF($C251="X",0,$O251),0)</f>
        <v>0</v>
      </c>
      <c r="BH251" s="133">
        <f>IF($K251=BH$3,IF($C251="X",0,$O251),0)</f>
        <v>0</v>
      </c>
      <c r="BI251" s="133">
        <f>IF($K251=BI$3,IF($C251="X",0,$O251),0)</f>
        <v>0</v>
      </c>
      <c r="BJ251" s="133">
        <f>IF($K251=BJ$3,IF($C251="X",0,$O251),0)</f>
        <v>0</v>
      </c>
      <c r="BK251" s="133">
        <f>IF($K251=BK$3,IF($C251="X",0,$O251),0)</f>
        <v>0</v>
      </c>
      <c r="BL251" s="133">
        <f>IF($K251=BL$3,IF($C251="X",0,$O251),0)</f>
        <v>0</v>
      </c>
      <c r="BM251" s="135">
        <f>IF($K251=BM$3,IF($C251="X",0,$O251),0)</f>
        <v>0</v>
      </c>
      <c r="BN251" s="136">
        <f>IF($K251=BN$3,IF($C251="X",0,$O251),0)</f>
        <v>0</v>
      </c>
      <c r="BO251" s="136">
        <f>IF($K251=BO$3,IF($C251="X",0,$O251),0)</f>
        <v>0</v>
      </c>
      <c r="BP251" s="136">
        <f>IF($K251=BP$3,IF($C251="X",0,$O251),0)</f>
        <v>0</v>
      </c>
      <c r="BQ251" s="137">
        <f>IF($K251=BQ$3,IF($C251="X",0,$O251),0)</f>
        <v>0</v>
      </c>
      <c r="BR251" s="134">
        <f>IF($K251=BR$3,IF($C251="X",0,$O251),0)</f>
        <v>0</v>
      </c>
      <c r="BS251" s="282"/>
      <c r="BT251" s="283"/>
      <c r="BU251" s="140"/>
      <c r="BV251" s="283"/>
      <c r="BW251" s="140"/>
      <c r="BX251" s="140"/>
      <c r="BY251" s="140"/>
      <c r="BZ251" s="283"/>
      <c r="CA251" s="140"/>
      <c r="CB251" s="140"/>
      <c r="CC251" s="140"/>
      <c r="CD251" s="141"/>
      <c r="CE251" s="142"/>
      <c r="CF251" s="284">
        <f>IF(CF$3=$K251,IF($C251="W",1,IF($C251="1/2W",0.5,0)),0)</f>
        <v>0</v>
      </c>
      <c r="CG251" s="285">
        <f>IF(CF$3=$K251,IF($C251="L",1,IF($C251="1/2L",0.5,0)),0)</f>
        <v>1</v>
      </c>
      <c r="CH251" s="285">
        <f>IF(CH$3=$K251,IF($C251="W",1,IF($C251="1/2W",0.5,0)),0)</f>
        <v>0</v>
      </c>
      <c r="CI251" s="285">
        <f>IF(CH$3=$K251,IF($C251="L",1,IF($C251="1/2L",0.5,0)),0)</f>
        <v>0</v>
      </c>
      <c r="CJ251" s="285">
        <f>IF(CJ$3=$K251,IF($C251="W",1,IF($C251="1/2W",0.5,0)),0)</f>
        <v>0</v>
      </c>
      <c r="CK251" s="285">
        <f>IF(CJ$3=$K251,IF($C251="L",1,IF($C251="1/2L",0.5,0)),0)</f>
        <v>0</v>
      </c>
      <c r="CL251" s="285">
        <f>IF(CL$3=$K251,IF($C251="W",1,IF($C251="1/2W",0.5,0)),0)</f>
        <v>0</v>
      </c>
      <c r="CM251" s="285">
        <f>IF(CL$3=$K251,IF($C251="L",1,IF($C251="1/2L",0.5,0)),0)</f>
        <v>0</v>
      </c>
      <c r="CN251" s="285">
        <f>IF(CN$3=$K251,IF($C251="W",1,IF($C251="1/2W",0.5,0)),0)</f>
        <v>0</v>
      </c>
      <c r="CO251" s="285">
        <f>IF(CN$3=$K251,IF($C251="L",1,IF($C251="1/2L",0.5,0)),0)</f>
        <v>0</v>
      </c>
      <c r="CP251" s="285">
        <f>IF(CP$3=$K251,IF($C251="W",1,IF($C251="1/2W",0.5,0)),0)</f>
        <v>0</v>
      </c>
      <c r="CQ251" s="285">
        <f>IF(CP$3=$K251,IF($C251="L",1,IF($C251="1/2L",0.5,0)),0)</f>
        <v>0</v>
      </c>
      <c r="CR251" s="285">
        <f>IF(CR$3=$K251,IF($C251="W",1,IF($C251="1/2W",0.5,0)),0)</f>
        <v>0</v>
      </c>
      <c r="CS251" s="285">
        <f>IF(CR$3=$K251,IF($C251="L",1,IF($C251="1/2L",0.5,0)),0)</f>
        <v>0</v>
      </c>
      <c r="CT251" s="145">
        <f>IF(CT$3=$K251,IF($C251="W",1,IF($C251="1/2W",0.5,0)),0)</f>
        <v>0</v>
      </c>
      <c r="CU251" s="146">
        <f>IF(CT$3=$K251,IF($C251="L",1,IF($C251="1/2L",0.5,0)),0)</f>
        <v>0</v>
      </c>
      <c r="CV251" s="146">
        <f>IF(CV$3=$K251,IF($C251="W",1,IF($C251="1/2W",0.5,0)),0)</f>
        <v>0</v>
      </c>
      <c r="CW251" s="146">
        <f>IF(CV$3=$K251,IF($C251="L",1,IF($C251="1/2L",0.5,0)),0)</f>
        <v>0</v>
      </c>
      <c r="CX251" s="146">
        <f>IF(CX$3=$K251,IF($C251="W",1,IF($C251="1/2W",0.5,0)),0)</f>
        <v>0</v>
      </c>
      <c r="CY251" s="146">
        <f>IF(CX$3=$K251,IF($C251="L",1,IF($C251="1/2L",0.5,0)),0)</f>
        <v>0</v>
      </c>
      <c r="CZ251" s="146">
        <f>IF(CZ$3=$K251,IF($C251="W",1,IF($C251="1/2W",0.5,0)),0)</f>
        <v>0</v>
      </c>
      <c r="DA251" s="146">
        <f>IF(CZ$3=$K251,IF($C251="L",1,IF($C251="1/2L",0.5,0)),0)</f>
        <v>0</v>
      </c>
      <c r="DB251" s="146">
        <f>IF(DB$3=$K251,IF($C251="W",1,IF($C251="1/2W",0.5,0)),0)</f>
        <v>0</v>
      </c>
      <c r="DC251" s="146">
        <f>IF(DB$3=$K251,IF($C251="L",1,IF($C251="1/2L",0.5,0)),0)</f>
        <v>0</v>
      </c>
      <c r="DD251" s="146">
        <f>IF(DD$3=$K251,IF($C251="W",1,IF($C251="1/2W",0.5,0)),0)</f>
        <v>0</v>
      </c>
      <c r="DE251" s="147">
        <f>IF(DD$3=$K251,IF($C251="L",1,IF($C251="1/2L",0.5,0)),0)</f>
        <v>0</v>
      </c>
      <c r="DF251" s="143">
        <f>IF(AND(L251&lt;DF$3,$C251="W"),1+DF250,DF250)</f>
        <v>9</v>
      </c>
      <c r="DG251" s="133">
        <f>IF(DF251&gt;DF250,L251+DG250,DG250)</f>
        <v>11.898</v>
      </c>
      <c r="DH251" s="146">
        <f>IF(AND(L251&gt;DH$3,$C251="W"),1+DH250,0+DH250)</f>
        <v>6</v>
      </c>
      <c r="DI251" s="133">
        <f>IF(DH251&gt;DH250,L251+DI250,DI250)</f>
        <v>30.83</v>
      </c>
      <c r="DJ251" t="s" s="304">
        <f>IF($D250="","",$D250)</f>
        <v>229</v>
      </c>
      <c r="DK251" s="286"/>
    </row>
    <row r="252" ht="14.55" customHeight="1">
      <c r="A252" s="149"/>
      <c r="B252" s="150"/>
      <c r="C252" t="s" s="151">
        <v>58</v>
      </c>
      <c r="D252" s="152"/>
      <c r="E252" s="153"/>
      <c r="F252" s="155"/>
      <c r="G252" s="252"/>
      <c r="H252" s="156"/>
      <c r="I252" s="287"/>
      <c r="J252" s="288"/>
      <c r="K252" s="156"/>
      <c r="L252" s="289"/>
      <c r="M252" s="290"/>
      <c r="N252" s="161"/>
      <c r="O252" t="s" s="162">
        <f>IF(OR(AE250="",AE251=""),"",IF(L252&gt;0,ROUND(IF(M252&gt;0,M252,IF(M250&gt;0,ROUND((M250*AE252)/AE250,IF(N250=0,2,IF(N250=0.1,1,0))),IF(M251&gt;0,ROUND((M251*AE252)/AE251,IF(N250=0,2,IF(N250=0.1,1,0))),IF(M252&gt;0,M252,0)))),2),""))</f>
      </c>
      <c r="P252" t="s" s="163">
        <f>IF(I251="Lay",O251*(L251/(L251-1))-O251,IF(I250="Lay",O250*(L250/(L250-1))-O250,IF(OR(L252="",O252=""),"",IF($C252="1/2W",O252/2+O252/2*L252,IF($C252="1/2L",O252/2,(O252*L252-O252)*(1-_xlfn.XLOOKUP(K252,'Janeiro 2023 - Valor Real'!A3:A15,'Janeiro 2023 - Valor Real'!C3:C15,0))+O252)))))</f>
      </c>
      <c r="Q252" t="s" s="154">
        <f>IF(K252="","",IF(_xlfn.XLOOKUP(K252,K$96:K114,DJ$96:DJ114,0,,-1)=DJ252,_xlfn.XLOOKUP(K252,K$96:K114,Q$96:Q114,1,,-1)+1,1))</f>
      </c>
      <c r="R252" t="s" s="163">
        <f>IF(K252="","",_xlfn.XLOOKUP(K252,K$96:K114,R$96:R114,0,,-1)+IF($C252=" ",1,0))</f>
      </c>
      <c r="S252" s="166"/>
      <c r="T252" s="155"/>
      <c r="U252" s="155"/>
      <c r="V252" s="166"/>
      <c r="W252" s="155"/>
      <c r="X252" s="167"/>
      <c r="Y252" s="128"/>
      <c r="Z252" s="129"/>
      <c r="AA252" s="129"/>
      <c r="AB252" s="129"/>
      <c r="AC252" s="129"/>
      <c r="AD252" s="168"/>
      <c r="AE252" t="s" s="169">
        <f>IF(L252="","",(SUM(((L250-1)*(1-_xlfn.XLOOKUP(K250,'Janeiro 2023 - Valor Real'!A3:A15,'Janeiro 2023 - Valor Real'!C3:C15,0))+1),((L251-1)*(1-_xlfn.XLOOKUP(K251,'Janeiro 2023 - Valor Real'!A3:A15,'Janeiro 2023 - Valor Real'!C3:C15,0))+1),((L252-1)*(1-_xlfn.XLOOKUP(K252,'Janeiro 2023 - Valor Real'!A3:A15,'Janeiro 2023 - Valor Real'!C3:C15,0))+1))/((L252-1)*(1-_xlfn.XLOOKUP(K252,'Janeiro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Real'!C3:C15,0))+1))/((L250-1)*(1-_xlfn.XLOOKUP(K250,'Janeiro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Real'!C3:C15,0))+1))/((L251-1)*(1-_xlfn.XLOOKUP(K251,'Janeiro 2023 - Valor Real'!A3:A15,'Janeiro 2023 - Valor Real'!C3:C15,0))+1)+SUM(((L250-1)*(1-_xlfn.XLOOKUP(K250,'Janeiro 2023 - Valor Real'!A3:A15,'Janeiro 2023 - Valor Real'!C3:C15,0))+1),((L251-1)*(1-_xlfn.XLOOKUP(K251,'Janeiro 2023 - Valor Real'!A3:A15,'Janeiro 2023 - Valor Real'!C3:C15,0))+1),((L252-1)*(1-_xlfn.XLOOKUP(K252,'Janeiro 2023 - Valor Real'!A3:A15,'Janeiro 2023 - Valor Real'!C3:C15,0))+1))/((L252-1)*(1-_xlfn.XLOOKUP(K252,'Janeiro 2023 - Valor Real'!A3:A15,'Janeiro 2023 - Valor Real'!C3:C15,0))+1)))</f>
      </c>
      <c r="AF252" s="132">
        <f>IF($K252=AF$3,ROUND(IF(OR($C252="W",$C252="1/2W",$C252="1/2L"),$P252-$O252,IF($C252="X",0,-$O252)),2),0)</f>
        <v>0</v>
      </c>
      <c r="AG252" s="133">
        <f>IF($K252=AG$3,ROUND(IF(OR($C252="W",$C252="1/2W",$C252="1/2L"),$P252-$O252,IF($C252="X",0,-$O252)),2),0)</f>
        <v>0</v>
      </c>
      <c r="AH252" s="133">
        <f>IF($K252=AH$3,ROUND(IF(OR($C252="W",$C252="1/2W",$C252="1/2L"),$P252-$O252,IF($C252="X",0,-$O252)),2),0)</f>
        <v>0</v>
      </c>
      <c r="AI252" s="133">
        <f>IF($K252=AI$3,ROUND(IF(OR($C252="W",$C252="1/2W",$C252="1/2L"),$P252-$O252,IF($C252="X",0,-$O252)),2),0)</f>
        <v>0</v>
      </c>
      <c r="AJ252" s="133">
        <f>IF($K252=AJ$3,ROUND(IF(OR($C252="W",$C252="1/2W",$C252="1/2L"),$P252-$O252,IF($C252="X",0,-$O252)),2),0)</f>
        <v>0</v>
      </c>
      <c r="AK252" s="133">
        <f>IF($K252=AK$3,ROUND(IF(OR($C252="W",$C252="1/2W",$C252="1/2L"),$P252-$O252,IF($C252="X",0,-$O252)),2),0)</f>
        <v>0</v>
      </c>
      <c r="AL252" s="133">
        <f>IF($K252=AL$3,ROUND(IF(OR($C252="W",$C252="1/2W",$C252="1/2L"),$P252-$O252,IF($C252="X",0,-$O252)),2),0)</f>
        <v>0</v>
      </c>
      <c r="AM252" s="133">
        <f>IF($K252=AM$3,ROUND(IF(OR($C252="W",$C252="1/2W",$C252="1/2L"),$P252-$O252,IF($C252="X",0,-$O252)),2),0)</f>
        <v>0</v>
      </c>
      <c r="AN252" s="133">
        <f>IF($K252=AN$3,ROUND(IF(OR($C252="W",$C252="1/2W",$C252="1/2L"),$P252-$O252,IF($C252="X",0,-$O252)),2),0)</f>
        <v>0</v>
      </c>
      <c r="AO252" s="133">
        <f>IF($K252=AO$3,ROUND(IF(OR($C252="W",$C252="1/2W",$C252="1/2L"),$P252-$O252,IF($C252="X",0,-$O252)),2),0)</f>
        <v>0</v>
      </c>
      <c r="AP252" s="133">
        <f>IF($K252=AP$3,ROUND(IF(OR($C252="W",$C252="1/2W",$C252="1/2L"),$P252-$O252,IF($C252="X",0,-$O252)),2),0)</f>
        <v>0</v>
      </c>
      <c r="AQ252" s="133">
        <f>IF($K252=AQ$3,ROUND(IF(OR($C252="W",$C252="1/2W",$C252="1/2L"),$P252-$O252,IF($C252="X",0,-$O252)),2),0)</f>
        <v>0</v>
      </c>
      <c r="AR252" s="134">
        <f>IF($K252=AR$3,ROUND(IF(OR($C252="W",$C252="1/2W",$C252="1/2L"),$P252-$O252,IF($C252="X",0,-$O252)),2),0)</f>
        <v>0</v>
      </c>
      <c r="AS252" s="132">
        <f>IF(AND($B250=" ",$K252=AS$3),$O252,0)</f>
        <v>0</v>
      </c>
      <c r="AT252" s="133">
        <f>IF(AND($B250=" ",K252=AT$3),$O252,0)</f>
        <v>0</v>
      </c>
      <c r="AU252" s="133">
        <f>IF(AND($B250=" ",$K252=AU$3),$O252,0)</f>
        <v>0</v>
      </c>
      <c r="AV252" s="133">
        <f>IF(AND($B250=" ",$K252=AV$3),$O252,0)</f>
        <v>0</v>
      </c>
      <c r="AW252" s="133">
        <f>IF(AND($B250=" ",$K252=AW$3),$O252,0)</f>
        <v>0</v>
      </c>
      <c r="AX252" s="133">
        <f>IF(AND($B250=" ",$K252=AX$3),$O252,0)</f>
        <v>0</v>
      </c>
      <c r="AY252" s="135">
        <f>IF(AND($B250=" ",$K252=AY$3),$O252,0)</f>
        <v>0</v>
      </c>
      <c r="AZ252" s="136">
        <f>IF(AND($B250=" ",$K252=AZ$3),$O252,0)</f>
        <v>0</v>
      </c>
      <c r="BA252" s="136">
        <f>IF(AND($B250=" ",$K252=BA$3),$O252,0)</f>
        <v>0</v>
      </c>
      <c r="BB252" s="136">
        <f>IF(AND($B250=" ",$K252=BB$3),$O252,0)</f>
        <v>0</v>
      </c>
      <c r="BC252" s="137">
        <f>IF(AND($B250=" ",$K252=BC$3),$O252,0)</f>
        <v>0</v>
      </c>
      <c r="BD252" s="133">
        <f>IF(AND($B250=" ",$K252=BD$3),$O252,0)</f>
        <v>0</v>
      </c>
      <c r="BE252" s="134">
        <f>IF(AND($B250=" ",$K252=BE$3),$O252,0)</f>
        <v>0</v>
      </c>
      <c r="BF252" s="132">
        <f>IF($K252=BF$3,IF($C252="X",0,$O252),0)</f>
        <v>0</v>
      </c>
      <c r="BG252" s="281">
        <f>IF($K252=BG$3,IF($C252="X",0,$O252),0)</f>
        <v>0</v>
      </c>
      <c r="BH252" s="133">
        <f>IF($K252=BH$3,IF($C252="X",0,$O252),0)</f>
        <v>0</v>
      </c>
      <c r="BI252" s="133">
        <f>IF($K252=BI$3,IF($C252="X",0,$O252),0)</f>
        <v>0</v>
      </c>
      <c r="BJ252" s="133">
        <f>IF($K252=BJ$3,IF($C252="X",0,$O252),0)</f>
        <v>0</v>
      </c>
      <c r="BK252" s="133">
        <f>IF($K252=BK$3,IF($C252="X",0,$O252),0)</f>
        <v>0</v>
      </c>
      <c r="BL252" s="133">
        <f>IF($K252=BL$3,IF($C252="X",0,$O252),0)</f>
        <v>0</v>
      </c>
      <c r="BM252" s="135">
        <f>IF($K252=BM$3,IF($C252="X",0,$O252),0)</f>
        <v>0</v>
      </c>
      <c r="BN252" s="136">
        <f>IF($K252=BN$3,IF($C252="X",0,$O252),0)</f>
        <v>0</v>
      </c>
      <c r="BO252" s="136">
        <f>IF($K252=BO$3,IF($C252="X",0,$O252),0)</f>
        <v>0</v>
      </c>
      <c r="BP252" s="136">
        <f>IF($K252=BP$3,IF($C252="X",0,$O252),0)</f>
        <v>0</v>
      </c>
      <c r="BQ252" s="137">
        <f>IF($K252=BQ$3,IF($C252="X",0,$O252),0)</f>
        <v>0</v>
      </c>
      <c r="BR252" s="134">
        <f>IF($K252=BR$3,IF($C252="X",0,$O252),0)</f>
        <v>0</v>
      </c>
      <c r="BS252" s="282"/>
      <c r="BT252" s="283"/>
      <c r="BU252" s="140"/>
      <c r="BV252" s="283"/>
      <c r="BW252" s="140"/>
      <c r="BX252" s="140"/>
      <c r="BY252" s="140"/>
      <c r="BZ252" s="283"/>
      <c r="CA252" s="140"/>
      <c r="CB252" s="140"/>
      <c r="CC252" s="140"/>
      <c r="CD252" s="141"/>
      <c r="CE252" s="142"/>
      <c r="CF252" s="284">
        <f>IF(CF$3=$K252,IF($C252="W",1,IF($C252="1/2W",0.5,0)),0)</f>
        <v>0</v>
      </c>
      <c r="CG252" s="285">
        <f>IF(CF$3=$K252,IF($C252="L",1,IF($C252="1/2L",0.5,0)),0)</f>
        <v>0</v>
      </c>
      <c r="CH252" s="285">
        <f>IF(CH$3=$K252,IF($C252="W",1,IF($C252="1/2W",0.5,0)),0)</f>
        <v>0</v>
      </c>
      <c r="CI252" s="285">
        <f>IF(CH$3=$K252,IF($C252="L",1,IF($C252="1/2L",0.5,0)),0)</f>
        <v>0</v>
      </c>
      <c r="CJ252" s="285">
        <f>IF(CJ$3=$K252,IF($C252="W",1,IF($C252="1/2W",0.5,0)),0)</f>
        <v>0</v>
      </c>
      <c r="CK252" s="285">
        <f>IF(CJ$3=$K252,IF($C252="L",1,IF($C252="1/2L",0.5,0)),0)</f>
        <v>0</v>
      </c>
      <c r="CL252" s="285">
        <f>IF(CL$3=$K252,IF($C252="W",1,IF($C252="1/2W",0.5,0)),0)</f>
        <v>0</v>
      </c>
      <c r="CM252" s="285">
        <f>IF(CL$3=$K252,IF($C252="L",1,IF($C252="1/2L",0.5,0)),0)</f>
        <v>0</v>
      </c>
      <c r="CN252" s="285">
        <f>IF(CN$3=$K252,IF($C252="W",1,IF($C252="1/2W",0.5,0)),0)</f>
        <v>0</v>
      </c>
      <c r="CO252" s="285">
        <f>IF(CN$3=$K252,IF($C252="L",1,IF($C252="1/2L",0.5,0)),0)</f>
        <v>0</v>
      </c>
      <c r="CP252" s="285">
        <f>IF(CP$3=$K252,IF($C252="W",1,IF($C252="1/2W",0.5,0)),0)</f>
        <v>0</v>
      </c>
      <c r="CQ252" s="285">
        <f>IF(CP$3=$K252,IF($C252="L",1,IF($C252="1/2L",0.5,0)),0)</f>
        <v>0</v>
      </c>
      <c r="CR252" s="285">
        <f>IF(CR$3=$K252,IF($C252="W",1,IF($C252="1/2W",0.5,0)),0)</f>
        <v>0</v>
      </c>
      <c r="CS252" s="285">
        <f>IF(CR$3=$K252,IF($C252="L",1,IF($C252="1/2L",0.5,0)),0)</f>
        <v>0</v>
      </c>
      <c r="CT252" s="145">
        <f>IF(CT$3=$K252,IF($C252="W",1,IF($C252="1/2W",0.5,0)),0)</f>
        <v>0</v>
      </c>
      <c r="CU252" s="146">
        <f>IF(CT$3=$K252,IF($C252="L",1,IF($C252="1/2L",0.5,0)),0)</f>
        <v>0</v>
      </c>
      <c r="CV252" s="146">
        <f>IF(CV$3=$K252,IF($C252="W",1,IF($C252="1/2W",0.5,0)),0)</f>
        <v>0</v>
      </c>
      <c r="CW252" s="146">
        <f>IF(CV$3=$K252,IF($C252="L",1,IF($C252="1/2L",0.5,0)),0)</f>
        <v>0</v>
      </c>
      <c r="CX252" s="146">
        <f>IF(CX$3=$K252,IF($C252="W",1,IF($C252="1/2W",0.5,0)),0)</f>
        <v>0</v>
      </c>
      <c r="CY252" s="146">
        <f>IF(CX$3=$K252,IF($C252="L",1,IF($C252="1/2L",0.5,0)),0)</f>
        <v>0</v>
      </c>
      <c r="CZ252" s="146">
        <f>IF(CZ$3=$K252,IF($C252="W",1,IF($C252="1/2W",0.5,0)),0)</f>
        <v>0</v>
      </c>
      <c r="DA252" s="146">
        <f>IF(CZ$3=$K252,IF($C252="L",1,IF($C252="1/2L",0.5,0)),0)</f>
        <v>0</v>
      </c>
      <c r="DB252" s="146">
        <f>IF(DB$3=$K252,IF($C252="W",1,IF($C252="1/2W",0.5,0)),0)</f>
        <v>0</v>
      </c>
      <c r="DC252" s="146">
        <f>IF(DB$3=$K252,IF($C252="L",1,IF($C252="1/2L",0.5,0)),0)</f>
        <v>0</v>
      </c>
      <c r="DD252" s="146">
        <f>IF(DD$3=$K252,IF($C252="W",1,IF($C252="1/2W",0.5,0)),0)</f>
        <v>0</v>
      </c>
      <c r="DE252" s="147">
        <f>IF(DD$3=$K252,IF($C252="L",1,IF($C252="1/2L",0.5,0)),0)</f>
        <v>0</v>
      </c>
      <c r="DF252" s="143">
        <f>IF(AND(L252&lt;DF$3,$C252="W"),1+DF251,DF251)</f>
        <v>9</v>
      </c>
      <c r="DG252" s="133">
        <f>IF(DF252&gt;DF251,L252+DG251,DG251)</f>
        <v>11.898</v>
      </c>
      <c r="DH252" s="146">
        <f>IF(AND(L252&gt;DH$3,$C252="W"),1+DH251,0+DH251)</f>
        <v>6</v>
      </c>
      <c r="DI252" s="133">
        <f>IF(DH252&gt;DH251,L252+DI251,DI251)</f>
        <v>30.83</v>
      </c>
      <c r="DJ252" t="s" s="304">
        <f>IF($D250="","",$D250)</f>
        <v>229</v>
      </c>
      <c r="DK252" s="286"/>
    </row>
    <row r="253" ht="14.55" customHeight="1">
      <c r="A253" s="171">
        <f>$A250+1</f>
        <v>84</v>
      </c>
      <c r="B253" t="s" s="172">
        <f>IF(AND(_xlfn.XLOOKUP(H253,H$97:H109,G$97:G109,0)=G253,_xlfn.XLOOKUP("TempoBet",K253:K255,L253:L255,0)&gt;0),"X",IF(OR(C253="W",C254="W",C255="W",C253="1/2W",C254="1/2W",C255="1/2W",C253="1/2L",C254="1/2L",C255="1/2L"),"OK",IF(OR(C253="L",C254="L",C255="L"),"LOSS",IF(OR(C253="X",C254="X",C255="X"),"Anulado"," "))))</f>
        <v>50</v>
      </c>
      <c r="C253" t="s" s="173">
        <v>51</v>
      </c>
      <c r="D253" t="s" s="305">
        <f>IF(G253="","",$D250)</f>
        <v>229</v>
      </c>
      <c r="E253" t="s" s="175">
        <f>IF(G253=""," ","– "&amp;COUNTIF(D$4:D255,$D253))</f>
        <v>127</v>
      </c>
      <c r="F253" t="s" s="176"/>
      <c r="G253" s="177">
        <v>44949.708333333336</v>
      </c>
      <c r="H253" t="s" s="178">
        <v>245</v>
      </c>
      <c r="I253" t="s" s="179">
        <v>54</v>
      </c>
      <c r="J253" s="291">
        <v>2.5</v>
      </c>
      <c r="K253" t="s" s="181">
        <v>37</v>
      </c>
      <c r="L253" s="182">
        <v>1.875</v>
      </c>
      <c r="M253" s="183">
        <v>20</v>
      </c>
      <c r="N253" s="184">
        <v>0</v>
      </c>
      <c r="O253" s="185">
        <f>IF(OR(AE253="",AE254=""),"",ROUND(IF(L255&gt;0,IF(M253&gt;0,M253,IF(M254&gt;0,ROUND((M254*AE253)/AE254,IF(N253=0,2,IF(N253=0.1,1,0))),ROUND((M255*AE253)/AE255,IF(N253=0,2,IF(N253=0.1,1,0))))),IF(M253&gt;0,M253,ROUND((M254*AE253)/AE254,IF(N253=0,2,IF(N253=0.1,1,0))))),2))</f>
        <v>20</v>
      </c>
      <c r="P253" s="186">
        <f>IF(OR(L253="",O253=""),"",IF($C253="1/2W",O253/2+O253/2*L253,IF($C253="1/2L",O253/2,IF(I253="Lay",(O253*(L253/(L253-1))-O253)*(1-_xlfn.XLOOKUP(K253,'Janeiro 2023 - Valor Real'!A3:A15,'Janeiro 2023 - Valor Real'!C3:C15,0))+O253,(O253*L253-O253)*(1-_xlfn.XLOOKUP(K253,'Janeiro 2023 - Valor Real'!A3:A15,'Janeiro 2023 - Valor Real'!C3:C15,0))+O253))))</f>
        <v>37.5</v>
      </c>
      <c r="Q253" s="187">
        <f>IF(K253="","",IF(_xlfn.XLOOKUP(K253,K$97:K109,DJ$97:DJ109,0,,-1)=DJ253,_xlfn.XLOOKUP(K253,K$97:K109,Q$97:Q109,1,,-1)+1,1))</f>
        <v>1</v>
      </c>
      <c r="R253" s="188">
        <f>IF(K253="","",_xlfn.XLOOKUP(K253,K$97:K109,R$97:R109,0,,-1)+IF($C253=" ",1,0))</f>
        <v>0</v>
      </c>
      <c r="S253" s="189">
        <f>IF($B253="Anulado",0,ROUND(IF(OR($B253="LOSS",$B253="OK"),IF(OR($C253="W",$C253="1/2W",$C253="1/2L"),P253-O253,IF($C253="L",-O253,0))+IF(OR($C254="W",$C254="1/2W",$C254="1/2L"),P254-O254,IF($C254="L",-O254,0))+IF(OR($C255="W",$C255="1/2W",$C255="1/2L"),P255-O255,IF($C255="L",-O255,0)),IF(AND(OR($C253="W",$C253="1/2W",$C253="1/2L"),C254="W"),P253+P254-SUM(O253:O255)+_xlfn.XLOOKUP("X",C253:C255,O253:O255,0),IF(AND(C253=TRUE,C255="W"),P253+P255-SUM(O253:O255),IF(AND(C254="W",C255="W"),P254+P255-SUM(O253:O255)+_xlfn.XLOOKUP("X",C253:C255,O253:O255,0),IF(L255&gt;0,IF(OR($C253="W",$C253="1/2W",$C253="1/2L"),P253-SUM(O253:O255)+_xlfn.XLOOKUP("X",C253:C255,O253:O255,0),IF(OR($C253="W",$C253="1/2W",$C253="1/2L"),P254-SUM(O253:O255)+_xlfn.XLOOKUP("X",C253:C255,O253:O255,0),IF(OR($C253="W",$C253="1/2W",$C253="1/2L"),P255-SUM(O253:O255)+_xlfn.XLOOKUP("X",C253:C255,O253:O255,0),IF(SUM(P253:P255)/3-SUM(O253:O255)+_xlfn.XLOOKUP("X",C253:C255,O253:O255,0)&gt;0,SUM(P253:P255)/3-SUM(O253:O255)+_xlfn.XLOOKUP("X",C253:C255,O253:O255,0),LARGE(P253:P255,1)-SUM(O253:O255))))),IF(OR($C253="W",$C253="1/2W",$C253="1/2L"),P253-SUM(O253:O254)+_xlfn.XLOOKUP("X",C253:C255,O253:O255,0),IF(OR($C253="W",$C253="1/2W",$C253="1/2L"),P254-SUM(O253:O254)+_xlfn.XLOOKUP("X",C253:C255,O253:O255,0),SUM(P253:P254)/2-SUM(O253:O254)+_xlfn.XLOOKUP("X",C253:C255,O253:O255,0)))))))),2))</f>
        <v>2.38</v>
      </c>
      <c r="T253" s="190">
        <f>IF(S253=0,0,S253/SUM(O253:O255))</f>
        <v>0.0677676537585421</v>
      </c>
      <c r="U253" s="191">
        <f>IF($D253=$D250,IF(OR($B253="LOSS",$B253="OK",$B253="Anulada"),S253,0)+U250,IF(OR($B253="LOSS",$B253="OK",$B253="Anulada"),S253,0))</f>
        <v>12.16</v>
      </c>
      <c r="V253" s="191">
        <f>IF($D253="",0,IF($D253=$D250,IF($B253=" ",IF(I255="",IF(OR(AND(I253="DNB1",I254="DNB2"),AND(OR(I253="DNB1",I253="DNB2"),J254=0),AND(OR(I254="DNB1",I254="DNB2"),J253=0),AND(I253="DNB2",I254="DNB1"),AND(IF(J253=0,(J253+1)/ROUND(J253+1,0),J253/ROUND(J253,0))=1,IF(J254=0,(J254+1)/ROUND(IF(J254="",0,J254)+1,0),IF(J254="",0,J254)/ROUND(IF(J254="",1,J254),0))=1,OR(J253&lt;&gt;""),J254&lt;&gt;"")),0,IF(S253&lt;0,IF(I255="",SMALL(P253:P254,1)-SUM(O253:O254),0),SMALL(P253:P254,1)-SUM(O253:O254))),IF(S253&lt;0,IF(I255="",SMALL(P253:P255,1)-SUM(O253:O255),0),LARGE(P253:P255,1)-SUM(O253:O255))),S253)+V250,IF(I255="",IF(OR(AND(I253="DNB1",I254="DNB2"),AND(OR(I253="DNB1",I253="DNB2"),J254=0),AND(OR(I254="DNB1",I254="DNB2"),J253=0),AND(I253="DNB2",I254="DNB1"),AND(IF(J253=0,(J253+1)/ROUND(J253+1,0),J253/ROUND(J253,0))=1,IF(J254=0,(IF(J254="",0,J254)+1)/ROUND(IF(J254="",0,J254)+1,0),IF(J254="",0,J254)/ROUND(IF(J254="",0,J254)+1,0))=1,OR(J253&lt;&gt;""),J254&lt;&gt;"")),0,IF(S253&lt;0,IF(I255="",SMALL(P253:P254,1)-SUM(O253:O254),0),SMALL(P253:P255,1)-SUM(O253:O255))),IF(S253&lt;0,IF(I255="",SMALL(P253:P255,1)-SUM(O253:O255),0),LARGE(P253:P255,1)-SUM(O253:O255)))))</f>
        <v>12.156</v>
      </c>
      <c r="W253" s="191">
        <f>IF($D253=$D250,IF(S253&lt;0,IF(I255="",S253,0),S253)+W250,S253)</f>
        <v>12.16</v>
      </c>
      <c r="X253" t="s" s="192">
        <f>IF(OR(SUM(R253:R255)=0,V253=W253),ROUND(IF(W253=0,0,W253/Y253)*100,2)&amp;"%",ROUND(IF(V253=0,0,V253/Y253)*100,2)&amp;"% a "&amp;ROUND(IF(W253=0,0,W253/Y253)*100,2)&amp;"%")</f>
        <v>246</v>
      </c>
      <c r="Y253" s="193">
        <f>IF($D253=$D250,Y250+SUM(O253:O255),SUM(O253:O255))</f>
        <v>364.23</v>
      </c>
      <c r="Z253" s="191">
        <f>IF($B253=" ",SUM(O253:O255),0)+Z250</f>
        <v>0</v>
      </c>
      <c r="AA253" s="191">
        <f>IF(G253="","",IF($B253="Anulado",LARGE(P253:P255,1)-SUM(O253:O255)+AA250,AA250))</f>
        <v>16.5099</v>
      </c>
      <c r="AB253" s="191">
        <f>IF($D253="","",AB250+S253)</f>
        <v>214.33</v>
      </c>
      <c r="AC253" s="194">
        <f>IF($D253="","",IF($B253=" ",IF(DAY(G253)=DAY(TODAY()),1+AC250,0+AC250),0+AC250))</f>
        <v>0</v>
      </c>
      <c r="AD253" s="195">
        <f>(((L254/(L254-1)-1)*(1-_xlfn.XLOOKUP(K254,'Janeiro 2023 - Valor Real'!A3:A15,'Janeiro 2023 - Valor Real'!C3:C15,0))+1))/(((L253-1)*(1-_xlfn.XLOOKUP(K253,'Janeiro 2023 - Valor Real'!A3:A15,'Janeiro 2023 - Valor Real'!C3:C15,0))+1)+((L254/(L254-1)-1)*(1-_xlfn.XLOOKUP(K254,'Janeiro 2023 - Valor Real'!A3:A15,'Janeiro 2023 - Valor Real'!C3:C15,0))+1))</f>
        <v>0.471931493815414</v>
      </c>
      <c r="AE253" s="196">
        <f>IF(L253="","",IF(L255&gt;0,(SUM(((L253-1)*(1-_xlfn.XLOOKUP(K253,'Janeiro 2023 - Valor Real'!A3:A15,'Janeiro 2023 - Valor Real'!C3:C15,0))+1),((L254-1)*(1-_xlfn.XLOOKUP(K254,'Janeiro 2023 - Valor Real'!A3:A15,'Janeiro 2023 - Valor Real'!C3:C15,0))+1),((L255-1)*(1-_xlfn.XLOOKUP(K255,'Janeiro 2023 - Valor Real'!A3:A15,'Janeiro 2023 - Valor Real'!C3:C15,0))+1))/((L253-1)*(1-_xlfn.XLOOKUP(K253,'Janeiro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Real'!C3:C15,0))+1))/((L253-1)*(1-_xlfn.XLOOKUP(K253,'Janeiro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Real'!C3:C15,0))+1))/((L254-1)*(1-_xlfn.XLOOKUP(K254,'Janeiro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Real'!C3:C15,0))+1))/((L255-1)*(1-_xlfn.XLOOKUP(K255,'Janeiro 2023 - Valor Real'!A3:A15,'Janeiro 2023 - Valor Real'!C3:C15,0))+1)),IF(I253="Lay",IF(I254="Lay",((L254/(L254-1)-1)*(1-_xlfn.XLOOKUP(K254,'Janeiro 2023 - Valor Real'!A3:A15,'Janeiro 2023 - Valor Real'!C3:C15,0))+1)/(((L254/(L254-1)-1)*(1-_xlfn.XLOOKUP(K254,'Janeiro 2023 - Valor Real'!A3:A15,'Janeiro 2023 - Valor Real'!C3:C15,0))+1)+((L253/(L253-1)-1)*(1-_xlfn.XLOOKUP(K253,'Janeiro 2023 - Valor Real'!A3:A15,'Janeiro 2023 - Valor Real'!C3:C15,0))+1)),((L254-1)*(1-_xlfn.XLOOKUP(K254,'Janeiro 2023 - Valor Real'!A3:A15,'Janeiro 2023 - Valor Real'!C3:C15,0))+1)/(((L254-1)*(1-_xlfn.XLOOKUP(K254,'Janeiro 2023 - Valor Real'!A3:A15,'Janeiro 2023 - Valor Real'!C3:C15,0))+1)+((L253/(L253-1)-1)*(1-_xlfn.XLOOKUP(K253,'Janeiro 2023 - Valor Real'!A3:A15,'Janeiro 2023 - Valor Real'!C3:C15,0))+1))),IF(I254="Lay",(((L254/(L254-1)-1)*(1-_xlfn.XLOOKUP(K254,'Janeiro 2023 - Valor Real'!A3:A15,'Janeiro 2023 - Valor Real'!C3:C15,0))+1))/(((L253-1)*(1-_xlfn.XLOOKUP(K253,'Janeiro 2023 - Valor Real'!A3:A15,'Janeiro 2023 - Valor Real'!C3:C15,0))+1)+((L254/(L254-1)-1)*(1-_xlfn.XLOOKUP(K254,'Janeiro 2023 - Valor Real'!A3:A15,'Janeiro 2023 - Valor Real'!C3:C15,0))+1)),((L254-1)*(1-_xlfn.XLOOKUP(K254,'Janeiro 2023 - Valor Real'!A3:A15,'Janeiro 2023 - Valor Real'!C3:C15,0))+1)/(((L254-1)*(1-_xlfn.XLOOKUP(K254,'Janeiro 2023 - Valor Real'!A3:A15,'Janeiro 2023 - Valor Real'!C3:C15,0))+1)+((L253-1)*(1-_xlfn.XLOOKUP(K253,'Janeiro 2023 - Valor Real'!A3:A15,'Janeiro 2023 - Valor Real'!C3:C15,0))+1))))))</f>
        <v>0.569460390355913</v>
      </c>
      <c r="AF253" s="197">
        <f>IF($K253=AF$3,ROUND(IF(OR($C253="W",$C253="1/2W",$C253="1/2L"),$P253-$O253,IF($C253="X",0,-$O253)),2),0)</f>
        <v>-20</v>
      </c>
      <c r="AG253" s="198">
        <f>IF($K253=AG$3,ROUND(IF(OR($C253="W",$C253="1/2W",$C253="1/2L"),$P253-$O253,IF($C253="X",0,-$O253)),2),0)</f>
        <v>0</v>
      </c>
      <c r="AH253" s="198">
        <f>IF($K253=AH$3,ROUND(IF(OR($C253="W",$C253="1/2W",$C253="1/2L"),$P253-$O253,IF($C253="X",0,-$O253)),2),0)</f>
        <v>0</v>
      </c>
      <c r="AI253" s="198">
        <f>IF($K253=AI$3,ROUND(IF(OR($C253="W",$C253="1/2W",$C253="1/2L"),$P253-$O253,IF($C253="X",0,-$O253)),2),0)</f>
        <v>0</v>
      </c>
      <c r="AJ253" s="198">
        <f>IF($K253=AJ$3,ROUND(IF(OR($C253="W",$C253="1/2W",$C253="1/2L"),$P253-$O253,IF($C253="X",0,-$O253)),2),0)</f>
        <v>0</v>
      </c>
      <c r="AK253" s="198">
        <f>IF($K253=AK$3,ROUND(IF(OR($C253="W",$C253="1/2W",$C253="1/2L"),$P253-$O253,IF($C253="X",0,-$O253)),2),0)</f>
        <v>0</v>
      </c>
      <c r="AL253" s="198">
        <f>IF($K253=AL$3,ROUND(IF(OR($C253="W",$C253="1/2W",$C253="1/2L"),$P253-$O253,IF($C253="X",0,-$O253)),2),0)</f>
        <v>0</v>
      </c>
      <c r="AM253" s="198">
        <f>IF($K253=AM$3,ROUND(IF(OR($C253="W",$C253="1/2W",$C253="1/2L"),$P253-$O253,IF($C253="X",0,-$O253)),2),0)</f>
        <v>0</v>
      </c>
      <c r="AN253" s="198">
        <f>IF($K253=AN$3,ROUND(IF(OR($C253="W",$C253="1/2W",$C253="1/2L"),$P253-$O253,IF($C253="X",0,-$O253)),2),0)</f>
        <v>0</v>
      </c>
      <c r="AO253" s="198">
        <f>IF($K253=AO$3,ROUND(IF(OR($C253="W",$C253="1/2W",$C253="1/2L"),$P253-$O253,IF($C253="X",0,-$O253)),2),0)</f>
        <v>0</v>
      </c>
      <c r="AP253" s="198">
        <f>IF($K253=AP$3,ROUND(IF(OR($C253="W",$C253="1/2W",$C253="1/2L"),$P253-$O253,IF($C253="X",0,-$O253)),2),0)</f>
        <v>0</v>
      </c>
      <c r="AQ253" s="198">
        <f>IF($K253=AQ$3,ROUND(IF(OR($C253="W",$C253="1/2W",$C253="1/2L"),$P253-$O253,IF($C253="X",0,-$O253)),2),0)</f>
        <v>0</v>
      </c>
      <c r="AR253" s="199">
        <f>IF($K253=AR$3,ROUND(IF(OR($C253="W",$C253="1/2W",$C253="1/2L"),$P253-$O253,IF($C253="X",0,-$O253)),2),0)</f>
        <v>0</v>
      </c>
      <c r="AS253" s="197">
        <f>IF(AND($B253=" ",$K253=AS$3),$O253,0)</f>
        <v>0</v>
      </c>
      <c r="AT253" s="198">
        <f>IF(AND($B253=" ",$K253=AT$3),$O253,0)</f>
        <v>0</v>
      </c>
      <c r="AU253" s="198">
        <f>IF(AND($B253=" ",$K253=AU$3),$O253,0)</f>
        <v>0</v>
      </c>
      <c r="AV253" s="198">
        <f>IF(AND($B253=" ",$K253=AV$3),$O253,0)</f>
        <v>0</v>
      </c>
      <c r="AW253" s="198">
        <f>IF(AND($B253=" ",$K253=AW$3),$O253,0)</f>
        <v>0</v>
      </c>
      <c r="AX253" s="198">
        <f>IF(AND($B253=" ",$K253=AX$3),$O253,0)</f>
        <v>0</v>
      </c>
      <c r="AY253" s="200">
        <f>IF(AND($B253=" ",$K253=AY$3),$O253,0)</f>
        <v>0</v>
      </c>
      <c r="AZ253" s="201">
        <f>IF(AND($B253=" ",$K253=AZ$3),$O253,0)</f>
        <v>0</v>
      </c>
      <c r="BA253" s="201">
        <f>IF(AND($B253=" ",$K253=BA$3),$O253,0)</f>
        <v>0</v>
      </c>
      <c r="BB253" s="201">
        <f>IF(AND($B253=" ",$K253=BB$3),$O253,0)</f>
        <v>0</v>
      </c>
      <c r="BC253" s="202">
        <f>IF(AND($B253=" ",$K253=BC$3),$O253,0)</f>
        <v>0</v>
      </c>
      <c r="BD253" s="198">
        <f>IF(AND($B253=" ",$K253=BD$3),$O253,0)</f>
        <v>0</v>
      </c>
      <c r="BE253" s="199">
        <f>IF(AND($B253=" ",$K253=BE$3),$O253,0)</f>
        <v>0</v>
      </c>
      <c r="BF253" s="203">
        <f>IF($K253=BF$3,IF($C253="X",0,$O253),0)</f>
        <v>20</v>
      </c>
      <c r="BG253" s="198">
        <f>IF($K253=BG$3,IF($C253="X",0,$O253),0)</f>
        <v>0</v>
      </c>
      <c r="BH253" s="198">
        <f>IF($K253=BH$3,IF($C253="X",0,$O253),0)</f>
        <v>0</v>
      </c>
      <c r="BI253" s="198">
        <f>IF($K253=BI$3,IF($C253="X",0,$O253),0)</f>
        <v>0</v>
      </c>
      <c r="BJ253" s="198">
        <f>IF($K253=BJ$3,IF($C253="X",0,$O253),0)</f>
        <v>0</v>
      </c>
      <c r="BK253" s="198">
        <f>IF($K253=BK$3,IF($C253="X",0,$O253),0)</f>
        <v>0</v>
      </c>
      <c r="BL253" s="198">
        <f>IF($K253=BL$3,IF($C253="X",0,$O253),0)</f>
        <v>0</v>
      </c>
      <c r="BM253" s="200">
        <f>IF($K253=BM$3,IF($C253="X",0,$O253),0)</f>
        <v>0</v>
      </c>
      <c r="BN253" s="201">
        <f>IF($K253=BN$3,IF($C253="X",0,$O253),0)</f>
        <v>0</v>
      </c>
      <c r="BO253" s="201">
        <f>IF($K253=BO$3,IF($C253="X",0,$O253),0)</f>
        <v>0</v>
      </c>
      <c r="BP253" s="201">
        <f>IF($K253=BP$3,IF($C253="X",0,$O253),0)</f>
        <v>0</v>
      </c>
      <c r="BQ253" s="202">
        <f>IF($K253=BQ$3,IF($C253="X",0,$O253),0)</f>
        <v>0</v>
      </c>
      <c r="BR253" s="199">
        <f>IF($K253=BR$3,IF($C253="X",0,$O253),0)</f>
        <v>0</v>
      </c>
      <c r="BS253" s="204">
        <f>IF($B253="LOSS",IF(AND($K253=BS$3,$C253="L"),-$O253,0)+IF(AND($K254=BS$3,$C254="L"),-$O254,0)+IF(AND($K255=BS$3,$C255="L"),-$O255,0),IF(OR(AND($K253=BS$3,OR($C253="W",$C253="1/2W")),AND($K254=BS$3,OR($C254="W",$C254="1/2W")),AND($K255=BS$3,OR($C255="W",$C255="1/2W"))),$S253,0))</f>
        <v>0</v>
      </c>
      <c r="BT253" s="201">
        <f>IF($B253="LOSS",IF(AND($K253=BT$3,$C253="L"),-$O253,0)+IF(AND($K254=BT$3,$C254="L"),-$O254,0)+IF(AND($K254=BT$3,$C255="L"),-$O255,0),IF(OR(AND($K254=BT$3,OR($C253="W",$C253="1/2W")),AND($K254=BT$3,OR($C254="W",$C254="1/2W")),AND($K254=BT$3,OR($C255="W",$C255="1/2W"))),$S253,0))</f>
        <v>0</v>
      </c>
      <c r="BU253" s="201">
        <f>IF($B253="LOSS",IF(AND($K253=BU$3,$C253="L"),-$O253,0)+IF(AND($K254=BU$3,$C254="L"),-$O254,0)+IF(AND($K254=BU$3,$C255="L"),-$O255,0),IF(OR(AND($K254=BU$3,OR($C253="W",$C253="1/2W")),AND($K254=BU$3,OR($C254="W",$C254="1/2W")),AND($K254=BU$3,OR($C255="W",$C255="1/2W"))),$S253,0))</f>
        <v>0</v>
      </c>
      <c r="BV253" s="201">
        <f>IF($B253="LOSS",IF(AND($K253=BV$3,$C253="L"),-$O253,0)+IF(AND($K254=BV$3,$C254="L"),-$O254,0)+IF(AND($K255=BV$3,$C255="L"),-$O255,0),IF(OR(AND($K253=BV$3,OR($C253="W",$C253="1/2W")),AND($K254=BV$3,OR($C254="W",$C254="1/2W")),AND($K255=BV$3,OR($C255="W",$C255="1/2W"))),$S253,0))</f>
        <v>0</v>
      </c>
      <c r="BW253" s="201">
        <f>IF($B253="LOSS",IF(AND($K253=BW$3,$C253="L"),-$O253,0)+IF(AND($K254=BW$3,$C254="L"),-$O254,0)+IF(AND($K255=BW$3,$C255="L"),-$O255,0),IF(OR(AND($K253=BW$3,OR($C253="W",$C253="1/2W")),AND($K254=BW$3,OR($C254="W",$C254="1/2W")),AND($K255=BW$3,OR($C255="W",$C255="1/2W"))),$S253,0))</f>
        <v>0</v>
      </c>
      <c r="BX253" s="201">
        <f>IF($B253="LOSS",IF(AND($K253=BX$3,$C253="L"),-$O253,0)+IF(AND($K254=BX$3,$C254="L"),-$O254,0)+IF(AND($K255=BX$3,$C255="L"),-$O255,0),IF(OR(AND($K253=BX$3,OR($C253="W",$C253="1/2W")),AND($K254=BX$3,OR($C254="W",$C254="1/2W")),AND($K255=BX$3,OR($C255="W",$C255="1/2W"))),$S253,0))</f>
        <v>0</v>
      </c>
      <c r="BY253" s="201">
        <f>IF($B253="LOSS",IF(AND($K253=BY$3,$C253="L"),-$O253,0)+IF(AND($K254=BY$3,$C254="L"),-$O254,0)+IF(AND($K255=BY$3,$C255="L"),-$O255,0),IF(OR(AND($K253=BY$3,OR($C253="W",$C253="1/2W")),AND($K254=BY$3,OR($C254="W",$C254="1/2W")),AND($K255=BY$3,OR($C255="W",$C255="1/2W"))),$S253,0))</f>
        <v>0</v>
      </c>
      <c r="BZ253" s="205">
        <f>IF($B253="LOSS",IF(AND($K253=BZ$3,$C253="L"),-$O253,0)+IF(AND($K254=BZ$3,$C254="L"),-$O254,0)+IF(AND($K255=BZ$3,$C255="L"),-$O255,0),IF(OR(AND($K253=BZ$3,OR($C253="W",$C253="1/2W")),AND($K254=BZ$3,OR($C254="W",$C254="1/2W")),AND($K255=BZ$3,OR($C255="W",$C255="1/2W"))),$S253,0))</f>
        <v>2.38</v>
      </c>
      <c r="CA253" s="205">
        <f>IF($B253="LOSS",IF(AND($K253=CA$3,$C253="L"),-$O253,0)+IF(AND($K254=CA$3,$C254="L"),-$O254,0)+IF(AND($K255=CA$3,$C255="L"),-$O255,0),IF(OR(AND($K253=CA$3,OR($C253="W",$C253="1/2W")),AND($K254=CA$3,OR($C254="W",$C254="1/2W")),AND($K255=CA$3,OR($C255="W",$C255="1/2W"))),$S253,0))</f>
        <v>0</v>
      </c>
      <c r="CB253" s="205">
        <f>IF($B253="LOSS",IF(AND($K253=CB$3,$C253="L"),-$O253,0)+IF(AND($K254=CB$3,$C254="L"),-$O254,0)+IF(AND($K255=CB$3,$C255="L"),-$O255,0),IF(OR(AND($K253=CB$3,OR($C253="W",$C253="1/2W")),AND($K254=CB$3,OR($C254="W",$C254="1/2W")),AND($K255=CB$3,OR($C255="W",$C255="1/2W"))),$S253,0))</f>
        <v>0</v>
      </c>
      <c r="CC253" s="205">
        <f>IF($B253="LOSS",IF(AND($K253=CC$3,$C253="L"),-$O253,0)+IF(AND($K254=CC$3,$C254="L"),-$O254,0)+IF(AND($K255=CC$3,$C255="L"),-$O255,0),IF(OR(AND($K253=CC$3,OR($C253="W",$C253="1/2W")),AND($K254=CC$3,OR($C254="W",$C254="1/2W")),AND($K255=CC$3,OR($C255="W",$C255="1/2W"))),$S253,0))</f>
        <v>0</v>
      </c>
      <c r="CD253" s="202">
        <f>IF($B253="LOSS",IF(AND($K253=CD$3,$C253="L"),-$O253,0)+IF(AND($K254=CD$3,$C254="L"),-$O254,0)+IF(AND($K255=CD$3,$C255="L"),-$O255,0),IF(OR(AND($K253=CD$3,OR($C253="W",$C253="1/2W")),AND($K254=CD$3,OR($C254="W",$C254="1/2W")),AND($K255=CD$3,OR($C255="W",$C255="1/2W"))),$S253,0))</f>
        <v>0</v>
      </c>
      <c r="CE253" s="199">
        <f>IF($B253="LOSS",IF(AND($K253=CE$3,$C253="L"),-$O253,0)+IF(AND($K254=CE$3,$C254="L"),-$O254,0)+IF(AND($K255=CE$3,$C255="L"),-$O255,0),IF(OR(AND($K253=CE$3,OR($C253="W",$C253="1/2W")),AND($K254=CE$3,OR($C254="W",$C254="1/2W")),AND($K255=CE$3,OR($C255="W",$C255="1/2W"))),$S253,0))</f>
        <v>0</v>
      </c>
      <c r="CF253" s="206">
        <f>IF(CF$3=$K253,IF($C253="W",1,IF($C253="1/2W",0.5,0)),0)</f>
        <v>0</v>
      </c>
      <c r="CG253" s="207">
        <f>IF(CF$3=$K253,IF($C253="L",1,IF($C253="1/2L",0.5,0)),0)</f>
        <v>1</v>
      </c>
      <c r="CH253" s="207">
        <f>IF(CH$3=$K253,IF($C253="W",1,IF($C253="1/2W",0.5,0)),0)</f>
        <v>0</v>
      </c>
      <c r="CI253" s="207">
        <f>IF(CH$3=$K253,IF($C253="L",1,IF($C253="1/2L",0.5,0)),0)</f>
        <v>0</v>
      </c>
      <c r="CJ253" s="207">
        <f>IF(CJ$3=$K253,IF($C253="W",1,IF($C253="1/2W",0.5,0)),0)</f>
        <v>0</v>
      </c>
      <c r="CK253" s="207">
        <f>IF(CJ$3=$K253,IF($C253="L",1,IF($C253="1/2L",0.5,0)),0)</f>
        <v>0</v>
      </c>
      <c r="CL253" s="207">
        <f>IF(CL$3=$K253,IF($C253="W",1,IF($C253="1/2W",0.5,0)),0)</f>
        <v>0</v>
      </c>
      <c r="CM253" s="207">
        <f>IF(CL$3=$K253,IF($C253="L",1,IF($C253="1/2L",0.5,0)),0)</f>
        <v>0</v>
      </c>
      <c r="CN253" s="207">
        <f>IF(CN$3=$K253,IF($C253="W",1,IF($C253="1/2W",0.5,0)),0)</f>
        <v>0</v>
      </c>
      <c r="CO253" s="207">
        <f>IF(CN$3=$K253,IF($C253="L",1,IF($C253="1/2L",0.5,0)),0)</f>
        <v>0</v>
      </c>
      <c r="CP253" s="207">
        <f>IF(CP$3=$K253,IF($C253="W",1,IF($C253="1/2W",0.5,0)),0)</f>
        <v>0</v>
      </c>
      <c r="CQ253" s="207">
        <f>IF(CP$3=$K253,IF($C253="L",1,IF($C253="1/2L",0.5,0)),0)</f>
        <v>0</v>
      </c>
      <c r="CR253" s="207">
        <f>IF(CR$3=$K253,IF($C253="W",1,IF($C253="1/2W",0.5,0)),0)</f>
        <v>0</v>
      </c>
      <c r="CS253" s="207">
        <f>IF(CR$3=$K253,IF($C253="L",1,IF($C253="1/2L",0.5,0)),0)</f>
        <v>0</v>
      </c>
      <c r="CT253" s="208">
        <f>IF(CT$3=$K253,IF($C253="W",1,IF($C253="1/2W",0.5,0)),0)</f>
        <v>0</v>
      </c>
      <c r="CU253" s="209">
        <f>IF(CT$3=$K253,IF($C253="L",1,IF($C253="1/2L",0.5,0)),0)</f>
        <v>0</v>
      </c>
      <c r="CV253" s="209">
        <f>IF(CV$3=$K253,IF($C253="W",1,IF($C253="1/2W",0.5,0)),0)</f>
        <v>0</v>
      </c>
      <c r="CW253" s="209">
        <f>IF(CV$3=$K253,IF($C253="L",1,IF($C253="1/2L",0.5,0)),0)</f>
        <v>0</v>
      </c>
      <c r="CX253" s="209">
        <f>IF(CX$3=$K253,IF($C253="W",1,IF($C253="1/2W",0.5,0)),0)</f>
        <v>0</v>
      </c>
      <c r="CY253" s="209">
        <f>IF(CX$3=$K253,IF($C253="L",1,IF($C253="1/2L",0.5,0)),0)</f>
        <v>0</v>
      </c>
      <c r="CZ253" s="209">
        <f>IF(CZ$3=$K253,IF($C253="W",1,IF($C253="1/2W",0.5,0)),0)</f>
        <v>0</v>
      </c>
      <c r="DA253" s="209">
        <f>IF(CZ$3=$K253,IF($C253="L",1,IF($C253="1/2L",0.5,0)),0)</f>
        <v>0</v>
      </c>
      <c r="DB253" s="209">
        <f>IF(DB$3=$K253,IF($C253="W",1,IF($C253="1/2W",0.5,0)),0)</f>
        <v>0</v>
      </c>
      <c r="DC253" s="209">
        <f>IF(DB$3=$K253,IF($C253="L",1,IF($C253="1/2L",0.5,0)),0)</f>
        <v>0</v>
      </c>
      <c r="DD253" s="209">
        <f>IF(DD$3=$K253,IF($C253="W",1,IF($C253="1/2W",0.5,0)),0)</f>
        <v>0</v>
      </c>
      <c r="DE253" s="210">
        <f>IF(DD$3=$K253,IF($C253="L",1,IF($C253="1/2L",0.5,0)),0)</f>
        <v>0</v>
      </c>
      <c r="DF253" s="211">
        <f>IF(AND(L253&lt;DF$3,$C253="W"),1+DF252,DF252)</f>
        <v>9</v>
      </c>
      <c r="DG253" s="198">
        <f>IF(DF253&gt;DF252,L253+DG252,DG252)</f>
        <v>11.898</v>
      </c>
      <c r="DH253" s="209">
        <f>IF(AND(L253&gt;DH$3,$C253="W"),1+DH252,0+DH252)</f>
        <v>6</v>
      </c>
      <c r="DI253" s="198">
        <f>IF(DH253&gt;DH252,L253+DI252,DI252)</f>
        <v>30.83</v>
      </c>
      <c r="DJ253" t="s" s="306">
        <f>IF($D253="","",$D253)</f>
        <v>229</v>
      </c>
      <c r="DK253" s="209">
        <f>IF(AND($B253=" ",$D253&lt;&gt;""),1,0)</f>
        <v>0</v>
      </c>
    </row>
    <row r="254" ht="14.55" customHeight="1">
      <c r="A254" s="107"/>
      <c r="B254" s="108"/>
      <c r="C254" t="s" s="213">
        <v>56</v>
      </c>
      <c r="D254" s="110"/>
      <c r="E254" s="111"/>
      <c r="F254" s="113"/>
      <c r="G254" s="214"/>
      <c r="H254" s="114"/>
      <c r="I254" t="s" s="215">
        <v>57</v>
      </c>
      <c r="J254" s="296">
        <f>IF(OR(I253="TO",I253="TU",I253="TO1",I253="TU1",I253="TO2",I253="TU2"),J253,IF(OR(I253="AH1",I253="AH2"),IF(OR(I254="AH1",I254="AH2"),-J253,IF(OR(I254="EH1",I254="EH2"),-J253+0.5,"")),IF(OR(I253="EH1",I253="EH2"),IF(OR(I254="AH1",I254="AH2"),-J253+0.5,IF(OR(I254="EH1",I254="EH2"),-J253+1,"")),IF(AND(OR(I253="DNB1",I253="DNB2"),OR(I254="AH1",I254="AH2")),0,IF(AND(I253="Not ScoreBoth",OR(I254="TO1",I254="TO2")),0.5,"")))))</f>
        <v>-2.5</v>
      </c>
      <c r="K254" t="s" s="217">
        <v>44</v>
      </c>
      <c r="L254" s="218">
        <v>2.48</v>
      </c>
      <c r="M254" s="219"/>
      <c r="N254" s="120"/>
      <c r="O254" s="220">
        <f>IF(OR(AE253="",AE254=""),"",ROUND(IF(L255&gt;0,IF(M254&gt;0,M254,IF(M253&gt;0,IF(N253=TRUE,ROUND((M253*AE254)/AE253,0),(M253*AE254)/AE253),IF(M254&gt;0,ROUND(M254,IF(N253=0,2,IF(N253=0.1,1,0))),IF(M255&gt;0,ROUND(O255*AE254/AE255,IF(N253=0,2,IF(N253=0.1,1,0))),0)))),IF(M254&gt;0,M254,ROUND((M253*AE254)/AE253,IF(N253=0,2,IF(N253=0.1,1,0))))),2))</f>
        <v>15.12</v>
      </c>
      <c r="P254" s="221">
        <f>IF(OR(L254="",O254=""),"",IF($C254="1/2W",O254/2+O254/2*L254,IF($C254="1/2L",O254/2,IF(I254="Lay",((O254*(L254/(L254-1)))-O254)*(1-_xlfn.XLOOKUP(K254,'Janeiro 2023 - Valor Real'!A3:A15,'Janeiro 2023 - Valor Real'!C3:C15,0))+O254,(O254*L254-O254)*(1-_xlfn.XLOOKUP(K254,'Janeiro 2023 - Valor Real'!A3:A15,'Janeiro 2023 - Valor Real'!C3:C15,0))+O254))))</f>
        <v>37.4976</v>
      </c>
      <c r="Q254" s="222">
        <f>IF(K254="","",IF(_xlfn.XLOOKUP(K254,K$98:K110,DJ$98:DJ110,0,,-1)=DJ254,_xlfn.XLOOKUP(K254,K$98:K110,Q$98:Q110,1,,-1)+1,1))</f>
        <v>1</v>
      </c>
      <c r="R254" s="223">
        <f>IF(K254="","",_xlfn.XLOOKUP(K254,K$98:K110,R$98:R110,0,,-1)+IF($C254=" ",1,0))</f>
        <v>0</v>
      </c>
      <c r="S254" s="125"/>
      <c r="T254" s="126"/>
      <c r="U254" s="126"/>
      <c r="V254" s="224"/>
      <c r="W254" s="126"/>
      <c r="X254" s="127"/>
      <c r="Y254" s="128"/>
      <c r="Z254" s="129"/>
      <c r="AA254" s="129"/>
      <c r="AB254" s="129"/>
      <c r="AC254" s="129"/>
      <c r="AD254" s="225">
        <f>(((L254/(L254-1)-1)*(1-_xlfn.XLOOKUP(K254,'Janeiro 2023 - Valor Real'!A3:A15,'Janeiro 2023 - Valor Real'!C3:C15,0))+1))</f>
        <v>1.67567567567568</v>
      </c>
      <c r="AE254" s="226">
        <f>IF(L254="","",IF(L255&gt;0,(SUM(((L253-1)*(1-_xlfn.XLOOKUP(K253,'Janeiro 2023 - Valor Real'!A3:A15,'Janeiro 2023 - Valor Real'!C3:C15,0))+1),((L254-1)*(1-_xlfn.XLOOKUP(K254,'Janeiro 2023 - Valor Real'!A3:A15,'Janeiro 2023 - Valor Real'!C3:C15,0))+1),((L255-1)*(1-_xlfn.XLOOKUP(K255,'Janeiro 2023 - Valor Real'!A3:A15,'Janeiro 2023 - Valor Real'!C3:C15,0))+1))/((L254-1)*(1-_xlfn.XLOOKUP(K254,'Janeiro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Real'!C3:C15,0))+1))/((L253-1)*(1-_xlfn.XLOOKUP(K253,'Janeiro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Real'!C3:C15,0))+1))/((L254-1)*(1-_xlfn.XLOOKUP(K254,'Janeiro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Real'!C3:C15,0))+1))/((L255-1)*(1-_xlfn.XLOOKUP(K255,'Janeiro 2023 - Valor Real'!A3:A15,'Janeiro 2023 - Valor Real'!C3:C15,0))+1)),IF(I254="Lay",IF(I253="Lay",((L253/(L253-1)-1)*(1-_xlfn.XLOOKUP(K253,'Janeiro 2023 - Valor Real'!A3:A15,'Janeiro 2023 - Valor Real'!C3:C15,0))+1)/(((L253/(L253-1)-1)*(1-_xlfn.XLOOKUP(K253,'Janeiro 2023 - Valor Real'!A3:A15,'Janeiro 2023 - Valor Real'!C3:C15,0))+1)+((L254/(L254-1)-1)*(1-_xlfn.XLOOKUP(K254,'Janeiro 2023 - Valor Real'!A3:A15,'Janeiro 2023 - Valor Real'!C3:C15,0))+1)),((L253-1)*(1-_xlfn.XLOOKUP(K253,'Janeiro 2023 - Valor Real'!A3:A15,'Janeiro 2023 - Valor Real'!C3:C15,0))+1)/(((L253-1)*(1-_xlfn.XLOOKUP(K253,'Janeiro 2023 - Valor Real'!A3:A15,'Janeiro 2023 - Valor Real'!C3:C15,0))+1)+((L254/(L254-1)-1)*(1-_xlfn.XLOOKUP(K254,'Janeiro 2023 - Valor Real'!A3:A15,'Janeiro 2023 - Valor Real'!C3:C15,0))+1))),IF(I253="Lay",((L253/(L253-1)-1)*(1-_xlfn.XLOOKUP(K253,'Janeiro 2023 - Valor Real'!A3:A15,'Janeiro 2023 - Valor Real'!C3:C15,0))+1)/((((L253/(L253-1)-1)*(1-_xlfn.XLOOKUP(K253,'Janeiro 2023 - Valor Real'!A3:A15,'Janeiro 2023 - Valor Real'!C3:C15,0))+1))+((L254-1)*(1-_xlfn.XLOOKUP(K254,'Janeiro 2023 - Valor Real'!A3:A15,'Janeiro 2023 - Valor Real'!C3:C15,0))+1)),((L253-1)*(1-_xlfn.XLOOKUP(K253,'Janeiro 2023 - Valor Real'!A3:A15,'Janeiro 2023 - Valor Real'!C3:C15,0))+1)/(((L253-1)*(1-_xlfn.XLOOKUP(K253,'Janeiro 2023 - Valor Real'!A3:A15,'Janeiro 2023 - Valor Real'!C3:C15,0))+1)+((L254-1)*(1-_xlfn.XLOOKUP(K254,'Janeiro 2023 - Valor Real'!A3:A15,'Janeiro 2023 - Valor Real'!C3:C15,0))+1))))))</f>
        <v>0.430539609644087</v>
      </c>
      <c r="AF254" s="197">
        <f>IF($K254=AF$3,ROUND(IF(OR($C254="W",$C254="1/2W",$C254="1/2L"),$P254-$O254,IF($C254="X",0,-$O254)),2),0)</f>
        <v>0</v>
      </c>
      <c r="AG254" s="198">
        <f>IF($K254=AG$3,ROUND(IF(OR($C254="W",$C254="1/2W",$C254="1/2L"),$P254-$O254,IF($C254="X",0,-$O254)),2),0)</f>
        <v>0</v>
      </c>
      <c r="AH254" s="198">
        <f>IF($K254=AH$3,ROUND(IF(OR($C254="W",$C254="1/2W",$C254="1/2L"),$P254-$O254,IF($C254="X",0,-$O254)),2),0)</f>
        <v>0</v>
      </c>
      <c r="AI254" s="198">
        <f>IF($K254=AI$3,ROUND(IF(OR($C254="W",$C254="1/2W",$C254="1/2L"),$P254-$O254,IF($C254="X",0,-$O254)),2),0)</f>
        <v>0</v>
      </c>
      <c r="AJ254" s="198">
        <f>IF($K254=AJ$3,ROUND(IF(OR($C254="W",$C254="1/2W",$C254="1/2L"),$P254-$O254,IF($C254="X",0,-$O254)),2),0)</f>
        <v>0</v>
      </c>
      <c r="AK254" s="198">
        <f>IF($K254=AK$3,ROUND(IF(OR($C254="W",$C254="1/2W",$C254="1/2L"),$P254-$O254,IF($C254="X",0,-$O254)),2),0)</f>
        <v>0</v>
      </c>
      <c r="AL254" s="198">
        <f>IF($K254=AL$3,ROUND(IF(OR($C254="W",$C254="1/2W",$C254="1/2L"),$P254-$O254,IF($C254="X",0,-$O254)),2),0)</f>
        <v>0</v>
      </c>
      <c r="AM254" s="198">
        <f>IF($K254=AM$3,ROUND(IF(OR($C254="W",$C254="1/2W",$C254="1/2L"),$P254-$O254,IF($C254="X",0,-$O254)),2),0)</f>
        <v>22.38</v>
      </c>
      <c r="AN254" s="198">
        <f>IF($K254=AN$3,ROUND(IF(OR($C254="W",$C254="1/2W",$C254="1/2L"),$P254-$O254,IF($C254="X",0,-$O254)),2),0)</f>
        <v>0</v>
      </c>
      <c r="AO254" s="198">
        <f>IF($K254=AO$3,ROUND(IF(OR($C254="W",$C254="1/2W",$C254="1/2L"),$P254-$O254,IF($C254="X",0,-$O254)),2),0)</f>
        <v>0</v>
      </c>
      <c r="AP254" s="198">
        <f>IF($K254=AP$3,ROUND(IF(OR($C254="W",$C254="1/2W",$C254="1/2L"),$P254-$O254,IF($C254="X",0,-$O254)),2),0)</f>
        <v>0</v>
      </c>
      <c r="AQ254" s="198">
        <f>IF($K254=AQ$3,ROUND(IF(OR($C254="W",$C254="1/2W",$C254="1/2L"),$P254-$O254,IF($C254="X",0,-$O254)),2),0)</f>
        <v>0</v>
      </c>
      <c r="AR254" s="199">
        <f>IF($K254=AR$3,ROUND(IF(OR($C254="W",$C254="1/2W",$C254="1/2L"),$P254-$O254,IF($C254="X",0,-$O254)),2),0)</f>
        <v>0</v>
      </c>
      <c r="AS254" s="197">
        <f>IF(AND($B253=" ",$K254=AS$3),$O254,0)</f>
        <v>0</v>
      </c>
      <c r="AT254" s="198">
        <f>IF(AND($B253=" ",K254=AT$3),$O254,0)</f>
        <v>0</v>
      </c>
      <c r="AU254" s="198">
        <f>IF(AND($B253=" ",$K254=AU$3),$O254,0)</f>
        <v>0</v>
      </c>
      <c r="AV254" s="198">
        <f>IF(AND($B253=" ",$K254=AV$3),$O254,0)</f>
        <v>0</v>
      </c>
      <c r="AW254" s="198">
        <f>IF(AND($B253=" ",$K254=AW$3),$O254,0)</f>
        <v>0</v>
      </c>
      <c r="AX254" s="198">
        <f>IF(AND($B253=" ",$K254=AX$3),$O254,0)</f>
        <v>0</v>
      </c>
      <c r="AY254" s="200">
        <f>IF(AND($B253=" ",$K254=AY$3),$O254,0)</f>
        <v>0</v>
      </c>
      <c r="AZ254" s="201">
        <f>IF(AND($B253=" ",$K254=AZ$3),$O254,0)</f>
        <v>0</v>
      </c>
      <c r="BA254" s="201">
        <f>IF(AND($B253=" ",$K254=BA$3),$O254,0)</f>
        <v>0</v>
      </c>
      <c r="BB254" s="201">
        <f>IF(AND($B253=" ",$K254=BB$3),$O254,0)</f>
        <v>0</v>
      </c>
      <c r="BC254" s="202">
        <f>IF(AND($B253=" ",$K254=BC$3),$O254,0)</f>
        <v>0</v>
      </c>
      <c r="BD254" s="198">
        <f>IF(AND($B253=" ",$K254=BD$3),$O254,0)</f>
        <v>0</v>
      </c>
      <c r="BE254" s="199">
        <f>IF(AND($B253=" ",$K254=BE$3),$O254,0)</f>
        <v>0</v>
      </c>
      <c r="BF254" s="197">
        <f>IF($K254=BF$3,IF($C254="X",0,$O254),0)</f>
        <v>0</v>
      </c>
      <c r="BG254" s="198">
        <f>IF($K254=BG$3,IF($C254="X",0,$O254),0)</f>
        <v>0</v>
      </c>
      <c r="BH254" s="198">
        <f>IF($K254=BH$3,IF($C254="X",0,$O254),0)</f>
        <v>0</v>
      </c>
      <c r="BI254" s="198">
        <f>IF($K254=BI$3,IF($C254="X",0,$O254),0)</f>
        <v>0</v>
      </c>
      <c r="BJ254" s="198">
        <f>IF($K254=BJ$3,IF($C254="X",0,$O254),0)</f>
        <v>0</v>
      </c>
      <c r="BK254" s="198">
        <f>IF($K254=BK$3,IF($C254="X",0,$O254),0)</f>
        <v>0</v>
      </c>
      <c r="BL254" s="198">
        <f>IF($K254=BL$3,IF($C254="X",0,$O254),0)</f>
        <v>0</v>
      </c>
      <c r="BM254" s="227">
        <f>IF($K254=BM$3,IF($C254="X",0,$O254),0)</f>
        <v>15.12</v>
      </c>
      <c r="BN254" s="205">
        <f>IF($K254=BN$3,IF($C254="X",0,$O254),0)</f>
        <v>0</v>
      </c>
      <c r="BO254" s="205">
        <f>IF($K254=BO$3,IF($C254="X",0,$O254),0)</f>
        <v>0</v>
      </c>
      <c r="BP254" s="205">
        <f>IF($K254=BP$3,IF($C254="X",0,$O254),0)</f>
        <v>0</v>
      </c>
      <c r="BQ254" s="202">
        <f>IF($K254=BQ$3,IF($C254="X",0,$O254),0)</f>
        <v>0</v>
      </c>
      <c r="BR254" s="199">
        <f>IF($K254=BR$3,IF($C254="X",0,$O254),0)</f>
        <v>0</v>
      </c>
      <c r="BS254" s="228"/>
      <c r="BT254" s="229"/>
      <c r="BU254" s="140"/>
      <c r="BV254" s="229"/>
      <c r="BW254" s="140"/>
      <c r="BX254" s="140"/>
      <c r="BY254" s="140"/>
      <c r="BZ254" s="229"/>
      <c r="CA254" s="140"/>
      <c r="CB254" s="140"/>
      <c r="CC254" s="140"/>
      <c r="CD254" s="141"/>
      <c r="CE254" s="142"/>
      <c r="CF254" s="230">
        <f>IF(CF$3=$K254,IF($C254="W",1,IF($C254="1/2W",0.5,0)),0)</f>
        <v>0</v>
      </c>
      <c r="CG254" s="231">
        <f>IF(CF$3=$K254,IF($C254="L",1,IF($C254="1/2L",0.5,0)),0)</f>
        <v>0</v>
      </c>
      <c r="CH254" s="231">
        <f>IF(CH$3=$K254,IF($C254="W",1,IF($C254="1/2W",0.5,0)),0)</f>
        <v>0</v>
      </c>
      <c r="CI254" s="231">
        <f>IF(CH$3=$K254,IF($C254="L",1,IF($C254="1/2L",0.5,0)),0)</f>
        <v>0</v>
      </c>
      <c r="CJ254" s="231">
        <f>IF(CJ$3=$K254,IF($C254="W",1,IF($C254="1/2W",0.5,0)),0)</f>
        <v>0</v>
      </c>
      <c r="CK254" s="231">
        <f>IF(CJ$3=$K254,IF($C254="L",1,IF($C254="1/2L",0.5,0)),0)</f>
        <v>0</v>
      </c>
      <c r="CL254" s="231">
        <f>IF(CL$3=$K254,IF($C254="W",1,IF($C254="1/2W",0.5,0)),0)</f>
        <v>0</v>
      </c>
      <c r="CM254" s="231">
        <f>IF(CL$3=$K254,IF($C254="L",1,IF($C254="1/2L",0.5,0)),0)</f>
        <v>0</v>
      </c>
      <c r="CN254" s="231">
        <f>IF(CN$3=$K254,IF($C254="W",1,IF($C254="1/2W",0.5,0)),0)</f>
        <v>0</v>
      </c>
      <c r="CO254" s="231">
        <f>IF(CN$3=$K254,IF($C254="L",1,IF($C254="1/2L",0.5,0)),0)</f>
        <v>0</v>
      </c>
      <c r="CP254" s="231">
        <f>IF(CP$3=$K254,IF($C254="W",1,IF($C254="1/2W",0.5,0)),0)</f>
        <v>0</v>
      </c>
      <c r="CQ254" s="231">
        <f>IF(CP$3=$K254,IF($C254="L",1,IF($C254="1/2L",0.5,0)),0)</f>
        <v>0</v>
      </c>
      <c r="CR254" s="231">
        <f>IF(CR$3=$K254,IF($C254="W",1,IF($C254="1/2W",0.5,0)),0)</f>
        <v>0</v>
      </c>
      <c r="CS254" s="231">
        <f>IF(CR$3=$K254,IF($C254="L",1,IF($C254="1/2L",0.5,0)),0)</f>
        <v>0</v>
      </c>
      <c r="CT254" s="208">
        <f>IF(CT$3=$K254,IF($C254="W",1,IF($C254="1/2W",0.5,0)),0)</f>
        <v>1</v>
      </c>
      <c r="CU254" s="209">
        <f>IF(CT$3=$K254,IF($C254="L",1,IF($C254="1/2L",0.5,0)),0)</f>
        <v>0</v>
      </c>
      <c r="CV254" s="209">
        <f>IF(CV$3=$K254,IF($C254="W",1,IF($C254="1/2W",0.5,0)),0)</f>
        <v>0</v>
      </c>
      <c r="CW254" s="209">
        <f>IF(CV$3=$K254,IF($C254="L",1,IF($C254="1/2L",0.5,0)),0)</f>
        <v>0</v>
      </c>
      <c r="CX254" s="209">
        <f>IF(CX$3=$K254,IF($C254="W",1,IF($C254="1/2W",0.5,0)),0)</f>
        <v>0</v>
      </c>
      <c r="CY254" s="209">
        <f>IF(CX$3=$K254,IF($C254="L",1,IF($C254="1/2L",0.5,0)),0)</f>
        <v>0</v>
      </c>
      <c r="CZ254" s="209">
        <f>IF(CZ$3=$K254,IF($C254="W",1,IF($C254="1/2W",0.5,0)),0)</f>
        <v>0</v>
      </c>
      <c r="DA254" s="209">
        <f>IF(CZ$3=$K254,IF($C254="L",1,IF($C254="1/2L",0.5,0)),0)</f>
        <v>0</v>
      </c>
      <c r="DB254" s="209">
        <f>IF(DB$3=$K254,IF($C254="W",1,IF($C254="1/2W",0.5,0)),0)</f>
        <v>0</v>
      </c>
      <c r="DC254" s="209">
        <f>IF(DB$3=$K254,IF($C254="L",1,IF($C254="1/2L",0.5,0)),0)</f>
        <v>0</v>
      </c>
      <c r="DD254" s="209">
        <f>IF(DD$3=$K254,IF($C254="W",1,IF($C254="1/2W",0.5,0)),0)</f>
        <v>0</v>
      </c>
      <c r="DE254" s="210">
        <f>IF(DD$3=$K254,IF($C254="L",1,IF($C254="1/2L",0.5,0)),0)</f>
        <v>0</v>
      </c>
      <c r="DF254" s="211">
        <f>IF(AND(L254&lt;DF$3,$C254="W"),1+DF253,DF253)</f>
        <v>9</v>
      </c>
      <c r="DG254" s="198">
        <f>IF(DF254&gt;DF253,L254+DG253,DG253)</f>
        <v>11.898</v>
      </c>
      <c r="DH254" s="209">
        <f>IF(AND(L254&gt;DH$3,$C254="W"),1+DH253,0+DH253)</f>
        <v>6</v>
      </c>
      <c r="DI254" s="198">
        <f>IF(DH254&gt;DH253,L254+DI253,DI253)</f>
        <v>30.83</v>
      </c>
      <c r="DJ254" t="s" s="306">
        <f>IF($D253="","",$D253)</f>
        <v>229</v>
      </c>
      <c r="DK254" s="232"/>
    </row>
    <row r="255" ht="14.55" customHeight="1">
      <c r="A255" s="149"/>
      <c r="B255" s="150"/>
      <c r="C255" t="s" s="233">
        <v>58</v>
      </c>
      <c r="D255" s="152"/>
      <c r="E255" s="153"/>
      <c r="F255" s="155"/>
      <c r="G255" s="234"/>
      <c r="H255" s="156"/>
      <c r="I255" s="235"/>
      <c r="J255" s="236"/>
      <c r="K255" s="237"/>
      <c r="L255" s="238"/>
      <c r="M255" s="239"/>
      <c r="N255" s="161"/>
      <c r="O255" t="s" s="240">
        <f>IF(OR(AE253="",AE254=""),"",IF(L255&gt;0,ROUND(IF(M255&gt;0,M255,IF(M253&gt;0,ROUND((M253*AE255)/AE253,IF(N253=0,2,IF(N253=0.1,1,0))),IF(M254&gt;0,ROUND((M254*AE255)/AE254,IF(N253=0,2,IF(N253=0.1,1,0))),IF(M255&gt;0,M255,0)))),2),""))</f>
      </c>
      <c r="P255" t="s" s="241">
        <f>IF(I254="Lay",O254*(L254/(L254-1))-O254,IF(I253="Lay",O253*(L253/(L253-1))-O253,IF(OR(L255="",O255=""),"",IF($C255="1/2W",O255/2+O255/2*L255,IF($C255="1/2L",O255/2,(O255*L255-O255)*(1-_xlfn.XLOOKUP(K255,'Janeiro 2023 - Valor Real'!A3:A15,'Janeiro 2023 - Valor Real'!C3:C15,0))+O255)))))</f>
      </c>
      <c r="Q255" t="s" s="242">
        <f>IF(K255="","",IF(_xlfn.XLOOKUP(K255,K$99:K111,DJ$99:DJ111,0,,-1)=DJ255,_xlfn.XLOOKUP(K255,K$99:K111,Q$99:Q111,1,,-1)+1,1))</f>
      </c>
      <c r="R255" t="s" s="243">
        <f>IF(K255="","",_xlfn.XLOOKUP(K255,K$99:K111,R$99:R111,0,,-1)+IF($C255=" ",1,0))</f>
      </c>
      <c r="S255" s="166"/>
      <c r="T255" s="155"/>
      <c r="U255" s="155"/>
      <c r="V255" s="166"/>
      <c r="W255" s="155"/>
      <c r="X255" s="167"/>
      <c r="Y255" s="128"/>
      <c r="Z255" s="129"/>
      <c r="AA255" s="129"/>
      <c r="AB255" s="129"/>
      <c r="AC255" s="129"/>
      <c r="AD255" s="244">
        <f>((L254/(L254-1)-1))</f>
        <v>0.675675675675676</v>
      </c>
      <c r="AE255" t="s" s="245">
        <f>IF(L255="","",(SUM(((L253-1)*(1-_xlfn.XLOOKUP(K253,'Janeiro 2023 - Valor Real'!A3:A15,'Janeiro 2023 - Valor Real'!C3:C15,0))+1),((L254-1)*(1-_xlfn.XLOOKUP(K254,'Janeiro 2023 - Valor Real'!A3:A15,'Janeiro 2023 - Valor Real'!C3:C15,0))+1),((L255-1)*(1-_xlfn.XLOOKUP(K255,'Janeiro 2023 - Valor Real'!A3:A15,'Janeiro 2023 - Valor Real'!C3:C15,0))+1))/((L255-1)*(1-_xlfn.XLOOKUP(K255,'Janeiro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Real'!C3:C15,0))+1))/((L253-1)*(1-_xlfn.XLOOKUP(K253,'Janeiro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Real'!C3:C15,0))+1))/((L254-1)*(1-_xlfn.XLOOKUP(K254,'Janeiro 2023 - Valor Real'!A3:A15,'Janeiro 2023 - Valor Real'!C3:C15,0))+1)+SUM(((L253-1)*(1-_xlfn.XLOOKUP(K253,'Janeiro 2023 - Valor Real'!A3:A15,'Janeiro 2023 - Valor Real'!C3:C15,0))+1),((L254-1)*(1-_xlfn.XLOOKUP(K254,'Janeiro 2023 - Valor Real'!A3:A15,'Janeiro 2023 - Valor Real'!C3:C15,0))+1),((L255-1)*(1-_xlfn.XLOOKUP(K255,'Janeiro 2023 - Valor Real'!A3:A15,'Janeiro 2023 - Valor Real'!C3:C15,0))+1))/((L255-1)*(1-_xlfn.XLOOKUP(K255,'Janeiro 2023 - Valor Real'!A3:A15,'Janeiro 2023 - Valor Real'!C3:C15,0))+1)))</f>
      </c>
      <c r="AF255" s="197">
        <f>IF($K255=AF$3,ROUND(IF(OR($C255="W",$C255="1/2W",$C255="1/2L"),$P255-$O255,IF($C255="X",0,-$O255)),2),0)</f>
        <v>0</v>
      </c>
      <c r="AG255" s="198">
        <f>IF($K255=AG$3,ROUND(IF(OR($C255="W",$C255="1/2W",$C255="1/2L"),$P255-$O255,IF($C255="X",0,-$O255)),2),0)</f>
        <v>0</v>
      </c>
      <c r="AH255" s="198">
        <f>IF($K255=AH$3,ROUND(IF(OR($C255="W",$C255="1/2W",$C255="1/2L"),$P255-$O255,IF($C255="X",0,-$O255)),2),0)</f>
        <v>0</v>
      </c>
      <c r="AI255" s="198">
        <f>IF($K255=AI$3,ROUND(IF(OR($C255="W",$C255="1/2W",$C255="1/2L"),$P255-$O255,IF($C255="X",0,-$O255)),2),0)</f>
        <v>0</v>
      </c>
      <c r="AJ255" s="198">
        <f>IF($K255=AJ$3,ROUND(IF(OR($C255="W",$C255="1/2W",$C255="1/2L"),$P255-$O255,IF($C255="X",0,-$O255)),2),0)</f>
        <v>0</v>
      </c>
      <c r="AK255" s="198">
        <f>IF($K255=AK$3,ROUND(IF(OR($C255="W",$C255="1/2W",$C255="1/2L"),$P255-$O255,IF($C255="X",0,-$O255)),2),0)</f>
        <v>0</v>
      </c>
      <c r="AL255" s="198">
        <f>IF($K255=AL$3,ROUND(IF(OR($C255="W",$C255="1/2W",$C255="1/2L"),$P255-$O255,IF($C255="X",0,-$O255)),2),0)</f>
        <v>0</v>
      </c>
      <c r="AM255" s="198">
        <f>IF($K255=AM$3,ROUND(IF(OR($C255="W",$C255="1/2W",$C255="1/2L"),$P255-$O255,IF($C255="X",0,-$O255)),2),0)</f>
        <v>0</v>
      </c>
      <c r="AN255" s="198">
        <f>IF($K255=AN$3,ROUND(IF(OR($C255="W",$C255="1/2W",$C255="1/2L"),$P255-$O255,IF($C255="X",0,-$O255)),2),0)</f>
        <v>0</v>
      </c>
      <c r="AO255" s="198">
        <f>IF($K255=AO$3,ROUND(IF(OR($C255="W",$C255="1/2W",$C255="1/2L"),$P255-$O255,IF($C255="X",0,-$O255)),2),0)</f>
        <v>0</v>
      </c>
      <c r="AP255" s="198">
        <f>IF($K255=AP$3,ROUND(IF(OR($C255="W",$C255="1/2W",$C255="1/2L"),$P255-$O255,IF($C255="X",0,-$O255)),2),0)</f>
        <v>0</v>
      </c>
      <c r="AQ255" s="198">
        <f>IF($K255=AQ$3,ROUND(IF(OR($C255="W",$C255="1/2W",$C255="1/2L"),$P255-$O255,IF($C255="X",0,-$O255)),2),0)</f>
        <v>0</v>
      </c>
      <c r="AR255" s="199">
        <f>IF($K255=AR$3,ROUND(IF(OR($C255="W",$C255="1/2W",$C255="1/2L"),$P255-$O255,IF($C255="X",0,-$O255)),2),0)</f>
        <v>0</v>
      </c>
      <c r="AS255" s="197">
        <f>IF(AND($B253=" ",$K255=AS$3),$O255,0)</f>
        <v>0</v>
      </c>
      <c r="AT255" s="198">
        <f>IF(AND($B253=" ",K255=AT$3),$O255,0)</f>
        <v>0</v>
      </c>
      <c r="AU255" s="198">
        <f>IF(AND($B253=" ",$K255=AU$3),$O255,0)</f>
        <v>0</v>
      </c>
      <c r="AV255" s="198">
        <f>IF(AND($B253=" ",$K255=AV$3),$O255,0)</f>
        <v>0</v>
      </c>
      <c r="AW255" s="198">
        <f>IF(AND($B253=" ",$K255=AW$3),$O255,0)</f>
        <v>0</v>
      </c>
      <c r="AX255" s="198">
        <f>IF(AND($B253=" ",$K255=AX$3),$O255,0)</f>
        <v>0</v>
      </c>
      <c r="AY255" s="200">
        <f>IF(AND($B253=" ",$K255=AY$3),$O255,0)</f>
        <v>0</v>
      </c>
      <c r="AZ255" s="201">
        <f>IF(AND($B253=" ",$K255=AZ$3),$O255,0)</f>
        <v>0</v>
      </c>
      <c r="BA255" s="201">
        <f>IF(AND($B253=" ",$K255=BA$3),$O255,0)</f>
        <v>0</v>
      </c>
      <c r="BB255" s="201">
        <f>IF(AND($B253=" ",$K255=BB$3),$O255,0)</f>
        <v>0</v>
      </c>
      <c r="BC255" s="202">
        <f>IF(AND($B253=" ",$K255=BC$3),$O255,0)</f>
        <v>0</v>
      </c>
      <c r="BD255" s="198">
        <f>IF(AND($B253=" ",$K255=BD$3),$O255,0)</f>
        <v>0</v>
      </c>
      <c r="BE255" s="199">
        <f>IF(AND($B253=" ",$K255=BE$3),$O255,0)</f>
        <v>0</v>
      </c>
      <c r="BF255" s="197">
        <f>IF($K255=BF$3,IF($C255="X",0,$O255),0)</f>
        <v>0</v>
      </c>
      <c r="BG255" s="198">
        <f>IF($K255=BG$3,IF($C255="X",0,$O255),0)</f>
        <v>0</v>
      </c>
      <c r="BH255" s="198">
        <f>IF($K255=BH$3,IF($C255="X",0,$O255),0)</f>
        <v>0</v>
      </c>
      <c r="BI255" s="198">
        <f>IF($K255=BI$3,IF($C255="X",0,$O255),0)</f>
        <v>0</v>
      </c>
      <c r="BJ255" s="198">
        <f>IF($K255=BJ$3,IF($C255="X",0,$O255),0)</f>
        <v>0</v>
      </c>
      <c r="BK255" s="198">
        <f>IF($K255=BK$3,IF($C255="X",0,$O255),0)</f>
        <v>0</v>
      </c>
      <c r="BL255" s="198">
        <f>IF($K255=BL$3,IF($C255="X",0,$O255),0)</f>
        <v>0</v>
      </c>
      <c r="BM255" s="200">
        <f>IF($K255=BM$3,IF($C255="X",0,$O255),0)</f>
        <v>0</v>
      </c>
      <c r="BN255" s="201">
        <f>IF($K255=BN$3,IF($C255="X",0,$O255),0)</f>
        <v>0</v>
      </c>
      <c r="BO255" s="201">
        <f>IF($K255=BO$3,IF($C255="X",0,$O255),0)</f>
        <v>0</v>
      </c>
      <c r="BP255" s="201">
        <f>IF($K255=BP$3,IF($C255="X",0,$O255),0)</f>
        <v>0</v>
      </c>
      <c r="BQ255" s="202">
        <f>IF($K255=BQ$3,IF($C255="X",0,$O255),0)</f>
        <v>0</v>
      </c>
      <c r="BR255" s="199">
        <f>IF($K255=BR$3,IF($C255="X",0,$O255),0)</f>
        <v>0</v>
      </c>
      <c r="BS255" s="228"/>
      <c r="BT255" s="229"/>
      <c r="BU255" s="140"/>
      <c r="BV255" s="229"/>
      <c r="BW255" s="140"/>
      <c r="BX255" s="140"/>
      <c r="BY255" s="140"/>
      <c r="BZ255" s="229"/>
      <c r="CA255" s="140"/>
      <c r="CB255" s="140"/>
      <c r="CC255" s="140"/>
      <c r="CD255" s="141"/>
      <c r="CE255" s="142"/>
      <c r="CF255" s="230">
        <f>IF(CF$3=$K255,IF($C255="W",1,IF($C255="1/2W",0.5,0)),0)</f>
        <v>0</v>
      </c>
      <c r="CG255" s="231">
        <f>IF(CF$3=$K255,IF($C255="L",1,IF($C255="1/2L",0.5,0)),0)</f>
        <v>0</v>
      </c>
      <c r="CH255" s="231">
        <f>IF(CH$3=$K255,IF($C255="W",1,IF($C255="1/2W",0.5,0)),0)</f>
        <v>0</v>
      </c>
      <c r="CI255" s="231">
        <f>IF(CH$3=$K255,IF($C255="L",1,IF($C255="1/2L",0.5,0)),0)</f>
        <v>0</v>
      </c>
      <c r="CJ255" s="231">
        <f>IF(CJ$3=$K255,IF($C255="W",1,IF($C255="1/2W",0.5,0)),0)</f>
        <v>0</v>
      </c>
      <c r="CK255" s="231">
        <f>IF(CJ$3=$K255,IF($C255="L",1,IF($C255="1/2L",0.5,0)),0)</f>
        <v>0</v>
      </c>
      <c r="CL255" s="231">
        <f>IF(CL$3=$K255,IF($C255="W",1,IF($C255="1/2W",0.5,0)),0)</f>
        <v>0</v>
      </c>
      <c r="CM255" s="231">
        <f>IF(CL$3=$K255,IF($C255="L",1,IF($C255="1/2L",0.5,0)),0)</f>
        <v>0</v>
      </c>
      <c r="CN255" s="231">
        <f>IF(CN$3=$K255,IF($C255="W",1,IF($C255="1/2W",0.5,0)),0)</f>
        <v>0</v>
      </c>
      <c r="CO255" s="231">
        <f>IF(CN$3=$K255,IF($C255="L",1,IF($C255="1/2L",0.5,0)),0)</f>
        <v>0</v>
      </c>
      <c r="CP255" s="231">
        <f>IF(CP$3=$K255,IF($C255="W",1,IF($C255="1/2W",0.5,0)),0)</f>
        <v>0</v>
      </c>
      <c r="CQ255" s="231">
        <f>IF(CP$3=$K255,IF($C255="L",1,IF($C255="1/2L",0.5,0)),0)</f>
        <v>0</v>
      </c>
      <c r="CR255" s="231">
        <f>IF(CR$3=$K255,IF($C255="W",1,IF($C255="1/2W",0.5,0)),0)</f>
        <v>0</v>
      </c>
      <c r="CS255" s="231">
        <f>IF(CR$3=$K255,IF($C255="L",1,IF($C255="1/2L",0.5,0)),0)</f>
        <v>0</v>
      </c>
      <c r="CT255" s="208">
        <f>IF(CT$3=$K255,IF($C255="W",1,IF($C255="1/2W",0.5,0)),0)</f>
        <v>0</v>
      </c>
      <c r="CU255" s="209">
        <f>IF(CT$3=$K255,IF($C255="L",1,IF($C255="1/2L",0.5,0)),0)</f>
        <v>0</v>
      </c>
      <c r="CV255" s="209">
        <f>IF(CV$3=$K255,IF($C255="W",1,IF($C255="1/2W",0.5,0)),0)</f>
        <v>0</v>
      </c>
      <c r="CW255" s="209">
        <f>IF(CV$3=$K255,IF($C255="L",1,IF($C255="1/2L",0.5,0)),0)</f>
        <v>0</v>
      </c>
      <c r="CX255" s="209">
        <f>IF(CX$3=$K255,IF($C255="W",1,IF($C255="1/2W",0.5,0)),0)</f>
        <v>0</v>
      </c>
      <c r="CY255" s="209">
        <f>IF(CX$3=$K255,IF($C255="L",1,IF($C255="1/2L",0.5,0)),0)</f>
        <v>0</v>
      </c>
      <c r="CZ255" s="209">
        <f>IF(CZ$3=$K255,IF($C255="W",1,IF($C255="1/2W",0.5,0)),0)</f>
        <v>0</v>
      </c>
      <c r="DA255" s="209">
        <f>IF(CZ$3=$K255,IF($C255="L",1,IF($C255="1/2L",0.5,0)),0)</f>
        <v>0</v>
      </c>
      <c r="DB255" s="209">
        <f>IF(DB$3=$K255,IF($C255="W",1,IF($C255="1/2W",0.5,0)),0)</f>
        <v>0</v>
      </c>
      <c r="DC255" s="209">
        <f>IF(DB$3=$K255,IF($C255="L",1,IF($C255="1/2L",0.5,0)),0)</f>
        <v>0</v>
      </c>
      <c r="DD255" s="209">
        <f>IF(DD$3=$K255,IF($C255="W",1,IF($C255="1/2W",0.5,0)),0)</f>
        <v>0</v>
      </c>
      <c r="DE255" s="210">
        <f>IF(DD$3=$K255,IF($C255="L",1,IF($C255="1/2L",0.5,0)),0)</f>
        <v>0</v>
      </c>
      <c r="DF255" s="211">
        <f>IF(AND(L255&lt;DF$3,$C255="W"),1+DF254,DF254)</f>
        <v>9</v>
      </c>
      <c r="DG255" s="198">
        <f>IF(DF255&gt;DF254,L255+DG254,DG254)</f>
        <v>11.898</v>
      </c>
      <c r="DH255" s="209">
        <f>IF(AND(L255&gt;DH$3,$C255="W"),1+DH254,0+DH254)</f>
        <v>6</v>
      </c>
      <c r="DI255" s="198">
        <f>IF(DH255&gt;DH254,L255+DI254,DI254)</f>
        <v>30.83</v>
      </c>
      <c r="DJ255" t="s" s="306">
        <f>IF($D253="","",$D253)</f>
        <v>229</v>
      </c>
      <c r="DK255" s="232"/>
    </row>
    <row r="256" ht="14.55" customHeight="1">
      <c r="A256" s="246">
        <f>$A253+1</f>
        <v>85</v>
      </c>
      <c r="B256" t="s" s="247">
        <f>IF(AND(_xlfn.XLOOKUP(H256,H$94:H118,G$94:G118,0)=G256,_xlfn.XLOOKUP("TempoBet",K256:K258,L256:L258,0)&gt;0),"X",IF(OR(C256="W",C257="W",C258="W",C256="1/2W",C257="1/2W",C258="1/2W",C256="1/2L",C257="1/2L",C258="1/2L"),"OK",IF(OR(C256="L",C257="L",C258="L"),"LOSS",IF(OR(C256="X",C257="X",C258="X"),"Anulado"," "))))</f>
        <v>50</v>
      </c>
      <c r="C256" t="s" s="248">
        <v>51</v>
      </c>
      <c r="D256" t="s" s="303">
        <f>IF(G256="","",$D253)</f>
        <v>229</v>
      </c>
      <c r="E256" t="s" s="250">
        <v>130</v>
      </c>
      <c r="F256" t="s" s="251"/>
      <c r="G256" s="252">
        <v>44948.4375</v>
      </c>
      <c r="H256" t="s" s="253">
        <v>247</v>
      </c>
      <c r="I256" t="s" s="254">
        <v>57</v>
      </c>
      <c r="J256" s="255">
        <v>1.75</v>
      </c>
      <c r="K256" t="s" s="256">
        <v>48</v>
      </c>
      <c r="L256" s="257">
        <v>1.77</v>
      </c>
      <c r="M256" s="258">
        <v>17.16</v>
      </c>
      <c r="N256" s="259">
        <v>0</v>
      </c>
      <c r="O256" s="260">
        <f>IF(OR(AE256="",AE257=""),"",ROUND(IF(L258&gt;0,IF(M256&gt;0,M256,IF(M257&gt;0,ROUND((M257*AE256)/AE257,IF(N256=0,2,IF(N256=0.1,1,0))),ROUND((M258*AE256)/AE258,IF(N256=0,2,IF(N256=0.1,1,0))))),IF(M256&gt;0,M256,ROUND((M257*AE256)/AE257,IF(N256=0,2,IF(N256=0.1,1,0))))),2))</f>
        <v>17.16</v>
      </c>
      <c r="P256" s="261">
        <f>IF(OR(L256="",O256=""),"",IF($C256="1/2W",O256/2+O256/2*L256,IF($C256="1/2L",O256/2,IF(I256="Lay",(O256*(L256/(L256-1))-O256)*(1-_xlfn.XLOOKUP(K256,'Janeiro 2023 - Valor Real'!A3:A15,'Janeiro 2023 - Valor Real'!C3:C15,0))+O256,(O256*L256-O256)*(1-_xlfn.XLOOKUP(K256,'Janeiro 2023 - Valor Real'!A3:A15,'Janeiro 2023 - Valor Real'!C3:C15,0))+O256))))</f>
        <v>30.3732</v>
      </c>
      <c r="Q256" s="262">
        <f>IF(K256="","",IF(_xlfn.XLOOKUP(K256,K$94:K118,DJ$94:DJ118,0,,-1)=DJ256,_xlfn.XLOOKUP(K256,K$94:K118,Q$94:Q118,1,,-1)+1,1))</f>
        <v>1</v>
      </c>
      <c r="R256" s="263">
        <f>IF(K256="","",_xlfn.XLOOKUP(K256,K$94:K118,R$94:R118,0,,-1)+IF($C256=" ",1,0))</f>
        <v>0</v>
      </c>
      <c r="S256" s="264">
        <f>IF($B256="Anulado",0,ROUND(IF(OR($B256="LOSS",$B256="OK"),IF(OR($C256="W",$C256="1/2W",$C256="1/2L"),P256-O256,IF($C256="L",-O256,0))+IF(OR($C257="W",$C257="1/2W",$C257="1/2L"),P257-O257,IF($C257="L",-O257,0))+IF(OR($C258="W",$C258="1/2W",$C258="1/2L"),P258-O258,IF($C258="L",-O258,0)),IF(AND(OR($C256="W",$C256="1/2W",$C256="1/2L"),C257="W"),P256+P257-SUM(O256:O258)+_xlfn.XLOOKUP("X",C256:C258,O256:O258,0),IF(AND(C256=TRUE,C258="W"),P256+P258-SUM(O256:O258),IF(AND(C257="W",C258="W"),P257+P258-SUM(O256:O258)+_xlfn.XLOOKUP("X",C256:C258,O256:O258,0),IF(L258&gt;0,IF(OR($C256="W",$C256="1/2W",$C256="1/2L"),P256-SUM(O256:O258)+_xlfn.XLOOKUP("X",C256:C258,O256:O258,0),IF(OR($C256="W",$C256="1/2W",$C256="1/2L"),P257-SUM(O256:O258)+_xlfn.XLOOKUP("X",C256:C258,O256:O258,0),IF(OR($C256="W",$C256="1/2W",$C256="1/2L"),P258-SUM(O256:O258)+_xlfn.XLOOKUP("X",C256:C258,O256:O258,0),IF(SUM(P256:P258)/3-SUM(O256:O258)+_xlfn.XLOOKUP("X",C256:C258,O256:O258,0)&gt;0,SUM(P256:P258)/3-SUM(O256:O258)+_xlfn.XLOOKUP("X",C256:C258,O256:O258,0),LARGE(P256:P258,1)-SUM(O256:O258))))),IF(OR($C256="W",$C256="1/2W",$C256="1/2L"),P256-SUM(O256:O257)+_xlfn.XLOOKUP("X",C256:C258,O256:O258,0),IF(OR($C256="W",$C256="1/2W",$C256="1/2L"),P257-SUM(O256:O257)+_xlfn.XLOOKUP("X",C256:C258,O256:O258,0),SUM(P256:P257)/2-SUM(O256:O257)+_xlfn.XLOOKUP("X",C256:C258,O256:O258,0)))))))),2))</f>
        <v>1.22</v>
      </c>
      <c r="T256" s="265">
        <f>IF(S256=0,0,S256/SUM(O256:O258))</f>
        <v>0.0418237915666781</v>
      </c>
      <c r="U256" s="266">
        <f>IF($D256=$D253,IF(OR($B256="LOSS",$B256="OK",$B256="Anulada"),S256,0)+U253,IF(OR($B256="LOSS",$B256="OK",$B256="Anulada"),S256,0))</f>
        <v>13.38</v>
      </c>
      <c r="V256" s="266">
        <f>IF($D256="",0,IF($D256=$D253,IF($B256=" ",IF(I258="",IF(OR(AND(I256="DNB1",I257="DNB2"),AND(OR(I256="DNB1",I256="DNB2"),J257=0),AND(OR(I257="DNB1",I257="DNB2"),J256=0),AND(I256="DNB2",I257="DNB1"),AND(IF(J256=0,(J256+1)/ROUND(J256+1,0),J256/ROUND(J256,0))=1,IF(J257=0,(J257+1)/ROUND(IF(J257="",0,J257)+1,0),IF(J257="",0,J257)/ROUND(IF(J257="",1,J257),0))=1,OR(J256&lt;&gt;""),J257&lt;&gt;"")),0,IF(S256&lt;0,IF(I258="",SMALL(P256:P257,1)-SUM(O256:O257),0),SMALL(P256:P257,1)-SUM(O256:O257))),IF(S256&lt;0,IF(I258="",SMALL(P256:P258,1)-SUM(O256:O258),0),LARGE(P256:P258,1)-SUM(O256:O258))),S256)+V253,IF(I258="",IF(OR(AND(I256="DNB1",I257="DNB2"),AND(OR(I256="DNB1",I256="DNB2"),J257=0),AND(OR(I257="DNB1",I257="DNB2"),J256=0),AND(I256="DNB2",I257="DNB1"),AND(IF(J256=0,(J256+1)/ROUND(J256+1,0),J256/ROUND(J256,0))=1,IF(J257=0,(IF(J257="",0,J257)+1)/ROUND(IF(J257="",0,J257)+1,0),IF(J257="",0,J257)/ROUND(IF(J257="",0,J257)+1,0))=1,OR(J256&lt;&gt;""),J257&lt;&gt;"")),0,IF(S256&lt;0,IF(I258="",SMALL(P256:P257,1)-SUM(O256:O257),0),SMALL(P256:P258,1)-SUM(O256:O258))),IF(S256&lt;0,IF(I258="",SMALL(P256:P258,1)-SUM(O256:O258),0),LARGE(P256:P258,1)-SUM(O256:O258)))))</f>
        <v>13.376</v>
      </c>
      <c r="W256" s="266">
        <f>IF($D256=$D253,IF(S256&lt;0,IF(I258="",S256,0),S256)+W253,S256)</f>
        <v>13.38</v>
      </c>
      <c r="X256" t="s" s="267">
        <f>IF(OR(SUM(R256:R258)=0,V256=W256),ROUND(IF(W256=0,0,W256/Y256)*100,2)&amp;"%",ROUND(IF(V256=0,0,V256/Y256)*100,2)&amp;"% a "&amp;ROUND(IF(W256=0,0,W256/Y256)*100,2)&amp;"%")</f>
        <v>213</v>
      </c>
      <c r="Y256" s="268">
        <f>IF($D256=$D253,Y253+SUM(O256:O258),SUM(O256:O258))</f>
        <v>393.4</v>
      </c>
      <c r="Z256" s="266">
        <f>IF($B256=" ",SUM(O256:O258),0)+Z253</f>
        <v>0</v>
      </c>
      <c r="AA256" s="266">
        <f>IF(G256="","",IF($B256="Anulado",LARGE(P256:P258,1)-SUM(O256:O258)+AA253,AA253))</f>
        <v>16.5099</v>
      </c>
      <c r="AB256" s="266">
        <f>IF($D256="","",AB253+S256)</f>
        <v>215.55</v>
      </c>
      <c r="AC256" s="269">
        <f>IF($D256="","",IF($B256=" ",IF(DAY(G256)=DAY(TODAY()),1+AC253,0+AC253),0+AC253))</f>
        <v>0</v>
      </c>
      <c r="AD256" s="270">
        <f>(1-_xlfn.XLOOKUP(K254,'Janeiro 2023 - Valor Real'!A3:A15,'Janeiro 2023 - Valor Real'!C3:C15,0))+1</f>
        <v>2</v>
      </c>
      <c r="AE256" s="271">
        <f>IF(L256="","",IF(L258&gt;0,(SUM(((L256-1)*(1-_xlfn.XLOOKUP(K256,'Janeiro 2023 - Valor Real'!A3:A15,'Janeiro 2023 - Valor Real'!C3:C15,0))+1),((L257-1)*(1-_xlfn.XLOOKUP(K257,'Janeiro 2023 - Valor Real'!A3:A15,'Janeiro 2023 - Valor Real'!C3:C15,0))+1),((L258-1)*(1-_xlfn.XLOOKUP(K258,'Janeiro 2023 - Valor Real'!A3:A15,'Janeiro 2023 - Valor Real'!C3:C15,0))+1))/((L256-1)*(1-_xlfn.XLOOKUP(K256,'Janeiro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Real'!C3:C15,0))+1))/((L256-1)*(1-_xlfn.XLOOKUP(K256,'Janeiro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Real'!C3:C15,0))+1))/((L257-1)*(1-_xlfn.XLOOKUP(K257,'Janeiro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Real'!C3:C15,0))+1))/((L258-1)*(1-_xlfn.XLOOKUP(K258,'Janeiro 2023 - Valor Real'!A3:A15,'Janeiro 2023 - Valor Real'!C3:C15,0))+1)),IF(I256="Lay",IF(I257="Lay",((L257/(L257-1)-1)*(1-_xlfn.XLOOKUP(K257,'Janeiro 2023 - Valor Real'!A3:A15,'Janeiro 2023 - Valor Real'!C3:C15,0))+1)/(((L257/(L257-1)-1)*(1-_xlfn.XLOOKUP(K257,'Janeiro 2023 - Valor Real'!A3:A15,'Janeiro 2023 - Valor Real'!C3:C15,0))+1)+((L256/(L256-1)-1)*(1-_xlfn.XLOOKUP(K256,'Janeiro 2023 - Valor Real'!A3:A15,'Janeiro 2023 - Valor Real'!C3:C15,0))+1)),((L257-1)*(1-_xlfn.XLOOKUP(K257,'Janeiro 2023 - Valor Real'!A3:A15,'Janeiro 2023 - Valor Real'!C3:C15,0))+1)/(((L257-1)*(1-_xlfn.XLOOKUP(K257,'Janeiro 2023 - Valor Real'!A3:A15,'Janeiro 2023 - Valor Real'!C3:C15,0))+1)+((L256/(L256-1)-1)*(1-_xlfn.XLOOKUP(K256,'Janeiro 2023 - Valor Real'!A3:A15,'Janeiro 2023 - Valor Real'!C3:C15,0))+1))),IF(I257="Lay",(((L257/(L257-1)-1)*(1-_xlfn.XLOOKUP(K257,'Janeiro 2023 - Valor Real'!A3:A15,'Janeiro 2023 - Valor Real'!C3:C15,0))+1))/(((L256-1)*(1-_xlfn.XLOOKUP(K256,'Janeiro 2023 - Valor Real'!A3:A15,'Janeiro 2023 - Valor Real'!C3:C15,0))+1)+((L257/(L257-1)-1)*(1-_xlfn.XLOOKUP(K257,'Janeiro 2023 - Valor Real'!A3:A15,'Janeiro 2023 - Valor Real'!C3:C15,0))+1)),((L257-1)*(1-_xlfn.XLOOKUP(K257,'Janeiro 2023 - Valor Real'!A3:A15,'Janeiro 2023 - Valor Real'!C3:C15,0))+1)/(((L257-1)*(1-_xlfn.XLOOKUP(K257,'Janeiro 2023 - Valor Real'!A3:A15,'Janeiro 2023 - Valor Real'!C3:C15,0))+1)+((L256-1)*(1-_xlfn.XLOOKUP(K256,'Janeiro 2023 - Valor Real'!A3:A15,'Janeiro 2023 - Valor Real'!C3:C15,0))+1))))))</f>
        <v>0.588372093023256</v>
      </c>
      <c r="AF256" s="132">
        <f>IF($K256=AF$3,ROUND(IF(OR($C256="W",$C256="1/2W",$C256="1/2L"),$P256-$O256,IF($C256="X",0,-$O256)),2),0)</f>
        <v>0</v>
      </c>
      <c r="AG256" s="133">
        <f>IF($K256=AG$3,ROUND(IF(OR($C256="W",$C256="1/2W",$C256="1/2L"),$P256-$O256,IF($C256="X",0,-$O256)),2),0)</f>
        <v>0</v>
      </c>
      <c r="AH256" s="133">
        <f>IF($K256=AH$3,ROUND(IF(OR($C256="W",$C256="1/2W",$C256="1/2L"),$P256-$O256,IF($C256="X",0,-$O256)),2),0)</f>
        <v>0</v>
      </c>
      <c r="AI256" s="133">
        <f>IF($K256=AI$3,ROUND(IF(OR($C256="W",$C256="1/2W",$C256="1/2L"),$P256-$O256,IF($C256="X",0,-$O256)),2),0)</f>
        <v>0</v>
      </c>
      <c r="AJ256" s="133">
        <f>IF($K256=AJ$3,ROUND(IF(OR($C256="W",$C256="1/2W",$C256="1/2L"),$P256-$O256,IF($C256="X",0,-$O256)),2),0)</f>
        <v>0</v>
      </c>
      <c r="AK256" s="133">
        <f>IF($K256=AK$3,ROUND(IF(OR($C256="W",$C256="1/2W",$C256="1/2L"),$P256-$O256,IF($C256="X",0,-$O256)),2),0)</f>
        <v>0</v>
      </c>
      <c r="AL256" s="133">
        <f>IF($K256=AL$3,ROUND(IF(OR($C256="W",$C256="1/2W",$C256="1/2L"),$P256-$O256,IF($C256="X",0,-$O256)),2),0)</f>
        <v>0</v>
      </c>
      <c r="AM256" s="133">
        <f>IF($K256=AM$3,ROUND(IF(OR($C256="W",$C256="1/2W",$C256="1/2L"),$P256-$O256,IF($C256="X",0,-$O256)),2),0)</f>
        <v>0</v>
      </c>
      <c r="AN256" s="133">
        <f>IF($K256=AN$3,ROUND(IF(OR($C256="W",$C256="1/2W",$C256="1/2L"),$P256-$O256,IF($C256="X",0,-$O256)),2),0)</f>
        <v>0</v>
      </c>
      <c r="AO256" s="133">
        <f>IF($K256=AO$3,ROUND(IF(OR($C256="W",$C256="1/2W",$C256="1/2L"),$P256-$O256,IF($C256="X",0,-$O256)),2),0)</f>
        <v>0</v>
      </c>
      <c r="AP256" s="133">
        <f>IF($K256=AP$3,ROUND(IF(OR($C256="W",$C256="1/2W",$C256="1/2L"),$P256-$O256,IF($C256="X",0,-$O256)),2),0)</f>
        <v>0</v>
      </c>
      <c r="AQ256" s="133">
        <f>IF($K256=AQ$3,ROUND(IF(OR($C256="W",$C256="1/2W",$C256="1/2L"),$P256-$O256,IF($C256="X",0,-$O256)),2),0)</f>
        <v>-17.16</v>
      </c>
      <c r="AR256" s="134">
        <f>IF($K256=AR$3,ROUND(IF(OR($C256="W",$C256="1/2W",$C256="1/2L"),$P256-$O256,IF($C256="X",0,-$O256)),2),0)</f>
        <v>0</v>
      </c>
      <c r="AS256" s="132">
        <f>IF(AND($B256=" ",$K256=AS$3),$O256,0)</f>
        <v>0</v>
      </c>
      <c r="AT256" s="133">
        <f>IF(AND($B256=" ",$K256=AT$3),$O256,0)</f>
        <v>0</v>
      </c>
      <c r="AU256" s="133">
        <f>IF(AND($B256=" ",$K256=AU$3),$O256,0)</f>
        <v>0</v>
      </c>
      <c r="AV256" s="133">
        <f>IF(AND($B256=" ",$K256=AV$3),$O256,0)</f>
        <v>0</v>
      </c>
      <c r="AW256" s="133">
        <f>IF(AND($B256=" ",$K256=AW$3),$O256,0)</f>
        <v>0</v>
      </c>
      <c r="AX256" s="133">
        <f>IF(AND($B256=" ",$K256=AX$3),$O256,0)</f>
        <v>0</v>
      </c>
      <c r="AY256" s="135">
        <f>IF(AND($B256=" ",$K256=AY$3),$O256,0)</f>
        <v>0</v>
      </c>
      <c r="AZ256" s="136">
        <f>IF(AND($B256=" ",$K256=AZ$3),$O256,0)</f>
        <v>0</v>
      </c>
      <c r="BA256" s="136">
        <f>IF(AND($B256=" ",$K256=BA$3),$O256,0)</f>
        <v>0</v>
      </c>
      <c r="BB256" s="136">
        <f>IF(AND($B256=" ",$K256=BB$3),$O256,0)</f>
        <v>0</v>
      </c>
      <c r="BC256" s="137">
        <f>IF(AND($B256=" ",$K256=BC$3),$O256,0)</f>
        <v>0</v>
      </c>
      <c r="BD256" s="133">
        <f>IF(AND($B256=" ",$K256=BD$3),$O256,0)</f>
        <v>0</v>
      </c>
      <c r="BE256" s="134">
        <f>IF(AND($B256=" ",$K256=BE$3),$O256,0)</f>
        <v>0</v>
      </c>
      <c r="BF256" s="132">
        <f>IF($K256=BF$3,IF($C256="X",0,$O256),0)</f>
        <v>0</v>
      </c>
      <c r="BG256" s="133">
        <f>IF($K256=BG$3,IF($C256="X",0,$O256),0)</f>
        <v>0</v>
      </c>
      <c r="BH256" s="133">
        <f>IF($K256=BH$3,IF($C256="X",0,$O256),0)</f>
        <v>0</v>
      </c>
      <c r="BI256" s="133">
        <f>IF($K256=BI$3,IF($C256="X",0,$O256),0)</f>
        <v>0</v>
      </c>
      <c r="BJ256" s="133">
        <f>IF($K256=BJ$3,IF($C256="X",0,$O256),0)</f>
        <v>0</v>
      </c>
      <c r="BK256" s="133">
        <f>IF($K256=BK$3,IF($C256="X",0,$O256),0)</f>
        <v>0</v>
      </c>
      <c r="BL256" s="133">
        <f>IF($K256=BL$3,IF($C256="X",0,$O256),0)</f>
        <v>0</v>
      </c>
      <c r="BM256" s="135">
        <f>IF($K256=BM$3,IF($C256="X",0,$O256),0)</f>
        <v>0</v>
      </c>
      <c r="BN256" s="136">
        <f>IF($K256=BN$3,IF($C256="X",0,$O256),0)</f>
        <v>0</v>
      </c>
      <c r="BO256" s="136">
        <f>IF($K256=BO$3,IF($C256="X",0,$O256),0)</f>
        <v>0</v>
      </c>
      <c r="BP256" s="136">
        <f>IF($K256=BP$3,IF($C256="X",0,$O256),0)</f>
        <v>0</v>
      </c>
      <c r="BQ256" s="137">
        <f>IF($K256=BQ$3,IF($C256="X",0,$O256),0)</f>
        <v>17.16</v>
      </c>
      <c r="BR256" s="134">
        <f>IF($K256=BR$3,IF($C256="X",0,$O256),0)</f>
        <v>0</v>
      </c>
      <c r="BS256" s="170">
        <f>IF($B256="LOSS",IF(AND($K256=BS$3,$C256="L"),-$O256,0)+IF(AND($K257=BS$3,$C257="L"),-$O257,0)+IF(AND($K258=BS$3,$C258="L"),-$O258,0),IF(OR(AND($K256=BS$3,OR($C256="W",$C256="1/2W")),AND($K257=BS$3,OR($C257="W",$C257="1/2W")),AND($K258=BS$3,OR($C258="W",$C258="1/2W"))),$S256,0))</f>
        <v>0</v>
      </c>
      <c r="BT256" s="272">
        <f>IF($B256="LOSS",IF(AND($K256=BT$3,$C256="L"),-$O256,0)+IF(AND($K257=BT$3,$C257="L"),-$O257,0)+IF(AND($K257=BT$3,$C258="L"),-$O258,0),IF(OR(AND($K257=BT$3,OR($C256="W",$C256="1/2W")),AND($K257=BT$3,OR($C257="W",$C257="1/2W")),AND($K257=BT$3,OR($C258="W",$C258="1/2W"))),$S256,0))</f>
        <v>0</v>
      </c>
      <c r="BU256" s="136">
        <f>IF($B256="LOSS",IF(AND($K256=BU$3,$C256="L"),-$O256,0)+IF(AND($K257=BU$3,$C257="L"),-$O257,0)+IF(AND($K257=BU$3,$C258="L"),-$O258,0),IF(OR(AND($K257=BU$3,OR($C256="W",$C256="1/2W")),AND($K257=BU$3,OR($C257="W",$C257="1/2W")),AND($K257=BU$3,OR($C258="W",$C258="1/2W"))),$S256,0))</f>
        <v>0</v>
      </c>
      <c r="BV256" s="136">
        <f>IF($B256="LOSS",IF(AND($K256=BV$3,$C256="L"),-$O256,0)+IF(AND($K257=BV$3,$C257="L"),-$O257,0)+IF(AND($K258=BV$3,$C258="L"),-$O258,0),IF(OR(AND($K256=BV$3,OR($C256="W",$C256="1/2W")),AND($K257=BV$3,OR($C257="W",$C257="1/2W")),AND($K258=BV$3,OR($C258="W",$C258="1/2W"))),$S256,0))</f>
        <v>0</v>
      </c>
      <c r="BW256" s="136">
        <f>IF($B256="LOSS",IF(AND($K256=BW$3,$C256="L"),-$O256,0)+IF(AND($K257=BW$3,$C257="L"),-$O257,0)+IF(AND($K258=BW$3,$C258="L"),-$O258,0),IF(OR(AND($K256=BW$3,OR($C256="W",$C256="1/2W")),AND($K257=BW$3,OR($C257="W",$C257="1/2W")),AND($K258=BW$3,OR($C258="W",$C258="1/2W"))),$S256,0))</f>
        <v>0</v>
      </c>
      <c r="BX256" s="136">
        <f>IF($B256="LOSS",IF(AND($K256=BX$3,$C256="L"),-$O256,0)+IF(AND($K257=BX$3,$C257="L"),-$O257,0)+IF(AND($K258=BX$3,$C258="L"),-$O258,0),IF(OR(AND($K256=BX$3,OR($C256="W",$C256="1/2W")),AND($K257=BX$3,OR($C257="W",$C257="1/2W")),AND($K258=BX$3,OR($C258="W",$C258="1/2W"))),$S256,0))</f>
        <v>0</v>
      </c>
      <c r="BY256" s="136">
        <f>IF($B256="LOSS",IF(AND($K256=BY$3,$C256="L"),-$O256,0)+IF(AND($K257=BY$3,$C257="L"),-$O257,0)+IF(AND($K258=BY$3,$C258="L"),-$O258,0),IF(OR(AND($K256=BY$3,OR($C256="W",$C256="1/2W")),AND($K257=BY$3,OR($C257="W",$C257="1/2W")),AND($K258=BY$3,OR($C258="W",$C258="1/2W"))),$S256,0))</f>
        <v>0</v>
      </c>
      <c r="BZ256" s="136">
        <f>IF($B256="LOSS",IF(AND($K256=BZ$3,$C256="L"),-$O256,0)+IF(AND($K257=BZ$3,$C257="L"),-$O257,0)+IF(AND($K258=BZ$3,$C258="L"),-$O258,0),IF(OR(AND($K256=BZ$3,OR($C256="W",$C256="1/2W")),AND($K257=BZ$3,OR($C257="W",$C257="1/2W")),AND($K258=BZ$3,OR($C258="W",$C258="1/2W"))),$S256,0))</f>
        <v>1.22</v>
      </c>
      <c r="CA256" s="136">
        <f>IF($B256="LOSS",IF(AND($K256=CA$3,$C256="L"),-$O256,0)+IF(AND($K257=CA$3,$C257="L"),-$O257,0)+IF(AND($K258=CA$3,$C258="L"),-$O258,0),IF(OR(AND($K256=CA$3,OR($C256="W",$C256="1/2W")),AND($K257=CA$3,OR($C257="W",$C257="1/2W")),AND($K258=CA$3,OR($C258="W",$C258="1/2W"))),$S256,0))</f>
        <v>0</v>
      </c>
      <c r="CB256" s="136">
        <f>IF($B256="LOSS",IF(AND($K256=CB$3,$C256="L"),-$O256,0)+IF(AND($K257=CB$3,$C257="L"),-$O257,0)+IF(AND($K258=CB$3,$C258="L"),-$O258,0),IF(OR(AND($K256=CB$3,OR($C256="W",$C256="1/2W")),AND($K257=CB$3,OR($C257="W",$C257="1/2W")),AND($K258=CB$3,OR($C258="W",$C258="1/2W"))),$S256,0))</f>
        <v>0</v>
      </c>
      <c r="CC256" s="136">
        <f>IF($B256="LOSS",IF(AND($K256=CC$3,$C256="L"),-$O256,0)+IF(AND($K257=CC$3,$C257="L"),-$O257,0)+IF(AND($K258=CC$3,$C258="L"),-$O258,0),IF(OR(AND($K256=CC$3,OR($C256="W",$C256="1/2W")),AND($K257=CC$3,OR($C257="W",$C257="1/2W")),AND($K258=CC$3,OR($C258="W",$C258="1/2W"))),$S256,0))</f>
        <v>0</v>
      </c>
      <c r="CD256" s="137">
        <f>IF($B256="LOSS",IF(AND($K256=CD$3,$C256="L"),-$O256,0)+IF(AND($K257=CD$3,$C257="L"),-$O257,0)+IF(AND($K258=CD$3,$C258="L"),-$O258,0),IF(OR(AND($K256=CD$3,OR($C256="W",$C256="1/2W")),AND($K257=CD$3,OR($C257="W",$C257="1/2W")),AND($K258=CD$3,OR($C258="W",$C258="1/2W"))),$S256,0))</f>
        <v>0</v>
      </c>
      <c r="CE256" s="134">
        <f>IF($B256="LOSS",IF(AND($K256=CE$3,$C256="L"),-$O256,0)+IF(AND($K257=CE$3,$C257="L"),-$O257,0)+IF(AND($K258=CE$3,$C258="L"),-$O258,0),IF(OR(AND($K256=CE$3,OR($C256="W",$C256="1/2W")),AND($K257=CE$3,OR($C257="W",$C257="1/2W")),AND($K258=CE$3,OR($C258="W",$C258="1/2W"))),$S256,0))</f>
        <v>0</v>
      </c>
      <c r="CF256" s="273">
        <f>IF(CF$3=$K256,IF($C256="W",1,IF($C256="1/2W",0.5,0)),0)</f>
        <v>0</v>
      </c>
      <c r="CG256" s="274">
        <f>IF(CF$3=$K256,IF($C256="L",1,IF($C256="1/2L",0.5,0)),0)</f>
        <v>0</v>
      </c>
      <c r="CH256" s="274">
        <f>IF(CH$3=$K256,IF($C256="W",1,IF($C256="1/2W",0.5,0)),0)</f>
        <v>0</v>
      </c>
      <c r="CI256" s="274">
        <f>IF(CH$3=$K256,IF($C256="L",1,IF($C256="1/2L",0.5,0)),0)</f>
        <v>0</v>
      </c>
      <c r="CJ256" s="274">
        <f>IF(CJ$3=$K256,IF($C256="W",1,IF($C256="1/2W",0.5,0)),0)</f>
        <v>0</v>
      </c>
      <c r="CK256" s="274">
        <f>IF(CJ$3=$K256,IF($C256="L",1,IF($C256="1/2L",0.5,0)),0)</f>
        <v>0</v>
      </c>
      <c r="CL256" s="274">
        <f>IF(CL$3=$K256,IF($C256="W",1,IF($C256="1/2W",0.5,0)),0)</f>
        <v>0</v>
      </c>
      <c r="CM256" s="274">
        <f>IF(CL$3=$K256,IF($C256="L",1,IF($C256="1/2L",0.5,0)),0)</f>
        <v>0</v>
      </c>
      <c r="CN256" s="274">
        <f>IF(CN$3=$K256,IF($C256="W",1,IF($C256="1/2W",0.5,0)),0)</f>
        <v>0</v>
      </c>
      <c r="CO256" s="274">
        <f>IF(CN$3=$K256,IF($C256="L",1,IF($C256="1/2L",0.5,0)),0)</f>
        <v>0</v>
      </c>
      <c r="CP256" s="274">
        <f>IF(CP$3=$K256,IF($C256="W",1,IF($C256="1/2W",0.5,0)),0)</f>
        <v>0</v>
      </c>
      <c r="CQ256" s="274">
        <f>IF(CP$3=$K256,IF($C256="L",1,IF($C256="1/2L",0.5,0)),0)</f>
        <v>0</v>
      </c>
      <c r="CR256" s="274">
        <f>IF(CR$3=$K256,IF($C256="W",1,IF($C256="1/2W",0.5,0)),0)</f>
        <v>0</v>
      </c>
      <c r="CS256" s="274">
        <f>IF(CR$3=$K256,IF($C256="L",1,IF($C256="1/2L",0.5,0)),0)</f>
        <v>0</v>
      </c>
      <c r="CT256" s="145">
        <f>IF(CT$3=$K256,IF($C256="W",1,IF($C256="1/2W",0.5,0)),0)</f>
        <v>0</v>
      </c>
      <c r="CU256" s="146">
        <f>IF(CT$3=$K256,IF($C256="L",1,IF($C256="1/2L",0.5,0)),0)</f>
        <v>0</v>
      </c>
      <c r="CV256" s="146">
        <f>IF(CV$3=$K256,IF($C256="W",1,IF($C256="1/2W",0.5,0)),0)</f>
        <v>0</v>
      </c>
      <c r="CW256" s="146">
        <f>IF(CV$3=$K256,IF($C256="L",1,IF($C256="1/2L",0.5,0)),0)</f>
        <v>0</v>
      </c>
      <c r="CX256" s="146">
        <f>IF(CX$3=$K256,IF($C256="W",1,IF($C256="1/2W",0.5,0)),0)</f>
        <v>0</v>
      </c>
      <c r="CY256" s="146">
        <f>IF(CX$3=$K256,IF($C256="L",1,IF($C256="1/2L",0.5,0)),0)</f>
        <v>0</v>
      </c>
      <c r="CZ256" s="146">
        <f>IF(CZ$3=$K256,IF($C256="W",1,IF($C256="1/2W",0.5,0)),0)</f>
        <v>0</v>
      </c>
      <c r="DA256" s="146">
        <f>IF(CZ$3=$K256,IF($C256="L",1,IF($C256="1/2L",0.5,0)),0)</f>
        <v>0</v>
      </c>
      <c r="DB256" s="146">
        <f>IF(DB$3=$K256,IF($C256="W",1,IF($C256="1/2W",0.5,0)),0)</f>
        <v>0</v>
      </c>
      <c r="DC256" s="146">
        <f>IF(DB$3=$K256,IF($C256="L",1,IF($C256="1/2L",0.5,0)),0)</f>
        <v>1</v>
      </c>
      <c r="DD256" s="146">
        <f>IF(DD$3=$K256,IF($C256="W",1,IF($C256="1/2W",0.5,0)),0)</f>
        <v>0</v>
      </c>
      <c r="DE256" s="147">
        <f>IF(DD$3=$K256,IF($C256="L",1,IF($C256="1/2L",0.5,0)),0)</f>
        <v>0</v>
      </c>
      <c r="DF256" s="143">
        <f>IF(AND(L256&lt;DF$3,$C256="W"),1+DF255,DF255)</f>
        <v>9</v>
      </c>
      <c r="DG256" s="133">
        <f>IF(DF256&gt;DF255,L256+DG255,DG255)</f>
        <v>11.898</v>
      </c>
      <c r="DH256" s="146">
        <f>IF(AND(L256&gt;DH$3,$C256="W"),1+DH255,0+DH255)</f>
        <v>6</v>
      </c>
      <c r="DI256" s="133">
        <f>IF(DH256&gt;DH255,L256+DI255,DI255)</f>
        <v>30.83</v>
      </c>
      <c r="DJ256" t="s" s="304">
        <f>IF($D256="","",$D256)</f>
        <v>229</v>
      </c>
      <c r="DK256" s="146">
        <f>IF(AND($B256=" ",$D256&lt;&gt;""),1,0)</f>
        <v>0</v>
      </c>
    </row>
    <row r="257" ht="14.55" customHeight="1">
      <c r="A257" s="107"/>
      <c r="B257" s="108"/>
      <c r="C257" t="s" s="109">
        <v>56</v>
      </c>
      <c r="D257" s="110"/>
      <c r="E257" s="111"/>
      <c r="F257" s="113"/>
      <c r="G257" s="252"/>
      <c r="H257" s="114"/>
      <c r="I257" t="s" s="275">
        <v>54</v>
      </c>
      <c r="J257" s="276">
        <f>IF(OR(I256="TO",I256="TU",I256="TO1",I256="TU1",I256="TO2",I256="TU2"),J256,IF(OR(I256="AH1",I256="AH2"),IF(OR(I257="AH1",I257="AH2"),-J256,IF(OR(I257="EH1",I257="EH2"),-J256+0.5,"")),IF(OR(I256="EH1",I256="EH2"),IF(OR(I257="AH1",I257="AH2"),-J256+0.5,IF(OR(I257="EH1",I257="EH2"),-J256+1,"")),IF(AND(OR(I256="DNB1",I256="DNB2"),OR(I257="AH1",I257="AH2")),0,IF(AND(I256="Not ScoreBoth",OR(I257="TO1",I257="TO2")),0.5,"")))))</f>
        <v>-1.75</v>
      </c>
      <c r="K257" t="s" s="117">
        <v>44</v>
      </c>
      <c r="L257" s="277">
        <v>2.53</v>
      </c>
      <c r="M257" s="278"/>
      <c r="N257" s="120"/>
      <c r="O257" s="121">
        <f>IF(OR(AE256="",AE257=""),"",ROUND(IF(L258&gt;0,IF(M257&gt;0,M257,IF(M256&gt;0,IF(N256=TRUE,ROUND((M256*AE257)/AE256,0),(M256*AE257)/AE256),IF(M257&gt;0,ROUND(M257,IF(N256=0,2,IF(N256=0.1,1,0))),IF(M258&gt;0,ROUND(O258*AE257/AE258,IF(N256=0,2,IF(N256=0.1,1,0))),0)))),IF(M257&gt;0,M257,ROUND((M256*AE257)/AE256,IF(N256=0,2,IF(N256=0.1,1,0))))),2))</f>
        <v>12.01</v>
      </c>
      <c r="P257" s="122">
        <f>IF(OR(L257="",O257=""),"",IF($C257="1/2W",O257/2+O257/2*L257,IF($C257="1/2L",O257/2,IF(I257="Lay",((O257*(L257/(L257-1)))-O257)*(1-_xlfn.XLOOKUP(K257,'Janeiro 2023 - Valor Real'!A3:A15,'Janeiro 2023 - Valor Real'!C3:C15,0))+O257,(O257*L257-O257)*(1-_xlfn.XLOOKUP(K257,'Janeiro 2023 - Valor Real'!A3:A15,'Janeiro 2023 - Valor Real'!C3:C15,0))+O257))))</f>
        <v>30.3853</v>
      </c>
      <c r="Q257" s="279">
        <f>IF(K257="","",IF(_xlfn.XLOOKUP(K257,K$95:K119,DJ$95:DJ119,0,,-1)=DJ257,_xlfn.XLOOKUP(K257,K$95:K119,Q$95:Q119,1,,-1)+1,1))</f>
        <v>1</v>
      </c>
      <c r="R257" s="280">
        <f>IF(K257="","",_xlfn.XLOOKUP(K257,K$95:K119,R$95:R119,0,,-1)+IF($C257=" ",1,0))</f>
        <v>0</v>
      </c>
      <c r="S257" s="125"/>
      <c r="T257" s="126"/>
      <c r="U257" s="126"/>
      <c r="V257" s="224"/>
      <c r="W257" s="126"/>
      <c r="X257" s="127"/>
      <c r="Y257" s="128"/>
      <c r="Z257" s="129"/>
      <c r="AA257" s="129"/>
      <c r="AB257" s="129"/>
      <c r="AC257" s="129"/>
      <c r="AD257" s="130"/>
      <c r="AE257" s="131">
        <f>IF(L257="","",IF(L258&gt;0,(SUM(((L256-1)*(1-_xlfn.XLOOKUP(K256,'Janeiro 2023 - Valor Real'!A3:A15,'Janeiro 2023 - Valor Real'!C3:C15,0))+1),((L257-1)*(1-_xlfn.XLOOKUP(K257,'Janeiro 2023 - Valor Real'!A3:A15,'Janeiro 2023 - Valor Real'!C3:C15,0))+1),((L258-1)*(1-_xlfn.XLOOKUP(K258,'Janeiro 2023 - Valor Real'!A3:A15,'Janeiro 2023 - Valor Real'!C3:C15,0))+1))/((L257-1)*(1-_xlfn.XLOOKUP(K257,'Janeiro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Real'!C3:C15,0))+1))/((L256-1)*(1-_xlfn.XLOOKUP(K256,'Janeiro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Real'!C3:C15,0))+1))/((L257-1)*(1-_xlfn.XLOOKUP(K257,'Janeiro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Real'!C3:C15,0))+1))/((L258-1)*(1-_xlfn.XLOOKUP(K258,'Janeiro 2023 - Valor Real'!A3:A15,'Janeiro 2023 - Valor Real'!C3:C15,0))+1)),IF(I257="Lay",IF(I256="Lay",((L256/(L256-1)-1)*(1-_xlfn.XLOOKUP(K256,'Janeiro 2023 - Valor Real'!A3:A15,'Janeiro 2023 - Valor Real'!C3:C15,0))+1)/(((L256/(L256-1)-1)*(1-_xlfn.XLOOKUP(K256,'Janeiro 2023 - Valor Real'!A3:A15,'Janeiro 2023 - Valor Real'!C3:C15,0))+1)+((L257/(L257-1)-1)*(1-_xlfn.XLOOKUP(K257,'Janeiro 2023 - Valor Real'!A3:A15,'Janeiro 2023 - Valor Real'!C3:C15,0))+1)),((L256-1)*(1-_xlfn.XLOOKUP(K256,'Janeiro 2023 - Valor Real'!A3:A15,'Janeiro 2023 - Valor Real'!C3:C15,0))+1)/(((L256-1)*(1-_xlfn.XLOOKUP(K256,'Janeiro 2023 - Valor Real'!A3:A15,'Janeiro 2023 - Valor Real'!C3:C15,0))+1)+((L257/(L257-1)-1)*(1-_xlfn.XLOOKUP(K257,'Janeiro 2023 - Valor Real'!A3:A15,'Janeiro 2023 - Valor Real'!C3:C15,0))+1))),IF(I256="Lay",((L256/(L256-1)-1)*(1-_xlfn.XLOOKUP(K256,'Janeiro 2023 - Valor Real'!A3:A15,'Janeiro 2023 - Valor Real'!C3:C15,0))+1)/((((L256/(L256-1)-1)*(1-_xlfn.XLOOKUP(K256,'Janeiro 2023 - Valor Real'!A3:A15,'Janeiro 2023 - Valor Real'!C3:C15,0))+1))+((L257-1)*(1-_xlfn.XLOOKUP(K257,'Janeiro 2023 - Valor Real'!A3:A15,'Janeiro 2023 - Valor Real'!C3:C15,0))+1)),((L256-1)*(1-_xlfn.XLOOKUP(K256,'Janeiro 2023 - Valor Real'!A3:A15,'Janeiro 2023 - Valor Real'!C3:C15,0))+1)/(((L256-1)*(1-_xlfn.XLOOKUP(K256,'Janeiro 2023 - Valor Real'!A3:A15,'Janeiro 2023 - Valor Real'!C3:C15,0))+1)+((L257-1)*(1-_xlfn.XLOOKUP(K257,'Janeiro 2023 - Valor Real'!A3:A15,'Janeiro 2023 - Valor Real'!C3:C15,0))+1))))))</f>
        <v>0.411627906976744</v>
      </c>
      <c r="AF257" s="132">
        <f>IF($K257=AF$3,ROUND(IF(OR($C257="W",$C257="1/2W",$C257="1/2L"),$P257-$O257,IF($C257="X",0,-$O257)),2),0)</f>
        <v>0</v>
      </c>
      <c r="AG257" s="133">
        <f>IF($K257=AG$3,ROUND(IF(OR($C257="W",$C257="1/2W",$C257="1/2L"),$P257-$O257,IF($C257="X",0,-$O257)),2),0)</f>
        <v>0</v>
      </c>
      <c r="AH257" s="133">
        <f>IF($K257=AH$3,ROUND(IF(OR($C257="W",$C257="1/2W",$C257="1/2L"),$P257-$O257,IF($C257="X",0,-$O257)),2),0)</f>
        <v>0</v>
      </c>
      <c r="AI257" s="133">
        <f>IF($K257=AI$3,ROUND(IF(OR($C257="W",$C257="1/2W",$C257="1/2L"),$P257-$O257,IF($C257="X",0,-$O257)),2),0)</f>
        <v>0</v>
      </c>
      <c r="AJ257" s="133">
        <f>IF($K257=AJ$3,ROUND(IF(OR($C257="W",$C257="1/2W",$C257="1/2L"),$P257-$O257,IF($C257="X",0,-$O257)),2),0)</f>
        <v>0</v>
      </c>
      <c r="AK257" s="133">
        <f>IF($K257=AK$3,ROUND(IF(OR($C257="W",$C257="1/2W",$C257="1/2L"),$P257-$O257,IF($C257="X",0,-$O257)),2),0)</f>
        <v>0</v>
      </c>
      <c r="AL257" s="133">
        <f>IF($K257=AL$3,ROUND(IF(OR($C257="W",$C257="1/2W",$C257="1/2L"),$P257-$O257,IF($C257="X",0,-$O257)),2),0)</f>
        <v>0</v>
      </c>
      <c r="AM257" s="133">
        <f>IF($K257=AM$3,ROUND(IF(OR($C257="W",$C257="1/2W",$C257="1/2L"),$P257-$O257,IF($C257="X",0,-$O257)),2),0)</f>
        <v>18.38</v>
      </c>
      <c r="AN257" s="133">
        <f>IF($K257=AN$3,ROUND(IF(OR($C257="W",$C257="1/2W",$C257="1/2L"),$P257-$O257,IF($C257="X",0,-$O257)),2),0)</f>
        <v>0</v>
      </c>
      <c r="AO257" s="133">
        <f>IF($K257=AO$3,ROUND(IF(OR($C257="W",$C257="1/2W",$C257="1/2L"),$P257-$O257,IF($C257="X",0,-$O257)),2),0)</f>
        <v>0</v>
      </c>
      <c r="AP257" s="133">
        <f>IF($K257=AP$3,ROUND(IF(OR($C257="W",$C257="1/2W",$C257="1/2L"),$P257-$O257,IF($C257="X",0,-$O257)),2),0)</f>
        <v>0</v>
      </c>
      <c r="AQ257" s="133">
        <f>IF($K257=AQ$3,ROUND(IF(OR($C257="W",$C257="1/2W",$C257="1/2L"),$P257-$O257,IF($C257="X",0,-$O257)),2),0)</f>
        <v>0</v>
      </c>
      <c r="AR257" s="134">
        <f>IF($K257=AR$3,ROUND(IF(OR($C257="W",$C257="1/2W",$C257="1/2L"),$P257-$O257,IF($C257="X",0,-$O257)),2),0)</f>
        <v>0</v>
      </c>
      <c r="AS257" s="132">
        <f>IF(AND($B256=" ",$K257=AS$3),$O257,0)</f>
        <v>0</v>
      </c>
      <c r="AT257" s="133">
        <f>IF(AND($B256=" ",K257=AT$3),$O257,0)</f>
        <v>0</v>
      </c>
      <c r="AU257" s="133">
        <f>IF(AND($B256=" ",$K257=AU$3),$O257,0)</f>
        <v>0</v>
      </c>
      <c r="AV257" s="133">
        <f>IF(AND($B256=" ",$K257=AV$3),$O257,0)</f>
        <v>0</v>
      </c>
      <c r="AW257" s="133">
        <f>IF(AND($B256=" ",$K257=AW$3),$O257,0)</f>
        <v>0</v>
      </c>
      <c r="AX257" s="133">
        <f>IF(AND($B256=" ",$K257=AX$3),$O257,0)</f>
        <v>0</v>
      </c>
      <c r="AY257" s="135">
        <f>IF(AND($B256=" ",$K257=AY$3),$O257,0)</f>
        <v>0</v>
      </c>
      <c r="AZ257" s="136">
        <f>IF(AND($B256=" ",$K257=AZ$3),$O257,0)</f>
        <v>0</v>
      </c>
      <c r="BA257" s="136">
        <f>IF(AND($B256=" ",$K257=BA$3),$O257,0)</f>
        <v>0</v>
      </c>
      <c r="BB257" s="136">
        <f>IF(AND($B256=" ",$K257=BB$3),$O257,0)</f>
        <v>0</v>
      </c>
      <c r="BC257" s="137">
        <f>IF(AND($B256=" ",$K257=BC$3),$O257,0)</f>
        <v>0</v>
      </c>
      <c r="BD257" s="133">
        <f>IF(AND($B256=" ",$K257=BD$3),$O257,0)</f>
        <v>0</v>
      </c>
      <c r="BE257" s="134">
        <f>IF(AND($B256=" ",$K257=BE$3),$O257,0)</f>
        <v>0</v>
      </c>
      <c r="BF257" s="132">
        <f>IF($K257=BF$3,IF($C257="X",0,$O257),0)</f>
        <v>0</v>
      </c>
      <c r="BG257" s="281">
        <f>IF($K257=BG$3,IF($C257="X",0,$O257),0)</f>
        <v>0</v>
      </c>
      <c r="BH257" s="133">
        <f>IF($K257=BH$3,IF($C257="X",0,$O257),0)</f>
        <v>0</v>
      </c>
      <c r="BI257" s="133">
        <f>IF($K257=BI$3,IF($C257="X",0,$O257),0)</f>
        <v>0</v>
      </c>
      <c r="BJ257" s="133">
        <f>IF($K257=BJ$3,IF($C257="X",0,$O257),0)</f>
        <v>0</v>
      </c>
      <c r="BK257" s="133">
        <f>IF($K257=BK$3,IF($C257="X",0,$O257),0)</f>
        <v>0</v>
      </c>
      <c r="BL257" s="133">
        <f>IF($K257=BL$3,IF($C257="X",0,$O257),0)</f>
        <v>0</v>
      </c>
      <c r="BM257" s="135">
        <f>IF($K257=BM$3,IF($C257="X",0,$O257),0)</f>
        <v>12.01</v>
      </c>
      <c r="BN257" s="136">
        <f>IF($K257=BN$3,IF($C257="X",0,$O257),0)</f>
        <v>0</v>
      </c>
      <c r="BO257" s="136">
        <f>IF($K257=BO$3,IF($C257="X",0,$O257),0)</f>
        <v>0</v>
      </c>
      <c r="BP257" s="136">
        <f>IF($K257=BP$3,IF($C257="X",0,$O257),0)</f>
        <v>0</v>
      </c>
      <c r="BQ257" s="137">
        <f>IF($K257=BQ$3,IF($C257="X",0,$O257),0)</f>
        <v>0</v>
      </c>
      <c r="BR257" s="134">
        <f>IF($K257=BR$3,IF($C257="X",0,$O257),0)</f>
        <v>0</v>
      </c>
      <c r="BS257" s="282"/>
      <c r="BT257" s="283"/>
      <c r="BU257" s="140"/>
      <c r="BV257" s="283"/>
      <c r="BW257" s="140"/>
      <c r="BX257" s="140"/>
      <c r="BY257" s="140"/>
      <c r="BZ257" s="283"/>
      <c r="CA257" s="140"/>
      <c r="CB257" s="140"/>
      <c r="CC257" s="140"/>
      <c r="CD257" s="141"/>
      <c r="CE257" s="142"/>
      <c r="CF257" s="284">
        <f>IF(CF$3=$K257,IF($C257="W",1,IF($C257="1/2W",0.5,0)),0)</f>
        <v>0</v>
      </c>
      <c r="CG257" s="285">
        <f>IF(CF$3=$K257,IF($C257="L",1,IF($C257="1/2L",0.5,0)),0)</f>
        <v>0</v>
      </c>
      <c r="CH257" s="285">
        <f>IF(CH$3=$K257,IF($C257="W",1,IF($C257="1/2W",0.5,0)),0)</f>
        <v>0</v>
      </c>
      <c r="CI257" s="285">
        <f>IF(CH$3=$K257,IF($C257="L",1,IF($C257="1/2L",0.5,0)),0)</f>
        <v>0</v>
      </c>
      <c r="CJ257" s="285">
        <f>IF(CJ$3=$K257,IF($C257="W",1,IF($C257="1/2W",0.5,0)),0)</f>
        <v>0</v>
      </c>
      <c r="CK257" s="285">
        <f>IF(CJ$3=$K257,IF($C257="L",1,IF($C257="1/2L",0.5,0)),0)</f>
        <v>0</v>
      </c>
      <c r="CL257" s="285">
        <f>IF(CL$3=$K257,IF($C257="W",1,IF($C257="1/2W",0.5,0)),0)</f>
        <v>0</v>
      </c>
      <c r="CM257" s="285">
        <f>IF(CL$3=$K257,IF($C257="L",1,IF($C257="1/2L",0.5,0)),0)</f>
        <v>0</v>
      </c>
      <c r="CN257" s="285">
        <f>IF(CN$3=$K257,IF($C257="W",1,IF($C257="1/2W",0.5,0)),0)</f>
        <v>0</v>
      </c>
      <c r="CO257" s="285">
        <f>IF(CN$3=$K257,IF($C257="L",1,IF($C257="1/2L",0.5,0)),0)</f>
        <v>0</v>
      </c>
      <c r="CP257" s="285">
        <f>IF(CP$3=$K257,IF($C257="W",1,IF($C257="1/2W",0.5,0)),0)</f>
        <v>0</v>
      </c>
      <c r="CQ257" s="285">
        <f>IF(CP$3=$K257,IF($C257="L",1,IF($C257="1/2L",0.5,0)),0)</f>
        <v>0</v>
      </c>
      <c r="CR257" s="285">
        <f>IF(CR$3=$K257,IF($C257="W",1,IF($C257="1/2W",0.5,0)),0)</f>
        <v>0</v>
      </c>
      <c r="CS257" s="285">
        <f>IF(CR$3=$K257,IF($C257="L",1,IF($C257="1/2L",0.5,0)),0)</f>
        <v>0</v>
      </c>
      <c r="CT257" s="145">
        <f>IF(CT$3=$K257,IF($C257="W",1,IF($C257="1/2W",0.5,0)),0)</f>
        <v>1</v>
      </c>
      <c r="CU257" s="146">
        <f>IF(CT$3=$K257,IF($C257="L",1,IF($C257="1/2L",0.5,0)),0)</f>
        <v>0</v>
      </c>
      <c r="CV257" s="146">
        <f>IF(CV$3=$K257,IF($C257="W",1,IF($C257="1/2W",0.5,0)),0)</f>
        <v>0</v>
      </c>
      <c r="CW257" s="146">
        <f>IF(CV$3=$K257,IF($C257="L",1,IF($C257="1/2L",0.5,0)),0)</f>
        <v>0</v>
      </c>
      <c r="CX257" s="146">
        <f>IF(CX$3=$K257,IF($C257="W",1,IF($C257="1/2W",0.5,0)),0)</f>
        <v>0</v>
      </c>
      <c r="CY257" s="146">
        <f>IF(CX$3=$K257,IF($C257="L",1,IF($C257="1/2L",0.5,0)),0)</f>
        <v>0</v>
      </c>
      <c r="CZ257" s="146">
        <f>IF(CZ$3=$K257,IF($C257="W",1,IF($C257="1/2W",0.5,0)),0)</f>
        <v>0</v>
      </c>
      <c r="DA257" s="146">
        <f>IF(CZ$3=$K257,IF($C257="L",1,IF($C257="1/2L",0.5,0)),0)</f>
        <v>0</v>
      </c>
      <c r="DB257" s="146">
        <f>IF(DB$3=$K257,IF($C257="W",1,IF($C257="1/2W",0.5,0)),0)</f>
        <v>0</v>
      </c>
      <c r="DC257" s="146">
        <f>IF(DB$3=$K257,IF($C257="L",1,IF($C257="1/2L",0.5,0)),0)</f>
        <v>0</v>
      </c>
      <c r="DD257" s="146">
        <f>IF(DD$3=$K257,IF($C257="W",1,IF($C257="1/2W",0.5,0)),0)</f>
        <v>0</v>
      </c>
      <c r="DE257" s="147">
        <f>IF(DD$3=$K257,IF($C257="L",1,IF($C257="1/2L",0.5,0)),0)</f>
        <v>0</v>
      </c>
      <c r="DF257" s="143">
        <f>IF(AND(L257&lt;DF$3,$C257="W"),1+DF256,DF256)</f>
        <v>9</v>
      </c>
      <c r="DG257" s="133">
        <f>IF(DF257&gt;DF256,L257+DG256,DG256)</f>
        <v>11.898</v>
      </c>
      <c r="DH257" s="146">
        <f>IF(AND(L257&gt;DH$3,$C257="W"),1+DH256,0+DH256)</f>
        <v>6</v>
      </c>
      <c r="DI257" s="133">
        <f>IF(DH257&gt;DH256,L257+DI256,DI256)</f>
        <v>30.83</v>
      </c>
      <c r="DJ257" t="s" s="304">
        <f>IF($D256="","",$D256)</f>
        <v>229</v>
      </c>
      <c r="DK257" s="286"/>
    </row>
    <row r="258" ht="14.55" customHeight="1">
      <c r="A258" s="149"/>
      <c r="B258" s="150"/>
      <c r="C258" t="s" s="151">
        <v>58</v>
      </c>
      <c r="D258" s="152"/>
      <c r="E258" s="153"/>
      <c r="F258" s="155"/>
      <c r="G258" s="252"/>
      <c r="H258" s="156"/>
      <c r="I258" s="287"/>
      <c r="J258" s="288"/>
      <c r="K258" s="156"/>
      <c r="L258" s="289"/>
      <c r="M258" s="290"/>
      <c r="N258" s="161"/>
      <c r="O258" t="s" s="162">
        <f>IF(OR(AE256="",AE257=""),"",IF(L258&gt;0,ROUND(IF(M258&gt;0,M258,IF(M256&gt;0,ROUND((M256*AE258)/AE256,IF(N256=0,2,IF(N256=0.1,1,0))),IF(M257&gt;0,ROUND((M257*AE258)/AE257,IF(N256=0,2,IF(N256=0.1,1,0))),IF(M258&gt;0,M258,0)))),2),""))</f>
      </c>
      <c r="P258" t="s" s="163">
        <f>IF(I257="Lay",O257*(L257/(L257-1))-O257,IF(I256="Lay",O256*(L256/(L256-1))-O256,IF(OR(L258="",O258=""),"",IF($C258="1/2W",O258/2+O258/2*L258,IF($C258="1/2L",O258/2,(O258*L258-O258)*(1-_xlfn.XLOOKUP(K258,'Janeiro 2023 - Valor Real'!A3:A15,'Janeiro 2023 - Valor Real'!C3:C15,0))+O258)))))</f>
      </c>
      <c r="Q258" t="s" s="154">
        <f>IF(K258="","",IF(_xlfn.XLOOKUP(K258,K$96:K120,DJ$96:DJ120,0,,-1)=DJ258,_xlfn.XLOOKUP(K258,K$96:K120,Q$96:Q120,1,,-1)+1,1))</f>
      </c>
      <c r="R258" t="s" s="163">
        <f>IF(K258="","",_xlfn.XLOOKUP(K258,K$96:K120,R$96:R120,0,,-1)+IF($C258=" ",1,0))</f>
      </c>
      <c r="S258" s="166"/>
      <c r="T258" s="155"/>
      <c r="U258" s="155"/>
      <c r="V258" s="166"/>
      <c r="W258" s="155"/>
      <c r="X258" s="167"/>
      <c r="Y258" s="128"/>
      <c r="Z258" s="129"/>
      <c r="AA258" s="129"/>
      <c r="AB258" s="129"/>
      <c r="AC258" s="129"/>
      <c r="AD258" s="168"/>
      <c r="AE258" t="s" s="169">
        <f>IF(L258="","",(SUM(((L256-1)*(1-_xlfn.XLOOKUP(K256,'Janeiro 2023 - Valor Real'!A3:A15,'Janeiro 2023 - Valor Real'!C3:C15,0))+1),((L257-1)*(1-_xlfn.XLOOKUP(K257,'Janeiro 2023 - Valor Real'!A3:A15,'Janeiro 2023 - Valor Real'!C3:C15,0))+1),((L258-1)*(1-_xlfn.XLOOKUP(K258,'Janeiro 2023 - Valor Real'!A3:A15,'Janeiro 2023 - Valor Real'!C3:C15,0))+1))/((L258-1)*(1-_xlfn.XLOOKUP(K258,'Janeiro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Real'!C3:C15,0))+1))/((L256-1)*(1-_xlfn.XLOOKUP(K256,'Janeiro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Real'!C3:C15,0))+1))/((L257-1)*(1-_xlfn.XLOOKUP(K257,'Janeiro 2023 - Valor Real'!A3:A15,'Janeiro 2023 - Valor Real'!C3:C15,0))+1)+SUM(((L256-1)*(1-_xlfn.XLOOKUP(K256,'Janeiro 2023 - Valor Real'!A3:A15,'Janeiro 2023 - Valor Real'!C3:C15,0))+1),((L257-1)*(1-_xlfn.XLOOKUP(K257,'Janeiro 2023 - Valor Real'!A3:A15,'Janeiro 2023 - Valor Real'!C3:C15,0))+1),((L258-1)*(1-_xlfn.XLOOKUP(K258,'Janeiro 2023 - Valor Real'!A3:A15,'Janeiro 2023 - Valor Real'!C3:C15,0))+1))/((L258-1)*(1-_xlfn.XLOOKUP(K258,'Janeiro 2023 - Valor Real'!A3:A15,'Janeiro 2023 - Valor Real'!C3:C15,0))+1)))</f>
      </c>
      <c r="AF258" s="132">
        <f>IF($K258=AF$3,ROUND(IF(OR($C258="W",$C258="1/2W",$C258="1/2L"),$P258-$O258,IF($C258="X",0,-$O258)),2),0)</f>
        <v>0</v>
      </c>
      <c r="AG258" s="133">
        <f>IF($K258=AG$3,ROUND(IF(OR($C258="W",$C258="1/2W",$C258="1/2L"),$P258-$O258,IF($C258="X",0,-$O258)),2),0)</f>
        <v>0</v>
      </c>
      <c r="AH258" s="133">
        <f>IF($K258=AH$3,ROUND(IF(OR($C258="W",$C258="1/2W",$C258="1/2L"),$P258-$O258,IF($C258="X",0,-$O258)),2),0)</f>
        <v>0</v>
      </c>
      <c r="AI258" s="133">
        <f>IF($K258=AI$3,ROUND(IF(OR($C258="W",$C258="1/2W",$C258="1/2L"),$P258-$O258,IF($C258="X",0,-$O258)),2),0)</f>
        <v>0</v>
      </c>
      <c r="AJ258" s="133">
        <f>IF($K258=AJ$3,ROUND(IF(OR($C258="W",$C258="1/2W",$C258="1/2L"),$P258-$O258,IF($C258="X",0,-$O258)),2),0)</f>
        <v>0</v>
      </c>
      <c r="AK258" s="133">
        <f>IF($K258=AK$3,ROUND(IF(OR($C258="W",$C258="1/2W",$C258="1/2L"),$P258-$O258,IF($C258="X",0,-$O258)),2),0)</f>
        <v>0</v>
      </c>
      <c r="AL258" s="133">
        <f>IF($K258=AL$3,ROUND(IF(OR($C258="W",$C258="1/2W",$C258="1/2L"),$P258-$O258,IF($C258="X",0,-$O258)),2),0)</f>
        <v>0</v>
      </c>
      <c r="AM258" s="133">
        <f>IF($K258=AM$3,ROUND(IF(OR($C258="W",$C258="1/2W",$C258="1/2L"),$P258-$O258,IF($C258="X",0,-$O258)),2),0)</f>
        <v>0</v>
      </c>
      <c r="AN258" s="133">
        <f>IF($K258=AN$3,ROUND(IF(OR($C258="W",$C258="1/2W",$C258="1/2L"),$P258-$O258,IF($C258="X",0,-$O258)),2),0)</f>
        <v>0</v>
      </c>
      <c r="AO258" s="133">
        <f>IF($K258=AO$3,ROUND(IF(OR($C258="W",$C258="1/2W",$C258="1/2L"),$P258-$O258,IF($C258="X",0,-$O258)),2),0)</f>
        <v>0</v>
      </c>
      <c r="AP258" s="133">
        <f>IF($K258=AP$3,ROUND(IF(OR($C258="W",$C258="1/2W",$C258="1/2L"),$P258-$O258,IF($C258="X",0,-$O258)),2),0)</f>
        <v>0</v>
      </c>
      <c r="AQ258" s="133">
        <f>IF($K258=AQ$3,ROUND(IF(OR($C258="W",$C258="1/2W",$C258="1/2L"),$P258-$O258,IF($C258="X",0,-$O258)),2),0)</f>
        <v>0</v>
      </c>
      <c r="AR258" s="134">
        <f>IF($K258=AR$3,ROUND(IF(OR($C258="W",$C258="1/2W",$C258="1/2L"),$P258-$O258,IF($C258="X",0,-$O258)),2),0)</f>
        <v>0</v>
      </c>
      <c r="AS258" s="132">
        <f>IF(AND($B256=" ",$K258=AS$3),$O258,0)</f>
        <v>0</v>
      </c>
      <c r="AT258" s="133">
        <f>IF(AND($B256=" ",K258=AT$3),$O258,0)</f>
        <v>0</v>
      </c>
      <c r="AU258" s="133">
        <f>IF(AND($B256=" ",$K258=AU$3),$O258,0)</f>
        <v>0</v>
      </c>
      <c r="AV258" s="133">
        <f>IF(AND($B256=" ",$K258=AV$3),$O258,0)</f>
        <v>0</v>
      </c>
      <c r="AW258" s="133">
        <f>IF(AND($B256=" ",$K258=AW$3),$O258,0)</f>
        <v>0</v>
      </c>
      <c r="AX258" s="133">
        <f>IF(AND($B256=" ",$K258=AX$3),$O258,0)</f>
        <v>0</v>
      </c>
      <c r="AY258" s="135">
        <f>IF(AND($B256=" ",$K258=AY$3),$O258,0)</f>
        <v>0</v>
      </c>
      <c r="AZ258" s="136">
        <f>IF(AND($B256=" ",$K258=AZ$3),$O258,0)</f>
        <v>0</v>
      </c>
      <c r="BA258" s="136">
        <f>IF(AND($B256=" ",$K258=BA$3),$O258,0)</f>
        <v>0</v>
      </c>
      <c r="BB258" s="136">
        <f>IF(AND($B256=" ",$K258=BB$3),$O258,0)</f>
        <v>0</v>
      </c>
      <c r="BC258" s="137">
        <f>IF(AND($B256=" ",$K258=BC$3),$O258,0)</f>
        <v>0</v>
      </c>
      <c r="BD258" s="133">
        <f>IF(AND($B256=" ",$K258=BD$3),$O258,0)</f>
        <v>0</v>
      </c>
      <c r="BE258" s="134">
        <f>IF(AND($B256=" ",$K258=BE$3),$O258,0)</f>
        <v>0</v>
      </c>
      <c r="BF258" s="132">
        <f>IF($K258=BF$3,IF($C258="X",0,$O258),0)</f>
        <v>0</v>
      </c>
      <c r="BG258" s="281">
        <f>IF($K258=BG$3,IF($C258="X",0,$O258),0)</f>
        <v>0</v>
      </c>
      <c r="BH258" s="133">
        <f>IF($K258=BH$3,IF($C258="X",0,$O258),0)</f>
        <v>0</v>
      </c>
      <c r="BI258" s="133">
        <f>IF($K258=BI$3,IF($C258="X",0,$O258),0)</f>
        <v>0</v>
      </c>
      <c r="BJ258" s="133">
        <f>IF($K258=BJ$3,IF($C258="X",0,$O258),0)</f>
        <v>0</v>
      </c>
      <c r="BK258" s="133">
        <f>IF($K258=BK$3,IF($C258="X",0,$O258),0)</f>
        <v>0</v>
      </c>
      <c r="BL258" s="133">
        <f>IF($K258=BL$3,IF($C258="X",0,$O258),0)</f>
        <v>0</v>
      </c>
      <c r="BM258" s="135">
        <f>IF($K258=BM$3,IF($C258="X",0,$O258),0)</f>
        <v>0</v>
      </c>
      <c r="BN258" s="136">
        <f>IF($K258=BN$3,IF($C258="X",0,$O258),0)</f>
        <v>0</v>
      </c>
      <c r="BO258" s="136">
        <f>IF($K258=BO$3,IF($C258="X",0,$O258),0)</f>
        <v>0</v>
      </c>
      <c r="BP258" s="136">
        <f>IF($K258=BP$3,IF($C258="X",0,$O258),0)</f>
        <v>0</v>
      </c>
      <c r="BQ258" s="137">
        <f>IF($K258=BQ$3,IF($C258="X",0,$O258),0)</f>
        <v>0</v>
      </c>
      <c r="BR258" s="134">
        <f>IF($K258=BR$3,IF($C258="X",0,$O258),0)</f>
        <v>0</v>
      </c>
      <c r="BS258" s="282"/>
      <c r="BT258" s="283"/>
      <c r="BU258" s="140"/>
      <c r="BV258" s="283"/>
      <c r="BW258" s="140"/>
      <c r="BX258" s="140"/>
      <c r="BY258" s="140"/>
      <c r="BZ258" s="283"/>
      <c r="CA258" s="140"/>
      <c r="CB258" s="140"/>
      <c r="CC258" s="140"/>
      <c r="CD258" s="141"/>
      <c r="CE258" s="142"/>
      <c r="CF258" s="284">
        <f>IF(CF$3=$K258,IF($C258="W",1,IF($C258="1/2W",0.5,0)),0)</f>
        <v>0</v>
      </c>
      <c r="CG258" s="285">
        <f>IF(CF$3=$K258,IF($C258="L",1,IF($C258="1/2L",0.5,0)),0)</f>
        <v>0</v>
      </c>
      <c r="CH258" s="285">
        <f>IF(CH$3=$K258,IF($C258="W",1,IF($C258="1/2W",0.5,0)),0)</f>
        <v>0</v>
      </c>
      <c r="CI258" s="285">
        <f>IF(CH$3=$K258,IF($C258="L",1,IF($C258="1/2L",0.5,0)),0)</f>
        <v>0</v>
      </c>
      <c r="CJ258" s="285">
        <f>IF(CJ$3=$K258,IF($C258="W",1,IF($C258="1/2W",0.5,0)),0)</f>
        <v>0</v>
      </c>
      <c r="CK258" s="285">
        <f>IF(CJ$3=$K258,IF($C258="L",1,IF($C258="1/2L",0.5,0)),0)</f>
        <v>0</v>
      </c>
      <c r="CL258" s="285">
        <f>IF(CL$3=$K258,IF($C258="W",1,IF($C258="1/2W",0.5,0)),0)</f>
        <v>0</v>
      </c>
      <c r="CM258" s="285">
        <f>IF(CL$3=$K258,IF($C258="L",1,IF($C258="1/2L",0.5,0)),0)</f>
        <v>0</v>
      </c>
      <c r="CN258" s="285">
        <f>IF(CN$3=$K258,IF($C258="W",1,IF($C258="1/2W",0.5,0)),0)</f>
        <v>0</v>
      </c>
      <c r="CO258" s="285">
        <f>IF(CN$3=$K258,IF($C258="L",1,IF($C258="1/2L",0.5,0)),0)</f>
        <v>0</v>
      </c>
      <c r="CP258" s="285">
        <f>IF(CP$3=$K258,IF($C258="W",1,IF($C258="1/2W",0.5,0)),0)</f>
        <v>0</v>
      </c>
      <c r="CQ258" s="285">
        <f>IF(CP$3=$K258,IF($C258="L",1,IF($C258="1/2L",0.5,0)),0)</f>
        <v>0</v>
      </c>
      <c r="CR258" s="285">
        <f>IF(CR$3=$K258,IF($C258="W",1,IF($C258="1/2W",0.5,0)),0)</f>
        <v>0</v>
      </c>
      <c r="CS258" s="285">
        <f>IF(CR$3=$K258,IF($C258="L",1,IF($C258="1/2L",0.5,0)),0)</f>
        <v>0</v>
      </c>
      <c r="CT258" s="145">
        <f>IF(CT$3=$K258,IF($C258="W",1,IF($C258="1/2W",0.5,0)),0)</f>
        <v>0</v>
      </c>
      <c r="CU258" s="146">
        <f>IF(CT$3=$K258,IF($C258="L",1,IF($C258="1/2L",0.5,0)),0)</f>
        <v>0</v>
      </c>
      <c r="CV258" s="146">
        <f>IF(CV$3=$K258,IF($C258="W",1,IF($C258="1/2W",0.5,0)),0)</f>
        <v>0</v>
      </c>
      <c r="CW258" s="146">
        <f>IF(CV$3=$K258,IF($C258="L",1,IF($C258="1/2L",0.5,0)),0)</f>
        <v>0</v>
      </c>
      <c r="CX258" s="146">
        <f>IF(CX$3=$K258,IF($C258="W",1,IF($C258="1/2W",0.5,0)),0)</f>
        <v>0</v>
      </c>
      <c r="CY258" s="146">
        <f>IF(CX$3=$K258,IF($C258="L",1,IF($C258="1/2L",0.5,0)),0)</f>
        <v>0</v>
      </c>
      <c r="CZ258" s="146">
        <f>IF(CZ$3=$K258,IF($C258="W",1,IF($C258="1/2W",0.5,0)),0)</f>
        <v>0</v>
      </c>
      <c r="DA258" s="146">
        <f>IF(CZ$3=$K258,IF($C258="L",1,IF($C258="1/2L",0.5,0)),0)</f>
        <v>0</v>
      </c>
      <c r="DB258" s="146">
        <f>IF(DB$3=$K258,IF($C258="W",1,IF($C258="1/2W",0.5,0)),0)</f>
        <v>0</v>
      </c>
      <c r="DC258" s="146">
        <f>IF(DB$3=$K258,IF($C258="L",1,IF($C258="1/2L",0.5,0)),0)</f>
        <v>0</v>
      </c>
      <c r="DD258" s="146">
        <f>IF(DD$3=$K258,IF($C258="W",1,IF($C258="1/2W",0.5,0)),0)</f>
        <v>0</v>
      </c>
      <c r="DE258" s="147">
        <f>IF(DD$3=$K258,IF($C258="L",1,IF($C258="1/2L",0.5,0)),0)</f>
        <v>0</v>
      </c>
      <c r="DF258" s="143">
        <f>IF(AND(L258&lt;DF$3,$C258="W"),1+DF257,DF257)</f>
        <v>9</v>
      </c>
      <c r="DG258" s="133">
        <f>IF(DF258&gt;DF257,L258+DG257,DG257)</f>
        <v>11.898</v>
      </c>
      <c r="DH258" s="146">
        <f>IF(AND(L258&gt;DH$3,$C258="W"),1+DH257,0+DH257)</f>
        <v>6</v>
      </c>
      <c r="DI258" s="133">
        <f>IF(DH258&gt;DH257,L258+DI257,DI257)</f>
        <v>30.83</v>
      </c>
      <c r="DJ258" t="s" s="304">
        <f>IF($D256="","",$D256)</f>
        <v>229</v>
      </c>
      <c r="DK258" s="286"/>
    </row>
    <row r="259" ht="14.55" customHeight="1">
      <c r="A259" s="171">
        <f>$A256+1</f>
        <v>86</v>
      </c>
      <c r="B259" t="s" s="172">
        <f>IF(AND(_xlfn.XLOOKUP(H259,H$97:H115,G$97:G115,0)=G259,_xlfn.XLOOKUP("TempoBet",K259:K261,L259:L261,0)&gt;0),"X",IF(OR(C259="W",C260="W",C261="W",C259="1/2W",C260="1/2W",C261="1/2W",C259="1/2L",C260="1/2L",C261="1/2L"),"OK",IF(OR(C259="L",C260="L",C261="L"),"LOSS",IF(OR(C259="X",C260="X",C261="X"),"Anulado"," "))))</f>
        <v>50</v>
      </c>
      <c r="C259" t="s" s="173">
        <v>56</v>
      </c>
      <c r="D259" t="s" s="305">
        <f>IF(G259="","",$D256)</f>
        <v>229</v>
      </c>
      <c r="E259" t="s" s="175">
        <f>IF(G259=""," ","– "&amp;COUNTIF(D$4:D261,$D259))</f>
        <v>133</v>
      </c>
      <c r="F259" t="s" s="176"/>
      <c r="G259" s="177">
        <v>44948.541666666664</v>
      </c>
      <c r="H259" t="s" s="178">
        <v>248</v>
      </c>
      <c r="I259" t="s" s="179">
        <v>57</v>
      </c>
      <c r="J259" s="291">
        <v>5</v>
      </c>
      <c r="K259" t="s" s="181">
        <v>37</v>
      </c>
      <c r="L259" s="182">
        <v>1.9</v>
      </c>
      <c r="M259" s="183">
        <v>19.44</v>
      </c>
      <c r="N259" s="184">
        <v>0</v>
      </c>
      <c r="O259" s="185">
        <f>IF(OR(AE259="",AE260=""),"",ROUND(IF(L261&gt;0,IF(M259&gt;0,M259,IF(M260&gt;0,ROUND((M260*AE259)/AE260,IF(N259=0,2,IF(N259=0.1,1,0))),ROUND((M261*AE259)/AE261,IF(N259=0,2,IF(N259=0.1,1,0))))),IF(M259&gt;0,M259,ROUND((M260*AE259)/AE260,IF(N259=0,2,IF(N259=0.1,1,0))))),2))</f>
        <v>19.44</v>
      </c>
      <c r="P259" s="186">
        <f>IF(OR(L259="",O259=""),"",IF($C259="1/2W",O259/2+O259/2*L259,IF($C259="1/2L",O259/2,IF(I259="Lay",(O259*(L259/(L259-1))-O259)*(1-_xlfn.XLOOKUP(K259,'Janeiro 2023 - Valor Real'!A3:A15,'Janeiro 2023 - Valor Real'!C3:C15,0))+O259,(O259*L259-O259)*(1-_xlfn.XLOOKUP(K259,'Janeiro 2023 - Valor Real'!A3:A15,'Janeiro 2023 - Valor Real'!C3:C15,0))+O259))))</f>
        <v>36.936</v>
      </c>
      <c r="Q259" s="187">
        <f>IF(K259="","",IF(_xlfn.XLOOKUP(K259,K$97:K115,DJ$97:DJ115,0,,-1)=DJ259,_xlfn.XLOOKUP(K259,K$97:K115,Q$97:Q115,1,,-1)+1,1))</f>
        <v>1</v>
      </c>
      <c r="R259" s="188">
        <f>IF(K259="","",_xlfn.XLOOKUP(K259,K$97:K115,R$97:R115,0,,-1)+IF($C259=" ",1,0))</f>
        <v>0</v>
      </c>
      <c r="S259" s="189">
        <f>IF($B259="Anulado",0,ROUND(IF(OR($B259="LOSS",$B259="OK"),IF(OR($C259="W",$C259="1/2W",$C259="1/2L"),P259-O259,IF($C259="L",-O259,0))+IF(OR($C260="W",$C260="1/2W",$C260="1/2L"),P260-O260,IF($C260="L",-O260,0))+IF(OR($C261="W",$C261="1/2W",$C261="1/2L"),P261-O261,IF($C261="L",-O261,0)),IF(AND(OR($C259="W",$C259="1/2W",$C259="1/2L"),C260="W"),P259+P260-SUM(O259:O261)+_xlfn.XLOOKUP("X",C259:C261,O259:O261,0),IF(AND(C259=TRUE,C261="W"),P259+P261-SUM(O259:O261),IF(AND(C260="W",C261="W"),P260+P261-SUM(O259:O261)+_xlfn.XLOOKUP("X",C259:C261,O259:O261,0),IF(L261&gt;0,IF(OR($C259="W",$C259="1/2W",$C259="1/2L"),P259-SUM(O259:O261)+_xlfn.XLOOKUP("X",C259:C261,O259:O261,0),IF(OR($C259="W",$C259="1/2W",$C259="1/2L"),P260-SUM(O259:O261)+_xlfn.XLOOKUP("X",C259:C261,O259:O261,0),IF(OR($C259="W",$C259="1/2W",$C259="1/2L"),P261-SUM(O259:O261)+_xlfn.XLOOKUP("X",C259:C261,O259:O261,0),IF(SUM(P259:P261)/3-SUM(O259:O261)+_xlfn.XLOOKUP("X",C259:C261,O259:O261,0)&gt;0,SUM(P259:P261)/3-SUM(O259:O261)+_xlfn.XLOOKUP("X",C259:C261,O259:O261,0),LARGE(P259:P261,1)-SUM(O259:O261))))),IF(OR($C259="W",$C259="1/2W",$C259="1/2L"),P259-SUM(O259:O260)+_xlfn.XLOOKUP("X",C259:C261,O259:O261,0),IF(OR($C259="W",$C259="1/2W",$C259="1/2L"),P260-SUM(O259:O260)+_xlfn.XLOOKUP("X",C259:C261,O259:O261,0),SUM(P259:P260)/2-SUM(O259:O260)+_xlfn.XLOOKUP("X",C259:C261,O259:O261,0)))))))),2))</f>
        <v>1.16</v>
      </c>
      <c r="T259" s="190">
        <f>IF(S259=0,0,S259/SUM(O259:O261))</f>
        <v>0.0324203465623253</v>
      </c>
      <c r="U259" s="191">
        <f>IF($D259=$D256,IF(OR($B259="LOSS",$B259="OK",$B259="Anulada"),S259,0)+U256,IF(OR($B259="LOSS",$B259="OK",$B259="Anulada"),S259,0))</f>
        <v>14.54</v>
      </c>
      <c r="V259" s="191">
        <f>IF($D259="",0,IF($D259=$D256,IF($B259=" ",IF(I261="",IF(OR(AND(I259="DNB1",I260="DNB2"),AND(OR(I259="DNB1",I259="DNB2"),J260=0),AND(OR(I260="DNB1",I260="DNB2"),J259=0),AND(I259="DNB2",I260="DNB1"),AND(IF(J259=0,(J259+1)/ROUND(J259+1,0),J259/ROUND(J259,0))=1,IF(J260=0,(J260+1)/ROUND(IF(J260="",0,J260)+1,0),IF(J260="",0,J260)/ROUND(IF(J260="",1,J260),0))=1,OR(J259&lt;&gt;""),J260&lt;&gt;"")),0,IF(S259&lt;0,IF(I261="",SMALL(P259:P260,1)-SUM(O259:O260),0),SMALL(P259:P260,1)-SUM(O259:O260))),IF(S259&lt;0,IF(I261="",SMALL(P259:P261,1)-SUM(O259:O261),0),LARGE(P259:P261,1)-SUM(O259:O261))),S259)+V256,IF(I261="",IF(OR(AND(I259="DNB1",I260="DNB2"),AND(OR(I259="DNB1",I259="DNB2"),J260=0),AND(OR(I260="DNB1",I260="DNB2"),J259=0),AND(I259="DNB2",I260="DNB1"),AND(IF(J259=0,(J259+1)/ROUND(J259+1,0),J259/ROUND(J259,0))=1,IF(J260=0,(IF(J260="",0,J260)+1)/ROUND(IF(J260="",0,J260)+1,0),IF(J260="",0,J260)/ROUND(IF(J260="",0,J260)+1,0))=1,OR(J259&lt;&gt;""),J260&lt;&gt;"")),0,IF(S259&lt;0,IF(I261="",SMALL(P259:P260,1)-SUM(O259:O260),0),SMALL(P259:P261,1)-SUM(O259:O261))),IF(S259&lt;0,IF(I261="",SMALL(P259:P261,1)-SUM(O259:O261),0),LARGE(P259:P261,1)-SUM(O259:O261)))))</f>
        <v>14.536</v>
      </c>
      <c r="W259" s="191">
        <f>IF($D259=$D256,IF(S259&lt;0,IF(I261="",S259,0),S259)+W256,S259)</f>
        <v>14.54</v>
      </c>
      <c r="X259" t="s" s="192">
        <f>IF(OR(SUM(R259:R261)=0,V259=W259),ROUND(IF(W259=0,0,W259/Y259)*100,2)&amp;"%",ROUND(IF(V259=0,0,V259/Y259)*100,2)&amp;"% a "&amp;ROUND(IF(W259=0,0,W259/Y259)*100,2)&amp;"%")</f>
        <v>132</v>
      </c>
      <c r="Y259" s="193">
        <f>IF($D259=$D256,Y256+SUM(O259:O261),SUM(O259:O261))</f>
        <v>429.18</v>
      </c>
      <c r="Z259" s="191">
        <f>IF($B259=" ",SUM(O259:O261),0)+Z256</f>
        <v>0</v>
      </c>
      <c r="AA259" s="191">
        <f>IF(G259="","",IF($B259="Anulado",LARGE(P259:P261,1)-SUM(O259:O261)+AA256,AA256))</f>
        <v>16.5099</v>
      </c>
      <c r="AB259" s="191">
        <f>IF($D259="","",AB256+S259)</f>
        <v>216.71</v>
      </c>
      <c r="AC259" s="194">
        <f>IF($D259="","",IF($B259=" ",IF(DAY(G259)=DAY(TODAY()),1+AC256,0+AC256),0+AC256))</f>
        <v>0</v>
      </c>
      <c r="AD259" s="195">
        <f>(((L260/(L260-1)-1)*(1-_xlfn.XLOOKUP(K260,'Janeiro 2023 - Valor Real'!A3:A15,'Janeiro 2023 - Valor Real'!C3:C15,0))+1))/(((L259-1)*(1-_xlfn.XLOOKUP(K259,'Janeiro 2023 - Valor Real'!A3:A15,'Janeiro 2023 - Valor Real'!C3:C15,0))+1)+((L260/(L260-1)-1)*(1-_xlfn.XLOOKUP(K260,'Janeiro 2023 - Valor Real'!A3:A15,'Janeiro 2023 - Valor Real'!C3:C15,0))+1))</f>
        <v>0.485603781693167</v>
      </c>
      <c r="AE259" s="196">
        <f>IF(L259="","",IF(L261&gt;0,(SUM(((L259-1)*(1-_xlfn.XLOOKUP(K259,'Janeiro 2023 - Valor Real'!A3:A15,'Janeiro 2023 - Valor Real'!C3:C15,0))+1),((L260-1)*(1-_xlfn.XLOOKUP(K260,'Janeiro 2023 - Valor Real'!A3:A15,'Janeiro 2023 - Valor Real'!C3:C15,0))+1),((L261-1)*(1-_xlfn.XLOOKUP(K261,'Janeiro 2023 - Valor Real'!A3:A15,'Janeiro 2023 - Valor Real'!C3:C15,0))+1))/((L259-1)*(1-_xlfn.XLOOKUP(K259,'Janeiro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Real'!C3:C15,0))+1))/((L259-1)*(1-_xlfn.XLOOKUP(K259,'Janeiro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Real'!C3:C15,0))+1))/((L260-1)*(1-_xlfn.XLOOKUP(K260,'Janeiro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Real'!C3:C15,0))+1))/((L261-1)*(1-_xlfn.XLOOKUP(K261,'Janeiro 2023 - Valor Real'!A3:A15,'Janeiro 2023 - Valor Real'!C3:C15,0))+1)),IF(I259="Lay",IF(I260="Lay",((L260/(L260-1)-1)*(1-_xlfn.XLOOKUP(K260,'Janeiro 2023 - Valor Real'!A3:A15,'Janeiro 2023 - Valor Real'!C3:C15,0))+1)/(((L260/(L260-1)-1)*(1-_xlfn.XLOOKUP(K260,'Janeiro 2023 - Valor Real'!A3:A15,'Janeiro 2023 - Valor Real'!C3:C15,0))+1)+((L259/(L259-1)-1)*(1-_xlfn.XLOOKUP(K259,'Janeiro 2023 - Valor Real'!A3:A15,'Janeiro 2023 - Valor Real'!C3:C15,0))+1)),((L260-1)*(1-_xlfn.XLOOKUP(K260,'Janeiro 2023 - Valor Real'!A3:A15,'Janeiro 2023 - Valor Real'!C3:C15,0))+1)/(((L260-1)*(1-_xlfn.XLOOKUP(K260,'Janeiro 2023 - Valor Real'!A3:A15,'Janeiro 2023 - Valor Real'!C3:C15,0))+1)+((L259/(L259-1)-1)*(1-_xlfn.XLOOKUP(K259,'Janeiro 2023 - Valor Real'!A3:A15,'Janeiro 2023 - Valor Real'!C3:C15,0))+1))),IF(I260="Lay",(((L260/(L260-1)-1)*(1-_xlfn.XLOOKUP(K260,'Janeiro 2023 - Valor Real'!A3:A15,'Janeiro 2023 - Valor Real'!C3:C15,0))+1))/(((L259-1)*(1-_xlfn.XLOOKUP(K259,'Janeiro 2023 - Valor Real'!A3:A15,'Janeiro 2023 - Valor Real'!C3:C15,0))+1)+((L260/(L260-1)-1)*(1-_xlfn.XLOOKUP(K260,'Janeiro 2023 - Valor Real'!A3:A15,'Janeiro 2023 - Valor Real'!C3:C15,0))+1)),((L260-1)*(1-_xlfn.XLOOKUP(K260,'Janeiro 2023 - Valor Real'!A3:A15,'Janeiro 2023 - Valor Real'!C3:C15,0))+1)/(((L260-1)*(1-_xlfn.XLOOKUP(K260,'Janeiro 2023 - Valor Real'!A3:A15,'Janeiro 2023 - Valor Real'!C3:C15,0))+1)+((L259-1)*(1-_xlfn.XLOOKUP(K259,'Janeiro 2023 - Valor Real'!A3:A15,'Janeiro 2023 - Valor Real'!C3:C15,0))+1))))))</f>
        <v>0.5432692307692309</v>
      </c>
      <c r="AF259" s="197">
        <f>IF($K259=AF$3,ROUND(IF(OR($C259="W",$C259="1/2W",$C259="1/2L"),$P259-$O259,IF($C259="X",0,-$O259)),2),0)</f>
        <v>17.5</v>
      </c>
      <c r="AG259" s="198">
        <f>IF($K259=AG$3,ROUND(IF(OR($C259="W",$C259="1/2W",$C259="1/2L"),$P259-$O259,IF($C259="X",0,-$O259)),2),0)</f>
        <v>0</v>
      </c>
      <c r="AH259" s="198">
        <f>IF($K259=AH$3,ROUND(IF(OR($C259="W",$C259="1/2W",$C259="1/2L"),$P259-$O259,IF($C259="X",0,-$O259)),2),0)</f>
        <v>0</v>
      </c>
      <c r="AI259" s="198">
        <f>IF($K259=AI$3,ROUND(IF(OR($C259="W",$C259="1/2W",$C259="1/2L"),$P259-$O259,IF($C259="X",0,-$O259)),2),0)</f>
        <v>0</v>
      </c>
      <c r="AJ259" s="198">
        <f>IF($K259=AJ$3,ROUND(IF(OR($C259="W",$C259="1/2W",$C259="1/2L"),$P259-$O259,IF($C259="X",0,-$O259)),2),0)</f>
        <v>0</v>
      </c>
      <c r="AK259" s="198">
        <f>IF($K259=AK$3,ROUND(IF(OR($C259="W",$C259="1/2W",$C259="1/2L"),$P259-$O259,IF($C259="X",0,-$O259)),2),0)</f>
        <v>0</v>
      </c>
      <c r="AL259" s="198">
        <f>IF($K259=AL$3,ROUND(IF(OR($C259="W",$C259="1/2W",$C259="1/2L"),$P259-$O259,IF($C259="X",0,-$O259)),2),0)</f>
        <v>0</v>
      </c>
      <c r="AM259" s="198">
        <f>IF($K259=AM$3,ROUND(IF(OR($C259="W",$C259="1/2W",$C259="1/2L"),$P259-$O259,IF($C259="X",0,-$O259)),2),0)</f>
        <v>0</v>
      </c>
      <c r="AN259" s="198">
        <f>IF($K259=AN$3,ROUND(IF(OR($C259="W",$C259="1/2W",$C259="1/2L"),$P259-$O259,IF($C259="X",0,-$O259)),2),0)</f>
        <v>0</v>
      </c>
      <c r="AO259" s="198">
        <f>IF($K259=AO$3,ROUND(IF(OR($C259="W",$C259="1/2W",$C259="1/2L"),$P259-$O259,IF($C259="X",0,-$O259)),2),0)</f>
        <v>0</v>
      </c>
      <c r="AP259" s="198">
        <f>IF($K259=AP$3,ROUND(IF(OR($C259="W",$C259="1/2W",$C259="1/2L"),$P259-$O259,IF($C259="X",0,-$O259)),2),0)</f>
        <v>0</v>
      </c>
      <c r="AQ259" s="198">
        <f>IF($K259=AQ$3,ROUND(IF(OR($C259="W",$C259="1/2W",$C259="1/2L"),$P259-$O259,IF($C259="X",0,-$O259)),2),0)</f>
        <v>0</v>
      </c>
      <c r="AR259" s="199">
        <f>IF($K259=AR$3,ROUND(IF(OR($C259="W",$C259="1/2W",$C259="1/2L"),$P259-$O259,IF($C259="X",0,-$O259)),2),0)</f>
        <v>0</v>
      </c>
      <c r="AS259" s="197">
        <f>IF(AND($B259=" ",$K259=AS$3),$O259,0)</f>
        <v>0</v>
      </c>
      <c r="AT259" s="198">
        <f>IF(AND($B259=" ",$K259=AT$3),$O259,0)</f>
        <v>0</v>
      </c>
      <c r="AU259" s="198">
        <f>IF(AND($B259=" ",$K259=AU$3),$O259,0)</f>
        <v>0</v>
      </c>
      <c r="AV259" s="198">
        <f>IF(AND($B259=" ",$K259=AV$3),$O259,0)</f>
        <v>0</v>
      </c>
      <c r="AW259" s="198">
        <f>IF(AND($B259=" ",$K259=AW$3),$O259,0)</f>
        <v>0</v>
      </c>
      <c r="AX259" s="198">
        <f>IF(AND($B259=" ",$K259=AX$3),$O259,0)</f>
        <v>0</v>
      </c>
      <c r="AY259" s="200">
        <f>IF(AND($B259=" ",$K259=AY$3),$O259,0)</f>
        <v>0</v>
      </c>
      <c r="AZ259" s="201">
        <f>IF(AND($B259=" ",$K259=AZ$3),$O259,0)</f>
        <v>0</v>
      </c>
      <c r="BA259" s="201">
        <f>IF(AND($B259=" ",$K259=BA$3),$O259,0)</f>
        <v>0</v>
      </c>
      <c r="BB259" s="201">
        <f>IF(AND($B259=" ",$K259=BB$3),$O259,0)</f>
        <v>0</v>
      </c>
      <c r="BC259" s="202">
        <f>IF(AND($B259=" ",$K259=BC$3),$O259,0)</f>
        <v>0</v>
      </c>
      <c r="BD259" s="198">
        <f>IF(AND($B259=" ",$K259=BD$3),$O259,0)</f>
        <v>0</v>
      </c>
      <c r="BE259" s="199">
        <f>IF(AND($B259=" ",$K259=BE$3),$O259,0)</f>
        <v>0</v>
      </c>
      <c r="BF259" s="203">
        <f>IF($K259=BF$3,IF($C259="X",0,$O259),0)</f>
        <v>19.44</v>
      </c>
      <c r="BG259" s="198">
        <f>IF($K259=BG$3,IF($C259="X",0,$O259),0)</f>
        <v>0</v>
      </c>
      <c r="BH259" s="198">
        <f>IF($K259=BH$3,IF($C259="X",0,$O259),0)</f>
        <v>0</v>
      </c>
      <c r="BI259" s="198">
        <f>IF($K259=BI$3,IF($C259="X",0,$O259),0)</f>
        <v>0</v>
      </c>
      <c r="BJ259" s="198">
        <f>IF($K259=BJ$3,IF($C259="X",0,$O259),0)</f>
        <v>0</v>
      </c>
      <c r="BK259" s="198">
        <f>IF($K259=BK$3,IF($C259="X",0,$O259),0)</f>
        <v>0</v>
      </c>
      <c r="BL259" s="198">
        <f>IF($K259=BL$3,IF($C259="X",0,$O259),0)</f>
        <v>0</v>
      </c>
      <c r="BM259" s="200">
        <f>IF($K259=BM$3,IF($C259="X",0,$O259),0)</f>
        <v>0</v>
      </c>
      <c r="BN259" s="201">
        <f>IF($K259=BN$3,IF($C259="X",0,$O259),0)</f>
        <v>0</v>
      </c>
      <c r="BO259" s="201">
        <f>IF($K259=BO$3,IF($C259="X",0,$O259),0)</f>
        <v>0</v>
      </c>
      <c r="BP259" s="201">
        <f>IF($K259=BP$3,IF($C259="X",0,$O259),0)</f>
        <v>0</v>
      </c>
      <c r="BQ259" s="202">
        <f>IF($K259=BQ$3,IF($C259="X",0,$O259),0)</f>
        <v>0</v>
      </c>
      <c r="BR259" s="199">
        <f>IF($K259=BR$3,IF($C259="X",0,$O259),0)</f>
        <v>0</v>
      </c>
      <c r="BS259" s="204">
        <f>IF($B259="LOSS",IF(AND($K259=BS$3,$C259="L"),-$O259,0)+IF(AND($K260=BS$3,$C260="L"),-$O260,0)+IF(AND($K261=BS$3,$C261="L"),-$O261,0),IF(OR(AND($K259=BS$3,OR($C259="W",$C259="1/2W")),AND($K260=BS$3,OR($C260="W",$C260="1/2W")),AND($K261=BS$3,OR($C261="W",$C261="1/2W"))),$S259,0))</f>
        <v>1.16</v>
      </c>
      <c r="BT259" s="201">
        <f>IF($B259="LOSS",IF(AND($K259=BT$3,$C259="L"),-$O259,0)+IF(AND($K260=BT$3,$C260="L"),-$O260,0)+IF(AND($K260=BT$3,$C261="L"),-$O261,0),IF(OR(AND($K260=BT$3,OR($C259="W",$C259="1/2W")),AND($K260=BT$3,OR($C260="W",$C260="1/2W")),AND($K260=BT$3,OR($C261="W",$C261="1/2W"))),$S259,0))</f>
        <v>0</v>
      </c>
      <c r="BU259" s="201">
        <f>IF($B259="LOSS",IF(AND($K259=BU$3,$C259="L"),-$O259,0)+IF(AND($K260=BU$3,$C260="L"),-$O260,0)+IF(AND($K260=BU$3,$C261="L"),-$O261,0),IF(OR(AND($K260=BU$3,OR($C259="W",$C259="1/2W")),AND($K260=BU$3,OR($C260="W",$C260="1/2W")),AND($K260=BU$3,OR($C261="W",$C261="1/2W"))),$S259,0))</f>
        <v>0</v>
      </c>
      <c r="BV259" s="201">
        <f>IF($B259="LOSS",IF(AND($K259=BV$3,$C259="L"),-$O259,0)+IF(AND($K260=BV$3,$C260="L"),-$O260,0)+IF(AND($K261=BV$3,$C261="L"),-$O261,0),IF(OR(AND($K259=BV$3,OR($C259="W",$C259="1/2W")),AND($K260=BV$3,OR($C260="W",$C260="1/2W")),AND($K261=BV$3,OR($C261="W",$C261="1/2W"))),$S259,0))</f>
        <v>0</v>
      </c>
      <c r="BW259" s="201">
        <f>IF($B259="LOSS",IF(AND($K259=BW$3,$C259="L"),-$O259,0)+IF(AND($K260=BW$3,$C260="L"),-$O260,0)+IF(AND($K261=BW$3,$C261="L"),-$O261,0),IF(OR(AND($K259=BW$3,OR($C259="W",$C259="1/2W")),AND($K260=BW$3,OR($C260="W",$C260="1/2W")),AND($K261=BW$3,OR($C261="W",$C261="1/2W"))),$S259,0))</f>
        <v>0</v>
      </c>
      <c r="BX259" s="201">
        <f>IF($B259="LOSS",IF(AND($K259=BX$3,$C259="L"),-$O259,0)+IF(AND($K260=BX$3,$C260="L"),-$O260,0)+IF(AND($K261=BX$3,$C261="L"),-$O261,0),IF(OR(AND($K259=BX$3,OR($C259="W",$C259="1/2W")),AND($K260=BX$3,OR($C260="W",$C260="1/2W")),AND($K261=BX$3,OR($C261="W",$C261="1/2W"))),$S259,0))</f>
        <v>0</v>
      </c>
      <c r="BY259" s="201">
        <f>IF($B259="LOSS",IF(AND($K259=BY$3,$C259="L"),-$O259,0)+IF(AND($K260=BY$3,$C260="L"),-$O260,0)+IF(AND($K261=BY$3,$C261="L"),-$O261,0),IF(OR(AND($K259=BY$3,OR($C259="W",$C259="1/2W")),AND($K260=BY$3,OR($C260="W",$C260="1/2W")),AND($K261=BY$3,OR($C261="W",$C261="1/2W"))),$S259,0))</f>
        <v>0</v>
      </c>
      <c r="BZ259" s="205">
        <f>IF($B259="LOSS",IF(AND($K259=BZ$3,$C259="L"),-$O259,0)+IF(AND($K260=BZ$3,$C260="L"),-$O260,0)+IF(AND($K261=BZ$3,$C261="L"),-$O261,0),IF(OR(AND($K259=BZ$3,OR($C259="W",$C259="1/2W")),AND($K260=BZ$3,OR($C260="W",$C260="1/2W")),AND($K261=BZ$3,OR($C261="W",$C261="1/2W"))),$S259,0))</f>
        <v>0</v>
      </c>
      <c r="CA259" s="205">
        <f>IF($B259="LOSS",IF(AND($K259=CA$3,$C259="L"),-$O259,0)+IF(AND($K260=CA$3,$C260="L"),-$O260,0)+IF(AND($K261=CA$3,$C261="L"),-$O261,0),IF(OR(AND($K259=CA$3,OR($C259="W",$C259="1/2W")),AND($K260=CA$3,OR($C260="W",$C260="1/2W")),AND($K261=CA$3,OR($C261="W",$C261="1/2W"))),$S259,0))</f>
        <v>0</v>
      </c>
      <c r="CB259" s="205">
        <f>IF($B259="LOSS",IF(AND($K259=CB$3,$C259="L"),-$O259,0)+IF(AND($K260=CB$3,$C260="L"),-$O260,0)+IF(AND($K261=CB$3,$C261="L"),-$O261,0),IF(OR(AND($K259=CB$3,OR($C259="W",$C259="1/2W")),AND($K260=CB$3,OR($C260="W",$C260="1/2W")),AND($K261=CB$3,OR($C261="W",$C261="1/2W"))),$S259,0))</f>
        <v>0</v>
      </c>
      <c r="CC259" s="205">
        <f>IF($B259="LOSS",IF(AND($K259=CC$3,$C259="L"),-$O259,0)+IF(AND($K260=CC$3,$C260="L"),-$O260,0)+IF(AND($K261=CC$3,$C261="L"),-$O261,0),IF(OR(AND($K259=CC$3,OR($C259="W",$C259="1/2W")),AND($K260=CC$3,OR($C260="W",$C260="1/2W")),AND($K261=CC$3,OR($C261="W",$C261="1/2W"))),$S259,0))</f>
        <v>0</v>
      </c>
      <c r="CD259" s="202">
        <f>IF($B259="LOSS",IF(AND($K259=CD$3,$C259="L"),-$O259,0)+IF(AND($K260=CD$3,$C260="L"),-$O260,0)+IF(AND($K261=CD$3,$C261="L"),-$O261,0),IF(OR(AND($K259=CD$3,OR($C259="W",$C259="1/2W")),AND($K260=CD$3,OR($C260="W",$C260="1/2W")),AND($K261=CD$3,OR($C261="W",$C261="1/2W"))),$S259,0))</f>
        <v>0</v>
      </c>
      <c r="CE259" s="199">
        <f>IF($B259="LOSS",IF(AND($K259=CE$3,$C259="L"),-$O259,0)+IF(AND($K260=CE$3,$C260="L"),-$O260,0)+IF(AND($K261=CE$3,$C261="L"),-$O261,0),IF(OR(AND($K259=CE$3,OR($C259="W",$C259="1/2W")),AND($K260=CE$3,OR($C260="W",$C260="1/2W")),AND($K261=CE$3,OR($C261="W",$C261="1/2W"))),$S259,0))</f>
        <v>0</v>
      </c>
      <c r="CF259" s="206">
        <f>IF(CF$3=$K259,IF($C259="W",1,IF($C259="1/2W",0.5,0)),0)</f>
        <v>1</v>
      </c>
      <c r="CG259" s="207">
        <f>IF(CF$3=$K259,IF($C259="L",1,IF($C259="1/2L",0.5,0)),0)</f>
        <v>0</v>
      </c>
      <c r="CH259" s="207">
        <f>IF(CH$3=$K259,IF($C259="W",1,IF($C259="1/2W",0.5,0)),0)</f>
        <v>0</v>
      </c>
      <c r="CI259" s="207">
        <f>IF(CH$3=$K259,IF($C259="L",1,IF($C259="1/2L",0.5,0)),0)</f>
        <v>0</v>
      </c>
      <c r="CJ259" s="207">
        <f>IF(CJ$3=$K259,IF($C259="W",1,IF($C259="1/2W",0.5,0)),0)</f>
        <v>0</v>
      </c>
      <c r="CK259" s="207">
        <f>IF(CJ$3=$K259,IF($C259="L",1,IF($C259="1/2L",0.5,0)),0)</f>
        <v>0</v>
      </c>
      <c r="CL259" s="207">
        <f>IF(CL$3=$K259,IF($C259="W",1,IF($C259="1/2W",0.5,0)),0)</f>
        <v>0</v>
      </c>
      <c r="CM259" s="207">
        <f>IF(CL$3=$K259,IF($C259="L",1,IF($C259="1/2L",0.5,0)),0)</f>
        <v>0</v>
      </c>
      <c r="CN259" s="207">
        <f>IF(CN$3=$K259,IF($C259="W",1,IF($C259="1/2W",0.5,0)),0)</f>
        <v>0</v>
      </c>
      <c r="CO259" s="207">
        <f>IF(CN$3=$K259,IF($C259="L",1,IF($C259="1/2L",0.5,0)),0)</f>
        <v>0</v>
      </c>
      <c r="CP259" s="207">
        <f>IF(CP$3=$K259,IF($C259="W",1,IF($C259="1/2W",0.5,0)),0)</f>
        <v>0</v>
      </c>
      <c r="CQ259" s="207">
        <f>IF(CP$3=$K259,IF($C259="L",1,IF($C259="1/2L",0.5,0)),0)</f>
        <v>0</v>
      </c>
      <c r="CR259" s="207">
        <f>IF(CR$3=$K259,IF($C259="W",1,IF($C259="1/2W",0.5,0)),0)</f>
        <v>0</v>
      </c>
      <c r="CS259" s="207">
        <f>IF(CR$3=$K259,IF($C259="L",1,IF($C259="1/2L",0.5,0)),0)</f>
        <v>0</v>
      </c>
      <c r="CT259" s="208">
        <f>IF(CT$3=$K259,IF($C259="W",1,IF($C259="1/2W",0.5,0)),0)</f>
        <v>0</v>
      </c>
      <c r="CU259" s="209">
        <f>IF(CT$3=$K259,IF($C259="L",1,IF($C259="1/2L",0.5,0)),0)</f>
        <v>0</v>
      </c>
      <c r="CV259" s="209">
        <f>IF(CV$3=$K259,IF($C259="W",1,IF($C259="1/2W",0.5,0)),0)</f>
        <v>0</v>
      </c>
      <c r="CW259" s="209">
        <f>IF(CV$3=$K259,IF($C259="L",1,IF($C259="1/2L",0.5,0)),0)</f>
        <v>0</v>
      </c>
      <c r="CX259" s="209">
        <f>IF(CX$3=$K259,IF($C259="W",1,IF($C259="1/2W",0.5,0)),0)</f>
        <v>0</v>
      </c>
      <c r="CY259" s="209">
        <f>IF(CX$3=$K259,IF($C259="L",1,IF($C259="1/2L",0.5,0)),0)</f>
        <v>0</v>
      </c>
      <c r="CZ259" s="209">
        <f>IF(CZ$3=$K259,IF($C259="W",1,IF($C259="1/2W",0.5,0)),0)</f>
        <v>0</v>
      </c>
      <c r="DA259" s="209">
        <f>IF(CZ$3=$K259,IF($C259="L",1,IF($C259="1/2L",0.5,0)),0)</f>
        <v>0</v>
      </c>
      <c r="DB259" s="209">
        <f>IF(DB$3=$K259,IF($C259="W",1,IF($C259="1/2W",0.5,0)),0)</f>
        <v>0</v>
      </c>
      <c r="DC259" s="209">
        <f>IF(DB$3=$K259,IF($C259="L",1,IF($C259="1/2L",0.5,0)),0)</f>
        <v>0</v>
      </c>
      <c r="DD259" s="209">
        <f>IF(DD$3=$K259,IF($C259="W",1,IF($C259="1/2W",0.5,0)),0)</f>
        <v>0</v>
      </c>
      <c r="DE259" s="210">
        <f>IF(DD$3=$K259,IF($C259="L",1,IF($C259="1/2L",0.5,0)),0)</f>
        <v>0</v>
      </c>
      <c r="DF259" s="211">
        <f>IF(AND(L259&lt;DF$3,$C259="W"),1+DF258,DF258)</f>
        <v>9</v>
      </c>
      <c r="DG259" s="198">
        <f>IF(DF259&gt;DF258,L259+DG258,DG258)</f>
        <v>11.898</v>
      </c>
      <c r="DH259" s="209">
        <f>IF(AND(L259&gt;DH$3,$C259="W"),1+DH258,0+DH258)</f>
        <v>6</v>
      </c>
      <c r="DI259" s="198">
        <f>IF(DH259&gt;DH258,L259+DI258,DI258)</f>
        <v>30.83</v>
      </c>
      <c r="DJ259" t="s" s="306">
        <f>IF($D259="","",$D259)</f>
        <v>229</v>
      </c>
      <c r="DK259" s="209">
        <f>IF(AND($B259=" ",$D259&lt;&gt;""),1,0)</f>
        <v>0</v>
      </c>
    </row>
    <row r="260" ht="14.55" customHeight="1">
      <c r="A260" s="107"/>
      <c r="B260" s="108"/>
      <c r="C260" t="s" s="213">
        <v>51</v>
      </c>
      <c r="D260" s="110"/>
      <c r="E260" s="111"/>
      <c r="F260" s="112"/>
      <c r="G260" s="214"/>
      <c r="H260" s="114"/>
      <c r="I260" t="s" s="215">
        <v>54</v>
      </c>
      <c r="J260" s="296">
        <f>IF(OR(I259="TO",I259="TU",I259="TO1",I259="TU1",I259="TO2",I259="TU2"),J259,IF(OR(I259="AH1",I259="AH2"),IF(OR(I260="AH1",I260="AH2"),-J259,IF(OR(I260="EH1",I260="EH2"),-J259+0.5,"")),IF(OR(I259="EH1",I259="EH2"),IF(OR(I260="AH1",I260="AH2"),-J259+0.5,IF(OR(I260="EH1",I260="EH2"),-J259+1,"")),IF(AND(OR(I259="DNB1",I259="DNB2"),OR(I260="AH1",I260="AH2")),0,IF(AND(I259="Not ScoreBoth",OR(I260="TO1",I260="TO2")),0.5,"")))))</f>
        <v>-5</v>
      </c>
      <c r="K260" t="s" s="217">
        <v>44</v>
      </c>
      <c r="L260" s="218">
        <v>2.26</v>
      </c>
      <c r="M260" s="219"/>
      <c r="N260" s="120"/>
      <c r="O260" s="220">
        <f>IF(OR(AE259="",AE260=""),"",ROUND(IF(L261&gt;0,IF(M260&gt;0,M260,IF(M259&gt;0,IF(N259=TRUE,ROUND((M259*AE260)/AE259,0),(M259*AE260)/AE259),IF(M260&gt;0,ROUND(M260,IF(N259=0,2,IF(N259=0.1,1,0))),IF(M261&gt;0,ROUND(O261*AE260/AE261,IF(N259=0,2,IF(N259=0.1,1,0))),0)))),IF(M260&gt;0,M260,ROUND((M259*AE260)/AE259,IF(N259=0,2,IF(N259=0.1,1,0))))),2))</f>
        <v>16.34</v>
      </c>
      <c r="P260" s="221">
        <f>IF(OR(L260="",O260=""),"",IF($C260="1/2W",O260/2+O260/2*L260,IF($C260="1/2L",O260/2,IF(I260="Lay",((O260*(L260/(L260-1)))-O260)*(1-_xlfn.XLOOKUP(K260,'Janeiro 2023 - Valor Real'!A3:A15,'Janeiro 2023 - Valor Real'!C3:C15,0))+O260,(O260*L260-O260)*(1-_xlfn.XLOOKUP(K260,'Janeiro 2023 - Valor Real'!A3:A15,'Janeiro 2023 - Valor Real'!C3:C15,0))+O260))))</f>
        <v>36.9284</v>
      </c>
      <c r="Q260" s="222">
        <f>IF(K260="","",IF(_xlfn.XLOOKUP(K260,K$98:K116,DJ$98:DJ116,0,,-1)=DJ260,_xlfn.XLOOKUP(K260,K$98:K116,Q$98:Q116,1,,-1)+1,1))</f>
        <v>1</v>
      </c>
      <c r="R260" s="223">
        <f>IF(K260="","",_xlfn.XLOOKUP(K260,K$98:K116,R$98:R116,0,,-1)+IF($C260=" ",1,0))</f>
        <v>0</v>
      </c>
      <c r="S260" s="125"/>
      <c r="T260" s="126"/>
      <c r="U260" s="126"/>
      <c r="V260" s="224"/>
      <c r="W260" s="126"/>
      <c r="X260" s="127"/>
      <c r="Y260" s="128"/>
      <c r="Z260" s="129"/>
      <c r="AA260" s="129"/>
      <c r="AB260" s="129"/>
      <c r="AC260" s="129"/>
      <c r="AD260" s="225">
        <f>(((L260/(L260-1)-1)*(1-_xlfn.XLOOKUP(K260,'Janeiro 2023 - Valor Real'!A3:A15,'Janeiro 2023 - Valor Real'!C3:C15,0))+1))</f>
        <v>1.79365079365079</v>
      </c>
      <c r="AE260" s="226">
        <f>IF(L260="","",IF(L261&gt;0,(SUM(((L259-1)*(1-_xlfn.XLOOKUP(K259,'Janeiro 2023 - Valor Real'!A3:A15,'Janeiro 2023 - Valor Real'!C3:C15,0))+1),((L260-1)*(1-_xlfn.XLOOKUP(K260,'Janeiro 2023 - Valor Real'!A3:A15,'Janeiro 2023 - Valor Real'!C3:C15,0))+1),((L261-1)*(1-_xlfn.XLOOKUP(K261,'Janeiro 2023 - Valor Real'!A3:A15,'Janeiro 2023 - Valor Real'!C3:C15,0))+1))/((L260-1)*(1-_xlfn.XLOOKUP(K260,'Janeiro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Real'!C3:C15,0))+1))/((L259-1)*(1-_xlfn.XLOOKUP(K259,'Janeiro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Real'!C3:C15,0))+1))/((L260-1)*(1-_xlfn.XLOOKUP(K260,'Janeiro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Real'!C3:C15,0))+1))/((L261-1)*(1-_xlfn.XLOOKUP(K261,'Janeiro 2023 - Valor Real'!A3:A15,'Janeiro 2023 - Valor Real'!C3:C15,0))+1)),IF(I260="Lay",IF(I259="Lay",((L259/(L259-1)-1)*(1-_xlfn.XLOOKUP(K259,'Janeiro 2023 - Valor Real'!A3:A15,'Janeiro 2023 - Valor Real'!C3:C15,0))+1)/(((L259/(L259-1)-1)*(1-_xlfn.XLOOKUP(K259,'Janeiro 2023 - Valor Real'!A3:A15,'Janeiro 2023 - Valor Real'!C3:C15,0))+1)+((L260/(L260-1)-1)*(1-_xlfn.XLOOKUP(K260,'Janeiro 2023 - Valor Real'!A3:A15,'Janeiro 2023 - Valor Real'!C3:C15,0))+1)),((L259-1)*(1-_xlfn.XLOOKUP(K259,'Janeiro 2023 - Valor Real'!A3:A15,'Janeiro 2023 - Valor Real'!C3:C15,0))+1)/(((L259-1)*(1-_xlfn.XLOOKUP(K259,'Janeiro 2023 - Valor Real'!A3:A15,'Janeiro 2023 - Valor Real'!C3:C15,0))+1)+((L260/(L260-1)-1)*(1-_xlfn.XLOOKUP(K260,'Janeiro 2023 - Valor Real'!A3:A15,'Janeiro 2023 - Valor Real'!C3:C15,0))+1))),IF(I259="Lay",((L259/(L259-1)-1)*(1-_xlfn.XLOOKUP(K259,'Janeiro 2023 - Valor Real'!A3:A15,'Janeiro 2023 - Valor Real'!C3:C15,0))+1)/((((L259/(L259-1)-1)*(1-_xlfn.XLOOKUP(K259,'Janeiro 2023 - Valor Real'!A3:A15,'Janeiro 2023 - Valor Real'!C3:C15,0))+1))+((L260-1)*(1-_xlfn.XLOOKUP(K260,'Janeiro 2023 - Valor Real'!A3:A15,'Janeiro 2023 - Valor Real'!C3:C15,0))+1)),((L259-1)*(1-_xlfn.XLOOKUP(K259,'Janeiro 2023 - Valor Real'!A3:A15,'Janeiro 2023 - Valor Real'!C3:C15,0))+1)/(((L259-1)*(1-_xlfn.XLOOKUP(K259,'Janeiro 2023 - Valor Real'!A3:A15,'Janeiro 2023 - Valor Real'!C3:C15,0))+1)+((L260-1)*(1-_xlfn.XLOOKUP(K260,'Janeiro 2023 - Valor Real'!A3:A15,'Janeiro 2023 - Valor Real'!C3:C15,0))+1))))))</f>
        <v>0.456730769230769</v>
      </c>
      <c r="AF260" s="197">
        <f>IF($K260=AF$3,ROUND(IF(OR($C260="W",$C260="1/2W",$C260="1/2L"),$P260-$O260,IF($C260="X",0,-$O260)),2),0)</f>
        <v>0</v>
      </c>
      <c r="AG260" s="198">
        <f>IF($K260=AG$3,ROUND(IF(OR($C260="W",$C260="1/2W",$C260="1/2L"),$P260-$O260,IF($C260="X",0,-$O260)),2),0)</f>
        <v>0</v>
      </c>
      <c r="AH260" s="198">
        <f>IF($K260=AH$3,ROUND(IF(OR($C260="W",$C260="1/2W",$C260="1/2L"),$P260-$O260,IF($C260="X",0,-$O260)),2),0)</f>
        <v>0</v>
      </c>
      <c r="AI260" s="198">
        <f>IF($K260=AI$3,ROUND(IF(OR($C260="W",$C260="1/2W",$C260="1/2L"),$P260-$O260,IF($C260="X",0,-$O260)),2),0)</f>
        <v>0</v>
      </c>
      <c r="AJ260" s="198">
        <f>IF($K260=AJ$3,ROUND(IF(OR($C260="W",$C260="1/2W",$C260="1/2L"),$P260-$O260,IF($C260="X",0,-$O260)),2),0)</f>
        <v>0</v>
      </c>
      <c r="AK260" s="198">
        <f>IF($K260=AK$3,ROUND(IF(OR($C260="W",$C260="1/2W",$C260="1/2L"),$P260-$O260,IF($C260="X",0,-$O260)),2),0)</f>
        <v>0</v>
      </c>
      <c r="AL260" s="198">
        <f>IF($K260=AL$3,ROUND(IF(OR($C260="W",$C260="1/2W",$C260="1/2L"),$P260-$O260,IF($C260="X",0,-$O260)),2),0)</f>
        <v>0</v>
      </c>
      <c r="AM260" s="198">
        <f>IF($K260=AM$3,ROUND(IF(OR($C260="W",$C260="1/2W",$C260="1/2L"),$P260-$O260,IF($C260="X",0,-$O260)),2),0)</f>
        <v>-16.34</v>
      </c>
      <c r="AN260" s="198">
        <f>IF($K260=AN$3,ROUND(IF(OR($C260="W",$C260="1/2W",$C260="1/2L"),$P260-$O260,IF($C260="X",0,-$O260)),2),0)</f>
        <v>0</v>
      </c>
      <c r="AO260" s="198">
        <f>IF($K260=AO$3,ROUND(IF(OR($C260="W",$C260="1/2W",$C260="1/2L"),$P260-$O260,IF($C260="X",0,-$O260)),2),0)</f>
        <v>0</v>
      </c>
      <c r="AP260" s="198">
        <f>IF($K260=AP$3,ROUND(IF(OR($C260="W",$C260="1/2W",$C260="1/2L"),$P260-$O260,IF($C260="X",0,-$O260)),2),0)</f>
        <v>0</v>
      </c>
      <c r="AQ260" s="198">
        <f>IF($K260=AQ$3,ROUND(IF(OR($C260="W",$C260="1/2W",$C260="1/2L"),$P260-$O260,IF($C260="X",0,-$O260)),2),0)</f>
        <v>0</v>
      </c>
      <c r="AR260" s="199">
        <f>IF($K260=AR$3,ROUND(IF(OR($C260="W",$C260="1/2W",$C260="1/2L"),$P260-$O260,IF($C260="X",0,-$O260)),2),0)</f>
        <v>0</v>
      </c>
      <c r="AS260" s="197">
        <f>IF(AND($B259=" ",$K260=AS$3),$O260,0)</f>
        <v>0</v>
      </c>
      <c r="AT260" s="198">
        <f>IF(AND($B259=" ",K260=AT$3),$O260,0)</f>
        <v>0</v>
      </c>
      <c r="AU260" s="198">
        <f>IF(AND($B259=" ",$K260=AU$3),$O260,0)</f>
        <v>0</v>
      </c>
      <c r="AV260" s="198">
        <f>IF(AND($B259=" ",$K260=AV$3),$O260,0)</f>
        <v>0</v>
      </c>
      <c r="AW260" s="198">
        <f>IF(AND($B259=" ",$K260=AW$3),$O260,0)</f>
        <v>0</v>
      </c>
      <c r="AX260" s="198">
        <f>IF(AND($B259=" ",$K260=AX$3),$O260,0)</f>
        <v>0</v>
      </c>
      <c r="AY260" s="200">
        <f>IF(AND($B259=" ",$K260=AY$3),$O260,0)</f>
        <v>0</v>
      </c>
      <c r="AZ260" s="201">
        <f>IF(AND($B259=" ",$K260=AZ$3),$O260,0)</f>
        <v>0</v>
      </c>
      <c r="BA260" s="201">
        <f>IF(AND($B259=" ",$K260=BA$3),$O260,0)</f>
        <v>0</v>
      </c>
      <c r="BB260" s="201">
        <f>IF(AND($B259=" ",$K260=BB$3),$O260,0)</f>
        <v>0</v>
      </c>
      <c r="BC260" s="202">
        <f>IF(AND($B259=" ",$K260=BC$3),$O260,0)</f>
        <v>0</v>
      </c>
      <c r="BD260" s="198">
        <f>IF(AND($B259=" ",$K260=BD$3),$O260,0)</f>
        <v>0</v>
      </c>
      <c r="BE260" s="199">
        <f>IF(AND($B259=" ",$K260=BE$3),$O260,0)</f>
        <v>0</v>
      </c>
      <c r="BF260" s="197">
        <f>IF($K260=BF$3,IF($C260="X",0,$O260),0)</f>
        <v>0</v>
      </c>
      <c r="BG260" s="198">
        <f>IF($K260=BG$3,IF($C260="X",0,$O260),0)</f>
        <v>0</v>
      </c>
      <c r="BH260" s="198">
        <f>IF($K260=BH$3,IF($C260="X",0,$O260),0)</f>
        <v>0</v>
      </c>
      <c r="BI260" s="198">
        <f>IF($K260=BI$3,IF($C260="X",0,$O260),0)</f>
        <v>0</v>
      </c>
      <c r="BJ260" s="198">
        <f>IF($K260=BJ$3,IF($C260="X",0,$O260),0)</f>
        <v>0</v>
      </c>
      <c r="BK260" s="198">
        <f>IF($K260=BK$3,IF($C260="X",0,$O260),0)</f>
        <v>0</v>
      </c>
      <c r="BL260" s="198">
        <f>IF($K260=BL$3,IF($C260="X",0,$O260),0)</f>
        <v>0</v>
      </c>
      <c r="BM260" s="227">
        <f>IF($K260=BM$3,IF($C260="X",0,$O260),0)</f>
        <v>16.34</v>
      </c>
      <c r="BN260" s="205">
        <f>IF($K260=BN$3,IF($C260="X",0,$O260),0)</f>
        <v>0</v>
      </c>
      <c r="BO260" s="205">
        <f>IF($K260=BO$3,IF($C260="X",0,$O260),0)</f>
        <v>0</v>
      </c>
      <c r="BP260" s="205">
        <f>IF($K260=BP$3,IF($C260="X",0,$O260),0)</f>
        <v>0</v>
      </c>
      <c r="BQ260" s="202">
        <f>IF($K260=BQ$3,IF($C260="X",0,$O260),0)</f>
        <v>0</v>
      </c>
      <c r="BR260" s="199">
        <f>IF($K260=BR$3,IF($C260="X",0,$O260),0)</f>
        <v>0</v>
      </c>
      <c r="BS260" s="228"/>
      <c r="BT260" s="229"/>
      <c r="BU260" s="140"/>
      <c r="BV260" s="229"/>
      <c r="BW260" s="140"/>
      <c r="BX260" s="140"/>
      <c r="BY260" s="140"/>
      <c r="BZ260" s="229"/>
      <c r="CA260" s="140"/>
      <c r="CB260" s="140"/>
      <c r="CC260" s="140"/>
      <c r="CD260" s="141"/>
      <c r="CE260" s="142"/>
      <c r="CF260" s="230">
        <f>IF(CF$3=$K260,IF($C260="W",1,IF($C260="1/2W",0.5,0)),0)</f>
        <v>0</v>
      </c>
      <c r="CG260" s="231">
        <f>IF(CF$3=$K260,IF($C260="L",1,IF($C260="1/2L",0.5,0)),0)</f>
        <v>0</v>
      </c>
      <c r="CH260" s="231">
        <f>IF(CH$3=$K260,IF($C260="W",1,IF($C260="1/2W",0.5,0)),0)</f>
        <v>0</v>
      </c>
      <c r="CI260" s="231">
        <f>IF(CH$3=$K260,IF($C260="L",1,IF($C260="1/2L",0.5,0)),0)</f>
        <v>0</v>
      </c>
      <c r="CJ260" s="231">
        <f>IF(CJ$3=$K260,IF($C260="W",1,IF($C260="1/2W",0.5,0)),0)</f>
        <v>0</v>
      </c>
      <c r="CK260" s="231">
        <f>IF(CJ$3=$K260,IF($C260="L",1,IF($C260="1/2L",0.5,0)),0)</f>
        <v>0</v>
      </c>
      <c r="CL260" s="231">
        <f>IF(CL$3=$K260,IF($C260="W",1,IF($C260="1/2W",0.5,0)),0)</f>
        <v>0</v>
      </c>
      <c r="CM260" s="231">
        <f>IF(CL$3=$K260,IF($C260="L",1,IF($C260="1/2L",0.5,0)),0)</f>
        <v>0</v>
      </c>
      <c r="CN260" s="231">
        <f>IF(CN$3=$K260,IF($C260="W",1,IF($C260="1/2W",0.5,0)),0)</f>
        <v>0</v>
      </c>
      <c r="CO260" s="231">
        <f>IF(CN$3=$K260,IF($C260="L",1,IF($C260="1/2L",0.5,0)),0)</f>
        <v>0</v>
      </c>
      <c r="CP260" s="231">
        <f>IF(CP$3=$K260,IF($C260="W",1,IF($C260="1/2W",0.5,0)),0)</f>
        <v>0</v>
      </c>
      <c r="CQ260" s="231">
        <f>IF(CP$3=$K260,IF($C260="L",1,IF($C260="1/2L",0.5,0)),0)</f>
        <v>0</v>
      </c>
      <c r="CR260" s="231">
        <f>IF(CR$3=$K260,IF($C260="W",1,IF($C260="1/2W",0.5,0)),0)</f>
        <v>0</v>
      </c>
      <c r="CS260" s="231">
        <f>IF(CR$3=$K260,IF($C260="L",1,IF($C260="1/2L",0.5,0)),0)</f>
        <v>0</v>
      </c>
      <c r="CT260" s="208">
        <f>IF(CT$3=$K260,IF($C260="W",1,IF($C260="1/2W",0.5,0)),0)</f>
        <v>0</v>
      </c>
      <c r="CU260" s="209">
        <f>IF(CT$3=$K260,IF($C260="L",1,IF($C260="1/2L",0.5,0)),0)</f>
        <v>1</v>
      </c>
      <c r="CV260" s="209">
        <f>IF(CV$3=$K260,IF($C260="W",1,IF($C260="1/2W",0.5,0)),0)</f>
        <v>0</v>
      </c>
      <c r="CW260" s="209">
        <f>IF(CV$3=$K260,IF($C260="L",1,IF($C260="1/2L",0.5,0)),0)</f>
        <v>0</v>
      </c>
      <c r="CX260" s="209">
        <f>IF(CX$3=$K260,IF($C260="W",1,IF($C260="1/2W",0.5,0)),0)</f>
        <v>0</v>
      </c>
      <c r="CY260" s="209">
        <f>IF(CX$3=$K260,IF($C260="L",1,IF($C260="1/2L",0.5,0)),0)</f>
        <v>0</v>
      </c>
      <c r="CZ260" s="209">
        <f>IF(CZ$3=$K260,IF($C260="W",1,IF($C260="1/2W",0.5,0)),0)</f>
        <v>0</v>
      </c>
      <c r="DA260" s="209">
        <f>IF(CZ$3=$K260,IF($C260="L",1,IF($C260="1/2L",0.5,0)),0)</f>
        <v>0</v>
      </c>
      <c r="DB260" s="209">
        <f>IF(DB$3=$K260,IF($C260="W",1,IF($C260="1/2W",0.5,0)),0)</f>
        <v>0</v>
      </c>
      <c r="DC260" s="209">
        <f>IF(DB$3=$K260,IF($C260="L",1,IF($C260="1/2L",0.5,0)),0)</f>
        <v>0</v>
      </c>
      <c r="DD260" s="209">
        <f>IF(DD$3=$K260,IF($C260="W",1,IF($C260="1/2W",0.5,0)),0)</f>
        <v>0</v>
      </c>
      <c r="DE260" s="210">
        <f>IF(DD$3=$K260,IF($C260="L",1,IF($C260="1/2L",0.5,0)),0)</f>
        <v>0</v>
      </c>
      <c r="DF260" s="211">
        <f>IF(AND(L260&lt;DF$3,$C260="W"),1+DF259,DF259)</f>
        <v>9</v>
      </c>
      <c r="DG260" s="198">
        <f>IF(DF260&gt;DF259,L260+DG259,DG259)</f>
        <v>11.898</v>
      </c>
      <c r="DH260" s="209">
        <f>IF(AND(L260&gt;DH$3,$C260="W"),1+DH259,0+DH259)</f>
        <v>6</v>
      </c>
      <c r="DI260" s="198">
        <f>IF(DH260&gt;DH259,L260+DI259,DI259)</f>
        <v>30.83</v>
      </c>
      <c r="DJ260" t="s" s="306">
        <f>IF($D259="","",$D259)</f>
        <v>229</v>
      </c>
      <c r="DK260" s="232"/>
    </row>
    <row r="261" ht="14.55" customHeight="1">
      <c r="A261" s="149"/>
      <c r="B261" s="150"/>
      <c r="C261" t="s" s="313">
        <v>58</v>
      </c>
      <c r="D261" s="314"/>
      <c r="E261" s="315"/>
      <c r="F261" s="154"/>
      <c r="G261" s="311"/>
      <c r="H261" s="307"/>
      <c r="I261" s="316"/>
      <c r="J261" s="317"/>
      <c r="K261" s="318"/>
      <c r="L261" s="319"/>
      <c r="M261" s="320"/>
      <c r="N261" s="161"/>
      <c r="O261" t="s" s="240">
        <f>IF(OR(AE259="",AE260=""),"",IF(L261&gt;0,ROUND(IF(M261&gt;0,M261,IF(M259&gt;0,ROUND((M259*AE261)/AE259,IF(N259=0,2,IF(N259=0.1,1,0))),IF(M260&gt;0,ROUND((M260*AE261)/AE260,IF(N259=0,2,IF(N259=0.1,1,0))),IF(M261&gt;0,M261,0)))),2),""))</f>
      </c>
      <c r="P261" t="s" s="241">
        <f>IF(I260="Lay",O260*(L260/(L260-1))-O260,IF(I259="Lay",O259*(L259/(L259-1))-O259,IF(OR(L261="",O261=""),"",IF($C261="1/2W",O261/2+O261/2*L261,IF($C261="1/2L",O261/2,(O261*L261-O261)*(1-_xlfn.XLOOKUP(K261,'Janeiro 2023 - Valor Real'!A3:A15,'Janeiro 2023 - Valor Real'!C3:C15,0))+O261)))))</f>
      </c>
      <c r="Q261" t="s" s="242">
        <f>IF(K261="","",IF(_xlfn.XLOOKUP(K261,K$99:K117,DJ$99:DJ117,0,,-1)=DJ261,_xlfn.XLOOKUP(K261,K$99:K117,Q$99:Q117,1,,-1)+1,1))</f>
      </c>
      <c r="R261" t="s" s="243">
        <f>IF(K261="","",_xlfn.XLOOKUP(K261,K$99:K117,R$99:R117,0,,-1)+IF($C261=" ",1,0))</f>
      </c>
      <c r="S261" s="166"/>
      <c r="T261" s="155"/>
      <c r="U261" s="155"/>
      <c r="V261" s="166"/>
      <c r="W261" s="155"/>
      <c r="X261" s="167"/>
      <c r="Y261" s="128"/>
      <c r="Z261" s="129"/>
      <c r="AA261" s="129"/>
      <c r="AB261" s="129"/>
      <c r="AC261" s="129"/>
      <c r="AD261" s="244">
        <f>((L260/(L260-1)-1))</f>
        <v>0.7936507936507941</v>
      </c>
      <c r="AE261" t="s" s="245">
        <f>IF(L261="","",(SUM(((L259-1)*(1-_xlfn.XLOOKUP(K259,'Janeiro 2023 - Valor Real'!A3:A15,'Janeiro 2023 - Valor Real'!C3:C15,0))+1),((L260-1)*(1-_xlfn.XLOOKUP(K260,'Janeiro 2023 - Valor Real'!A3:A15,'Janeiro 2023 - Valor Real'!C3:C15,0))+1),((L261-1)*(1-_xlfn.XLOOKUP(K261,'Janeiro 2023 - Valor Real'!A3:A15,'Janeiro 2023 - Valor Real'!C3:C15,0))+1))/((L261-1)*(1-_xlfn.XLOOKUP(K261,'Janeiro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Real'!C3:C15,0))+1))/((L259-1)*(1-_xlfn.XLOOKUP(K259,'Janeiro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Real'!C3:C15,0))+1))/((L260-1)*(1-_xlfn.XLOOKUP(K260,'Janeiro 2023 - Valor Real'!A3:A15,'Janeiro 2023 - Valor Real'!C3:C15,0))+1)+SUM(((L259-1)*(1-_xlfn.XLOOKUP(K259,'Janeiro 2023 - Valor Real'!A3:A15,'Janeiro 2023 - Valor Real'!C3:C15,0))+1),((L260-1)*(1-_xlfn.XLOOKUP(K260,'Janeiro 2023 - Valor Real'!A3:A15,'Janeiro 2023 - Valor Real'!C3:C15,0))+1),((L261-1)*(1-_xlfn.XLOOKUP(K261,'Janeiro 2023 - Valor Real'!A3:A15,'Janeiro 2023 - Valor Real'!C3:C15,0))+1))/((L261-1)*(1-_xlfn.XLOOKUP(K261,'Janeiro 2023 - Valor Real'!A3:A15,'Janeiro 2023 - Valor Real'!C3:C15,0))+1)))</f>
      </c>
      <c r="AF261" s="197">
        <f>IF($K261=AF$3,ROUND(IF(OR($C261="W",$C261="1/2W",$C261="1/2L"),$P261-$O261,IF($C261="X",0,-$O261)),2),0)</f>
        <v>0</v>
      </c>
      <c r="AG261" s="198">
        <f>IF($K261=AG$3,ROUND(IF(OR($C261="W",$C261="1/2W",$C261="1/2L"),$P261-$O261,IF($C261="X",0,-$O261)),2),0)</f>
        <v>0</v>
      </c>
      <c r="AH261" s="198">
        <f>IF($K261=AH$3,ROUND(IF(OR($C261="W",$C261="1/2W",$C261="1/2L"),$P261-$O261,IF($C261="X",0,-$O261)),2),0)</f>
        <v>0</v>
      </c>
      <c r="AI261" s="198">
        <f>IF($K261=AI$3,ROUND(IF(OR($C261="W",$C261="1/2W",$C261="1/2L"),$P261-$O261,IF($C261="X",0,-$O261)),2),0)</f>
        <v>0</v>
      </c>
      <c r="AJ261" s="198">
        <f>IF($K261=AJ$3,ROUND(IF(OR($C261="W",$C261="1/2W",$C261="1/2L"),$P261-$O261,IF($C261="X",0,-$O261)),2),0)</f>
        <v>0</v>
      </c>
      <c r="AK261" s="198">
        <f>IF($K261=AK$3,ROUND(IF(OR($C261="W",$C261="1/2W",$C261="1/2L"),$P261-$O261,IF($C261="X",0,-$O261)),2),0)</f>
        <v>0</v>
      </c>
      <c r="AL261" s="198">
        <f>IF($K261=AL$3,ROUND(IF(OR($C261="W",$C261="1/2W",$C261="1/2L"),$P261-$O261,IF($C261="X",0,-$O261)),2),0)</f>
        <v>0</v>
      </c>
      <c r="AM261" s="198">
        <f>IF($K261=AM$3,ROUND(IF(OR($C261="W",$C261="1/2W",$C261="1/2L"),$P261-$O261,IF($C261="X",0,-$O261)),2),0)</f>
        <v>0</v>
      </c>
      <c r="AN261" s="198">
        <f>IF($K261=AN$3,ROUND(IF(OR($C261="W",$C261="1/2W",$C261="1/2L"),$P261-$O261,IF($C261="X",0,-$O261)),2),0)</f>
        <v>0</v>
      </c>
      <c r="AO261" s="198">
        <f>IF($K261=AO$3,ROUND(IF(OR($C261="W",$C261="1/2W",$C261="1/2L"),$P261-$O261,IF($C261="X",0,-$O261)),2),0)</f>
        <v>0</v>
      </c>
      <c r="AP261" s="198">
        <f>IF($K261=AP$3,ROUND(IF(OR($C261="W",$C261="1/2W",$C261="1/2L"),$P261-$O261,IF($C261="X",0,-$O261)),2),0)</f>
        <v>0</v>
      </c>
      <c r="AQ261" s="198">
        <f>IF($K261=AQ$3,ROUND(IF(OR($C261="W",$C261="1/2W",$C261="1/2L"),$P261-$O261,IF($C261="X",0,-$O261)),2),0)</f>
        <v>0</v>
      </c>
      <c r="AR261" s="199">
        <f>IF($K261=AR$3,ROUND(IF(OR($C261="W",$C261="1/2W",$C261="1/2L"),$P261-$O261,IF($C261="X",0,-$O261)),2),0)</f>
        <v>0</v>
      </c>
      <c r="AS261" s="197">
        <f>IF(AND($B259=" ",$K261=AS$3),$O261,0)</f>
        <v>0</v>
      </c>
      <c r="AT261" s="198">
        <f>IF(AND($B259=" ",K261=AT$3),$O261,0)</f>
        <v>0</v>
      </c>
      <c r="AU261" s="198">
        <f>IF(AND($B259=" ",$K261=AU$3),$O261,0)</f>
        <v>0</v>
      </c>
      <c r="AV261" s="198">
        <f>IF(AND($B259=" ",$K261=AV$3),$O261,0)</f>
        <v>0</v>
      </c>
      <c r="AW261" s="198">
        <f>IF(AND($B259=" ",$K261=AW$3),$O261,0)</f>
        <v>0</v>
      </c>
      <c r="AX261" s="198">
        <f>IF(AND($B259=" ",$K261=AX$3),$O261,0)</f>
        <v>0</v>
      </c>
      <c r="AY261" s="200">
        <f>IF(AND($B259=" ",$K261=AY$3),$O261,0)</f>
        <v>0</v>
      </c>
      <c r="AZ261" s="201">
        <f>IF(AND($B259=" ",$K261=AZ$3),$O261,0)</f>
        <v>0</v>
      </c>
      <c r="BA261" s="201">
        <f>IF(AND($B259=" ",$K261=BA$3),$O261,0)</f>
        <v>0</v>
      </c>
      <c r="BB261" s="201">
        <f>IF(AND($B259=" ",$K261=BB$3),$O261,0)</f>
        <v>0</v>
      </c>
      <c r="BC261" s="202">
        <f>IF(AND($B259=" ",$K261=BC$3),$O261,0)</f>
        <v>0</v>
      </c>
      <c r="BD261" s="198">
        <f>IF(AND($B259=" ",$K261=BD$3),$O261,0)</f>
        <v>0</v>
      </c>
      <c r="BE261" s="199">
        <f>IF(AND($B259=" ",$K261=BE$3),$O261,0)</f>
        <v>0</v>
      </c>
      <c r="BF261" s="197">
        <f>IF($K261=BF$3,IF($C261="X",0,$O261),0)</f>
        <v>0</v>
      </c>
      <c r="BG261" s="198">
        <f>IF($K261=BG$3,IF($C261="X",0,$O261),0)</f>
        <v>0</v>
      </c>
      <c r="BH261" s="198">
        <f>IF($K261=BH$3,IF($C261="X",0,$O261),0)</f>
        <v>0</v>
      </c>
      <c r="BI261" s="198">
        <f>IF($K261=BI$3,IF($C261="X",0,$O261),0)</f>
        <v>0</v>
      </c>
      <c r="BJ261" s="198">
        <f>IF($K261=BJ$3,IF($C261="X",0,$O261),0)</f>
        <v>0</v>
      </c>
      <c r="BK261" s="198">
        <f>IF($K261=BK$3,IF($C261="X",0,$O261),0)</f>
        <v>0</v>
      </c>
      <c r="BL261" s="198">
        <f>IF($K261=BL$3,IF($C261="X",0,$O261),0)</f>
        <v>0</v>
      </c>
      <c r="BM261" s="200">
        <f>IF($K261=BM$3,IF($C261="X",0,$O261),0)</f>
        <v>0</v>
      </c>
      <c r="BN261" s="201">
        <f>IF($K261=BN$3,IF($C261="X",0,$O261),0)</f>
        <v>0</v>
      </c>
      <c r="BO261" s="201">
        <f>IF($K261=BO$3,IF($C261="X",0,$O261),0)</f>
        <v>0</v>
      </c>
      <c r="BP261" s="201">
        <f>IF($K261=BP$3,IF($C261="X",0,$O261),0)</f>
        <v>0</v>
      </c>
      <c r="BQ261" s="202">
        <f>IF($K261=BQ$3,IF($C261="X",0,$O261),0)</f>
        <v>0</v>
      </c>
      <c r="BR261" s="199">
        <f>IF($K261=BR$3,IF($C261="X",0,$O261),0)</f>
        <v>0</v>
      </c>
      <c r="BS261" s="228"/>
      <c r="BT261" s="229"/>
      <c r="BU261" s="140"/>
      <c r="BV261" s="229"/>
      <c r="BW261" s="140"/>
      <c r="BX261" s="140"/>
      <c r="BY261" s="140"/>
      <c r="BZ261" s="229"/>
      <c r="CA261" s="140"/>
      <c r="CB261" s="140"/>
      <c r="CC261" s="140"/>
      <c r="CD261" s="141"/>
      <c r="CE261" s="142"/>
      <c r="CF261" s="230">
        <f>IF(CF$3=$K261,IF($C261="W",1,IF($C261="1/2W",0.5,0)),0)</f>
        <v>0</v>
      </c>
      <c r="CG261" s="231">
        <f>IF(CF$3=$K261,IF($C261="L",1,IF($C261="1/2L",0.5,0)),0)</f>
        <v>0</v>
      </c>
      <c r="CH261" s="231">
        <f>IF(CH$3=$K261,IF($C261="W",1,IF($C261="1/2W",0.5,0)),0)</f>
        <v>0</v>
      </c>
      <c r="CI261" s="231">
        <f>IF(CH$3=$K261,IF($C261="L",1,IF($C261="1/2L",0.5,0)),0)</f>
        <v>0</v>
      </c>
      <c r="CJ261" s="231">
        <f>IF(CJ$3=$K261,IF($C261="W",1,IF($C261="1/2W",0.5,0)),0)</f>
        <v>0</v>
      </c>
      <c r="CK261" s="231">
        <f>IF(CJ$3=$K261,IF($C261="L",1,IF($C261="1/2L",0.5,0)),0)</f>
        <v>0</v>
      </c>
      <c r="CL261" s="231">
        <f>IF(CL$3=$K261,IF($C261="W",1,IF($C261="1/2W",0.5,0)),0)</f>
        <v>0</v>
      </c>
      <c r="CM261" s="231">
        <f>IF(CL$3=$K261,IF($C261="L",1,IF($C261="1/2L",0.5,0)),0)</f>
        <v>0</v>
      </c>
      <c r="CN261" s="231">
        <f>IF(CN$3=$K261,IF($C261="W",1,IF($C261="1/2W",0.5,0)),0)</f>
        <v>0</v>
      </c>
      <c r="CO261" s="231">
        <f>IF(CN$3=$K261,IF($C261="L",1,IF($C261="1/2L",0.5,0)),0)</f>
        <v>0</v>
      </c>
      <c r="CP261" s="231">
        <f>IF(CP$3=$K261,IF($C261="W",1,IF($C261="1/2W",0.5,0)),0)</f>
        <v>0</v>
      </c>
      <c r="CQ261" s="231">
        <f>IF(CP$3=$K261,IF($C261="L",1,IF($C261="1/2L",0.5,0)),0)</f>
        <v>0</v>
      </c>
      <c r="CR261" s="231">
        <f>IF(CR$3=$K261,IF($C261="W",1,IF($C261="1/2W",0.5,0)),0)</f>
        <v>0</v>
      </c>
      <c r="CS261" s="231">
        <f>IF(CR$3=$K261,IF($C261="L",1,IF($C261="1/2L",0.5,0)),0)</f>
        <v>0</v>
      </c>
      <c r="CT261" s="208">
        <f>IF(CT$3=$K261,IF($C261="W",1,IF($C261="1/2W",0.5,0)),0)</f>
        <v>0</v>
      </c>
      <c r="CU261" s="209">
        <f>IF(CT$3=$K261,IF($C261="L",1,IF($C261="1/2L",0.5,0)),0)</f>
        <v>0</v>
      </c>
      <c r="CV261" s="209">
        <f>IF(CV$3=$K261,IF($C261="W",1,IF($C261="1/2W",0.5,0)),0)</f>
        <v>0</v>
      </c>
      <c r="CW261" s="209">
        <f>IF(CV$3=$K261,IF($C261="L",1,IF($C261="1/2L",0.5,0)),0)</f>
        <v>0</v>
      </c>
      <c r="CX261" s="209">
        <f>IF(CX$3=$K261,IF($C261="W",1,IF($C261="1/2W",0.5,0)),0)</f>
        <v>0</v>
      </c>
      <c r="CY261" s="209">
        <f>IF(CX$3=$K261,IF($C261="L",1,IF($C261="1/2L",0.5,0)),0)</f>
        <v>0</v>
      </c>
      <c r="CZ261" s="209">
        <f>IF(CZ$3=$K261,IF($C261="W",1,IF($C261="1/2W",0.5,0)),0)</f>
        <v>0</v>
      </c>
      <c r="DA261" s="209">
        <f>IF(CZ$3=$K261,IF($C261="L",1,IF($C261="1/2L",0.5,0)),0)</f>
        <v>0</v>
      </c>
      <c r="DB261" s="209">
        <f>IF(DB$3=$K261,IF($C261="W",1,IF($C261="1/2W",0.5,0)),0)</f>
        <v>0</v>
      </c>
      <c r="DC261" s="209">
        <f>IF(DB$3=$K261,IF($C261="L",1,IF($C261="1/2L",0.5,0)),0)</f>
        <v>0</v>
      </c>
      <c r="DD261" s="209">
        <f>IF(DD$3=$K261,IF($C261="W",1,IF($C261="1/2W",0.5,0)),0)</f>
        <v>0</v>
      </c>
      <c r="DE261" s="210">
        <f>IF(DD$3=$K261,IF($C261="L",1,IF($C261="1/2L",0.5,0)),0)</f>
        <v>0</v>
      </c>
      <c r="DF261" s="211">
        <f>IF(AND(L261&lt;DF$3,$C261="W"),1+DF260,DF260)</f>
        <v>9</v>
      </c>
      <c r="DG261" s="198">
        <f>IF(DF261&gt;DF260,L261+DG260,DG260)</f>
        <v>11.898</v>
      </c>
      <c r="DH261" s="209">
        <f>IF(AND(L261&gt;DH$3,$C261="W"),1+DH260,0+DH260)</f>
        <v>6</v>
      </c>
      <c r="DI261" s="198">
        <f>IF(DH261&gt;DH260,L261+DI260,DI260)</f>
        <v>30.83</v>
      </c>
      <c r="DJ261" t="s" s="306">
        <f>IF($D259="","",$D259)</f>
        <v>229</v>
      </c>
      <c r="DK261" s="232"/>
    </row>
    <row r="262" ht="14.55" customHeight="1">
      <c r="A262" s="246">
        <f>$A259+1</f>
        <v>87</v>
      </c>
      <c r="B262" t="s" s="247">
        <f>IF(AND(_xlfn.XLOOKUP(H262,H$100:H107,G$100:G107,0)=G262,_xlfn.XLOOKUP("TempoBet",K262:K264,L262:L264,0)&gt;0),"X",IF(OR(C262="W",C263="W",C264="W",C262="1/2W",C263="1/2W",C264="1/2W",C262="1/2L",C263="1/2L",C264="1/2L"),"OK",IF(OR(C262="L",C263="L",C264="L"),"LOSS",IF(OR(C262="X",C263="X",C264="X"),"Anulado"," "))))</f>
        <v>50</v>
      </c>
      <c r="C262" t="s" s="321">
        <v>56</v>
      </c>
      <c r="D262" t="s" s="322">
        <f>IF(G262="","",$D259)</f>
        <v>229</v>
      </c>
      <c r="E262" t="s" s="323">
        <v>135</v>
      </c>
      <c r="F262" t="s" s="251"/>
      <c r="G262" s="312">
        <v>44945.666666666664</v>
      </c>
      <c r="H262" t="s" s="308">
        <v>249</v>
      </c>
      <c r="I262" t="s" s="329">
        <v>65</v>
      </c>
      <c r="J262" s="330">
        <v>2.5</v>
      </c>
      <c r="K262" t="s" s="326">
        <v>38</v>
      </c>
      <c r="L262" s="327">
        <v>1.18</v>
      </c>
      <c r="M262" s="328"/>
      <c r="N262" s="259">
        <v>1</v>
      </c>
      <c r="O262" s="260">
        <f>IF(OR(AE262="",AE263=""),"",ROUND(IF(L264&gt;0,IF(M262&gt;0,M262,IF(M263&gt;0,ROUND((M263*AE262)/AE263,IF(N262=0,2,IF(N262=0.1,1,0))),ROUND((M264*AE262)/AE264,IF(N262=0,2,IF(N262=0.1,1,0))))),IF(M262&gt;0,M262,ROUND((M263*AE262)/AE263,IF(N262=0,2,IF(N262=0.1,1,0))))),2))</f>
        <v>17</v>
      </c>
      <c r="P262" s="261">
        <f>IF(OR(L262="",O262=""),"",IF($C262="1/2W",O262/2+O262/2*L262,IF($C262="1/2L",O262/2,IF(I262="Lay",(O262*(L262/(L262-1))-O262)*(1-_xlfn.XLOOKUP(K262,'Janeiro 2023 - Valor Real'!A3:A15,'Janeiro 2023 - Valor Real'!C3:C15,0))+O262,(O262*L262-O262)*(1-_xlfn.XLOOKUP(K262,'Janeiro 2023 - Valor Real'!A3:A15,'Janeiro 2023 - Valor Real'!C3:C15,0))+O262))))</f>
        <v>20.06</v>
      </c>
      <c r="Q262" s="262">
        <f>IF(K262="","",IF(_xlfn.XLOOKUP(K262,K$100:K107,DJ$100:DJ107,0,,-1)=DJ262,_xlfn.XLOOKUP(K262,K$100:K107,Q$100:Q107,1,,-1)+1,1))</f>
        <v>1</v>
      </c>
      <c r="R262" s="263">
        <f>IF(K262="","",_xlfn.XLOOKUP(K262,K$100:K107,R$100:R107,0,,-1)+IF($C262=" ",1,0))</f>
        <v>0</v>
      </c>
      <c r="S262" s="264">
        <f>IF($B262="Anulado",0,ROUND(IF(OR($B262="LOSS",$B262="OK"),IF(OR($C262="W",$C262="1/2W",$C262="1/2L"),P262-O262,IF($C262="L",-O262,0))+IF(OR($C263="W",$C263="1/2W",$C263="1/2L"),P263-O263,IF($C263="L",-O263,0))+IF(OR($C264="W",$C264="1/2W",$C264="1/2L"),P264-O264,IF($C264="L",-O264,0)),IF(AND(OR($C262="W",$C262="1/2W",$C262="1/2L"),C263="W"),P262+P263-SUM(O262:O264)+_xlfn.XLOOKUP("X",C262:C264,O262:O264,0),IF(AND(C262=TRUE,C264="W"),P262+P264-SUM(O262:O264),IF(AND(C263="W",C264="W"),P263+P264-SUM(O262:O264)+_xlfn.XLOOKUP("X",C262:C264,O262:O264,0),IF(L264&gt;0,IF(OR($C262="W",$C262="1/2W",$C262="1/2L"),P262-SUM(O262:O264)+_xlfn.XLOOKUP("X",C262:C264,O262:O264,0),IF(OR($C262="W",$C262="1/2W",$C262="1/2L"),P263-SUM(O262:O264)+_xlfn.XLOOKUP("X",C262:C264,O262:O264,0),IF(OR($C262="W",$C262="1/2W",$C262="1/2L"),P264-SUM(O262:O264)+_xlfn.XLOOKUP("X",C262:C264,O262:O264,0),IF(SUM(P262:P264)/3-SUM(O262:O264)+_xlfn.XLOOKUP("X",C262:C264,O262:O264,0)&gt;0,SUM(P262:P264)/3-SUM(O262:O264)+_xlfn.XLOOKUP("X",C262:C264,O262:O264,0),LARGE(P262:P264,1)-SUM(O262:O264))))),IF(OR($C262="W",$C262="1/2W",$C262="1/2L"),P262-SUM(O262:O263)+_xlfn.XLOOKUP("X",C262:C264,O262:O264,0),IF(OR($C262="W",$C262="1/2W",$C262="1/2L"),P263-SUM(O262:O263)+_xlfn.XLOOKUP("X",C262:C264,O262:O264,0),SUM(P262:P263)/2-SUM(O262:O263)+_xlfn.XLOOKUP("X",C262:C264,O262:O264,0)))))))),2))</f>
        <v>0.87</v>
      </c>
      <c r="T262" s="265">
        <f>IF(S262=0,0,S262/SUM(O262:O264))</f>
        <v>0.0453361125586243</v>
      </c>
      <c r="U262" s="266">
        <f>IF($D262=$D259,IF(OR($B262="LOSS",$B262="OK",$B262="Anulada"),S262,0)+U259,IF(OR($B262="LOSS",$B262="OK",$B262="Anulada"),S262,0))</f>
        <v>15.41</v>
      </c>
      <c r="V262" s="266">
        <f>IF($D262="",0,IF($D262=$D259,IF($B262=" ",IF(I264="",IF(OR(AND(I262="DNB1",I263="DNB2"),AND(OR(I262="DNB1",I262="DNB2"),J263=0),AND(OR(I263="DNB1",I263="DNB2"),J262=0),AND(I262="DNB2",I263="DNB1"),AND(IF(J262=0,(J262+1)/ROUND(J262+1,0),J262/ROUND(J262,0))=1,IF(J263=0,(J263+1)/ROUND(IF(J263="",0,J263)+1,0),IF(J263="",0,J263)/ROUND(IF(J263="",1,J263),0))=1,OR(J262&lt;&gt;""),J263&lt;&gt;"")),0,IF(S262&lt;0,IF(I264="",SMALL(P262:P263,1)-SUM(O262:O263),0),SMALL(P262:P263,1)-SUM(O262:O263))),IF(S262&lt;0,IF(I264="",SMALL(P262:P264,1)-SUM(O262:O264),0),LARGE(P262:P264,1)-SUM(O262:O264))),S262)+V259,IF(I264="",IF(OR(AND(I262="DNB1",I263="DNB2"),AND(OR(I262="DNB1",I262="DNB2"),J263=0),AND(OR(I263="DNB1",I263="DNB2"),J262=0),AND(I262="DNB2",I263="DNB1"),AND(IF(J262=0,(J262+1)/ROUND(J262+1,0),J262/ROUND(J262,0))=1,IF(J263=0,(IF(J263="",0,J263)+1)/ROUND(IF(J263="",0,J263)+1,0),IF(J263="",0,J263)/ROUND(IF(J263="",0,J263)+1,0))=1,OR(J262&lt;&gt;""),J263&lt;&gt;"")),0,IF(S262&lt;0,IF(I264="",SMALL(P262:P263,1)-SUM(O262:O263),0),SMALL(P262:P264,1)-SUM(O262:O264))),IF(S262&lt;0,IF(I264="",SMALL(P262:P264,1)-SUM(O262:O264),0),LARGE(P262:P264,1)-SUM(O262:O264)))))</f>
        <v>15.406</v>
      </c>
      <c r="W262" s="266">
        <f>IF($D262=$D259,IF(S262&lt;0,IF(I264="",S262,0),S262)+W259,S262)</f>
        <v>15.41</v>
      </c>
      <c r="X262" t="s" s="267">
        <f>IF(OR(SUM(R262:R264)=0,V262=W262),ROUND(IF(W262=0,0,W262/Y262)*100,2)&amp;"%",ROUND(IF(V262=0,0,V262/Y262)*100,2)&amp;"% a "&amp;ROUND(IF(W262=0,0,W262/Y262)*100,2)&amp;"%")</f>
        <v>250</v>
      </c>
      <c r="Y262" s="268">
        <f>IF($D262=$D259,Y259+SUM(O262:O264),SUM(O262:O264))</f>
        <v>448.37</v>
      </c>
      <c r="Z262" s="266">
        <f>IF($B262=" ",SUM(O262:O264),0)+Z259</f>
        <v>0</v>
      </c>
      <c r="AA262" s="266">
        <f>IF(G262="","",IF($B262="Anulado",LARGE(P262:P264,1)-SUM(O262:O264)+AA259,AA259))</f>
        <v>16.5099</v>
      </c>
      <c r="AB262" s="266">
        <f>IF($D262="","",AB259+S262)</f>
        <v>217.58</v>
      </c>
      <c r="AC262" s="269">
        <f>IF($D262="","",IF($B262=" ",IF(DAY(G262)=DAY(TODAY()),1+AC259,0+AC259),0+AC259))</f>
        <v>0</v>
      </c>
      <c r="AD262" s="270">
        <f>(1-_xlfn.XLOOKUP(K260,'Janeiro 2023 - Valor Real'!A3:A15,'Janeiro 2023 - Valor Real'!C3:C15,0))+1</f>
        <v>2</v>
      </c>
      <c r="AE262" s="271">
        <f>IF(L262="","",IF(L264&gt;0,(SUM(((L262-1)*(1-_xlfn.XLOOKUP(K262,'Janeiro 2023 - Valor Real'!A3:A15,'Janeiro 2023 - Valor Real'!C3:C15,0))+1),((L263-1)*(1-_xlfn.XLOOKUP(K263,'Janeiro 2023 - Valor Real'!A3:A15,'Janeiro 2023 - Valor Real'!C3:C15,0))+1),((L264-1)*(1-_xlfn.XLOOKUP(K264,'Janeiro 2023 - Valor Real'!A3:A15,'Janeiro 2023 - Valor Real'!C3:C15,0))+1))/((L262-1)*(1-_xlfn.XLOOKUP(K262,'Janeiro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Real'!C3:C15,0))+1))/((L262-1)*(1-_xlfn.XLOOKUP(K262,'Janeiro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Real'!C3:C15,0))+1))/((L263-1)*(1-_xlfn.XLOOKUP(K263,'Janeiro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Real'!C3:C15,0))+1))/((L264-1)*(1-_xlfn.XLOOKUP(K264,'Janeiro 2023 - Valor Real'!A3:A15,'Janeiro 2023 - Valor Real'!C3:C15,0))+1)),IF(I262="Lay",IF(I263="Lay",((L263/(L263-1)-1)*(1-_xlfn.XLOOKUP(K263,'Janeiro 2023 - Valor Real'!A3:A15,'Janeiro 2023 - Valor Real'!C3:C15,0))+1)/(((L263/(L263-1)-1)*(1-_xlfn.XLOOKUP(K263,'Janeiro 2023 - Valor Real'!A3:A15,'Janeiro 2023 - Valor Real'!C3:C15,0))+1)+((L262/(L262-1)-1)*(1-_xlfn.XLOOKUP(K262,'Janeiro 2023 - Valor Real'!A3:A15,'Janeiro 2023 - Valor Real'!C3:C15,0))+1)),((L263-1)*(1-_xlfn.XLOOKUP(K263,'Janeiro 2023 - Valor Real'!A3:A15,'Janeiro 2023 - Valor Real'!C3:C15,0))+1)/(((L263-1)*(1-_xlfn.XLOOKUP(K263,'Janeiro 2023 - Valor Real'!A3:A15,'Janeiro 2023 - Valor Real'!C3:C15,0))+1)+((L262/(L262-1)-1)*(1-_xlfn.XLOOKUP(K262,'Janeiro 2023 - Valor Real'!A3:A15,'Janeiro 2023 - Valor Real'!C3:C15,0))+1))),IF(I263="Lay",(((L263/(L263-1)-1)*(1-_xlfn.XLOOKUP(K263,'Janeiro 2023 - Valor Real'!A3:A15,'Janeiro 2023 - Valor Real'!C3:C15,0))+1))/(((L262-1)*(1-_xlfn.XLOOKUP(K262,'Janeiro 2023 - Valor Real'!A3:A15,'Janeiro 2023 - Valor Real'!C3:C15,0))+1)+((L263/(L263-1)-1)*(1-_xlfn.XLOOKUP(K263,'Janeiro 2023 - Valor Real'!A3:A15,'Janeiro 2023 - Valor Real'!C3:C15,0))+1)),((L263-1)*(1-_xlfn.XLOOKUP(K263,'Janeiro 2023 - Valor Real'!A3:A15,'Janeiro 2023 - Valor Real'!C3:C15,0))+1)/(((L263-1)*(1-_xlfn.XLOOKUP(K263,'Janeiro 2023 - Valor Real'!A3:A15,'Janeiro 2023 - Valor Real'!C3:C15,0))+1)+((L262-1)*(1-_xlfn.XLOOKUP(K262,'Janeiro 2023 - Valor Real'!A3:A15,'Janeiro 2023 - Valor Real'!C3:C15,0))+1))))))</f>
        <v>0.884086444007859</v>
      </c>
      <c r="AF262" s="132">
        <f>IF($K262=AF$3,ROUND(IF(OR($C262="W",$C262="1/2W",$C262="1/2L"),$P262-$O262,IF($C262="X",0,-$O262)),2),0)</f>
        <v>0</v>
      </c>
      <c r="AG262" s="133">
        <f>IF($K262=AG$3,ROUND(IF(OR($C262="W",$C262="1/2W",$C262="1/2L"),$P262-$O262,IF($C262="X",0,-$O262)),2),0)</f>
        <v>3.06</v>
      </c>
      <c r="AH262" s="133">
        <f>IF($K262=AH$3,ROUND(IF(OR($C262="W",$C262="1/2W",$C262="1/2L"),$P262-$O262,IF($C262="X",0,-$O262)),2),0)</f>
        <v>0</v>
      </c>
      <c r="AI262" s="133">
        <f>IF($K262=AI$3,ROUND(IF(OR($C262="W",$C262="1/2W",$C262="1/2L"),$P262-$O262,IF($C262="X",0,-$O262)),2),0)</f>
        <v>0</v>
      </c>
      <c r="AJ262" s="133">
        <f>IF($K262=AJ$3,ROUND(IF(OR($C262="W",$C262="1/2W",$C262="1/2L"),$P262-$O262,IF($C262="X",0,-$O262)),2),0)</f>
        <v>0</v>
      </c>
      <c r="AK262" s="133">
        <f>IF($K262=AK$3,ROUND(IF(OR($C262="W",$C262="1/2W",$C262="1/2L"),$P262-$O262,IF($C262="X",0,-$O262)),2),0)</f>
        <v>0</v>
      </c>
      <c r="AL262" s="133">
        <f>IF($K262=AL$3,ROUND(IF(OR($C262="W",$C262="1/2W",$C262="1/2L"),$P262-$O262,IF($C262="X",0,-$O262)),2),0)</f>
        <v>0</v>
      </c>
      <c r="AM262" s="133">
        <f>IF($K262=AM$3,ROUND(IF(OR($C262="W",$C262="1/2W",$C262="1/2L"),$P262-$O262,IF($C262="X",0,-$O262)),2),0)</f>
        <v>0</v>
      </c>
      <c r="AN262" s="133">
        <f>IF($K262=AN$3,ROUND(IF(OR($C262="W",$C262="1/2W",$C262="1/2L"),$P262-$O262,IF($C262="X",0,-$O262)),2),0)</f>
        <v>0</v>
      </c>
      <c r="AO262" s="133">
        <f>IF($K262=AO$3,ROUND(IF(OR($C262="W",$C262="1/2W",$C262="1/2L"),$P262-$O262,IF($C262="X",0,-$O262)),2),0)</f>
        <v>0</v>
      </c>
      <c r="AP262" s="133">
        <f>IF($K262=AP$3,ROUND(IF(OR($C262="W",$C262="1/2W",$C262="1/2L"),$P262-$O262,IF($C262="X",0,-$O262)),2),0)</f>
        <v>0</v>
      </c>
      <c r="AQ262" s="133">
        <f>IF($K262=AQ$3,ROUND(IF(OR($C262="W",$C262="1/2W",$C262="1/2L"),$P262-$O262,IF($C262="X",0,-$O262)),2),0)</f>
        <v>0</v>
      </c>
      <c r="AR262" s="134">
        <f>IF($K262=AR$3,ROUND(IF(OR($C262="W",$C262="1/2W",$C262="1/2L"),$P262-$O262,IF($C262="X",0,-$O262)),2),0)</f>
        <v>0</v>
      </c>
      <c r="AS262" s="132">
        <f>IF(AND($B262=" ",$K262=AS$3),$O262,0)</f>
        <v>0</v>
      </c>
      <c r="AT262" s="133">
        <f>IF(AND($B262=" ",$K262=AT$3),$O262,0)</f>
        <v>0</v>
      </c>
      <c r="AU262" s="133">
        <f>IF(AND($B262=" ",$K262=AU$3),$O262,0)</f>
        <v>0</v>
      </c>
      <c r="AV262" s="133">
        <f>IF(AND($B262=" ",$K262=AV$3),$O262,0)</f>
        <v>0</v>
      </c>
      <c r="AW262" s="133">
        <f>IF(AND($B262=" ",$K262=AW$3),$O262,0)</f>
        <v>0</v>
      </c>
      <c r="AX262" s="133">
        <f>IF(AND($B262=" ",$K262=AX$3),$O262,0)</f>
        <v>0</v>
      </c>
      <c r="AY262" s="135">
        <f>IF(AND($B262=" ",$K262=AY$3),$O262,0)</f>
        <v>0</v>
      </c>
      <c r="AZ262" s="136">
        <f>IF(AND($B262=" ",$K262=AZ$3),$O262,0)</f>
        <v>0</v>
      </c>
      <c r="BA262" s="136">
        <f>IF(AND($B262=" ",$K262=BA$3),$O262,0)</f>
        <v>0</v>
      </c>
      <c r="BB262" s="136">
        <f>IF(AND($B262=" ",$K262=BB$3),$O262,0)</f>
        <v>0</v>
      </c>
      <c r="BC262" s="137">
        <f>IF(AND($B262=" ",$K262=BC$3),$O262,0)</f>
        <v>0</v>
      </c>
      <c r="BD262" s="133">
        <f>IF(AND($B262=" ",$K262=BD$3),$O262,0)</f>
        <v>0</v>
      </c>
      <c r="BE262" s="134">
        <f>IF(AND($B262=" ",$K262=BE$3),$O262,0)</f>
        <v>0</v>
      </c>
      <c r="BF262" s="132">
        <f>IF($K262=BF$3,IF($C262="X",0,$O262),0)</f>
        <v>0</v>
      </c>
      <c r="BG262" s="133">
        <f>IF($K262=BG$3,IF($C262="X",0,$O262),0)</f>
        <v>17</v>
      </c>
      <c r="BH262" s="133">
        <f>IF($K262=BH$3,IF($C262="X",0,$O262),0)</f>
        <v>0</v>
      </c>
      <c r="BI262" s="133">
        <f>IF($K262=BI$3,IF($C262="X",0,$O262),0)</f>
        <v>0</v>
      </c>
      <c r="BJ262" s="133">
        <f>IF($K262=BJ$3,IF($C262="X",0,$O262),0)</f>
        <v>0</v>
      </c>
      <c r="BK262" s="133">
        <f>IF($K262=BK$3,IF($C262="X",0,$O262),0)</f>
        <v>0</v>
      </c>
      <c r="BL262" s="133">
        <f>IF($K262=BL$3,IF($C262="X",0,$O262),0)</f>
        <v>0</v>
      </c>
      <c r="BM262" s="135">
        <f>IF($K262=BM$3,IF($C262="X",0,$O262),0)</f>
        <v>0</v>
      </c>
      <c r="BN262" s="136">
        <f>IF($K262=BN$3,IF($C262="X",0,$O262),0)</f>
        <v>0</v>
      </c>
      <c r="BO262" s="136">
        <f>IF($K262=BO$3,IF($C262="X",0,$O262),0)</f>
        <v>0</v>
      </c>
      <c r="BP262" s="136">
        <f>IF($K262=BP$3,IF($C262="X",0,$O262),0)</f>
        <v>0</v>
      </c>
      <c r="BQ262" s="137">
        <f>IF($K262=BQ$3,IF($C262="X",0,$O262),0)</f>
        <v>0</v>
      </c>
      <c r="BR262" s="134">
        <f>IF($K262=BR$3,IF($C262="X",0,$O262),0)</f>
        <v>0</v>
      </c>
      <c r="BS262" s="170">
        <f>IF($B262="LOSS",IF(AND($K262=BS$3,$C262="L"),-$O262,0)+IF(AND($K263=BS$3,$C263="L"),-$O263,0)+IF(AND($K264=BS$3,$C264="L"),-$O264,0),IF(OR(AND($K262=BS$3,OR($C262="W",$C262="1/2W")),AND($K263=BS$3,OR($C263="W",$C263="1/2W")),AND($K264=BS$3,OR($C264="W",$C264="1/2W"))),$S262,0))</f>
        <v>0</v>
      </c>
      <c r="BT262" s="272">
        <f>IF($B262="LOSS",IF(AND($K262=BT$3,$C262="L"),-$O262,0)+IF(AND($K263=BT$3,$C263="L"),-$O263,0)+IF(AND($K263=BT$3,$C264="L"),-$O264,0),IF(OR(AND($K263=BT$3,OR($C262="W",$C262="1/2W")),AND($K263=BT$3,OR($C263="W",$C263="1/2W")),AND($K263=BT$3,OR($C264="W",$C264="1/2W"))),$S262,0))</f>
        <v>0</v>
      </c>
      <c r="BU262" s="136">
        <f>IF($B262="LOSS",IF(AND($K262=BU$3,$C262="L"),-$O262,0)+IF(AND($K263=BU$3,$C263="L"),-$O263,0)+IF(AND($K263=BU$3,$C264="L"),-$O264,0),IF(OR(AND($K263=BU$3,OR($C262="W",$C262="1/2W")),AND($K263=BU$3,OR($C263="W",$C263="1/2W")),AND($K263=BU$3,OR($C264="W",$C264="1/2W"))),$S262,0))</f>
        <v>0</v>
      </c>
      <c r="BV262" s="136">
        <f>IF($B262="LOSS",IF(AND($K262=BV$3,$C262="L"),-$O262,0)+IF(AND($K263=BV$3,$C263="L"),-$O263,0)+IF(AND($K264=BV$3,$C264="L"),-$O264,0),IF(OR(AND($K262=BV$3,OR($C262="W",$C262="1/2W")),AND($K263=BV$3,OR($C263="W",$C263="1/2W")),AND($K264=BV$3,OR($C264="W",$C264="1/2W"))),$S262,0))</f>
        <v>0</v>
      </c>
      <c r="BW262" s="136">
        <f>IF($B262="LOSS",IF(AND($K262=BW$3,$C262="L"),-$O262,0)+IF(AND($K263=BW$3,$C263="L"),-$O263,0)+IF(AND($K264=BW$3,$C264="L"),-$O264,0),IF(OR(AND($K262=BW$3,OR($C262="W",$C262="1/2W")),AND($K263=BW$3,OR($C263="W",$C263="1/2W")),AND($K264=BW$3,OR($C264="W",$C264="1/2W"))),$S262,0))</f>
        <v>0</v>
      </c>
      <c r="BX262" s="136">
        <f>IF($B262="LOSS",IF(AND($K262=BX$3,$C262="L"),-$O262,0)+IF(AND($K263=BX$3,$C263="L"),-$O263,0)+IF(AND($K264=BX$3,$C264="L"),-$O264,0),IF(OR(AND($K262=BX$3,OR($C262="W",$C262="1/2W")),AND($K263=BX$3,OR($C263="W",$C263="1/2W")),AND($K264=BX$3,OR($C264="W",$C264="1/2W"))),$S262,0))</f>
        <v>0</v>
      </c>
      <c r="BY262" s="136">
        <f>IF($B262="LOSS",IF(AND($K262=BY$3,$C262="L"),-$O262,0)+IF(AND($K263=BY$3,$C263="L"),-$O263,0)+IF(AND($K264=BY$3,$C264="L"),-$O264,0),IF(OR(AND($K262=BY$3,OR($C262="W",$C262="1/2W")),AND($K263=BY$3,OR($C263="W",$C263="1/2W")),AND($K264=BY$3,OR($C264="W",$C264="1/2W"))),$S262,0))</f>
        <v>0</v>
      </c>
      <c r="BZ262" s="136">
        <f>IF($B262="LOSS",IF(AND($K262=BZ$3,$C262="L"),-$O262,0)+IF(AND($K263=BZ$3,$C263="L"),-$O263,0)+IF(AND($K264=BZ$3,$C264="L"),-$O264,0),IF(OR(AND($K262=BZ$3,OR($C262="W",$C262="1/2W")),AND($K263=BZ$3,OR($C263="W",$C263="1/2W")),AND($K264=BZ$3,OR($C264="W",$C264="1/2W"))),$S262,0))</f>
        <v>0</v>
      </c>
      <c r="CA262" s="136">
        <f>IF($B262="LOSS",IF(AND($K262=CA$3,$C262="L"),-$O262,0)+IF(AND($K263=CA$3,$C263="L"),-$O263,0)+IF(AND($K264=CA$3,$C264="L"),-$O264,0),IF(OR(AND($K262=CA$3,OR($C262="W",$C262="1/2W")),AND($K263=CA$3,OR($C263="W",$C263="1/2W")),AND($K264=CA$3,OR($C264="W",$C264="1/2W"))),$S262,0))</f>
        <v>0</v>
      </c>
      <c r="CB262" s="136">
        <f>IF($B262="LOSS",IF(AND($K262=CB$3,$C262="L"),-$O262,0)+IF(AND($K263=CB$3,$C263="L"),-$O263,0)+IF(AND($K264=CB$3,$C264="L"),-$O264,0),IF(OR(AND($K262=CB$3,OR($C262="W",$C262="1/2W")),AND($K263=CB$3,OR($C263="W",$C263="1/2W")),AND($K264=CB$3,OR($C264="W",$C264="1/2W"))),$S262,0))</f>
        <v>0</v>
      </c>
      <c r="CC262" s="136">
        <f>IF($B262="LOSS",IF(AND($K262=CC$3,$C262="L"),-$O262,0)+IF(AND($K263=CC$3,$C263="L"),-$O263,0)+IF(AND($K264=CC$3,$C264="L"),-$O264,0),IF(OR(AND($K262=CC$3,OR($C262="W",$C262="1/2W")),AND($K263=CC$3,OR($C263="W",$C263="1/2W")),AND($K264=CC$3,OR($C264="W",$C264="1/2W"))),$S262,0))</f>
        <v>0</v>
      </c>
      <c r="CD262" s="137">
        <f>IF($B262="LOSS",IF(AND($K262=CD$3,$C262="L"),-$O262,0)+IF(AND($K263=CD$3,$C263="L"),-$O263,0)+IF(AND($K264=CD$3,$C264="L"),-$O264,0),IF(OR(AND($K262=CD$3,OR($C262="W",$C262="1/2W")),AND($K263=CD$3,OR($C263="W",$C263="1/2W")),AND($K264=CD$3,OR($C264="W",$C264="1/2W"))),$S262,0))</f>
        <v>0</v>
      </c>
      <c r="CE262" s="134">
        <f>IF($B262="LOSS",IF(AND($K262=CE$3,$C262="L"),-$O262,0)+IF(AND($K263=CE$3,$C263="L"),-$O263,0)+IF(AND($K264=CE$3,$C264="L"),-$O264,0),IF(OR(AND($K262=CE$3,OR($C262="W",$C262="1/2W")),AND($K263=CE$3,OR($C263="W",$C263="1/2W")),AND($K264=CE$3,OR($C264="W",$C264="1/2W"))),$S262,0))</f>
        <v>0</v>
      </c>
      <c r="CF262" s="273">
        <f>IF(CF$3=$K262,IF($C262="W",1,IF($C262="1/2W",0.5,0)),0)</f>
        <v>0</v>
      </c>
      <c r="CG262" s="274">
        <f>IF(CF$3=$K262,IF($C262="L",1,IF($C262="1/2L",0.5,0)),0)</f>
        <v>0</v>
      </c>
      <c r="CH262" s="274">
        <f>IF(CH$3=$K262,IF($C262="W",1,IF($C262="1/2W",0.5,0)),0)</f>
        <v>1</v>
      </c>
      <c r="CI262" s="274">
        <f>IF(CH$3=$K262,IF($C262="L",1,IF($C262="1/2L",0.5,0)),0)</f>
        <v>0</v>
      </c>
      <c r="CJ262" s="274">
        <f>IF(CJ$3=$K262,IF($C262="W",1,IF($C262="1/2W",0.5,0)),0)</f>
        <v>0</v>
      </c>
      <c r="CK262" s="274">
        <f>IF(CJ$3=$K262,IF($C262="L",1,IF($C262="1/2L",0.5,0)),0)</f>
        <v>0</v>
      </c>
      <c r="CL262" s="274">
        <f>IF(CL$3=$K262,IF($C262="W",1,IF($C262="1/2W",0.5,0)),0)</f>
        <v>0</v>
      </c>
      <c r="CM262" s="274">
        <f>IF(CL$3=$K262,IF($C262="L",1,IF($C262="1/2L",0.5,0)),0)</f>
        <v>0</v>
      </c>
      <c r="CN262" s="274">
        <f>IF(CN$3=$K262,IF($C262="W",1,IF($C262="1/2W",0.5,0)),0)</f>
        <v>0</v>
      </c>
      <c r="CO262" s="274">
        <f>IF(CN$3=$K262,IF($C262="L",1,IF($C262="1/2L",0.5,0)),0)</f>
        <v>0</v>
      </c>
      <c r="CP262" s="274">
        <f>IF(CP$3=$K262,IF($C262="W",1,IF($C262="1/2W",0.5,0)),0)</f>
        <v>0</v>
      </c>
      <c r="CQ262" s="274">
        <f>IF(CP$3=$K262,IF($C262="L",1,IF($C262="1/2L",0.5,0)),0)</f>
        <v>0</v>
      </c>
      <c r="CR262" s="274">
        <f>IF(CR$3=$K262,IF($C262="W",1,IF($C262="1/2W",0.5,0)),0)</f>
        <v>0</v>
      </c>
      <c r="CS262" s="274">
        <f>IF(CR$3=$K262,IF($C262="L",1,IF($C262="1/2L",0.5,0)),0)</f>
        <v>0</v>
      </c>
      <c r="CT262" s="145">
        <f>IF(CT$3=$K262,IF($C262="W",1,IF($C262="1/2W",0.5,0)),0)</f>
        <v>0</v>
      </c>
      <c r="CU262" s="146">
        <f>IF(CT$3=$K262,IF($C262="L",1,IF($C262="1/2L",0.5,0)),0)</f>
        <v>0</v>
      </c>
      <c r="CV262" s="146">
        <f>IF(CV$3=$K262,IF($C262="W",1,IF($C262="1/2W",0.5,0)),0)</f>
        <v>0</v>
      </c>
      <c r="CW262" s="146">
        <f>IF(CV$3=$K262,IF($C262="L",1,IF($C262="1/2L",0.5,0)),0)</f>
        <v>0</v>
      </c>
      <c r="CX262" s="146">
        <f>IF(CX$3=$K262,IF($C262="W",1,IF($C262="1/2W",0.5,0)),0)</f>
        <v>0</v>
      </c>
      <c r="CY262" s="146">
        <f>IF(CX$3=$K262,IF($C262="L",1,IF($C262="1/2L",0.5,0)),0)</f>
        <v>0</v>
      </c>
      <c r="CZ262" s="146">
        <f>IF(CZ$3=$K262,IF($C262="W",1,IF($C262="1/2W",0.5,0)),0)</f>
        <v>0</v>
      </c>
      <c r="DA262" s="146">
        <f>IF(CZ$3=$K262,IF($C262="L",1,IF($C262="1/2L",0.5,0)),0)</f>
        <v>0</v>
      </c>
      <c r="DB262" s="146">
        <f>IF(DB$3=$K262,IF($C262="W",1,IF($C262="1/2W",0.5,0)),0)</f>
        <v>0</v>
      </c>
      <c r="DC262" s="146">
        <f>IF(DB$3=$K262,IF($C262="L",1,IF($C262="1/2L",0.5,0)),0)</f>
        <v>0</v>
      </c>
      <c r="DD262" s="146">
        <f>IF(DD$3=$K262,IF($C262="W",1,IF($C262="1/2W",0.5,0)),0)</f>
        <v>0</v>
      </c>
      <c r="DE262" s="147">
        <f>IF(DD$3=$K262,IF($C262="L",1,IF($C262="1/2L",0.5,0)),0)</f>
        <v>0</v>
      </c>
      <c r="DF262" s="143">
        <f>IF(AND(L262&lt;DF$3,$C262="W"),1+DF261,DF261)</f>
        <v>10</v>
      </c>
      <c r="DG262" s="133">
        <f>IF(DF262&gt;DF261,L262+DG261,DG261)</f>
        <v>13.078</v>
      </c>
      <c r="DH262" s="146">
        <f>IF(AND(L262&gt;DH$3,$C262="W"),1+DH261,0+DH261)</f>
        <v>6</v>
      </c>
      <c r="DI262" s="133">
        <f>IF(DH262&gt;DH261,L262+DI261,DI261)</f>
        <v>30.83</v>
      </c>
      <c r="DJ262" t="s" s="304">
        <f>IF($D262="","",$D262)</f>
        <v>229</v>
      </c>
      <c r="DK262" s="146">
        <f>IF(AND($B262=" ",$D262&lt;&gt;""),1,0)</f>
        <v>0</v>
      </c>
    </row>
    <row r="263" ht="14.55" customHeight="1">
      <c r="A263" s="107"/>
      <c r="B263" s="108"/>
      <c r="C263" t="s" s="109">
        <v>51</v>
      </c>
      <c r="D263" s="110"/>
      <c r="E263" s="111"/>
      <c r="F263" s="113"/>
      <c r="G263" s="252"/>
      <c r="H263" s="114"/>
      <c r="I263" t="s" s="275">
        <v>67</v>
      </c>
      <c r="J263" s="276">
        <f>IF(OR(I262="TO",I262="TU",I262="TO1",I262="TU1",I262="TO2",I262="TU2"),J262,IF(OR(I262="AH1",I262="AH2"),IF(OR(I263="AH1",I263="AH2"),-J262,IF(OR(I263="EH1",I263="EH2"),-J262+0.5,"")),IF(OR(I262="EH1",I262="EH2"),IF(OR(I263="AH1",I263="AH2"),-J262+0.5,IF(OR(I263="EH1",I263="EH2"),-J262+1,"")),IF(AND(OR(I262="DNB1",I262="DNB2"),OR(I263="AH1",I263="AH2")),0,IF(AND(I262="Not ScoreBoth",OR(I263="TO1",I263="TO2")),0.5,"")))))</f>
        <v>2.5</v>
      </c>
      <c r="K263" t="s" s="117">
        <v>37</v>
      </c>
      <c r="L263" s="277">
        <v>9</v>
      </c>
      <c r="M263" s="278">
        <v>2.19</v>
      </c>
      <c r="N263" s="120"/>
      <c r="O263" s="121">
        <f>IF(OR(AE262="",AE263=""),"",ROUND(IF(L264&gt;0,IF(M263&gt;0,M263,IF(M262&gt;0,IF(N262=TRUE,ROUND((M262*AE263)/AE262,0),(M262*AE263)/AE262),IF(M263&gt;0,ROUND(M263,IF(N262=0,2,IF(N262=0.1,1,0))),IF(M264&gt;0,ROUND(O264*AE263/AE264,IF(N262=0,2,IF(N262=0.1,1,0))),0)))),IF(M263&gt;0,M263,ROUND((M262*AE263)/AE262,IF(N262=0,2,IF(N262=0.1,1,0))))),2))</f>
        <v>2.19</v>
      </c>
      <c r="P263" s="122">
        <f>IF(OR(L263="",O263=""),"",IF($C263="1/2W",O263/2+O263/2*L263,IF($C263="1/2L",O263/2,IF(I263="Lay",((O263*(L263/(L263-1)))-O263)*(1-_xlfn.XLOOKUP(K263,'Janeiro 2023 - Valor Real'!A3:A15,'Janeiro 2023 - Valor Real'!C3:C15,0))+O263,(O263*L263-O263)*(1-_xlfn.XLOOKUP(K263,'Janeiro 2023 - Valor Real'!A3:A15,'Janeiro 2023 - Valor Real'!C3:C15,0))+O263))))</f>
        <v>19.71</v>
      </c>
      <c r="Q263" s="279">
        <f>IF(K263="","",IF(_xlfn.XLOOKUP(K263,K$101:K108,DJ$101:DJ108,0,,-1)=DJ263,_xlfn.XLOOKUP(K263,K$101:K108,Q$101:Q108,1,,-1)+1,1))</f>
        <v>1</v>
      </c>
      <c r="R263" s="280">
        <f>IF(K263="","",_xlfn.XLOOKUP(K263,K$101:K108,R$101:R108,0,,-1)+IF($C263=" ",1,0))</f>
        <v>0</v>
      </c>
      <c r="S263" s="125"/>
      <c r="T263" s="126"/>
      <c r="U263" s="126"/>
      <c r="V263" s="224"/>
      <c r="W263" s="126"/>
      <c r="X263" s="127"/>
      <c r="Y263" s="128"/>
      <c r="Z263" s="129"/>
      <c r="AA263" s="129"/>
      <c r="AB263" s="129"/>
      <c r="AC263" s="129"/>
      <c r="AD263" s="130"/>
      <c r="AE263" s="131">
        <f>IF(L263="","",IF(L264&gt;0,(SUM(((L262-1)*(1-_xlfn.XLOOKUP(K262,'Janeiro 2023 - Valor Real'!A3:A15,'Janeiro 2023 - Valor Real'!C3:C15,0))+1),((L263-1)*(1-_xlfn.XLOOKUP(K263,'Janeiro 2023 - Valor Real'!A3:A15,'Janeiro 2023 - Valor Real'!C3:C15,0))+1),((L264-1)*(1-_xlfn.XLOOKUP(K264,'Janeiro 2023 - Valor Real'!A3:A15,'Janeiro 2023 - Valor Real'!C3:C15,0))+1))/((L263-1)*(1-_xlfn.XLOOKUP(K263,'Janeiro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Real'!C3:C15,0))+1))/((L262-1)*(1-_xlfn.XLOOKUP(K262,'Janeiro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Real'!C3:C15,0))+1))/((L263-1)*(1-_xlfn.XLOOKUP(K263,'Janeiro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Real'!C3:C15,0))+1))/((L264-1)*(1-_xlfn.XLOOKUP(K264,'Janeiro 2023 - Valor Real'!A3:A15,'Janeiro 2023 - Valor Real'!C3:C15,0))+1)),IF(I263="Lay",IF(I262="Lay",((L262/(L262-1)-1)*(1-_xlfn.XLOOKUP(K262,'Janeiro 2023 - Valor Real'!A3:A15,'Janeiro 2023 - Valor Real'!C3:C15,0))+1)/(((L262/(L262-1)-1)*(1-_xlfn.XLOOKUP(K262,'Janeiro 2023 - Valor Real'!A3:A15,'Janeiro 2023 - Valor Real'!C3:C15,0))+1)+((L263/(L263-1)-1)*(1-_xlfn.XLOOKUP(K263,'Janeiro 2023 - Valor Real'!A3:A15,'Janeiro 2023 - Valor Real'!C3:C15,0))+1)),((L262-1)*(1-_xlfn.XLOOKUP(K262,'Janeiro 2023 - Valor Real'!A3:A15,'Janeiro 2023 - Valor Real'!C3:C15,0))+1)/(((L262-1)*(1-_xlfn.XLOOKUP(K262,'Janeiro 2023 - Valor Real'!A3:A15,'Janeiro 2023 - Valor Real'!C3:C15,0))+1)+((L263/(L263-1)-1)*(1-_xlfn.XLOOKUP(K263,'Janeiro 2023 - Valor Real'!A3:A15,'Janeiro 2023 - Valor Real'!C3:C15,0))+1))),IF(I262="Lay",((L262/(L262-1)-1)*(1-_xlfn.XLOOKUP(K262,'Janeiro 2023 - Valor Real'!A3:A15,'Janeiro 2023 - Valor Real'!C3:C15,0))+1)/((((L262/(L262-1)-1)*(1-_xlfn.XLOOKUP(K262,'Janeiro 2023 - Valor Real'!A3:A15,'Janeiro 2023 - Valor Real'!C3:C15,0))+1))+((L263-1)*(1-_xlfn.XLOOKUP(K263,'Janeiro 2023 - Valor Real'!A3:A15,'Janeiro 2023 - Valor Real'!C3:C15,0))+1)),((L262-1)*(1-_xlfn.XLOOKUP(K262,'Janeiro 2023 - Valor Real'!A3:A15,'Janeiro 2023 - Valor Real'!C3:C15,0))+1)/(((L262-1)*(1-_xlfn.XLOOKUP(K262,'Janeiro 2023 - Valor Real'!A3:A15,'Janeiro 2023 - Valor Real'!C3:C15,0))+1)+((L263-1)*(1-_xlfn.XLOOKUP(K263,'Janeiro 2023 - Valor Real'!A3:A15,'Janeiro 2023 - Valor Real'!C3:C15,0))+1))))))</f>
        <v>0.115913555992141</v>
      </c>
      <c r="AF263" s="132">
        <f>IF($K263=AF$3,ROUND(IF(OR($C263="W",$C263="1/2W",$C263="1/2L"),$P263-$O263,IF($C263="X",0,-$O263)),2),0)</f>
        <v>-2.19</v>
      </c>
      <c r="AG263" s="133">
        <f>IF($K263=AG$3,ROUND(IF(OR($C263="W",$C263="1/2W",$C263="1/2L"),$P263-$O263,IF($C263="X",0,-$O263)),2),0)</f>
        <v>0</v>
      </c>
      <c r="AH263" s="133">
        <f>IF($K263=AH$3,ROUND(IF(OR($C263="W",$C263="1/2W",$C263="1/2L"),$P263-$O263,IF($C263="X",0,-$O263)),2),0)</f>
        <v>0</v>
      </c>
      <c r="AI263" s="133">
        <f>IF($K263=AI$3,ROUND(IF(OR($C263="W",$C263="1/2W",$C263="1/2L"),$P263-$O263,IF($C263="X",0,-$O263)),2),0)</f>
        <v>0</v>
      </c>
      <c r="AJ263" s="133">
        <f>IF($K263=AJ$3,ROUND(IF(OR($C263="W",$C263="1/2W",$C263="1/2L"),$P263-$O263,IF($C263="X",0,-$O263)),2),0)</f>
        <v>0</v>
      </c>
      <c r="AK263" s="133">
        <f>IF($K263=AK$3,ROUND(IF(OR($C263="W",$C263="1/2W",$C263="1/2L"),$P263-$O263,IF($C263="X",0,-$O263)),2),0)</f>
        <v>0</v>
      </c>
      <c r="AL263" s="133">
        <f>IF($K263=AL$3,ROUND(IF(OR($C263="W",$C263="1/2W",$C263="1/2L"),$P263-$O263,IF($C263="X",0,-$O263)),2),0)</f>
        <v>0</v>
      </c>
      <c r="AM263" s="133">
        <f>IF($K263=AM$3,ROUND(IF(OR($C263="W",$C263="1/2W",$C263="1/2L"),$P263-$O263,IF($C263="X",0,-$O263)),2),0)</f>
        <v>0</v>
      </c>
      <c r="AN263" s="133">
        <f>IF($K263=AN$3,ROUND(IF(OR($C263="W",$C263="1/2W",$C263="1/2L"),$P263-$O263,IF($C263="X",0,-$O263)),2),0)</f>
        <v>0</v>
      </c>
      <c r="AO263" s="133">
        <f>IF($K263=AO$3,ROUND(IF(OR($C263="W",$C263="1/2W",$C263="1/2L"),$P263-$O263,IF($C263="X",0,-$O263)),2),0)</f>
        <v>0</v>
      </c>
      <c r="AP263" s="133">
        <f>IF($K263=AP$3,ROUND(IF(OR($C263="W",$C263="1/2W",$C263="1/2L"),$P263-$O263,IF($C263="X",0,-$O263)),2),0)</f>
        <v>0</v>
      </c>
      <c r="AQ263" s="133">
        <f>IF($K263=AQ$3,ROUND(IF(OR($C263="W",$C263="1/2W",$C263="1/2L"),$P263-$O263,IF($C263="X",0,-$O263)),2),0)</f>
        <v>0</v>
      </c>
      <c r="AR263" s="134">
        <f>IF($K263=AR$3,ROUND(IF(OR($C263="W",$C263="1/2W",$C263="1/2L"),$P263-$O263,IF($C263="X",0,-$O263)),2),0)</f>
        <v>0</v>
      </c>
      <c r="AS263" s="132">
        <f>IF(AND($B262=" ",$K263=AS$3),$O263,0)</f>
        <v>0</v>
      </c>
      <c r="AT263" s="133">
        <f>IF(AND($B262=" ",K263=AT$3),$O263,0)</f>
        <v>0</v>
      </c>
      <c r="AU263" s="133">
        <f>IF(AND($B262=" ",$K263=AU$3),$O263,0)</f>
        <v>0</v>
      </c>
      <c r="AV263" s="133">
        <f>IF(AND($B262=" ",$K263=AV$3),$O263,0)</f>
        <v>0</v>
      </c>
      <c r="AW263" s="133">
        <f>IF(AND($B262=" ",$K263=AW$3),$O263,0)</f>
        <v>0</v>
      </c>
      <c r="AX263" s="133">
        <f>IF(AND($B262=" ",$K263=AX$3),$O263,0)</f>
        <v>0</v>
      </c>
      <c r="AY263" s="135">
        <f>IF(AND($B262=" ",$K263=AY$3),$O263,0)</f>
        <v>0</v>
      </c>
      <c r="AZ263" s="136">
        <f>IF(AND($B262=" ",$K263=AZ$3),$O263,0)</f>
        <v>0</v>
      </c>
      <c r="BA263" s="136">
        <f>IF(AND($B262=" ",$K263=BA$3),$O263,0)</f>
        <v>0</v>
      </c>
      <c r="BB263" s="136">
        <f>IF(AND($B262=" ",$K263=BB$3),$O263,0)</f>
        <v>0</v>
      </c>
      <c r="BC263" s="137">
        <f>IF(AND($B262=" ",$K263=BC$3),$O263,0)</f>
        <v>0</v>
      </c>
      <c r="BD263" s="133">
        <f>IF(AND($B262=" ",$K263=BD$3),$O263,0)</f>
        <v>0</v>
      </c>
      <c r="BE263" s="134">
        <f>IF(AND($B262=" ",$K263=BE$3),$O263,0)</f>
        <v>0</v>
      </c>
      <c r="BF263" s="132">
        <f>IF($K263=BF$3,IF($C263="X",0,$O263),0)</f>
        <v>2.19</v>
      </c>
      <c r="BG263" s="281">
        <f>IF($K263=BG$3,IF($C263="X",0,$O263),0)</f>
        <v>0</v>
      </c>
      <c r="BH263" s="133">
        <f>IF($K263=BH$3,IF($C263="X",0,$O263),0)</f>
        <v>0</v>
      </c>
      <c r="BI263" s="133">
        <f>IF($K263=BI$3,IF($C263="X",0,$O263),0)</f>
        <v>0</v>
      </c>
      <c r="BJ263" s="133">
        <f>IF($K263=BJ$3,IF($C263="X",0,$O263),0)</f>
        <v>0</v>
      </c>
      <c r="BK263" s="133">
        <f>IF($K263=BK$3,IF($C263="X",0,$O263),0)</f>
        <v>0</v>
      </c>
      <c r="BL263" s="133">
        <f>IF($K263=BL$3,IF($C263="X",0,$O263),0)</f>
        <v>0</v>
      </c>
      <c r="BM263" s="135">
        <f>IF($K263=BM$3,IF($C263="X",0,$O263),0)</f>
        <v>0</v>
      </c>
      <c r="BN263" s="136">
        <f>IF($K263=BN$3,IF($C263="X",0,$O263),0)</f>
        <v>0</v>
      </c>
      <c r="BO263" s="136">
        <f>IF($K263=BO$3,IF($C263="X",0,$O263),0)</f>
        <v>0</v>
      </c>
      <c r="BP263" s="136">
        <f>IF($K263=BP$3,IF($C263="X",0,$O263),0)</f>
        <v>0</v>
      </c>
      <c r="BQ263" s="137">
        <f>IF($K263=BQ$3,IF($C263="X",0,$O263),0)</f>
        <v>0</v>
      </c>
      <c r="BR263" s="134">
        <f>IF($K263=BR$3,IF($C263="X",0,$O263),0)</f>
        <v>0</v>
      </c>
      <c r="BS263" s="282"/>
      <c r="BT263" s="283"/>
      <c r="BU263" s="140"/>
      <c r="BV263" s="283"/>
      <c r="BW263" s="140"/>
      <c r="BX263" s="140"/>
      <c r="BY263" s="140"/>
      <c r="BZ263" s="283"/>
      <c r="CA263" s="140"/>
      <c r="CB263" s="140"/>
      <c r="CC263" s="140"/>
      <c r="CD263" s="141"/>
      <c r="CE263" s="142"/>
      <c r="CF263" s="284">
        <f>IF(CF$3=$K263,IF($C263="W",1,IF($C263="1/2W",0.5,0)),0)</f>
        <v>0</v>
      </c>
      <c r="CG263" s="285">
        <f>IF(CF$3=$K263,IF($C263="L",1,IF($C263="1/2L",0.5,0)),0)</f>
        <v>1</v>
      </c>
      <c r="CH263" s="285">
        <f>IF(CH$3=$K263,IF($C263="W",1,IF($C263="1/2W",0.5,0)),0)</f>
        <v>0</v>
      </c>
      <c r="CI263" s="285">
        <f>IF(CH$3=$K263,IF($C263="L",1,IF($C263="1/2L",0.5,0)),0)</f>
        <v>0</v>
      </c>
      <c r="CJ263" s="285">
        <f>IF(CJ$3=$K263,IF($C263="W",1,IF($C263="1/2W",0.5,0)),0)</f>
        <v>0</v>
      </c>
      <c r="CK263" s="285">
        <f>IF(CJ$3=$K263,IF($C263="L",1,IF($C263="1/2L",0.5,0)),0)</f>
        <v>0</v>
      </c>
      <c r="CL263" s="285">
        <f>IF(CL$3=$K263,IF($C263="W",1,IF($C263="1/2W",0.5,0)),0)</f>
        <v>0</v>
      </c>
      <c r="CM263" s="285">
        <f>IF(CL$3=$K263,IF($C263="L",1,IF($C263="1/2L",0.5,0)),0)</f>
        <v>0</v>
      </c>
      <c r="CN263" s="285">
        <f>IF(CN$3=$K263,IF($C263="W",1,IF($C263="1/2W",0.5,0)),0)</f>
        <v>0</v>
      </c>
      <c r="CO263" s="285">
        <f>IF(CN$3=$K263,IF($C263="L",1,IF($C263="1/2L",0.5,0)),0)</f>
        <v>0</v>
      </c>
      <c r="CP263" s="285">
        <f>IF(CP$3=$K263,IF($C263="W",1,IF($C263="1/2W",0.5,0)),0)</f>
        <v>0</v>
      </c>
      <c r="CQ263" s="285">
        <f>IF(CP$3=$K263,IF($C263="L",1,IF($C263="1/2L",0.5,0)),0)</f>
        <v>0</v>
      </c>
      <c r="CR263" s="285">
        <f>IF(CR$3=$K263,IF($C263="W",1,IF($C263="1/2W",0.5,0)),0)</f>
        <v>0</v>
      </c>
      <c r="CS263" s="285">
        <f>IF(CR$3=$K263,IF($C263="L",1,IF($C263="1/2L",0.5,0)),0)</f>
        <v>0</v>
      </c>
      <c r="CT263" s="145">
        <f>IF(CT$3=$K263,IF($C263="W",1,IF($C263="1/2W",0.5,0)),0)</f>
        <v>0</v>
      </c>
      <c r="CU263" s="146">
        <f>IF(CT$3=$K263,IF($C263="L",1,IF($C263="1/2L",0.5,0)),0)</f>
        <v>0</v>
      </c>
      <c r="CV263" s="146">
        <f>IF(CV$3=$K263,IF($C263="W",1,IF($C263="1/2W",0.5,0)),0)</f>
        <v>0</v>
      </c>
      <c r="CW263" s="146">
        <f>IF(CV$3=$K263,IF($C263="L",1,IF($C263="1/2L",0.5,0)),0)</f>
        <v>0</v>
      </c>
      <c r="CX263" s="146">
        <f>IF(CX$3=$K263,IF($C263="W",1,IF($C263="1/2W",0.5,0)),0)</f>
        <v>0</v>
      </c>
      <c r="CY263" s="146">
        <f>IF(CX$3=$K263,IF($C263="L",1,IF($C263="1/2L",0.5,0)),0)</f>
        <v>0</v>
      </c>
      <c r="CZ263" s="146">
        <f>IF(CZ$3=$K263,IF($C263="W",1,IF($C263="1/2W",0.5,0)),0)</f>
        <v>0</v>
      </c>
      <c r="DA263" s="146">
        <f>IF(CZ$3=$K263,IF($C263="L",1,IF($C263="1/2L",0.5,0)),0)</f>
        <v>0</v>
      </c>
      <c r="DB263" s="146">
        <f>IF(DB$3=$K263,IF($C263="W",1,IF($C263="1/2W",0.5,0)),0)</f>
        <v>0</v>
      </c>
      <c r="DC263" s="146">
        <f>IF(DB$3=$K263,IF($C263="L",1,IF($C263="1/2L",0.5,0)),0)</f>
        <v>0</v>
      </c>
      <c r="DD263" s="146">
        <f>IF(DD$3=$K263,IF($C263="W",1,IF($C263="1/2W",0.5,0)),0)</f>
        <v>0</v>
      </c>
      <c r="DE263" s="147">
        <f>IF(DD$3=$K263,IF($C263="L",1,IF($C263="1/2L",0.5,0)),0)</f>
        <v>0</v>
      </c>
      <c r="DF263" s="143">
        <f>IF(AND(L263&lt;DF$3,$C263="W"),1+DF262,DF262)</f>
        <v>10</v>
      </c>
      <c r="DG263" s="133">
        <f>IF(DF263&gt;DF262,L263+DG262,DG262)</f>
        <v>13.078</v>
      </c>
      <c r="DH263" s="146">
        <f>IF(AND(L263&gt;DH$3,$C263="W"),1+DH262,0+DH262)</f>
        <v>6</v>
      </c>
      <c r="DI263" s="133">
        <f>IF(DH263&gt;DH262,L263+DI262,DI262)</f>
        <v>30.83</v>
      </c>
      <c r="DJ263" t="s" s="304">
        <f>IF($D262="","",$D262)</f>
        <v>229</v>
      </c>
      <c r="DK263" s="286"/>
    </row>
    <row r="264" ht="14.55" customHeight="1">
      <c r="A264" s="149"/>
      <c r="B264" s="150"/>
      <c r="C264" t="s" s="151">
        <v>58</v>
      </c>
      <c r="D264" s="152"/>
      <c r="E264" s="153"/>
      <c r="F264" s="155"/>
      <c r="G264" s="252"/>
      <c r="H264" s="156"/>
      <c r="I264" s="287"/>
      <c r="J264" s="288"/>
      <c r="K264" s="156"/>
      <c r="L264" s="289"/>
      <c r="M264" s="290"/>
      <c r="N264" s="161"/>
      <c r="O264" t="s" s="162">
        <f>IF(OR(AE262="",AE263=""),"",IF(L264&gt;0,ROUND(IF(M264&gt;0,M264,IF(M262&gt;0,ROUND((M262*AE264)/AE262,IF(N262=0,2,IF(N262=0.1,1,0))),IF(M263&gt;0,ROUND((M263*AE264)/AE263,IF(N262=0,2,IF(N262=0.1,1,0))),IF(M264&gt;0,M264,0)))),2),""))</f>
      </c>
      <c r="P264" t="s" s="163">
        <f>IF(I263="Lay",O263*(L263/(L263-1))-O263,IF(I262="Lay",O262*(L262/(L262-1))-O262,IF(OR(L264="",O264=""),"",IF($C264="1/2W",O264/2+O264/2*L264,IF($C264="1/2L",O264/2,(O264*L264-O264)*(1-_xlfn.XLOOKUP(K264,'Janeiro 2023 - Valor Real'!A3:A15,'Janeiro 2023 - Valor Real'!C3:C15,0))+O264)))))</f>
      </c>
      <c r="Q264" t="s" s="154">
        <f>IF(K264="","",IF(_xlfn.XLOOKUP(K264,K$102:K109,DJ$102:DJ109,0,,-1)=DJ264,_xlfn.XLOOKUP(K264,K$102:K109,Q$102:Q109,1,,-1)+1,1))</f>
      </c>
      <c r="R264" t="s" s="163">
        <f>IF(K264="","",_xlfn.XLOOKUP(K264,K$102:K109,R$102:R109,0,,-1)+IF($C264=" ",1,0))</f>
      </c>
      <c r="S264" s="166"/>
      <c r="T264" s="155"/>
      <c r="U264" s="155"/>
      <c r="V264" s="166"/>
      <c r="W264" s="155"/>
      <c r="X264" s="167"/>
      <c r="Y264" s="128"/>
      <c r="Z264" s="129"/>
      <c r="AA264" s="129"/>
      <c r="AB264" s="129"/>
      <c r="AC264" s="129"/>
      <c r="AD264" s="168"/>
      <c r="AE264" t="s" s="169">
        <f>IF(L264="","",(SUM(((L262-1)*(1-_xlfn.XLOOKUP(K262,'Janeiro 2023 - Valor Real'!A3:A15,'Janeiro 2023 - Valor Real'!C3:C15,0))+1),((L263-1)*(1-_xlfn.XLOOKUP(K263,'Janeiro 2023 - Valor Real'!A3:A15,'Janeiro 2023 - Valor Real'!C3:C15,0))+1),((L264-1)*(1-_xlfn.XLOOKUP(K264,'Janeiro 2023 - Valor Real'!A3:A15,'Janeiro 2023 - Valor Real'!C3:C15,0))+1))/((L264-1)*(1-_xlfn.XLOOKUP(K264,'Janeiro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Real'!C3:C15,0))+1))/((L262-1)*(1-_xlfn.XLOOKUP(K262,'Janeiro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Real'!C3:C15,0))+1))/((L263-1)*(1-_xlfn.XLOOKUP(K263,'Janeiro 2023 - Valor Real'!A3:A15,'Janeiro 2023 - Valor Real'!C3:C15,0))+1)+SUM(((L262-1)*(1-_xlfn.XLOOKUP(K262,'Janeiro 2023 - Valor Real'!A3:A15,'Janeiro 2023 - Valor Real'!C3:C15,0))+1),((L263-1)*(1-_xlfn.XLOOKUP(K263,'Janeiro 2023 - Valor Real'!A3:A15,'Janeiro 2023 - Valor Real'!C3:C15,0))+1),((L264-1)*(1-_xlfn.XLOOKUP(K264,'Janeiro 2023 - Valor Real'!A3:A15,'Janeiro 2023 - Valor Real'!C3:C15,0))+1))/((L264-1)*(1-_xlfn.XLOOKUP(K264,'Janeiro 2023 - Valor Real'!A3:A15,'Janeiro 2023 - Valor Real'!C3:C15,0))+1)))</f>
      </c>
      <c r="AF264" s="132">
        <f>IF($K264=AF$3,ROUND(IF(OR($C264="W",$C264="1/2W",$C264="1/2L"),$P264-$O264,IF($C264="X",0,-$O264)),2),0)</f>
        <v>0</v>
      </c>
      <c r="AG264" s="133">
        <f>IF($K264=AG$3,ROUND(IF(OR($C264="W",$C264="1/2W",$C264="1/2L"),$P264-$O264,IF($C264="X",0,-$O264)),2),0)</f>
        <v>0</v>
      </c>
      <c r="AH264" s="133">
        <f>IF($K264=AH$3,ROUND(IF(OR($C264="W",$C264="1/2W",$C264="1/2L"),$P264-$O264,IF($C264="X",0,-$O264)),2),0)</f>
        <v>0</v>
      </c>
      <c r="AI264" s="133">
        <f>IF($K264=AI$3,ROUND(IF(OR($C264="W",$C264="1/2W",$C264="1/2L"),$P264-$O264,IF($C264="X",0,-$O264)),2),0)</f>
        <v>0</v>
      </c>
      <c r="AJ264" s="133">
        <f>IF($K264=AJ$3,ROUND(IF(OR($C264="W",$C264="1/2W",$C264="1/2L"),$P264-$O264,IF($C264="X",0,-$O264)),2),0)</f>
        <v>0</v>
      </c>
      <c r="AK264" s="133">
        <f>IF($K264=AK$3,ROUND(IF(OR($C264="W",$C264="1/2W",$C264="1/2L"),$P264-$O264,IF($C264="X",0,-$O264)),2),0)</f>
        <v>0</v>
      </c>
      <c r="AL264" s="133">
        <f>IF($K264=AL$3,ROUND(IF(OR($C264="W",$C264="1/2W",$C264="1/2L"),$P264-$O264,IF($C264="X",0,-$O264)),2),0)</f>
        <v>0</v>
      </c>
      <c r="AM264" s="133">
        <f>IF($K264=AM$3,ROUND(IF(OR($C264="W",$C264="1/2W",$C264="1/2L"),$P264-$O264,IF($C264="X",0,-$O264)),2),0)</f>
        <v>0</v>
      </c>
      <c r="AN264" s="133">
        <f>IF($K264=AN$3,ROUND(IF(OR($C264="W",$C264="1/2W",$C264="1/2L"),$P264-$O264,IF($C264="X",0,-$O264)),2),0)</f>
        <v>0</v>
      </c>
      <c r="AO264" s="133">
        <f>IF($K264=AO$3,ROUND(IF(OR($C264="W",$C264="1/2W",$C264="1/2L"),$P264-$O264,IF($C264="X",0,-$O264)),2),0)</f>
        <v>0</v>
      </c>
      <c r="AP264" s="133">
        <f>IF($K264=AP$3,ROUND(IF(OR($C264="W",$C264="1/2W",$C264="1/2L"),$P264-$O264,IF($C264="X",0,-$O264)),2),0)</f>
        <v>0</v>
      </c>
      <c r="AQ264" s="133">
        <f>IF($K264=AQ$3,ROUND(IF(OR($C264="W",$C264="1/2W",$C264="1/2L"),$P264-$O264,IF($C264="X",0,-$O264)),2),0)</f>
        <v>0</v>
      </c>
      <c r="AR264" s="134">
        <f>IF($K264=AR$3,ROUND(IF(OR($C264="W",$C264="1/2W",$C264="1/2L"),$P264-$O264,IF($C264="X",0,-$O264)),2),0)</f>
        <v>0</v>
      </c>
      <c r="AS264" s="132">
        <f>IF(AND($B262=" ",$K264=AS$3),$O264,0)</f>
        <v>0</v>
      </c>
      <c r="AT264" s="133">
        <f>IF(AND($B262=" ",K264=AT$3),$O264,0)</f>
        <v>0</v>
      </c>
      <c r="AU264" s="133">
        <f>IF(AND($B262=" ",$K264=AU$3),$O264,0)</f>
        <v>0</v>
      </c>
      <c r="AV264" s="133">
        <f>IF(AND($B262=" ",$K264=AV$3),$O264,0)</f>
        <v>0</v>
      </c>
      <c r="AW264" s="133">
        <f>IF(AND($B262=" ",$K264=AW$3),$O264,0)</f>
        <v>0</v>
      </c>
      <c r="AX264" s="133">
        <f>IF(AND($B262=" ",$K264=AX$3),$O264,0)</f>
        <v>0</v>
      </c>
      <c r="AY264" s="135">
        <f>IF(AND($B262=" ",$K264=AY$3),$O264,0)</f>
        <v>0</v>
      </c>
      <c r="AZ264" s="136">
        <f>IF(AND($B262=" ",$K264=AZ$3),$O264,0)</f>
        <v>0</v>
      </c>
      <c r="BA264" s="136">
        <f>IF(AND($B262=" ",$K264=BA$3),$O264,0)</f>
        <v>0</v>
      </c>
      <c r="BB264" s="136">
        <f>IF(AND($B262=" ",$K264=BB$3),$O264,0)</f>
        <v>0</v>
      </c>
      <c r="BC264" s="137">
        <f>IF(AND($B262=" ",$K264=BC$3),$O264,0)</f>
        <v>0</v>
      </c>
      <c r="BD264" s="133">
        <f>IF(AND($B262=" ",$K264=BD$3),$O264,0)</f>
        <v>0</v>
      </c>
      <c r="BE264" s="134">
        <f>IF(AND($B262=" ",$K264=BE$3),$O264,0)</f>
        <v>0</v>
      </c>
      <c r="BF264" s="132">
        <f>IF($K264=BF$3,IF($C264="X",0,$O264),0)</f>
        <v>0</v>
      </c>
      <c r="BG264" s="281">
        <f>IF($K264=BG$3,IF($C264="X",0,$O264),0)</f>
        <v>0</v>
      </c>
      <c r="BH264" s="133">
        <f>IF($K264=BH$3,IF($C264="X",0,$O264),0)</f>
        <v>0</v>
      </c>
      <c r="BI264" s="133">
        <f>IF($K264=BI$3,IF($C264="X",0,$O264),0)</f>
        <v>0</v>
      </c>
      <c r="BJ264" s="133">
        <f>IF($K264=BJ$3,IF($C264="X",0,$O264),0)</f>
        <v>0</v>
      </c>
      <c r="BK264" s="133">
        <f>IF($K264=BK$3,IF($C264="X",0,$O264),0)</f>
        <v>0</v>
      </c>
      <c r="BL264" s="133">
        <f>IF($K264=BL$3,IF($C264="X",0,$O264),0)</f>
        <v>0</v>
      </c>
      <c r="BM264" s="135">
        <f>IF($K264=BM$3,IF($C264="X",0,$O264),0)</f>
        <v>0</v>
      </c>
      <c r="BN264" s="136">
        <f>IF($K264=BN$3,IF($C264="X",0,$O264),0)</f>
        <v>0</v>
      </c>
      <c r="BO264" s="136">
        <f>IF($K264=BO$3,IF($C264="X",0,$O264),0)</f>
        <v>0</v>
      </c>
      <c r="BP264" s="136">
        <f>IF($K264=BP$3,IF($C264="X",0,$O264),0)</f>
        <v>0</v>
      </c>
      <c r="BQ264" s="137">
        <f>IF($K264=BQ$3,IF($C264="X",0,$O264),0)</f>
        <v>0</v>
      </c>
      <c r="BR264" s="134">
        <f>IF($K264=BR$3,IF($C264="X",0,$O264),0)</f>
        <v>0</v>
      </c>
      <c r="BS264" s="282"/>
      <c r="BT264" s="283"/>
      <c r="BU264" s="140"/>
      <c r="BV264" s="283"/>
      <c r="BW264" s="140"/>
      <c r="BX264" s="140"/>
      <c r="BY264" s="140"/>
      <c r="BZ264" s="283"/>
      <c r="CA264" s="140"/>
      <c r="CB264" s="140"/>
      <c r="CC264" s="140"/>
      <c r="CD264" s="141"/>
      <c r="CE264" s="142"/>
      <c r="CF264" s="284">
        <f>IF(CF$3=$K264,IF($C264="W",1,IF($C264="1/2W",0.5,0)),0)</f>
        <v>0</v>
      </c>
      <c r="CG264" s="285">
        <f>IF(CF$3=$K264,IF($C264="L",1,IF($C264="1/2L",0.5,0)),0)</f>
        <v>0</v>
      </c>
      <c r="CH264" s="285">
        <f>IF(CH$3=$K264,IF($C264="W",1,IF($C264="1/2W",0.5,0)),0)</f>
        <v>0</v>
      </c>
      <c r="CI264" s="285">
        <f>IF(CH$3=$K264,IF($C264="L",1,IF($C264="1/2L",0.5,0)),0)</f>
        <v>0</v>
      </c>
      <c r="CJ264" s="285">
        <f>IF(CJ$3=$K264,IF($C264="W",1,IF($C264="1/2W",0.5,0)),0)</f>
        <v>0</v>
      </c>
      <c r="CK264" s="285">
        <f>IF(CJ$3=$K264,IF($C264="L",1,IF($C264="1/2L",0.5,0)),0)</f>
        <v>0</v>
      </c>
      <c r="CL264" s="285">
        <f>IF(CL$3=$K264,IF($C264="W",1,IF($C264="1/2W",0.5,0)),0)</f>
        <v>0</v>
      </c>
      <c r="CM264" s="285">
        <f>IF(CL$3=$K264,IF($C264="L",1,IF($C264="1/2L",0.5,0)),0)</f>
        <v>0</v>
      </c>
      <c r="CN264" s="285">
        <f>IF(CN$3=$K264,IF($C264="W",1,IF($C264="1/2W",0.5,0)),0)</f>
        <v>0</v>
      </c>
      <c r="CO264" s="285">
        <f>IF(CN$3=$K264,IF($C264="L",1,IF($C264="1/2L",0.5,0)),0)</f>
        <v>0</v>
      </c>
      <c r="CP264" s="285">
        <f>IF(CP$3=$K264,IF($C264="W",1,IF($C264="1/2W",0.5,0)),0)</f>
        <v>0</v>
      </c>
      <c r="CQ264" s="285">
        <f>IF(CP$3=$K264,IF($C264="L",1,IF($C264="1/2L",0.5,0)),0)</f>
        <v>0</v>
      </c>
      <c r="CR264" s="285">
        <f>IF(CR$3=$K264,IF($C264="W",1,IF($C264="1/2W",0.5,0)),0)</f>
        <v>0</v>
      </c>
      <c r="CS264" s="285">
        <f>IF(CR$3=$K264,IF($C264="L",1,IF($C264="1/2L",0.5,0)),0)</f>
        <v>0</v>
      </c>
      <c r="CT264" s="145">
        <f>IF(CT$3=$K264,IF($C264="W",1,IF($C264="1/2W",0.5,0)),0)</f>
        <v>0</v>
      </c>
      <c r="CU264" s="146">
        <f>IF(CT$3=$K264,IF($C264="L",1,IF($C264="1/2L",0.5,0)),0)</f>
        <v>0</v>
      </c>
      <c r="CV264" s="146">
        <f>IF(CV$3=$K264,IF($C264="W",1,IF($C264="1/2W",0.5,0)),0)</f>
        <v>0</v>
      </c>
      <c r="CW264" s="146">
        <f>IF(CV$3=$K264,IF($C264="L",1,IF($C264="1/2L",0.5,0)),0)</f>
        <v>0</v>
      </c>
      <c r="CX264" s="146">
        <f>IF(CX$3=$K264,IF($C264="W",1,IF($C264="1/2W",0.5,0)),0)</f>
        <v>0</v>
      </c>
      <c r="CY264" s="146">
        <f>IF(CX$3=$K264,IF($C264="L",1,IF($C264="1/2L",0.5,0)),0)</f>
        <v>0</v>
      </c>
      <c r="CZ264" s="146">
        <f>IF(CZ$3=$K264,IF($C264="W",1,IF($C264="1/2W",0.5,0)),0)</f>
        <v>0</v>
      </c>
      <c r="DA264" s="146">
        <f>IF(CZ$3=$K264,IF($C264="L",1,IF($C264="1/2L",0.5,0)),0)</f>
        <v>0</v>
      </c>
      <c r="DB264" s="146">
        <f>IF(DB$3=$K264,IF($C264="W",1,IF($C264="1/2W",0.5,0)),0)</f>
        <v>0</v>
      </c>
      <c r="DC264" s="146">
        <f>IF(DB$3=$K264,IF($C264="L",1,IF($C264="1/2L",0.5,0)),0)</f>
        <v>0</v>
      </c>
      <c r="DD264" s="146">
        <f>IF(DD$3=$K264,IF($C264="W",1,IF($C264="1/2W",0.5,0)),0)</f>
        <v>0</v>
      </c>
      <c r="DE264" s="147">
        <f>IF(DD$3=$K264,IF($C264="L",1,IF($C264="1/2L",0.5,0)),0)</f>
        <v>0</v>
      </c>
      <c r="DF264" s="143">
        <f>IF(AND(L264&lt;DF$3,$C264="W"),1+DF263,DF263)</f>
        <v>10</v>
      </c>
      <c r="DG264" s="133">
        <f>IF(DF264&gt;DF263,L264+DG263,DG263)</f>
        <v>13.078</v>
      </c>
      <c r="DH264" s="146">
        <f>IF(AND(L264&gt;DH$3,$C264="W"),1+DH263,0+DH263)</f>
        <v>6</v>
      </c>
      <c r="DI264" s="133">
        <f>IF(DH264&gt;DH263,L264+DI263,DI263)</f>
        <v>30.83</v>
      </c>
      <c r="DJ264" t="s" s="304">
        <f>IF($D262="","",$D262)</f>
        <v>229</v>
      </c>
      <c r="DK264" s="286"/>
    </row>
    <row r="265" ht="14.55" customHeight="1">
      <c r="A265" s="171">
        <f>$A262+1</f>
        <v>88</v>
      </c>
      <c r="B265" t="s" s="172">
        <f>IF(AND(_xlfn.XLOOKUP(H265,H$97:H110,G$97:G110,0)=G265,_xlfn.XLOOKUP("TempoBet",K265:K267,L265:L267,0)&gt;0),"X",IF(OR(C265="W",C266="W",C267="W",C265="1/2W",C266="1/2W",C267="1/2W",C265="1/2L",C266="1/2L",C267="1/2L"),"OK",IF(OR(C265="L",C266="L",C267="L"),"LOSS",IF(OR(C265="X",C266="X",C267="X"),"Anulado"," "))))</f>
        <v>50</v>
      </c>
      <c r="C265" t="s" s="173">
        <v>51</v>
      </c>
      <c r="D265" t="s" s="305">
        <f>IF(G265="","",$D262)</f>
        <v>229</v>
      </c>
      <c r="E265" t="s" s="175">
        <f>IF(G265=""," ","– "&amp;COUNTIF(D$4:D267,$D265))</f>
        <v>93</v>
      </c>
      <c r="F265" t="s" s="176"/>
      <c r="G265" s="177">
        <v>44945.333333333336</v>
      </c>
      <c r="H265" t="s" s="178">
        <v>251</v>
      </c>
      <c r="I265" t="s" s="179">
        <v>65</v>
      </c>
      <c r="J265" s="291">
        <v>48.5</v>
      </c>
      <c r="K265" t="s" s="181">
        <v>40</v>
      </c>
      <c r="L265" s="182">
        <v>2.25</v>
      </c>
      <c r="M265" s="183">
        <v>5.5</v>
      </c>
      <c r="N265" s="184">
        <v>0.1</v>
      </c>
      <c r="O265" s="185">
        <f>IF(OR(AE265="",AE266=""),"",ROUND(IF(L267&gt;0,IF(M265&gt;0,M265,IF(M266&gt;0,ROUND((M266*AE265)/AE266,IF(N265=0,2,IF(N265=0.1,1,0))),ROUND((M267*AE265)/AE267,IF(N265=0,2,IF(N265=0.1,1,0))))),IF(M265&gt;0,M265,ROUND((M266*AE265)/AE266,IF(N265=0,2,IF(N265=0.1,1,0))))),2))</f>
        <v>5.5</v>
      </c>
      <c r="P265" s="186">
        <f>IF(OR(L265="",O265=""),"",IF($C265="1/2W",O265/2+O265/2*L265,IF($C265="1/2L",O265/2,IF(I265="Lay",(O265*(L265/(L265-1))-O265)*(1-_xlfn.XLOOKUP(K265,'Janeiro 2023 - Valor Real'!A3:A15,'Janeiro 2023 - Valor Real'!C3:C15,0))+O265,(O265*L265-O265)*(1-_xlfn.XLOOKUP(K265,'Janeiro 2023 - Valor Real'!A3:A15,'Janeiro 2023 - Valor Real'!C3:C15,0))+O265))))</f>
        <v>12.375</v>
      </c>
      <c r="Q265" s="187">
        <f>IF(K265="","",IF(_xlfn.XLOOKUP(K265,K$97:K110,DJ$97:DJ110,0,,-1)=DJ265,_xlfn.XLOOKUP(K265,K$97:K110,Q$97:Q110,1,,-1)+1,1))</f>
        <v>1</v>
      </c>
      <c r="R265" s="188">
        <f>IF(K265="","",_xlfn.XLOOKUP(K265,K$97:K110,R$97:R110,0,,-1)+IF($C265=" ",1,0))</f>
        <v>0</v>
      </c>
      <c r="S265" s="189">
        <f>IF($B265="Anulado",0,ROUND(IF(OR($B265="LOSS",$B265="OK"),IF(OR($C265="W",$C265="1/2W",$C265="1/2L"),P265-O265,IF($C265="L",-O265,0))+IF(OR($C266="W",$C266="1/2W",$C266="1/2L"),P266-O266,IF($C266="L",-O266,0))+IF(OR($C267="W",$C267="1/2W",$C267="1/2L"),P267-O267,IF($C267="L",-O267,0)),IF(AND(OR($C265="W",$C265="1/2W",$C265="1/2L"),C266="W"),P265+P266-SUM(O265:O267)+_xlfn.XLOOKUP("X",C265:C267,O265:O267,0),IF(AND(C265=TRUE,C267="W"),P265+P267-SUM(O265:O267),IF(AND(C266="W",C267="W"),P266+P267-SUM(O265:O267)+_xlfn.XLOOKUP("X",C265:C267,O265:O267,0),IF(L267&gt;0,IF(OR($C265="W",$C265="1/2W",$C265="1/2L"),P265-SUM(O265:O267)+_xlfn.XLOOKUP("X",C265:C267,O265:O267,0),IF(OR($C265="W",$C265="1/2W",$C265="1/2L"),P266-SUM(O265:O267)+_xlfn.XLOOKUP("X",C265:C267,O265:O267,0),IF(OR($C265="W",$C265="1/2W",$C265="1/2L"),P267-SUM(O265:O267)+_xlfn.XLOOKUP("X",C265:C267,O265:O267,0),IF(SUM(P265:P267)/3-SUM(O265:O267)+_xlfn.XLOOKUP("X",C265:C267,O265:O267,0)&gt;0,SUM(P265:P267)/3-SUM(O265:O267)+_xlfn.XLOOKUP("X",C265:C267,O265:O267,0),LARGE(P265:P267,1)-SUM(O265:O267))))),IF(OR($C265="W",$C265="1/2W",$C265="1/2L"),P265-SUM(O265:O266)+_xlfn.XLOOKUP("X",C265:C267,O265:O267,0),IF(OR($C265="W",$C265="1/2W",$C265="1/2L"),P266-SUM(O265:O266)+_xlfn.XLOOKUP("X",C265:C267,O265:O267,0),SUM(P265:P266)/2-SUM(O265:O266)+_xlfn.XLOOKUP("X",C265:C267,O265:O267,0)))))))),2))</f>
        <v>0.52</v>
      </c>
      <c r="T265" s="190">
        <f>IF(S265=0,0,S265/SUM(O265:O267))</f>
        <v>0.0436974789915966</v>
      </c>
      <c r="U265" s="191">
        <f>IF($D265=$D262,IF(OR($B265="LOSS",$B265="OK",$B265="Anulada"),S265,0)+U262,IF(OR($B265="LOSS",$B265="OK",$B265="Anulada"),S265,0))</f>
        <v>15.93</v>
      </c>
      <c r="V265" s="191">
        <f>IF($D265="",0,IF($D265=$D262,IF($B265=" ",IF(I267="",IF(OR(AND(I265="DNB1",I266="DNB2"),AND(OR(I265="DNB1",I265="DNB2"),J266=0),AND(OR(I266="DNB1",I266="DNB2"),J265=0),AND(I265="DNB2",I266="DNB1"),AND(IF(J265=0,(J265+1)/ROUND(J265+1,0),J265/ROUND(J265,0))=1,IF(J266=0,(J266+1)/ROUND(IF(J266="",0,J266)+1,0),IF(J266="",0,J266)/ROUND(IF(J266="",1,J266),0))=1,OR(J265&lt;&gt;""),J266&lt;&gt;"")),0,IF(S265&lt;0,IF(I267="",SMALL(P265:P266,1)-SUM(O265:O266),0),SMALL(P265:P266,1)-SUM(O265:O266))),IF(S265&lt;0,IF(I267="",SMALL(P265:P267,1)-SUM(O265:O267),0),LARGE(P265:P267,1)-SUM(O265:O267))),S265)+V262,IF(I267="",IF(OR(AND(I265="DNB1",I266="DNB2"),AND(OR(I265="DNB1",I265="DNB2"),J266=0),AND(OR(I266="DNB1",I266="DNB2"),J265=0),AND(I265="DNB2",I266="DNB1"),AND(IF(J265=0,(J265+1)/ROUND(J265+1,0),J265/ROUND(J265,0))=1,IF(J266=0,(IF(J266="",0,J266)+1)/ROUND(IF(J266="",0,J266)+1,0),IF(J266="",0,J266)/ROUND(IF(J266="",0,J266)+1,0))=1,OR(J265&lt;&gt;""),J266&lt;&gt;"")),0,IF(S265&lt;0,IF(I267="",SMALL(P265:P266,1)-SUM(O265:O266),0),SMALL(P265:P267,1)-SUM(O265:O267))),IF(S265&lt;0,IF(I267="",SMALL(P265:P267,1)-SUM(O265:O267),0),LARGE(P265:P267,1)-SUM(O265:O267)))))</f>
        <v>15.926</v>
      </c>
      <c r="W265" s="191">
        <f>IF($D265=$D262,IF(S265&lt;0,IF(I267="",S265,0),S265)+W262,S265)</f>
        <v>15.93</v>
      </c>
      <c r="X265" t="s" s="192">
        <f>IF(OR(SUM(R265:R267)=0,V265=W265),ROUND(IF(W265=0,0,W265/Y265)*100,2)&amp;"%",ROUND(IF(V265=0,0,V265/Y265)*100,2)&amp;"% a "&amp;ROUND(IF(W265=0,0,W265/Y265)*100,2)&amp;"%")</f>
        <v>126</v>
      </c>
      <c r="Y265" s="193">
        <f>IF($D265=$D262,Y262+SUM(O265:O267),SUM(O265:O267))</f>
        <v>460.27</v>
      </c>
      <c r="Z265" s="191">
        <f>IF($B265=" ",SUM(O265:O267),0)+Z262</f>
        <v>0</v>
      </c>
      <c r="AA265" s="191">
        <f>IF(G265="","",IF($B265="Anulado",LARGE(P265:P267,1)-SUM(O265:O267)+AA262,AA262))</f>
        <v>16.5099</v>
      </c>
      <c r="AB265" s="191">
        <f>IF($D265="","",AB262+S265)</f>
        <v>218.1</v>
      </c>
      <c r="AC265" s="194">
        <f>IF($D265="","",IF($B265=" ",IF(DAY(G265)=DAY(TODAY()),1+AC262,0+AC262),0+AC262))</f>
        <v>0</v>
      </c>
      <c r="AD265" s="195">
        <f>(((L266/(L266-1)-1)*(1-_xlfn.XLOOKUP(K266,'Janeiro 2023 - Valor Real'!A3:A15,'Janeiro 2023 - Valor Real'!C3:C15,0))+1))/(((L265-1)*(1-_xlfn.XLOOKUP(K265,'Janeiro 2023 - Valor Real'!A3:A15,'Janeiro 2023 - Valor Real'!C3:C15,0))+1)+((L266/(L266-1)-1)*(1-_xlfn.XLOOKUP(K266,'Janeiro 2023 - Valor Real'!A3:A15,'Janeiro 2023 - Valor Real'!C3:C15,0))+1))</f>
        <v>0.478421701602959</v>
      </c>
      <c r="AE265" s="196">
        <f>IF(L265="","",IF(L267&gt;0,(SUM(((L265-1)*(1-_xlfn.XLOOKUP(K265,'Janeiro 2023 - Valor Real'!A3:A15,'Janeiro 2023 - Valor Real'!C3:C15,0))+1),((L266-1)*(1-_xlfn.XLOOKUP(K266,'Janeiro 2023 - Valor Real'!A3:A15,'Janeiro 2023 - Valor Real'!C3:C15,0))+1),((L267-1)*(1-_xlfn.XLOOKUP(K267,'Janeiro 2023 - Valor Real'!A3:A15,'Janeiro 2023 - Valor Real'!C3:C15,0))+1))/((L265-1)*(1-_xlfn.XLOOKUP(K265,'Janeiro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Real'!C3:C15,0))+1))/((L265-1)*(1-_xlfn.XLOOKUP(K265,'Janeiro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Real'!C3:C15,0))+1))/((L266-1)*(1-_xlfn.XLOOKUP(K266,'Janeiro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Real'!C3:C15,0))+1))/((L267-1)*(1-_xlfn.XLOOKUP(K267,'Janeiro 2023 - Valor Real'!A3:A15,'Janeiro 2023 - Valor Real'!C3:C15,0))+1)),IF(I265="Lay",IF(I266="Lay",((L266/(L266-1)-1)*(1-_xlfn.XLOOKUP(K266,'Janeiro 2023 - Valor Real'!A3:A15,'Janeiro 2023 - Valor Real'!C3:C15,0))+1)/(((L266/(L266-1)-1)*(1-_xlfn.XLOOKUP(K266,'Janeiro 2023 - Valor Real'!A3:A15,'Janeiro 2023 - Valor Real'!C3:C15,0))+1)+((L265/(L265-1)-1)*(1-_xlfn.XLOOKUP(K265,'Janeiro 2023 - Valor Real'!A3:A15,'Janeiro 2023 - Valor Real'!C3:C15,0))+1)),((L266-1)*(1-_xlfn.XLOOKUP(K266,'Janeiro 2023 - Valor Real'!A3:A15,'Janeiro 2023 - Valor Real'!C3:C15,0))+1)/(((L266-1)*(1-_xlfn.XLOOKUP(K266,'Janeiro 2023 - Valor Real'!A3:A15,'Janeiro 2023 - Valor Real'!C3:C15,0))+1)+((L265/(L265-1)-1)*(1-_xlfn.XLOOKUP(K265,'Janeiro 2023 - Valor Real'!A3:A15,'Janeiro 2023 - Valor Real'!C3:C15,0))+1))),IF(I266="Lay",(((L266/(L266-1)-1)*(1-_xlfn.XLOOKUP(K266,'Janeiro 2023 - Valor Real'!A3:A15,'Janeiro 2023 - Valor Real'!C3:C15,0))+1))/(((L265-1)*(1-_xlfn.XLOOKUP(K265,'Janeiro 2023 - Valor Real'!A3:A15,'Janeiro 2023 - Valor Real'!C3:C15,0))+1)+((L266/(L266-1)-1)*(1-_xlfn.XLOOKUP(K266,'Janeiro 2023 - Valor Real'!A3:A15,'Janeiro 2023 - Valor Real'!C3:C15,0))+1)),((L266-1)*(1-_xlfn.XLOOKUP(K266,'Janeiro 2023 - Valor Real'!A3:A15,'Janeiro 2023 - Valor Real'!C3:C15,0))+1)/(((L266-1)*(1-_xlfn.XLOOKUP(K266,'Janeiro 2023 - Valor Real'!A3:A15,'Janeiro 2023 - Valor Real'!C3:C15,0))+1)+((L265-1)*(1-_xlfn.XLOOKUP(K265,'Janeiro 2023 - Valor Real'!A3:A15,'Janeiro 2023 - Valor Real'!C3:C15,0))+1))))))</f>
        <v>0.463007159904535</v>
      </c>
      <c r="AF265" s="197">
        <f>IF($K265=AF$3,ROUND(IF(OR($C265="W",$C265="1/2W",$C265="1/2L"),$P265-$O265,IF($C265="X",0,-$O265)),2),0)</f>
        <v>0</v>
      </c>
      <c r="AG265" s="198">
        <f>IF($K265=AG$3,ROUND(IF(OR($C265="W",$C265="1/2W",$C265="1/2L"),$P265-$O265,IF($C265="X",0,-$O265)),2),0)</f>
        <v>0</v>
      </c>
      <c r="AH265" s="198">
        <f>IF($K265=AH$3,ROUND(IF(OR($C265="W",$C265="1/2W",$C265="1/2L"),$P265-$O265,IF($C265="X",0,-$O265)),2),0)</f>
        <v>0</v>
      </c>
      <c r="AI265" s="198">
        <f>IF($K265=AI$3,ROUND(IF(OR($C265="W",$C265="1/2W",$C265="1/2L"),$P265-$O265,IF($C265="X",0,-$O265)),2),0)</f>
        <v>-5.5</v>
      </c>
      <c r="AJ265" s="198">
        <f>IF($K265=AJ$3,ROUND(IF(OR($C265="W",$C265="1/2W",$C265="1/2L"),$P265-$O265,IF($C265="X",0,-$O265)),2),0)</f>
        <v>0</v>
      </c>
      <c r="AK265" s="198">
        <f>IF($K265=AK$3,ROUND(IF(OR($C265="W",$C265="1/2W",$C265="1/2L"),$P265-$O265,IF($C265="X",0,-$O265)),2),0)</f>
        <v>0</v>
      </c>
      <c r="AL265" s="198">
        <f>IF($K265=AL$3,ROUND(IF(OR($C265="W",$C265="1/2W",$C265="1/2L"),$P265-$O265,IF($C265="X",0,-$O265)),2),0)</f>
        <v>0</v>
      </c>
      <c r="AM265" s="198">
        <f>IF($K265=AM$3,ROUND(IF(OR($C265="W",$C265="1/2W",$C265="1/2L"),$P265-$O265,IF($C265="X",0,-$O265)),2),0)</f>
        <v>0</v>
      </c>
      <c r="AN265" s="198">
        <f>IF($K265=AN$3,ROUND(IF(OR($C265="W",$C265="1/2W",$C265="1/2L"),$P265-$O265,IF($C265="X",0,-$O265)),2),0)</f>
        <v>0</v>
      </c>
      <c r="AO265" s="198">
        <f>IF($K265=AO$3,ROUND(IF(OR($C265="W",$C265="1/2W",$C265="1/2L"),$P265-$O265,IF($C265="X",0,-$O265)),2),0)</f>
        <v>0</v>
      </c>
      <c r="AP265" s="198">
        <f>IF($K265=AP$3,ROUND(IF(OR($C265="W",$C265="1/2W",$C265="1/2L"),$P265-$O265,IF($C265="X",0,-$O265)),2),0)</f>
        <v>0</v>
      </c>
      <c r="AQ265" s="198">
        <f>IF($K265=AQ$3,ROUND(IF(OR($C265="W",$C265="1/2W",$C265="1/2L"),$P265-$O265,IF($C265="X",0,-$O265)),2),0)</f>
        <v>0</v>
      </c>
      <c r="AR265" s="199">
        <f>IF($K265=AR$3,ROUND(IF(OR($C265="W",$C265="1/2W",$C265="1/2L"),$P265-$O265,IF($C265="X",0,-$O265)),2),0)</f>
        <v>0</v>
      </c>
      <c r="AS265" s="197">
        <f>IF(AND($B265=" ",$K265=AS$3),$O265,0)</f>
        <v>0</v>
      </c>
      <c r="AT265" s="198">
        <f>IF(AND($B265=" ",$K265=AT$3),$O265,0)</f>
        <v>0</v>
      </c>
      <c r="AU265" s="198">
        <f>IF(AND($B265=" ",$K265=AU$3),$O265,0)</f>
        <v>0</v>
      </c>
      <c r="AV265" s="198">
        <f>IF(AND($B265=" ",$K265=AV$3),$O265,0)</f>
        <v>0</v>
      </c>
      <c r="AW265" s="198">
        <f>IF(AND($B265=" ",$K265=AW$3),$O265,0)</f>
        <v>0</v>
      </c>
      <c r="AX265" s="198">
        <f>IF(AND($B265=" ",$K265=AX$3),$O265,0)</f>
        <v>0</v>
      </c>
      <c r="AY265" s="200">
        <f>IF(AND($B265=" ",$K265=AY$3),$O265,0)</f>
        <v>0</v>
      </c>
      <c r="AZ265" s="201">
        <f>IF(AND($B265=" ",$K265=AZ$3),$O265,0)</f>
        <v>0</v>
      </c>
      <c r="BA265" s="201">
        <f>IF(AND($B265=" ",$K265=BA$3),$O265,0)</f>
        <v>0</v>
      </c>
      <c r="BB265" s="201">
        <f>IF(AND($B265=" ",$K265=BB$3),$O265,0)</f>
        <v>0</v>
      </c>
      <c r="BC265" s="202">
        <f>IF(AND($B265=" ",$K265=BC$3),$O265,0)</f>
        <v>0</v>
      </c>
      <c r="BD265" s="198">
        <f>IF(AND($B265=" ",$K265=BD$3),$O265,0)</f>
        <v>0</v>
      </c>
      <c r="BE265" s="199">
        <f>IF(AND($B265=" ",$K265=BE$3),$O265,0)</f>
        <v>0</v>
      </c>
      <c r="BF265" s="203">
        <f>IF($K265=BF$3,IF($C265="X",0,$O265),0)</f>
        <v>0</v>
      </c>
      <c r="BG265" s="198">
        <f>IF($K265=BG$3,IF($C265="X",0,$O265),0)</f>
        <v>0</v>
      </c>
      <c r="BH265" s="198">
        <f>IF($K265=BH$3,IF($C265="X",0,$O265),0)</f>
        <v>0</v>
      </c>
      <c r="BI265" s="198">
        <f>IF($K265=BI$3,IF($C265="X",0,$O265),0)</f>
        <v>5.5</v>
      </c>
      <c r="BJ265" s="198">
        <f>IF($K265=BJ$3,IF($C265="X",0,$O265),0)</f>
        <v>0</v>
      </c>
      <c r="BK265" s="198">
        <f>IF($K265=BK$3,IF($C265="X",0,$O265),0)</f>
        <v>0</v>
      </c>
      <c r="BL265" s="198">
        <f>IF($K265=BL$3,IF($C265="X",0,$O265),0)</f>
        <v>0</v>
      </c>
      <c r="BM265" s="200">
        <f>IF($K265=BM$3,IF($C265="X",0,$O265),0)</f>
        <v>0</v>
      </c>
      <c r="BN265" s="201">
        <f>IF($K265=BN$3,IF($C265="X",0,$O265),0)</f>
        <v>0</v>
      </c>
      <c r="BO265" s="201">
        <f>IF($K265=BO$3,IF($C265="X",0,$O265),0)</f>
        <v>0</v>
      </c>
      <c r="BP265" s="201">
        <f>IF($K265=BP$3,IF($C265="X",0,$O265),0)</f>
        <v>0</v>
      </c>
      <c r="BQ265" s="202">
        <f>IF($K265=BQ$3,IF($C265="X",0,$O265),0)</f>
        <v>0</v>
      </c>
      <c r="BR265" s="199">
        <f>IF($K265=BR$3,IF($C265="X",0,$O265),0)</f>
        <v>0</v>
      </c>
      <c r="BS265" s="204">
        <f>IF($B265="LOSS",IF(AND($K265=BS$3,$C265="L"),-$O265,0)+IF(AND($K266=BS$3,$C266="L"),-$O266,0)+IF(AND($K267=BS$3,$C267="L"),-$O267,0),IF(OR(AND($K265=BS$3,OR($C265="W",$C265="1/2W")),AND($K266=BS$3,OR($C266="W",$C266="1/2W")),AND($K267=BS$3,OR($C267="W",$C267="1/2W"))),$S265,0))</f>
        <v>0</v>
      </c>
      <c r="BT265" s="201">
        <f>IF($B265="LOSS",IF(AND($K265=BT$3,$C265="L"),-$O265,0)+IF(AND($K266=BT$3,$C266="L"),-$O266,0)+IF(AND($K266=BT$3,$C267="L"),-$O267,0),IF(OR(AND($K266=BT$3,OR($C265="W",$C265="1/2W")),AND($K266=BT$3,OR($C266="W",$C266="1/2W")),AND($K266=BT$3,OR($C267="W",$C267="1/2W"))),$S265,0))</f>
        <v>0</v>
      </c>
      <c r="BU265" s="201">
        <f>IF($B265="LOSS",IF(AND($K265=BU$3,$C265="L"),-$O265,0)+IF(AND($K266=BU$3,$C266="L"),-$O266,0)+IF(AND($K266=BU$3,$C267="L"),-$O267,0),IF(OR(AND($K266=BU$3,OR($C265="W",$C265="1/2W")),AND($K266=BU$3,OR($C266="W",$C266="1/2W")),AND($K266=BU$3,OR($C267="W",$C267="1/2W"))),$S265,0))</f>
        <v>0</v>
      </c>
      <c r="BV265" s="201">
        <f>IF($B265="LOSS",IF(AND($K265=BV$3,$C265="L"),-$O265,0)+IF(AND($K266=BV$3,$C266="L"),-$O266,0)+IF(AND($K267=BV$3,$C267="L"),-$O267,0),IF(OR(AND($K265=BV$3,OR($C265="W",$C265="1/2W")),AND($K266=BV$3,OR($C266="W",$C266="1/2W")),AND($K267=BV$3,OR($C267="W",$C267="1/2W"))),$S265,0))</f>
        <v>0</v>
      </c>
      <c r="BW265" s="201">
        <f>IF($B265="LOSS",IF(AND($K265=BW$3,$C265="L"),-$O265,0)+IF(AND($K266=BW$3,$C266="L"),-$O266,0)+IF(AND($K267=BW$3,$C267="L"),-$O267,0),IF(OR(AND($K265=BW$3,OR($C265="W",$C265="1/2W")),AND($K266=BW$3,OR($C266="W",$C266="1/2W")),AND($K267=BW$3,OR($C267="W",$C267="1/2W"))),$S265,0))</f>
        <v>0.52</v>
      </c>
      <c r="BX265" s="201">
        <f>IF($B265="LOSS",IF(AND($K265=BX$3,$C265="L"),-$O265,0)+IF(AND($K266=BX$3,$C266="L"),-$O266,0)+IF(AND($K267=BX$3,$C267="L"),-$O267,0),IF(OR(AND($K265=BX$3,OR($C265="W",$C265="1/2W")),AND($K266=BX$3,OR($C266="W",$C266="1/2W")),AND($K267=BX$3,OR($C267="W",$C267="1/2W"))),$S265,0))</f>
        <v>0</v>
      </c>
      <c r="BY265" s="201">
        <f>IF($B265="LOSS",IF(AND($K265=BY$3,$C265="L"),-$O265,0)+IF(AND($K266=BY$3,$C266="L"),-$O266,0)+IF(AND($K267=BY$3,$C267="L"),-$O267,0),IF(OR(AND($K265=BY$3,OR($C265="W",$C265="1/2W")),AND($K266=BY$3,OR($C266="W",$C266="1/2W")),AND($K267=BY$3,OR($C267="W",$C267="1/2W"))),$S265,0))</f>
        <v>0</v>
      </c>
      <c r="BZ265" s="205">
        <f>IF($B265="LOSS",IF(AND($K265=BZ$3,$C265="L"),-$O265,0)+IF(AND($K266=BZ$3,$C266="L"),-$O266,0)+IF(AND($K267=BZ$3,$C267="L"),-$O267,0),IF(OR(AND($K265=BZ$3,OR($C265="W",$C265="1/2W")),AND($K266=BZ$3,OR($C266="W",$C266="1/2W")),AND($K267=BZ$3,OR($C267="W",$C267="1/2W"))),$S265,0))</f>
        <v>0</v>
      </c>
      <c r="CA265" s="205">
        <f>IF($B265="LOSS",IF(AND($K265=CA$3,$C265="L"),-$O265,0)+IF(AND($K266=CA$3,$C266="L"),-$O266,0)+IF(AND($K267=CA$3,$C267="L"),-$O267,0),IF(OR(AND($K265=CA$3,OR($C265="W",$C265="1/2W")),AND($K266=CA$3,OR($C266="W",$C266="1/2W")),AND($K267=CA$3,OR($C267="W",$C267="1/2W"))),$S265,0))</f>
        <v>0</v>
      </c>
      <c r="CB265" s="205">
        <f>IF($B265="LOSS",IF(AND($K265=CB$3,$C265="L"),-$O265,0)+IF(AND($K266=CB$3,$C266="L"),-$O266,0)+IF(AND($K267=CB$3,$C267="L"),-$O267,0),IF(OR(AND($K265=CB$3,OR($C265="W",$C265="1/2W")),AND($K266=CB$3,OR($C266="W",$C266="1/2W")),AND($K267=CB$3,OR($C267="W",$C267="1/2W"))),$S265,0))</f>
        <v>0</v>
      </c>
      <c r="CC265" s="205">
        <f>IF($B265="LOSS",IF(AND($K265=CC$3,$C265="L"),-$O265,0)+IF(AND($K266=CC$3,$C266="L"),-$O266,0)+IF(AND($K267=CC$3,$C267="L"),-$O267,0),IF(OR(AND($K265=CC$3,OR($C265="W",$C265="1/2W")),AND($K266=CC$3,OR($C266="W",$C266="1/2W")),AND($K267=CC$3,OR($C267="W",$C267="1/2W"))),$S265,0))</f>
        <v>0</v>
      </c>
      <c r="CD265" s="202">
        <f>IF($B265="LOSS",IF(AND($K265=CD$3,$C265="L"),-$O265,0)+IF(AND($K266=CD$3,$C266="L"),-$O266,0)+IF(AND($K267=CD$3,$C267="L"),-$O267,0),IF(OR(AND($K265=CD$3,OR($C265="W",$C265="1/2W")),AND($K266=CD$3,OR($C266="W",$C266="1/2W")),AND($K267=CD$3,OR($C267="W",$C267="1/2W"))),$S265,0))</f>
        <v>0</v>
      </c>
      <c r="CE265" s="199">
        <f>IF($B265="LOSS",IF(AND($K265=CE$3,$C265="L"),-$O265,0)+IF(AND($K266=CE$3,$C266="L"),-$O266,0)+IF(AND($K267=CE$3,$C267="L"),-$O267,0),IF(OR(AND($K265=CE$3,OR($C265="W",$C265="1/2W")),AND($K266=CE$3,OR($C266="W",$C266="1/2W")),AND($K267=CE$3,OR($C267="W",$C267="1/2W"))),$S265,0))</f>
        <v>0</v>
      </c>
      <c r="CF265" s="206">
        <f>IF(CF$3=$K265,IF($C265="W",1,IF($C265="1/2W",0.5,0)),0)</f>
        <v>0</v>
      </c>
      <c r="CG265" s="207">
        <f>IF(CF$3=$K265,IF($C265="L",1,IF($C265="1/2L",0.5,0)),0)</f>
        <v>0</v>
      </c>
      <c r="CH265" s="207">
        <f>IF(CH$3=$K265,IF($C265="W",1,IF($C265="1/2W",0.5,0)),0)</f>
        <v>0</v>
      </c>
      <c r="CI265" s="207">
        <f>IF(CH$3=$K265,IF($C265="L",1,IF($C265="1/2L",0.5,0)),0)</f>
        <v>0</v>
      </c>
      <c r="CJ265" s="207">
        <f>IF(CJ$3=$K265,IF($C265="W",1,IF($C265="1/2W",0.5,0)),0)</f>
        <v>0</v>
      </c>
      <c r="CK265" s="207">
        <f>IF(CJ$3=$K265,IF($C265="L",1,IF($C265="1/2L",0.5,0)),0)</f>
        <v>0</v>
      </c>
      <c r="CL265" s="207">
        <f>IF(CL$3=$K265,IF($C265="W",1,IF($C265="1/2W",0.5,0)),0)</f>
        <v>0</v>
      </c>
      <c r="CM265" s="207">
        <f>IF(CL$3=$K265,IF($C265="L",1,IF($C265="1/2L",0.5,0)),0)</f>
        <v>1</v>
      </c>
      <c r="CN265" s="207">
        <f>IF(CN$3=$K265,IF($C265="W",1,IF($C265="1/2W",0.5,0)),0)</f>
        <v>0</v>
      </c>
      <c r="CO265" s="207">
        <f>IF(CN$3=$K265,IF($C265="L",1,IF($C265="1/2L",0.5,0)),0)</f>
        <v>0</v>
      </c>
      <c r="CP265" s="207">
        <f>IF(CP$3=$K265,IF($C265="W",1,IF($C265="1/2W",0.5,0)),0)</f>
        <v>0</v>
      </c>
      <c r="CQ265" s="207">
        <f>IF(CP$3=$K265,IF($C265="L",1,IF($C265="1/2L",0.5,0)),0)</f>
        <v>0</v>
      </c>
      <c r="CR265" s="207">
        <f>IF(CR$3=$K265,IF($C265="W",1,IF($C265="1/2W",0.5,0)),0)</f>
        <v>0</v>
      </c>
      <c r="CS265" s="207">
        <f>IF(CR$3=$K265,IF($C265="L",1,IF($C265="1/2L",0.5,0)),0)</f>
        <v>0</v>
      </c>
      <c r="CT265" s="208">
        <f>IF(CT$3=$K265,IF($C265="W",1,IF($C265="1/2W",0.5,0)),0)</f>
        <v>0</v>
      </c>
      <c r="CU265" s="209">
        <f>IF(CT$3=$K265,IF($C265="L",1,IF($C265="1/2L",0.5,0)),0)</f>
        <v>0</v>
      </c>
      <c r="CV265" s="209">
        <f>IF(CV$3=$K265,IF($C265="W",1,IF($C265="1/2W",0.5,0)),0)</f>
        <v>0</v>
      </c>
      <c r="CW265" s="209">
        <f>IF(CV$3=$K265,IF($C265="L",1,IF($C265="1/2L",0.5,0)),0)</f>
        <v>0</v>
      </c>
      <c r="CX265" s="209">
        <f>IF(CX$3=$K265,IF($C265="W",1,IF($C265="1/2W",0.5,0)),0)</f>
        <v>0</v>
      </c>
      <c r="CY265" s="209">
        <f>IF(CX$3=$K265,IF($C265="L",1,IF($C265="1/2L",0.5,0)),0)</f>
        <v>0</v>
      </c>
      <c r="CZ265" s="209">
        <f>IF(CZ$3=$K265,IF($C265="W",1,IF($C265="1/2W",0.5,0)),0)</f>
        <v>0</v>
      </c>
      <c r="DA265" s="209">
        <f>IF(CZ$3=$K265,IF($C265="L",1,IF($C265="1/2L",0.5,0)),0)</f>
        <v>0</v>
      </c>
      <c r="DB265" s="209">
        <f>IF(DB$3=$K265,IF($C265="W",1,IF($C265="1/2W",0.5,0)),0)</f>
        <v>0</v>
      </c>
      <c r="DC265" s="209">
        <f>IF(DB$3=$K265,IF($C265="L",1,IF($C265="1/2L",0.5,0)),0)</f>
        <v>0</v>
      </c>
      <c r="DD265" s="209">
        <f>IF(DD$3=$K265,IF($C265="W",1,IF($C265="1/2W",0.5,0)),0)</f>
        <v>0</v>
      </c>
      <c r="DE265" s="210">
        <f>IF(DD$3=$K265,IF($C265="L",1,IF($C265="1/2L",0.5,0)),0)</f>
        <v>0</v>
      </c>
      <c r="DF265" s="211">
        <f>IF(AND(L265&lt;DF$3,$C265="W"),1+DF264,DF264)</f>
        <v>10</v>
      </c>
      <c r="DG265" s="198">
        <f>IF(DF265&gt;DF264,L265+DG264,DG264)</f>
        <v>13.078</v>
      </c>
      <c r="DH265" s="209">
        <f>IF(AND(L265&gt;DH$3,$C265="W"),1+DH264,0+DH264)</f>
        <v>6</v>
      </c>
      <c r="DI265" s="198">
        <f>IF(DH265&gt;DH264,L265+DI264,DI264)</f>
        <v>30.83</v>
      </c>
      <c r="DJ265" t="s" s="306">
        <f>IF($D265="","",$D265)</f>
        <v>229</v>
      </c>
      <c r="DK265" s="209">
        <f>IF(AND($B265=" ",$D265&lt;&gt;""),1,0)</f>
        <v>0</v>
      </c>
    </row>
    <row r="266" ht="14.55" customHeight="1">
      <c r="A266" s="107"/>
      <c r="B266" s="108"/>
      <c r="C266" t="s" s="213">
        <v>56</v>
      </c>
      <c r="D266" s="110"/>
      <c r="E266" s="111"/>
      <c r="F266" s="113"/>
      <c r="G266" s="214"/>
      <c r="H266" s="114"/>
      <c r="I266" t="s" s="215">
        <v>67</v>
      </c>
      <c r="J266" s="296">
        <f>IF(OR(I265="TO",I265="TU",I265="TO1",I265="TU1",I265="TO2",I265="TU2"),J265,IF(OR(I265="AH1",I265="AH2"),IF(OR(I266="AH1",I266="AH2"),-J265,IF(OR(I266="EH1",I266="EH2"),-J265+0.5,"")),IF(OR(I265="EH1",I265="EH2"),IF(OR(I266="AH1",I266="AH2"),-J265+0.5,IF(OR(I266="EH1",I266="EH2"),-J265+1,"")),IF(AND(OR(I265="DNB1",I265="DNB2"),OR(I266="AH1",I266="AH2")),0,IF(AND(I265="Not ScoreBoth",OR(I266="TO1",I266="TO2")),0.5,"")))))</f>
        <v>48.5</v>
      </c>
      <c r="K266" t="s" s="217">
        <v>41</v>
      </c>
      <c r="L266" s="218">
        <v>1.94</v>
      </c>
      <c r="M266" s="219"/>
      <c r="N266" s="120"/>
      <c r="O266" s="220">
        <f>IF(OR(AE265="",AE266=""),"",ROUND(IF(L267&gt;0,IF(M266&gt;0,M266,IF(M265&gt;0,IF(N265=TRUE,ROUND((M265*AE266)/AE265,0),(M265*AE266)/AE265),IF(M266&gt;0,ROUND(M266,IF(N265=0,2,IF(N265=0.1,1,0))),IF(M267&gt;0,ROUND(O267*AE266/AE267,IF(N265=0,2,IF(N265=0.1,1,0))),0)))),IF(M266&gt;0,M266,ROUND((M265*AE266)/AE265,IF(N265=0,2,IF(N265=0.1,1,0))))),2))</f>
        <v>6.4</v>
      </c>
      <c r="P266" s="221">
        <f>IF(OR(L266="",O266=""),"",IF($C266="1/2W",O266/2+O266/2*L266,IF($C266="1/2L",O266/2,IF(I266="Lay",((O266*(L266/(L266-1)))-O266)*(1-_xlfn.XLOOKUP(K266,'Janeiro 2023 - Valor Real'!A3:A15,'Janeiro 2023 - Valor Real'!C3:C15,0))+O266,(O266*L266-O266)*(1-_xlfn.XLOOKUP(K266,'Janeiro 2023 - Valor Real'!A3:A15,'Janeiro 2023 - Valor Real'!C3:C15,0))+O266))))</f>
        <v>12.416</v>
      </c>
      <c r="Q266" s="222">
        <f>IF(K266="","",IF(_xlfn.XLOOKUP(K266,K$98:K111,DJ$98:DJ111,0,,-1)=DJ266,_xlfn.XLOOKUP(K266,K$98:K111,Q$98:Q111,1,,-1)+1,1))</f>
        <v>1</v>
      </c>
      <c r="R266" s="223">
        <f>IF(K266="","",_xlfn.XLOOKUP(K266,K$98:K111,R$98:R111,0,,-1)+IF($C266=" ",1,0))</f>
        <v>0</v>
      </c>
      <c r="S266" s="125"/>
      <c r="T266" s="126"/>
      <c r="U266" s="126"/>
      <c r="V266" s="224"/>
      <c r="W266" s="126"/>
      <c r="X266" s="127"/>
      <c r="Y266" s="128"/>
      <c r="Z266" s="129"/>
      <c r="AA266" s="129"/>
      <c r="AB266" s="129"/>
      <c r="AC266" s="129"/>
      <c r="AD266" s="225">
        <f>(((L266/(L266-1)-1)*(1-_xlfn.XLOOKUP(K266,'Janeiro 2023 - Valor Real'!A3:A15,'Janeiro 2023 - Valor Real'!C3:C15,0))+1))</f>
        <v>2.06382978723404</v>
      </c>
      <c r="AE266" s="226">
        <f>IF(L266="","",IF(L267&gt;0,(SUM(((L265-1)*(1-_xlfn.XLOOKUP(K265,'Janeiro 2023 - Valor Real'!A3:A15,'Janeiro 2023 - Valor Real'!C3:C15,0))+1),((L266-1)*(1-_xlfn.XLOOKUP(K266,'Janeiro 2023 - Valor Real'!A3:A15,'Janeiro 2023 - Valor Real'!C3:C15,0))+1),((L267-1)*(1-_xlfn.XLOOKUP(K267,'Janeiro 2023 - Valor Real'!A3:A15,'Janeiro 2023 - Valor Real'!C3:C15,0))+1))/((L266-1)*(1-_xlfn.XLOOKUP(K266,'Janeiro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Real'!C3:C15,0))+1))/((L265-1)*(1-_xlfn.XLOOKUP(K265,'Janeiro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Real'!C3:C15,0))+1))/((L266-1)*(1-_xlfn.XLOOKUP(K266,'Janeiro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Real'!C3:C15,0))+1))/((L267-1)*(1-_xlfn.XLOOKUP(K267,'Janeiro 2023 - Valor Real'!A3:A15,'Janeiro 2023 - Valor Real'!C3:C15,0))+1)),IF(I266="Lay",IF(I265="Lay",((L265/(L265-1)-1)*(1-_xlfn.XLOOKUP(K265,'Janeiro 2023 - Valor Real'!A3:A15,'Janeiro 2023 - Valor Real'!C3:C15,0))+1)/(((L265/(L265-1)-1)*(1-_xlfn.XLOOKUP(K265,'Janeiro 2023 - Valor Real'!A3:A15,'Janeiro 2023 - Valor Real'!C3:C15,0))+1)+((L266/(L266-1)-1)*(1-_xlfn.XLOOKUP(K266,'Janeiro 2023 - Valor Real'!A3:A15,'Janeiro 2023 - Valor Real'!C3:C15,0))+1)),((L265-1)*(1-_xlfn.XLOOKUP(K265,'Janeiro 2023 - Valor Real'!A3:A15,'Janeiro 2023 - Valor Real'!C3:C15,0))+1)/(((L265-1)*(1-_xlfn.XLOOKUP(K265,'Janeiro 2023 - Valor Real'!A3:A15,'Janeiro 2023 - Valor Real'!C3:C15,0))+1)+((L266/(L266-1)-1)*(1-_xlfn.XLOOKUP(K266,'Janeiro 2023 - Valor Real'!A3:A15,'Janeiro 2023 - Valor Real'!C3:C15,0))+1))),IF(I265="Lay",((L265/(L265-1)-1)*(1-_xlfn.XLOOKUP(K265,'Janeiro 2023 - Valor Real'!A3:A15,'Janeiro 2023 - Valor Real'!C3:C15,0))+1)/((((L265/(L265-1)-1)*(1-_xlfn.XLOOKUP(K265,'Janeiro 2023 - Valor Real'!A3:A15,'Janeiro 2023 - Valor Real'!C3:C15,0))+1))+((L266-1)*(1-_xlfn.XLOOKUP(K266,'Janeiro 2023 - Valor Real'!A3:A15,'Janeiro 2023 - Valor Real'!C3:C15,0))+1)),((L265-1)*(1-_xlfn.XLOOKUP(K265,'Janeiro 2023 - Valor Real'!A3:A15,'Janeiro 2023 - Valor Real'!C3:C15,0))+1)/(((L265-1)*(1-_xlfn.XLOOKUP(K265,'Janeiro 2023 - Valor Real'!A3:A15,'Janeiro 2023 - Valor Real'!C3:C15,0))+1)+((L266-1)*(1-_xlfn.XLOOKUP(K266,'Janeiro 2023 - Valor Real'!A3:A15,'Janeiro 2023 - Valor Real'!C3:C15,0))+1))))))</f>
        <v>0.536992840095465</v>
      </c>
      <c r="AF266" s="197">
        <f>IF($K266=AF$3,ROUND(IF(OR($C266="W",$C266="1/2W",$C266="1/2L"),$P266-$O266,IF($C266="X",0,-$O266)),2),0)</f>
        <v>0</v>
      </c>
      <c r="AG266" s="198">
        <f>IF($K266=AG$3,ROUND(IF(OR($C266="W",$C266="1/2W",$C266="1/2L"),$P266-$O266,IF($C266="X",0,-$O266)),2),0)</f>
        <v>0</v>
      </c>
      <c r="AH266" s="198">
        <f>IF($K266=AH$3,ROUND(IF(OR($C266="W",$C266="1/2W",$C266="1/2L"),$P266-$O266,IF($C266="X",0,-$O266)),2),0)</f>
        <v>0</v>
      </c>
      <c r="AI266" s="198">
        <f>IF($K266=AI$3,ROUND(IF(OR($C266="W",$C266="1/2W",$C266="1/2L"),$P266-$O266,IF($C266="X",0,-$O266)),2),0)</f>
        <v>0</v>
      </c>
      <c r="AJ266" s="198">
        <f>IF($K266=AJ$3,ROUND(IF(OR($C266="W",$C266="1/2W",$C266="1/2L"),$P266-$O266,IF($C266="X",0,-$O266)),2),0)</f>
        <v>6.02</v>
      </c>
      <c r="AK266" s="198">
        <f>IF($K266=AK$3,ROUND(IF(OR($C266="W",$C266="1/2W",$C266="1/2L"),$P266-$O266,IF($C266="X",0,-$O266)),2),0)</f>
        <v>0</v>
      </c>
      <c r="AL266" s="198">
        <f>IF($K266=AL$3,ROUND(IF(OR($C266="W",$C266="1/2W",$C266="1/2L"),$P266-$O266,IF($C266="X",0,-$O266)),2),0)</f>
        <v>0</v>
      </c>
      <c r="AM266" s="198">
        <f>IF($K266=AM$3,ROUND(IF(OR($C266="W",$C266="1/2W",$C266="1/2L"),$P266-$O266,IF($C266="X",0,-$O266)),2),0)</f>
        <v>0</v>
      </c>
      <c r="AN266" s="198">
        <f>IF($K266=AN$3,ROUND(IF(OR($C266="W",$C266="1/2W",$C266="1/2L"),$P266-$O266,IF($C266="X",0,-$O266)),2),0)</f>
        <v>0</v>
      </c>
      <c r="AO266" s="198">
        <f>IF($K266=AO$3,ROUND(IF(OR($C266="W",$C266="1/2W",$C266="1/2L"),$P266-$O266,IF($C266="X",0,-$O266)),2),0)</f>
        <v>0</v>
      </c>
      <c r="AP266" s="198">
        <f>IF($K266=AP$3,ROUND(IF(OR($C266="W",$C266="1/2W",$C266="1/2L"),$P266-$O266,IF($C266="X",0,-$O266)),2),0)</f>
        <v>0</v>
      </c>
      <c r="AQ266" s="198">
        <f>IF($K266=AQ$3,ROUND(IF(OR($C266="W",$C266="1/2W",$C266="1/2L"),$P266-$O266,IF($C266="X",0,-$O266)),2),0)</f>
        <v>0</v>
      </c>
      <c r="AR266" s="199">
        <f>IF($K266=AR$3,ROUND(IF(OR($C266="W",$C266="1/2W",$C266="1/2L"),$P266-$O266,IF($C266="X",0,-$O266)),2),0)</f>
        <v>0</v>
      </c>
      <c r="AS266" s="197">
        <f>IF(AND($B265=" ",$K266=AS$3),$O266,0)</f>
        <v>0</v>
      </c>
      <c r="AT266" s="198">
        <f>IF(AND($B265=" ",K266=AT$3),$O266,0)</f>
        <v>0</v>
      </c>
      <c r="AU266" s="198">
        <f>IF(AND($B265=" ",$K266=AU$3),$O266,0)</f>
        <v>0</v>
      </c>
      <c r="AV266" s="198">
        <f>IF(AND($B265=" ",$K266=AV$3),$O266,0)</f>
        <v>0</v>
      </c>
      <c r="AW266" s="198">
        <f>IF(AND($B265=" ",$K266=AW$3),$O266,0)</f>
        <v>0</v>
      </c>
      <c r="AX266" s="198">
        <f>IF(AND($B265=" ",$K266=AX$3),$O266,0)</f>
        <v>0</v>
      </c>
      <c r="AY266" s="200">
        <f>IF(AND($B265=" ",$K266=AY$3),$O266,0)</f>
        <v>0</v>
      </c>
      <c r="AZ266" s="201">
        <f>IF(AND($B265=" ",$K266=AZ$3),$O266,0)</f>
        <v>0</v>
      </c>
      <c r="BA266" s="201">
        <f>IF(AND($B265=" ",$K266=BA$3),$O266,0)</f>
        <v>0</v>
      </c>
      <c r="BB266" s="201">
        <f>IF(AND($B265=" ",$K266=BB$3),$O266,0)</f>
        <v>0</v>
      </c>
      <c r="BC266" s="202">
        <f>IF(AND($B265=" ",$K266=BC$3),$O266,0)</f>
        <v>0</v>
      </c>
      <c r="BD266" s="198">
        <f>IF(AND($B265=" ",$K266=BD$3),$O266,0)</f>
        <v>0</v>
      </c>
      <c r="BE266" s="199">
        <f>IF(AND($B265=" ",$K266=BE$3),$O266,0)</f>
        <v>0</v>
      </c>
      <c r="BF266" s="197">
        <f>IF($K266=BF$3,IF($C266="X",0,$O266),0)</f>
        <v>0</v>
      </c>
      <c r="BG266" s="198">
        <f>IF($K266=BG$3,IF($C266="X",0,$O266),0)</f>
        <v>0</v>
      </c>
      <c r="BH266" s="198">
        <f>IF($K266=BH$3,IF($C266="X",0,$O266),0)</f>
        <v>0</v>
      </c>
      <c r="BI266" s="198">
        <f>IF($K266=BI$3,IF($C266="X",0,$O266),0)</f>
        <v>0</v>
      </c>
      <c r="BJ266" s="198">
        <f>IF($K266=BJ$3,IF($C266="X",0,$O266),0)</f>
        <v>6.4</v>
      </c>
      <c r="BK266" s="198">
        <f>IF($K266=BK$3,IF($C266="X",0,$O266),0)</f>
        <v>0</v>
      </c>
      <c r="BL266" s="198">
        <f>IF($K266=BL$3,IF($C266="X",0,$O266),0)</f>
        <v>0</v>
      </c>
      <c r="BM266" s="227">
        <f>IF($K266=BM$3,IF($C266="X",0,$O266),0)</f>
        <v>0</v>
      </c>
      <c r="BN266" s="205">
        <f>IF($K266=BN$3,IF($C266="X",0,$O266),0)</f>
        <v>0</v>
      </c>
      <c r="BO266" s="205">
        <f>IF($K266=BO$3,IF($C266="X",0,$O266),0)</f>
        <v>0</v>
      </c>
      <c r="BP266" s="205">
        <f>IF($K266=BP$3,IF($C266="X",0,$O266),0)</f>
        <v>0</v>
      </c>
      <c r="BQ266" s="202">
        <f>IF($K266=BQ$3,IF($C266="X",0,$O266),0)</f>
        <v>0</v>
      </c>
      <c r="BR266" s="199">
        <f>IF($K266=BR$3,IF($C266="X",0,$O266),0)</f>
        <v>0</v>
      </c>
      <c r="BS266" s="228"/>
      <c r="BT266" s="229"/>
      <c r="BU266" s="140"/>
      <c r="BV266" s="229"/>
      <c r="BW266" s="140"/>
      <c r="BX266" s="140"/>
      <c r="BY266" s="140"/>
      <c r="BZ266" s="229"/>
      <c r="CA266" s="140"/>
      <c r="CB266" s="140"/>
      <c r="CC266" s="140"/>
      <c r="CD266" s="141"/>
      <c r="CE266" s="142"/>
      <c r="CF266" s="230">
        <f>IF(CF$3=$K266,IF($C266="W",1,IF($C266="1/2W",0.5,0)),0)</f>
        <v>0</v>
      </c>
      <c r="CG266" s="231">
        <f>IF(CF$3=$K266,IF($C266="L",1,IF($C266="1/2L",0.5,0)),0)</f>
        <v>0</v>
      </c>
      <c r="CH266" s="231">
        <f>IF(CH$3=$K266,IF($C266="W",1,IF($C266="1/2W",0.5,0)),0)</f>
        <v>0</v>
      </c>
      <c r="CI266" s="231">
        <f>IF(CH$3=$K266,IF($C266="L",1,IF($C266="1/2L",0.5,0)),0)</f>
        <v>0</v>
      </c>
      <c r="CJ266" s="231">
        <f>IF(CJ$3=$K266,IF($C266="W",1,IF($C266="1/2W",0.5,0)),0)</f>
        <v>0</v>
      </c>
      <c r="CK266" s="231">
        <f>IF(CJ$3=$K266,IF($C266="L",1,IF($C266="1/2L",0.5,0)),0)</f>
        <v>0</v>
      </c>
      <c r="CL266" s="231">
        <f>IF(CL$3=$K266,IF($C266="W",1,IF($C266="1/2W",0.5,0)),0)</f>
        <v>0</v>
      </c>
      <c r="CM266" s="231">
        <f>IF(CL$3=$K266,IF($C266="L",1,IF($C266="1/2L",0.5,0)),0)</f>
        <v>0</v>
      </c>
      <c r="CN266" s="231">
        <f>IF(CN$3=$K266,IF($C266="W",1,IF($C266="1/2W",0.5,0)),0)</f>
        <v>1</v>
      </c>
      <c r="CO266" s="231">
        <f>IF(CN$3=$K266,IF($C266="L",1,IF($C266="1/2L",0.5,0)),0)</f>
        <v>0</v>
      </c>
      <c r="CP266" s="231">
        <f>IF(CP$3=$K266,IF($C266="W",1,IF($C266="1/2W",0.5,0)),0)</f>
        <v>0</v>
      </c>
      <c r="CQ266" s="231">
        <f>IF(CP$3=$K266,IF($C266="L",1,IF($C266="1/2L",0.5,0)),0)</f>
        <v>0</v>
      </c>
      <c r="CR266" s="231">
        <f>IF(CR$3=$K266,IF($C266="W",1,IF($C266="1/2W",0.5,0)),0)</f>
        <v>0</v>
      </c>
      <c r="CS266" s="231">
        <f>IF(CR$3=$K266,IF($C266="L",1,IF($C266="1/2L",0.5,0)),0)</f>
        <v>0</v>
      </c>
      <c r="CT266" s="208">
        <f>IF(CT$3=$K266,IF($C266="W",1,IF($C266="1/2W",0.5,0)),0)</f>
        <v>0</v>
      </c>
      <c r="CU266" s="209">
        <f>IF(CT$3=$K266,IF($C266="L",1,IF($C266="1/2L",0.5,0)),0)</f>
        <v>0</v>
      </c>
      <c r="CV266" s="209">
        <f>IF(CV$3=$K266,IF($C266="W",1,IF($C266="1/2W",0.5,0)),0)</f>
        <v>0</v>
      </c>
      <c r="CW266" s="209">
        <f>IF(CV$3=$K266,IF($C266="L",1,IF($C266="1/2L",0.5,0)),0)</f>
        <v>0</v>
      </c>
      <c r="CX266" s="209">
        <f>IF(CX$3=$K266,IF($C266="W",1,IF($C266="1/2W",0.5,0)),0)</f>
        <v>0</v>
      </c>
      <c r="CY266" s="209">
        <f>IF(CX$3=$K266,IF($C266="L",1,IF($C266="1/2L",0.5,0)),0)</f>
        <v>0</v>
      </c>
      <c r="CZ266" s="209">
        <f>IF(CZ$3=$K266,IF($C266="W",1,IF($C266="1/2W",0.5,0)),0)</f>
        <v>0</v>
      </c>
      <c r="DA266" s="209">
        <f>IF(CZ$3=$K266,IF($C266="L",1,IF($C266="1/2L",0.5,0)),0)</f>
        <v>0</v>
      </c>
      <c r="DB266" s="209">
        <f>IF(DB$3=$K266,IF($C266="W",1,IF($C266="1/2W",0.5,0)),0)</f>
        <v>0</v>
      </c>
      <c r="DC266" s="209">
        <f>IF(DB$3=$K266,IF($C266="L",1,IF($C266="1/2L",0.5,0)),0)</f>
        <v>0</v>
      </c>
      <c r="DD266" s="209">
        <f>IF(DD$3=$K266,IF($C266="W",1,IF($C266="1/2W",0.5,0)),0)</f>
        <v>0</v>
      </c>
      <c r="DE266" s="210">
        <f>IF(DD$3=$K266,IF($C266="L",1,IF($C266="1/2L",0.5,0)),0)</f>
        <v>0</v>
      </c>
      <c r="DF266" s="211">
        <f>IF(AND(L266&lt;DF$3,$C266="W"),1+DF265,DF265)</f>
        <v>10</v>
      </c>
      <c r="DG266" s="198">
        <f>IF(DF266&gt;DF265,L266+DG265,DG265)</f>
        <v>13.078</v>
      </c>
      <c r="DH266" s="209">
        <f>IF(AND(L266&gt;DH$3,$C266="W"),1+DH265,0+DH265)</f>
        <v>6</v>
      </c>
      <c r="DI266" s="198">
        <f>IF(DH266&gt;DH265,L266+DI265,DI265)</f>
        <v>30.83</v>
      </c>
      <c r="DJ266" t="s" s="306">
        <f>IF($D265="","",$D265)</f>
        <v>229</v>
      </c>
      <c r="DK266" s="232"/>
    </row>
    <row r="267" ht="14.55" customHeight="1">
      <c r="A267" s="149"/>
      <c r="B267" s="150"/>
      <c r="C267" t="s" s="233">
        <v>58</v>
      </c>
      <c r="D267" s="152"/>
      <c r="E267" s="153"/>
      <c r="F267" s="155"/>
      <c r="G267" s="234"/>
      <c r="H267" s="156"/>
      <c r="I267" s="235"/>
      <c r="J267" s="236"/>
      <c r="K267" s="237"/>
      <c r="L267" s="238"/>
      <c r="M267" s="239"/>
      <c r="N267" s="161"/>
      <c r="O267" t="s" s="240">
        <f>IF(OR(AE265="",AE266=""),"",IF(L267&gt;0,ROUND(IF(M267&gt;0,M267,IF(M265&gt;0,ROUND((M265*AE267)/AE265,IF(N265=0,2,IF(N265=0.1,1,0))),IF(M266&gt;0,ROUND((M266*AE267)/AE266,IF(N265=0,2,IF(N265=0.1,1,0))),IF(M267&gt;0,M267,0)))),2),""))</f>
      </c>
      <c r="P267" t="s" s="241">
        <f>IF(I266="Lay",O266*(L266/(L266-1))-O266,IF(I265="Lay",O265*(L265/(L265-1))-O265,IF(OR(L267="",O267=""),"",IF($C267="1/2W",O267/2+O267/2*L267,IF($C267="1/2L",O267/2,(O267*L267-O267)*(1-_xlfn.XLOOKUP(K267,'Janeiro 2023 - Valor Real'!A3:A15,'Janeiro 2023 - Valor Real'!C3:C15,0))+O267)))))</f>
      </c>
      <c r="Q267" t="s" s="242">
        <f>IF(K267="","",IF(_xlfn.XLOOKUP(K267,K$99:K112,DJ$99:DJ112,0,,-1)=DJ267,_xlfn.XLOOKUP(K267,K$99:K112,Q$99:Q112,1,,-1)+1,1))</f>
      </c>
      <c r="R267" t="s" s="243">
        <f>IF(K267="","",_xlfn.XLOOKUP(K267,K$99:K112,R$99:R112,0,,-1)+IF($C267=" ",1,0))</f>
      </c>
      <c r="S267" s="166"/>
      <c r="T267" s="155"/>
      <c r="U267" s="155"/>
      <c r="V267" s="166"/>
      <c r="W267" s="155"/>
      <c r="X267" s="167"/>
      <c r="Y267" s="128"/>
      <c r="Z267" s="129"/>
      <c r="AA267" s="129"/>
      <c r="AB267" s="129"/>
      <c r="AC267" s="129"/>
      <c r="AD267" s="244">
        <f>((L266/(L266-1)-1))</f>
        <v>1.06382978723404</v>
      </c>
      <c r="AE267" t="s" s="245">
        <f>IF(L267="","",(SUM(((L265-1)*(1-_xlfn.XLOOKUP(K265,'Janeiro 2023 - Valor Real'!A3:A15,'Janeiro 2023 - Valor Real'!C3:C15,0))+1),((L266-1)*(1-_xlfn.XLOOKUP(K266,'Janeiro 2023 - Valor Real'!A3:A15,'Janeiro 2023 - Valor Real'!C3:C15,0))+1),((L267-1)*(1-_xlfn.XLOOKUP(K267,'Janeiro 2023 - Valor Real'!A3:A15,'Janeiro 2023 - Valor Real'!C3:C15,0))+1))/((L267-1)*(1-_xlfn.XLOOKUP(K267,'Janeiro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Real'!C3:C15,0))+1))/((L265-1)*(1-_xlfn.XLOOKUP(K265,'Janeiro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Real'!C3:C15,0))+1))/((L266-1)*(1-_xlfn.XLOOKUP(K266,'Janeiro 2023 - Valor Real'!A3:A15,'Janeiro 2023 - Valor Real'!C3:C15,0))+1)+SUM(((L265-1)*(1-_xlfn.XLOOKUP(K265,'Janeiro 2023 - Valor Real'!A3:A15,'Janeiro 2023 - Valor Real'!C3:C15,0))+1),((L266-1)*(1-_xlfn.XLOOKUP(K266,'Janeiro 2023 - Valor Real'!A3:A15,'Janeiro 2023 - Valor Real'!C3:C15,0))+1),((L267-1)*(1-_xlfn.XLOOKUP(K267,'Janeiro 2023 - Valor Real'!A3:A15,'Janeiro 2023 - Valor Real'!C3:C15,0))+1))/((L267-1)*(1-_xlfn.XLOOKUP(K267,'Janeiro 2023 - Valor Real'!A3:A15,'Janeiro 2023 - Valor Real'!C3:C15,0))+1)))</f>
      </c>
      <c r="AF267" s="197">
        <f>IF($K267=AF$3,ROUND(IF(OR($C267="W",$C267="1/2W",$C267="1/2L"),$P267-$O267,IF($C267="X",0,-$O267)),2),0)</f>
        <v>0</v>
      </c>
      <c r="AG267" s="198">
        <f>IF($K267=AG$3,ROUND(IF(OR($C267="W",$C267="1/2W",$C267="1/2L"),$P267-$O267,IF($C267="X",0,-$O267)),2),0)</f>
        <v>0</v>
      </c>
      <c r="AH267" s="198">
        <f>IF($K267=AH$3,ROUND(IF(OR($C267="W",$C267="1/2W",$C267="1/2L"),$P267-$O267,IF($C267="X",0,-$O267)),2),0)</f>
        <v>0</v>
      </c>
      <c r="AI267" s="198">
        <f>IF($K267=AI$3,ROUND(IF(OR($C267="W",$C267="1/2W",$C267="1/2L"),$P267-$O267,IF($C267="X",0,-$O267)),2),0)</f>
        <v>0</v>
      </c>
      <c r="AJ267" s="198">
        <f>IF($K267=AJ$3,ROUND(IF(OR($C267="W",$C267="1/2W",$C267="1/2L"),$P267-$O267,IF($C267="X",0,-$O267)),2),0)</f>
        <v>0</v>
      </c>
      <c r="AK267" s="198">
        <f>IF($K267=AK$3,ROUND(IF(OR($C267="W",$C267="1/2W",$C267="1/2L"),$P267-$O267,IF($C267="X",0,-$O267)),2),0)</f>
        <v>0</v>
      </c>
      <c r="AL267" s="198">
        <f>IF($K267=AL$3,ROUND(IF(OR($C267="W",$C267="1/2W",$C267="1/2L"),$P267-$O267,IF($C267="X",0,-$O267)),2),0)</f>
        <v>0</v>
      </c>
      <c r="AM267" s="198">
        <f>IF($K267=AM$3,ROUND(IF(OR($C267="W",$C267="1/2W",$C267="1/2L"),$P267-$O267,IF($C267="X",0,-$O267)),2),0)</f>
        <v>0</v>
      </c>
      <c r="AN267" s="198">
        <f>IF($K267=AN$3,ROUND(IF(OR($C267="W",$C267="1/2W",$C267="1/2L"),$P267-$O267,IF($C267="X",0,-$O267)),2),0)</f>
        <v>0</v>
      </c>
      <c r="AO267" s="198">
        <f>IF($K267=AO$3,ROUND(IF(OR($C267="W",$C267="1/2W",$C267="1/2L"),$P267-$O267,IF($C267="X",0,-$O267)),2),0)</f>
        <v>0</v>
      </c>
      <c r="AP267" s="198">
        <f>IF($K267=AP$3,ROUND(IF(OR($C267="W",$C267="1/2W",$C267="1/2L"),$P267-$O267,IF($C267="X",0,-$O267)),2),0)</f>
        <v>0</v>
      </c>
      <c r="AQ267" s="198">
        <f>IF($K267=AQ$3,ROUND(IF(OR($C267="W",$C267="1/2W",$C267="1/2L"),$P267-$O267,IF($C267="X",0,-$O267)),2),0)</f>
        <v>0</v>
      </c>
      <c r="AR267" s="199">
        <f>IF($K267=AR$3,ROUND(IF(OR($C267="W",$C267="1/2W",$C267="1/2L"),$P267-$O267,IF($C267="X",0,-$O267)),2),0)</f>
        <v>0</v>
      </c>
      <c r="AS267" s="197">
        <f>IF(AND($B265=" ",$K267=AS$3),$O267,0)</f>
        <v>0</v>
      </c>
      <c r="AT267" s="198">
        <f>IF(AND($B265=" ",K267=AT$3),$O267,0)</f>
        <v>0</v>
      </c>
      <c r="AU267" s="198">
        <f>IF(AND($B265=" ",$K267=AU$3),$O267,0)</f>
        <v>0</v>
      </c>
      <c r="AV267" s="198">
        <f>IF(AND($B265=" ",$K267=AV$3),$O267,0)</f>
        <v>0</v>
      </c>
      <c r="AW267" s="198">
        <f>IF(AND($B265=" ",$K267=AW$3),$O267,0)</f>
        <v>0</v>
      </c>
      <c r="AX267" s="198">
        <f>IF(AND($B265=" ",$K267=AX$3),$O267,0)</f>
        <v>0</v>
      </c>
      <c r="AY267" s="200">
        <f>IF(AND($B265=" ",$K267=AY$3),$O267,0)</f>
        <v>0</v>
      </c>
      <c r="AZ267" s="201">
        <f>IF(AND($B265=" ",$K267=AZ$3),$O267,0)</f>
        <v>0</v>
      </c>
      <c r="BA267" s="201">
        <f>IF(AND($B265=" ",$K267=BA$3),$O267,0)</f>
        <v>0</v>
      </c>
      <c r="BB267" s="201">
        <f>IF(AND($B265=" ",$K267=BB$3),$O267,0)</f>
        <v>0</v>
      </c>
      <c r="BC267" s="202">
        <f>IF(AND($B265=" ",$K267=BC$3),$O267,0)</f>
        <v>0</v>
      </c>
      <c r="BD267" s="198">
        <f>IF(AND($B265=" ",$K267=BD$3),$O267,0)</f>
        <v>0</v>
      </c>
      <c r="BE267" s="199">
        <f>IF(AND($B265=" ",$K267=BE$3),$O267,0)</f>
        <v>0</v>
      </c>
      <c r="BF267" s="197">
        <f>IF($K267=BF$3,IF($C267="X",0,$O267),0)</f>
        <v>0</v>
      </c>
      <c r="BG267" s="198">
        <f>IF($K267=BG$3,IF($C267="X",0,$O267),0)</f>
        <v>0</v>
      </c>
      <c r="BH267" s="198">
        <f>IF($K267=BH$3,IF($C267="X",0,$O267),0)</f>
        <v>0</v>
      </c>
      <c r="BI267" s="198">
        <f>IF($K267=BI$3,IF($C267="X",0,$O267),0)</f>
        <v>0</v>
      </c>
      <c r="BJ267" s="198">
        <f>IF($K267=BJ$3,IF($C267="X",0,$O267),0)</f>
        <v>0</v>
      </c>
      <c r="BK267" s="198">
        <f>IF($K267=BK$3,IF($C267="X",0,$O267),0)</f>
        <v>0</v>
      </c>
      <c r="BL267" s="198">
        <f>IF($K267=BL$3,IF($C267="X",0,$O267),0)</f>
        <v>0</v>
      </c>
      <c r="BM267" s="200">
        <f>IF($K267=BM$3,IF($C267="X",0,$O267),0)</f>
        <v>0</v>
      </c>
      <c r="BN267" s="201">
        <f>IF($K267=BN$3,IF($C267="X",0,$O267),0)</f>
        <v>0</v>
      </c>
      <c r="BO267" s="201">
        <f>IF($K267=BO$3,IF($C267="X",0,$O267),0)</f>
        <v>0</v>
      </c>
      <c r="BP267" s="201">
        <f>IF($K267=BP$3,IF($C267="X",0,$O267),0)</f>
        <v>0</v>
      </c>
      <c r="BQ267" s="202">
        <f>IF($K267=BQ$3,IF($C267="X",0,$O267),0)</f>
        <v>0</v>
      </c>
      <c r="BR267" s="199">
        <f>IF($K267=BR$3,IF($C267="X",0,$O267),0)</f>
        <v>0</v>
      </c>
      <c r="BS267" s="228"/>
      <c r="BT267" s="229"/>
      <c r="BU267" s="140"/>
      <c r="BV267" s="229"/>
      <c r="BW267" s="140"/>
      <c r="BX267" s="140"/>
      <c r="BY267" s="140"/>
      <c r="BZ267" s="229"/>
      <c r="CA267" s="140"/>
      <c r="CB267" s="140"/>
      <c r="CC267" s="140"/>
      <c r="CD267" s="141"/>
      <c r="CE267" s="142"/>
      <c r="CF267" s="230">
        <f>IF(CF$3=$K267,IF($C267="W",1,IF($C267="1/2W",0.5,0)),0)</f>
        <v>0</v>
      </c>
      <c r="CG267" s="231">
        <f>IF(CF$3=$K267,IF($C267="L",1,IF($C267="1/2L",0.5,0)),0)</f>
        <v>0</v>
      </c>
      <c r="CH267" s="231">
        <f>IF(CH$3=$K267,IF($C267="W",1,IF($C267="1/2W",0.5,0)),0)</f>
        <v>0</v>
      </c>
      <c r="CI267" s="231">
        <f>IF(CH$3=$K267,IF($C267="L",1,IF($C267="1/2L",0.5,0)),0)</f>
        <v>0</v>
      </c>
      <c r="CJ267" s="231">
        <f>IF(CJ$3=$K267,IF($C267="W",1,IF($C267="1/2W",0.5,0)),0)</f>
        <v>0</v>
      </c>
      <c r="CK267" s="231">
        <f>IF(CJ$3=$K267,IF($C267="L",1,IF($C267="1/2L",0.5,0)),0)</f>
        <v>0</v>
      </c>
      <c r="CL267" s="231">
        <f>IF(CL$3=$K267,IF($C267="W",1,IF($C267="1/2W",0.5,0)),0)</f>
        <v>0</v>
      </c>
      <c r="CM267" s="231">
        <f>IF(CL$3=$K267,IF($C267="L",1,IF($C267="1/2L",0.5,0)),0)</f>
        <v>0</v>
      </c>
      <c r="CN267" s="231">
        <f>IF(CN$3=$K267,IF($C267="W",1,IF($C267="1/2W",0.5,0)),0)</f>
        <v>0</v>
      </c>
      <c r="CO267" s="231">
        <f>IF(CN$3=$K267,IF($C267="L",1,IF($C267="1/2L",0.5,0)),0)</f>
        <v>0</v>
      </c>
      <c r="CP267" s="231">
        <f>IF(CP$3=$K267,IF($C267="W",1,IF($C267="1/2W",0.5,0)),0)</f>
        <v>0</v>
      </c>
      <c r="CQ267" s="231">
        <f>IF(CP$3=$K267,IF($C267="L",1,IF($C267="1/2L",0.5,0)),0)</f>
        <v>0</v>
      </c>
      <c r="CR267" s="231">
        <f>IF(CR$3=$K267,IF($C267="W",1,IF($C267="1/2W",0.5,0)),0)</f>
        <v>0</v>
      </c>
      <c r="CS267" s="231">
        <f>IF(CR$3=$K267,IF($C267="L",1,IF($C267="1/2L",0.5,0)),0)</f>
        <v>0</v>
      </c>
      <c r="CT267" s="208">
        <f>IF(CT$3=$K267,IF($C267="W",1,IF($C267="1/2W",0.5,0)),0)</f>
        <v>0</v>
      </c>
      <c r="CU267" s="209">
        <f>IF(CT$3=$K267,IF($C267="L",1,IF($C267="1/2L",0.5,0)),0)</f>
        <v>0</v>
      </c>
      <c r="CV267" s="209">
        <f>IF(CV$3=$K267,IF($C267="W",1,IF($C267="1/2W",0.5,0)),0)</f>
        <v>0</v>
      </c>
      <c r="CW267" s="209">
        <f>IF(CV$3=$K267,IF($C267="L",1,IF($C267="1/2L",0.5,0)),0)</f>
        <v>0</v>
      </c>
      <c r="CX267" s="209">
        <f>IF(CX$3=$K267,IF($C267="W",1,IF($C267="1/2W",0.5,0)),0)</f>
        <v>0</v>
      </c>
      <c r="CY267" s="209">
        <f>IF(CX$3=$K267,IF($C267="L",1,IF($C267="1/2L",0.5,0)),0)</f>
        <v>0</v>
      </c>
      <c r="CZ267" s="209">
        <f>IF(CZ$3=$K267,IF($C267="W",1,IF($C267="1/2W",0.5,0)),0)</f>
        <v>0</v>
      </c>
      <c r="DA267" s="209">
        <f>IF(CZ$3=$K267,IF($C267="L",1,IF($C267="1/2L",0.5,0)),0)</f>
        <v>0</v>
      </c>
      <c r="DB267" s="209">
        <f>IF(DB$3=$K267,IF($C267="W",1,IF($C267="1/2W",0.5,0)),0)</f>
        <v>0</v>
      </c>
      <c r="DC267" s="209">
        <f>IF(DB$3=$K267,IF($C267="L",1,IF($C267="1/2L",0.5,0)),0)</f>
        <v>0</v>
      </c>
      <c r="DD267" s="209">
        <f>IF(DD$3=$K267,IF($C267="W",1,IF($C267="1/2W",0.5,0)),0)</f>
        <v>0</v>
      </c>
      <c r="DE267" s="210">
        <f>IF(DD$3=$K267,IF($C267="L",1,IF($C267="1/2L",0.5,0)),0)</f>
        <v>0</v>
      </c>
      <c r="DF267" s="211">
        <f>IF(AND(L267&lt;DF$3,$C267="W"),1+DF266,DF266)</f>
        <v>10</v>
      </c>
      <c r="DG267" s="198">
        <f>IF(DF267&gt;DF266,L267+DG266,DG266)</f>
        <v>13.078</v>
      </c>
      <c r="DH267" s="209">
        <f>IF(AND(L267&gt;DH$3,$C267="W"),1+DH266,0+DH266)</f>
        <v>6</v>
      </c>
      <c r="DI267" s="198">
        <f>IF(DH267&gt;DH266,L267+DI266,DI266)</f>
        <v>30.83</v>
      </c>
      <c r="DJ267" t="s" s="306">
        <f>IF($D265="","",$D265)</f>
        <v>229</v>
      </c>
      <c r="DK267" s="232"/>
    </row>
    <row r="268" ht="14.55" customHeight="1">
      <c r="A268" s="246">
        <f>$A265+1</f>
        <v>89</v>
      </c>
      <c r="B268" t="s" s="247">
        <f>IF(AND(_xlfn.XLOOKUP(H268,H$106:H107,G$106:G107,0)=G268,_xlfn.XLOOKUP("TempoBet",K268:K270,L268:L270,0)&gt;0),"X",IF(OR(C268="W",C269="W",C270="W",C268="1/2W",C269="1/2W",C270="1/2W",C268="1/2L",C269="1/2L",C270="1/2L"),"OK",IF(OR(C268="L",C269="L",C270="L"),"LOSS",IF(OR(C268="X",C269="X",C270="X"),"Anulado"," "))))</f>
        <v>50</v>
      </c>
      <c r="C268" t="s" s="248">
        <v>56</v>
      </c>
      <c r="D268" t="s" s="303">
        <f>IF(G268="","",$D265)</f>
        <v>229</v>
      </c>
      <c r="E268" t="s" s="250">
        <v>96</v>
      </c>
      <c r="F268" t="s" s="251"/>
      <c r="G268" s="252">
        <v>44946.875</v>
      </c>
      <c r="H268" t="s" s="253">
        <v>252</v>
      </c>
      <c r="I268" t="s" s="254">
        <v>57</v>
      </c>
      <c r="J268" s="255">
        <v>-1.5</v>
      </c>
      <c r="K268" t="s" s="256">
        <v>41</v>
      </c>
      <c r="L268" s="257">
        <v>1.79</v>
      </c>
      <c r="M268" s="258">
        <v>8.5</v>
      </c>
      <c r="N268" s="259">
        <v>0.1</v>
      </c>
      <c r="O268" s="260">
        <f>IF(OR(AE268="",AE269=""),"",ROUND(IF(L270&gt;0,IF(M268&gt;0,M268,IF(M269&gt;0,ROUND((M269*AE268)/AE269,IF(N268=0,2,IF(N268=0.1,1,0))),ROUND((M270*AE268)/AE270,IF(N268=0,2,IF(N268=0.1,1,0))))),IF(M268&gt;0,M268,ROUND((M269*AE268)/AE269,IF(N268=0,2,IF(N268=0.1,1,0))))),2))</f>
        <v>8.5</v>
      </c>
      <c r="P268" s="261">
        <f>IF(OR(L268="",O268=""),"",IF($C268="1/2W",O268/2+O268/2*L268,IF($C268="1/2L",O268/2,IF(I268="Lay",(O268*(L268/(L268-1))-O268)*(1-_xlfn.XLOOKUP(K268,'Janeiro 2023 - Valor Real'!A3:A15,'Janeiro 2023 - Valor Real'!C3:C15,0))+O268,(O268*L268-O268)*(1-_xlfn.XLOOKUP(K268,'Janeiro 2023 - Valor Real'!A3:A15,'Janeiro 2023 - Valor Real'!C3:C15,0))+O268))))</f>
        <v>15.215</v>
      </c>
      <c r="Q268" s="262">
        <f>IF(K268="","",IF(_xlfn.XLOOKUP(K268,K$106:K107,DJ$106:DJ107,0,,-1)=DJ268,_xlfn.XLOOKUP(K268,K$106:K107,Q$106:Q107,1,,-1)+1,1))</f>
        <v>1</v>
      </c>
      <c r="R268" s="263">
        <f>IF(K268="","",_xlfn.XLOOKUP(K268,K$106:K107,R$106:R107,0,,-1)+IF($C268=" ",1,0))</f>
        <v>0</v>
      </c>
      <c r="S268" s="264">
        <f>IF($B268="Anulado",0,ROUND(IF(OR($B268="LOSS",$B268="OK"),IF(OR($C268="W",$C268="1/2W",$C268="1/2L"),P268-O268,IF($C268="L",-O268,0))+IF(OR($C269="W",$C269="1/2W",$C269="1/2L"),P269-O269,IF($C269="L",-O269,0))+IF(OR($C270="W",$C270="1/2W",$C270="1/2L"),P270-O270,IF($C270="L",-O270,0)),IF(AND(OR($C268="W",$C268="1/2W",$C268="1/2L"),C269="W"),P268+P269-SUM(O268:O270)+_xlfn.XLOOKUP("X",C268:C270,O268:O270,0),IF(AND(C268=TRUE,C270="W"),P268+P270-SUM(O268:O270),IF(AND(C269="W",C270="W"),P269+P270-SUM(O268:O270)+_xlfn.XLOOKUP("X",C268:C270,O268:O270,0),IF(L270&gt;0,IF(OR($C268="W",$C268="1/2W",$C268="1/2L"),P268-SUM(O268:O270)+_xlfn.XLOOKUP("X",C268:C270,O268:O270,0),IF(OR($C268="W",$C268="1/2W",$C268="1/2L"),P269-SUM(O268:O270)+_xlfn.XLOOKUP("X",C268:C270,O268:O270,0),IF(OR($C268="W",$C268="1/2W",$C268="1/2L"),P270-SUM(O268:O270)+_xlfn.XLOOKUP("X",C268:C270,O268:O270,0),IF(SUM(P268:P270)/3-SUM(O268:O270)+_xlfn.XLOOKUP("X",C268:C270,O268:O270,0)&gt;0,SUM(P268:P270)/3-SUM(O268:O270)+_xlfn.XLOOKUP("X",C268:C270,O268:O270,0),LARGE(P268:P270,1)-SUM(O268:O270))))),IF(OR($C268="W",$C268="1/2W",$C268="1/2L"),P268-SUM(O268:O269)+_xlfn.XLOOKUP("X",C268:C270,O268:O270,0),IF(OR($C268="W",$C268="1/2W",$C268="1/2L"),P269-SUM(O268:O269)+_xlfn.XLOOKUP("X",C268:C270,O268:O270,0),SUM(P268:P269)/2-SUM(O268:O269)+_xlfn.XLOOKUP("X",C268:C270,O268:O270,0)))))))),2))</f>
        <v>1.22</v>
      </c>
      <c r="T268" s="265">
        <f>IF(S268=0,0,S268/SUM(O268:O270))</f>
        <v>0.08714285714285711</v>
      </c>
      <c r="U268" s="266">
        <f>IF($D268=$D265,IF(OR($B268="LOSS",$B268="OK",$B268="Anulada"),S268,0)+U265,IF(OR($B268="LOSS",$B268="OK",$B268="Anulada"),S268,0))</f>
        <v>17.15</v>
      </c>
      <c r="V268" s="266">
        <f>IF($D268="",0,IF($D268=$D265,IF($B268=" ",IF(I270="",IF(OR(AND(I268="DNB1",I269="DNB2"),AND(OR(I268="DNB1",I268="DNB2"),J269=0),AND(OR(I269="DNB1",I269="DNB2"),J268=0),AND(I268="DNB2",I269="DNB1"),AND(IF(J268=0,(J268+1)/ROUND(J268+1,0),J268/ROUND(J268,0))=1,IF(J269=0,(J269+1)/ROUND(IF(J269="",0,J269)+1,0),IF(J269="",0,J269)/ROUND(IF(J269="",1,J269),0))=1,OR(J268&lt;&gt;""),J269&lt;&gt;"")),0,IF(S268&lt;0,IF(I270="",SMALL(P268:P269,1)-SUM(O268:O269),0),SMALL(P268:P269,1)-SUM(O268:O269))),IF(S268&lt;0,IF(I270="",SMALL(P268:P270,1)-SUM(O268:O270),0),LARGE(P268:P270,1)-SUM(O268:O270))),S268)+V265,IF(I270="",IF(OR(AND(I268="DNB1",I269="DNB2"),AND(OR(I268="DNB1",I268="DNB2"),J269=0),AND(OR(I269="DNB1",I269="DNB2"),J268=0),AND(I268="DNB2",I269="DNB1"),AND(IF(J268=0,(J268+1)/ROUND(J268+1,0),J268/ROUND(J268,0))=1,IF(J269=0,(IF(J269="",0,J269)+1)/ROUND(IF(J269="",0,J269)+1,0),IF(J269="",0,J269)/ROUND(IF(J269="",0,J269)+1,0))=1,OR(J268&lt;&gt;""),J269&lt;&gt;"")),0,IF(S268&lt;0,IF(I270="",SMALL(P268:P269,1)-SUM(O268:O269),0),SMALL(P268:P270,1)-SUM(O268:O270))),IF(S268&lt;0,IF(I270="",SMALL(P268:P270,1)-SUM(O268:O270),0),LARGE(P268:P270,1)-SUM(O268:O270)))))</f>
        <v>17.146</v>
      </c>
      <c r="W268" s="266">
        <f>IF($D268=$D265,IF(S268&lt;0,IF(I270="",S268,0),S268)+W265,S268)</f>
        <v>17.15</v>
      </c>
      <c r="X268" t="s" s="267">
        <f>IF(OR(SUM(R268:R270)=0,V268=W268),ROUND(IF(W268=0,0,W268/Y268)*100,2)&amp;"%",ROUND(IF(V268=0,0,V268/Y268)*100,2)&amp;"% a "&amp;ROUND(IF(W268=0,0,W268/Y268)*100,2)&amp;"%")</f>
        <v>154</v>
      </c>
      <c r="Y268" s="268">
        <f>IF($D268=$D265,Y265+SUM(O268:O270),SUM(O268:O270))</f>
        <v>474.27</v>
      </c>
      <c r="Z268" s="266">
        <f>IF($B268=" ",SUM(O268:O270),0)+Z265</f>
        <v>0</v>
      </c>
      <c r="AA268" s="266">
        <f>IF(G268="","",IF($B268="Anulado",LARGE(P268:P270,1)-SUM(O268:O270)+AA265,AA265))</f>
        <v>16.5099</v>
      </c>
      <c r="AB268" s="266">
        <f>IF($D268="","",AB265+S268)</f>
        <v>219.32</v>
      </c>
      <c r="AC268" s="269">
        <f>IF($D268="","",IF($B268=" ",IF(DAY(G268)=DAY(TODAY()),1+AC265,0+AC265),0+AC265))</f>
        <v>0</v>
      </c>
      <c r="AD268" s="270">
        <f>(1-_xlfn.XLOOKUP(K266,'Janeiro 2023 - Valor Real'!A3:A15,'Janeiro 2023 - Valor Real'!C3:C15,0))+1</f>
        <v>2</v>
      </c>
      <c r="AE268" s="271">
        <f>IF(L268="","",IF(L270&gt;0,(SUM(((L268-1)*(1-_xlfn.XLOOKUP(K268,'Janeiro 2023 - Valor Real'!A3:A15,'Janeiro 2023 - Valor Real'!C3:C15,0))+1),((L269-1)*(1-_xlfn.XLOOKUP(K269,'Janeiro 2023 - Valor Real'!A3:A15,'Janeiro 2023 - Valor Real'!C3:C15,0))+1),((L270-1)*(1-_xlfn.XLOOKUP(K270,'Janeiro 2023 - Valor Real'!A3:A15,'Janeiro 2023 - Valor Real'!C3:C15,0))+1))/((L268-1)*(1-_xlfn.XLOOKUP(K268,'Janeiro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Real'!C3:C15,0))+1))/((L268-1)*(1-_xlfn.XLOOKUP(K268,'Janeiro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Real'!C3:C15,0))+1))/((L269-1)*(1-_xlfn.XLOOKUP(K269,'Janeiro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Real'!C3:C15,0))+1))/((L270-1)*(1-_xlfn.XLOOKUP(K270,'Janeiro 2023 - Valor Real'!A3:A15,'Janeiro 2023 - Valor Real'!C3:C15,0))+1)),IF(I268="Lay",IF(I269="Lay",((L269/(L269-1)-1)*(1-_xlfn.XLOOKUP(K269,'Janeiro 2023 - Valor Real'!A3:A15,'Janeiro 2023 - Valor Real'!C3:C15,0))+1)/(((L269/(L269-1)-1)*(1-_xlfn.XLOOKUP(K269,'Janeiro 2023 - Valor Real'!A3:A15,'Janeiro 2023 - Valor Real'!C3:C15,0))+1)+((L268/(L268-1)-1)*(1-_xlfn.XLOOKUP(K268,'Janeiro 2023 - Valor Real'!A3:A15,'Janeiro 2023 - Valor Real'!C3:C15,0))+1)),((L269-1)*(1-_xlfn.XLOOKUP(K269,'Janeiro 2023 - Valor Real'!A3:A15,'Janeiro 2023 - Valor Real'!C3:C15,0))+1)/(((L269-1)*(1-_xlfn.XLOOKUP(K269,'Janeiro 2023 - Valor Real'!A3:A15,'Janeiro 2023 - Valor Real'!C3:C15,0))+1)+((L268/(L268-1)-1)*(1-_xlfn.XLOOKUP(K268,'Janeiro 2023 - Valor Real'!A3:A15,'Janeiro 2023 - Valor Real'!C3:C15,0))+1))),IF(I269="Lay",(((L269/(L269-1)-1)*(1-_xlfn.XLOOKUP(K269,'Janeiro 2023 - Valor Real'!A3:A15,'Janeiro 2023 - Valor Real'!C3:C15,0))+1))/(((L268-1)*(1-_xlfn.XLOOKUP(K268,'Janeiro 2023 - Valor Real'!A3:A15,'Janeiro 2023 - Valor Real'!C3:C15,0))+1)+((L269/(L269-1)-1)*(1-_xlfn.XLOOKUP(K269,'Janeiro 2023 - Valor Real'!A3:A15,'Janeiro 2023 - Valor Real'!C3:C15,0))+1)),((L269-1)*(1-_xlfn.XLOOKUP(K269,'Janeiro 2023 - Valor Real'!A3:A15,'Janeiro 2023 - Valor Real'!C3:C15,0))+1)/(((L269-1)*(1-_xlfn.XLOOKUP(K269,'Janeiro 2023 - Valor Real'!A3:A15,'Janeiro 2023 - Valor Real'!C3:C15,0))+1)+((L268-1)*(1-_xlfn.XLOOKUP(K268,'Janeiro 2023 - Valor Real'!A3:A15,'Janeiro 2023 - Valor Real'!C3:C15,0))+1))))))</f>
        <v>0.605726872246696</v>
      </c>
      <c r="AF268" s="132">
        <f>IF($K268=AF$3,ROUND(IF(OR($C268="W",$C268="1/2W",$C268="1/2L"),$P268-$O268,IF($C268="X",0,-$O268)),2),0)</f>
        <v>0</v>
      </c>
      <c r="AG268" s="133">
        <f>IF($K268=AG$3,ROUND(IF(OR($C268="W",$C268="1/2W",$C268="1/2L"),$P268-$O268,IF($C268="X",0,-$O268)),2),0)</f>
        <v>0</v>
      </c>
      <c r="AH268" s="133">
        <f>IF($K268=AH$3,ROUND(IF(OR($C268="W",$C268="1/2W",$C268="1/2L"),$P268-$O268,IF($C268="X",0,-$O268)),2),0)</f>
        <v>0</v>
      </c>
      <c r="AI268" s="133">
        <f>IF($K268=AI$3,ROUND(IF(OR($C268="W",$C268="1/2W",$C268="1/2L"),$P268-$O268,IF($C268="X",0,-$O268)),2),0)</f>
        <v>0</v>
      </c>
      <c r="AJ268" s="133">
        <f>IF($K268=AJ$3,ROUND(IF(OR($C268="W",$C268="1/2W",$C268="1/2L"),$P268-$O268,IF($C268="X",0,-$O268)),2),0)</f>
        <v>6.72</v>
      </c>
      <c r="AK268" s="133">
        <f>IF($K268=AK$3,ROUND(IF(OR($C268="W",$C268="1/2W",$C268="1/2L"),$P268-$O268,IF($C268="X",0,-$O268)),2),0)</f>
        <v>0</v>
      </c>
      <c r="AL268" s="133">
        <f>IF($K268=AL$3,ROUND(IF(OR($C268="W",$C268="1/2W",$C268="1/2L"),$P268-$O268,IF($C268="X",0,-$O268)),2),0)</f>
        <v>0</v>
      </c>
      <c r="AM268" s="133">
        <f>IF($K268=AM$3,ROUND(IF(OR($C268="W",$C268="1/2W",$C268="1/2L"),$P268-$O268,IF($C268="X",0,-$O268)),2),0)</f>
        <v>0</v>
      </c>
      <c r="AN268" s="133">
        <f>IF($K268=AN$3,ROUND(IF(OR($C268="W",$C268="1/2W",$C268="1/2L"),$P268-$O268,IF($C268="X",0,-$O268)),2),0)</f>
        <v>0</v>
      </c>
      <c r="AO268" s="133">
        <f>IF($K268=AO$3,ROUND(IF(OR($C268="W",$C268="1/2W",$C268="1/2L"),$P268-$O268,IF($C268="X",0,-$O268)),2),0)</f>
        <v>0</v>
      </c>
      <c r="AP268" s="133">
        <f>IF($K268=AP$3,ROUND(IF(OR($C268="W",$C268="1/2W",$C268="1/2L"),$P268-$O268,IF($C268="X",0,-$O268)),2),0)</f>
        <v>0</v>
      </c>
      <c r="AQ268" s="133">
        <f>IF($K268=AQ$3,ROUND(IF(OR($C268="W",$C268="1/2W",$C268="1/2L"),$P268-$O268,IF($C268="X",0,-$O268)),2),0)</f>
        <v>0</v>
      </c>
      <c r="AR268" s="134">
        <f>IF($K268=AR$3,ROUND(IF(OR($C268="W",$C268="1/2W",$C268="1/2L"),$P268-$O268,IF($C268="X",0,-$O268)),2),0)</f>
        <v>0</v>
      </c>
      <c r="AS268" s="132">
        <f>IF(AND($B268=" ",$K268=AS$3),$O268,0)</f>
        <v>0</v>
      </c>
      <c r="AT268" s="133">
        <f>IF(AND($B268=" ",$K268=AT$3),$O268,0)</f>
        <v>0</v>
      </c>
      <c r="AU268" s="133">
        <f>IF(AND($B268=" ",$K268=AU$3),$O268,0)</f>
        <v>0</v>
      </c>
      <c r="AV268" s="133">
        <f>IF(AND($B268=" ",$K268=AV$3),$O268,0)</f>
        <v>0</v>
      </c>
      <c r="AW268" s="133">
        <f>IF(AND($B268=" ",$K268=AW$3),$O268,0)</f>
        <v>0</v>
      </c>
      <c r="AX268" s="133">
        <f>IF(AND($B268=" ",$K268=AX$3),$O268,0)</f>
        <v>0</v>
      </c>
      <c r="AY268" s="135">
        <f>IF(AND($B268=" ",$K268=AY$3),$O268,0)</f>
        <v>0</v>
      </c>
      <c r="AZ268" s="136">
        <f>IF(AND($B268=" ",$K268=AZ$3),$O268,0)</f>
        <v>0</v>
      </c>
      <c r="BA268" s="136">
        <f>IF(AND($B268=" ",$K268=BA$3),$O268,0)</f>
        <v>0</v>
      </c>
      <c r="BB268" s="136">
        <f>IF(AND($B268=" ",$K268=BB$3),$O268,0)</f>
        <v>0</v>
      </c>
      <c r="BC268" s="137">
        <f>IF(AND($B268=" ",$K268=BC$3),$O268,0)</f>
        <v>0</v>
      </c>
      <c r="BD268" s="133">
        <f>IF(AND($B268=" ",$K268=BD$3),$O268,0)</f>
        <v>0</v>
      </c>
      <c r="BE268" s="134">
        <f>IF(AND($B268=" ",$K268=BE$3),$O268,0)</f>
        <v>0</v>
      </c>
      <c r="BF268" s="132">
        <f>IF($K268=BF$3,IF($C268="X",0,$O268),0)</f>
        <v>0</v>
      </c>
      <c r="BG268" s="133">
        <f>IF($K268=BG$3,IF($C268="X",0,$O268),0)</f>
        <v>0</v>
      </c>
      <c r="BH268" s="133">
        <f>IF($K268=BH$3,IF($C268="X",0,$O268),0)</f>
        <v>0</v>
      </c>
      <c r="BI268" s="133">
        <f>IF($K268=BI$3,IF($C268="X",0,$O268),0)</f>
        <v>0</v>
      </c>
      <c r="BJ268" s="133">
        <f>IF($K268=BJ$3,IF($C268="X",0,$O268),0)</f>
        <v>8.5</v>
      </c>
      <c r="BK268" s="133">
        <f>IF($K268=BK$3,IF($C268="X",0,$O268),0)</f>
        <v>0</v>
      </c>
      <c r="BL268" s="133">
        <f>IF($K268=BL$3,IF($C268="X",0,$O268),0)</f>
        <v>0</v>
      </c>
      <c r="BM268" s="135">
        <f>IF($K268=BM$3,IF($C268="X",0,$O268),0)</f>
        <v>0</v>
      </c>
      <c r="BN268" s="136">
        <f>IF($K268=BN$3,IF($C268="X",0,$O268),0)</f>
        <v>0</v>
      </c>
      <c r="BO268" s="136">
        <f>IF($K268=BO$3,IF($C268="X",0,$O268),0)</f>
        <v>0</v>
      </c>
      <c r="BP268" s="136">
        <f>IF($K268=BP$3,IF($C268="X",0,$O268),0)</f>
        <v>0</v>
      </c>
      <c r="BQ268" s="137">
        <f>IF($K268=BQ$3,IF($C268="X",0,$O268),0)</f>
        <v>0</v>
      </c>
      <c r="BR268" s="134">
        <f>IF($K268=BR$3,IF($C268="X",0,$O268),0)</f>
        <v>0</v>
      </c>
      <c r="BS268" s="170">
        <f>IF($B268="LOSS",IF(AND($K268=BS$3,$C268="L"),-$O268,0)+IF(AND($K269=BS$3,$C269="L"),-$O269,0)+IF(AND($K270=BS$3,$C270="L"),-$O270,0),IF(OR(AND($K268=BS$3,OR($C268="W",$C268="1/2W")),AND($K269=BS$3,OR($C269="W",$C269="1/2W")),AND($K270=BS$3,OR($C270="W",$C270="1/2W"))),$S268,0))</f>
        <v>0</v>
      </c>
      <c r="BT268" s="272">
        <f>IF($B268="LOSS",IF(AND($K268=BT$3,$C268="L"),-$O268,0)+IF(AND($K269=BT$3,$C269="L"),-$O269,0)+IF(AND($K269=BT$3,$C270="L"),-$O270,0),IF(OR(AND($K269=BT$3,OR($C268="W",$C268="1/2W")),AND($K269=BT$3,OR($C269="W",$C269="1/2W")),AND($K269=BT$3,OR($C270="W",$C270="1/2W"))),$S268,0))</f>
        <v>0</v>
      </c>
      <c r="BU268" s="136">
        <f>IF($B268="LOSS",IF(AND($K268=BU$3,$C268="L"),-$O268,0)+IF(AND($K269=BU$3,$C269="L"),-$O269,0)+IF(AND($K269=BU$3,$C270="L"),-$O270,0),IF(OR(AND($K269=BU$3,OR($C268="W",$C268="1/2W")),AND($K269=BU$3,OR($C269="W",$C269="1/2W")),AND($K269=BU$3,OR($C270="W",$C270="1/2W"))),$S268,0))</f>
        <v>0</v>
      </c>
      <c r="BV268" s="136">
        <f>IF($B268="LOSS",IF(AND($K268=BV$3,$C268="L"),-$O268,0)+IF(AND($K269=BV$3,$C269="L"),-$O269,0)+IF(AND($K270=BV$3,$C270="L"),-$O270,0),IF(OR(AND($K268=BV$3,OR($C268="W",$C268="1/2W")),AND($K269=BV$3,OR($C269="W",$C269="1/2W")),AND($K270=BV$3,OR($C270="W",$C270="1/2W"))),$S268,0))</f>
        <v>0</v>
      </c>
      <c r="BW268" s="136">
        <f>IF($B268="LOSS",IF(AND($K268=BW$3,$C268="L"),-$O268,0)+IF(AND($K269=BW$3,$C269="L"),-$O269,0)+IF(AND($K270=BW$3,$C270="L"),-$O270,0),IF(OR(AND($K268=BW$3,OR($C268="W",$C268="1/2W")),AND($K269=BW$3,OR($C269="W",$C269="1/2W")),AND($K270=BW$3,OR($C270="W",$C270="1/2W"))),$S268,0))</f>
        <v>1.22</v>
      </c>
      <c r="BX268" s="136">
        <f>IF($B268="LOSS",IF(AND($K268=BX$3,$C268="L"),-$O268,0)+IF(AND($K269=BX$3,$C269="L"),-$O269,0)+IF(AND($K270=BX$3,$C270="L"),-$O270,0),IF(OR(AND($K268=BX$3,OR($C268="W",$C268="1/2W")),AND($K269=BX$3,OR($C269="W",$C269="1/2W")),AND($K270=BX$3,OR($C270="W",$C270="1/2W"))),$S268,0))</f>
        <v>0</v>
      </c>
      <c r="BY268" s="136">
        <f>IF($B268="LOSS",IF(AND($K268=BY$3,$C268="L"),-$O268,0)+IF(AND($K269=BY$3,$C269="L"),-$O269,0)+IF(AND($K270=BY$3,$C270="L"),-$O270,0),IF(OR(AND($K268=BY$3,OR($C268="W",$C268="1/2W")),AND($K269=BY$3,OR($C269="W",$C269="1/2W")),AND($K270=BY$3,OR($C270="W",$C270="1/2W"))),$S268,0))</f>
        <v>0</v>
      </c>
      <c r="BZ268" s="136">
        <f>IF($B268="LOSS",IF(AND($K268=BZ$3,$C268="L"),-$O268,0)+IF(AND($K269=BZ$3,$C269="L"),-$O269,0)+IF(AND($K270=BZ$3,$C270="L"),-$O270,0),IF(OR(AND($K268=BZ$3,OR($C268="W",$C268="1/2W")),AND($K269=BZ$3,OR($C269="W",$C269="1/2W")),AND($K270=BZ$3,OR($C270="W",$C270="1/2W"))),$S268,0))</f>
        <v>0</v>
      </c>
      <c r="CA268" s="136">
        <f>IF($B268="LOSS",IF(AND($K268=CA$3,$C268="L"),-$O268,0)+IF(AND($K269=CA$3,$C269="L"),-$O269,0)+IF(AND($K270=CA$3,$C270="L"),-$O270,0),IF(OR(AND($K268=CA$3,OR($C268="W",$C268="1/2W")),AND($K269=CA$3,OR($C269="W",$C269="1/2W")),AND($K270=CA$3,OR($C270="W",$C270="1/2W"))),$S268,0))</f>
        <v>0</v>
      </c>
      <c r="CB268" s="136">
        <f>IF($B268="LOSS",IF(AND($K268=CB$3,$C268="L"),-$O268,0)+IF(AND($K269=CB$3,$C269="L"),-$O269,0)+IF(AND($K270=CB$3,$C270="L"),-$O270,0),IF(OR(AND($K268=CB$3,OR($C268="W",$C268="1/2W")),AND($K269=CB$3,OR($C269="W",$C269="1/2W")),AND($K270=CB$3,OR($C270="W",$C270="1/2W"))),$S268,0))</f>
        <v>0</v>
      </c>
      <c r="CC268" s="136">
        <f>IF($B268="LOSS",IF(AND($K268=CC$3,$C268="L"),-$O268,0)+IF(AND($K269=CC$3,$C269="L"),-$O269,0)+IF(AND($K270=CC$3,$C270="L"),-$O270,0),IF(OR(AND($K268=CC$3,OR($C268="W",$C268="1/2W")),AND($K269=CC$3,OR($C269="W",$C269="1/2W")),AND($K270=CC$3,OR($C270="W",$C270="1/2W"))),$S268,0))</f>
        <v>0</v>
      </c>
      <c r="CD268" s="137">
        <f>IF($B268="LOSS",IF(AND($K268=CD$3,$C268="L"),-$O268,0)+IF(AND($K269=CD$3,$C269="L"),-$O269,0)+IF(AND($K270=CD$3,$C270="L"),-$O270,0),IF(OR(AND($K268=CD$3,OR($C268="W",$C268="1/2W")),AND($K269=CD$3,OR($C269="W",$C269="1/2W")),AND($K270=CD$3,OR($C270="W",$C270="1/2W"))),$S268,0))</f>
        <v>0</v>
      </c>
      <c r="CE268" s="134">
        <f>IF($B268="LOSS",IF(AND($K268=CE$3,$C268="L"),-$O268,0)+IF(AND($K269=CE$3,$C269="L"),-$O269,0)+IF(AND($K270=CE$3,$C270="L"),-$O270,0),IF(OR(AND($K268=CE$3,OR($C268="W",$C268="1/2W")),AND($K269=CE$3,OR($C269="W",$C269="1/2W")),AND($K270=CE$3,OR($C270="W",$C270="1/2W"))),$S268,0))</f>
        <v>0</v>
      </c>
      <c r="CF268" s="273">
        <f>IF(CF$3=$K268,IF($C268="W",1,IF($C268="1/2W",0.5,0)),0)</f>
        <v>0</v>
      </c>
      <c r="CG268" s="274">
        <f>IF(CF$3=$K268,IF($C268="L",1,IF($C268="1/2L",0.5,0)),0)</f>
        <v>0</v>
      </c>
      <c r="CH268" s="274">
        <f>IF(CH$3=$K268,IF($C268="W",1,IF($C268="1/2W",0.5,0)),0)</f>
        <v>0</v>
      </c>
      <c r="CI268" s="274">
        <f>IF(CH$3=$K268,IF($C268="L",1,IF($C268="1/2L",0.5,0)),0)</f>
        <v>0</v>
      </c>
      <c r="CJ268" s="274">
        <f>IF(CJ$3=$K268,IF($C268="W",1,IF($C268="1/2W",0.5,0)),0)</f>
        <v>0</v>
      </c>
      <c r="CK268" s="274">
        <f>IF(CJ$3=$K268,IF($C268="L",1,IF($C268="1/2L",0.5,0)),0)</f>
        <v>0</v>
      </c>
      <c r="CL268" s="274">
        <f>IF(CL$3=$K268,IF($C268="W",1,IF($C268="1/2W",0.5,0)),0)</f>
        <v>0</v>
      </c>
      <c r="CM268" s="274">
        <f>IF(CL$3=$K268,IF($C268="L",1,IF($C268="1/2L",0.5,0)),0)</f>
        <v>0</v>
      </c>
      <c r="CN268" s="274">
        <f>IF(CN$3=$K268,IF($C268="W",1,IF($C268="1/2W",0.5,0)),0)</f>
        <v>1</v>
      </c>
      <c r="CO268" s="274">
        <f>IF(CN$3=$K268,IF($C268="L",1,IF($C268="1/2L",0.5,0)),0)</f>
        <v>0</v>
      </c>
      <c r="CP268" s="274">
        <f>IF(CP$3=$K268,IF($C268="W",1,IF($C268="1/2W",0.5,0)),0)</f>
        <v>0</v>
      </c>
      <c r="CQ268" s="274">
        <f>IF(CP$3=$K268,IF($C268="L",1,IF($C268="1/2L",0.5,0)),0)</f>
        <v>0</v>
      </c>
      <c r="CR268" s="274">
        <f>IF(CR$3=$K268,IF($C268="W",1,IF($C268="1/2W",0.5,0)),0)</f>
        <v>0</v>
      </c>
      <c r="CS268" s="274">
        <f>IF(CR$3=$K268,IF($C268="L",1,IF($C268="1/2L",0.5,0)),0)</f>
        <v>0</v>
      </c>
      <c r="CT268" s="145">
        <f>IF(CT$3=$K268,IF($C268="W",1,IF($C268="1/2W",0.5,0)),0)</f>
        <v>0</v>
      </c>
      <c r="CU268" s="146">
        <f>IF(CT$3=$K268,IF($C268="L",1,IF($C268="1/2L",0.5,0)),0)</f>
        <v>0</v>
      </c>
      <c r="CV268" s="146">
        <f>IF(CV$3=$K268,IF($C268="W",1,IF($C268="1/2W",0.5,0)),0)</f>
        <v>0</v>
      </c>
      <c r="CW268" s="146">
        <f>IF(CV$3=$K268,IF($C268="L",1,IF($C268="1/2L",0.5,0)),0)</f>
        <v>0</v>
      </c>
      <c r="CX268" s="146">
        <f>IF(CX$3=$K268,IF($C268="W",1,IF($C268="1/2W",0.5,0)),0)</f>
        <v>0</v>
      </c>
      <c r="CY268" s="146">
        <f>IF(CX$3=$K268,IF($C268="L",1,IF($C268="1/2L",0.5,0)),0)</f>
        <v>0</v>
      </c>
      <c r="CZ268" s="146">
        <f>IF(CZ$3=$K268,IF($C268="W",1,IF($C268="1/2W",0.5,0)),0)</f>
        <v>0</v>
      </c>
      <c r="DA268" s="146">
        <f>IF(CZ$3=$K268,IF($C268="L",1,IF($C268="1/2L",0.5,0)),0)</f>
        <v>0</v>
      </c>
      <c r="DB268" s="146">
        <f>IF(DB$3=$K268,IF($C268="W",1,IF($C268="1/2W",0.5,0)),0)</f>
        <v>0</v>
      </c>
      <c r="DC268" s="146">
        <f>IF(DB$3=$K268,IF($C268="L",1,IF($C268="1/2L",0.5,0)),0)</f>
        <v>0</v>
      </c>
      <c r="DD268" s="146">
        <f>IF(DD$3=$K268,IF($C268="W",1,IF($C268="1/2W",0.5,0)),0)</f>
        <v>0</v>
      </c>
      <c r="DE268" s="147">
        <f>IF(DD$3=$K268,IF($C268="L",1,IF($C268="1/2L",0.5,0)),0)</f>
        <v>0</v>
      </c>
      <c r="DF268" s="143">
        <f>IF(AND(L268&lt;DF$3,$C268="W"),1+DF267,DF267)</f>
        <v>10</v>
      </c>
      <c r="DG268" s="133">
        <f>IF(DF268&gt;DF267,L268+DG267,DG267)</f>
        <v>13.078</v>
      </c>
      <c r="DH268" s="146">
        <f>IF(AND(L268&gt;DH$3,$C268="W"),1+DH267,0+DH267)</f>
        <v>6</v>
      </c>
      <c r="DI268" s="133">
        <f>IF(DH268&gt;DH267,L268+DI267,DI267)</f>
        <v>30.83</v>
      </c>
      <c r="DJ268" t="s" s="304">
        <f>IF($D268="","",$D268)</f>
        <v>229</v>
      </c>
      <c r="DK268" s="146">
        <f>IF(AND($B268=" ",$D268&lt;&gt;""),1,0)</f>
        <v>0</v>
      </c>
    </row>
    <row r="269" ht="14.55" customHeight="1">
      <c r="A269" s="107"/>
      <c r="B269" s="108"/>
      <c r="C269" t="s" s="109">
        <v>51</v>
      </c>
      <c r="D269" s="110"/>
      <c r="E269" s="111"/>
      <c r="F269" s="113"/>
      <c r="G269" s="252"/>
      <c r="H269" s="114"/>
      <c r="I269" t="s" s="275">
        <v>54</v>
      </c>
      <c r="J269" s="276">
        <f>IF(OR(I268="TO",I268="TU",I268="TO1",I268="TU1",I268="TO2",I268="TU2"),J268,IF(OR(I268="AH1",I268="AH2"),IF(OR(I269="AH1",I269="AH2"),-J268,IF(OR(I269="EH1",I269="EH2"),-J268+0.5,"")),IF(OR(I268="EH1",I268="EH2"),IF(OR(I269="AH1",I269="AH2"),-J268+0.5,IF(OR(I269="EH1",I269="EH2"),-J268+1,"")),IF(AND(OR(I268="DNB1",I268="DNB2"),OR(I269="AH1",I269="AH2")),0,IF(AND(I268="Not ScoreBoth",OR(I269="TO1",I269="TO2")),0.5,"")))))</f>
        <v>1.5</v>
      </c>
      <c r="K269" t="s" s="117">
        <v>40</v>
      </c>
      <c r="L269" s="277">
        <v>2.75</v>
      </c>
      <c r="M269" s="278">
        <v>5.5</v>
      </c>
      <c r="N269" s="120"/>
      <c r="O269" s="121">
        <f>IF(OR(AE268="",AE269=""),"",ROUND(IF(L270&gt;0,IF(M269&gt;0,M269,IF(M268&gt;0,IF(N268=TRUE,ROUND((M268*AE269)/AE268,0),(M268*AE269)/AE268),IF(M269&gt;0,ROUND(M269,IF(N268=0,2,IF(N268=0.1,1,0))),IF(M270&gt;0,ROUND(O270*AE269/AE270,IF(N268=0,2,IF(N268=0.1,1,0))),0)))),IF(M269&gt;0,M269,ROUND((M268*AE269)/AE268,IF(N268=0,2,IF(N268=0.1,1,0))))),2))</f>
        <v>5.5</v>
      </c>
      <c r="P269" s="122">
        <f>IF(OR(L269="",O269=""),"",IF($C269="1/2W",O269/2+O269/2*L269,IF($C269="1/2L",O269/2,IF(I269="Lay",((O269*(L269/(L269-1)))-O269)*(1-_xlfn.XLOOKUP(K269,'Janeiro 2023 - Valor Real'!A3:A15,'Janeiro 2023 - Valor Real'!C3:C15,0))+O269,(O269*L269-O269)*(1-_xlfn.XLOOKUP(K269,'Janeiro 2023 - Valor Real'!A3:A15,'Janeiro 2023 - Valor Real'!C3:C15,0))+O269))))</f>
        <v>15.125</v>
      </c>
      <c r="Q269" s="279">
        <f>IF(K269="","",IF(_xlfn.XLOOKUP(K269,K$107:K108,DJ$107:DJ108,0,,-1)=DJ269,_xlfn.XLOOKUP(K269,K$107:K108,Q$107:Q108,1,,-1)+1,1))</f>
        <v>1</v>
      </c>
      <c r="R269" s="280">
        <f>IF(K269="","",_xlfn.XLOOKUP(K269,K$107:K108,R$107:R108,0,,-1)+IF($C269=" ",1,0))</f>
        <v>0</v>
      </c>
      <c r="S269" s="125"/>
      <c r="T269" s="126"/>
      <c r="U269" s="126"/>
      <c r="V269" s="224"/>
      <c r="W269" s="126"/>
      <c r="X269" s="127"/>
      <c r="Y269" s="128"/>
      <c r="Z269" s="129"/>
      <c r="AA269" s="129"/>
      <c r="AB269" s="129"/>
      <c r="AC269" s="129"/>
      <c r="AD269" s="130"/>
      <c r="AE269" s="131">
        <f>IF(L269="","",IF(L270&gt;0,(SUM(((L268-1)*(1-_xlfn.XLOOKUP(K268,'Janeiro 2023 - Valor Real'!A3:A15,'Janeiro 2023 - Valor Real'!C3:C15,0))+1),((L269-1)*(1-_xlfn.XLOOKUP(K269,'Janeiro 2023 - Valor Real'!A3:A15,'Janeiro 2023 - Valor Real'!C3:C15,0))+1),((L270-1)*(1-_xlfn.XLOOKUP(K270,'Janeiro 2023 - Valor Real'!A3:A15,'Janeiro 2023 - Valor Real'!C3:C15,0))+1))/((L269-1)*(1-_xlfn.XLOOKUP(K269,'Janeiro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Real'!C3:C15,0))+1))/((L268-1)*(1-_xlfn.XLOOKUP(K268,'Janeiro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Real'!C3:C15,0))+1))/((L269-1)*(1-_xlfn.XLOOKUP(K269,'Janeiro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Real'!C3:C15,0))+1))/((L270-1)*(1-_xlfn.XLOOKUP(K270,'Janeiro 2023 - Valor Real'!A3:A15,'Janeiro 2023 - Valor Real'!C3:C15,0))+1)),IF(I269="Lay",IF(I268="Lay",((L268/(L268-1)-1)*(1-_xlfn.XLOOKUP(K268,'Janeiro 2023 - Valor Real'!A3:A15,'Janeiro 2023 - Valor Real'!C3:C15,0))+1)/(((L268/(L268-1)-1)*(1-_xlfn.XLOOKUP(K268,'Janeiro 2023 - Valor Real'!A3:A15,'Janeiro 2023 - Valor Real'!C3:C15,0))+1)+((L269/(L269-1)-1)*(1-_xlfn.XLOOKUP(K269,'Janeiro 2023 - Valor Real'!A3:A15,'Janeiro 2023 - Valor Real'!C3:C15,0))+1)),((L268-1)*(1-_xlfn.XLOOKUP(K268,'Janeiro 2023 - Valor Real'!A3:A15,'Janeiro 2023 - Valor Real'!C3:C15,0))+1)/(((L268-1)*(1-_xlfn.XLOOKUP(K268,'Janeiro 2023 - Valor Real'!A3:A15,'Janeiro 2023 - Valor Real'!C3:C15,0))+1)+((L269/(L269-1)-1)*(1-_xlfn.XLOOKUP(K269,'Janeiro 2023 - Valor Real'!A3:A15,'Janeiro 2023 - Valor Real'!C3:C15,0))+1))),IF(I268="Lay",((L268/(L268-1)-1)*(1-_xlfn.XLOOKUP(K268,'Janeiro 2023 - Valor Real'!A3:A15,'Janeiro 2023 - Valor Real'!C3:C15,0))+1)/((((L268/(L268-1)-1)*(1-_xlfn.XLOOKUP(K268,'Janeiro 2023 - Valor Real'!A3:A15,'Janeiro 2023 - Valor Real'!C3:C15,0))+1))+((L269-1)*(1-_xlfn.XLOOKUP(K269,'Janeiro 2023 - Valor Real'!A3:A15,'Janeiro 2023 - Valor Real'!C3:C15,0))+1)),((L268-1)*(1-_xlfn.XLOOKUP(K268,'Janeiro 2023 - Valor Real'!A3:A15,'Janeiro 2023 - Valor Real'!C3:C15,0))+1)/(((L268-1)*(1-_xlfn.XLOOKUP(K268,'Janeiro 2023 - Valor Real'!A3:A15,'Janeiro 2023 - Valor Real'!C3:C15,0))+1)+((L269-1)*(1-_xlfn.XLOOKUP(K269,'Janeiro 2023 - Valor Real'!A3:A15,'Janeiro 2023 - Valor Real'!C3:C15,0))+1))))))</f>
        <v>0.394273127753304</v>
      </c>
      <c r="AF269" s="132">
        <f>IF($K269=AF$3,ROUND(IF(OR($C269="W",$C269="1/2W",$C269="1/2L"),$P269-$O269,IF($C269="X",0,-$O269)),2),0)</f>
        <v>0</v>
      </c>
      <c r="AG269" s="133">
        <f>IF($K269=AG$3,ROUND(IF(OR($C269="W",$C269="1/2W",$C269="1/2L"),$P269-$O269,IF($C269="X",0,-$O269)),2),0)</f>
        <v>0</v>
      </c>
      <c r="AH269" s="133">
        <f>IF($K269=AH$3,ROUND(IF(OR($C269="W",$C269="1/2W",$C269="1/2L"),$P269-$O269,IF($C269="X",0,-$O269)),2),0)</f>
        <v>0</v>
      </c>
      <c r="AI269" s="133">
        <f>IF($K269=AI$3,ROUND(IF(OR($C269="W",$C269="1/2W",$C269="1/2L"),$P269-$O269,IF($C269="X",0,-$O269)),2),0)</f>
        <v>-5.5</v>
      </c>
      <c r="AJ269" s="133">
        <f>IF($K269=AJ$3,ROUND(IF(OR($C269="W",$C269="1/2W",$C269="1/2L"),$P269-$O269,IF($C269="X",0,-$O269)),2),0)</f>
        <v>0</v>
      </c>
      <c r="AK269" s="133">
        <f>IF($K269=AK$3,ROUND(IF(OR($C269="W",$C269="1/2W",$C269="1/2L"),$P269-$O269,IF($C269="X",0,-$O269)),2),0)</f>
        <v>0</v>
      </c>
      <c r="AL269" s="133">
        <f>IF($K269=AL$3,ROUND(IF(OR($C269="W",$C269="1/2W",$C269="1/2L"),$P269-$O269,IF($C269="X",0,-$O269)),2),0)</f>
        <v>0</v>
      </c>
      <c r="AM269" s="133">
        <f>IF($K269=AM$3,ROUND(IF(OR($C269="W",$C269="1/2W",$C269="1/2L"),$P269-$O269,IF($C269="X",0,-$O269)),2),0)</f>
        <v>0</v>
      </c>
      <c r="AN269" s="133">
        <f>IF($K269=AN$3,ROUND(IF(OR($C269="W",$C269="1/2W",$C269="1/2L"),$P269-$O269,IF($C269="X",0,-$O269)),2),0)</f>
        <v>0</v>
      </c>
      <c r="AO269" s="133">
        <f>IF($K269=AO$3,ROUND(IF(OR($C269="W",$C269="1/2W",$C269="1/2L"),$P269-$O269,IF($C269="X",0,-$O269)),2),0)</f>
        <v>0</v>
      </c>
      <c r="AP269" s="133">
        <f>IF($K269=AP$3,ROUND(IF(OR($C269="W",$C269="1/2W",$C269="1/2L"),$P269-$O269,IF($C269="X",0,-$O269)),2),0)</f>
        <v>0</v>
      </c>
      <c r="AQ269" s="133">
        <f>IF($K269=AQ$3,ROUND(IF(OR($C269="W",$C269="1/2W",$C269="1/2L"),$P269-$O269,IF($C269="X",0,-$O269)),2),0)</f>
        <v>0</v>
      </c>
      <c r="AR269" s="134">
        <f>IF($K269=AR$3,ROUND(IF(OR($C269="W",$C269="1/2W",$C269="1/2L"),$P269-$O269,IF($C269="X",0,-$O269)),2),0)</f>
        <v>0</v>
      </c>
      <c r="AS269" s="132">
        <f>IF(AND($B268=" ",$K269=AS$3),$O269,0)</f>
        <v>0</v>
      </c>
      <c r="AT269" s="133">
        <f>IF(AND($B268=" ",K269=AT$3),$O269,0)</f>
        <v>0</v>
      </c>
      <c r="AU269" s="133">
        <f>IF(AND($B268=" ",$K269=AU$3),$O269,0)</f>
        <v>0</v>
      </c>
      <c r="AV269" s="133">
        <f>IF(AND($B268=" ",$K269=AV$3),$O269,0)</f>
        <v>0</v>
      </c>
      <c r="AW269" s="133">
        <f>IF(AND($B268=" ",$K269=AW$3),$O269,0)</f>
        <v>0</v>
      </c>
      <c r="AX269" s="133">
        <f>IF(AND($B268=" ",$K269=AX$3),$O269,0)</f>
        <v>0</v>
      </c>
      <c r="AY269" s="135">
        <f>IF(AND($B268=" ",$K269=AY$3),$O269,0)</f>
        <v>0</v>
      </c>
      <c r="AZ269" s="136">
        <f>IF(AND($B268=" ",$K269=AZ$3),$O269,0)</f>
        <v>0</v>
      </c>
      <c r="BA269" s="136">
        <f>IF(AND($B268=" ",$K269=BA$3),$O269,0)</f>
        <v>0</v>
      </c>
      <c r="BB269" s="136">
        <f>IF(AND($B268=" ",$K269=BB$3),$O269,0)</f>
        <v>0</v>
      </c>
      <c r="BC269" s="137">
        <f>IF(AND($B268=" ",$K269=BC$3),$O269,0)</f>
        <v>0</v>
      </c>
      <c r="BD269" s="133">
        <f>IF(AND($B268=" ",$K269=BD$3),$O269,0)</f>
        <v>0</v>
      </c>
      <c r="BE269" s="134">
        <f>IF(AND($B268=" ",$K269=BE$3),$O269,0)</f>
        <v>0</v>
      </c>
      <c r="BF269" s="132">
        <f>IF($K269=BF$3,IF($C269="X",0,$O269),0)</f>
        <v>0</v>
      </c>
      <c r="BG269" s="281">
        <f>IF($K269=BG$3,IF($C269="X",0,$O269),0)</f>
        <v>0</v>
      </c>
      <c r="BH269" s="133">
        <f>IF($K269=BH$3,IF($C269="X",0,$O269),0)</f>
        <v>0</v>
      </c>
      <c r="BI269" s="133">
        <f>IF($K269=BI$3,IF($C269="X",0,$O269),0)</f>
        <v>5.5</v>
      </c>
      <c r="BJ269" s="133">
        <f>IF($K269=BJ$3,IF($C269="X",0,$O269),0)</f>
        <v>0</v>
      </c>
      <c r="BK269" s="133">
        <f>IF($K269=BK$3,IF($C269="X",0,$O269),0)</f>
        <v>0</v>
      </c>
      <c r="BL269" s="133">
        <f>IF($K269=BL$3,IF($C269="X",0,$O269),0)</f>
        <v>0</v>
      </c>
      <c r="BM269" s="135">
        <f>IF($K269=BM$3,IF($C269="X",0,$O269),0)</f>
        <v>0</v>
      </c>
      <c r="BN269" s="136">
        <f>IF($K269=BN$3,IF($C269="X",0,$O269),0)</f>
        <v>0</v>
      </c>
      <c r="BO269" s="136">
        <f>IF($K269=BO$3,IF($C269="X",0,$O269),0)</f>
        <v>0</v>
      </c>
      <c r="BP269" s="136">
        <f>IF($K269=BP$3,IF($C269="X",0,$O269),0)</f>
        <v>0</v>
      </c>
      <c r="BQ269" s="137">
        <f>IF($K269=BQ$3,IF($C269="X",0,$O269),0)</f>
        <v>0</v>
      </c>
      <c r="BR269" s="134">
        <f>IF($K269=BR$3,IF($C269="X",0,$O269),0)</f>
        <v>0</v>
      </c>
      <c r="BS269" s="282"/>
      <c r="BT269" s="283"/>
      <c r="BU269" s="140"/>
      <c r="BV269" s="283"/>
      <c r="BW269" s="140"/>
      <c r="BX269" s="140"/>
      <c r="BY269" s="140"/>
      <c r="BZ269" s="283"/>
      <c r="CA269" s="140"/>
      <c r="CB269" s="140"/>
      <c r="CC269" s="140"/>
      <c r="CD269" s="141"/>
      <c r="CE269" s="142"/>
      <c r="CF269" s="284">
        <f>IF(CF$3=$K269,IF($C269="W",1,IF($C269="1/2W",0.5,0)),0)</f>
        <v>0</v>
      </c>
      <c r="CG269" s="285">
        <f>IF(CF$3=$K269,IF($C269="L",1,IF($C269="1/2L",0.5,0)),0)</f>
        <v>0</v>
      </c>
      <c r="CH269" s="285">
        <f>IF(CH$3=$K269,IF($C269="W",1,IF($C269="1/2W",0.5,0)),0)</f>
        <v>0</v>
      </c>
      <c r="CI269" s="285">
        <f>IF(CH$3=$K269,IF($C269="L",1,IF($C269="1/2L",0.5,0)),0)</f>
        <v>0</v>
      </c>
      <c r="CJ269" s="285">
        <f>IF(CJ$3=$K269,IF($C269="W",1,IF($C269="1/2W",0.5,0)),0)</f>
        <v>0</v>
      </c>
      <c r="CK269" s="285">
        <f>IF(CJ$3=$K269,IF($C269="L",1,IF($C269="1/2L",0.5,0)),0)</f>
        <v>0</v>
      </c>
      <c r="CL269" s="285">
        <f>IF(CL$3=$K269,IF($C269="W",1,IF($C269="1/2W",0.5,0)),0)</f>
        <v>0</v>
      </c>
      <c r="CM269" s="285">
        <f>IF(CL$3=$K269,IF($C269="L",1,IF($C269="1/2L",0.5,0)),0)</f>
        <v>1</v>
      </c>
      <c r="CN269" s="285">
        <f>IF(CN$3=$K269,IF($C269="W",1,IF($C269="1/2W",0.5,0)),0)</f>
        <v>0</v>
      </c>
      <c r="CO269" s="285">
        <f>IF(CN$3=$K269,IF($C269="L",1,IF($C269="1/2L",0.5,0)),0)</f>
        <v>0</v>
      </c>
      <c r="CP269" s="285">
        <f>IF(CP$3=$K269,IF($C269="W",1,IF($C269="1/2W",0.5,0)),0)</f>
        <v>0</v>
      </c>
      <c r="CQ269" s="285">
        <f>IF(CP$3=$K269,IF($C269="L",1,IF($C269="1/2L",0.5,0)),0)</f>
        <v>0</v>
      </c>
      <c r="CR269" s="285">
        <f>IF(CR$3=$K269,IF($C269="W",1,IF($C269="1/2W",0.5,0)),0)</f>
        <v>0</v>
      </c>
      <c r="CS269" s="285">
        <f>IF(CR$3=$K269,IF($C269="L",1,IF($C269="1/2L",0.5,0)),0)</f>
        <v>0</v>
      </c>
      <c r="CT269" s="145">
        <f>IF(CT$3=$K269,IF($C269="W",1,IF($C269="1/2W",0.5,0)),0)</f>
        <v>0</v>
      </c>
      <c r="CU269" s="146">
        <f>IF(CT$3=$K269,IF($C269="L",1,IF($C269="1/2L",0.5,0)),0)</f>
        <v>0</v>
      </c>
      <c r="CV269" s="146">
        <f>IF(CV$3=$K269,IF($C269="W",1,IF($C269="1/2W",0.5,0)),0)</f>
        <v>0</v>
      </c>
      <c r="CW269" s="146">
        <f>IF(CV$3=$K269,IF($C269="L",1,IF($C269="1/2L",0.5,0)),0)</f>
        <v>0</v>
      </c>
      <c r="CX269" s="146">
        <f>IF(CX$3=$K269,IF($C269="W",1,IF($C269="1/2W",0.5,0)),0)</f>
        <v>0</v>
      </c>
      <c r="CY269" s="146">
        <f>IF(CX$3=$K269,IF($C269="L",1,IF($C269="1/2L",0.5,0)),0)</f>
        <v>0</v>
      </c>
      <c r="CZ269" s="146">
        <f>IF(CZ$3=$K269,IF($C269="W",1,IF($C269="1/2W",0.5,0)),0)</f>
        <v>0</v>
      </c>
      <c r="DA269" s="146">
        <f>IF(CZ$3=$K269,IF($C269="L",1,IF($C269="1/2L",0.5,0)),0)</f>
        <v>0</v>
      </c>
      <c r="DB269" s="146">
        <f>IF(DB$3=$K269,IF($C269="W",1,IF($C269="1/2W",0.5,0)),0)</f>
        <v>0</v>
      </c>
      <c r="DC269" s="146">
        <f>IF(DB$3=$K269,IF($C269="L",1,IF($C269="1/2L",0.5,0)),0)</f>
        <v>0</v>
      </c>
      <c r="DD269" s="146">
        <f>IF(DD$3=$K269,IF($C269="W",1,IF($C269="1/2W",0.5,0)),0)</f>
        <v>0</v>
      </c>
      <c r="DE269" s="147">
        <f>IF(DD$3=$K269,IF($C269="L",1,IF($C269="1/2L",0.5,0)),0)</f>
        <v>0</v>
      </c>
      <c r="DF269" s="143">
        <f>IF(AND(L269&lt;DF$3,$C269="W"),1+DF268,DF268)</f>
        <v>10</v>
      </c>
      <c r="DG269" s="133">
        <f>IF(DF269&gt;DF268,L269+DG268,DG268)</f>
        <v>13.078</v>
      </c>
      <c r="DH269" s="146">
        <f>IF(AND(L269&gt;DH$3,$C269="W"),1+DH268,0+DH268)</f>
        <v>6</v>
      </c>
      <c r="DI269" s="133">
        <f>IF(DH269&gt;DH268,L269+DI268,DI268)</f>
        <v>30.83</v>
      </c>
      <c r="DJ269" t="s" s="304">
        <f>IF($D268="","",$D268)</f>
        <v>229</v>
      </c>
      <c r="DK269" s="286"/>
    </row>
    <row r="270" ht="14.55" customHeight="1">
      <c r="A270" s="149"/>
      <c r="B270" s="150"/>
      <c r="C270" t="s" s="151">
        <v>58</v>
      </c>
      <c r="D270" s="152"/>
      <c r="E270" s="153"/>
      <c r="F270" s="155"/>
      <c r="G270" s="252"/>
      <c r="H270" s="156"/>
      <c r="I270" s="287"/>
      <c r="J270" s="288"/>
      <c r="K270" s="156"/>
      <c r="L270" s="289"/>
      <c r="M270" s="290"/>
      <c r="N270" s="161"/>
      <c r="O270" t="s" s="162">
        <f>IF(OR(AE268="",AE269=""),"",IF(L270&gt;0,ROUND(IF(M270&gt;0,M270,IF(M268&gt;0,ROUND((M268*AE270)/AE268,IF(N268=0,2,IF(N268=0.1,1,0))),IF(M269&gt;0,ROUND((M269*AE270)/AE269,IF(N268=0,2,IF(N268=0.1,1,0))),IF(M270&gt;0,M270,0)))),2),""))</f>
      </c>
      <c r="P270" t="s" s="163">
        <f>IF(I269="Lay",O269*(L269/(L269-1))-O269,IF(I268="Lay",O268*(L268/(L268-1))-O268,IF(OR(L270="",O270=""),"",IF($C270="1/2W",O270/2+O270/2*L270,IF($C270="1/2L",O270/2,(O270*L270-O270)*(1-_xlfn.XLOOKUP(K270,'Janeiro 2023 - Valor Real'!A3:A15,'Janeiro 2023 - Valor Real'!C3:C15,0))+O270)))))</f>
      </c>
      <c r="Q270" t="s" s="154">
        <f>IF(K270="","",IF(_xlfn.XLOOKUP(K270,K$108:K109,DJ$108:DJ109,0,,-1)=DJ270,_xlfn.XLOOKUP(K270,K$108:K109,Q$108:Q109,1,,-1)+1,1))</f>
      </c>
      <c r="R270" t="s" s="163">
        <f>IF(K270="","",_xlfn.XLOOKUP(K270,K$108:K109,R$108:R109,0,,-1)+IF($C270=" ",1,0))</f>
      </c>
      <c r="S270" s="166"/>
      <c r="T270" s="155"/>
      <c r="U270" s="155"/>
      <c r="V270" s="166"/>
      <c r="W270" s="155"/>
      <c r="X270" s="167"/>
      <c r="Y270" s="128"/>
      <c r="Z270" s="129"/>
      <c r="AA270" s="129"/>
      <c r="AB270" s="129"/>
      <c r="AC270" s="129"/>
      <c r="AD270" s="168"/>
      <c r="AE270" t="s" s="169">
        <f>IF(L270="","",(SUM(((L268-1)*(1-_xlfn.XLOOKUP(K268,'Janeiro 2023 - Valor Real'!A3:A15,'Janeiro 2023 - Valor Real'!C3:C15,0))+1),((L269-1)*(1-_xlfn.XLOOKUP(K269,'Janeiro 2023 - Valor Real'!A3:A15,'Janeiro 2023 - Valor Real'!C3:C15,0))+1),((L270-1)*(1-_xlfn.XLOOKUP(K270,'Janeiro 2023 - Valor Real'!A3:A15,'Janeiro 2023 - Valor Real'!C3:C15,0))+1))/((L270-1)*(1-_xlfn.XLOOKUP(K270,'Janeiro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Real'!C3:C15,0))+1))/((L268-1)*(1-_xlfn.XLOOKUP(K268,'Janeiro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Real'!C3:C15,0))+1))/((L269-1)*(1-_xlfn.XLOOKUP(K269,'Janeiro 2023 - Valor Real'!A3:A15,'Janeiro 2023 - Valor Real'!C3:C15,0))+1)+SUM(((L268-1)*(1-_xlfn.XLOOKUP(K268,'Janeiro 2023 - Valor Real'!A3:A15,'Janeiro 2023 - Valor Real'!C3:C15,0))+1),((L269-1)*(1-_xlfn.XLOOKUP(K269,'Janeiro 2023 - Valor Real'!A3:A15,'Janeiro 2023 - Valor Real'!C3:C15,0))+1),((L270-1)*(1-_xlfn.XLOOKUP(K270,'Janeiro 2023 - Valor Real'!A3:A15,'Janeiro 2023 - Valor Real'!C3:C15,0))+1))/((L270-1)*(1-_xlfn.XLOOKUP(K270,'Janeiro 2023 - Valor Real'!A3:A15,'Janeiro 2023 - Valor Real'!C3:C15,0))+1)))</f>
      </c>
      <c r="AF270" s="132">
        <f>IF($K270=AF$3,ROUND(IF(OR($C270="W",$C270="1/2W",$C270="1/2L"),$P270-$O270,IF($C270="X",0,-$O270)),2),0)</f>
        <v>0</v>
      </c>
      <c r="AG270" s="133">
        <f>IF($K270=AG$3,ROUND(IF(OR($C270="W",$C270="1/2W",$C270="1/2L"),$P270-$O270,IF($C270="X",0,-$O270)),2),0)</f>
        <v>0</v>
      </c>
      <c r="AH270" s="133">
        <f>IF($K270=AH$3,ROUND(IF(OR($C270="W",$C270="1/2W",$C270="1/2L"),$P270-$O270,IF($C270="X",0,-$O270)),2),0)</f>
        <v>0</v>
      </c>
      <c r="AI270" s="133">
        <f>IF($K270=AI$3,ROUND(IF(OR($C270="W",$C270="1/2W",$C270="1/2L"),$P270-$O270,IF($C270="X",0,-$O270)),2),0)</f>
        <v>0</v>
      </c>
      <c r="AJ270" s="133">
        <f>IF($K270=AJ$3,ROUND(IF(OR($C270="W",$C270="1/2W",$C270="1/2L"),$P270-$O270,IF($C270="X",0,-$O270)),2),0)</f>
        <v>0</v>
      </c>
      <c r="AK270" s="133">
        <f>IF($K270=AK$3,ROUND(IF(OR($C270="W",$C270="1/2W",$C270="1/2L"),$P270-$O270,IF($C270="X",0,-$O270)),2),0)</f>
        <v>0</v>
      </c>
      <c r="AL270" s="133">
        <f>IF($K270=AL$3,ROUND(IF(OR($C270="W",$C270="1/2W",$C270="1/2L"),$P270-$O270,IF($C270="X",0,-$O270)),2),0)</f>
        <v>0</v>
      </c>
      <c r="AM270" s="133">
        <f>IF($K270=AM$3,ROUND(IF(OR($C270="W",$C270="1/2W",$C270="1/2L"),$P270-$O270,IF($C270="X",0,-$O270)),2),0)</f>
        <v>0</v>
      </c>
      <c r="AN270" s="133">
        <f>IF($K270=AN$3,ROUND(IF(OR($C270="W",$C270="1/2W",$C270="1/2L"),$P270-$O270,IF($C270="X",0,-$O270)),2),0)</f>
        <v>0</v>
      </c>
      <c r="AO270" s="133">
        <f>IF($K270=AO$3,ROUND(IF(OR($C270="W",$C270="1/2W",$C270="1/2L"),$P270-$O270,IF($C270="X",0,-$O270)),2),0)</f>
        <v>0</v>
      </c>
      <c r="AP270" s="133">
        <f>IF($K270=AP$3,ROUND(IF(OR($C270="W",$C270="1/2W",$C270="1/2L"),$P270-$O270,IF($C270="X",0,-$O270)),2),0)</f>
        <v>0</v>
      </c>
      <c r="AQ270" s="133">
        <f>IF($K270=AQ$3,ROUND(IF(OR($C270="W",$C270="1/2W",$C270="1/2L"),$P270-$O270,IF($C270="X",0,-$O270)),2),0)</f>
        <v>0</v>
      </c>
      <c r="AR270" s="134">
        <f>IF($K270=AR$3,ROUND(IF(OR($C270="W",$C270="1/2W",$C270="1/2L"),$P270-$O270,IF($C270="X",0,-$O270)),2),0)</f>
        <v>0</v>
      </c>
      <c r="AS270" s="132">
        <f>IF(AND($B268=" ",$K270=AS$3),$O270,0)</f>
        <v>0</v>
      </c>
      <c r="AT270" s="133">
        <f>IF(AND($B268=" ",K270=AT$3),$O270,0)</f>
        <v>0</v>
      </c>
      <c r="AU270" s="133">
        <f>IF(AND($B268=" ",$K270=AU$3),$O270,0)</f>
        <v>0</v>
      </c>
      <c r="AV270" s="133">
        <f>IF(AND($B268=" ",$K270=AV$3),$O270,0)</f>
        <v>0</v>
      </c>
      <c r="AW270" s="133">
        <f>IF(AND($B268=" ",$K270=AW$3),$O270,0)</f>
        <v>0</v>
      </c>
      <c r="AX270" s="133">
        <f>IF(AND($B268=" ",$K270=AX$3),$O270,0)</f>
        <v>0</v>
      </c>
      <c r="AY270" s="135">
        <f>IF(AND($B268=" ",$K270=AY$3),$O270,0)</f>
        <v>0</v>
      </c>
      <c r="AZ270" s="136">
        <f>IF(AND($B268=" ",$K270=AZ$3),$O270,0)</f>
        <v>0</v>
      </c>
      <c r="BA270" s="136">
        <f>IF(AND($B268=" ",$K270=BA$3),$O270,0)</f>
        <v>0</v>
      </c>
      <c r="BB270" s="136">
        <f>IF(AND($B268=" ",$K270=BB$3),$O270,0)</f>
        <v>0</v>
      </c>
      <c r="BC270" s="137">
        <f>IF(AND($B268=" ",$K270=BC$3),$O270,0)</f>
        <v>0</v>
      </c>
      <c r="BD270" s="133">
        <f>IF(AND($B268=" ",$K270=BD$3),$O270,0)</f>
        <v>0</v>
      </c>
      <c r="BE270" s="134">
        <f>IF(AND($B268=" ",$K270=BE$3),$O270,0)</f>
        <v>0</v>
      </c>
      <c r="BF270" s="132">
        <f>IF($K270=BF$3,IF($C270="X",0,$O270),0)</f>
        <v>0</v>
      </c>
      <c r="BG270" s="281">
        <f>IF($K270=BG$3,IF($C270="X",0,$O270),0)</f>
        <v>0</v>
      </c>
      <c r="BH270" s="133">
        <f>IF($K270=BH$3,IF($C270="X",0,$O270),0)</f>
        <v>0</v>
      </c>
      <c r="BI270" s="133">
        <f>IF($K270=BI$3,IF($C270="X",0,$O270),0)</f>
        <v>0</v>
      </c>
      <c r="BJ270" s="133">
        <f>IF($K270=BJ$3,IF($C270="X",0,$O270),0)</f>
        <v>0</v>
      </c>
      <c r="BK270" s="133">
        <f>IF($K270=BK$3,IF($C270="X",0,$O270),0)</f>
        <v>0</v>
      </c>
      <c r="BL270" s="133">
        <f>IF($K270=BL$3,IF($C270="X",0,$O270),0)</f>
        <v>0</v>
      </c>
      <c r="BM270" s="135">
        <f>IF($K270=BM$3,IF($C270="X",0,$O270),0)</f>
        <v>0</v>
      </c>
      <c r="BN270" s="136">
        <f>IF($K270=BN$3,IF($C270="X",0,$O270),0)</f>
        <v>0</v>
      </c>
      <c r="BO270" s="136">
        <f>IF($K270=BO$3,IF($C270="X",0,$O270),0)</f>
        <v>0</v>
      </c>
      <c r="BP270" s="136">
        <f>IF($K270=BP$3,IF($C270="X",0,$O270),0)</f>
        <v>0</v>
      </c>
      <c r="BQ270" s="137">
        <f>IF($K270=BQ$3,IF($C270="X",0,$O270),0)</f>
        <v>0</v>
      </c>
      <c r="BR270" s="134">
        <f>IF($K270=BR$3,IF($C270="X",0,$O270),0)</f>
        <v>0</v>
      </c>
      <c r="BS270" s="282"/>
      <c r="BT270" s="283"/>
      <c r="BU270" s="140"/>
      <c r="BV270" s="283"/>
      <c r="BW270" s="140"/>
      <c r="BX270" s="140"/>
      <c r="BY270" s="140"/>
      <c r="BZ270" s="283"/>
      <c r="CA270" s="140"/>
      <c r="CB270" s="140"/>
      <c r="CC270" s="140"/>
      <c r="CD270" s="141"/>
      <c r="CE270" s="142"/>
      <c r="CF270" s="284">
        <f>IF(CF$3=$K270,IF($C270="W",1,IF($C270="1/2W",0.5,0)),0)</f>
        <v>0</v>
      </c>
      <c r="CG270" s="285">
        <f>IF(CF$3=$K270,IF($C270="L",1,IF($C270="1/2L",0.5,0)),0)</f>
        <v>0</v>
      </c>
      <c r="CH270" s="285">
        <f>IF(CH$3=$K270,IF($C270="W",1,IF($C270="1/2W",0.5,0)),0)</f>
        <v>0</v>
      </c>
      <c r="CI270" s="285">
        <f>IF(CH$3=$K270,IF($C270="L",1,IF($C270="1/2L",0.5,0)),0)</f>
        <v>0</v>
      </c>
      <c r="CJ270" s="285">
        <f>IF(CJ$3=$K270,IF($C270="W",1,IF($C270="1/2W",0.5,0)),0)</f>
        <v>0</v>
      </c>
      <c r="CK270" s="285">
        <f>IF(CJ$3=$K270,IF($C270="L",1,IF($C270="1/2L",0.5,0)),0)</f>
        <v>0</v>
      </c>
      <c r="CL270" s="285">
        <f>IF(CL$3=$K270,IF($C270="W",1,IF($C270="1/2W",0.5,0)),0)</f>
        <v>0</v>
      </c>
      <c r="CM270" s="285">
        <f>IF(CL$3=$K270,IF($C270="L",1,IF($C270="1/2L",0.5,0)),0)</f>
        <v>0</v>
      </c>
      <c r="CN270" s="285">
        <f>IF(CN$3=$K270,IF($C270="W",1,IF($C270="1/2W",0.5,0)),0)</f>
        <v>0</v>
      </c>
      <c r="CO270" s="285">
        <f>IF(CN$3=$K270,IF($C270="L",1,IF($C270="1/2L",0.5,0)),0)</f>
        <v>0</v>
      </c>
      <c r="CP270" s="285">
        <f>IF(CP$3=$K270,IF($C270="W",1,IF($C270="1/2W",0.5,0)),0)</f>
        <v>0</v>
      </c>
      <c r="CQ270" s="285">
        <f>IF(CP$3=$K270,IF($C270="L",1,IF($C270="1/2L",0.5,0)),0)</f>
        <v>0</v>
      </c>
      <c r="CR270" s="285">
        <f>IF(CR$3=$K270,IF($C270="W",1,IF($C270="1/2W",0.5,0)),0)</f>
        <v>0</v>
      </c>
      <c r="CS270" s="285">
        <f>IF(CR$3=$K270,IF($C270="L",1,IF($C270="1/2L",0.5,0)),0)</f>
        <v>0</v>
      </c>
      <c r="CT270" s="145">
        <f>IF(CT$3=$K270,IF($C270="W",1,IF($C270="1/2W",0.5,0)),0)</f>
        <v>0</v>
      </c>
      <c r="CU270" s="146">
        <f>IF(CT$3=$K270,IF($C270="L",1,IF($C270="1/2L",0.5,0)),0)</f>
        <v>0</v>
      </c>
      <c r="CV270" s="146">
        <f>IF(CV$3=$K270,IF($C270="W",1,IF($C270="1/2W",0.5,0)),0)</f>
        <v>0</v>
      </c>
      <c r="CW270" s="146">
        <f>IF(CV$3=$K270,IF($C270="L",1,IF($C270="1/2L",0.5,0)),0)</f>
        <v>0</v>
      </c>
      <c r="CX270" s="146">
        <f>IF(CX$3=$K270,IF($C270="W",1,IF($C270="1/2W",0.5,0)),0)</f>
        <v>0</v>
      </c>
      <c r="CY270" s="146">
        <f>IF(CX$3=$K270,IF($C270="L",1,IF($C270="1/2L",0.5,0)),0)</f>
        <v>0</v>
      </c>
      <c r="CZ270" s="146">
        <f>IF(CZ$3=$K270,IF($C270="W",1,IF($C270="1/2W",0.5,0)),0)</f>
        <v>0</v>
      </c>
      <c r="DA270" s="146">
        <f>IF(CZ$3=$K270,IF($C270="L",1,IF($C270="1/2L",0.5,0)),0)</f>
        <v>0</v>
      </c>
      <c r="DB270" s="146">
        <f>IF(DB$3=$K270,IF($C270="W",1,IF($C270="1/2W",0.5,0)),0)</f>
        <v>0</v>
      </c>
      <c r="DC270" s="146">
        <f>IF(DB$3=$K270,IF($C270="L",1,IF($C270="1/2L",0.5,0)),0)</f>
        <v>0</v>
      </c>
      <c r="DD270" s="146">
        <f>IF(DD$3=$K270,IF($C270="W",1,IF($C270="1/2W",0.5,0)),0)</f>
        <v>0</v>
      </c>
      <c r="DE270" s="147">
        <f>IF(DD$3=$K270,IF($C270="L",1,IF($C270="1/2L",0.5,0)),0)</f>
        <v>0</v>
      </c>
      <c r="DF270" s="143">
        <f>IF(AND(L270&lt;DF$3,$C270="W"),1+DF269,DF269)</f>
        <v>10</v>
      </c>
      <c r="DG270" s="133">
        <f>IF(DF270&gt;DF269,L270+DG269,DG269)</f>
        <v>13.078</v>
      </c>
      <c r="DH270" s="146">
        <f>IF(AND(L270&gt;DH$3,$C270="W"),1+DH269,0+DH269)</f>
        <v>6</v>
      </c>
      <c r="DI270" s="133">
        <f>IF(DH270&gt;DH269,L270+DI269,DI269)</f>
        <v>30.83</v>
      </c>
      <c r="DJ270" t="s" s="304">
        <f>IF($D268="","",$D268)</f>
        <v>229</v>
      </c>
      <c r="DK270" s="286"/>
    </row>
    <row r="271" ht="14.55" customHeight="1">
      <c r="A271" s="171">
        <f>$A268+1</f>
        <v>90</v>
      </c>
      <c r="B271" t="s" s="172">
        <f>IF(AND(_xlfn.XLOOKUP(H271,H$103:H110,G$103:G110,0)=G271,_xlfn.XLOOKUP("TempoBet",K271:K273,L271:L273,0)&gt;0),"X",IF(OR(C271="W",C272="W",C273="W",C271="1/2W",C272="1/2W",C273="1/2W",C271="1/2L",C272="1/2L",C273="1/2L"),"OK",IF(OR(C271="L",C272="L",C273="L"),"LOSS",IF(OR(C271="X",C272="X",C273="X"),"Anulado"," "))))</f>
        <v>50</v>
      </c>
      <c r="C271" t="s" s="173">
        <v>56</v>
      </c>
      <c r="D271" t="s" s="305">
        <f>IF(G271="","",$D268)</f>
        <v>229</v>
      </c>
      <c r="E271" t="s" s="175">
        <f>IF(G271=""," ","– "&amp;COUNTIF(D$4:D273,$D271))</f>
        <v>141</v>
      </c>
      <c r="F271" t="s" s="176"/>
      <c r="G271" s="177">
        <v>44945.427083333336</v>
      </c>
      <c r="H271" t="s" s="178">
        <v>253</v>
      </c>
      <c r="I271" s="298">
        <v>2</v>
      </c>
      <c r="J271" s="180"/>
      <c r="K271" t="s" s="181">
        <v>41</v>
      </c>
      <c r="L271" s="182">
        <v>1.93</v>
      </c>
      <c r="M271" s="183"/>
      <c r="N271" s="184">
        <v>0.1</v>
      </c>
      <c r="O271" s="185">
        <f>IF(OR(AE271="",AE272=""),"",ROUND(IF(L273&gt;0,IF(M271&gt;0,M271,IF(M272&gt;0,ROUND((M272*AE271)/AE272,IF(N271=0,2,IF(N271=0.1,1,0))),ROUND((M273*AE271)/AE273,IF(N271=0,2,IF(N271=0.1,1,0))))),IF(M271&gt;0,M271,ROUND((M272*AE271)/AE272,IF(N271=0,2,IF(N271=0.1,1,0))))),2))</f>
        <v>6.8</v>
      </c>
      <c r="P271" s="186">
        <f>IF(OR(L271="",O271=""),"",IF($C271="1/2W",O271/2+O271/2*L271,IF($C271="1/2L",O271/2,IF(I271="Lay",(O271*(L271/(L271-1))-O271)*(1-_xlfn.XLOOKUP(K271,'Janeiro 2023 - Valor Real'!A3:A15,'Janeiro 2023 - Valor Real'!C3:C15,0))+O271,(O271*L271-O271)*(1-_xlfn.XLOOKUP(K271,'Janeiro 2023 - Valor Real'!A3:A15,'Janeiro 2023 - Valor Real'!C3:C15,0))+O271))))</f>
        <v>13.124</v>
      </c>
      <c r="Q271" s="187">
        <f>IF(K271="","",IF(_xlfn.XLOOKUP(K271,K$103:K110,DJ$103:DJ110,0,,-1)=DJ271,_xlfn.XLOOKUP(K271,K$103:K110,Q$103:Q110,1,,-1)+1,1))</f>
        <v>1</v>
      </c>
      <c r="R271" s="188">
        <f>IF(K271="","",_xlfn.XLOOKUP(K271,K$103:K110,R$103:R110,0,,-1)+IF($C271=" ",1,0))</f>
        <v>0</v>
      </c>
      <c r="S271" s="189">
        <f>IF($B271="Anulado",0,ROUND(IF(OR($B271="LOSS",$B271="OK"),IF(OR($C271="W",$C271="1/2W",$C271="1/2L"),P271-O271,IF($C271="L",-O271,0))+IF(OR($C272="W",$C272="1/2W",$C272="1/2L"),P272-O272,IF($C272="L",-O272,0))+IF(OR($C273="W",$C273="1/2W",$C273="1/2L"),P273-O273,IF($C273="L",-O273,0)),IF(AND(OR($C271="W",$C271="1/2W",$C271="1/2L"),C272="W"),P271+P272-SUM(O271:O273)+_xlfn.XLOOKUP("X",C271:C273,O271:O273,0),IF(AND(C271=TRUE,C273="W"),P271+P273-SUM(O271:O273),IF(AND(C272="W",C273="W"),P272+P273-SUM(O271:O273)+_xlfn.XLOOKUP("X",C271:C273,O271:O273,0),IF(L273&gt;0,IF(OR($C271="W",$C271="1/2W",$C271="1/2L"),P271-SUM(O271:O273)+_xlfn.XLOOKUP("X",C271:C273,O271:O273,0),IF(OR($C271="W",$C271="1/2W",$C271="1/2L"),P272-SUM(O271:O273)+_xlfn.XLOOKUP("X",C271:C273,O271:O273,0),IF(OR($C271="W",$C271="1/2W",$C271="1/2L"),P273-SUM(O271:O273)+_xlfn.XLOOKUP("X",C271:C273,O271:O273,0),IF(SUM(P271:P273)/3-SUM(O271:O273)+_xlfn.XLOOKUP("X",C271:C273,O271:O273,0)&gt;0,SUM(P271:P273)/3-SUM(O271:O273)+_xlfn.XLOOKUP("X",C271:C273,O271:O273,0),LARGE(P271:P273,1)-SUM(O271:O273))))),IF(OR($C271="W",$C271="1/2W",$C271="1/2L"),P271-SUM(O271:O272)+_xlfn.XLOOKUP("X",C271:C273,O271:O273,0),IF(OR($C271="W",$C271="1/2W",$C271="1/2L"),P272-SUM(O271:O272)+_xlfn.XLOOKUP("X",C271:C273,O271:O273,0),SUM(P271:P272)/2-SUM(O271:O272)+_xlfn.XLOOKUP("X",C271:C273,O271:O273,0)))))))),2))</f>
        <v>0.82</v>
      </c>
      <c r="T271" s="190">
        <f>IF(S271=0,0,S271/SUM(O271:O273))</f>
        <v>0.06666666666666669</v>
      </c>
      <c r="U271" s="191">
        <f>IF($D271=$D268,IF(OR($B271="LOSS",$B271="OK",$B271="Anulada"),S271,0)+U268,IF(OR($B271="LOSS",$B271="OK",$B271="Anulada"),S271,0))</f>
        <v>17.97</v>
      </c>
      <c r="V271" s="191">
        <f>IF($D271="",0,IF($D271=$D268,IF($B271=" ",IF(I273="",IF(OR(AND(I271="DNB1",I272="DNB2"),AND(OR(I271="DNB1",I271="DNB2"),J272=0),AND(OR(I272="DNB1",I272="DNB2"),J271=0),AND(I271="DNB2",I272="DNB1"),AND(IF(J271=0,(J271+1)/ROUND(J271+1,0),J271/ROUND(J271,0))=1,IF(J272=0,(J272+1)/ROUND(IF(J272="",0,J272)+1,0),IF(J272="",0,J272)/ROUND(IF(J272="",1,J272),0))=1,OR(J271&lt;&gt;""),J272&lt;&gt;"")),0,IF(S271&lt;0,IF(I273="",SMALL(P271:P272,1)-SUM(O271:O272),0),SMALL(P271:P272,1)-SUM(O271:O272))),IF(S271&lt;0,IF(I273="",SMALL(P271:P273,1)-SUM(O271:O273),0),LARGE(P271:P273,1)-SUM(O271:O273))),S271)+V268,IF(I273="",IF(OR(AND(I271="DNB1",I272="DNB2"),AND(OR(I271="DNB1",I271="DNB2"),J272=0),AND(OR(I272="DNB1",I272="DNB2"),J271=0),AND(I271="DNB2",I272="DNB1"),AND(IF(J271=0,(J271+1)/ROUND(J271+1,0),J271/ROUND(J271,0))=1,IF(J272=0,(IF(J272="",0,J272)+1)/ROUND(IF(J272="",0,J272)+1,0),IF(J272="",0,J272)/ROUND(IF(J272="",0,J272)+1,0))=1,OR(J271&lt;&gt;""),J272&lt;&gt;"")),0,IF(S271&lt;0,IF(I273="",SMALL(P271:P272,1)-SUM(O271:O272),0),SMALL(P271:P273,1)-SUM(O271:O273))),IF(S271&lt;0,IF(I273="",SMALL(P271:P273,1)-SUM(O271:O273),0),LARGE(P271:P273,1)-SUM(O271:O273)))))</f>
        <v>17.966</v>
      </c>
      <c r="W271" s="191">
        <f>IF($D271=$D268,IF(S271&lt;0,IF(I273="",S271,0),S271)+W268,S271)</f>
        <v>17.97</v>
      </c>
      <c r="X271" t="s" s="192">
        <f>IF(OR(SUM(R271:R273)=0,V271=W271),ROUND(IF(W271=0,0,W271/Y271)*100,2)&amp;"%",ROUND(IF(V271=0,0,V271/Y271)*100,2)&amp;"% a "&amp;ROUND(IF(W271=0,0,W271/Y271)*100,2)&amp;"%")</f>
        <v>151</v>
      </c>
      <c r="Y271" s="193">
        <f>IF($D271=$D268,Y268+SUM(O271:O273),SUM(O271:O273))</f>
        <v>486.57</v>
      </c>
      <c r="Z271" s="191">
        <f>IF($B271=" ",SUM(O271:O273),0)+Z268</f>
        <v>0</v>
      </c>
      <c r="AA271" s="191">
        <f>IF(G271="","",IF($B271="Anulado",LARGE(P271:P273,1)-SUM(O271:O273)+AA268,AA268))</f>
        <v>16.5099</v>
      </c>
      <c r="AB271" s="191">
        <f>IF($D271="","",AB268+S271)</f>
        <v>220.14</v>
      </c>
      <c r="AC271" s="194">
        <f>IF($D271="","",IF($B271=" ",IF(DAY(G271)=DAY(TODAY()),1+AC268,0+AC268),0+AC268))</f>
        <v>0</v>
      </c>
      <c r="AD271" s="195">
        <f>(((L272/(L272-1)-1)*(1-_xlfn.XLOOKUP(K272,'Janeiro 2023 - Valor Real'!A3:A15,'Janeiro 2023 - Valor Real'!C3:C15,0))+1))/(((L271-1)*(1-_xlfn.XLOOKUP(K271,'Janeiro 2023 - Valor Real'!A3:A15,'Janeiro 2023 - Valor Real'!C3:C15,0))+1)+((L272/(L272-1)-1)*(1-_xlfn.XLOOKUP(K272,'Janeiro 2023 - Valor Real'!A3:A15,'Janeiro 2023 - Valor Real'!C3:C15,0))+1))</f>
        <v>0.472667078837678</v>
      </c>
      <c r="AE271" s="196">
        <f>IF(L271="","",IF(L273&gt;0,(SUM(((L271-1)*(1-_xlfn.XLOOKUP(K271,'Janeiro 2023 - Valor Real'!A3:A15,'Janeiro 2023 - Valor Real'!C3:C15,0))+1),((L272-1)*(1-_xlfn.XLOOKUP(K272,'Janeiro 2023 - Valor Real'!A3:A15,'Janeiro 2023 - Valor Real'!C3:C15,0))+1),((L273-1)*(1-_xlfn.XLOOKUP(K273,'Janeiro 2023 - Valor Real'!A3:A15,'Janeiro 2023 - Valor Real'!C3:C15,0))+1))/((L271-1)*(1-_xlfn.XLOOKUP(K271,'Janeiro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Real'!C3:C15,0))+1))/((L271-1)*(1-_xlfn.XLOOKUP(K271,'Janeiro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Real'!C3:C15,0))+1))/((L272-1)*(1-_xlfn.XLOOKUP(K272,'Janeiro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Real'!C3:C15,0))+1))/((L273-1)*(1-_xlfn.XLOOKUP(K273,'Janeiro 2023 - Valor Real'!A3:A15,'Janeiro 2023 - Valor Real'!C3:C15,0))+1)),IF(I271="Lay",IF(I272="Lay",((L272/(L272-1)-1)*(1-_xlfn.XLOOKUP(K272,'Janeiro 2023 - Valor Real'!A3:A15,'Janeiro 2023 - Valor Real'!C3:C15,0))+1)/(((L272/(L272-1)-1)*(1-_xlfn.XLOOKUP(K272,'Janeiro 2023 - Valor Real'!A3:A15,'Janeiro 2023 - Valor Real'!C3:C15,0))+1)+((L271/(L271-1)-1)*(1-_xlfn.XLOOKUP(K271,'Janeiro 2023 - Valor Real'!A3:A15,'Janeiro 2023 - Valor Real'!C3:C15,0))+1)),((L272-1)*(1-_xlfn.XLOOKUP(K272,'Janeiro 2023 - Valor Real'!A3:A15,'Janeiro 2023 - Valor Real'!C3:C15,0))+1)/(((L272-1)*(1-_xlfn.XLOOKUP(K272,'Janeiro 2023 - Valor Real'!A3:A15,'Janeiro 2023 - Valor Real'!C3:C15,0))+1)+((L271/(L271-1)-1)*(1-_xlfn.XLOOKUP(K271,'Janeiro 2023 - Valor Real'!A3:A15,'Janeiro 2023 - Valor Real'!C3:C15,0))+1))),IF(I272="Lay",(((L272/(L272-1)-1)*(1-_xlfn.XLOOKUP(K272,'Janeiro 2023 - Valor Real'!A3:A15,'Janeiro 2023 - Valor Real'!C3:C15,0))+1))/(((L271-1)*(1-_xlfn.XLOOKUP(K271,'Janeiro 2023 - Valor Real'!A3:A15,'Janeiro 2023 - Valor Real'!C3:C15,0))+1)+((L272/(L272-1)-1)*(1-_xlfn.XLOOKUP(K272,'Janeiro 2023 - Valor Real'!A3:A15,'Janeiro 2023 - Valor Real'!C3:C15,0))+1)),((L272-1)*(1-_xlfn.XLOOKUP(K272,'Janeiro 2023 - Valor Real'!A3:A15,'Janeiro 2023 - Valor Real'!C3:C15,0))+1)/(((L272-1)*(1-_xlfn.XLOOKUP(K272,'Janeiro 2023 - Valor Real'!A3:A15,'Janeiro 2023 - Valor Real'!C3:C15,0))+1)+((L271-1)*(1-_xlfn.XLOOKUP(K271,'Janeiro 2023 - Valor Real'!A3:A15,'Janeiro 2023 - Valor Real'!C3:C15,0))+1))))))</f>
        <v>0.551162790697674</v>
      </c>
      <c r="AF271" s="197">
        <f>IF($K271=AF$3,ROUND(IF(OR($C271="W",$C271="1/2W",$C271="1/2L"),$P271-$O271,IF($C271="X",0,-$O271)),2),0)</f>
        <v>0</v>
      </c>
      <c r="AG271" s="198">
        <f>IF($K271=AG$3,ROUND(IF(OR($C271="W",$C271="1/2W",$C271="1/2L"),$P271-$O271,IF($C271="X",0,-$O271)),2),0)</f>
        <v>0</v>
      </c>
      <c r="AH271" s="198">
        <f>IF($K271=AH$3,ROUND(IF(OR($C271="W",$C271="1/2W",$C271="1/2L"),$P271-$O271,IF($C271="X",0,-$O271)),2),0)</f>
        <v>0</v>
      </c>
      <c r="AI271" s="198">
        <f>IF($K271=AI$3,ROUND(IF(OR($C271="W",$C271="1/2W",$C271="1/2L"),$P271-$O271,IF($C271="X",0,-$O271)),2),0)</f>
        <v>0</v>
      </c>
      <c r="AJ271" s="198">
        <f>IF($K271=AJ$3,ROUND(IF(OR($C271="W",$C271="1/2W",$C271="1/2L"),$P271-$O271,IF($C271="X",0,-$O271)),2),0)</f>
        <v>6.32</v>
      </c>
      <c r="AK271" s="198">
        <f>IF($K271=AK$3,ROUND(IF(OR($C271="W",$C271="1/2W",$C271="1/2L"),$P271-$O271,IF($C271="X",0,-$O271)),2),0)</f>
        <v>0</v>
      </c>
      <c r="AL271" s="198">
        <f>IF($K271=AL$3,ROUND(IF(OR($C271="W",$C271="1/2W",$C271="1/2L"),$P271-$O271,IF($C271="X",0,-$O271)),2),0)</f>
        <v>0</v>
      </c>
      <c r="AM271" s="198">
        <f>IF($K271=AM$3,ROUND(IF(OR($C271="W",$C271="1/2W",$C271="1/2L"),$P271-$O271,IF($C271="X",0,-$O271)),2),0)</f>
        <v>0</v>
      </c>
      <c r="AN271" s="198">
        <f>IF($K271=AN$3,ROUND(IF(OR($C271="W",$C271="1/2W",$C271="1/2L"),$P271-$O271,IF($C271="X",0,-$O271)),2),0)</f>
        <v>0</v>
      </c>
      <c r="AO271" s="198">
        <f>IF($K271=AO$3,ROUND(IF(OR($C271="W",$C271="1/2W",$C271="1/2L"),$P271-$O271,IF($C271="X",0,-$O271)),2),0)</f>
        <v>0</v>
      </c>
      <c r="AP271" s="198">
        <f>IF($K271=AP$3,ROUND(IF(OR($C271="W",$C271="1/2W",$C271="1/2L"),$P271-$O271,IF($C271="X",0,-$O271)),2),0)</f>
        <v>0</v>
      </c>
      <c r="AQ271" s="198">
        <f>IF($K271=AQ$3,ROUND(IF(OR($C271="W",$C271="1/2W",$C271="1/2L"),$P271-$O271,IF($C271="X",0,-$O271)),2),0)</f>
        <v>0</v>
      </c>
      <c r="AR271" s="199">
        <f>IF($K271=AR$3,ROUND(IF(OR($C271="W",$C271="1/2W",$C271="1/2L"),$P271-$O271,IF($C271="X",0,-$O271)),2),0)</f>
        <v>0</v>
      </c>
      <c r="AS271" s="197">
        <f>IF(AND($B271=" ",$K271=AS$3),$O271,0)</f>
        <v>0</v>
      </c>
      <c r="AT271" s="198">
        <f>IF(AND($B271=" ",$K271=AT$3),$O271,0)</f>
        <v>0</v>
      </c>
      <c r="AU271" s="198">
        <f>IF(AND($B271=" ",$K271=AU$3),$O271,0)</f>
        <v>0</v>
      </c>
      <c r="AV271" s="198">
        <f>IF(AND($B271=" ",$K271=AV$3),$O271,0)</f>
        <v>0</v>
      </c>
      <c r="AW271" s="198">
        <f>IF(AND($B271=" ",$K271=AW$3),$O271,0)</f>
        <v>0</v>
      </c>
      <c r="AX271" s="198">
        <f>IF(AND($B271=" ",$K271=AX$3),$O271,0)</f>
        <v>0</v>
      </c>
      <c r="AY271" s="200">
        <f>IF(AND($B271=" ",$K271=AY$3),$O271,0)</f>
        <v>0</v>
      </c>
      <c r="AZ271" s="201">
        <f>IF(AND($B271=" ",$K271=AZ$3),$O271,0)</f>
        <v>0</v>
      </c>
      <c r="BA271" s="201">
        <f>IF(AND($B271=" ",$K271=BA$3),$O271,0)</f>
        <v>0</v>
      </c>
      <c r="BB271" s="201">
        <f>IF(AND($B271=" ",$K271=BB$3),$O271,0)</f>
        <v>0</v>
      </c>
      <c r="BC271" s="202">
        <f>IF(AND($B271=" ",$K271=BC$3),$O271,0)</f>
        <v>0</v>
      </c>
      <c r="BD271" s="198">
        <f>IF(AND($B271=" ",$K271=BD$3),$O271,0)</f>
        <v>0</v>
      </c>
      <c r="BE271" s="199">
        <f>IF(AND($B271=" ",$K271=BE$3),$O271,0)</f>
        <v>0</v>
      </c>
      <c r="BF271" s="203">
        <f>IF($K271=BF$3,IF($C271="X",0,$O271),0)</f>
        <v>0</v>
      </c>
      <c r="BG271" s="198">
        <f>IF($K271=BG$3,IF($C271="X",0,$O271),0)</f>
        <v>0</v>
      </c>
      <c r="BH271" s="198">
        <f>IF($K271=BH$3,IF($C271="X",0,$O271),0)</f>
        <v>0</v>
      </c>
      <c r="BI271" s="198">
        <f>IF($K271=BI$3,IF($C271="X",0,$O271),0)</f>
        <v>0</v>
      </c>
      <c r="BJ271" s="198">
        <f>IF($K271=BJ$3,IF($C271="X",0,$O271),0)</f>
        <v>6.8</v>
      </c>
      <c r="BK271" s="198">
        <f>IF($K271=BK$3,IF($C271="X",0,$O271),0)</f>
        <v>0</v>
      </c>
      <c r="BL271" s="198">
        <f>IF($K271=BL$3,IF($C271="X",0,$O271),0)</f>
        <v>0</v>
      </c>
      <c r="BM271" s="200">
        <f>IF($K271=BM$3,IF($C271="X",0,$O271),0)</f>
        <v>0</v>
      </c>
      <c r="BN271" s="201">
        <f>IF($K271=BN$3,IF($C271="X",0,$O271),0)</f>
        <v>0</v>
      </c>
      <c r="BO271" s="201">
        <f>IF($K271=BO$3,IF($C271="X",0,$O271),0)</f>
        <v>0</v>
      </c>
      <c r="BP271" s="201">
        <f>IF($K271=BP$3,IF($C271="X",0,$O271),0)</f>
        <v>0</v>
      </c>
      <c r="BQ271" s="202">
        <f>IF($K271=BQ$3,IF($C271="X",0,$O271),0)</f>
        <v>0</v>
      </c>
      <c r="BR271" s="199">
        <f>IF($K271=BR$3,IF($C271="X",0,$O271),0)</f>
        <v>0</v>
      </c>
      <c r="BS271" s="204">
        <f>IF($B271="LOSS",IF(AND($K271=BS$3,$C271="L"),-$O271,0)+IF(AND($K272=BS$3,$C272="L"),-$O272,0)+IF(AND($K273=BS$3,$C273="L"),-$O273,0),IF(OR(AND($K271=BS$3,OR($C271="W",$C271="1/2W")),AND($K272=BS$3,OR($C272="W",$C272="1/2W")),AND($K273=BS$3,OR($C273="W",$C273="1/2W"))),$S271,0))</f>
        <v>0</v>
      </c>
      <c r="BT271" s="201">
        <f>IF($B271="LOSS",IF(AND($K271=BT$3,$C271="L"),-$O271,0)+IF(AND($K272=BT$3,$C272="L"),-$O272,0)+IF(AND($K272=BT$3,$C273="L"),-$O273,0),IF(OR(AND($K272=BT$3,OR($C271="W",$C271="1/2W")),AND($K272=BT$3,OR($C272="W",$C272="1/2W")),AND($K272=BT$3,OR($C273="W",$C273="1/2W"))),$S271,0))</f>
        <v>0</v>
      </c>
      <c r="BU271" s="201">
        <f>IF($B271="LOSS",IF(AND($K271=BU$3,$C271="L"),-$O271,0)+IF(AND($K272=BU$3,$C272="L"),-$O272,0)+IF(AND($K272=BU$3,$C273="L"),-$O273,0),IF(OR(AND($K272=BU$3,OR($C271="W",$C271="1/2W")),AND($K272=BU$3,OR($C272="W",$C272="1/2W")),AND($K272=BU$3,OR($C273="W",$C273="1/2W"))),$S271,0))</f>
        <v>0</v>
      </c>
      <c r="BV271" s="201">
        <f>IF($B271="LOSS",IF(AND($K271=BV$3,$C271="L"),-$O271,0)+IF(AND($K272=BV$3,$C272="L"),-$O272,0)+IF(AND($K273=BV$3,$C273="L"),-$O273,0),IF(OR(AND($K271=BV$3,OR($C271="W",$C271="1/2W")),AND($K272=BV$3,OR($C272="W",$C272="1/2W")),AND($K273=BV$3,OR($C273="W",$C273="1/2W"))),$S271,0))</f>
        <v>0</v>
      </c>
      <c r="BW271" s="201">
        <f>IF($B271="LOSS",IF(AND($K271=BW$3,$C271="L"),-$O271,0)+IF(AND($K272=BW$3,$C272="L"),-$O272,0)+IF(AND($K273=BW$3,$C273="L"),-$O273,0),IF(OR(AND($K271=BW$3,OR($C271="W",$C271="1/2W")),AND($K272=BW$3,OR($C272="W",$C272="1/2W")),AND($K273=BW$3,OR($C273="W",$C273="1/2W"))),$S271,0))</f>
        <v>0.82</v>
      </c>
      <c r="BX271" s="201">
        <f>IF($B271="LOSS",IF(AND($K271=BX$3,$C271="L"),-$O271,0)+IF(AND($K272=BX$3,$C272="L"),-$O272,0)+IF(AND($K273=BX$3,$C273="L"),-$O273,0),IF(OR(AND($K271=BX$3,OR($C271="W",$C271="1/2W")),AND($K272=BX$3,OR($C272="W",$C272="1/2W")),AND($K273=BX$3,OR($C273="W",$C273="1/2W"))),$S271,0))</f>
        <v>0</v>
      </c>
      <c r="BY271" s="201">
        <f>IF($B271="LOSS",IF(AND($K271=BY$3,$C271="L"),-$O271,0)+IF(AND($K272=BY$3,$C272="L"),-$O272,0)+IF(AND($K273=BY$3,$C273="L"),-$O273,0),IF(OR(AND($K271=BY$3,OR($C271="W",$C271="1/2W")),AND($K272=BY$3,OR($C272="W",$C272="1/2W")),AND($K273=BY$3,OR($C273="W",$C273="1/2W"))),$S271,0))</f>
        <v>0</v>
      </c>
      <c r="BZ271" s="205">
        <f>IF($B271="LOSS",IF(AND($K271=BZ$3,$C271="L"),-$O271,0)+IF(AND($K272=BZ$3,$C272="L"),-$O272,0)+IF(AND($K273=BZ$3,$C273="L"),-$O273,0),IF(OR(AND($K271=BZ$3,OR($C271="W",$C271="1/2W")),AND($K272=BZ$3,OR($C272="W",$C272="1/2W")),AND($K273=BZ$3,OR($C273="W",$C273="1/2W"))),$S271,0))</f>
        <v>0</v>
      </c>
      <c r="CA271" s="205">
        <f>IF($B271="LOSS",IF(AND($K271=CA$3,$C271="L"),-$O271,0)+IF(AND($K272=CA$3,$C272="L"),-$O272,0)+IF(AND($K273=CA$3,$C273="L"),-$O273,0),IF(OR(AND($K271=CA$3,OR($C271="W",$C271="1/2W")),AND($K272=CA$3,OR($C272="W",$C272="1/2W")),AND($K273=CA$3,OR($C273="W",$C273="1/2W"))),$S271,0))</f>
        <v>0</v>
      </c>
      <c r="CB271" s="205">
        <f>IF($B271="LOSS",IF(AND($K271=CB$3,$C271="L"),-$O271,0)+IF(AND($K272=CB$3,$C272="L"),-$O272,0)+IF(AND($K273=CB$3,$C273="L"),-$O273,0),IF(OR(AND($K271=CB$3,OR($C271="W",$C271="1/2W")),AND($K272=CB$3,OR($C272="W",$C272="1/2W")),AND($K273=CB$3,OR($C273="W",$C273="1/2W"))),$S271,0))</f>
        <v>0</v>
      </c>
      <c r="CC271" s="205">
        <f>IF($B271="LOSS",IF(AND($K271=CC$3,$C271="L"),-$O271,0)+IF(AND($K272=CC$3,$C272="L"),-$O272,0)+IF(AND($K273=CC$3,$C273="L"),-$O273,0),IF(OR(AND($K271=CC$3,OR($C271="W",$C271="1/2W")),AND($K272=CC$3,OR($C272="W",$C272="1/2W")),AND($K273=CC$3,OR($C273="W",$C273="1/2W"))),$S271,0))</f>
        <v>0</v>
      </c>
      <c r="CD271" s="202">
        <f>IF($B271="LOSS",IF(AND($K271=CD$3,$C271="L"),-$O271,0)+IF(AND($K272=CD$3,$C272="L"),-$O272,0)+IF(AND($K273=CD$3,$C273="L"),-$O273,0),IF(OR(AND($K271=CD$3,OR($C271="W",$C271="1/2W")),AND($K272=CD$3,OR($C272="W",$C272="1/2W")),AND($K273=CD$3,OR($C273="W",$C273="1/2W"))),$S271,0))</f>
        <v>0</v>
      </c>
      <c r="CE271" s="199">
        <f>IF($B271="LOSS",IF(AND($K271=CE$3,$C271="L"),-$O271,0)+IF(AND($K272=CE$3,$C272="L"),-$O272,0)+IF(AND($K273=CE$3,$C273="L"),-$O273,0),IF(OR(AND($K271=CE$3,OR($C271="W",$C271="1/2W")),AND($K272=CE$3,OR($C272="W",$C272="1/2W")),AND($K273=CE$3,OR($C273="W",$C273="1/2W"))),$S271,0))</f>
        <v>0</v>
      </c>
      <c r="CF271" s="206">
        <f>IF(CF$3=$K271,IF($C271="W",1,IF($C271="1/2W",0.5,0)),0)</f>
        <v>0</v>
      </c>
      <c r="CG271" s="207">
        <f>IF(CF$3=$K271,IF($C271="L",1,IF($C271="1/2L",0.5,0)),0)</f>
        <v>0</v>
      </c>
      <c r="CH271" s="207">
        <f>IF(CH$3=$K271,IF($C271="W",1,IF($C271="1/2W",0.5,0)),0)</f>
        <v>0</v>
      </c>
      <c r="CI271" s="207">
        <f>IF(CH$3=$K271,IF($C271="L",1,IF($C271="1/2L",0.5,0)),0)</f>
        <v>0</v>
      </c>
      <c r="CJ271" s="207">
        <f>IF(CJ$3=$K271,IF($C271="W",1,IF($C271="1/2W",0.5,0)),0)</f>
        <v>0</v>
      </c>
      <c r="CK271" s="207">
        <f>IF(CJ$3=$K271,IF($C271="L",1,IF($C271="1/2L",0.5,0)),0)</f>
        <v>0</v>
      </c>
      <c r="CL271" s="207">
        <f>IF(CL$3=$K271,IF($C271="W",1,IF($C271="1/2W",0.5,0)),0)</f>
        <v>0</v>
      </c>
      <c r="CM271" s="207">
        <f>IF(CL$3=$K271,IF($C271="L",1,IF($C271="1/2L",0.5,0)),0)</f>
        <v>0</v>
      </c>
      <c r="CN271" s="207">
        <f>IF(CN$3=$K271,IF($C271="W",1,IF($C271="1/2W",0.5,0)),0)</f>
        <v>1</v>
      </c>
      <c r="CO271" s="207">
        <f>IF(CN$3=$K271,IF($C271="L",1,IF($C271="1/2L",0.5,0)),0)</f>
        <v>0</v>
      </c>
      <c r="CP271" s="207">
        <f>IF(CP$3=$K271,IF($C271="W",1,IF($C271="1/2W",0.5,0)),0)</f>
        <v>0</v>
      </c>
      <c r="CQ271" s="207">
        <f>IF(CP$3=$K271,IF($C271="L",1,IF($C271="1/2L",0.5,0)),0)</f>
        <v>0</v>
      </c>
      <c r="CR271" s="207">
        <f>IF(CR$3=$K271,IF($C271="W",1,IF($C271="1/2W",0.5,0)),0)</f>
        <v>0</v>
      </c>
      <c r="CS271" s="207">
        <f>IF(CR$3=$K271,IF($C271="L",1,IF($C271="1/2L",0.5,0)),0)</f>
        <v>0</v>
      </c>
      <c r="CT271" s="208">
        <f>IF(CT$3=$K271,IF($C271="W",1,IF($C271="1/2W",0.5,0)),0)</f>
        <v>0</v>
      </c>
      <c r="CU271" s="209">
        <f>IF(CT$3=$K271,IF($C271="L",1,IF($C271="1/2L",0.5,0)),0)</f>
        <v>0</v>
      </c>
      <c r="CV271" s="209">
        <f>IF(CV$3=$K271,IF($C271="W",1,IF($C271="1/2W",0.5,0)),0)</f>
        <v>0</v>
      </c>
      <c r="CW271" s="209">
        <f>IF(CV$3=$K271,IF($C271="L",1,IF($C271="1/2L",0.5,0)),0)</f>
        <v>0</v>
      </c>
      <c r="CX271" s="209">
        <f>IF(CX$3=$K271,IF($C271="W",1,IF($C271="1/2W",0.5,0)),0)</f>
        <v>0</v>
      </c>
      <c r="CY271" s="209">
        <f>IF(CX$3=$K271,IF($C271="L",1,IF($C271="1/2L",0.5,0)),0)</f>
        <v>0</v>
      </c>
      <c r="CZ271" s="209">
        <f>IF(CZ$3=$K271,IF($C271="W",1,IF($C271="1/2W",0.5,0)),0)</f>
        <v>0</v>
      </c>
      <c r="DA271" s="209">
        <f>IF(CZ$3=$K271,IF($C271="L",1,IF($C271="1/2L",0.5,0)),0)</f>
        <v>0</v>
      </c>
      <c r="DB271" s="209">
        <f>IF(DB$3=$K271,IF($C271="W",1,IF($C271="1/2W",0.5,0)),0)</f>
        <v>0</v>
      </c>
      <c r="DC271" s="209">
        <f>IF(DB$3=$K271,IF($C271="L",1,IF($C271="1/2L",0.5,0)),0)</f>
        <v>0</v>
      </c>
      <c r="DD271" s="209">
        <f>IF(DD$3=$K271,IF($C271="W",1,IF($C271="1/2W",0.5,0)),0)</f>
        <v>0</v>
      </c>
      <c r="DE271" s="210">
        <f>IF(DD$3=$K271,IF($C271="L",1,IF($C271="1/2L",0.5,0)),0)</f>
        <v>0</v>
      </c>
      <c r="DF271" s="211">
        <f>IF(AND(L271&lt;DF$3,$C271="W"),1+DF270,DF270)</f>
        <v>10</v>
      </c>
      <c r="DG271" s="198">
        <f>IF(DF271&gt;DF270,L271+DG270,DG270)</f>
        <v>13.078</v>
      </c>
      <c r="DH271" s="209">
        <f>IF(AND(L271&gt;DH$3,$C271="W"),1+DH270,0+DH270)</f>
        <v>6</v>
      </c>
      <c r="DI271" s="198">
        <f>IF(DH271&gt;DH270,L271+DI270,DI270)</f>
        <v>30.83</v>
      </c>
      <c r="DJ271" t="s" s="306">
        <f>IF($D271="","",$D271)</f>
        <v>229</v>
      </c>
      <c r="DK271" s="209">
        <f>IF(AND($B271=" ",$D271&lt;&gt;""),1,0)</f>
        <v>0</v>
      </c>
    </row>
    <row r="272" ht="14.55" customHeight="1">
      <c r="A272" s="107"/>
      <c r="B272" s="108"/>
      <c r="C272" t="s" s="213">
        <v>51</v>
      </c>
      <c r="D272" s="110"/>
      <c r="E272" s="111"/>
      <c r="F272" s="113"/>
      <c r="G272" s="214"/>
      <c r="H272" s="114"/>
      <c r="I272" s="299">
        <v>1</v>
      </c>
      <c r="J272" t="s" s="216">
        <f>IF(OR(I271="TO",I271="TU",I271="TO1",I271="TU1",I271="TO2",I271="TU2"),J271,IF(OR(I271="AH1",I271="AH2"),IF(OR(I272="AH1",I272="AH2"),-J271,IF(OR(I272="EH1",I272="EH2"),-J271+0.5,"")),IF(OR(I271="EH1",I271="EH2"),IF(OR(I272="AH1",I272="AH2"),-J271+0.5,IF(OR(I272="EH1",I272="EH2"),-J271+1,"")),IF(AND(OR(I271="DNB1",I271="DNB2"),OR(I272="AH1",I272="AH2")),0,IF(AND(I271="Not ScoreBoth",OR(I272="TO1",I272="TO2")),0.5,"")))))</f>
      </c>
      <c r="K272" t="s" s="217">
        <v>40</v>
      </c>
      <c r="L272" s="218">
        <v>2.37</v>
      </c>
      <c r="M272" s="219">
        <v>5.5</v>
      </c>
      <c r="N272" s="120"/>
      <c r="O272" s="220">
        <f>IF(OR(AE271="",AE272=""),"",ROUND(IF(L273&gt;0,IF(M272&gt;0,M272,IF(M271&gt;0,IF(N271=TRUE,ROUND((M271*AE272)/AE271,0),(M271*AE272)/AE271),IF(M272&gt;0,ROUND(M272,IF(N271=0,2,IF(N271=0.1,1,0))),IF(M273&gt;0,ROUND(O273*AE272/AE273,IF(N271=0,2,IF(N271=0.1,1,0))),0)))),IF(M272&gt;0,M272,ROUND((M271*AE272)/AE271,IF(N271=0,2,IF(N271=0.1,1,0))))),2))</f>
        <v>5.5</v>
      </c>
      <c r="P272" s="221">
        <f>IF(OR(L272="",O272=""),"",IF($C272="1/2W",O272/2+O272/2*L272,IF($C272="1/2L",O272/2,IF(I272="Lay",((O272*(L272/(L272-1)))-O272)*(1-_xlfn.XLOOKUP(K272,'Janeiro 2023 - Valor Real'!A3:A15,'Janeiro 2023 - Valor Real'!C3:C15,0))+O272,(O272*L272-O272)*(1-_xlfn.XLOOKUP(K272,'Janeiro 2023 - Valor Real'!A3:A15,'Janeiro 2023 - Valor Real'!C3:C15,0))+O272))))</f>
        <v>13.035</v>
      </c>
      <c r="Q272" s="222">
        <f>IF(K272="","",IF(_xlfn.XLOOKUP(K272,K$104:K111,DJ$104:DJ111,0,,-1)=DJ272,_xlfn.XLOOKUP(K272,K$104:K111,Q$104:Q111,1,,-1)+1,1))</f>
        <v>1</v>
      </c>
      <c r="R272" s="223">
        <f>IF(K272="","",_xlfn.XLOOKUP(K272,K$104:K111,R$104:R111,0,,-1)+IF($C272=" ",1,0))</f>
        <v>0</v>
      </c>
      <c r="S272" s="125"/>
      <c r="T272" s="126"/>
      <c r="U272" s="126"/>
      <c r="V272" s="224"/>
      <c r="W272" s="126"/>
      <c r="X272" s="127"/>
      <c r="Y272" s="128"/>
      <c r="Z272" s="129"/>
      <c r="AA272" s="129"/>
      <c r="AB272" s="129"/>
      <c r="AC272" s="129"/>
      <c r="AD272" s="225">
        <f>(((L272/(L272-1)-1)*(1-_xlfn.XLOOKUP(K272,'Janeiro 2023 - Valor Real'!A3:A15,'Janeiro 2023 - Valor Real'!C3:C15,0))+1))</f>
        <v>1.72992700729927</v>
      </c>
      <c r="AE272" s="226">
        <f>IF(L272="","",IF(L273&gt;0,(SUM(((L271-1)*(1-_xlfn.XLOOKUP(K271,'Janeiro 2023 - Valor Real'!A3:A15,'Janeiro 2023 - Valor Real'!C3:C15,0))+1),((L272-1)*(1-_xlfn.XLOOKUP(K272,'Janeiro 2023 - Valor Real'!A3:A15,'Janeiro 2023 - Valor Real'!C3:C15,0))+1),((L273-1)*(1-_xlfn.XLOOKUP(K273,'Janeiro 2023 - Valor Real'!A3:A15,'Janeiro 2023 - Valor Real'!C3:C15,0))+1))/((L272-1)*(1-_xlfn.XLOOKUP(K272,'Janeiro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Real'!C3:C15,0))+1))/((L271-1)*(1-_xlfn.XLOOKUP(K271,'Janeiro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Real'!C3:C15,0))+1))/((L272-1)*(1-_xlfn.XLOOKUP(K272,'Janeiro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Real'!C3:C15,0))+1))/((L273-1)*(1-_xlfn.XLOOKUP(K273,'Janeiro 2023 - Valor Real'!A3:A15,'Janeiro 2023 - Valor Real'!C3:C15,0))+1)),IF(I272="Lay",IF(I271="Lay",((L271/(L271-1)-1)*(1-_xlfn.XLOOKUP(K271,'Janeiro 2023 - Valor Real'!A3:A15,'Janeiro 2023 - Valor Real'!C3:C15,0))+1)/(((L271/(L271-1)-1)*(1-_xlfn.XLOOKUP(K271,'Janeiro 2023 - Valor Real'!A3:A15,'Janeiro 2023 - Valor Real'!C3:C15,0))+1)+((L272/(L272-1)-1)*(1-_xlfn.XLOOKUP(K272,'Janeiro 2023 - Valor Real'!A3:A15,'Janeiro 2023 - Valor Real'!C3:C15,0))+1)),((L271-1)*(1-_xlfn.XLOOKUP(K271,'Janeiro 2023 - Valor Real'!A3:A15,'Janeiro 2023 - Valor Real'!C3:C15,0))+1)/(((L271-1)*(1-_xlfn.XLOOKUP(K271,'Janeiro 2023 - Valor Real'!A3:A15,'Janeiro 2023 - Valor Real'!C3:C15,0))+1)+((L272/(L272-1)-1)*(1-_xlfn.XLOOKUP(K272,'Janeiro 2023 - Valor Real'!A3:A15,'Janeiro 2023 - Valor Real'!C3:C15,0))+1))),IF(I271="Lay",((L271/(L271-1)-1)*(1-_xlfn.XLOOKUP(K271,'Janeiro 2023 - Valor Real'!A3:A15,'Janeiro 2023 - Valor Real'!C3:C15,0))+1)/((((L271/(L271-1)-1)*(1-_xlfn.XLOOKUP(K271,'Janeiro 2023 - Valor Real'!A3:A15,'Janeiro 2023 - Valor Real'!C3:C15,0))+1))+((L272-1)*(1-_xlfn.XLOOKUP(K272,'Janeiro 2023 - Valor Real'!A3:A15,'Janeiro 2023 - Valor Real'!C3:C15,0))+1)),((L271-1)*(1-_xlfn.XLOOKUP(K271,'Janeiro 2023 - Valor Real'!A3:A15,'Janeiro 2023 - Valor Real'!C3:C15,0))+1)/(((L271-1)*(1-_xlfn.XLOOKUP(K271,'Janeiro 2023 - Valor Real'!A3:A15,'Janeiro 2023 - Valor Real'!C3:C15,0))+1)+((L272-1)*(1-_xlfn.XLOOKUP(K272,'Janeiro 2023 - Valor Real'!A3:A15,'Janeiro 2023 - Valor Real'!C3:C15,0))+1))))))</f>
        <v>0.448837209302326</v>
      </c>
      <c r="AF272" s="197">
        <f>IF($K272=AF$3,ROUND(IF(OR($C272="W",$C272="1/2W",$C272="1/2L"),$P272-$O272,IF($C272="X",0,-$O272)),2),0)</f>
        <v>0</v>
      </c>
      <c r="AG272" s="198">
        <f>IF($K272=AG$3,ROUND(IF(OR($C272="W",$C272="1/2W",$C272="1/2L"),$P272-$O272,IF($C272="X",0,-$O272)),2),0)</f>
        <v>0</v>
      </c>
      <c r="AH272" s="198">
        <f>IF($K272=AH$3,ROUND(IF(OR($C272="W",$C272="1/2W",$C272="1/2L"),$P272-$O272,IF($C272="X",0,-$O272)),2),0)</f>
        <v>0</v>
      </c>
      <c r="AI272" s="198">
        <f>IF($K272=AI$3,ROUND(IF(OR($C272="W",$C272="1/2W",$C272="1/2L"),$P272-$O272,IF($C272="X",0,-$O272)),2),0)</f>
        <v>-5.5</v>
      </c>
      <c r="AJ272" s="198">
        <f>IF($K272=AJ$3,ROUND(IF(OR($C272="W",$C272="1/2W",$C272="1/2L"),$P272-$O272,IF($C272="X",0,-$O272)),2),0)</f>
        <v>0</v>
      </c>
      <c r="AK272" s="198">
        <f>IF($K272=AK$3,ROUND(IF(OR($C272="W",$C272="1/2W",$C272="1/2L"),$P272-$O272,IF($C272="X",0,-$O272)),2),0)</f>
        <v>0</v>
      </c>
      <c r="AL272" s="198">
        <f>IF($K272=AL$3,ROUND(IF(OR($C272="W",$C272="1/2W",$C272="1/2L"),$P272-$O272,IF($C272="X",0,-$O272)),2),0)</f>
        <v>0</v>
      </c>
      <c r="AM272" s="198">
        <f>IF($K272=AM$3,ROUND(IF(OR($C272="W",$C272="1/2W",$C272="1/2L"),$P272-$O272,IF($C272="X",0,-$O272)),2),0)</f>
        <v>0</v>
      </c>
      <c r="AN272" s="198">
        <f>IF($K272=AN$3,ROUND(IF(OR($C272="W",$C272="1/2W",$C272="1/2L"),$P272-$O272,IF($C272="X",0,-$O272)),2),0)</f>
        <v>0</v>
      </c>
      <c r="AO272" s="198">
        <f>IF($K272=AO$3,ROUND(IF(OR($C272="W",$C272="1/2W",$C272="1/2L"),$P272-$O272,IF($C272="X",0,-$O272)),2),0)</f>
        <v>0</v>
      </c>
      <c r="AP272" s="198">
        <f>IF($K272=AP$3,ROUND(IF(OR($C272="W",$C272="1/2W",$C272="1/2L"),$P272-$O272,IF($C272="X",0,-$O272)),2),0)</f>
        <v>0</v>
      </c>
      <c r="AQ272" s="198">
        <f>IF($K272=AQ$3,ROUND(IF(OR($C272="W",$C272="1/2W",$C272="1/2L"),$P272-$O272,IF($C272="X",0,-$O272)),2),0)</f>
        <v>0</v>
      </c>
      <c r="AR272" s="199">
        <f>IF($K272=AR$3,ROUND(IF(OR($C272="W",$C272="1/2W",$C272="1/2L"),$P272-$O272,IF($C272="X",0,-$O272)),2),0)</f>
        <v>0</v>
      </c>
      <c r="AS272" s="197">
        <f>IF(AND($B271=" ",$K272=AS$3),$O272,0)</f>
        <v>0</v>
      </c>
      <c r="AT272" s="198">
        <f>IF(AND($B271=" ",K272=AT$3),$O272,0)</f>
        <v>0</v>
      </c>
      <c r="AU272" s="198">
        <f>IF(AND($B271=" ",$K272=AU$3),$O272,0)</f>
        <v>0</v>
      </c>
      <c r="AV272" s="198">
        <f>IF(AND($B271=" ",$K272=AV$3),$O272,0)</f>
        <v>0</v>
      </c>
      <c r="AW272" s="198">
        <f>IF(AND($B271=" ",$K272=AW$3),$O272,0)</f>
        <v>0</v>
      </c>
      <c r="AX272" s="198">
        <f>IF(AND($B271=" ",$K272=AX$3),$O272,0)</f>
        <v>0</v>
      </c>
      <c r="AY272" s="200">
        <f>IF(AND($B271=" ",$K272=AY$3),$O272,0)</f>
        <v>0</v>
      </c>
      <c r="AZ272" s="201">
        <f>IF(AND($B271=" ",$K272=AZ$3),$O272,0)</f>
        <v>0</v>
      </c>
      <c r="BA272" s="201">
        <f>IF(AND($B271=" ",$K272=BA$3),$O272,0)</f>
        <v>0</v>
      </c>
      <c r="BB272" s="201">
        <f>IF(AND($B271=" ",$K272=BB$3),$O272,0)</f>
        <v>0</v>
      </c>
      <c r="BC272" s="202">
        <f>IF(AND($B271=" ",$K272=BC$3),$O272,0)</f>
        <v>0</v>
      </c>
      <c r="BD272" s="198">
        <f>IF(AND($B271=" ",$K272=BD$3),$O272,0)</f>
        <v>0</v>
      </c>
      <c r="BE272" s="199">
        <f>IF(AND($B271=" ",$K272=BE$3),$O272,0)</f>
        <v>0</v>
      </c>
      <c r="BF272" s="197">
        <f>IF($K272=BF$3,IF($C272="X",0,$O272),0)</f>
        <v>0</v>
      </c>
      <c r="BG272" s="198">
        <f>IF($K272=BG$3,IF($C272="X",0,$O272),0)</f>
        <v>0</v>
      </c>
      <c r="BH272" s="198">
        <f>IF($K272=BH$3,IF($C272="X",0,$O272),0)</f>
        <v>0</v>
      </c>
      <c r="BI272" s="198">
        <f>IF($K272=BI$3,IF($C272="X",0,$O272),0)</f>
        <v>5.5</v>
      </c>
      <c r="BJ272" s="198">
        <f>IF($K272=BJ$3,IF($C272="X",0,$O272),0)</f>
        <v>0</v>
      </c>
      <c r="BK272" s="198">
        <f>IF($K272=BK$3,IF($C272="X",0,$O272),0)</f>
        <v>0</v>
      </c>
      <c r="BL272" s="198">
        <f>IF($K272=BL$3,IF($C272="X",0,$O272),0)</f>
        <v>0</v>
      </c>
      <c r="BM272" s="227">
        <f>IF($K272=BM$3,IF($C272="X",0,$O272),0)</f>
        <v>0</v>
      </c>
      <c r="BN272" s="205">
        <f>IF($K272=BN$3,IF($C272="X",0,$O272),0)</f>
        <v>0</v>
      </c>
      <c r="BO272" s="205">
        <f>IF($K272=BO$3,IF($C272="X",0,$O272),0)</f>
        <v>0</v>
      </c>
      <c r="BP272" s="205">
        <f>IF($K272=BP$3,IF($C272="X",0,$O272),0)</f>
        <v>0</v>
      </c>
      <c r="BQ272" s="202">
        <f>IF($K272=BQ$3,IF($C272="X",0,$O272),0)</f>
        <v>0</v>
      </c>
      <c r="BR272" s="199">
        <f>IF($K272=BR$3,IF($C272="X",0,$O272),0)</f>
        <v>0</v>
      </c>
      <c r="BS272" s="228"/>
      <c r="BT272" s="229"/>
      <c r="BU272" s="140"/>
      <c r="BV272" s="229"/>
      <c r="BW272" s="140"/>
      <c r="BX272" s="140"/>
      <c r="BY272" s="140"/>
      <c r="BZ272" s="229"/>
      <c r="CA272" s="140"/>
      <c r="CB272" s="140"/>
      <c r="CC272" s="140"/>
      <c r="CD272" s="141"/>
      <c r="CE272" s="142"/>
      <c r="CF272" s="230">
        <f>IF(CF$3=$K272,IF($C272="W",1,IF($C272="1/2W",0.5,0)),0)</f>
        <v>0</v>
      </c>
      <c r="CG272" s="231">
        <f>IF(CF$3=$K272,IF($C272="L",1,IF($C272="1/2L",0.5,0)),0)</f>
        <v>0</v>
      </c>
      <c r="CH272" s="231">
        <f>IF(CH$3=$K272,IF($C272="W",1,IF($C272="1/2W",0.5,0)),0)</f>
        <v>0</v>
      </c>
      <c r="CI272" s="231">
        <f>IF(CH$3=$K272,IF($C272="L",1,IF($C272="1/2L",0.5,0)),0)</f>
        <v>0</v>
      </c>
      <c r="CJ272" s="231">
        <f>IF(CJ$3=$K272,IF($C272="W",1,IF($C272="1/2W",0.5,0)),0)</f>
        <v>0</v>
      </c>
      <c r="CK272" s="231">
        <f>IF(CJ$3=$K272,IF($C272="L",1,IF($C272="1/2L",0.5,0)),0)</f>
        <v>0</v>
      </c>
      <c r="CL272" s="231">
        <f>IF(CL$3=$K272,IF($C272="W",1,IF($C272="1/2W",0.5,0)),0)</f>
        <v>0</v>
      </c>
      <c r="CM272" s="231">
        <f>IF(CL$3=$K272,IF($C272="L",1,IF($C272="1/2L",0.5,0)),0)</f>
        <v>1</v>
      </c>
      <c r="CN272" s="231">
        <f>IF(CN$3=$K272,IF($C272="W",1,IF($C272="1/2W",0.5,0)),0)</f>
        <v>0</v>
      </c>
      <c r="CO272" s="231">
        <f>IF(CN$3=$K272,IF($C272="L",1,IF($C272="1/2L",0.5,0)),0)</f>
        <v>0</v>
      </c>
      <c r="CP272" s="231">
        <f>IF(CP$3=$K272,IF($C272="W",1,IF($C272="1/2W",0.5,0)),0)</f>
        <v>0</v>
      </c>
      <c r="CQ272" s="231">
        <f>IF(CP$3=$K272,IF($C272="L",1,IF($C272="1/2L",0.5,0)),0)</f>
        <v>0</v>
      </c>
      <c r="CR272" s="231">
        <f>IF(CR$3=$K272,IF($C272="W",1,IF($C272="1/2W",0.5,0)),0)</f>
        <v>0</v>
      </c>
      <c r="CS272" s="231">
        <f>IF(CR$3=$K272,IF($C272="L",1,IF($C272="1/2L",0.5,0)),0)</f>
        <v>0</v>
      </c>
      <c r="CT272" s="208">
        <f>IF(CT$3=$K272,IF($C272="W",1,IF($C272="1/2W",0.5,0)),0)</f>
        <v>0</v>
      </c>
      <c r="CU272" s="209">
        <f>IF(CT$3=$K272,IF($C272="L",1,IF($C272="1/2L",0.5,0)),0)</f>
        <v>0</v>
      </c>
      <c r="CV272" s="209">
        <f>IF(CV$3=$K272,IF($C272="W",1,IF($C272="1/2W",0.5,0)),0)</f>
        <v>0</v>
      </c>
      <c r="CW272" s="209">
        <f>IF(CV$3=$K272,IF($C272="L",1,IF($C272="1/2L",0.5,0)),0)</f>
        <v>0</v>
      </c>
      <c r="CX272" s="209">
        <f>IF(CX$3=$K272,IF($C272="W",1,IF($C272="1/2W",0.5,0)),0)</f>
        <v>0</v>
      </c>
      <c r="CY272" s="209">
        <f>IF(CX$3=$K272,IF($C272="L",1,IF($C272="1/2L",0.5,0)),0)</f>
        <v>0</v>
      </c>
      <c r="CZ272" s="209">
        <f>IF(CZ$3=$K272,IF($C272="W",1,IF($C272="1/2W",0.5,0)),0)</f>
        <v>0</v>
      </c>
      <c r="DA272" s="209">
        <f>IF(CZ$3=$K272,IF($C272="L",1,IF($C272="1/2L",0.5,0)),0)</f>
        <v>0</v>
      </c>
      <c r="DB272" s="209">
        <f>IF(DB$3=$K272,IF($C272="W",1,IF($C272="1/2W",0.5,0)),0)</f>
        <v>0</v>
      </c>
      <c r="DC272" s="209">
        <f>IF(DB$3=$K272,IF($C272="L",1,IF($C272="1/2L",0.5,0)),0)</f>
        <v>0</v>
      </c>
      <c r="DD272" s="209">
        <f>IF(DD$3=$K272,IF($C272="W",1,IF($C272="1/2W",0.5,0)),0)</f>
        <v>0</v>
      </c>
      <c r="DE272" s="210">
        <f>IF(DD$3=$K272,IF($C272="L",1,IF($C272="1/2L",0.5,0)),0)</f>
        <v>0</v>
      </c>
      <c r="DF272" s="211">
        <f>IF(AND(L272&lt;DF$3,$C272="W"),1+DF271,DF271)</f>
        <v>10</v>
      </c>
      <c r="DG272" s="198">
        <f>IF(DF272&gt;DF271,L272+DG271,DG271)</f>
        <v>13.078</v>
      </c>
      <c r="DH272" s="209">
        <f>IF(AND(L272&gt;DH$3,$C272="W"),1+DH271,0+DH271)</f>
        <v>6</v>
      </c>
      <c r="DI272" s="198">
        <f>IF(DH272&gt;DH271,L272+DI271,DI271)</f>
        <v>30.83</v>
      </c>
      <c r="DJ272" t="s" s="306">
        <f>IF($D271="","",$D271)</f>
        <v>229</v>
      </c>
      <c r="DK272" s="232"/>
    </row>
    <row r="273" ht="14.55" customHeight="1">
      <c r="A273" s="149"/>
      <c r="B273" s="150"/>
      <c r="C273" t="s" s="233">
        <v>58</v>
      </c>
      <c r="D273" s="152"/>
      <c r="E273" s="153"/>
      <c r="F273" s="155"/>
      <c r="G273" s="234"/>
      <c r="H273" s="156"/>
      <c r="I273" s="235"/>
      <c r="J273" s="236"/>
      <c r="K273" s="237"/>
      <c r="L273" s="238"/>
      <c r="M273" s="239"/>
      <c r="N273" s="161"/>
      <c r="O273" t="s" s="240">
        <f>IF(OR(AE271="",AE272=""),"",IF(L273&gt;0,ROUND(IF(M273&gt;0,M273,IF(M271&gt;0,ROUND((M271*AE273)/AE271,IF(N271=0,2,IF(N271=0.1,1,0))),IF(M272&gt;0,ROUND((M272*AE273)/AE272,IF(N271=0,2,IF(N271=0.1,1,0))),IF(M273&gt;0,M273,0)))),2),""))</f>
      </c>
      <c r="P273" t="s" s="241">
        <f>IF(I272="Lay",O272*(L272/(L272-1))-O272,IF(I271="Lay",O271*(L271/(L271-1))-O271,IF(OR(L273="",O273=""),"",IF($C273="1/2W",O273/2+O273/2*L273,IF($C273="1/2L",O273/2,(O273*L273-O273)*(1-_xlfn.XLOOKUP(K273,'Janeiro 2023 - Valor Real'!A3:A15,'Janeiro 2023 - Valor Real'!C3:C15,0))+O273)))))</f>
      </c>
      <c r="Q273" t="s" s="242">
        <f>IF(K273="","",IF(_xlfn.XLOOKUP(K273,K$105:K112,DJ$105:DJ112,0,,-1)=DJ273,_xlfn.XLOOKUP(K273,K$105:K112,Q$105:Q112,1,,-1)+1,1))</f>
      </c>
      <c r="R273" t="s" s="243">
        <f>IF(K273="","",_xlfn.XLOOKUP(K273,K$105:K112,R$105:R112,0,,-1)+IF($C273=" ",1,0))</f>
      </c>
      <c r="S273" s="166"/>
      <c r="T273" s="155"/>
      <c r="U273" s="155"/>
      <c r="V273" s="166"/>
      <c r="W273" s="155"/>
      <c r="X273" s="167"/>
      <c r="Y273" s="128"/>
      <c r="Z273" s="129"/>
      <c r="AA273" s="129"/>
      <c r="AB273" s="129"/>
      <c r="AC273" s="129"/>
      <c r="AD273" s="244">
        <f>((L272/(L272-1)-1))</f>
        <v>0.72992700729927</v>
      </c>
      <c r="AE273" t="s" s="245">
        <f>IF(L273="","",(SUM(((L271-1)*(1-_xlfn.XLOOKUP(K271,'Janeiro 2023 - Valor Real'!A3:A15,'Janeiro 2023 - Valor Real'!C3:C15,0))+1),((L272-1)*(1-_xlfn.XLOOKUP(K272,'Janeiro 2023 - Valor Real'!A3:A15,'Janeiro 2023 - Valor Real'!C3:C15,0))+1),((L273-1)*(1-_xlfn.XLOOKUP(K273,'Janeiro 2023 - Valor Real'!A3:A15,'Janeiro 2023 - Valor Real'!C3:C15,0))+1))/((L273-1)*(1-_xlfn.XLOOKUP(K273,'Janeiro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Real'!C3:C15,0))+1))/((L271-1)*(1-_xlfn.XLOOKUP(K271,'Janeiro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Real'!C3:C15,0))+1))/((L272-1)*(1-_xlfn.XLOOKUP(K272,'Janeiro 2023 - Valor Real'!A3:A15,'Janeiro 2023 - Valor Real'!C3:C15,0))+1)+SUM(((L271-1)*(1-_xlfn.XLOOKUP(K271,'Janeiro 2023 - Valor Real'!A3:A15,'Janeiro 2023 - Valor Real'!C3:C15,0))+1),((L272-1)*(1-_xlfn.XLOOKUP(K272,'Janeiro 2023 - Valor Real'!A3:A15,'Janeiro 2023 - Valor Real'!C3:C15,0))+1),((L273-1)*(1-_xlfn.XLOOKUP(K273,'Janeiro 2023 - Valor Real'!A3:A15,'Janeiro 2023 - Valor Real'!C3:C15,0))+1))/((L273-1)*(1-_xlfn.XLOOKUP(K273,'Janeiro 2023 - Valor Real'!A3:A15,'Janeiro 2023 - Valor Real'!C3:C15,0))+1)))</f>
      </c>
      <c r="AF273" s="197">
        <f>IF($K273=AF$3,ROUND(IF(OR($C273="W",$C273="1/2W",$C273="1/2L"),$P273-$O273,IF($C273="X",0,-$O273)),2),0)</f>
        <v>0</v>
      </c>
      <c r="AG273" s="198">
        <f>IF($K273=AG$3,ROUND(IF(OR($C273="W",$C273="1/2W",$C273="1/2L"),$P273-$O273,IF($C273="X",0,-$O273)),2),0)</f>
        <v>0</v>
      </c>
      <c r="AH273" s="198">
        <f>IF($K273=AH$3,ROUND(IF(OR($C273="W",$C273="1/2W",$C273="1/2L"),$P273-$O273,IF($C273="X",0,-$O273)),2),0)</f>
        <v>0</v>
      </c>
      <c r="AI273" s="198">
        <f>IF($K273=AI$3,ROUND(IF(OR($C273="W",$C273="1/2W",$C273="1/2L"),$P273-$O273,IF($C273="X",0,-$O273)),2),0)</f>
        <v>0</v>
      </c>
      <c r="AJ273" s="198">
        <f>IF($K273=AJ$3,ROUND(IF(OR($C273="W",$C273="1/2W",$C273="1/2L"),$P273-$O273,IF($C273="X",0,-$O273)),2),0)</f>
        <v>0</v>
      </c>
      <c r="AK273" s="198">
        <f>IF($K273=AK$3,ROUND(IF(OR($C273="W",$C273="1/2W",$C273="1/2L"),$P273-$O273,IF($C273="X",0,-$O273)),2),0)</f>
        <v>0</v>
      </c>
      <c r="AL273" s="198">
        <f>IF($K273=AL$3,ROUND(IF(OR($C273="W",$C273="1/2W",$C273="1/2L"),$P273-$O273,IF($C273="X",0,-$O273)),2),0)</f>
        <v>0</v>
      </c>
      <c r="AM273" s="198">
        <f>IF($K273=AM$3,ROUND(IF(OR($C273="W",$C273="1/2W",$C273="1/2L"),$P273-$O273,IF($C273="X",0,-$O273)),2),0)</f>
        <v>0</v>
      </c>
      <c r="AN273" s="198">
        <f>IF($K273=AN$3,ROUND(IF(OR($C273="W",$C273="1/2W",$C273="1/2L"),$P273-$O273,IF($C273="X",0,-$O273)),2),0)</f>
        <v>0</v>
      </c>
      <c r="AO273" s="198">
        <f>IF($K273=AO$3,ROUND(IF(OR($C273="W",$C273="1/2W",$C273="1/2L"),$P273-$O273,IF($C273="X",0,-$O273)),2),0)</f>
        <v>0</v>
      </c>
      <c r="AP273" s="198">
        <f>IF($K273=AP$3,ROUND(IF(OR($C273="W",$C273="1/2W",$C273="1/2L"),$P273-$O273,IF($C273="X",0,-$O273)),2),0)</f>
        <v>0</v>
      </c>
      <c r="AQ273" s="198">
        <f>IF($K273=AQ$3,ROUND(IF(OR($C273="W",$C273="1/2W",$C273="1/2L"),$P273-$O273,IF($C273="X",0,-$O273)),2),0)</f>
        <v>0</v>
      </c>
      <c r="AR273" s="199">
        <f>IF($K273=AR$3,ROUND(IF(OR($C273="W",$C273="1/2W",$C273="1/2L"),$P273-$O273,IF($C273="X",0,-$O273)),2),0)</f>
        <v>0</v>
      </c>
      <c r="AS273" s="197">
        <f>IF(AND($B271=" ",$K273=AS$3),$O273,0)</f>
        <v>0</v>
      </c>
      <c r="AT273" s="198">
        <f>IF(AND($B271=" ",K273=AT$3),$O273,0)</f>
        <v>0</v>
      </c>
      <c r="AU273" s="198">
        <f>IF(AND($B271=" ",$K273=AU$3),$O273,0)</f>
        <v>0</v>
      </c>
      <c r="AV273" s="198">
        <f>IF(AND($B271=" ",$K273=AV$3),$O273,0)</f>
        <v>0</v>
      </c>
      <c r="AW273" s="198">
        <f>IF(AND($B271=" ",$K273=AW$3),$O273,0)</f>
        <v>0</v>
      </c>
      <c r="AX273" s="198">
        <f>IF(AND($B271=" ",$K273=AX$3),$O273,0)</f>
        <v>0</v>
      </c>
      <c r="AY273" s="200">
        <f>IF(AND($B271=" ",$K273=AY$3),$O273,0)</f>
        <v>0</v>
      </c>
      <c r="AZ273" s="201">
        <f>IF(AND($B271=" ",$K273=AZ$3),$O273,0)</f>
        <v>0</v>
      </c>
      <c r="BA273" s="201">
        <f>IF(AND($B271=" ",$K273=BA$3),$O273,0)</f>
        <v>0</v>
      </c>
      <c r="BB273" s="201">
        <f>IF(AND($B271=" ",$K273=BB$3),$O273,0)</f>
        <v>0</v>
      </c>
      <c r="BC273" s="202">
        <f>IF(AND($B271=" ",$K273=BC$3),$O273,0)</f>
        <v>0</v>
      </c>
      <c r="BD273" s="198">
        <f>IF(AND($B271=" ",$K273=BD$3),$O273,0)</f>
        <v>0</v>
      </c>
      <c r="BE273" s="199">
        <f>IF(AND($B271=" ",$K273=BE$3),$O273,0)</f>
        <v>0</v>
      </c>
      <c r="BF273" s="197">
        <f>IF($K273=BF$3,IF($C273="X",0,$O273),0)</f>
        <v>0</v>
      </c>
      <c r="BG273" s="198">
        <f>IF($K273=BG$3,IF($C273="X",0,$O273),0)</f>
        <v>0</v>
      </c>
      <c r="BH273" s="198">
        <f>IF($K273=BH$3,IF($C273="X",0,$O273),0)</f>
        <v>0</v>
      </c>
      <c r="BI273" s="198">
        <f>IF($K273=BI$3,IF($C273="X",0,$O273),0)</f>
        <v>0</v>
      </c>
      <c r="BJ273" s="198">
        <f>IF($K273=BJ$3,IF($C273="X",0,$O273),0)</f>
        <v>0</v>
      </c>
      <c r="BK273" s="198">
        <f>IF($K273=BK$3,IF($C273="X",0,$O273),0)</f>
        <v>0</v>
      </c>
      <c r="BL273" s="198">
        <f>IF($K273=BL$3,IF($C273="X",0,$O273),0)</f>
        <v>0</v>
      </c>
      <c r="BM273" s="200">
        <f>IF($K273=BM$3,IF($C273="X",0,$O273),0)</f>
        <v>0</v>
      </c>
      <c r="BN273" s="201">
        <f>IF($K273=BN$3,IF($C273="X",0,$O273),0)</f>
        <v>0</v>
      </c>
      <c r="BO273" s="201">
        <f>IF($K273=BO$3,IF($C273="X",0,$O273),0)</f>
        <v>0</v>
      </c>
      <c r="BP273" s="201">
        <f>IF($K273=BP$3,IF($C273="X",0,$O273),0)</f>
        <v>0</v>
      </c>
      <c r="BQ273" s="202">
        <f>IF($K273=BQ$3,IF($C273="X",0,$O273),0)</f>
        <v>0</v>
      </c>
      <c r="BR273" s="199">
        <f>IF($K273=BR$3,IF($C273="X",0,$O273),0)</f>
        <v>0</v>
      </c>
      <c r="BS273" s="228"/>
      <c r="BT273" s="229"/>
      <c r="BU273" s="140"/>
      <c r="BV273" s="229"/>
      <c r="BW273" s="140"/>
      <c r="BX273" s="140"/>
      <c r="BY273" s="140"/>
      <c r="BZ273" s="229"/>
      <c r="CA273" s="140"/>
      <c r="CB273" s="140"/>
      <c r="CC273" s="140"/>
      <c r="CD273" s="141"/>
      <c r="CE273" s="142"/>
      <c r="CF273" s="230">
        <f>IF(CF$3=$K273,IF($C273="W",1,IF($C273="1/2W",0.5,0)),0)</f>
        <v>0</v>
      </c>
      <c r="CG273" s="231">
        <f>IF(CF$3=$K273,IF($C273="L",1,IF($C273="1/2L",0.5,0)),0)</f>
        <v>0</v>
      </c>
      <c r="CH273" s="231">
        <f>IF(CH$3=$K273,IF($C273="W",1,IF($C273="1/2W",0.5,0)),0)</f>
        <v>0</v>
      </c>
      <c r="CI273" s="231">
        <f>IF(CH$3=$K273,IF($C273="L",1,IF($C273="1/2L",0.5,0)),0)</f>
        <v>0</v>
      </c>
      <c r="CJ273" s="231">
        <f>IF(CJ$3=$K273,IF($C273="W",1,IF($C273="1/2W",0.5,0)),0)</f>
        <v>0</v>
      </c>
      <c r="CK273" s="231">
        <f>IF(CJ$3=$K273,IF($C273="L",1,IF($C273="1/2L",0.5,0)),0)</f>
        <v>0</v>
      </c>
      <c r="CL273" s="231">
        <f>IF(CL$3=$K273,IF($C273="W",1,IF($C273="1/2W",0.5,0)),0)</f>
        <v>0</v>
      </c>
      <c r="CM273" s="231">
        <f>IF(CL$3=$K273,IF($C273="L",1,IF($C273="1/2L",0.5,0)),0)</f>
        <v>0</v>
      </c>
      <c r="CN273" s="231">
        <f>IF(CN$3=$K273,IF($C273="W",1,IF($C273="1/2W",0.5,0)),0)</f>
        <v>0</v>
      </c>
      <c r="CO273" s="231">
        <f>IF(CN$3=$K273,IF($C273="L",1,IF($C273="1/2L",0.5,0)),0)</f>
        <v>0</v>
      </c>
      <c r="CP273" s="231">
        <f>IF(CP$3=$K273,IF($C273="W",1,IF($C273="1/2W",0.5,0)),0)</f>
        <v>0</v>
      </c>
      <c r="CQ273" s="231">
        <f>IF(CP$3=$K273,IF($C273="L",1,IF($C273="1/2L",0.5,0)),0)</f>
        <v>0</v>
      </c>
      <c r="CR273" s="231">
        <f>IF(CR$3=$K273,IF($C273="W",1,IF($C273="1/2W",0.5,0)),0)</f>
        <v>0</v>
      </c>
      <c r="CS273" s="231">
        <f>IF(CR$3=$K273,IF($C273="L",1,IF($C273="1/2L",0.5,0)),0)</f>
        <v>0</v>
      </c>
      <c r="CT273" s="208">
        <f>IF(CT$3=$K273,IF($C273="W",1,IF($C273="1/2W",0.5,0)),0)</f>
        <v>0</v>
      </c>
      <c r="CU273" s="209">
        <f>IF(CT$3=$K273,IF($C273="L",1,IF($C273="1/2L",0.5,0)),0)</f>
        <v>0</v>
      </c>
      <c r="CV273" s="209">
        <f>IF(CV$3=$K273,IF($C273="W",1,IF($C273="1/2W",0.5,0)),0)</f>
        <v>0</v>
      </c>
      <c r="CW273" s="209">
        <f>IF(CV$3=$K273,IF($C273="L",1,IF($C273="1/2L",0.5,0)),0)</f>
        <v>0</v>
      </c>
      <c r="CX273" s="209">
        <f>IF(CX$3=$K273,IF($C273="W",1,IF($C273="1/2W",0.5,0)),0)</f>
        <v>0</v>
      </c>
      <c r="CY273" s="209">
        <f>IF(CX$3=$K273,IF($C273="L",1,IF($C273="1/2L",0.5,0)),0)</f>
        <v>0</v>
      </c>
      <c r="CZ273" s="209">
        <f>IF(CZ$3=$K273,IF($C273="W",1,IF($C273="1/2W",0.5,0)),0)</f>
        <v>0</v>
      </c>
      <c r="DA273" s="209">
        <f>IF(CZ$3=$K273,IF($C273="L",1,IF($C273="1/2L",0.5,0)),0)</f>
        <v>0</v>
      </c>
      <c r="DB273" s="209">
        <f>IF(DB$3=$K273,IF($C273="W",1,IF($C273="1/2W",0.5,0)),0)</f>
        <v>0</v>
      </c>
      <c r="DC273" s="209">
        <f>IF(DB$3=$K273,IF($C273="L",1,IF($C273="1/2L",0.5,0)),0)</f>
        <v>0</v>
      </c>
      <c r="DD273" s="209">
        <f>IF(DD$3=$K273,IF($C273="W",1,IF($C273="1/2W",0.5,0)),0)</f>
        <v>0</v>
      </c>
      <c r="DE273" s="210">
        <f>IF(DD$3=$K273,IF($C273="L",1,IF($C273="1/2L",0.5,0)),0)</f>
        <v>0</v>
      </c>
      <c r="DF273" s="211">
        <f>IF(AND(L273&lt;DF$3,$C273="W"),1+DF272,DF272)</f>
        <v>10</v>
      </c>
      <c r="DG273" s="198">
        <f>IF(DF273&gt;DF272,L273+DG272,DG272)</f>
        <v>13.078</v>
      </c>
      <c r="DH273" s="209">
        <f>IF(AND(L273&gt;DH$3,$C273="W"),1+DH272,0+DH272)</f>
        <v>6</v>
      </c>
      <c r="DI273" s="198">
        <f>IF(DH273&gt;DH272,L273+DI272,DI272)</f>
        <v>30.83</v>
      </c>
      <c r="DJ273" t="s" s="306">
        <f>IF($D271="","",$D271)</f>
        <v>229</v>
      </c>
      <c r="DK273" s="232"/>
    </row>
    <row r="274" ht="14.55" customHeight="1">
      <c r="A274" s="246">
        <f>$A271+1</f>
        <v>91</v>
      </c>
      <c r="B274" t="s" s="247">
        <f>IF(AND(_xlfn.XLOOKUP(H274,H$100:H119,G$100:G119,0)=G274,_xlfn.XLOOKUP("TempoBet",K274:K276,L274:L276,0)&gt;0),"X",IF(OR(C274="W",C275="W",C276="W",C274="1/2W",C275="1/2W",C276="1/2W",C274="1/2L",C275="1/2L",C276="1/2L"),"OK",IF(OR(C274="L",C275="L",C276="L"),"LOSS",IF(OR(C274="X",C275="X",C276="X"),"Anulado"," "))))</f>
        <v>50</v>
      </c>
      <c r="C274" t="s" s="248">
        <v>56</v>
      </c>
      <c r="D274" t="s" s="303">
        <f>IF(G274="","",$D271)</f>
        <v>229</v>
      </c>
      <c r="E274" t="s" s="250">
        <v>143</v>
      </c>
      <c r="F274" t="s" s="251"/>
      <c r="G274" s="252">
        <v>44946.65625</v>
      </c>
      <c r="H274" t="s" s="253">
        <v>254</v>
      </c>
      <c r="I274" t="s" s="254">
        <v>65</v>
      </c>
      <c r="J274" s="255">
        <v>1.5</v>
      </c>
      <c r="K274" t="s" s="256">
        <v>40</v>
      </c>
      <c r="L274" s="257">
        <v>2.2</v>
      </c>
      <c r="M274" s="258"/>
      <c r="N274" s="259">
        <v>0.1</v>
      </c>
      <c r="O274" s="260">
        <f>IF(OR(AE274="",AE275=""),"",ROUND(IF(L276&gt;0,IF(M274&gt;0,M274,IF(M275&gt;0,ROUND((M275*AE274)/AE275,IF(N274=0,2,IF(N274=0.1,1,0))),ROUND((M276*AE274)/AE276,IF(N274=0,2,IF(N274=0.1,1,0))))),IF(M274&gt;0,M274,ROUND((M275*AE274)/AE275,IF(N274=0,2,IF(N274=0.1,1,0))))),2))</f>
        <v>5</v>
      </c>
      <c r="P274" s="261">
        <f>IF(OR(L274="",O274=""),"",IF($C274="1/2W",O274/2+O274/2*L274,IF($C274="1/2L",O274/2,IF(I274="Lay",(O274*(L274/(L274-1))-O274)*(1-_xlfn.XLOOKUP(K274,'Janeiro 2023 - Valor Real'!A3:A15,'Janeiro 2023 - Valor Real'!C3:C15,0))+O274,(O274*L274-O274)*(1-_xlfn.XLOOKUP(K274,'Janeiro 2023 - Valor Real'!A3:A15,'Janeiro 2023 - Valor Real'!C3:C15,0))+O274))))</f>
        <v>11</v>
      </c>
      <c r="Q274" s="262">
        <f>IF(K274="","",IF(_xlfn.XLOOKUP(K274,K$100:K119,DJ$100:DJ119,0,,-1)=DJ274,_xlfn.XLOOKUP(K274,K$100:K119,Q$100:Q119,1,,-1)+1,1))</f>
        <v>1</v>
      </c>
      <c r="R274" s="263">
        <f>IF(K274="","",_xlfn.XLOOKUP(K274,K$100:K119,R$100:R119,0,,-1)+IF($C274=" ",1,0))</f>
        <v>0</v>
      </c>
      <c r="S274" s="264">
        <f>IF($B274="Anulado",0,ROUND(IF(OR($B274="LOSS",$B274="OK"),IF(OR($C274="W",$C274="1/2W",$C274="1/2L"),P274-O274,IF($C274="L",-O274,0))+IF(OR($C275="W",$C275="1/2W",$C275="1/2L"),P275-O275,IF($C275="L",-O275,0))+IF(OR($C276="W",$C276="1/2W",$C276="1/2L"),P276-O276,IF($C276="L",-O276,0)),IF(AND(OR($C274="W",$C274="1/2W",$C274="1/2L"),C275="W"),P274+P275-SUM(O274:O276)+_xlfn.XLOOKUP("X",C274:C276,O274:O276,0),IF(AND(C274=TRUE,C276="W"),P274+P276-SUM(O274:O276),IF(AND(C275="W",C276="W"),P275+P276-SUM(O274:O276)+_xlfn.XLOOKUP("X",C274:C276,O274:O276,0),IF(L276&gt;0,IF(OR($C274="W",$C274="1/2W",$C274="1/2L"),P274-SUM(O274:O276)+_xlfn.XLOOKUP("X",C274:C276,O274:O276,0),IF(OR($C274="W",$C274="1/2W",$C274="1/2L"),P275-SUM(O274:O276)+_xlfn.XLOOKUP("X",C274:C276,O274:O276,0),IF(OR($C274="W",$C274="1/2W",$C274="1/2L"),P276-SUM(O274:O276)+_xlfn.XLOOKUP("X",C274:C276,O274:O276,0),IF(SUM(P274:P276)/3-SUM(O274:O276)+_xlfn.XLOOKUP("X",C274:C276,O274:O276,0)&gt;0,SUM(P274:P276)/3-SUM(O274:O276)+_xlfn.XLOOKUP("X",C274:C276,O274:O276,0),LARGE(P274:P276,1)-SUM(O274:O276))))),IF(OR($C274="W",$C274="1/2W",$C274="1/2L"),P274-SUM(O274:O275)+_xlfn.XLOOKUP("X",C274:C276,O274:O276,0),IF(OR($C274="W",$C274="1/2W",$C274="1/2L"),P275-SUM(O274:O275)+_xlfn.XLOOKUP("X",C274:C276,O274:O276,0),SUM(P274:P275)/2-SUM(O274:O275)+_xlfn.XLOOKUP("X",C274:C276,O274:O276,0)))))))),2))</f>
        <v>0.73</v>
      </c>
      <c r="T274" s="265">
        <f>IF(S274=0,0,S274/SUM(O274:O276))</f>
        <v>0.071080817916261</v>
      </c>
      <c r="U274" s="266">
        <f>IF($D274=$D271,IF(OR($B274="LOSS",$B274="OK",$B274="Anulada"),S274,0)+U271,IF(OR($B274="LOSS",$B274="OK",$B274="Anulada"),S274,0))</f>
        <v>18.7</v>
      </c>
      <c r="V274" s="266">
        <f>IF($D274="",0,IF($D274=$D271,IF($B274=" ",IF(I276="",IF(OR(AND(I274="DNB1",I275="DNB2"),AND(OR(I274="DNB1",I274="DNB2"),J275=0),AND(OR(I275="DNB1",I275="DNB2"),J274=0),AND(I274="DNB2",I275="DNB1"),AND(IF(J274=0,(J274+1)/ROUND(J274+1,0),J274/ROUND(J274,0))=1,IF(J275=0,(J275+1)/ROUND(IF(J275="",0,J275)+1,0),IF(J275="",0,J275)/ROUND(IF(J275="",1,J275),0))=1,OR(J274&lt;&gt;""),J275&lt;&gt;"")),0,IF(S274&lt;0,IF(I276="",SMALL(P274:P275,1)-SUM(O274:O275),0),SMALL(P274:P275,1)-SUM(O274:O275))),IF(S274&lt;0,IF(I276="",SMALL(P274:P276,1)-SUM(O274:O276),0),LARGE(P274:P276,1)-SUM(O274:O276))),S274)+V271,IF(I276="",IF(OR(AND(I274="DNB1",I275="DNB2"),AND(OR(I274="DNB1",I274="DNB2"),J275=0),AND(OR(I275="DNB1",I275="DNB2"),J274=0),AND(I274="DNB2",I275="DNB1"),AND(IF(J274=0,(J274+1)/ROUND(J274+1,0),J274/ROUND(J274,0))=1,IF(J275=0,(IF(J275="",0,J275)+1)/ROUND(IF(J275="",0,J275)+1,0),IF(J275="",0,J275)/ROUND(IF(J275="",0,J275)+1,0))=1,OR(J274&lt;&gt;""),J275&lt;&gt;"")),0,IF(S274&lt;0,IF(I276="",SMALL(P274:P275,1)-SUM(O274:O275),0),SMALL(P274:P276,1)-SUM(O274:O276))),IF(S274&lt;0,IF(I276="",SMALL(P274:P276,1)-SUM(O274:O276),0),LARGE(P274:P276,1)-SUM(O274:O276)))))</f>
        <v>18.696</v>
      </c>
      <c r="W274" s="266">
        <f>IF($D274=$D271,IF(S274&lt;0,IF(I276="",S274,0),S274)+W271,S274)</f>
        <v>18.7</v>
      </c>
      <c r="X274" t="s" s="267">
        <f>IF(OR(SUM(R274:R276)=0,V274=W274),ROUND(IF(W274=0,0,W274/Y274)*100,2)&amp;"%",ROUND(IF(V274=0,0,V274/Y274)*100,2)&amp;"% a "&amp;ROUND(IF(W274=0,0,W274/Y274)*100,2)&amp;"%")</f>
        <v>162</v>
      </c>
      <c r="Y274" s="268">
        <f>IF($D274=$D271,Y271+SUM(O274:O276),SUM(O274:O276))</f>
        <v>496.84</v>
      </c>
      <c r="Z274" s="266">
        <f>IF($B274=" ",SUM(O274:O276),0)+Z271</f>
        <v>0</v>
      </c>
      <c r="AA274" s="266">
        <f>IF(G274="","",IF($B274="Anulado",LARGE(P274:P276,1)-SUM(O274:O276)+AA271,AA271))</f>
        <v>16.5099</v>
      </c>
      <c r="AB274" s="266">
        <f>IF($D274="","",AB271+S274)</f>
        <v>220.87</v>
      </c>
      <c r="AC274" s="269">
        <f>IF($D274="","",IF($B274=" ",IF(DAY(G274)=DAY(TODAY()),1+AC271,0+AC271),0+AC271))</f>
        <v>0</v>
      </c>
      <c r="AD274" s="270">
        <f>(1-_xlfn.XLOOKUP(K272,'Janeiro 2023 - Valor Real'!A3:A15,'Janeiro 2023 - Valor Real'!C3:C15,0))+1</f>
        <v>2</v>
      </c>
      <c r="AE274" s="271">
        <f>IF(L274="","",IF(L276&gt;0,(SUM(((L274-1)*(1-_xlfn.XLOOKUP(K274,'Janeiro 2023 - Valor Real'!A3:A15,'Janeiro 2023 - Valor Real'!C3:C15,0))+1),((L275-1)*(1-_xlfn.XLOOKUP(K275,'Janeiro 2023 - Valor Real'!A3:A15,'Janeiro 2023 - Valor Real'!C3:C15,0))+1),((L276-1)*(1-_xlfn.XLOOKUP(K276,'Janeiro 2023 - Valor Real'!A3:A15,'Janeiro 2023 - Valor Real'!C3:C15,0))+1))/((L274-1)*(1-_xlfn.XLOOKUP(K274,'Janeiro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Real'!C3:C15,0))+1))/((L274-1)*(1-_xlfn.XLOOKUP(K274,'Janeiro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Real'!C3:C15,0))+1))/((L275-1)*(1-_xlfn.XLOOKUP(K275,'Janeiro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Real'!C3:C15,0))+1))/((L276-1)*(1-_xlfn.XLOOKUP(K276,'Janeiro 2023 - Valor Real'!A3:A15,'Janeiro 2023 - Valor Real'!C3:C15,0))+1)),IF(I274="Lay",IF(I275="Lay",((L275/(L275-1)-1)*(1-_xlfn.XLOOKUP(K275,'Janeiro 2023 - Valor Real'!A3:A15,'Janeiro 2023 - Valor Real'!C3:C15,0))+1)/(((L275/(L275-1)-1)*(1-_xlfn.XLOOKUP(K275,'Janeiro 2023 - Valor Real'!A3:A15,'Janeiro 2023 - Valor Real'!C3:C15,0))+1)+((L274/(L274-1)-1)*(1-_xlfn.XLOOKUP(K274,'Janeiro 2023 - Valor Real'!A3:A15,'Janeiro 2023 - Valor Real'!C3:C15,0))+1)),((L275-1)*(1-_xlfn.XLOOKUP(K275,'Janeiro 2023 - Valor Real'!A3:A15,'Janeiro 2023 - Valor Real'!C3:C15,0))+1)/(((L275-1)*(1-_xlfn.XLOOKUP(K275,'Janeiro 2023 - Valor Real'!A3:A15,'Janeiro 2023 - Valor Real'!C3:C15,0))+1)+((L274/(L274-1)-1)*(1-_xlfn.XLOOKUP(K274,'Janeiro 2023 - Valor Real'!A3:A15,'Janeiro 2023 - Valor Real'!C3:C15,0))+1))),IF(I275="Lay",(((L275/(L275-1)-1)*(1-_xlfn.XLOOKUP(K275,'Janeiro 2023 - Valor Real'!A3:A15,'Janeiro 2023 - Valor Real'!C3:C15,0))+1))/(((L274-1)*(1-_xlfn.XLOOKUP(K274,'Janeiro 2023 - Valor Real'!A3:A15,'Janeiro 2023 - Valor Real'!C3:C15,0))+1)+((L275/(L275-1)-1)*(1-_xlfn.XLOOKUP(K275,'Janeiro 2023 - Valor Real'!A3:A15,'Janeiro 2023 - Valor Real'!C3:C15,0))+1)),((L275-1)*(1-_xlfn.XLOOKUP(K275,'Janeiro 2023 - Valor Real'!A3:A15,'Janeiro 2023 - Valor Real'!C3:C15,0))+1)/(((L275-1)*(1-_xlfn.XLOOKUP(K275,'Janeiro 2023 - Valor Real'!A3:A15,'Janeiro 2023 - Valor Real'!C3:C15,0))+1)+((L274-1)*(1-_xlfn.XLOOKUP(K274,'Janeiro 2023 - Valor Real'!A3:A15,'Janeiro 2023 - Valor Real'!C3:C15,0))+1))))))</f>
        <v>0.488372093023256</v>
      </c>
      <c r="AF274" s="132">
        <f>IF($K274=AF$3,ROUND(IF(OR($C274="W",$C274="1/2W",$C274="1/2L"),$P274-$O274,IF($C274="X",0,-$O274)),2),0)</f>
        <v>0</v>
      </c>
      <c r="AG274" s="133">
        <f>IF($K274=AG$3,ROUND(IF(OR($C274="W",$C274="1/2W",$C274="1/2L"),$P274-$O274,IF($C274="X",0,-$O274)),2),0)</f>
        <v>0</v>
      </c>
      <c r="AH274" s="133">
        <f>IF($K274=AH$3,ROUND(IF(OR($C274="W",$C274="1/2W",$C274="1/2L"),$P274-$O274,IF($C274="X",0,-$O274)),2),0)</f>
        <v>0</v>
      </c>
      <c r="AI274" s="133">
        <f>IF($K274=AI$3,ROUND(IF(OR($C274="W",$C274="1/2W",$C274="1/2L"),$P274-$O274,IF($C274="X",0,-$O274)),2),0)</f>
        <v>6</v>
      </c>
      <c r="AJ274" s="133">
        <f>IF($K274=AJ$3,ROUND(IF(OR($C274="W",$C274="1/2W",$C274="1/2L"),$P274-$O274,IF($C274="X",0,-$O274)),2),0)</f>
        <v>0</v>
      </c>
      <c r="AK274" s="133">
        <f>IF($K274=AK$3,ROUND(IF(OR($C274="W",$C274="1/2W",$C274="1/2L"),$P274-$O274,IF($C274="X",0,-$O274)),2),0)</f>
        <v>0</v>
      </c>
      <c r="AL274" s="133">
        <f>IF($K274=AL$3,ROUND(IF(OR($C274="W",$C274="1/2W",$C274="1/2L"),$P274-$O274,IF($C274="X",0,-$O274)),2),0)</f>
        <v>0</v>
      </c>
      <c r="AM274" s="133">
        <f>IF($K274=AM$3,ROUND(IF(OR($C274="W",$C274="1/2W",$C274="1/2L"),$P274-$O274,IF($C274="X",0,-$O274)),2),0)</f>
        <v>0</v>
      </c>
      <c r="AN274" s="133">
        <f>IF($K274=AN$3,ROUND(IF(OR($C274="W",$C274="1/2W",$C274="1/2L"),$P274-$O274,IF($C274="X",0,-$O274)),2),0)</f>
        <v>0</v>
      </c>
      <c r="AO274" s="133">
        <f>IF($K274=AO$3,ROUND(IF(OR($C274="W",$C274="1/2W",$C274="1/2L"),$P274-$O274,IF($C274="X",0,-$O274)),2),0)</f>
        <v>0</v>
      </c>
      <c r="AP274" s="133">
        <f>IF($K274=AP$3,ROUND(IF(OR($C274="W",$C274="1/2W",$C274="1/2L"),$P274-$O274,IF($C274="X",0,-$O274)),2),0)</f>
        <v>0</v>
      </c>
      <c r="AQ274" s="133">
        <f>IF($K274=AQ$3,ROUND(IF(OR($C274="W",$C274="1/2W",$C274="1/2L"),$P274-$O274,IF($C274="X",0,-$O274)),2),0)</f>
        <v>0</v>
      </c>
      <c r="AR274" s="134">
        <f>IF($K274=AR$3,ROUND(IF(OR($C274="W",$C274="1/2W",$C274="1/2L"),$P274-$O274,IF($C274="X",0,-$O274)),2),0)</f>
        <v>0</v>
      </c>
      <c r="AS274" s="132">
        <f>IF(AND($B274=" ",$K274=AS$3),$O274,0)</f>
        <v>0</v>
      </c>
      <c r="AT274" s="133">
        <f>IF(AND($B274=" ",$K274=AT$3),$O274,0)</f>
        <v>0</v>
      </c>
      <c r="AU274" s="133">
        <f>IF(AND($B274=" ",$K274=AU$3),$O274,0)</f>
        <v>0</v>
      </c>
      <c r="AV274" s="133">
        <f>IF(AND($B274=" ",$K274=AV$3),$O274,0)</f>
        <v>0</v>
      </c>
      <c r="AW274" s="133">
        <f>IF(AND($B274=" ",$K274=AW$3),$O274,0)</f>
        <v>0</v>
      </c>
      <c r="AX274" s="133">
        <f>IF(AND($B274=" ",$K274=AX$3),$O274,0)</f>
        <v>0</v>
      </c>
      <c r="AY274" s="135">
        <f>IF(AND($B274=" ",$K274=AY$3),$O274,0)</f>
        <v>0</v>
      </c>
      <c r="AZ274" s="136">
        <f>IF(AND($B274=" ",$K274=AZ$3),$O274,0)</f>
        <v>0</v>
      </c>
      <c r="BA274" s="136">
        <f>IF(AND($B274=" ",$K274=BA$3),$O274,0)</f>
        <v>0</v>
      </c>
      <c r="BB274" s="136">
        <f>IF(AND($B274=" ",$K274=BB$3),$O274,0)</f>
        <v>0</v>
      </c>
      <c r="BC274" s="137">
        <f>IF(AND($B274=" ",$K274=BC$3),$O274,0)</f>
        <v>0</v>
      </c>
      <c r="BD274" s="133">
        <f>IF(AND($B274=" ",$K274=BD$3),$O274,0)</f>
        <v>0</v>
      </c>
      <c r="BE274" s="134">
        <f>IF(AND($B274=" ",$K274=BE$3),$O274,0)</f>
        <v>0</v>
      </c>
      <c r="BF274" s="132">
        <f>IF($K274=BF$3,IF($C274="X",0,$O274),0)</f>
        <v>0</v>
      </c>
      <c r="BG274" s="133">
        <f>IF($K274=BG$3,IF($C274="X",0,$O274),0)</f>
        <v>0</v>
      </c>
      <c r="BH274" s="133">
        <f>IF($K274=BH$3,IF($C274="X",0,$O274),0)</f>
        <v>0</v>
      </c>
      <c r="BI274" s="133">
        <f>IF($K274=BI$3,IF($C274="X",0,$O274),0)</f>
        <v>5</v>
      </c>
      <c r="BJ274" s="133">
        <f>IF($K274=BJ$3,IF($C274="X",0,$O274),0)</f>
        <v>0</v>
      </c>
      <c r="BK274" s="133">
        <f>IF($K274=BK$3,IF($C274="X",0,$O274),0)</f>
        <v>0</v>
      </c>
      <c r="BL274" s="133">
        <f>IF($K274=BL$3,IF($C274="X",0,$O274),0)</f>
        <v>0</v>
      </c>
      <c r="BM274" s="135">
        <f>IF($K274=BM$3,IF($C274="X",0,$O274),0)</f>
        <v>0</v>
      </c>
      <c r="BN274" s="136">
        <f>IF($K274=BN$3,IF($C274="X",0,$O274),0)</f>
        <v>0</v>
      </c>
      <c r="BO274" s="136">
        <f>IF($K274=BO$3,IF($C274="X",0,$O274),0)</f>
        <v>0</v>
      </c>
      <c r="BP274" s="136">
        <f>IF($K274=BP$3,IF($C274="X",0,$O274),0)</f>
        <v>0</v>
      </c>
      <c r="BQ274" s="137">
        <f>IF($K274=BQ$3,IF($C274="X",0,$O274),0)</f>
        <v>0</v>
      </c>
      <c r="BR274" s="134">
        <f>IF($K274=BR$3,IF($C274="X",0,$O274),0)</f>
        <v>0</v>
      </c>
      <c r="BS274" s="170">
        <f>IF($B274="LOSS",IF(AND($K274=BS$3,$C274="L"),-$O274,0)+IF(AND($K275=BS$3,$C275="L"),-$O275,0)+IF(AND($K276=BS$3,$C276="L"),-$O276,0),IF(OR(AND($K274=BS$3,OR($C274="W",$C274="1/2W")),AND($K275=BS$3,OR($C275="W",$C275="1/2W")),AND($K276=BS$3,OR($C276="W",$C276="1/2W"))),$S274,0))</f>
        <v>0</v>
      </c>
      <c r="BT274" s="272">
        <f>IF($B274="LOSS",IF(AND($K274=BT$3,$C274="L"),-$O274,0)+IF(AND($K275=BT$3,$C275="L"),-$O275,0)+IF(AND($K275=BT$3,$C276="L"),-$O276,0),IF(OR(AND($K275=BT$3,OR($C274="W",$C274="1/2W")),AND($K275=BT$3,OR($C275="W",$C275="1/2W")),AND($K275=BT$3,OR($C276="W",$C276="1/2W"))),$S274,0))</f>
        <v>0.73</v>
      </c>
      <c r="BU274" s="136">
        <f>IF($B274="LOSS",IF(AND($K274=BU$3,$C274="L"),-$O274,0)+IF(AND($K275=BU$3,$C275="L"),-$O275,0)+IF(AND($K275=BU$3,$C276="L"),-$O276,0),IF(OR(AND($K275=BU$3,OR($C274="W",$C274="1/2W")),AND($K275=BU$3,OR($C275="W",$C275="1/2W")),AND($K275=BU$3,OR($C276="W",$C276="1/2W"))),$S274,0))</f>
        <v>0</v>
      </c>
      <c r="BV274" s="136">
        <f>IF($B274="LOSS",IF(AND($K274=BV$3,$C274="L"),-$O274,0)+IF(AND($K275=BV$3,$C275="L"),-$O275,0)+IF(AND($K276=BV$3,$C276="L"),-$O276,0),IF(OR(AND($K274=BV$3,OR($C274="W",$C274="1/2W")),AND($K275=BV$3,OR($C275="W",$C275="1/2W")),AND($K276=BV$3,OR($C276="W",$C276="1/2W"))),$S274,0))</f>
        <v>0.73</v>
      </c>
      <c r="BW274" s="136">
        <f>IF($B274="LOSS",IF(AND($K274=BW$3,$C274="L"),-$O274,0)+IF(AND($K275=BW$3,$C275="L"),-$O275,0)+IF(AND($K276=BW$3,$C276="L"),-$O276,0),IF(OR(AND($K274=BW$3,OR($C274="W",$C274="1/2W")),AND($K275=BW$3,OR($C275="W",$C275="1/2W")),AND($K276=BW$3,OR($C276="W",$C276="1/2W"))),$S274,0))</f>
        <v>0</v>
      </c>
      <c r="BX274" s="136">
        <f>IF($B274="LOSS",IF(AND($K274=BX$3,$C274="L"),-$O274,0)+IF(AND($K275=BX$3,$C275="L"),-$O275,0)+IF(AND($K276=BX$3,$C276="L"),-$O276,0),IF(OR(AND($K274=BX$3,OR($C274="W",$C274="1/2W")),AND($K275=BX$3,OR($C275="W",$C275="1/2W")),AND($K276=BX$3,OR($C276="W",$C276="1/2W"))),$S274,0))</f>
        <v>0</v>
      </c>
      <c r="BY274" s="136">
        <f>IF($B274="LOSS",IF(AND($K274=BY$3,$C274="L"),-$O274,0)+IF(AND($K275=BY$3,$C275="L"),-$O275,0)+IF(AND($K276=BY$3,$C276="L"),-$O276,0),IF(OR(AND($K274=BY$3,OR($C274="W",$C274="1/2W")),AND($K275=BY$3,OR($C275="W",$C275="1/2W")),AND($K276=BY$3,OR($C276="W",$C276="1/2W"))),$S274,0))</f>
        <v>0</v>
      </c>
      <c r="BZ274" s="136">
        <f>IF($B274="LOSS",IF(AND($K274=BZ$3,$C274="L"),-$O274,0)+IF(AND($K275=BZ$3,$C275="L"),-$O275,0)+IF(AND($K276=BZ$3,$C276="L"),-$O276,0),IF(OR(AND($K274=BZ$3,OR($C274="W",$C274="1/2W")),AND($K275=BZ$3,OR($C275="W",$C275="1/2W")),AND($K276=BZ$3,OR($C276="W",$C276="1/2W"))),$S274,0))</f>
        <v>0</v>
      </c>
      <c r="CA274" s="136">
        <f>IF($B274="LOSS",IF(AND($K274=CA$3,$C274="L"),-$O274,0)+IF(AND($K275=CA$3,$C275="L"),-$O275,0)+IF(AND($K276=CA$3,$C276="L"),-$O276,0),IF(OR(AND($K274=CA$3,OR($C274="W",$C274="1/2W")),AND($K275=CA$3,OR($C275="W",$C275="1/2W")),AND($K276=CA$3,OR($C276="W",$C276="1/2W"))),$S274,0))</f>
        <v>0</v>
      </c>
      <c r="CB274" s="136">
        <f>IF($B274="LOSS",IF(AND($K274=CB$3,$C274="L"),-$O274,0)+IF(AND($K275=CB$3,$C275="L"),-$O275,0)+IF(AND($K276=CB$3,$C276="L"),-$O276,0),IF(OR(AND($K274=CB$3,OR($C274="W",$C274="1/2W")),AND($K275=CB$3,OR($C275="W",$C275="1/2W")),AND($K276=CB$3,OR($C276="W",$C276="1/2W"))),$S274,0))</f>
        <v>0</v>
      </c>
      <c r="CC274" s="136">
        <f>IF($B274="LOSS",IF(AND($K274=CC$3,$C274="L"),-$O274,0)+IF(AND($K275=CC$3,$C275="L"),-$O275,0)+IF(AND($K276=CC$3,$C276="L"),-$O276,0),IF(OR(AND($K274=CC$3,OR($C274="W",$C274="1/2W")),AND($K275=CC$3,OR($C275="W",$C275="1/2W")),AND($K276=CC$3,OR($C276="W",$C276="1/2W"))),$S274,0))</f>
        <v>0</v>
      </c>
      <c r="CD274" s="137">
        <f>IF($B274="LOSS",IF(AND($K274=CD$3,$C274="L"),-$O274,0)+IF(AND($K275=CD$3,$C275="L"),-$O275,0)+IF(AND($K276=CD$3,$C276="L"),-$O276,0),IF(OR(AND($K274=CD$3,OR($C274="W",$C274="1/2W")),AND($K275=CD$3,OR($C275="W",$C275="1/2W")),AND($K276=CD$3,OR($C276="W",$C276="1/2W"))),$S274,0))</f>
        <v>0</v>
      </c>
      <c r="CE274" s="134">
        <f>IF($B274="LOSS",IF(AND($K274=CE$3,$C274="L"),-$O274,0)+IF(AND($K275=CE$3,$C275="L"),-$O275,0)+IF(AND($K276=CE$3,$C276="L"),-$O276,0),IF(OR(AND($K274=CE$3,OR($C274="W",$C274="1/2W")),AND($K275=CE$3,OR($C275="W",$C275="1/2W")),AND($K276=CE$3,OR($C276="W",$C276="1/2W"))),$S274,0))</f>
        <v>0</v>
      </c>
      <c r="CF274" s="273">
        <f>IF(CF$3=$K274,IF($C274="W",1,IF($C274="1/2W",0.5,0)),0)</f>
        <v>0</v>
      </c>
      <c r="CG274" s="274">
        <f>IF(CF$3=$K274,IF($C274="L",1,IF($C274="1/2L",0.5,0)),0)</f>
        <v>0</v>
      </c>
      <c r="CH274" s="274">
        <f>IF(CH$3=$K274,IF($C274="W",1,IF($C274="1/2W",0.5,0)),0)</f>
        <v>0</v>
      </c>
      <c r="CI274" s="274">
        <f>IF(CH$3=$K274,IF($C274="L",1,IF($C274="1/2L",0.5,0)),0)</f>
        <v>0</v>
      </c>
      <c r="CJ274" s="274">
        <f>IF(CJ$3=$K274,IF($C274="W",1,IF($C274="1/2W",0.5,0)),0)</f>
        <v>0</v>
      </c>
      <c r="CK274" s="274">
        <f>IF(CJ$3=$K274,IF($C274="L",1,IF($C274="1/2L",0.5,0)),0)</f>
        <v>0</v>
      </c>
      <c r="CL274" s="274">
        <f>IF(CL$3=$K274,IF($C274="W",1,IF($C274="1/2W",0.5,0)),0)</f>
        <v>1</v>
      </c>
      <c r="CM274" s="274">
        <f>IF(CL$3=$K274,IF($C274="L",1,IF($C274="1/2L",0.5,0)),0)</f>
        <v>0</v>
      </c>
      <c r="CN274" s="274">
        <f>IF(CN$3=$K274,IF($C274="W",1,IF($C274="1/2W",0.5,0)),0)</f>
        <v>0</v>
      </c>
      <c r="CO274" s="274">
        <f>IF(CN$3=$K274,IF($C274="L",1,IF($C274="1/2L",0.5,0)),0)</f>
        <v>0</v>
      </c>
      <c r="CP274" s="274">
        <f>IF(CP$3=$K274,IF($C274="W",1,IF($C274="1/2W",0.5,0)),0)</f>
        <v>0</v>
      </c>
      <c r="CQ274" s="274">
        <f>IF(CP$3=$K274,IF($C274="L",1,IF($C274="1/2L",0.5,0)),0)</f>
        <v>0</v>
      </c>
      <c r="CR274" s="274">
        <f>IF(CR$3=$K274,IF($C274="W",1,IF($C274="1/2W",0.5,0)),0)</f>
        <v>0</v>
      </c>
      <c r="CS274" s="274">
        <f>IF(CR$3=$K274,IF($C274="L",1,IF($C274="1/2L",0.5,0)),0)</f>
        <v>0</v>
      </c>
      <c r="CT274" s="145">
        <f>IF(CT$3=$K274,IF($C274="W",1,IF($C274="1/2W",0.5,0)),0)</f>
        <v>0</v>
      </c>
      <c r="CU274" s="146">
        <f>IF(CT$3=$K274,IF($C274="L",1,IF($C274="1/2L",0.5,0)),0)</f>
        <v>0</v>
      </c>
      <c r="CV274" s="146">
        <f>IF(CV$3=$K274,IF($C274="W",1,IF($C274="1/2W",0.5,0)),0)</f>
        <v>0</v>
      </c>
      <c r="CW274" s="146">
        <f>IF(CV$3=$K274,IF($C274="L",1,IF($C274="1/2L",0.5,0)),0)</f>
        <v>0</v>
      </c>
      <c r="CX274" s="146">
        <f>IF(CX$3=$K274,IF($C274="W",1,IF($C274="1/2W",0.5,0)),0)</f>
        <v>0</v>
      </c>
      <c r="CY274" s="146">
        <f>IF(CX$3=$K274,IF($C274="L",1,IF($C274="1/2L",0.5,0)),0)</f>
        <v>0</v>
      </c>
      <c r="CZ274" s="146">
        <f>IF(CZ$3=$K274,IF($C274="W",1,IF($C274="1/2W",0.5,0)),0)</f>
        <v>0</v>
      </c>
      <c r="DA274" s="146">
        <f>IF(CZ$3=$K274,IF($C274="L",1,IF($C274="1/2L",0.5,0)),0)</f>
        <v>0</v>
      </c>
      <c r="DB274" s="146">
        <f>IF(DB$3=$K274,IF($C274="W",1,IF($C274="1/2W",0.5,0)),0)</f>
        <v>0</v>
      </c>
      <c r="DC274" s="146">
        <f>IF(DB$3=$K274,IF($C274="L",1,IF($C274="1/2L",0.5,0)),0)</f>
        <v>0</v>
      </c>
      <c r="DD274" s="146">
        <f>IF(DD$3=$K274,IF($C274="W",1,IF($C274="1/2W",0.5,0)),0)</f>
        <v>0</v>
      </c>
      <c r="DE274" s="147">
        <f>IF(DD$3=$K274,IF($C274="L",1,IF($C274="1/2L",0.5,0)),0)</f>
        <v>0</v>
      </c>
      <c r="DF274" s="143">
        <f>IF(AND(L274&lt;DF$3,$C274="W"),1+DF273,DF273)</f>
        <v>10</v>
      </c>
      <c r="DG274" s="133">
        <f>IF(DF274&gt;DF273,L274+DG273,DG273)</f>
        <v>13.078</v>
      </c>
      <c r="DH274" s="146">
        <f>IF(AND(L274&gt;DH$3,$C274="W"),1+DH273,0+DH273)</f>
        <v>6</v>
      </c>
      <c r="DI274" s="133">
        <f>IF(DH274&gt;DH273,L274+DI273,DI273)</f>
        <v>30.83</v>
      </c>
      <c r="DJ274" t="s" s="304">
        <f>IF($D274="","",$D274)</f>
        <v>229</v>
      </c>
      <c r="DK274" s="146">
        <f>IF(AND($B274=" ",$D274&lt;&gt;""),1,0)</f>
        <v>0</v>
      </c>
    </row>
    <row r="275" ht="14.55" customHeight="1">
      <c r="A275" s="107"/>
      <c r="B275" s="108"/>
      <c r="C275" t="s" s="109">
        <v>51</v>
      </c>
      <c r="D275" s="110"/>
      <c r="E275" s="111"/>
      <c r="F275" s="113"/>
      <c r="G275" s="252"/>
      <c r="H275" s="114"/>
      <c r="I275" t="s" s="275">
        <v>67</v>
      </c>
      <c r="J275" s="276">
        <f>IF(OR(I274="TO",I274="TU",I274="TO1",I274="TU1",I274="TO2",I274="TU2"),J274,IF(OR(I274="AH1",I274="AH2"),IF(OR(I275="AH1",I275="AH2"),-J274,IF(OR(I275="EH1",I275="EH2"),-J274+0.5,"")),IF(OR(I274="EH1",I274="EH2"),IF(OR(I275="AH1",I275="AH2"),-J274+0.5,IF(OR(I275="EH1",I275="EH2"),-J274+1,"")),IF(AND(OR(I274="DNB1",I274="DNB2"),OR(I275="AH1",I275="AH2")),0,IF(AND(I274="Not ScoreBoth",OR(I275="TO1",I275="TO2")),0.5,"")))))</f>
        <v>1.5</v>
      </c>
      <c r="K275" t="s" s="117">
        <v>38</v>
      </c>
      <c r="L275" s="277">
        <v>2.1</v>
      </c>
      <c r="M275" s="278">
        <v>5.27</v>
      </c>
      <c r="N275" s="120"/>
      <c r="O275" s="121">
        <f>IF(OR(AE274="",AE275=""),"",ROUND(IF(L276&gt;0,IF(M275&gt;0,M275,IF(M274&gt;0,IF(N274=TRUE,ROUND((M274*AE275)/AE274,0),(M274*AE275)/AE274),IF(M275&gt;0,ROUND(M275,IF(N274=0,2,IF(N274=0.1,1,0))),IF(M276&gt;0,ROUND(O276*AE275/AE276,IF(N274=0,2,IF(N274=0.1,1,0))),0)))),IF(M275&gt;0,M275,ROUND((M274*AE275)/AE274,IF(N274=0,2,IF(N274=0.1,1,0))))),2))</f>
        <v>5.27</v>
      </c>
      <c r="P275" s="122">
        <f>IF(OR(L275="",O275=""),"",IF($C275="1/2W",O275/2+O275/2*L275,IF($C275="1/2L",O275/2,IF(I275="Lay",((O275*(L275/(L275-1)))-O275)*(1-_xlfn.XLOOKUP(K275,'Janeiro 2023 - Valor Real'!A3:A15,'Janeiro 2023 - Valor Real'!C3:C15,0))+O275,(O275*L275-O275)*(1-_xlfn.XLOOKUP(K275,'Janeiro 2023 - Valor Real'!A3:A15,'Janeiro 2023 - Valor Real'!C3:C15,0))+O275))))</f>
        <v>11.067</v>
      </c>
      <c r="Q275" s="279">
        <f>IF(K275="","",IF(_xlfn.XLOOKUP(K275,K$101:K120,DJ$101:DJ120,0,,-1)=DJ275,_xlfn.XLOOKUP(K275,K$101:K120,Q$101:Q120,1,,-1)+1,1))</f>
        <v>1</v>
      </c>
      <c r="R275" s="280">
        <f>IF(K275="","",_xlfn.XLOOKUP(K275,K$101:K120,R$101:R120,0,,-1)+IF($C275=" ",1,0))</f>
        <v>0</v>
      </c>
      <c r="S275" s="125"/>
      <c r="T275" s="126"/>
      <c r="U275" s="126"/>
      <c r="V275" s="224"/>
      <c r="W275" s="126"/>
      <c r="X275" s="127"/>
      <c r="Y275" s="128"/>
      <c r="Z275" s="129"/>
      <c r="AA275" s="129"/>
      <c r="AB275" s="129"/>
      <c r="AC275" s="129"/>
      <c r="AD275" s="130"/>
      <c r="AE275" s="131">
        <f>IF(L275="","",IF(L276&gt;0,(SUM(((L274-1)*(1-_xlfn.XLOOKUP(K274,'Janeiro 2023 - Valor Real'!A3:A15,'Janeiro 2023 - Valor Real'!C3:C15,0))+1),((L275-1)*(1-_xlfn.XLOOKUP(K275,'Janeiro 2023 - Valor Real'!A3:A15,'Janeiro 2023 - Valor Real'!C3:C15,0))+1),((L276-1)*(1-_xlfn.XLOOKUP(K276,'Janeiro 2023 - Valor Real'!A3:A15,'Janeiro 2023 - Valor Real'!C3:C15,0))+1))/((L275-1)*(1-_xlfn.XLOOKUP(K275,'Janeiro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Real'!C3:C15,0))+1))/((L274-1)*(1-_xlfn.XLOOKUP(K274,'Janeiro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Real'!C3:C15,0))+1))/((L275-1)*(1-_xlfn.XLOOKUP(K275,'Janeiro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Real'!C3:C15,0))+1))/((L276-1)*(1-_xlfn.XLOOKUP(K276,'Janeiro 2023 - Valor Real'!A3:A15,'Janeiro 2023 - Valor Real'!C3:C15,0))+1)),IF(I275="Lay",IF(I274="Lay",((L274/(L274-1)-1)*(1-_xlfn.XLOOKUP(K274,'Janeiro 2023 - Valor Real'!A3:A15,'Janeiro 2023 - Valor Real'!C3:C15,0))+1)/(((L274/(L274-1)-1)*(1-_xlfn.XLOOKUP(K274,'Janeiro 2023 - Valor Real'!A3:A15,'Janeiro 2023 - Valor Real'!C3:C15,0))+1)+((L275/(L275-1)-1)*(1-_xlfn.XLOOKUP(K275,'Janeiro 2023 - Valor Real'!A3:A15,'Janeiro 2023 - Valor Real'!C3:C15,0))+1)),((L274-1)*(1-_xlfn.XLOOKUP(K274,'Janeiro 2023 - Valor Real'!A3:A15,'Janeiro 2023 - Valor Real'!C3:C15,0))+1)/(((L274-1)*(1-_xlfn.XLOOKUP(K274,'Janeiro 2023 - Valor Real'!A3:A15,'Janeiro 2023 - Valor Real'!C3:C15,0))+1)+((L275/(L275-1)-1)*(1-_xlfn.XLOOKUP(K275,'Janeiro 2023 - Valor Real'!A3:A15,'Janeiro 2023 - Valor Real'!C3:C15,0))+1))),IF(I274="Lay",((L274/(L274-1)-1)*(1-_xlfn.XLOOKUP(K274,'Janeiro 2023 - Valor Real'!A3:A15,'Janeiro 2023 - Valor Real'!C3:C15,0))+1)/((((L274/(L274-1)-1)*(1-_xlfn.XLOOKUP(K274,'Janeiro 2023 - Valor Real'!A3:A15,'Janeiro 2023 - Valor Real'!C3:C15,0))+1))+((L275-1)*(1-_xlfn.XLOOKUP(K275,'Janeiro 2023 - Valor Real'!A3:A15,'Janeiro 2023 - Valor Real'!C3:C15,0))+1)),((L274-1)*(1-_xlfn.XLOOKUP(K274,'Janeiro 2023 - Valor Real'!A3:A15,'Janeiro 2023 - Valor Real'!C3:C15,0))+1)/(((L274-1)*(1-_xlfn.XLOOKUP(K274,'Janeiro 2023 - Valor Real'!A3:A15,'Janeiro 2023 - Valor Real'!C3:C15,0))+1)+((L275-1)*(1-_xlfn.XLOOKUP(K275,'Janeiro 2023 - Valor Real'!A3:A15,'Janeiro 2023 - Valor Real'!C3:C15,0))+1))))))</f>
        <v>0.511627906976744</v>
      </c>
      <c r="AF275" s="132">
        <f>IF($K275=AF$3,ROUND(IF(OR($C275="W",$C275="1/2W",$C275="1/2L"),$P275-$O275,IF($C275="X",0,-$O275)),2),0)</f>
        <v>0</v>
      </c>
      <c r="AG275" s="133">
        <f>IF($K275=AG$3,ROUND(IF(OR($C275="W",$C275="1/2W",$C275="1/2L"),$P275-$O275,IF($C275="X",0,-$O275)),2),0)</f>
        <v>-5.27</v>
      </c>
      <c r="AH275" s="133">
        <f>IF($K275=AH$3,ROUND(IF(OR($C275="W",$C275="1/2W",$C275="1/2L"),$P275-$O275,IF($C275="X",0,-$O275)),2),0)</f>
        <v>0</v>
      </c>
      <c r="AI275" s="133">
        <f>IF($K275=AI$3,ROUND(IF(OR($C275="W",$C275="1/2W",$C275="1/2L"),$P275-$O275,IF($C275="X",0,-$O275)),2),0)</f>
        <v>0</v>
      </c>
      <c r="AJ275" s="133">
        <f>IF($K275=AJ$3,ROUND(IF(OR($C275="W",$C275="1/2W",$C275="1/2L"),$P275-$O275,IF($C275="X",0,-$O275)),2),0)</f>
        <v>0</v>
      </c>
      <c r="AK275" s="133">
        <f>IF($K275=AK$3,ROUND(IF(OR($C275="W",$C275="1/2W",$C275="1/2L"),$P275-$O275,IF($C275="X",0,-$O275)),2),0)</f>
        <v>0</v>
      </c>
      <c r="AL275" s="133">
        <f>IF($K275=AL$3,ROUND(IF(OR($C275="W",$C275="1/2W",$C275="1/2L"),$P275-$O275,IF($C275="X",0,-$O275)),2),0)</f>
        <v>0</v>
      </c>
      <c r="AM275" s="133">
        <f>IF($K275=AM$3,ROUND(IF(OR($C275="W",$C275="1/2W",$C275="1/2L"),$P275-$O275,IF($C275="X",0,-$O275)),2),0)</f>
        <v>0</v>
      </c>
      <c r="AN275" s="133">
        <f>IF($K275=AN$3,ROUND(IF(OR($C275="W",$C275="1/2W",$C275="1/2L"),$P275-$O275,IF($C275="X",0,-$O275)),2),0)</f>
        <v>0</v>
      </c>
      <c r="AO275" s="133">
        <f>IF($K275=AO$3,ROUND(IF(OR($C275="W",$C275="1/2W",$C275="1/2L"),$P275-$O275,IF($C275="X",0,-$O275)),2),0)</f>
        <v>0</v>
      </c>
      <c r="AP275" s="133">
        <f>IF($K275=AP$3,ROUND(IF(OR($C275="W",$C275="1/2W",$C275="1/2L"),$P275-$O275,IF($C275="X",0,-$O275)),2),0)</f>
        <v>0</v>
      </c>
      <c r="AQ275" s="133">
        <f>IF($K275=AQ$3,ROUND(IF(OR($C275="W",$C275="1/2W",$C275="1/2L"),$P275-$O275,IF($C275="X",0,-$O275)),2),0)</f>
        <v>0</v>
      </c>
      <c r="AR275" s="134">
        <f>IF($K275=AR$3,ROUND(IF(OR($C275="W",$C275="1/2W",$C275="1/2L"),$P275-$O275,IF($C275="X",0,-$O275)),2),0)</f>
        <v>0</v>
      </c>
      <c r="AS275" s="132">
        <f>IF(AND($B274=" ",$K275=AS$3),$O275,0)</f>
        <v>0</v>
      </c>
      <c r="AT275" s="133">
        <f>IF(AND($B274=" ",K275=AT$3),$O275,0)</f>
        <v>0</v>
      </c>
      <c r="AU275" s="133">
        <f>IF(AND($B274=" ",$K275=AU$3),$O275,0)</f>
        <v>0</v>
      </c>
      <c r="AV275" s="133">
        <f>IF(AND($B274=" ",$K275=AV$3),$O275,0)</f>
        <v>0</v>
      </c>
      <c r="AW275" s="133">
        <f>IF(AND($B274=" ",$K275=AW$3),$O275,0)</f>
        <v>0</v>
      </c>
      <c r="AX275" s="133">
        <f>IF(AND($B274=" ",$K275=AX$3),$O275,0)</f>
        <v>0</v>
      </c>
      <c r="AY275" s="135">
        <f>IF(AND($B274=" ",$K275=AY$3),$O275,0)</f>
        <v>0</v>
      </c>
      <c r="AZ275" s="136">
        <f>IF(AND($B274=" ",$K275=AZ$3),$O275,0)</f>
        <v>0</v>
      </c>
      <c r="BA275" s="136">
        <f>IF(AND($B274=" ",$K275=BA$3),$O275,0)</f>
        <v>0</v>
      </c>
      <c r="BB275" s="136">
        <f>IF(AND($B274=" ",$K275=BB$3),$O275,0)</f>
        <v>0</v>
      </c>
      <c r="BC275" s="137">
        <f>IF(AND($B274=" ",$K275=BC$3),$O275,0)</f>
        <v>0</v>
      </c>
      <c r="BD275" s="133">
        <f>IF(AND($B274=" ",$K275=BD$3),$O275,0)</f>
        <v>0</v>
      </c>
      <c r="BE275" s="134">
        <f>IF(AND($B274=" ",$K275=BE$3),$O275,0)</f>
        <v>0</v>
      </c>
      <c r="BF275" s="132">
        <f>IF($K275=BF$3,IF($C275="X",0,$O275),0)</f>
        <v>0</v>
      </c>
      <c r="BG275" s="281">
        <f>IF($K275=BG$3,IF($C275="X",0,$O275),0)</f>
        <v>5.27</v>
      </c>
      <c r="BH275" s="133">
        <f>IF($K275=BH$3,IF($C275="X",0,$O275),0)</f>
        <v>0</v>
      </c>
      <c r="BI275" s="133">
        <f>IF($K275=BI$3,IF($C275="X",0,$O275),0)</f>
        <v>0</v>
      </c>
      <c r="BJ275" s="133">
        <f>IF($K275=BJ$3,IF($C275="X",0,$O275),0)</f>
        <v>0</v>
      </c>
      <c r="BK275" s="133">
        <f>IF($K275=BK$3,IF($C275="X",0,$O275),0)</f>
        <v>0</v>
      </c>
      <c r="BL275" s="133">
        <f>IF($K275=BL$3,IF($C275="X",0,$O275),0)</f>
        <v>0</v>
      </c>
      <c r="BM275" s="135">
        <f>IF($K275=BM$3,IF($C275="X",0,$O275),0)</f>
        <v>0</v>
      </c>
      <c r="BN275" s="136">
        <f>IF($K275=BN$3,IF($C275="X",0,$O275),0)</f>
        <v>0</v>
      </c>
      <c r="BO275" s="136">
        <f>IF($K275=BO$3,IF($C275="X",0,$O275),0)</f>
        <v>0</v>
      </c>
      <c r="BP275" s="136">
        <f>IF($K275=BP$3,IF($C275="X",0,$O275),0)</f>
        <v>0</v>
      </c>
      <c r="BQ275" s="137">
        <f>IF($K275=BQ$3,IF($C275="X",0,$O275),0)</f>
        <v>0</v>
      </c>
      <c r="BR275" s="134">
        <f>IF($K275=BR$3,IF($C275="X",0,$O275),0)</f>
        <v>0</v>
      </c>
      <c r="BS275" s="282"/>
      <c r="BT275" s="283"/>
      <c r="BU275" s="140"/>
      <c r="BV275" s="283"/>
      <c r="BW275" s="140"/>
      <c r="BX275" s="140"/>
      <c r="BY275" s="140"/>
      <c r="BZ275" s="283"/>
      <c r="CA275" s="140"/>
      <c r="CB275" s="140"/>
      <c r="CC275" s="140"/>
      <c r="CD275" s="141"/>
      <c r="CE275" s="142"/>
      <c r="CF275" s="284">
        <f>IF(CF$3=$K275,IF($C275="W",1,IF($C275="1/2W",0.5,0)),0)</f>
        <v>0</v>
      </c>
      <c r="CG275" s="285">
        <f>IF(CF$3=$K275,IF($C275="L",1,IF($C275="1/2L",0.5,0)),0)</f>
        <v>0</v>
      </c>
      <c r="CH275" s="285">
        <f>IF(CH$3=$K275,IF($C275="W",1,IF($C275="1/2W",0.5,0)),0)</f>
        <v>0</v>
      </c>
      <c r="CI275" s="285">
        <f>IF(CH$3=$K275,IF($C275="L",1,IF($C275="1/2L",0.5,0)),0)</f>
        <v>1</v>
      </c>
      <c r="CJ275" s="285">
        <f>IF(CJ$3=$K275,IF($C275="W",1,IF($C275="1/2W",0.5,0)),0)</f>
        <v>0</v>
      </c>
      <c r="CK275" s="285">
        <f>IF(CJ$3=$K275,IF($C275="L",1,IF($C275="1/2L",0.5,0)),0)</f>
        <v>0</v>
      </c>
      <c r="CL275" s="285">
        <f>IF(CL$3=$K275,IF($C275="W",1,IF($C275="1/2W",0.5,0)),0)</f>
        <v>0</v>
      </c>
      <c r="CM275" s="285">
        <f>IF(CL$3=$K275,IF($C275="L",1,IF($C275="1/2L",0.5,0)),0)</f>
        <v>0</v>
      </c>
      <c r="CN275" s="285">
        <f>IF(CN$3=$K275,IF($C275="W",1,IF($C275="1/2W",0.5,0)),0)</f>
        <v>0</v>
      </c>
      <c r="CO275" s="285">
        <f>IF(CN$3=$K275,IF($C275="L",1,IF($C275="1/2L",0.5,0)),0)</f>
        <v>0</v>
      </c>
      <c r="CP275" s="285">
        <f>IF(CP$3=$K275,IF($C275="W",1,IF($C275="1/2W",0.5,0)),0)</f>
        <v>0</v>
      </c>
      <c r="CQ275" s="285">
        <f>IF(CP$3=$K275,IF($C275="L",1,IF($C275="1/2L",0.5,0)),0)</f>
        <v>0</v>
      </c>
      <c r="CR275" s="285">
        <f>IF(CR$3=$K275,IF($C275="W",1,IF($C275="1/2W",0.5,0)),0)</f>
        <v>0</v>
      </c>
      <c r="CS275" s="285">
        <f>IF(CR$3=$K275,IF($C275="L",1,IF($C275="1/2L",0.5,0)),0)</f>
        <v>0</v>
      </c>
      <c r="CT275" s="145">
        <f>IF(CT$3=$K275,IF($C275="W",1,IF($C275="1/2W",0.5,0)),0)</f>
        <v>0</v>
      </c>
      <c r="CU275" s="146">
        <f>IF(CT$3=$K275,IF($C275="L",1,IF($C275="1/2L",0.5,0)),0)</f>
        <v>0</v>
      </c>
      <c r="CV275" s="146">
        <f>IF(CV$3=$K275,IF($C275="W",1,IF($C275="1/2W",0.5,0)),0)</f>
        <v>0</v>
      </c>
      <c r="CW275" s="146">
        <f>IF(CV$3=$K275,IF($C275="L",1,IF($C275="1/2L",0.5,0)),0)</f>
        <v>0</v>
      </c>
      <c r="CX275" s="146">
        <f>IF(CX$3=$K275,IF($C275="W",1,IF($C275="1/2W",0.5,0)),0)</f>
        <v>0</v>
      </c>
      <c r="CY275" s="146">
        <f>IF(CX$3=$K275,IF($C275="L",1,IF($C275="1/2L",0.5,0)),0)</f>
        <v>0</v>
      </c>
      <c r="CZ275" s="146">
        <f>IF(CZ$3=$K275,IF($C275="W",1,IF($C275="1/2W",0.5,0)),0)</f>
        <v>0</v>
      </c>
      <c r="DA275" s="146">
        <f>IF(CZ$3=$K275,IF($C275="L",1,IF($C275="1/2L",0.5,0)),0)</f>
        <v>0</v>
      </c>
      <c r="DB275" s="146">
        <f>IF(DB$3=$K275,IF($C275="W",1,IF($C275="1/2W",0.5,0)),0)</f>
        <v>0</v>
      </c>
      <c r="DC275" s="146">
        <f>IF(DB$3=$K275,IF($C275="L",1,IF($C275="1/2L",0.5,0)),0)</f>
        <v>0</v>
      </c>
      <c r="DD275" s="146">
        <f>IF(DD$3=$K275,IF($C275="W",1,IF($C275="1/2W",0.5,0)),0)</f>
        <v>0</v>
      </c>
      <c r="DE275" s="147">
        <f>IF(DD$3=$K275,IF($C275="L",1,IF($C275="1/2L",0.5,0)),0)</f>
        <v>0</v>
      </c>
      <c r="DF275" s="143">
        <f>IF(AND(L275&lt;DF$3,$C275="W"),1+DF274,DF274)</f>
        <v>10</v>
      </c>
      <c r="DG275" s="133">
        <f>IF(DF275&gt;DF274,L275+DG274,DG274)</f>
        <v>13.078</v>
      </c>
      <c r="DH275" s="146">
        <f>IF(AND(L275&gt;DH$3,$C275="W"),1+DH274,0+DH274)</f>
        <v>6</v>
      </c>
      <c r="DI275" s="133">
        <f>IF(DH275&gt;DH274,L275+DI274,DI274)</f>
        <v>30.83</v>
      </c>
      <c r="DJ275" t="s" s="304">
        <f>IF($D274="","",$D274)</f>
        <v>229</v>
      </c>
      <c r="DK275" s="286"/>
    </row>
    <row r="276" ht="14.55" customHeight="1">
      <c r="A276" s="149"/>
      <c r="B276" s="150"/>
      <c r="C276" t="s" s="151">
        <v>58</v>
      </c>
      <c r="D276" s="152"/>
      <c r="E276" s="153"/>
      <c r="F276" s="155"/>
      <c r="G276" s="252"/>
      <c r="H276" s="156"/>
      <c r="I276" s="287"/>
      <c r="J276" s="288"/>
      <c r="K276" s="156"/>
      <c r="L276" s="289"/>
      <c r="M276" s="290"/>
      <c r="N276" s="161"/>
      <c r="O276" t="s" s="162">
        <f>IF(OR(AE274="",AE275=""),"",IF(L276&gt;0,ROUND(IF(M276&gt;0,M276,IF(M274&gt;0,ROUND((M274*AE276)/AE274,IF(N274=0,2,IF(N274=0.1,1,0))),IF(M275&gt;0,ROUND((M275*AE276)/AE275,IF(N274=0,2,IF(N274=0.1,1,0))),IF(M276&gt;0,M276,0)))),2),""))</f>
      </c>
      <c r="P276" t="s" s="163">
        <f>IF(I275="Lay",O275*(L275/(L275-1))-O275,IF(I274="Lay",O274*(L274/(L274-1))-O274,IF(OR(L276="",O276=""),"",IF($C276="1/2W",O276/2+O276/2*L276,IF($C276="1/2L",O276/2,(O276*L276-O276)*(1-_xlfn.XLOOKUP(K276,'Janeiro 2023 - Valor Real'!A3:A15,'Janeiro 2023 - Valor Real'!C3:C15,0))+O276)))))</f>
      </c>
      <c r="Q276" t="s" s="154">
        <f>IF(K276="","",IF(_xlfn.XLOOKUP(K276,K$102:K121,DJ$102:DJ121,0,,-1)=DJ276,_xlfn.XLOOKUP(K276,K$102:K121,Q$102:Q121,1,,-1)+1,1))</f>
      </c>
      <c r="R276" t="s" s="163">
        <f>IF(K276="","",_xlfn.XLOOKUP(K276,K$102:K121,R$102:R121,0,,-1)+IF($C276=" ",1,0))</f>
      </c>
      <c r="S276" s="166"/>
      <c r="T276" s="155"/>
      <c r="U276" s="155"/>
      <c r="V276" s="166"/>
      <c r="W276" s="155"/>
      <c r="X276" s="167"/>
      <c r="Y276" s="128"/>
      <c r="Z276" s="129"/>
      <c r="AA276" s="129"/>
      <c r="AB276" s="129"/>
      <c r="AC276" s="129"/>
      <c r="AD276" s="168"/>
      <c r="AE276" t="s" s="169">
        <f>IF(L276="","",(SUM(((L274-1)*(1-_xlfn.XLOOKUP(K274,'Janeiro 2023 - Valor Real'!A3:A15,'Janeiro 2023 - Valor Real'!C3:C15,0))+1),((L275-1)*(1-_xlfn.XLOOKUP(K275,'Janeiro 2023 - Valor Real'!A3:A15,'Janeiro 2023 - Valor Real'!C3:C15,0))+1),((L276-1)*(1-_xlfn.XLOOKUP(K276,'Janeiro 2023 - Valor Real'!A3:A15,'Janeiro 2023 - Valor Real'!C3:C15,0))+1))/((L276-1)*(1-_xlfn.XLOOKUP(K276,'Janeiro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Real'!C3:C15,0))+1))/((L274-1)*(1-_xlfn.XLOOKUP(K274,'Janeiro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Real'!C3:C15,0))+1))/((L275-1)*(1-_xlfn.XLOOKUP(K275,'Janeiro 2023 - Valor Real'!A3:A15,'Janeiro 2023 - Valor Real'!C3:C15,0))+1)+SUM(((L274-1)*(1-_xlfn.XLOOKUP(K274,'Janeiro 2023 - Valor Real'!A3:A15,'Janeiro 2023 - Valor Real'!C3:C15,0))+1),((L275-1)*(1-_xlfn.XLOOKUP(K275,'Janeiro 2023 - Valor Real'!A3:A15,'Janeiro 2023 - Valor Real'!C3:C15,0))+1),((L276-1)*(1-_xlfn.XLOOKUP(K276,'Janeiro 2023 - Valor Real'!A3:A15,'Janeiro 2023 - Valor Real'!C3:C15,0))+1))/((L276-1)*(1-_xlfn.XLOOKUP(K276,'Janeiro 2023 - Valor Real'!A3:A15,'Janeiro 2023 - Valor Real'!C3:C15,0))+1)))</f>
      </c>
      <c r="AF276" s="132">
        <f>IF($K276=AF$3,ROUND(IF(OR($C276="W",$C276="1/2W",$C276="1/2L"),$P276-$O276,IF($C276="X",0,-$O276)),2),0)</f>
        <v>0</v>
      </c>
      <c r="AG276" s="133">
        <f>IF($K276=AG$3,ROUND(IF(OR($C276="W",$C276="1/2W",$C276="1/2L"),$P276-$O276,IF($C276="X",0,-$O276)),2),0)</f>
        <v>0</v>
      </c>
      <c r="AH276" s="133">
        <f>IF($K276=AH$3,ROUND(IF(OR($C276="W",$C276="1/2W",$C276="1/2L"),$P276-$O276,IF($C276="X",0,-$O276)),2),0)</f>
        <v>0</v>
      </c>
      <c r="AI276" s="133">
        <f>IF($K276=AI$3,ROUND(IF(OR($C276="W",$C276="1/2W",$C276="1/2L"),$P276-$O276,IF($C276="X",0,-$O276)),2),0)</f>
        <v>0</v>
      </c>
      <c r="AJ276" s="133">
        <f>IF($K276=AJ$3,ROUND(IF(OR($C276="W",$C276="1/2W",$C276="1/2L"),$P276-$O276,IF($C276="X",0,-$O276)),2),0)</f>
        <v>0</v>
      </c>
      <c r="AK276" s="133">
        <f>IF($K276=AK$3,ROUND(IF(OR($C276="W",$C276="1/2W",$C276="1/2L"),$P276-$O276,IF($C276="X",0,-$O276)),2),0)</f>
        <v>0</v>
      </c>
      <c r="AL276" s="133">
        <f>IF($K276=AL$3,ROUND(IF(OR($C276="W",$C276="1/2W",$C276="1/2L"),$P276-$O276,IF($C276="X",0,-$O276)),2),0)</f>
        <v>0</v>
      </c>
      <c r="AM276" s="133">
        <f>IF($K276=AM$3,ROUND(IF(OR($C276="W",$C276="1/2W",$C276="1/2L"),$P276-$O276,IF($C276="X",0,-$O276)),2),0)</f>
        <v>0</v>
      </c>
      <c r="AN276" s="133">
        <f>IF($K276=AN$3,ROUND(IF(OR($C276="W",$C276="1/2W",$C276="1/2L"),$P276-$O276,IF($C276="X",0,-$O276)),2),0)</f>
        <v>0</v>
      </c>
      <c r="AO276" s="133">
        <f>IF($K276=AO$3,ROUND(IF(OR($C276="W",$C276="1/2W",$C276="1/2L"),$P276-$O276,IF($C276="X",0,-$O276)),2),0)</f>
        <v>0</v>
      </c>
      <c r="AP276" s="133">
        <f>IF($K276=AP$3,ROUND(IF(OR($C276="W",$C276="1/2W",$C276="1/2L"),$P276-$O276,IF($C276="X",0,-$O276)),2),0)</f>
        <v>0</v>
      </c>
      <c r="AQ276" s="133">
        <f>IF($K276=AQ$3,ROUND(IF(OR($C276="W",$C276="1/2W",$C276="1/2L"),$P276-$O276,IF($C276="X",0,-$O276)),2),0)</f>
        <v>0</v>
      </c>
      <c r="AR276" s="134">
        <f>IF($K276=AR$3,ROUND(IF(OR($C276="W",$C276="1/2W",$C276="1/2L"),$P276-$O276,IF($C276="X",0,-$O276)),2),0)</f>
        <v>0</v>
      </c>
      <c r="AS276" s="132">
        <f>IF(AND($B274=" ",$K276=AS$3),$O276,0)</f>
        <v>0</v>
      </c>
      <c r="AT276" s="133">
        <f>IF(AND($B274=" ",K276=AT$3),$O276,0)</f>
        <v>0</v>
      </c>
      <c r="AU276" s="133">
        <f>IF(AND($B274=" ",$K276=AU$3),$O276,0)</f>
        <v>0</v>
      </c>
      <c r="AV276" s="133">
        <f>IF(AND($B274=" ",$K276=AV$3),$O276,0)</f>
        <v>0</v>
      </c>
      <c r="AW276" s="133">
        <f>IF(AND($B274=" ",$K276=AW$3),$O276,0)</f>
        <v>0</v>
      </c>
      <c r="AX276" s="133">
        <f>IF(AND($B274=" ",$K276=AX$3),$O276,0)</f>
        <v>0</v>
      </c>
      <c r="AY276" s="135">
        <f>IF(AND($B274=" ",$K276=AY$3),$O276,0)</f>
        <v>0</v>
      </c>
      <c r="AZ276" s="136">
        <f>IF(AND($B274=" ",$K276=AZ$3),$O276,0)</f>
        <v>0</v>
      </c>
      <c r="BA276" s="136">
        <f>IF(AND($B274=" ",$K276=BA$3),$O276,0)</f>
        <v>0</v>
      </c>
      <c r="BB276" s="136">
        <f>IF(AND($B274=" ",$K276=BB$3),$O276,0)</f>
        <v>0</v>
      </c>
      <c r="BC276" s="137">
        <f>IF(AND($B274=" ",$K276=BC$3),$O276,0)</f>
        <v>0</v>
      </c>
      <c r="BD276" s="133">
        <f>IF(AND($B274=" ",$K276=BD$3),$O276,0)</f>
        <v>0</v>
      </c>
      <c r="BE276" s="134">
        <f>IF(AND($B274=" ",$K276=BE$3),$O276,0)</f>
        <v>0</v>
      </c>
      <c r="BF276" s="132">
        <f>IF($K276=BF$3,IF($C276="X",0,$O276),0)</f>
        <v>0</v>
      </c>
      <c r="BG276" s="281">
        <f>IF($K276=BG$3,IF($C276="X",0,$O276),0)</f>
        <v>0</v>
      </c>
      <c r="BH276" s="133">
        <f>IF($K276=BH$3,IF($C276="X",0,$O276),0)</f>
        <v>0</v>
      </c>
      <c r="BI276" s="133">
        <f>IF($K276=BI$3,IF($C276="X",0,$O276),0)</f>
        <v>0</v>
      </c>
      <c r="BJ276" s="133">
        <f>IF($K276=BJ$3,IF($C276="X",0,$O276),0)</f>
        <v>0</v>
      </c>
      <c r="BK276" s="133">
        <f>IF($K276=BK$3,IF($C276="X",0,$O276),0)</f>
        <v>0</v>
      </c>
      <c r="BL276" s="133">
        <f>IF($K276=BL$3,IF($C276="X",0,$O276),0)</f>
        <v>0</v>
      </c>
      <c r="BM276" s="135">
        <f>IF($K276=BM$3,IF($C276="X",0,$O276),0)</f>
        <v>0</v>
      </c>
      <c r="BN276" s="136">
        <f>IF($K276=BN$3,IF($C276="X",0,$O276),0)</f>
        <v>0</v>
      </c>
      <c r="BO276" s="136">
        <f>IF($K276=BO$3,IF($C276="X",0,$O276),0)</f>
        <v>0</v>
      </c>
      <c r="BP276" s="136">
        <f>IF($K276=BP$3,IF($C276="X",0,$O276),0)</f>
        <v>0</v>
      </c>
      <c r="BQ276" s="137">
        <f>IF($K276=BQ$3,IF($C276="X",0,$O276),0)</f>
        <v>0</v>
      </c>
      <c r="BR276" s="134">
        <f>IF($K276=BR$3,IF($C276="X",0,$O276),0)</f>
        <v>0</v>
      </c>
      <c r="BS276" s="282"/>
      <c r="BT276" s="283"/>
      <c r="BU276" s="140"/>
      <c r="BV276" s="283"/>
      <c r="BW276" s="140"/>
      <c r="BX276" s="140"/>
      <c r="BY276" s="140"/>
      <c r="BZ276" s="283"/>
      <c r="CA276" s="140"/>
      <c r="CB276" s="140"/>
      <c r="CC276" s="140"/>
      <c r="CD276" s="141"/>
      <c r="CE276" s="142"/>
      <c r="CF276" s="284">
        <f>IF(CF$3=$K276,IF($C276="W",1,IF($C276="1/2W",0.5,0)),0)</f>
        <v>0</v>
      </c>
      <c r="CG276" s="285">
        <f>IF(CF$3=$K276,IF($C276="L",1,IF($C276="1/2L",0.5,0)),0)</f>
        <v>0</v>
      </c>
      <c r="CH276" s="285">
        <f>IF(CH$3=$K276,IF($C276="W",1,IF($C276="1/2W",0.5,0)),0)</f>
        <v>0</v>
      </c>
      <c r="CI276" s="285">
        <f>IF(CH$3=$K276,IF($C276="L",1,IF($C276="1/2L",0.5,0)),0)</f>
        <v>0</v>
      </c>
      <c r="CJ276" s="285">
        <f>IF(CJ$3=$K276,IF($C276="W",1,IF($C276="1/2W",0.5,0)),0)</f>
        <v>0</v>
      </c>
      <c r="CK276" s="285">
        <f>IF(CJ$3=$K276,IF($C276="L",1,IF($C276="1/2L",0.5,0)),0)</f>
        <v>0</v>
      </c>
      <c r="CL276" s="285">
        <f>IF(CL$3=$K276,IF($C276="W",1,IF($C276="1/2W",0.5,0)),0)</f>
        <v>0</v>
      </c>
      <c r="CM276" s="285">
        <f>IF(CL$3=$K276,IF($C276="L",1,IF($C276="1/2L",0.5,0)),0)</f>
        <v>0</v>
      </c>
      <c r="CN276" s="285">
        <f>IF(CN$3=$K276,IF($C276="W",1,IF($C276="1/2W",0.5,0)),0)</f>
        <v>0</v>
      </c>
      <c r="CO276" s="285">
        <f>IF(CN$3=$K276,IF($C276="L",1,IF($C276="1/2L",0.5,0)),0)</f>
        <v>0</v>
      </c>
      <c r="CP276" s="285">
        <f>IF(CP$3=$K276,IF($C276="W",1,IF($C276="1/2W",0.5,0)),0)</f>
        <v>0</v>
      </c>
      <c r="CQ276" s="285">
        <f>IF(CP$3=$K276,IF($C276="L",1,IF($C276="1/2L",0.5,0)),0)</f>
        <v>0</v>
      </c>
      <c r="CR276" s="285">
        <f>IF(CR$3=$K276,IF($C276="W",1,IF($C276="1/2W",0.5,0)),0)</f>
        <v>0</v>
      </c>
      <c r="CS276" s="285">
        <f>IF(CR$3=$K276,IF($C276="L",1,IF($C276="1/2L",0.5,0)),0)</f>
        <v>0</v>
      </c>
      <c r="CT276" s="145">
        <f>IF(CT$3=$K276,IF($C276="W",1,IF($C276="1/2W",0.5,0)),0)</f>
        <v>0</v>
      </c>
      <c r="CU276" s="146">
        <f>IF(CT$3=$K276,IF($C276="L",1,IF($C276="1/2L",0.5,0)),0)</f>
        <v>0</v>
      </c>
      <c r="CV276" s="146">
        <f>IF(CV$3=$K276,IF($C276="W",1,IF($C276="1/2W",0.5,0)),0)</f>
        <v>0</v>
      </c>
      <c r="CW276" s="146">
        <f>IF(CV$3=$K276,IF($C276="L",1,IF($C276="1/2L",0.5,0)),0)</f>
        <v>0</v>
      </c>
      <c r="CX276" s="146">
        <f>IF(CX$3=$K276,IF($C276="W",1,IF($C276="1/2W",0.5,0)),0)</f>
        <v>0</v>
      </c>
      <c r="CY276" s="146">
        <f>IF(CX$3=$K276,IF($C276="L",1,IF($C276="1/2L",0.5,0)),0)</f>
        <v>0</v>
      </c>
      <c r="CZ276" s="146">
        <f>IF(CZ$3=$K276,IF($C276="W",1,IF($C276="1/2W",0.5,0)),0)</f>
        <v>0</v>
      </c>
      <c r="DA276" s="146">
        <f>IF(CZ$3=$K276,IF($C276="L",1,IF($C276="1/2L",0.5,0)),0)</f>
        <v>0</v>
      </c>
      <c r="DB276" s="146">
        <f>IF(DB$3=$K276,IF($C276="W",1,IF($C276="1/2W",0.5,0)),0)</f>
        <v>0</v>
      </c>
      <c r="DC276" s="146">
        <f>IF(DB$3=$K276,IF($C276="L",1,IF($C276="1/2L",0.5,0)),0)</f>
        <v>0</v>
      </c>
      <c r="DD276" s="146">
        <f>IF(DD$3=$K276,IF($C276="W",1,IF($C276="1/2W",0.5,0)),0)</f>
        <v>0</v>
      </c>
      <c r="DE276" s="147">
        <f>IF(DD$3=$K276,IF($C276="L",1,IF($C276="1/2L",0.5,0)),0)</f>
        <v>0</v>
      </c>
      <c r="DF276" s="143">
        <f>IF(AND(L276&lt;DF$3,$C276="W"),1+DF275,DF275)</f>
        <v>10</v>
      </c>
      <c r="DG276" s="133">
        <f>IF(DF276&gt;DF275,L276+DG275,DG275)</f>
        <v>13.078</v>
      </c>
      <c r="DH276" s="146">
        <f>IF(AND(L276&gt;DH$3,$C276="W"),1+DH275,0+DH275)</f>
        <v>6</v>
      </c>
      <c r="DI276" s="133">
        <f>IF(DH276&gt;DH275,L276+DI275,DI275)</f>
        <v>30.83</v>
      </c>
      <c r="DJ276" t="s" s="304">
        <f>IF($D274="","",$D274)</f>
        <v>229</v>
      </c>
      <c r="DK276" s="286"/>
    </row>
    <row r="277" ht="14.55" customHeight="1">
      <c r="A277" s="171">
        <f>$A274+1</f>
        <v>92</v>
      </c>
      <c r="B277" t="s" s="172">
        <f>IF(AND(_xlfn.XLOOKUP(H277,H$97:H122,G$97:G122,0)=G277,_xlfn.XLOOKUP("TempoBet",K277:K279,L277:L279,0)&gt;0),"X",IF(OR(C277="W",C278="W",C279="W",C277="1/2W",C278="1/2W",C279="1/2W",C277="1/2L",C278="1/2L",C279="1/2L"),"OK",IF(OR(C277="L",C278="L",C279="L"),"LOSS",IF(OR(C277="X",C278="X",C279="X"),"Anulado"," "))))</f>
        <v>50</v>
      </c>
      <c r="C277" t="s" s="173">
        <v>51</v>
      </c>
      <c r="D277" t="s" s="305">
        <f>IF(G277="","",$D274)</f>
        <v>229</v>
      </c>
      <c r="E277" t="s" s="175">
        <f>IF(G277=""," ","– "&amp;COUNTIF(D$4:D279,$D277))</f>
        <v>145</v>
      </c>
      <c r="F277" t="s" s="176"/>
      <c r="G277" s="177">
        <v>44945.583333333336</v>
      </c>
      <c r="H277" t="s" s="178">
        <v>255</v>
      </c>
      <c r="I277" t="s" s="179">
        <v>65</v>
      </c>
      <c r="J277" s="291">
        <v>9</v>
      </c>
      <c r="K277" t="s" s="181">
        <v>44</v>
      </c>
      <c r="L277" s="182">
        <v>2.15</v>
      </c>
      <c r="M277" s="183"/>
      <c r="N277" s="184">
        <v>0</v>
      </c>
      <c r="O277" s="185">
        <f>IF(OR(AE277="",AE278=""),"",ROUND(IF(L279&gt;0,IF(M277&gt;0,M277,IF(M278&gt;0,ROUND((M278*AE277)/AE278,IF(N277=0,2,IF(N277=0.1,1,0))),ROUND((M279*AE277)/AE279,IF(N277=0,2,IF(N277=0.1,1,0))))),IF(M277&gt;0,M277,ROUND((M278*AE277)/AE278,IF(N277=0,2,IF(N277=0.1,1,0))))),2))</f>
        <v>11.93</v>
      </c>
      <c r="P277" s="186">
        <f>IF(OR(L277="",O277=""),"",IF($C277="1/2W",O277/2+O277/2*L277,IF($C277="1/2L",O277/2,IF(I277="Lay",(O277*(L277/(L277-1))-O277)*(1-_xlfn.XLOOKUP(K277,'Janeiro 2023 - Valor Real'!A3:A15,'Janeiro 2023 - Valor Real'!C3:C15,0))+O277,(O277*L277-O277)*(1-_xlfn.XLOOKUP(K277,'Janeiro 2023 - Valor Real'!A3:A15,'Janeiro 2023 - Valor Real'!C3:C15,0))+O277))))</f>
        <v>25.6495</v>
      </c>
      <c r="Q277" s="187">
        <f>IF(K277="","",IF(_xlfn.XLOOKUP(K277,K$97:K122,DJ$97:DJ122,0,,-1)=DJ277,_xlfn.XLOOKUP(K277,K$97:K122,Q$97:Q122,1,,-1)+1,1))</f>
        <v>1</v>
      </c>
      <c r="R277" s="188">
        <f>IF(K277="","",_xlfn.XLOOKUP(K277,K$97:K122,R$97:R122,0,,-1)+IF($C277=" ",1,0))</f>
        <v>0</v>
      </c>
      <c r="S277" s="189">
        <f>IF($B277="Anulado",0,ROUND(IF(OR($B277="LOSS",$B277="OK"),IF(OR($C277="W",$C277="1/2W",$C277="1/2L"),P277-O277,IF($C277="L",-O277,0))+IF(OR($C278="W",$C278="1/2W",$C278="1/2L"),P278-O278,IF($C278="L",-O278,0))+IF(OR($C279="W",$C279="1/2W",$C279="1/2L"),P279-O279,IF($C279="L",-O279,0)),IF(AND(OR($C277="W",$C277="1/2W",$C277="1/2L"),C278="W"),P277+P278-SUM(O277:O279)+_xlfn.XLOOKUP("X",C277:C279,O277:O279,0),IF(AND(C277=TRUE,C279="W"),P277+P279-SUM(O277:O279),IF(AND(C278="W",C279="W"),P278+P279-SUM(O277:O279)+_xlfn.XLOOKUP("X",C277:C279,O277:O279,0),IF(L279&gt;0,IF(OR($C277="W",$C277="1/2W",$C277="1/2L"),P277-SUM(O277:O279)+_xlfn.XLOOKUP("X",C277:C279,O277:O279,0),IF(OR($C277="W",$C277="1/2W",$C277="1/2L"),P278-SUM(O277:O279)+_xlfn.XLOOKUP("X",C277:C279,O277:O279,0),IF(OR($C277="W",$C277="1/2W",$C277="1/2L"),P279-SUM(O277:O279)+_xlfn.XLOOKUP("X",C277:C279,O277:O279,0),IF(SUM(P277:P279)/3-SUM(O277:O279)+_xlfn.XLOOKUP("X",C277:C279,O277:O279,0)&gt;0,SUM(P277:P279)/3-SUM(O277:O279)+_xlfn.XLOOKUP("X",C277:C279,O277:O279,0),LARGE(P277:P279,1)-SUM(O277:O279))))),IF(OR($C277="W",$C277="1/2W",$C277="1/2L"),P277-SUM(O277:O278)+_xlfn.XLOOKUP("X",C277:C279,O277:O279,0),IF(OR($C277="W",$C277="1/2W",$C277="1/2L"),P278-SUM(O277:O278)+_xlfn.XLOOKUP("X",C277:C279,O277:O279,0),SUM(P277:P278)/2-SUM(O277:O278)+_xlfn.XLOOKUP("X",C277:C279,O277:O279,0)))))))),2))</f>
        <v>1.57</v>
      </c>
      <c r="T277" s="190">
        <f>IF(S277=0,0,S277/SUM(O277:O279))</f>
        <v>0.06517227065172269</v>
      </c>
      <c r="U277" s="191">
        <f>IF($D277=$D274,IF(OR($B277="LOSS",$B277="OK",$B277="Anulada"),S277,0)+U274,IF(OR($B277="LOSS",$B277="OK",$B277="Anulada"),S277,0))</f>
        <v>20.27</v>
      </c>
      <c r="V277" s="191">
        <f>IF($D277="",0,IF($D277=$D274,IF($B277=" ",IF(I279="",IF(OR(AND(I277="DNB1",I278="DNB2"),AND(OR(I277="DNB1",I277="DNB2"),J278=0),AND(OR(I278="DNB1",I278="DNB2"),J277=0),AND(I277="DNB2",I278="DNB1"),AND(IF(J277=0,(J277+1)/ROUND(J277+1,0),J277/ROUND(J277,0))=1,IF(J278=0,(J278+1)/ROUND(IF(J278="",0,J278)+1,0),IF(J278="",0,J278)/ROUND(IF(J278="",1,J278),0))=1,OR(J277&lt;&gt;""),J278&lt;&gt;"")),0,IF(S277&lt;0,IF(I279="",SMALL(P277:P278,1)-SUM(O277:O278),0),SMALL(P277:P278,1)-SUM(O277:O278))),IF(S277&lt;0,IF(I279="",SMALL(P277:P279,1)-SUM(O277:O279),0),LARGE(P277:P279,1)-SUM(O277:O279))),S277)+V274,IF(I279="",IF(OR(AND(I277="DNB1",I278="DNB2"),AND(OR(I277="DNB1",I277="DNB2"),J278=0),AND(OR(I278="DNB1",I278="DNB2"),J277=0),AND(I277="DNB2",I278="DNB1"),AND(IF(J277=0,(J277+1)/ROUND(J277+1,0),J277/ROUND(J277,0))=1,IF(J278=0,(IF(J278="",0,J278)+1)/ROUND(IF(J278="",0,J278)+1,0),IF(J278="",0,J278)/ROUND(IF(J278="",0,J278)+1,0))=1,OR(J277&lt;&gt;""),J278&lt;&gt;"")),0,IF(S277&lt;0,IF(I279="",SMALL(P277:P278,1)-SUM(O277:O278),0),SMALL(P277:P279,1)-SUM(O277:O279))),IF(S277&lt;0,IF(I279="",SMALL(P277:P279,1)-SUM(O277:O279),0),LARGE(P277:P279,1)-SUM(O277:O279)))))</f>
        <v>20.266</v>
      </c>
      <c r="W277" s="191">
        <f>IF($D277=$D274,IF(S277&lt;0,IF(I279="",S277,0),S277)+W274,S277)</f>
        <v>20.27</v>
      </c>
      <c r="X277" t="s" s="192">
        <f>IF(OR(SUM(R277:R279)=0,V277=W277),ROUND(IF(W277=0,0,W277/Y277)*100,2)&amp;"%",ROUND(IF(V277=0,0,V277/Y277)*100,2)&amp;"% a "&amp;ROUND(IF(W277=0,0,W277/Y277)*100,2)&amp;"%")</f>
        <v>256</v>
      </c>
      <c r="Y277" s="193">
        <f>IF($D277=$D274,Y274+SUM(O277:O279),SUM(O277:O279))</f>
        <v>520.9299999999999</v>
      </c>
      <c r="Z277" s="191">
        <f>IF($B277=" ",SUM(O277:O279),0)+Z274</f>
        <v>0</v>
      </c>
      <c r="AA277" s="191">
        <f>IF(G277="","",IF($B277="Anulado",LARGE(P277:P279,1)-SUM(O277:O279)+AA274,AA274))</f>
        <v>16.5099</v>
      </c>
      <c r="AB277" s="191">
        <f>IF($D277="","",AB274+S277)</f>
        <v>222.44</v>
      </c>
      <c r="AC277" s="194">
        <f>IF($D277="","",IF($B277=" ",IF(DAY(G277)=DAY(TODAY()),1+AC274,0+AC274),0+AC274))</f>
        <v>0</v>
      </c>
      <c r="AD277" s="195">
        <f>(((L278/(L278-1)-1)*(1-_xlfn.XLOOKUP(K278,'Janeiro 2023 - Valor Real'!A3:A15,'Janeiro 2023 - Valor Real'!C3:C15,0))+1))/(((L277-1)*(1-_xlfn.XLOOKUP(K277,'Janeiro 2023 - Valor Real'!A3:A15,'Janeiro 2023 - Valor Real'!C3:C15,0))+1)+((L278/(L278-1)-1)*(1-_xlfn.XLOOKUP(K278,'Janeiro 2023 - Valor Real'!A3:A15,'Janeiro 2023 - Valor Real'!C3:C15,0))+1))</f>
        <v>0.469253864116535</v>
      </c>
      <c r="AE277" s="196">
        <f>IF(L277="","",IF(L279&gt;0,(SUM(((L277-1)*(1-_xlfn.XLOOKUP(K277,'Janeiro 2023 - Valor Real'!A3:A15,'Janeiro 2023 - Valor Real'!C3:C15,0))+1),((L278-1)*(1-_xlfn.XLOOKUP(K278,'Janeiro 2023 - Valor Real'!A3:A15,'Janeiro 2023 - Valor Real'!C3:C15,0))+1),((L279-1)*(1-_xlfn.XLOOKUP(K279,'Janeiro 2023 - Valor Real'!A3:A15,'Janeiro 2023 - Valor Real'!C3:C15,0))+1))/((L277-1)*(1-_xlfn.XLOOKUP(K277,'Janeiro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Real'!C3:C15,0))+1))/((L277-1)*(1-_xlfn.XLOOKUP(K277,'Janeiro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Real'!C3:C15,0))+1))/((L278-1)*(1-_xlfn.XLOOKUP(K278,'Janeiro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Real'!C3:C15,0))+1))/((L279-1)*(1-_xlfn.XLOOKUP(K279,'Janeiro 2023 - Valor Real'!A3:A15,'Janeiro 2023 - Valor Real'!C3:C15,0))+1)),IF(I277="Lay",IF(I278="Lay",((L278/(L278-1)-1)*(1-_xlfn.XLOOKUP(K278,'Janeiro 2023 - Valor Real'!A3:A15,'Janeiro 2023 - Valor Real'!C3:C15,0))+1)/(((L278/(L278-1)-1)*(1-_xlfn.XLOOKUP(K278,'Janeiro 2023 - Valor Real'!A3:A15,'Janeiro 2023 - Valor Real'!C3:C15,0))+1)+((L277/(L277-1)-1)*(1-_xlfn.XLOOKUP(K277,'Janeiro 2023 - Valor Real'!A3:A15,'Janeiro 2023 - Valor Real'!C3:C15,0))+1)),((L278-1)*(1-_xlfn.XLOOKUP(K278,'Janeiro 2023 - Valor Real'!A3:A15,'Janeiro 2023 - Valor Real'!C3:C15,0))+1)/(((L278-1)*(1-_xlfn.XLOOKUP(K278,'Janeiro 2023 - Valor Real'!A3:A15,'Janeiro 2023 - Valor Real'!C3:C15,0))+1)+((L277/(L277-1)-1)*(1-_xlfn.XLOOKUP(K277,'Janeiro 2023 - Valor Real'!A3:A15,'Janeiro 2023 - Valor Real'!C3:C15,0))+1))),IF(I278="Lay",(((L278/(L278-1)-1)*(1-_xlfn.XLOOKUP(K278,'Janeiro 2023 - Valor Real'!A3:A15,'Janeiro 2023 - Valor Real'!C3:C15,0))+1))/(((L277-1)*(1-_xlfn.XLOOKUP(K277,'Janeiro 2023 - Valor Real'!A3:A15,'Janeiro 2023 - Valor Real'!C3:C15,0))+1)+((L278/(L278-1)-1)*(1-_xlfn.XLOOKUP(K278,'Janeiro 2023 - Valor Real'!A3:A15,'Janeiro 2023 - Valor Real'!C3:C15,0))+1)),((L278-1)*(1-_xlfn.XLOOKUP(K278,'Janeiro 2023 - Valor Real'!A3:A15,'Janeiro 2023 - Valor Real'!C3:C15,0))+1)/(((L278-1)*(1-_xlfn.XLOOKUP(K278,'Janeiro 2023 - Valor Real'!A3:A15,'Janeiro 2023 - Valor Real'!C3:C15,0))+1)+((L277-1)*(1-_xlfn.XLOOKUP(K277,'Janeiro 2023 - Valor Real'!A3:A15,'Janeiro 2023 - Valor Real'!C3:C15,0))+1))))))</f>
        <v>0.495305164319249</v>
      </c>
      <c r="AF277" s="197">
        <f>IF($K277=AF$3,ROUND(IF(OR($C277="W",$C277="1/2W",$C277="1/2L"),$P277-$O277,IF($C277="X",0,-$O277)),2),0)</f>
        <v>0</v>
      </c>
      <c r="AG277" s="198">
        <f>IF($K277=AG$3,ROUND(IF(OR($C277="W",$C277="1/2W",$C277="1/2L"),$P277-$O277,IF($C277="X",0,-$O277)),2),0)</f>
        <v>0</v>
      </c>
      <c r="AH277" s="198">
        <f>IF($K277=AH$3,ROUND(IF(OR($C277="W",$C277="1/2W",$C277="1/2L"),$P277-$O277,IF($C277="X",0,-$O277)),2),0)</f>
        <v>0</v>
      </c>
      <c r="AI277" s="198">
        <f>IF($K277=AI$3,ROUND(IF(OR($C277="W",$C277="1/2W",$C277="1/2L"),$P277-$O277,IF($C277="X",0,-$O277)),2),0)</f>
        <v>0</v>
      </c>
      <c r="AJ277" s="198">
        <f>IF($K277=AJ$3,ROUND(IF(OR($C277="W",$C277="1/2W",$C277="1/2L"),$P277-$O277,IF($C277="X",0,-$O277)),2),0)</f>
        <v>0</v>
      </c>
      <c r="AK277" s="198">
        <f>IF($K277=AK$3,ROUND(IF(OR($C277="W",$C277="1/2W",$C277="1/2L"),$P277-$O277,IF($C277="X",0,-$O277)),2),0)</f>
        <v>0</v>
      </c>
      <c r="AL277" s="198">
        <f>IF($K277=AL$3,ROUND(IF(OR($C277="W",$C277="1/2W",$C277="1/2L"),$P277-$O277,IF($C277="X",0,-$O277)),2),0)</f>
        <v>0</v>
      </c>
      <c r="AM277" s="198">
        <f>IF($K277=AM$3,ROUND(IF(OR($C277="W",$C277="1/2W",$C277="1/2L"),$P277-$O277,IF($C277="X",0,-$O277)),2),0)</f>
        <v>-11.93</v>
      </c>
      <c r="AN277" s="198">
        <f>IF($K277=AN$3,ROUND(IF(OR($C277="W",$C277="1/2W",$C277="1/2L"),$P277-$O277,IF($C277="X",0,-$O277)),2),0)</f>
        <v>0</v>
      </c>
      <c r="AO277" s="198">
        <f>IF($K277=AO$3,ROUND(IF(OR($C277="W",$C277="1/2W",$C277="1/2L"),$P277-$O277,IF($C277="X",0,-$O277)),2),0)</f>
        <v>0</v>
      </c>
      <c r="AP277" s="198">
        <f>IF($K277=AP$3,ROUND(IF(OR($C277="W",$C277="1/2W",$C277="1/2L"),$P277-$O277,IF($C277="X",0,-$O277)),2),0)</f>
        <v>0</v>
      </c>
      <c r="AQ277" s="198">
        <f>IF($K277=AQ$3,ROUND(IF(OR($C277="W",$C277="1/2W",$C277="1/2L"),$P277-$O277,IF($C277="X",0,-$O277)),2),0)</f>
        <v>0</v>
      </c>
      <c r="AR277" s="199">
        <f>IF($K277=AR$3,ROUND(IF(OR($C277="W",$C277="1/2W",$C277="1/2L"),$P277-$O277,IF($C277="X",0,-$O277)),2),0)</f>
        <v>0</v>
      </c>
      <c r="AS277" s="197">
        <f>IF(AND($B277=" ",$K277=AS$3),$O277,0)</f>
        <v>0</v>
      </c>
      <c r="AT277" s="198">
        <f>IF(AND($B277=" ",$K277=AT$3),$O277,0)</f>
        <v>0</v>
      </c>
      <c r="AU277" s="198">
        <f>IF(AND($B277=" ",$K277=AU$3),$O277,0)</f>
        <v>0</v>
      </c>
      <c r="AV277" s="198">
        <f>IF(AND($B277=" ",$K277=AV$3),$O277,0)</f>
        <v>0</v>
      </c>
      <c r="AW277" s="198">
        <f>IF(AND($B277=" ",$K277=AW$3),$O277,0)</f>
        <v>0</v>
      </c>
      <c r="AX277" s="198">
        <f>IF(AND($B277=" ",$K277=AX$3),$O277,0)</f>
        <v>0</v>
      </c>
      <c r="AY277" s="200">
        <f>IF(AND($B277=" ",$K277=AY$3),$O277,0)</f>
        <v>0</v>
      </c>
      <c r="AZ277" s="201">
        <f>IF(AND($B277=" ",$K277=AZ$3),$O277,0)</f>
        <v>0</v>
      </c>
      <c r="BA277" s="201">
        <f>IF(AND($B277=" ",$K277=BA$3),$O277,0)</f>
        <v>0</v>
      </c>
      <c r="BB277" s="201">
        <f>IF(AND($B277=" ",$K277=BB$3),$O277,0)</f>
        <v>0</v>
      </c>
      <c r="BC277" s="202">
        <f>IF(AND($B277=" ",$K277=BC$3),$O277,0)</f>
        <v>0</v>
      </c>
      <c r="BD277" s="198">
        <f>IF(AND($B277=" ",$K277=BD$3),$O277,0)</f>
        <v>0</v>
      </c>
      <c r="BE277" s="199">
        <f>IF(AND($B277=" ",$K277=BE$3),$O277,0)</f>
        <v>0</v>
      </c>
      <c r="BF277" s="203">
        <f>IF($K277=BF$3,IF($C277="X",0,$O277),0)</f>
        <v>0</v>
      </c>
      <c r="BG277" s="198">
        <f>IF($K277=BG$3,IF($C277="X",0,$O277),0)</f>
        <v>0</v>
      </c>
      <c r="BH277" s="198">
        <f>IF($K277=BH$3,IF($C277="X",0,$O277),0)</f>
        <v>0</v>
      </c>
      <c r="BI277" s="198">
        <f>IF($K277=BI$3,IF($C277="X",0,$O277),0)</f>
        <v>0</v>
      </c>
      <c r="BJ277" s="198">
        <f>IF($K277=BJ$3,IF($C277="X",0,$O277),0)</f>
        <v>0</v>
      </c>
      <c r="BK277" s="198">
        <f>IF($K277=BK$3,IF($C277="X",0,$O277),0)</f>
        <v>0</v>
      </c>
      <c r="BL277" s="198">
        <f>IF($K277=BL$3,IF($C277="X",0,$O277),0)</f>
        <v>0</v>
      </c>
      <c r="BM277" s="200">
        <f>IF($K277=BM$3,IF($C277="X",0,$O277),0)</f>
        <v>11.93</v>
      </c>
      <c r="BN277" s="201">
        <f>IF($K277=BN$3,IF($C277="X",0,$O277),0)</f>
        <v>0</v>
      </c>
      <c r="BO277" s="201">
        <f>IF($K277=BO$3,IF($C277="X",0,$O277),0)</f>
        <v>0</v>
      </c>
      <c r="BP277" s="201">
        <f>IF($K277=BP$3,IF($C277="X",0,$O277),0)</f>
        <v>0</v>
      </c>
      <c r="BQ277" s="202">
        <f>IF($K277=BQ$3,IF($C277="X",0,$O277),0)</f>
        <v>0</v>
      </c>
      <c r="BR277" s="199">
        <f>IF($K277=BR$3,IF($C277="X",0,$O277),0)</f>
        <v>0</v>
      </c>
      <c r="BS277" s="204">
        <f>IF($B277="LOSS",IF(AND($K277=BS$3,$C277="L"),-$O277,0)+IF(AND($K278=BS$3,$C278="L"),-$O278,0)+IF(AND($K279=BS$3,$C279="L"),-$O279,0),IF(OR(AND($K277=BS$3,OR($C277="W",$C277="1/2W")),AND($K278=BS$3,OR($C278="W",$C278="1/2W")),AND($K279=BS$3,OR($C279="W",$C279="1/2W"))),$S277,0))</f>
        <v>0</v>
      </c>
      <c r="BT277" s="201">
        <f>IF($B277="LOSS",IF(AND($K277=BT$3,$C277="L"),-$O277,0)+IF(AND($K278=BT$3,$C278="L"),-$O278,0)+IF(AND($K278=BT$3,$C279="L"),-$O279,0),IF(OR(AND($K278=BT$3,OR($C277="W",$C277="1/2W")),AND($K278=BT$3,OR($C278="W",$C278="1/2W")),AND($K278=BT$3,OR($C279="W",$C279="1/2W"))),$S277,0))</f>
        <v>0</v>
      </c>
      <c r="BU277" s="201">
        <f>IF($B277="LOSS",IF(AND($K277=BU$3,$C277="L"),-$O277,0)+IF(AND($K278=BU$3,$C278="L"),-$O278,0)+IF(AND($K278=BU$3,$C279="L"),-$O279,0),IF(OR(AND($K278=BU$3,OR($C277="W",$C277="1/2W")),AND($K278=BU$3,OR($C278="W",$C278="1/2W")),AND($K278=BU$3,OR($C279="W",$C279="1/2W"))),$S277,0))</f>
        <v>0</v>
      </c>
      <c r="BV277" s="201">
        <f>IF($B277="LOSS",IF(AND($K277=BV$3,$C277="L"),-$O277,0)+IF(AND($K278=BV$3,$C278="L"),-$O278,0)+IF(AND($K279=BV$3,$C279="L"),-$O279,0),IF(OR(AND($K277=BV$3,OR($C277="W",$C277="1/2W")),AND($K278=BV$3,OR($C278="W",$C278="1/2W")),AND($K279=BV$3,OR($C279="W",$C279="1/2W"))),$S277,0))</f>
        <v>0</v>
      </c>
      <c r="BW277" s="201">
        <f>IF($B277="LOSS",IF(AND($K277=BW$3,$C277="L"),-$O277,0)+IF(AND($K278=BW$3,$C278="L"),-$O278,0)+IF(AND($K279=BW$3,$C279="L"),-$O279,0),IF(OR(AND($K277=BW$3,OR($C277="W",$C277="1/2W")),AND($K278=BW$3,OR($C278="W",$C278="1/2W")),AND($K279=BW$3,OR($C279="W",$C279="1/2W"))),$S277,0))</f>
        <v>1.57</v>
      </c>
      <c r="BX277" s="201">
        <f>IF($B277="LOSS",IF(AND($K277=BX$3,$C277="L"),-$O277,0)+IF(AND($K278=BX$3,$C278="L"),-$O278,0)+IF(AND($K279=BX$3,$C279="L"),-$O279,0),IF(OR(AND($K277=BX$3,OR($C277="W",$C277="1/2W")),AND($K278=BX$3,OR($C278="W",$C278="1/2W")),AND($K279=BX$3,OR($C279="W",$C279="1/2W"))),$S277,0))</f>
        <v>0</v>
      </c>
      <c r="BY277" s="201">
        <f>IF($B277="LOSS",IF(AND($K277=BY$3,$C277="L"),-$O277,0)+IF(AND($K278=BY$3,$C278="L"),-$O278,0)+IF(AND($K279=BY$3,$C279="L"),-$O279,0),IF(OR(AND($K277=BY$3,OR($C277="W",$C277="1/2W")),AND($K278=BY$3,OR($C278="W",$C278="1/2W")),AND($K279=BY$3,OR($C279="W",$C279="1/2W"))),$S277,0))</f>
        <v>0</v>
      </c>
      <c r="BZ277" s="205">
        <f>IF($B277="LOSS",IF(AND($K277=BZ$3,$C277="L"),-$O277,0)+IF(AND($K278=BZ$3,$C278="L"),-$O278,0)+IF(AND($K279=BZ$3,$C279="L"),-$O279,0),IF(OR(AND($K277=BZ$3,OR($C277="W",$C277="1/2W")),AND($K278=BZ$3,OR($C278="W",$C278="1/2W")),AND($K279=BZ$3,OR($C279="W",$C279="1/2W"))),$S277,0))</f>
        <v>0</v>
      </c>
      <c r="CA277" s="205">
        <f>IF($B277="LOSS",IF(AND($K277=CA$3,$C277="L"),-$O277,0)+IF(AND($K278=CA$3,$C278="L"),-$O278,0)+IF(AND($K279=CA$3,$C279="L"),-$O279,0),IF(OR(AND($K277=CA$3,OR($C277="W",$C277="1/2W")),AND($K278=CA$3,OR($C278="W",$C278="1/2W")),AND($K279=CA$3,OR($C279="W",$C279="1/2W"))),$S277,0))</f>
        <v>0</v>
      </c>
      <c r="CB277" s="205">
        <f>IF($B277="LOSS",IF(AND($K277=CB$3,$C277="L"),-$O277,0)+IF(AND($K278=CB$3,$C278="L"),-$O278,0)+IF(AND($K279=CB$3,$C279="L"),-$O279,0),IF(OR(AND($K277=CB$3,OR($C277="W",$C277="1/2W")),AND($K278=CB$3,OR($C278="W",$C278="1/2W")),AND($K279=CB$3,OR($C279="W",$C279="1/2W"))),$S277,0))</f>
        <v>0</v>
      </c>
      <c r="CC277" s="205">
        <f>IF($B277="LOSS",IF(AND($K277=CC$3,$C277="L"),-$O277,0)+IF(AND($K278=CC$3,$C278="L"),-$O278,0)+IF(AND($K279=CC$3,$C279="L"),-$O279,0),IF(OR(AND($K277=CC$3,OR($C277="W",$C277="1/2W")),AND($K278=CC$3,OR($C278="W",$C278="1/2W")),AND($K279=CC$3,OR($C279="W",$C279="1/2W"))),$S277,0))</f>
        <v>0</v>
      </c>
      <c r="CD277" s="202">
        <f>IF($B277="LOSS",IF(AND($K277=CD$3,$C277="L"),-$O277,0)+IF(AND($K278=CD$3,$C278="L"),-$O278,0)+IF(AND($K279=CD$3,$C279="L"),-$O279,0),IF(OR(AND($K277=CD$3,OR($C277="W",$C277="1/2W")),AND($K278=CD$3,OR($C278="W",$C278="1/2W")),AND($K279=CD$3,OR($C279="W",$C279="1/2W"))),$S277,0))</f>
        <v>0</v>
      </c>
      <c r="CE277" s="199">
        <f>IF($B277="LOSS",IF(AND($K277=CE$3,$C277="L"),-$O277,0)+IF(AND($K278=CE$3,$C278="L"),-$O278,0)+IF(AND($K279=CE$3,$C279="L"),-$O279,0),IF(OR(AND($K277=CE$3,OR($C277="W",$C277="1/2W")),AND($K278=CE$3,OR($C278="W",$C278="1/2W")),AND($K279=CE$3,OR($C279="W",$C279="1/2W"))),$S277,0))</f>
        <v>0</v>
      </c>
      <c r="CF277" s="206">
        <f>IF(CF$3=$K277,IF($C277="W",1,IF($C277="1/2W",0.5,0)),0)</f>
        <v>0</v>
      </c>
      <c r="CG277" s="207">
        <f>IF(CF$3=$K277,IF($C277="L",1,IF($C277="1/2L",0.5,0)),0)</f>
        <v>0</v>
      </c>
      <c r="CH277" s="207">
        <f>IF(CH$3=$K277,IF($C277="W",1,IF($C277="1/2W",0.5,0)),0)</f>
        <v>0</v>
      </c>
      <c r="CI277" s="207">
        <f>IF(CH$3=$K277,IF($C277="L",1,IF($C277="1/2L",0.5,0)),0)</f>
        <v>0</v>
      </c>
      <c r="CJ277" s="207">
        <f>IF(CJ$3=$K277,IF($C277="W",1,IF($C277="1/2W",0.5,0)),0)</f>
        <v>0</v>
      </c>
      <c r="CK277" s="207">
        <f>IF(CJ$3=$K277,IF($C277="L",1,IF($C277="1/2L",0.5,0)),0)</f>
        <v>0</v>
      </c>
      <c r="CL277" s="207">
        <f>IF(CL$3=$K277,IF($C277="W",1,IF($C277="1/2W",0.5,0)),0)</f>
        <v>0</v>
      </c>
      <c r="CM277" s="207">
        <f>IF(CL$3=$K277,IF($C277="L",1,IF($C277="1/2L",0.5,0)),0)</f>
        <v>0</v>
      </c>
      <c r="CN277" s="207">
        <f>IF(CN$3=$K277,IF($C277="W",1,IF($C277="1/2W",0.5,0)),0)</f>
        <v>0</v>
      </c>
      <c r="CO277" s="207">
        <f>IF(CN$3=$K277,IF($C277="L",1,IF($C277="1/2L",0.5,0)),0)</f>
        <v>0</v>
      </c>
      <c r="CP277" s="207">
        <f>IF(CP$3=$K277,IF($C277="W",1,IF($C277="1/2W",0.5,0)),0)</f>
        <v>0</v>
      </c>
      <c r="CQ277" s="207">
        <f>IF(CP$3=$K277,IF($C277="L",1,IF($C277="1/2L",0.5,0)),0)</f>
        <v>0</v>
      </c>
      <c r="CR277" s="207">
        <f>IF(CR$3=$K277,IF($C277="W",1,IF($C277="1/2W",0.5,0)),0)</f>
        <v>0</v>
      </c>
      <c r="CS277" s="207">
        <f>IF(CR$3=$K277,IF($C277="L",1,IF($C277="1/2L",0.5,0)),0)</f>
        <v>0</v>
      </c>
      <c r="CT277" s="208">
        <f>IF(CT$3=$K277,IF($C277="W",1,IF($C277="1/2W",0.5,0)),0)</f>
        <v>0</v>
      </c>
      <c r="CU277" s="209">
        <f>IF(CT$3=$K277,IF($C277="L",1,IF($C277="1/2L",0.5,0)),0)</f>
        <v>1</v>
      </c>
      <c r="CV277" s="209">
        <f>IF(CV$3=$K277,IF($C277="W",1,IF($C277="1/2W",0.5,0)),0)</f>
        <v>0</v>
      </c>
      <c r="CW277" s="209">
        <f>IF(CV$3=$K277,IF($C277="L",1,IF($C277="1/2L",0.5,0)),0)</f>
        <v>0</v>
      </c>
      <c r="CX277" s="209">
        <f>IF(CX$3=$K277,IF($C277="W",1,IF($C277="1/2W",0.5,0)),0)</f>
        <v>0</v>
      </c>
      <c r="CY277" s="209">
        <f>IF(CX$3=$K277,IF($C277="L",1,IF($C277="1/2L",0.5,0)),0)</f>
        <v>0</v>
      </c>
      <c r="CZ277" s="209">
        <f>IF(CZ$3=$K277,IF($C277="W",1,IF($C277="1/2W",0.5,0)),0)</f>
        <v>0</v>
      </c>
      <c r="DA277" s="209">
        <f>IF(CZ$3=$K277,IF($C277="L",1,IF($C277="1/2L",0.5,0)),0)</f>
        <v>0</v>
      </c>
      <c r="DB277" s="209">
        <f>IF(DB$3=$K277,IF($C277="W",1,IF($C277="1/2W",0.5,0)),0)</f>
        <v>0</v>
      </c>
      <c r="DC277" s="209">
        <f>IF(DB$3=$K277,IF($C277="L",1,IF($C277="1/2L",0.5,0)),0)</f>
        <v>0</v>
      </c>
      <c r="DD277" s="209">
        <f>IF(DD$3=$K277,IF($C277="W",1,IF($C277="1/2W",0.5,0)),0)</f>
        <v>0</v>
      </c>
      <c r="DE277" s="210">
        <f>IF(DD$3=$K277,IF($C277="L",1,IF($C277="1/2L",0.5,0)),0)</f>
        <v>0</v>
      </c>
      <c r="DF277" s="211">
        <f>IF(AND(L277&lt;DF$3,$C277="W"),1+DF276,DF276)</f>
        <v>10</v>
      </c>
      <c r="DG277" s="198">
        <f>IF(DF277&gt;DF276,L277+DG276,DG276)</f>
        <v>13.078</v>
      </c>
      <c r="DH277" s="209">
        <f>IF(AND(L277&gt;DH$3,$C277="W"),1+DH276,0+DH276)</f>
        <v>6</v>
      </c>
      <c r="DI277" s="198">
        <f>IF(DH277&gt;DH276,L277+DI276,DI276)</f>
        <v>30.83</v>
      </c>
      <c r="DJ277" t="s" s="306">
        <f>IF($D277="","",$D277)</f>
        <v>229</v>
      </c>
      <c r="DK277" s="209">
        <f>IF(AND($B277=" ",$D277&lt;&gt;""),1,0)</f>
        <v>0</v>
      </c>
    </row>
    <row r="278" ht="14.55" customHeight="1">
      <c r="A278" s="107"/>
      <c r="B278" s="108"/>
      <c r="C278" t="s" s="213">
        <v>56</v>
      </c>
      <c r="D278" s="110"/>
      <c r="E278" s="111"/>
      <c r="F278" s="113"/>
      <c r="G278" s="214"/>
      <c r="H278" s="114"/>
      <c r="I278" t="s" s="215">
        <v>67</v>
      </c>
      <c r="J278" s="296">
        <f>IF(OR(I277="TO",I277="TU",I277="TO1",I277="TU1",I277="TO2",I277="TU2"),J277,IF(OR(I277="AH1",I277="AH2"),IF(OR(I278="AH1",I278="AH2"),-J277,IF(OR(I278="EH1",I278="EH2"),-J277+0.5,"")),IF(OR(I277="EH1",I277="EH2"),IF(OR(I278="AH1",I278="AH2"),-J277+0.5,IF(OR(I278="EH1",I278="EH2"),-J277+1,"")),IF(AND(OR(I277="DNB1",I277="DNB2"),OR(I278="AH1",I278="AH2")),0,IF(AND(I277="Not ScoreBoth",OR(I278="TO1",I278="TO2")),0.5,"")))))</f>
        <v>9</v>
      </c>
      <c r="K278" t="s" s="217">
        <v>41</v>
      </c>
      <c r="L278" s="218">
        <v>2.11</v>
      </c>
      <c r="M278" s="219">
        <v>12.16</v>
      </c>
      <c r="N278" s="120"/>
      <c r="O278" s="220">
        <f>IF(OR(AE277="",AE278=""),"",ROUND(IF(L279&gt;0,IF(M278&gt;0,M278,IF(M277&gt;0,IF(N277=TRUE,ROUND((M277*AE278)/AE277,0),(M277*AE278)/AE277),IF(M278&gt;0,ROUND(M278,IF(N277=0,2,IF(N277=0.1,1,0))),IF(M279&gt;0,ROUND(O279*AE278/AE279,IF(N277=0,2,IF(N277=0.1,1,0))),0)))),IF(M278&gt;0,M278,ROUND((M277*AE278)/AE277,IF(N277=0,2,IF(N277=0.1,1,0))))),2))</f>
        <v>12.16</v>
      </c>
      <c r="P278" s="221">
        <f>IF(OR(L278="",O278=""),"",IF($C278="1/2W",O278/2+O278/2*L278,IF($C278="1/2L",O278/2,IF(I278="Lay",((O278*(L278/(L278-1)))-O278)*(1-_xlfn.XLOOKUP(K278,'Janeiro 2023 - Valor Real'!A3:A15,'Janeiro 2023 - Valor Real'!C3:C15,0))+O278,(O278*L278-O278)*(1-_xlfn.XLOOKUP(K278,'Janeiro 2023 - Valor Real'!A3:A15,'Janeiro 2023 - Valor Real'!C3:C15,0))+O278))))</f>
        <v>25.6576</v>
      </c>
      <c r="Q278" s="222">
        <f>IF(K278="","",IF(_xlfn.XLOOKUP(K278,K$98:K123,DJ$98:DJ123,0,,-1)=DJ278,_xlfn.XLOOKUP(K278,K$98:K123,Q$98:Q123,1,,-1)+1,1))</f>
        <v>1</v>
      </c>
      <c r="R278" s="223">
        <f>IF(K278="","",_xlfn.XLOOKUP(K278,K$98:K123,R$98:R123,0,,-1)+IF($C278=" ",1,0))</f>
        <v>0</v>
      </c>
      <c r="S278" s="125"/>
      <c r="T278" s="126"/>
      <c r="U278" s="126"/>
      <c r="V278" s="224"/>
      <c r="W278" s="126"/>
      <c r="X278" s="127"/>
      <c r="Y278" s="128"/>
      <c r="Z278" s="129"/>
      <c r="AA278" s="129"/>
      <c r="AB278" s="129"/>
      <c r="AC278" s="129"/>
      <c r="AD278" s="225">
        <f>(((L278/(L278-1)-1)*(1-_xlfn.XLOOKUP(K278,'Janeiro 2023 - Valor Real'!A3:A15,'Janeiro 2023 - Valor Real'!C3:C15,0))+1))</f>
        <v>1.9009009009009</v>
      </c>
      <c r="AE278" s="226">
        <f>IF(L278="","",IF(L279&gt;0,(SUM(((L277-1)*(1-_xlfn.XLOOKUP(K277,'Janeiro 2023 - Valor Real'!A3:A15,'Janeiro 2023 - Valor Real'!C3:C15,0))+1),((L278-1)*(1-_xlfn.XLOOKUP(K278,'Janeiro 2023 - Valor Real'!A3:A15,'Janeiro 2023 - Valor Real'!C3:C15,0))+1),((L279-1)*(1-_xlfn.XLOOKUP(K279,'Janeiro 2023 - Valor Real'!A3:A15,'Janeiro 2023 - Valor Real'!C3:C15,0))+1))/((L278-1)*(1-_xlfn.XLOOKUP(K278,'Janeiro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Real'!C3:C15,0))+1))/((L277-1)*(1-_xlfn.XLOOKUP(K277,'Janeiro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Real'!C3:C15,0))+1))/((L278-1)*(1-_xlfn.XLOOKUP(K278,'Janeiro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Real'!C3:C15,0))+1))/((L279-1)*(1-_xlfn.XLOOKUP(K279,'Janeiro 2023 - Valor Real'!A3:A15,'Janeiro 2023 - Valor Real'!C3:C15,0))+1)),IF(I278="Lay",IF(I277="Lay",((L277/(L277-1)-1)*(1-_xlfn.XLOOKUP(K277,'Janeiro 2023 - Valor Real'!A3:A15,'Janeiro 2023 - Valor Real'!C3:C15,0))+1)/(((L277/(L277-1)-1)*(1-_xlfn.XLOOKUP(K277,'Janeiro 2023 - Valor Real'!A3:A15,'Janeiro 2023 - Valor Real'!C3:C15,0))+1)+((L278/(L278-1)-1)*(1-_xlfn.XLOOKUP(K278,'Janeiro 2023 - Valor Real'!A3:A15,'Janeiro 2023 - Valor Real'!C3:C15,0))+1)),((L277-1)*(1-_xlfn.XLOOKUP(K277,'Janeiro 2023 - Valor Real'!A3:A15,'Janeiro 2023 - Valor Real'!C3:C15,0))+1)/(((L277-1)*(1-_xlfn.XLOOKUP(K277,'Janeiro 2023 - Valor Real'!A3:A15,'Janeiro 2023 - Valor Real'!C3:C15,0))+1)+((L278/(L278-1)-1)*(1-_xlfn.XLOOKUP(K278,'Janeiro 2023 - Valor Real'!A3:A15,'Janeiro 2023 - Valor Real'!C3:C15,0))+1))),IF(I277="Lay",((L277/(L277-1)-1)*(1-_xlfn.XLOOKUP(K277,'Janeiro 2023 - Valor Real'!A3:A15,'Janeiro 2023 - Valor Real'!C3:C15,0))+1)/((((L277/(L277-1)-1)*(1-_xlfn.XLOOKUP(K277,'Janeiro 2023 - Valor Real'!A3:A15,'Janeiro 2023 - Valor Real'!C3:C15,0))+1))+((L278-1)*(1-_xlfn.XLOOKUP(K278,'Janeiro 2023 - Valor Real'!A3:A15,'Janeiro 2023 - Valor Real'!C3:C15,0))+1)),((L277-1)*(1-_xlfn.XLOOKUP(K277,'Janeiro 2023 - Valor Real'!A3:A15,'Janeiro 2023 - Valor Real'!C3:C15,0))+1)/(((L277-1)*(1-_xlfn.XLOOKUP(K277,'Janeiro 2023 - Valor Real'!A3:A15,'Janeiro 2023 - Valor Real'!C3:C15,0))+1)+((L278-1)*(1-_xlfn.XLOOKUP(K278,'Janeiro 2023 - Valor Real'!A3:A15,'Janeiro 2023 - Valor Real'!C3:C15,0))+1))))))</f>
        <v>0.504694835680751</v>
      </c>
      <c r="AF278" s="197">
        <f>IF($K278=AF$3,ROUND(IF(OR($C278="W",$C278="1/2W",$C278="1/2L"),$P278-$O278,IF($C278="X",0,-$O278)),2),0)</f>
        <v>0</v>
      </c>
      <c r="AG278" s="198">
        <f>IF($K278=AG$3,ROUND(IF(OR($C278="W",$C278="1/2W",$C278="1/2L"),$P278-$O278,IF($C278="X",0,-$O278)),2),0)</f>
        <v>0</v>
      </c>
      <c r="AH278" s="198">
        <f>IF($K278=AH$3,ROUND(IF(OR($C278="W",$C278="1/2W",$C278="1/2L"),$P278-$O278,IF($C278="X",0,-$O278)),2),0)</f>
        <v>0</v>
      </c>
      <c r="AI278" s="198">
        <f>IF($K278=AI$3,ROUND(IF(OR($C278="W",$C278="1/2W",$C278="1/2L"),$P278-$O278,IF($C278="X",0,-$O278)),2),0)</f>
        <v>0</v>
      </c>
      <c r="AJ278" s="198">
        <f>IF($K278=AJ$3,ROUND(IF(OR($C278="W",$C278="1/2W",$C278="1/2L"),$P278-$O278,IF($C278="X",0,-$O278)),2),0)</f>
        <v>13.5</v>
      </c>
      <c r="AK278" s="198">
        <f>IF($K278=AK$3,ROUND(IF(OR($C278="W",$C278="1/2W",$C278="1/2L"),$P278-$O278,IF($C278="X",0,-$O278)),2),0)</f>
        <v>0</v>
      </c>
      <c r="AL278" s="198">
        <f>IF($K278=AL$3,ROUND(IF(OR($C278="W",$C278="1/2W",$C278="1/2L"),$P278-$O278,IF($C278="X",0,-$O278)),2),0)</f>
        <v>0</v>
      </c>
      <c r="AM278" s="198">
        <f>IF($K278=AM$3,ROUND(IF(OR($C278="W",$C278="1/2W",$C278="1/2L"),$P278-$O278,IF($C278="X",0,-$O278)),2),0)</f>
        <v>0</v>
      </c>
      <c r="AN278" s="198">
        <f>IF($K278=AN$3,ROUND(IF(OR($C278="W",$C278="1/2W",$C278="1/2L"),$P278-$O278,IF($C278="X",0,-$O278)),2),0)</f>
        <v>0</v>
      </c>
      <c r="AO278" s="198">
        <f>IF($K278=AO$3,ROUND(IF(OR($C278="W",$C278="1/2W",$C278="1/2L"),$P278-$O278,IF($C278="X",0,-$O278)),2),0)</f>
        <v>0</v>
      </c>
      <c r="AP278" s="198">
        <f>IF($K278=AP$3,ROUND(IF(OR($C278="W",$C278="1/2W",$C278="1/2L"),$P278-$O278,IF($C278="X",0,-$O278)),2),0)</f>
        <v>0</v>
      </c>
      <c r="AQ278" s="198">
        <f>IF($K278=AQ$3,ROUND(IF(OR($C278="W",$C278="1/2W",$C278="1/2L"),$P278-$O278,IF($C278="X",0,-$O278)),2),0)</f>
        <v>0</v>
      </c>
      <c r="AR278" s="199">
        <f>IF($K278=AR$3,ROUND(IF(OR($C278="W",$C278="1/2W",$C278="1/2L"),$P278-$O278,IF($C278="X",0,-$O278)),2),0)</f>
        <v>0</v>
      </c>
      <c r="AS278" s="197">
        <f>IF(AND($B277=" ",$K278=AS$3),$O278,0)</f>
        <v>0</v>
      </c>
      <c r="AT278" s="198">
        <f>IF(AND($B277=" ",K278=AT$3),$O278,0)</f>
        <v>0</v>
      </c>
      <c r="AU278" s="198">
        <f>IF(AND($B277=" ",$K278=AU$3),$O278,0)</f>
        <v>0</v>
      </c>
      <c r="AV278" s="198">
        <f>IF(AND($B277=" ",$K278=AV$3),$O278,0)</f>
        <v>0</v>
      </c>
      <c r="AW278" s="198">
        <f>IF(AND($B277=" ",$K278=AW$3),$O278,0)</f>
        <v>0</v>
      </c>
      <c r="AX278" s="198">
        <f>IF(AND($B277=" ",$K278=AX$3),$O278,0)</f>
        <v>0</v>
      </c>
      <c r="AY278" s="200">
        <f>IF(AND($B277=" ",$K278=AY$3),$O278,0)</f>
        <v>0</v>
      </c>
      <c r="AZ278" s="201">
        <f>IF(AND($B277=" ",$K278=AZ$3),$O278,0)</f>
        <v>0</v>
      </c>
      <c r="BA278" s="201">
        <f>IF(AND($B277=" ",$K278=BA$3),$O278,0)</f>
        <v>0</v>
      </c>
      <c r="BB278" s="201">
        <f>IF(AND($B277=" ",$K278=BB$3),$O278,0)</f>
        <v>0</v>
      </c>
      <c r="BC278" s="202">
        <f>IF(AND($B277=" ",$K278=BC$3),$O278,0)</f>
        <v>0</v>
      </c>
      <c r="BD278" s="198">
        <f>IF(AND($B277=" ",$K278=BD$3),$O278,0)</f>
        <v>0</v>
      </c>
      <c r="BE278" s="199">
        <f>IF(AND($B277=" ",$K278=BE$3),$O278,0)</f>
        <v>0</v>
      </c>
      <c r="BF278" s="197">
        <f>IF($K278=BF$3,IF($C278="X",0,$O278),0)</f>
        <v>0</v>
      </c>
      <c r="BG278" s="198">
        <f>IF($K278=BG$3,IF($C278="X",0,$O278),0)</f>
        <v>0</v>
      </c>
      <c r="BH278" s="198">
        <f>IF($K278=BH$3,IF($C278="X",0,$O278),0)</f>
        <v>0</v>
      </c>
      <c r="BI278" s="198">
        <f>IF($K278=BI$3,IF($C278="X",0,$O278),0)</f>
        <v>0</v>
      </c>
      <c r="BJ278" s="198">
        <f>IF($K278=BJ$3,IF($C278="X",0,$O278),0)</f>
        <v>12.16</v>
      </c>
      <c r="BK278" s="198">
        <f>IF($K278=BK$3,IF($C278="X",0,$O278),0)</f>
        <v>0</v>
      </c>
      <c r="BL278" s="198">
        <f>IF($K278=BL$3,IF($C278="X",0,$O278),0)</f>
        <v>0</v>
      </c>
      <c r="BM278" s="227">
        <f>IF($K278=BM$3,IF($C278="X",0,$O278),0)</f>
        <v>0</v>
      </c>
      <c r="BN278" s="205">
        <f>IF($K278=BN$3,IF($C278="X",0,$O278),0)</f>
        <v>0</v>
      </c>
      <c r="BO278" s="205">
        <f>IF($K278=BO$3,IF($C278="X",0,$O278),0)</f>
        <v>0</v>
      </c>
      <c r="BP278" s="205">
        <f>IF($K278=BP$3,IF($C278="X",0,$O278),0)</f>
        <v>0</v>
      </c>
      <c r="BQ278" s="202">
        <f>IF($K278=BQ$3,IF($C278="X",0,$O278),0)</f>
        <v>0</v>
      </c>
      <c r="BR278" s="199">
        <f>IF($K278=BR$3,IF($C278="X",0,$O278),0)</f>
        <v>0</v>
      </c>
      <c r="BS278" s="228"/>
      <c r="BT278" s="229"/>
      <c r="BU278" s="140"/>
      <c r="BV278" s="229"/>
      <c r="BW278" s="140"/>
      <c r="BX278" s="140"/>
      <c r="BY278" s="140"/>
      <c r="BZ278" s="229"/>
      <c r="CA278" s="140"/>
      <c r="CB278" s="140"/>
      <c r="CC278" s="140"/>
      <c r="CD278" s="141"/>
      <c r="CE278" s="142"/>
      <c r="CF278" s="230">
        <f>IF(CF$3=$K278,IF($C278="W",1,IF($C278="1/2W",0.5,0)),0)</f>
        <v>0</v>
      </c>
      <c r="CG278" s="231">
        <f>IF(CF$3=$K278,IF($C278="L",1,IF($C278="1/2L",0.5,0)),0)</f>
        <v>0</v>
      </c>
      <c r="CH278" s="231">
        <f>IF(CH$3=$K278,IF($C278="W",1,IF($C278="1/2W",0.5,0)),0)</f>
        <v>0</v>
      </c>
      <c r="CI278" s="231">
        <f>IF(CH$3=$K278,IF($C278="L",1,IF($C278="1/2L",0.5,0)),0)</f>
        <v>0</v>
      </c>
      <c r="CJ278" s="231">
        <f>IF(CJ$3=$K278,IF($C278="W",1,IF($C278="1/2W",0.5,0)),0)</f>
        <v>0</v>
      </c>
      <c r="CK278" s="231">
        <f>IF(CJ$3=$K278,IF($C278="L",1,IF($C278="1/2L",0.5,0)),0)</f>
        <v>0</v>
      </c>
      <c r="CL278" s="231">
        <f>IF(CL$3=$K278,IF($C278="W",1,IF($C278="1/2W",0.5,0)),0)</f>
        <v>0</v>
      </c>
      <c r="CM278" s="231">
        <f>IF(CL$3=$K278,IF($C278="L",1,IF($C278="1/2L",0.5,0)),0)</f>
        <v>0</v>
      </c>
      <c r="CN278" s="231">
        <f>IF(CN$3=$K278,IF($C278="W",1,IF($C278="1/2W",0.5,0)),0)</f>
        <v>1</v>
      </c>
      <c r="CO278" s="231">
        <f>IF(CN$3=$K278,IF($C278="L",1,IF($C278="1/2L",0.5,0)),0)</f>
        <v>0</v>
      </c>
      <c r="CP278" s="231">
        <f>IF(CP$3=$K278,IF($C278="W",1,IF($C278="1/2W",0.5,0)),0)</f>
        <v>0</v>
      </c>
      <c r="CQ278" s="231">
        <f>IF(CP$3=$K278,IF($C278="L",1,IF($C278="1/2L",0.5,0)),0)</f>
        <v>0</v>
      </c>
      <c r="CR278" s="231">
        <f>IF(CR$3=$K278,IF($C278="W",1,IF($C278="1/2W",0.5,0)),0)</f>
        <v>0</v>
      </c>
      <c r="CS278" s="231">
        <f>IF(CR$3=$K278,IF($C278="L",1,IF($C278="1/2L",0.5,0)),0)</f>
        <v>0</v>
      </c>
      <c r="CT278" s="208">
        <f>IF(CT$3=$K278,IF($C278="W",1,IF($C278="1/2W",0.5,0)),0)</f>
        <v>0</v>
      </c>
      <c r="CU278" s="209">
        <f>IF(CT$3=$K278,IF($C278="L",1,IF($C278="1/2L",0.5,0)),0)</f>
        <v>0</v>
      </c>
      <c r="CV278" s="209">
        <f>IF(CV$3=$K278,IF($C278="W",1,IF($C278="1/2W",0.5,0)),0)</f>
        <v>0</v>
      </c>
      <c r="CW278" s="209">
        <f>IF(CV$3=$K278,IF($C278="L",1,IF($C278="1/2L",0.5,0)),0)</f>
        <v>0</v>
      </c>
      <c r="CX278" s="209">
        <f>IF(CX$3=$K278,IF($C278="W",1,IF($C278="1/2W",0.5,0)),0)</f>
        <v>0</v>
      </c>
      <c r="CY278" s="209">
        <f>IF(CX$3=$K278,IF($C278="L",1,IF($C278="1/2L",0.5,0)),0)</f>
        <v>0</v>
      </c>
      <c r="CZ278" s="209">
        <f>IF(CZ$3=$K278,IF($C278="W",1,IF($C278="1/2W",0.5,0)),0)</f>
        <v>0</v>
      </c>
      <c r="DA278" s="209">
        <f>IF(CZ$3=$K278,IF($C278="L",1,IF($C278="1/2L",0.5,0)),0)</f>
        <v>0</v>
      </c>
      <c r="DB278" s="209">
        <f>IF(DB$3=$K278,IF($C278="W",1,IF($C278="1/2W",0.5,0)),0)</f>
        <v>0</v>
      </c>
      <c r="DC278" s="209">
        <f>IF(DB$3=$K278,IF($C278="L",1,IF($C278="1/2L",0.5,0)),0)</f>
        <v>0</v>
      </c>
      <c r="DD278" s="209">
        <f>IF(DD$3=$K278,IF($C278="W",1,IF($C278="1/2W",0.5,0)),0)</f>
        <v>0</v>
      </c>
      <c r="DE278" s="210">
        <f>IF(DD$3=$K278,IF($C278="L",1,IF($C278="1/2L",0.5,0)),0)</f>
        <v>0</v>
      </c>
      <c r="DF278" s="211">
        <f>IF(AND(L278&lt;DF$3,$C278="W"),1+DF277,DF277)</f>
        <v>10</v>
      </c>
      <c r="DG278" s="198">
        <f>IF(DF278&gt;DF277,L278+DG277,DG277)</f>
        <v>13.078</v>
      </c>
      <c r="DH278" s="209">
        <f>IF(AND(L278&gt;DH$3,$C278="W"),1+DH277,0+DH277)</f>
        <v>6</v>
      </c>
      <c r="DI278" s="198">
        <f>IF(DH278&gt;DH277,L278+DI277,DI277)</f>
        <v>30.83</v>
      </c>
      <c r="DJ278" t="s" s="306">
        <f>IF($D277="","",$D277)</f>
        <v>229</v>
      </c>
      <c r="DK278" s="232"/>
    </row>
    <row r="279" ht="14.55" customHeight="1">
      <c r="A279" s="149"/>
      <c r="B279" s="150"/>
      <c r="C279" t="s" s="233">
        <v>58</v>
      </c>
      <c r="D279" s="152"/>
      <c r="E279" s="153"/>
      <c r="F279" s="155"/>
      <c r="G279" s="234"/>
      <c r="H279" s="156"/>
      <c r="I279" s="235"/>
      <c r="J279" s="236"/>
      <c r="K279" s="237"/>
      <c r="L279" s="238"/>
      <c r="M279" s="239"/>
      <c r="N279" s="161"/>
      <c r="O279" t="s" s="240">
        <f>IF(OR(AE277="",AE278=""),"",IF(L279&gt;0,ROUND(IF(M279&gt;0,M279,IF(M277&gt;0,ROUND((M277*AE279)/AE277,IF(N277=0,2,IF(N277=0.1,1,0))),IF(M278&gt;0,ROUND((M278*AE279)/AE278,IF(N277=0,2,IF(N277=0.1,1,0))),IF(M279&gt;0,M279,0)))),2),""))</f>
      </c>
      <c r="P279" t="s" s="241">
        <f>IF(I278="Lay",O278*(L278/(L278-1))-O278,IF(I277="Lay",O277*(L277/(L277-1))-O277,IF(OR(L279="",O279=""),"",IF($C279="1/2W",O279/2+O279/2*L279,IF($C279="1/2L",O279/2,(O279*L279-O279)*(1-_xlfn.XLOOKUP(K279,'Janeiro 2023 - Valor Real'!A3:A15,'Janeiro 2023 - Valor Real'!C3:C15,0))+O279)))))</f>
      </c>
      <c r="Q279" t="s" s="242">
        <f>IF(K279="","",IF(_xlfn.XLOOKUP(K279,K$99:K124,DJ$99:DJ124,0,,-1)=DJ279,_xlfn.XLOOKUP(K279,K$99:K124,Q$99:Q124,1,,-1)+1,1))</f>
      </c>
      <c r="R279" t="s" s="243">
        <f>IF(K279="","",_xlfn.XLOOKUP(K279,K$99:K124,R$99:R124,0,,-1)+IF($C279=" ",1,0))</f>
      </c>
      <c r="S279" s="166"/>
      <c r="T279" s="155"/>
      <c r="U279" s="155"/>
      <c r="V279" s="166"/>
      <c r="W279" s="155"/>
      <c r="X279" s="167"/>
      <c r="Y279" s="128"/>
      <c r="Z279" s="129"/>
      <c r="AA279" s="129"/>
      <c r="AB279" s="129"/>
      <c r="AC279" s="129"/>
      <c r="AD279" s="244">
        <f>((L278/(L278-1)-1))</f>
        <v>0.900900900900901</v>
      </c>
      <c r="AE279" t="s" s="245">
        <f>IF(L279="","",(SUM(((L277-1)*(1-_xlfn.XLOOKUP(K277,'Janeiro 2023 - Valor Real'!A3:A15,'Janeiro 2023 - Valor Real'!C3:C15,0))+1),((L278-1)*(1-_xlfn.XLOOKUP(K278,'Janeiro 2023 - Valor Real'!A3:A15,'Janeiro 2023 - Valor Real'!C3:C15,0))+1),((L279-1)*(1-_xlfn.XLOOKUP(K279,'Janeiro 2023 - Valor Real'!A3:A15,'Janeiro 2023 - Valor Real'!C3:C15,0))+1))/((L279-1)*(1-_xlfn.XLOOKUP(K279,'Janeiro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Real'!C3:C15,0))+1))/((L277-1)*(1-_xlfn.XLOOKUP(K277,'Janeiro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Real'!C3:C15,0))+1))/((L278-1)*(1-_xlfn.XLOOKUP(K278,'Janeiro 2023 - Valor Real'!A3:A15,'Janeiro 2023 - Valor Real'!C3:C15,0))+1)+SUM(((L277-1)*(1-_xlfn.XLOOKUP(K277,'Janeiro 2023 - Valor Real'!A3:A15,'Janeiro 2023 - Valor Real'!C3:C15,0))+1),((L278-1)*(1-_xlfn.XLOOKUP(K278,'Janeiro 2023 - Valor Real'!A3:A15,'Janeiro 2023 - Valor Real'!C3:C15,0))+1),((L279-1)*(1-_xlfn.XLOOKUP(K279,'Janeiro 2023 - Valor Real'!A3:A15,'Janeiro 2023 - Valor Real'!C3:C15,0))+1))/((L279-1)*(1-_xlfn.XLOOKUP(K279,'Janeiro 2023 - Valor Real'!A3:A15,'Janeiro 2023 - Valor Real'!C3:C15,0))+1)))</f>
      </c>
      <c r="AF279" s="197">
        <f>IF($K279=AF$3,ROUND(IF(OR($C279="W",$C279="1/2W",$C279="1/2L"),$P279-$O279,IF($C279="X",0,-$O279)),2),0)</f>
        <v>0</v>
      </c>
      <c r="AG279" s="198">
        <f>IF($K279=AG$3,ROUND(IF(OR($C279="W",$C279="1/2W",$C279="1/2L"),$P279-$O279,IF($C279="X",0,-$O279)),2),0)</f>
        <v>0</v>
      </c>
      <c r="AH279" s="198">
        <f>IF($K279=AH$3,ROUND(IF(OR($C279="W",$C279="1/2W",$C279="1/2L"),$P279-$O279,IF($C279="X",0,-$O279)),2),0)</f>
        <v>0</v>
      </c>
      <c r="AI279" s="198">
        <f>IF($K279=AI$3,ROUND(IF(OR($C279="W",$C279="1/2W",$C279="1/2L"),$P279-$O279,IF($C279="X",0,-$O279)),2),0)</f>
        <v>0</v>
      </c>
      <c r="AJ279" s="198">
        <f>IF($K279=AJ$3,ROUND(IF(OR($C279="W",$C279="1/2W",$C279="1/2L"),$P279-$O279,IF($C279="X",0,-$O279)),2),0)</f>
        <v>0</v>
      </c>
      <c r="AK279" s="198">
        <f>IF($K279=AK$3,ROUND(IF(OR($C279="W",$C279="1/2W",$C279="1/2L"),$P279-$O279,IF($C279="X",0,-$O279)),2),0)</f>
        <v>0</v>
      </c>
      <c r="AL279" s="198">
        <f>IF($K279=AL$3,ROUND(IF(OR($C279="W",$C279="1/2W",$C279="1/2L"),$P279-$O279,IF($C279="X",0,-$O279)),2),0)</f>
        <v>0</v>
      </c>
      <c r="AM279" s="198">
        <f>IF($K279=AM$3,ROUND(IF(OR($C279="W",$C279="1/2W",$C279="1/2L"),$P279-$O279,IF($C279="X",0,-$O279)),2),0)</f>
        <v>0</v>
      </c>
      <c r="AN279" s="198">
        <f>IF($K279=AN$3,ROUND(IF(OR($C279="W",$C279="1/2W",$C279="1/2L"),$P279-$O279,IF($C279="X",0,-$O279)),2),0)</f>
        <v>0</v>
      </c>
      <c r="AO279" s="198">
        <f>IF($K279=AO$3,ROUND(IF(OR($C279="W",$C279="1/2W",$C279="1/2L"),$P279-$O279,IF($C279="X",0,-$O279)),2),0)</f>
        <v>0</v>
      </c>
      <c r="AP279" s="198">
        <f>IF($K279=AP$3,ROUND(IF(OR($C279="W",$C279="1/2W",$C279="1/2L"),$P279-$O279,IF($C279="X",0,-$O279)),2),0)</f>
        <v>0</v>
      </c>
      <c r="AQ279" s="198">
        <f>IF($K279=AQ$3,ROUND(IF(OR($C279="W",$C279="1/2W",$C279="1/2L"),$P279-$O279,IF($C279="X",0,-$O279)),2),0)</f>
        <v>0</v>
      </c>
      <c r="AR279" s="199">
        <f>IF($K279=AR$3,ROUND(IF(OR($C279="W",$C279="1/2W",$C279="1/2L"),$P279-$O279,IF($C279="X",0,-$O279)),2),0)</f>
        <v>0</v>
      </c>
      <c r="AS279" s="197">
        <f>IF(AND($B277=" ",$K279=AS$3),$O279,0)</f>
        <v>0</v>
      </c>
      <c r="AT279" s="198">
        <f>IF(AND($B277=" ",K279=AT$3),$O279,0)</f>
        <v>0</v>
      </c>
      <c r="AU279" s="198">
        <f>IF(AND($B277=" ",$K279=AU$3),$O279,0)</f>
        <v>0</v>
      </c>
      <c r="AV279" s="198">
        <f>IF(AND($B277=" ",$K279=AV$3),$O279,0)</f>
        <v>0</v>
      </c>
      <c r="AW279" s="198">
        <f>IF(AND($B277=" ",$K279=AW$3),$O279,0)</f>
        <v>0</v>
      </c>
      <c r="AX279" s="198">
        <f>IF(AND($B277=" ",$K279=AX$3),$O279,0)</f>
        <v>0</v>
      </c>
      <c r="AY279" s="200">
        <f>IF(AND($B277=" ",$K279=AY$3),$O279,0)</f>
        <v>0</v>
      </c>
      <c r="AZ279" s="201">
        <f>IF(AND($B277=" ",$K279=AZ$3),$O279,0)</f>
        <v>0</v>
      </c>
      <c r="BA279" s="201">
        <f>IF(AND($B277=" ",$K279=BA$3),$O279,0)</f>
        <v>0</v>
      </c>
      <c r="BB279" s="201">
        <f>IF(AND($B277=" ",$K279=BB$3),$O279,0)</f>
        <v>0</v>
      </c>
      <c r="BC279" s="202">
        <f>IF(AND($B277=" ",$K279=BC$3),$O279,0)</f>
        <v>0</v>
      </c>
      <c r="BD279" s="198">
        <f>IF(AND($B277=" ",$K279=BD$3),$O279,0)</f>
        <v>0</v>
      </c>
      <c r="BE279" s="199">
        <f>IF(AND($B277=" ",$K279=BE$3),$O279,0)</f>
        <v>0</v>
      </c>
      <c r="BF279" s="197">
        <f>IF($K279=BF$3,IF($C279="X",0,$O279),0)</f>
        <v>0</v>
      </c>
      <c r="BG279" s="198">
        <f>IF($K279=BG$3,IF($C279="X",0,$O279),0)</f>
        <v>0</v>
      </c>
      <c r="BH279" s="198">
        <f>IF($K279=BH$3,IF($C279="X",0,$O279),0)</f>
        <v>0</v>
      </c>
      <c r="BI279" s="198">
        <f>IF($K279=BI$3,IF($C279="X",0,$O279),0)</f>
        <v>0</v>
      </c>
      <c r="BJ279" s="198">
        <f>IF($K279=BJ$3,IF($C279="X",0,$O279),0)</f>
        <v>0</v>
      </c>
      <c r="BK279" s="198">
        <f>IF($K279=BK$3,IF($C279="X",0,$O279),0)</f>
        <v>0</v>
      </c>
      <c r="BL279" s="198">
        <f>IF($K279=BL$3,IF($C279="X",0,$O279),0)</f>
        <v>0</v>
      </c>
      <c r="BM279" s="200">
        <f>IF($K279=BM$3,IF($C279="X",0,$O279),0)</f>
        <v>0</v>
      </c>
      <c r="BN279" s="201">
        <f>IF($K279=BN$3,IF($C279="X",0,$O279),0)</f>
        <v>0</v>
      </c>
      <c r="BO279" s="201">
        <f>IF($K279=BO$3,IF($C279="X",0,$O279),0)</f>
        <v>0</v>
      </c>
      <c r="BP279" s="201">
        <f>IF($K279=BP$3,IF($C279="X",0,$O279),0)</f>
        <v>0</v>
      </c>
      <c r="BQ279" s="202">
        <f>IF($K279=BQ$3,IF($C279="X",0,$O279),0)</f>
        <v>0</v>
      </c>
      <c r="BR279" s="199">
        <f>IF($K279=BR$3,IF($C279="X",0,$O279),0)</f>
        <v>0</v>
      </c>
      <c r="BS279" s="228"/>
      <c r="BT279" s="229"/>
      <c r="BU279" s="140"/>
      <c r="BV279" s="229"/>
      <c r="BW279" s="140"/>
      <c r="BX279" s="140"/>
      <c r="BY279" s="140"/>
      <c r="BZ279" s="229"/>
      <c r="CA279" s="140"/>
      <c r="CB279" s="140"/>
      <c r="CC279" s="140"/>
      <c r="CD279" s="141"/>
      <c r="CE279" s="142"/>
      <c r="CF279" s="230">
        <f>IF(CF$3=$K279,IF($C279="W",1,IF($C279="1/2W",0.5,0)),0)</f>
        <v>0</v>
      </c>
      <c r="CG279" s="231">
        <f>IF(CF$3=$K279,IF($C279="L",1,IF($C279="1/2L",0.5,0)),0)</f>
        <v>0</v>
      </c>
      <c r="CH279" s="231">
        <f>IF(CH$3=$K279,IF($C279="W",1,IF($C279="1/2W",0.5,0)),0)</f>
        <v>0</v>
      </c>
      <c r="CI279" s="231">
        <f>IF(CH$3=$K279,IF($C279="L",1,IF($C279="1/2L",0.5,0)),0)</f>
        <v>0</v>
      </c>
      <c r="CJ279" s="231">
        <f>IF(CJ$3=$K279,IF($C279="W",1,IF($C279="1/2W",0.5,0)),0)</f>
        <v>0</v>
      </c>
      <c r="CK279" s="231">
        <f>IF(CJ$3=$K279,IF($C279="L",1,IF($C279="1/2L",0.5,0)),0)</f>
        <v>0</v>
      </c>
      <c r="CL279" s="231">
        <f>IF(CL$3=$K279,IF($C279="W",1,IF($C279="1/2W",0.5,0)),0)</f>
        <v>0</v>
      </c>
      <c r="CM279" s="231">
        <f>IF(CL$3=$K279,IF($C279="L",1,IF($C279="1/2L",0.5,0)),0)</f>
        <v>0</v>
      </c>
      <c r="CN279" s="231">
        <f>IF(CN$3=$K279,IF($C279="W",1,IF($C279="1/2W",0.5,0)),0)</f>
        <v>0</v>
      </c>
      <c r="CO279" s="231">
        <f>IF(CN$3=$K279,IF($C279="L",1,IF($C279="1/2L",0.5,0)),0)</f>
        <v>0</v>
      </c>
      <c r="CP279" s="231">
        <f>IF(CP$3=$K279,IF($C279="W",1,IF($C279="1/2W",0.5,0)),0)</f>
        <v>0</v>
      </c>
      <c r="CQ279" s="231">
        <f>IF(CP$3=$K279,IF($C279="L",1,IF($C279="1/2L",0.5,0)),0)</f>
        <v>0</v>
      </c>
      <c r="CR279" s="231">
        <f>IF(CR$3=$K279,IF($C279="W",1,IF($C279="1/2W",0.5,0)),0)</f>
        <v>0</v>
      </c>
      <c r="CS279" s="231">
        <f>IF(CR$3=$K279,IF($C279="L",1,IF($C279="1/2L",0.5,0)),0)</f>
        <v>0</v>
      </c>
      <c r="CT279" s="208">
        <f>IF(CT$3=$K279,IF($C279="W",1,IF($C279="1/2W",0.5,0)),0)</f>
        <v>0</v>
      </c>
      <c r="CU279" s="209">
        <f>IF(CT$3=$K279,IF($C279="L",1,IF($C279="1/2L",0.5,0)),0)</f>
        <v>0</v>
      </c>
      <c r="CV279" s="209">
        <f>IF(CV$3=$K279,IF($C279="W",1,IF($C279="1/2W",0.5,0)),0)</f>
        <v>0</v>
      </c>
      <c r="CW279" s="209">
        <f>IF(CV$3=$K279,IF($C279="L",1,IF($C279="1/2L",0.5,0)),0)</f>
        <v>0</v>
      </c>
      <c r="CX279" s="209">
        <f>IF(CX$3=$K279,IF($C279="W",1,IF($C279="1/2W",0.5,0)),0)</f>
        <v>0</v>
      </c>
      <c r="CY279" s="209">
        <f>IF(CX$3=$K279,IF($C279="L",1,IF($C279="1/2L",0.5,0)),0)</f>
        <v>0</v>
      </c>
      <c r="CZ279" s="209">
        <f>IF(CZ$3=$K279,IF($C279="W",1,IF($C279="1/2W",0.5,0)),0)</f>
        <v>0</v>
      </c>
      <c r="DA279" s="209">
        <f>IF(CZ$3=$K279,IF($C279="L",1,IF($C279="1/2L",0.5,0)),0)</f>
        <v>0</v>
      </c>
      <c r="DB279" s="209">
        <f>IF(DB$3=$K279,IF($C279="W",1,IF($C279="1/2W",0.5,0)),0)</f>
        <v>0</v>
      </c>
      <c r="DC279" s="209">
        <f>IF(DB$3=$K279,IF($C279="L",1,IF($C279="1/2L",0.5,0)),0)</f>
        <v>0</v>
      </c>
      <c r="DD279" s="209">
        <f>IF(DD$3=$K279,IF($C279="W",1,IF($C279="1/2W",0.5,0)),0)</f>
        <v>0</v>
      </c>
      <c r="DE279" s="210">
        <f>IF(DD$3=$K279,IF($C279="L",1,IF($C279="1/2L",0.5,0)),0)</f>
        <v>0</v>
      </c>
      <c r="DF279" s="211">
        <f>IF(AND(L279&lt;DF$3,$C279="W"),1+DF278,DF278)</f>
        <v>10</v>
      </c>
      <c r="DG279" s="198">
        <f>IF(DF279&gt;DF278,L279+DG278,DG278)</f>
        <v>13.078</v>
      </c>
      <c r="DH279" s="209">
        <f>IF(AND(L279&gt;DH$3,$C279="W"),1+DH278,0+DH278)</f>
        <v>6</v>
      </c>
      <c r="DI279" s="198">
        <f>IF(DH279&gt;DH278,L279+DI278,DI278)</f>
        <v>30.83</v>
      </c>
      <c r="DJ279" t="s" s="306">
        <f>IF($D277="","",$D277)</f>
        <v>229</v>
      </c>
      <c r="DK279" s="232"/>
    </row>
    <row r="280" ht="14.55" customHeight="1">
      <c r="A280" s="246">
        <f>$A277+1</f>
        <v>93</v>
      </c>
      <c r="B280" t="s" s="247">
        <f>IF(AND(_xlfn.XLOOKUP(H280,H$106:H119,G$106:G119,0)=G280,_xlfn.XLOOKUP("TempoBet",K280:K282,L280:L282,0)&gt;0),"X",IF(OR(C280="W",C281="W",C282="W",C280="1/2W",C281="1/2W",C282="1/2W",C280="1/2L",C281="1/2L",C282="1/2L"),"OK",IF(OR(C280="L",C281="L",C282="L"),"LOSS",IF(OR(C280="X",C281="X",C282="X"),"Anulado"," "))))</f>
        <v>50</v>
      </c>
      <c r="C280" t="s" s="248">
        <v>51</v>
      </c>
      <c r="D280" t="s" s="303">
        <f>IF(G280="","",$D277)</f>
        <v>229</v>
      </c>
      <c r="E280" t="s" s="250">
        <v>148</v>
      </c>
      <c r="F280" t="s" s="251"/>
      <c r="G280" s="252">
        <f>IF(H280="","",_xlfn.XLOOKUP(H280,H$4:H279,G$4:G279,""))</f>
        <v>44945.583333333336</v>
      </c>
      <c r="H280" t="s" s="253">
        <v>255</v>
      </c>
      <c r="I280" t="s" s="254">
        <v>65</v>
      </c>
      <c r="J280" s="255">
        <v>8.5</v>
      </c>
      <c r="K280" t="s" s="256">
        <v>44</v>
      </c>
      <c r="L280" s="257">
        <v>1.909</v>
      </c>
      <c r="M280" s="258"/>
      <c r="N280" s="259">
        <v>0</v>
      </c>
      <c r="O280" s="260">
        <f>IF(OR(AE280="",AE281=""),"",ROUND(IF(L282&gt;0,IF(M280&gt;0,M280,IF(M281&gt;0,ROUND((M281*AE280)/AE281,IF(N280=0,2,IF(N280=0.1,1,0))),ROUND((M282*AE280)/AE282,IF(N280=0,2,IF(N280=0.1,1,0))))),IF(M280&gt;0,M280,ROUND((M281*AE280)/AE281,IF(N280=0,2,IF(N280=0.1,1,0))))),2))</f>
        <v>12.51</v>
      </c>
      <c r="P280" s="261">
        <f>IF(OR(L280="",O280=""),"",IF($C280="1/2W",O280/2+O280/2*L280,IF($C280="1/2L",O280/2,IF(I280="Lay",(O280*(L280/(L280-1))-O280)*(1-_xlfn.XLOOKUP(K280,'Janeiro 2023 - Valor Real'!A3:A15,'Janeiro 2023 - Valor Real'!C3:C15,0))+O280,(O280*L280-O280)*(1-_xlfn.XLOOKUP(K280,'Janeiro 2023 - Valor Real'!A3:A15,'Janeiro 2023 - Valor Real'!C3:C15,0))+O280))))</f>
        <v>23.88159</v>
      </c>
      <c r="Q280" s="262">
        <f>IF(K280="","",IF(_xlfn.XLOOKUP(K280,K$106:K119,DJ$106:DJ119,0,,-1)=DJ280,_xlfn.XLOOKUP(K280,K$106:K119,Q$106:Q119,1,,-1)+1,1))</f>
        <v>1</v>
      </c>
      <c r="R280" s="263">
        <f>IF(K280="","",_xlfn.XLOOKUP(K280,K$106:K119,R$106:R119,0,,-1)+IF($C280=" ",1,0))</f>
        <v>0</v>
      </c>
      <c r="S280" s="264">
        <f>IF($B280="Anulado",0,ROUND(IF(OR($B280="LOSS",$B280="OK"),IF(OR($C280="W",$C280="1/2W",$C280="1/2L"),P280-O280,IF($C280="L",-O280,0))+IF(OR($C281="W",$C281="1/2W",$C281="1/2L"),P281-O281,IF($C281="L",-O281,0))+IF(OR($C282="W",$C282="1/2W",$C282="1/2L"),P282-O282,IF($C282="L",-O282,0)),IF(AND(OR($C280="W",$C280="1/2W",$C280="1/2L"),C281="W"),P280+P281-SUM(O280:O282)+_xlfn.XLOOKUP("X",C280:C282,O280:O282,0),IF(AND(C280=TRUE,C282="W"),P280+P282-SUM(O280:O282),IF(AND(C281="W",C282="W"),P281+P282-SUM(O280:O282)+_xlfn.XLOOKUP("X",C280:C282,O280:O282,0),IF(L282&gt;0,IF(OR($C280="W",$C280="1/2W",$C280="1/2L"),P280-SUM(O280:O282)+_xlfn.XLOOKUP("X",C280:C282,O280:O282,0),IF(OR($C280="W",$C280="1/2W",$C280="1/2L"),P281-SUM(O280:O282)+_xlfn.XLOOKUP("X",C280:C282,O280:O282,0),IF(OR($C280="W",$C280="1/2W",$C280="1/2L"),P282-SUM(O280:O282)+_xlfn.XLOOKUP("X",C280:C282,O280:O282,0),IF(SUM(P280:P282)/3-SUM(O280:O282)+_xlfn.XLOOKUP("X",C280:C282,O280:O282,0)&gt;0,SUM(P280:P282)/3-SUM(O280:O282)+_xlfn.XLOOKUP("X",C280:C282,O280:O282,0),LARGE(P280:P282,1)-SUM(O280:O282))))),IF(OR($C280="W",$C280="1/2W",$C280="1/2L"),P280-SUM(O280:O281)+_xlfn.XLOOKUP("X",C280:C282,O280:O282,0),IF(OR($C280="W",$C280="1/2W",$C280="1/2L"),P281-SUM(O280:O281)+_xlfn.XLOOKUP("X",C280:C282,O280:O282,0),SUM(P280:P281)/2-SUM(O280:O281)+_xlfn.XLOOKUP("X",C280:C282,O280:O282,0)))))))),2))</f>
        <v>0.98</v>
      </c>
      <c r="T280" s="265">
        <f>IF(S280=0,0,S280/SUM(O280:O282))</f>
        <v>0.0428134556574924</v>
      </c>
      <c r="U280" s="266">
        <f>IF($D280=$D277,IF(OR($B280="LOSS",$B280="OK",$B280="Anulada"),S280,0)+U277,IF(OR($B280="LOSS",$B280="OK",$B280="Anulada"),S280,0))</f>
        <v>21.25</v>
      </c>
      <c r="V280" s="266">
        <f>IF($D280="",0,IF($D280=$D277,IF($B280=" ",IF(I282="",IF(OR(AND(I280="DNB1",I281="DNB2"),AND(OR(I280="DNB1",I280="DNB2"),J281=0),AND(OR(I281="DNB1",I281="DNB2"),J280=0),AND(I280="DNB2",I281="DNB1"),AND(IF(J280=0,(J280+1)/ROUND(J280+1,0),J280/ROUND(J280,0))=1,IF(J281=0,(J281+1)/ROUND(IF(J281="",0,J281)+1,0),IF(J281="",0,J281)/ROUND(IF(J281="",1,J281),0))=1,OR(J280&lt;&gt;""),J281&lt;&gt;"")),0,IF(S280&lt;0,IF(I282="",SMALL(P280:P281,1)-SUM(O280:O281),0),SMALL(P280:P281,1)-SUM(O280:O281))),IF(S280&lt;0,IF(I282="",SMALL(P280:P282,1)-SUM(O280:O282),0),LARGE(P280:P282,1)-SUM(O280:O282))),S280)+V277,IF(I282="",IF(OR(AND(I280="DNB1",I281="DNB2"),AND(OR(I280="DNB1",I280="DNB2"),J281=0),AND(OR(I281="DNB1",I281="DNB2"),J280=0),AND(I280="DNB2",I281="DNB1"),AND(IF(J280=0,(J280+1)/ROUND(J280+1,0),J280/ROUND(J280,0))=1,IF(J281=0,(IF(J281="",0,J281)+1)/ROUND(IF(J281="",0,J281)+1,0),IF(J281="",0,J281)/ROUND(IF(J281="",0,J281)+1,0))=1,OR(J280&lt;&gt;""),J281&lt;&gt;"")),0,IF(S280&lt;0,IF(I282="",SMALL(P280:P281,1)-SUM(O280:O281),0),SMALL(P280:P282,1)-SUM(O280:O282))),IF(S280&lt;0,IF(I282="",SMALL(P280:P282,1)-SUM(O280:O282),0),LARGE(P280:P282,1)-SUM(O280:O282)))))</f>
        <v>21.246</v>
      </c>
      <c r="W280" s="266">
        <f>IF($D280=$D277,IF(S280&lt;0,IF(I282="",S280,0),S280)+W277,S280)</f>
        <v>21.25</v>
      </c>
      <c r="X280" t="s" s="267">
        <f>IF(OR(SUM(R280:R282)=0,V280=W280),ROUND(IF(W280=0,0,W280/Y280)*100,2)&amp;"%",ROUND(IF(V280=0,0,V280/Y280)*100,2)&amp;"% a "&amp;ROUND(IF(W280=0,0,W280/Y280)*100,2)&amp;"%")</f>
        <v>257</v>
      </c>
      <c r="Y280" s="268">
        <f>IF($D280=$D277,Y277+SUM(O280:O282),SUM(O280:O282))</f>
        <v>543.8200000000001</v>
      </c>
      <c r="Z280" s="266">
        <f>IF($B280=" ",SUM(O280:O282),0)+Z277</f>
        <v>0</v>
      </c>
      <c r="AA280" s="266">
        <f>IF(G280="","",IF($B280="Anulado",LARGE(P280:P282,1)-SUM(O280:O282)+AA277,AA277))</f>
        <v>16.5099</v>
      </c>
      <c r="AB280" s="266">
        <f>IF($D280="","",AB277+S280)</f>
        <v>223.42</v>
      </c>
      <c r="AC280" s="269">
        <f>IF($D280="","",IF($B280=" ",IF(DAY(G280)=DAY(TODAY()),1+AC277,0+AC277),0+AC277))</f>
        <v>0</v>
      </c>
      <c r="AD280" s="270">
        <f>(1-_xlfn.XLOOKUP(K278,'Janeiro 2023 - Valor Real'!A3:A15,'Janeiro 2023 - Valor Real'!C3:C15,0))+1</f>
        <v>2</v>
      </c>
      <c r="AE280" s="271">
        <f>IF(L280="","",IF(L282&gt;0,(SUM(((L280-1)*(1-_xlfn.XLOOKUP(K280,'Janeiro 2023 - Valor Real'!A3:A15,'Janeiro 2023 - Valor Real'!C3:C15,0))+1),((L281-1)*(1-_xlfn.XLOOKUP(K281,'Janeiro 2023 - Valor Real'!A3:A15,'Janeiro 2023 - Valor Real'!C3:C15,0))+1),((L282-1)*(1-_xlfn.XLOOKUP(K282,'Janeiro 2023 - Valor Real'!A3:A15,'Janeiro 2023 - Valor Real'!C3:C15,0))+1))/((L280-1)*(1-_xlfn.XLOOKUP(K280,'Janeiro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Real'!C3:C15,0))+1))/((L280-1)*(1-_xlfn.XLOOKUP(K280,'Janeiro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Real'!C3:C15,0))+1))/((L281-1)*(1-_xlfn.XLOOKUP(K281,'Janeiro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Real'!C3:C15,0))+1))/((L282-1)*(1-_xlfn.XLOOKUP(K282,'Janeiro 2023 - Valor Real'!A3:A15,'Janeiro 2023 - Valor Real'!C3:C15,0))+1)),IF(I280="Lay",IF(I281="Lay",((L281/(L281-1)-1)*(1-_xlfn.XLOOKUP(K281,'Janeiro 2023 - Valor Real'!A3:A15,'Janeiro 2023 - Valor Real'!C3:C15,0))+1)/(((L281/(L281-1)-1)*(1-_xlfn.XLOOKUP(K281,'Janeiro 2023 - Valor Real'!A3:A15,'Janeiro 2023 - Valor Real'!C3:C15,0))+1)+((L280/(L280-1)-1)*(1-_xlfn.XLOOKUP(K280,'Janeiro 2023 - Valor Real'!A3:A15,'Janeiro 2023 - Valor Real'!C3:C15,0))+1)),((L281-1)*(1-_xlfn.XLOOKUP(K281,'Janeiro 2023 - Valor Real'!A3:A15,'Janeiro 2023 - Valor Real'!C3:C15,0))+1)/(((L281-1)*(1-_xlfn.XLOOKUP(K281,'Janeiro 2023 - Valor Real'!A3:A15,'Janeiro 2023 - Valor Real'!C3:C15,0))+1)+((L280/(L280-1)-1)*(1-_xlfn.XLOOKUP(K280,'Janeiro 2023 - Valor Real'!A3:A15,'Janeiro 2023 - Valor Real'!C3:C15,0))+1))),IF(I281="Lay",(((L281/(L281-1)-1)*(1-_xlfn.XLOOKUP(K281,'Janeiro 2023 - Valor Real'!A3:A15,'Janeiro 2023 - Valor Real'!C3:C15,0))+1))/(((L280-1)*(1-_xlfn.XLOOKUP(K280,'Janeiro 2023 - Valor Real'!A3:A15,'Janeiro 2023 - Valor Real'!C3:C15,0))+1)+((L281/(L281-1)-1)*(1-_xlfn.XLOOKUP(K281,'Janeiro 2023 - Valor Real'!A3:A15,'Janeiro 2023 - Valor Real'!C3:C15,0))+1)),((L281-1)*(1-_xlfn.XLOOKUP(K281,'Janeiro 2023 - Valor Real'!A3:A15,'Janeiro 2023 - Valor Real'!C3:C15,0))+1)/(((L281-1)*(1-_xlfn.XLOOKUP(K281,'Janeiro 2023 - Valor Real'!A3:A15,'Janeiro 2023 - Valor Real'!C3:C15,0))+1)+((L280-1)*(1-_xlfn.XLOOKUP(K280,'Janeiro 2023 - Valor Real'!A3:A15,'Janeiro 2023 - Valor Real'!C3:C15,0))+1))))))</f>
        <v>0.546448087431694</v>
      </c>
      <c r="AF280" s="132">
        <f>IF($K280=AF$3,ROUND(IF(OR($C280="W",$C280="1/2W",$C280="1/2L"),$P280-$O280,IF($C280="X",0,-$O280)),2),0)</f>
        <v>0</v>
      </c>
      <c r="AG280" s="133">
        <f>IF($K280=AG$3,ROUND(IF(OR($C280="W",$C280="1/2W",$C280="1/2L"),$P280-$O280,IF($C280="X",0,-$O280)),2),0)</f>
        <v>0</v>
      </c>
      <c r="AH280" s="133">
        <f>IF($K280=AH$3,ROUND(IF(OR($C280="W",$C280="1/2W",$C280="1/2L"),$P280-$O280,IF($C280="X",0,-$O280)),2),0)</f>
        <v>0</v>
      </c>
      <c r="AI280" s="133">
        <f>IF($K280=AI$3,ROUND(IF(OR($C280="W",$C280="1/2W",$C280="1/2L"),$P280-$O280,IF($C280="X",0,-$O280)),2),0)</f>
        <v>0</v>
      </c>
      <c r="AJ280" s="133">
        <f>IF($K280=AJ$3,ROUND(IF(OR($C280="W",$C280="1/2W",$C280="1/2L"),$P280-$O280,IF($C280="X",0,-$O280)),2),0)</f>
        <v>0</v>
      </c>
      <c r="AK280" s="133">
        <f>IF($K280=AK$3,ROUND(IF(OR($C280="W",$C280="1/2W",$C280="1/2L"),$P280-$O280,IF($C280="X",0,-$O280)),2),0)</f>
        <v>0</v>
      </c>
      <c r="AL280" s="133">
        <f>IF($K280=AL$3,ROUND(IF(OR($C280="W",$C280="1/2W",$C280="1/2L"),$P280-$O280,IF($C280="X",0,-$O280)),2),0)</f>
        <v>0</v>
      </c>
      <c r="AM280" s="133">
        <f>IF($K280=AM$3,ROUND(IF(OR($C280="W",$C280="1/2W",$C280="1/2L"),$P280-$O280,IF($C280="X",0,-$O280)),2),0)</f>
        <v>-12.51</v>
      </c>
      <c r="AN280" s="133">
        <f>IF($K280=AN$3,ROUND(IF(OR($C280="W",$C280="1/2W",$C280="1/2L"),$P280-$O280,IF($C280="X",0,-$O280)),2),0)</f>
        <v>0</v>
      </c>
      <c r="AO280" s="133">
        <f>IF($K280=AO$3,ROUND(IF(OR($C280="W",$C280="1/2W",$C280="1/2L"),$P280-$O280,IF($C280="X",0,-$O280)),2),0)</f>
        <v>0</v>
      </c>
      <c r="AP280" s="133">
        <f>IF($K280=AP$3,ROUND(IF(OR($C280="W",$C280="1/2W",$C280="1/2L"),$P280-$O280,IF($C280="X",0,-$O280)),2),0)</f>
        <v>0</v>
      </c>
      <c r="AQ280" s="133">
        <f>IF($K280=AQ$3,ROUND(IF(OR($C280="W",$C280="1/2W",$C280="1/2L"),$P280-$O280,IF($C280="X",0,-$O280)),2),0)</f>
        <v>0</v>
      </c>
      <c r="AR280" s="134">
        <f>IF($K280=AR$3,ROUND(IF(OR($C280="W",$C280="1/2W",$C280="1/2L"),$P280-$O280,IF($C280="X",0,-$O280)),2),0)</f>
        <v>0</v>
      </c>
      <c r="AS280" s="132">
        <f>IF(AND($B280=" ",$K280=AS$3),$O280,0)</f>
        <v>0</v>
      </c>
      <c r="AT280" s="133">
        <f>IF(AND($B280=" ",$K280=AT$3),$O280,0)</f>
        <v>0</v>
      </c>
      <c r="AU280" s="133">
        <f>IF(AND($B280=" ",$K280=AU$3),$O280,0)</f>
        <v>0</v>
      </c>
      <c r="AV280" s="133">
        <f>IF(AND($B280=" ",$K280=AV$3),$O280,0)</f>
        <v>0</v>
      </c>
      <c r="AW280" s="133">
        <f>IF(AND($B280=" ",$K280=AW$3),$O280,0)</f>
        <v>0</v>
      </c>
      <c r="AX280" s="133">
        <f>IF(AND($B280=" ",$K280=AX$3),$O280,0)</f>
        <v>0</v>
      </c>
      <c r="AY280" s="135">
        <f>IF(AND($B280=" ",$K280=AY$3),$O280,0)</f>
        <v>0</v>
      </c>
      <c r="AZ280" s="136">
        <f>IF(AND($B280=" ",$K280=AZ$3),$O280,0)</f>
        <v>0</v>
      </c>
      <c r="BA280" s="136">
        <f>IF(AND($B280=" ",$K280=BA$3),$O280,0)</f>
        <v>0</v>
      </c>
      <c r="BB280" s="136">
        <f>IF(AND($B280=" ",$K280=BB$3),$O280,0)</f>
        <v>0</v>
      </c>
      <c r="BC280" s="137">
        <f>IF(AND($B280=" ",$K280=BC$3),$O280,0)</f>
        <v>0</v>
      </c>
      <c r="BD280" s="133">
        <f>IF(AND($B280=" ",$K280=BD$3),$O280,0)</f>
        <v>0</v>
      </c>
      <c r="BE280" s="134">
        <f>IF(AND($B280=" ",$K280=BE$3),$O280,0)</f>
        <v>0</v>
      </c>
      <c r="BF280" s="132">
        <f>IF($K280=BF$3,IF($C280="X",0,$O280),0)</f>
        <v>0</v>
      </c>
      <c r="BG280" s="133">
        <f>IF($K280=BG$3,IF($C280="X",0,$O280),0)</f>
        <v>0</v>
      </c>
      <c r="BH280" s="133">
        <f>IF($K280=BH$3,IF($C280="X",0,$O280),0)</f>
        <v>0</v>
      </c>
      <c r="BI280" s="133">
        <f>IF($K280=BI$3,IF($C280="X",0,$O280),0)</f>
        <v>0</v>
      </c>
      <c r="BJ280" s="133">
        <f>IF($K280=BJ$3,IF($C280="X",0,$O280),0)</f>
        <v>0</v>
      </c>
      <c r="BK280" s="133">
        <f>IF($K280=BK$3,IF($C280="X",0,$O280),0)</f>
        <v>0</v>
      </c>
      <c r="BL280" s="133">
        <f>IF($K280=BL$3,IF($C280="X",0,$O280),0)</f>
        <v>0</v>
      </c>
      <c r="BM280" s="135">
        <f>IF($K280=BM$3,IF($C280="X",0,$O280),0)</f>
        <v>12.51</v>
      </c>
      <c r="BN280" s="136">
        <f>IF($K280=BN$3,IF($C280="X",0,$O280),0)</f>
        <v>0</v>
      </c>
      <c r="BO280" s="136">
        <f>IF($K280=BO$3,IF($C280="X",0,$O280),0)</f>
        <v>0</v>
      </c>
      <c r="BP280" s="136">
        <f>IF($K280=BP$3,IF($C280="X",0,$O280),0)</f>
        <v>0</v>
      </c>
      <c r="BQ280" s="137">
        <f>IF($K280=BQ$3,IF($C280="X",0,$O280),0)</f>
        <v>0</v>
      </c>
      <c r="BR280" s="134">
        <f>IF($K280=BR$3,IF($C280="X",0,$O280),0)</f>
        <v>0</v>
      </c>
      <c r="BS280" s="170">
        <f>IF($B280="LOSS",IF(AND($K280=BS$3,$C280="L"),-$O280,0)+IF(AND($K281=BS$3,$C281="L"),-$O281,0)+IF(AND($K282=BS$3,$C282="L"),-$O282,0),IF(OR(AND($K280=BS$3,OR($C280="W",$C280="1/2W")),AND($K281=BS$3,OR($C281="W",$C281="1/2W")),AND($K282=BS$3,OR($C282="W",$C282="1/2W"))),$S280,0))</f>
        <v>0</v>
      </c>
      <c r="BT280" s="272">
        <f>IF($B280="LOSS",IF(AND($K280=BT$3,$C280="L"),-$O280,0)+IF(AND($K281=BT$3,$C281="L"),-$O281,0)+IF(AND($K281=BT$3,$C282="L"),-$O282,0),IF(OR(AND($K281=BT$3,OR($C280="W",$C280="1/2W")),AND($K281=BT$3,OR($C281="W",$C281="1/2W")),AND($K281=BT$3,OR($C282="W",$C282="1/2W"))),$S280,0))</f>
        <v>0</v>
      </c>
      <c r="BU280" s="136">
        <f>IF($B280="LOSS",IF(AND($K280=BU$3,$C280="L"),-$O280,0)+IF(AND($K281=BU$3,$C281="L"),-$O281,0)+IF(AND($K281=BU$3,$C282="L"),-$O282,0),IF(OR(AND($K281=BU$3,OR($C280="W",$C280="1/2W")),AND($K281=BU$3,OR($C281="W",$C281="1/2W")),AND($K281=BU$3,OR($C282="W",$C282="1/2W"))),$S280,0))</f>
        <v>0</v>
      </c>
      <c r="BV280" s="136">
        <f>IF($B280="LOSS",IF(AND($K280=BV$3,$C280="L"),-$O280,0)+IF(AND($K281=BV$3,$C281="L"),-$O281,0)+IF(AND($K282=BV$3,$C282="L"),-$O282,0),IF(OR(AND($K280=BV$3,OR($C280="W",$C280="1/2W")),AND($K281=BV$3,OR($C281="W",$C281="1/2W")),AND($K282=BV$3,OR($C282="W",$C282="1/2W"))),$S280,0))</f>
        <v>0</v>
      </c>
      <c r="BW280" s="136">
        <f>IF($B280="LOSS",IF(AND($K280=BW$3,$C280="L"),-$O280,0)+IF(AND($K281=BW$3,$C281="L"),-$O281,0)+IF(AND($K282=BW$3,$C282="L"),-$O282,0),IF(OR(AND($K280=BW$3,OR($C280="W",$C280="1/2W")),AND($K281=BW$3,OR($C281="W",$C281="1/2W")),AND($K282=BW$3,OR($C282="W",$C282="1/2W"))),$S280,0))</f>
        <v>0.98</v>
      </c>
      <c r="BX280" s="136">
        <f>IF($B280="LOSS",IF(AND($K280=BX$3,$C280="L"),-$O280,0)+IF(AND($K281=BX$3,$C281="L"),-$O281,0)+IF(AND($K282=BX$3,$C282="L"),-$O282,0),IF(OR(AND($K280=BX$3,OR($C280="W",$C280="1/2W")),AND($K281=BX$3,OR($C281="W",$C281="1/2W")),AND($K282=BX$3,OR($C282="W",$C282="1/2W"))),$S280,0))</f>
        <v>0</v>
      </c>
      <c r="BY280" s="136">
        <f>IF($B280="LOSS",IF(AND($K280=BY$3,$C280="L"),-$O280,0)+IF(AND($K281=BY$3,$C281="L"),-$O281,0)+IF(AND($K282=BY$3,$C282="L"),-$O282,0),IF(OR(AND($K280=BY$3,OR($C280="W",$C280="1/2W")),AND($K281=BY$3,OR($C281="W",$C281="1/2W")),AND($K282=BY$3,OR($C282="W",$C282="1/2W"))),$S280,0))</f>
        <v>0</v>
      </c>
      <c r="BZ280" s="136">
        <f>IF($B280="LOSS",IF(AND($K280=BZ$3,$C280="L"),-$O280,0)+IF(AND($K281=BZ$3,$C281="L"),-$O281,0)+IF(AND($K282=BZ$3,$C282="L"),-$O282,0),IF(OR(AND($K280=BZ$3,OR($C280="W",$C280="1/2W")),AND($K281=BZ$3,OR($C281="W",$C281="1/2W")),AND($K282=BZ$3,OR($C282="W",$C282="1/2W"))),$S280,0))</f>
        <v>0</v>
      </c>
      <c r="CA280" s="136">
        <f>IF($B280="LOSS",IF(AND($K280=CA$3,$C280="L"),-$O280,0)+IF(AND($K281=CA$3,$C281="L"),-$O281,0)+IF(AND($K282=CA$3,$C282="L"),-$O282,0),IF(OR(AND($K280=CA$3,OR($C280="W",$C280="1/2W")),AND($K281=CA$3,OR($C281="W",$C281="1/2W")),AND($K282=CA$3,OR($C282="W",$C282="1/2W"))),$S280,0))</f>
        <v>0</v>
      </c>
      <c r="CB280" s="136">
        <f>IF($B280="LOSS",IF(AND($K280=CB$3,$C280="L"),-$O280,0)+IF(AND($K281=CB$3,$C281="L"),-$O281,0)+IF(AND($K282=CB$3,$C282="L"),-$O282,0),IF(OR(AND($K280=CB$3,OR($C280="W",$C280="1/2W")),AND($K281=CB$3,OR($C281="W",$C281="1/2W")),AND($K282=CB$3,OR($C282="W",$C282="1/2W"))),$S280,0))</f>
        <v>0</v>
      </c>
      <c r="CC280" s="136">
        <f>IF($B280="LOSS",IF(AND($K280=CC$3,$C280="L"),-$O280,0)+IF(AND($K281=CC$3,$C281="L"),-$O281,0)+IF(AND($K282=CC$3,$C282="L"),-$O282,0),IF(OR(AND($K280=CC$3,OR($C280="W",$C280="1/2W")),AND($K281=CC$3,OR($C281="W",$C281="1/2W")),AND($K282=CC$3,OR($C282="W",$C282="1/2W"))),$S280,0))</f>
        <v>0</v>
      </c>
      <c r="CD280" s="137">
        <f>IF($B280="LOSS",IF(AND($K280=CD$3,$C280="L"),-$O280,0)+IF(AND($K281=CD$3,$C281="L"),-$O281,0)+IF(AND($K282=CD$3,$C282="L"),-$O282,0),IF(OR(AND($K280=CD$3,OR($C280="W",$C280="1/2W")),AND($K281=CD$3,OR($C281="W",$C281="1/2W")),AND($K282=CD$3,OR($C282="W",$C282="1/2W"))),$S280,0))</f>
        <v>0</v>
      </c>
      <c r="CE280" s="134">
        <f>IF($B280="LOSS",IF(AND($K280=CE$3,$C280="L"),-$O280,0)+IF(AND($K281=CE$3,$C281="L"),-$O281,0)+IF(AND($K282=CE$3,$C282="L"),-$O282,0),IF(OR(AND($K280=CE$3,OR($C280="W",$C280="1/2W")),AND($K281=CE$3,OR($C281="W",$C281="1/2W")),AND($K282=CE$3,OR($C282="W",$C282="1/2W"))),$S280,0))</f>
        <v>0</v>
      </c>
      <c r="CF280" s="273">
        <f>IF(CF$3=$K280,IF($C280="W",1,IF($C280="1/2W",0.5,0)),0)</f>
        <v>0</v>
      </c>
      <c r="CG280" s="274">
        <f>IF(CF$3=$K280,IF($C280="L",1,IF($C280="1/2L",0.5,0)),0)</f>
        <v>0</v>
      </c>
      <c r="CH280" s="274">
        <f>IF(CH$3=$K280,IF($C280="W",1,IF($C280="1/2W",0.5,0)),0)</f>
        <v>0</v>
      </c>
      <c r="CI280" s="274">
        <f>IF(CH$3=$K280,IF($C280="L",1,IF($C280="1/2L",0.5,0)),0)</f>
        <v>0</v>
      </c>
      <c r="CJ280" s="274">
        <f>IF(CJ$3=$K280,IF($C280="W",1,IF($C280="1/2W",0.5,0)),0)</f>
        <v>0</v>
      </c>
      <c r="CK280" s="274">
        <f>IF(CJ$3=$K280,IF($C280="L",1,IF($C280="1/2L",0.5,0)),0)</f>
        <v>0</v>
      </c>
      <c r="CL280" s="274">
        <f>IF(CL$3=$K280,IF($C280="W",1,IF($C280="1/2W",0.5,0)),0)</f>
        <v>0</v>
      </c>
      <c r="CM280" s="274">
        <f>IF(CL$3=$K280,IF($C280="L",1,IF($C280="1/2L",0.5,0)),0)</f>
        <v>0</v>
      </c>
      <c r="CN280" s="274">
        <f>IF(CN$3=$K280,IF($C280="W",1,IF($C280="1/2W",0.5,0)),0)</f>
        <v>0</v>
      </c>
      <c r="CO280" s="274">
        <f>IF(CN$3=$K280,IF($C280="L",1,IF($C280="1/2L",0.5,0)),0)</f>
        <v>0</v>
      </c>
      <c r="CP280" s="274">
        <f>IF(CP$3=$K280,IF($C280="W",1,IF($C280="1/2W",0.5,0)),0)</f>
        <v>0</v>
      </c>
      <c r="CQ280" s="274">
        <f>IF(CP$3=$K280,IF($C280="L",1,IF($C280="1/2L",0.5,0)),0)</f>
        <v>0</v>
      </c>
      <c r="CR280" s="274">
        <f>IF(CR$3=$K280,IF($C280="W",1,IF($C280="1/2W",0.5,0)),0)</f>
        <v>0</v>
      </c>
      <c r="CS280" s="274">
        <f>IF(CR$3=$K280,IF($C280="L",1,IF($C280="1/2L",0.5,0)),0)</f>
        <v>0</v>
      </c>
      <c r="CT280" s="145">
        <f>IF(CT$3=$K280,IF($C280="W",1,IF($C280="1/2W",0.5,0)),0)</f>
        <v>0</v>
      </c>
      <c r="CU280" s="146">
        <f>IF(CT$3=$K280,IF($C280="L",1,IF($C280="1/2L",0.5,0)),0)</f>
        <v>1</v>
      </c>
      <c r="CV280" s="146">
        <f>IF(CV$3=$K280,IF($C280="W",1,IF($C280="1/2W",0.5,0)),0)</f>
        <v>0</v>
      </c>
      <c r="CW280" s="146">
        <f>IF(CV$3=$K280,IF($C280="L",1,IF($C280="1/2L",0.5,0)),0)</f>
        <v>0</v>
      </c>
      <c r="CX280" s="146">
        <f>IF(CX$3=$K280,IF($C280="W",1,IF($C280="1/2W",0.5,0)),0)</f>
        <v>0</v>
      </c>
      <c r="CY280" s="146">
        <f>IF(CX$3=$K280,IF($C280="L",1,IF($C280="1/2L",0.5,0)),0)</f>
        <v>0</v>
      </c>
      <c r="CZ280" s="146">
        <f>IF(CZ$3=$K280,IF($C280="W",1,IF($C280="1/2W",0.5,0)),0)</f>
        <v>0</v>
      </c>
      <c r="DA280" s="146">
        <f>IF(CZ$3=$K280,IF($C280="L",1,IF($C280="1/2L",0.5,0)),0)</f>
        <v>0</v>
      </c>
      <c r="DB280" s="146">
        <f>IF(DB$3=$K280,IF($C280="W",1,IF($C280="1/2W",0.5,0)),0)</f>
        <v>0</v>
      </c>
      <c r="DC280" s="146">
        <f>IF(DB$3=$K280,IF($C280="L",1,IF($C280="1/2L",0.5,0)),0)</f>
        <v>0</v>
      </c>
      <c r="DD280" s="146">
        <f>IF(DD$3=$K280,IF($C280="W",1,IF($C280="1/2W",0.5,0)),0)</f>
        <v>0</v>
      </c>
      <c r="DE280" s="147">
        <f>IF(DD$3=$K280,IF($C280="L",1,IF($C280="1/2L",0.5,0)),0)</f>
        <v>0</v>
      </c>
      <c r="DF280" s="143">
        <f>IF(AND(L280&lt;DF$3,$C280="W"),1+DF279,DF279)</f>
        <v>10</v>
      </c>
      <c r="DG280" s="133">
        <f>IF(DF280&gt;DF279,L280+DG279,DG279)</f>
        <v>13.078</v>
      </c>
      <c r="DH280" s="146">
        <f>IF(AND(L280&gt;DH$3,$C280="W"),1+DH279,0+DH279)</f>
        <v>6</v>
      </c>
      <c r="DI280" s="133">
        <f>IF(DH280&gt;DH279,L280+DI279,DI279)</f>
        <v>30.83</v>
      </c>
      <c r="DJ280" t="s" s="304">
        <f>IF($D280="","",$D280)</f>
        <v>229</v>
      </c>
      <c r="DK280" s="146">
        <f>IF(AND($B280=" ",$D280&lt;&gt;""),1,0)</f>
        <v>0</v>
      </c>
    </row>
    <row r="281" ht="14.55" customHeight="1">
      <c r="A281" s="107"/>
      <c r="B281" s="108"/>
      <c r="C281" t="s" s="109">
        <v>56</v>
      </c>
      <c r="D281" s="110"/>
      <c r="E281" s="111"/>
      <c r="F281" s="113"/>
      <c r="G281" s="252"/>
      <c r="H281" s="114"/>
      <c r="I281" t="s" s="275">
        <v>67</v>
      </c>
      <c r="J281" s="276">
        <f>IF(OR(I280="TO",I280="TU",I280="TO1",I280="TU1",I280="TO2",I280="TU2"),J280,IF(OR(I280="AH1",I280="AH2"),IF(OR(I281="AH1",I281="AH2"),-J280,IF(OR(I281="EH1",I281="EH2"),-J280+0.5,"")),IF(OR(I280="EH1",I280="EH2"),IF(OR(I281="AH1",I281="AH2"),-J280+0.5,IF(OR(I281="EH1",I281="EH2"),-J280+1,"")),IF(AND(OR(I280="DNB1",I280="DNB2"),OR(I281="AH1",I281="AH2")),0,IF(AND(I280="Not ScoreBoth",OR(I281="TO1",I281="TO2")),0.5,"")))))</f>
        <v>8.5</v>
      </c>
      <c r="K281" t="s" s="117">
        <v>41</v>
      </c>
      <c r="L281" s="277">
        <v>2.3</v>
      </c>
      <c r="M281" s="278">
        <v>10.38</v>
      </c>
      <c r="N281" s="120"/>
      <c r="O281" s="121">
        <f>IF(OR(AE280="",AE281=""),"",ROUND(IF(L282&gt;0,IF(M281&gt;0,M281,IF(M280&gt;0,IF(N280=TRUE,ROUND((M280*AE281)/AE280,0),(M280*AE281)/AE280),IF(M281&gt;0,ROUND(M281,IF(N280=0,2,IF(N280=0.1,1,0))),IF(M282&gt;0,ROUND(O282*AE281/AE282,IF(N280=0,2,IF(N280=0.1,1,0))),0)))),IF(M281&gt;0,M281,ROUND((M280*AE281)/AE280,IF(N280=0,2,IF(N280=0.1,1,0))))),2))</f>
        <v>10.38</v>
      </c>
      <c r="P281" s="122">
        <f>IF(OR(L281="",O281=""),"",IF($C281="1/2W",O281/2+O281/2*L281,IF($C281="1/2L",O281/2,IF(I281="Lay",((O281*(L281/(L281-1)))-O281)*(1-_xlfn.XLOOKUP(K281,'Janeiro 2023 - Valor Real'!A3:A15,'Janeiro 2023 - Valor Real'!C3:C15,0))+O281,(O281*L281-O281)*(1-_xlfn.XLOOKUP(K281,'Janeiro 2023 - Valor Real'!A3:A15,'Janeiro 2023 - Valor Real'!C3:C15,0))+O281))))</f>
        <v>23.874</v>
      </c>
      <c r="Q281" s="279">
        <f>IF(K281="","",IF(_xlfn.XLOOKUP(K281,K$95:K143,DJ$95:DJ143,0,,-1)=DJ281,_xlfn.XLOOKUP(K281,K$95:K143,Q$95:Q143,1,,-1)+1,1))</f>
        <v>1</v>
      </c>
      <c r="R281" s="280">
        <f>IF(K281="","",_xlfn.XLOOKUP(K281,K$95:K143,R$95:R143,0,,-1)+IF($C281=" ",1,0))</f>
        <v>0</v>
      </c>
      <c r="S281" s="125"/>
      <c r="T281" s="126"/>
      <c r="U281" s="126"/>
      <c r="V281" s="224"/>
      <c r="W281" s="126"/>
      <c r="X281" s="127"/>
      <c r="Y281" s="128"/>
      <c r="Z281" s="129"/>
      <c r="AA281" s="129"/>
      <c r="AB281" s="129"/>
      <c r="AC281" s="129"/>
      <c r="AD281" s="130"/>
      <c r="AE281" s="131">
        <f>IF(L281="","",IF(L282&gt;0,(SUM(((L280-1)*(1-_xlfn.XLOOKUP(K280,'Janeiro 2023 - Valor Real'!A3:A15,'Janeiro 2023 - Valor Real'!C3:C15,0))+1),((L281-1)*(1-_xlfn.XLOOKUP(K281,'Janeiro 2023 - Valor Real'!A3:A15,'Janeiro 2023 - Valor Real'!C3:C15,0))+1),((L282-1)*(1-_xlfn.XLOOKUP(K282,'Janeiro 2023 - Valor Real'!A3:A15,'Janeiro 2023 - Valor Real'!C3:C15,0))+1))/((L281-1)*(1-_xlfn.XLOOKUP(K281,'Janeiro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Real'!C3:C15,0))+1))/((L280-1)*(1-_xlfn.XLOOKUP(K280,'Janeiro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Real'!C3:C15,0))+1))/((L281-1)*(1-_xlfn.XLOOKUP(K281,'Janeiro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Real'!C3:C15,0))+1))/((L282-1)*(1-_xlfn.XLOOKUP(K282,'Janeiro 2023 - Valor Real'!A3:A15,'Janeiro 2023 - Valor Real'!C3:C15,0))+1)),IF(I281="Lay",IF(I280="Lay",((L280/(L280-1)-1)*(1-_xlfn.XLOOKUP(K280,'Janeiro 2023 - Valor Real'!A3:A15,'Janeiro 2023 - Valor Real'!C3:C15,0))+1)/(((L280/(L280-1)-1)*(1-_xlfn.XLOOKUP(K280,'Janeiro 2023 - Valor Real'!A3:A15,'Janeiro 2023 - Valor Real'!C3:C15,0))+1)+((L281/(L281-1)-1)*(1-_xlfn.XLOOKUP(K281,'Janeiro 2023 - Valor Real'!A3:A15,'Janeiro 2023 - Valor Real'!C3:C15,0))+1)),((L280-1)*(1-_xlfn.XLOOKUP(K280,'Janeiro 2023 - Valor Real'!A3:A15,'Janeiro 2023 - Valor Real'!C3:C15,0))+1)/(((L280-1)*(1-_xlfn.XLOOKUP(K280,'Janeiro 2023 - Valor Real'!A3:A15,'Janeiro 2023 - Valor Real'!C3:C15,0))+1)+((L281/(L281-1)-1)*(1-_xlfn.XLOOKUP(K281,'Janeiro 2023 - Valor Real'!A3:A15,'Janeiro 2023 - Valor Real'!C3:C15,0))+1))),IF(I280="Lay",((L280/(L280-1)-1)*(1-_xlfn.XLOOKUP(K280,'Janeiro 2023 - Valor Real'!A3:A15,'Janeiro 2023 - Valor Real'!C3:C15,0))+1)/((((L280/(L280-1)-1)*(1-_xlfn.XLOOKUP(K280,'Janeiro 2023 - Valor Real'!A3:A15,'Janeiro 2023 - Valor Real'!C3:C15,0))+1))+((L281-1)*(1-_xlfn.XLOOKUP(K281,'Janeiro 2023 - Valor Real'!A3:A15,'Janeiro 2023 - Valor Real'!C3:C15,0))+1)),((L280-1)*(1-_xlfn.XLOOKUP(K280,'Janeiro 2023 - Valor Real'!A3:A15,'Janeiro 2023 - Valor Real'!C3:C15,0))+1)/(((L280-1)*(1-_xlfn.XLOOKUP(K280,'Janeiro 2023 - Valor Real'!A3:A15,'Janeiro 2023 - Valor Real'!C3:C15,0))+1)+((L281-1)*(1-_xlfn.XLOOKUP(K281,'Janeiro 2023 - Valor Real'!A3:A15,'Janeiro 2023 - Valor Real'!C3:C15,0))+1))))))</f>
        <v>0.453551912568306</v>
      </c>
      <c r="AF281" s="132">
        <f>IF($K281=AF$3,ROUND(IF(OR($C281="W",$C281="1/2W",$C281="1/2L"),$P281-$O281,IF($C281="X",0,-$O281)),2),0)</f>
        <v>0</v>
      </c>
      <c r="AG281" s="133">
        <f>IF($K281=AG$3,ROUND(IF(OR($C281="W",$C281="1/2W",$C281="1/2L"),$P281-$O281,IF($C281="X",0,-$O281)),2),0)</f>
        <v>0</v>
      </c>
      <c r="AH281" s="133">
        <f>IF($K281=AH$3,ROUND(IF(OR($C281="W",$C281="1/2W",$C281="1/2L"),$P281-$O281,IF($C281="X",0,-$O281)),2),0)</f>
        <v>0</v>
      </c>
      <c r="AI281" s="133">
        <f>IF($K281=AI$3,ROUND(IF(OR($C281="W",$C281="1/2W",$C281="1/2L"),$P281-$O281,IF($C281="X",0,-$O281)),2),0)</f>
        <v>0</v>
      </c>
      <c r="AJ281" s="133">
        <f>IF($K281=AJ$3,ROUND(IF(OR($C281="W",$C281="1/2W",$C281="1/2L"),$P281-$O281,IF($C281="X",0,-$O281)),2),0)</f>
        <v>13.49</v>
      </c>
      <c r="AK281" s="133">
        <f>IF($K281=AK$3,ROUND(IF(OR($C281="W",$C281="1/2W",$C281="1/2L"),$P281-$O281,IF($C281="X",0,-$O281)),2),0)</f>
        <v>0</v>
      </c>
      <c r="AL281" s="133">
        <f>IF($K281=AL$3,ROUND(IF(OR($C281="W",$C281="1/2W",$C281="1/2L"),$P281-$O281,IF($C281="X",0,-$O281)),2),0)</f>
        <v>0</v>
      </c>
      <c r="AM281" s="133">
        <f>IF($K281=AM$3,ROUND(IF(OR($C281="W",$C281="1/2W",$C281="1/2L"),$P281-$O281,IF($C281="X",0,-$O281)),2),0)</f>
        <v>0</v>
      </c>
      <c r="AN281" s="133">
        <f>IF($K281=AN$3,ROUND(IF(OR($C281="W",$C281="1/2W",$C281="1/2L"),$P281-$O281,IF($C281="X",0,-$O281)),2),0)</f>
        <v>0</v>
      </c>
      <c r="AO281" s="133">
        <f>IF($K281=AO$3,ROUND(IF(OR($C281="W",$C281="1/2W",$C281="1/2L"),$P281-$O281,IF($C281="X",0,-$O281)),2),0)</f>
        <v>0</v>
      </c>
      <c r="AP281" s="133">
        <f>IF($K281=AP$3,ROUND(IF(OR($C281="W",$C281="1/2W",$C281="1/2L"),$P281-$O281,IF($C281="X",0,-$O281)),2),0)</f>
        <v>0</v>
      </c>
      <c r="AQ281" s="133">
        <f>IF($K281=AQ$3,ROUND(IF(OR($C281="W",$C281="1/2W",$C281="1/2L"),$P281-$O281,IF($C281="X",0,-$O281)),2),0)</f>
        <v>0</v>
      </c>
      <c r="AR281" s="134">
        <f>IF($K281=AR$3,ROUND(IF(OR($C281="W",$C281="1/2W",$C281="1/2L"),$P281-$O281,IF($C281="X",0,-$O281)),2),0)</f>
        <v>0</v>
      </c>
      <c r="AS281" s="132">
        <f>IF(AND($B280=" ",$K281=AS$3),$O281,0)</f>
        <v>0</v>
      </c>
      <c r="AT281" s="133">
        <f>IF(AND($B280=" ",K281=AT$3),$O281,0)</f>
        <v>0</v>
      </c>
      <c r="AU281" s="133">
        <f>IF(AND($B280=" ",$K281=AU$3),$O281,0)</f>
        <v>0</v>
      </c>
      <c r="AV281" s="133">
        <f>IF(AND($B280=" ",$K281=AV$3),$O281,0)</f>
        <v>0</v>
      </c>
      <c r="AW281" s="133">
        <f>IF(AND($B280=" ",$K281=AW$3),$O281,0)</f>
        <v>0</v>
      </c>
      <c r="AX281" s="133">
        <f>IF(AND($B280=" ",$K281=AX$3),$O281,0)</f>
        <v>0</v>
      </c>
      <c r="AY281" s="135">
        <f>IF(AND($B280=" ",$K281=AY$3),$O281,0)</f>
        <v>0</v>
      </c>
      <c r="AZ281" s="136">
        <f>IF(AND($B280=" ",$K281=AZ$3),$O281,0)</f>
        <v>0</v>
      </c>
      <c r="BA281" s="136">
        <f>IF(AND($B280=" ",$K281=BA$3),$O281,0)</f>
        <v>0</v>
      </c>
      <c r="BB281" s="136">
        <f>IF(AND($B280=" ",$K281=BB$3),$O281,0)</f>
        <v>0</v>
      </c>
      <c r="BC281" s="137">
        <f>IF(AND($B280=" ",$K281=BC$3),$O281,0)</f>
        <v>0</v>
      </c>
      <c r="BD281" s="133">
        <f>IF(AND($B280=" ",$K281=BD$3),$O281,0)</f>
        <v>0</v>
      </c>
      <c r="BE281" s="134">
        <f>IF(AND($B280=" ",$K281=BE$3),$O281,0)</f>
        <v>0</v>
      </c>
      <c r="BF281" s="132">
        <f>IF($K281=BF$3,IF($C281="X",0,$O281),0)</f>
        <v>0</v>
      </c>
      <c r="BG281" s="281">
        <f>IF($K281=BG$3,IF($C281="X",0,$O281),0)</f>
        <v>0</v>
      </c>
      <c r="BH281" s="133">
        <f>IF($K281=BH$3,IF($C281="X",0,$O281),0)</f>
        <v>0</v>
      </c>
      <c r="BI281" s="133">
        <f>IF($K281=BI$3,IF($C281="X",0,$O281),0)</f>
        <v>0</v>
      </c>
      <c r="BJ281" s="133">
        <f>IF($K281=BJ$3,IF($C281="X",0,$O281),0)</f>
        <v>10.38</v>
      </c>
      <c r="BK281" s="133">
        <f>IF($K281=BK$3,IF($C281="X",0,$O281),0)</f>
        <v>0</v>
      </c>
      <c r="BL281" s="133">
        <f>IF($K281=BL$3,IF($C281="X",0,$O281),0)</f>
        <v>0</v>
      </c>
      <c r="BM281" s="135">
        <f>IF($K281=BM$3,IF($C281="X",0,$O281),0)</f>
        <v>0</v>
      </c>
      <c r="BN281" s="136">
        <f>IF($K281=BN$3,IF($C281="X",0,$O281),0)</f>
        <v>0</v>
      </c>
      <c r="BO281" s="136">
        <f>IF($K281=BO$3,IF($C281="X",0,$O281),0)</f>
        <v>0</v>
      </c>
      <c r="BP281" s="136">
        <f>IF($K281=BP$3,IF($C281="X",0,$O281),0)</f>
        <v>0</v>
      </c>
      <c r="BQ281" s="137">
        <f>IF($K281=BQ$3,IF($C281="X",0,$O281),0)</f>
        <v>0</v>
      </c>
      <c r="BR281" s="134">
        <f>IF($K281=BR$3,IF($C281="X",0,$O281),0)</f>
        <v>0</v>
      </c>
      <c r="BS281" s="282"/>
      <c r="BT281" s="283"/>
      <c r="BU281" s="140"/>
      <c r="BV281" s="283"/>
      <c r="BW281" s="140"/>
      <c r="BX281" s="140"/>
      <c r="BY281" s="140"/>
      <c r="BZ281" s="283"/>
      <c r="CA281" s="140"/>
      <c r="CB281" s="140"/>
      <c r="CC281" s="140"/>
      <c r="CD281" s="141"/>
      <c r="CE281" s="142"/>
      <c r="CF281" s="284">
        <f>IF(CF$3=$K281,IF($C281="W",1,IF($C281="1/2W",0.5,0)),0)</f>
        <v>0</v>
      </c>
      <c r="CG281" s="285">
        <f>IF(CF$3=$K281,IF($C281="L",1,IF($C281="1/2L",0.5,0)),0)</f>
        <v>0</v>
      </c>
      <c r="CH281" s="285">
        <f>IF(CH$3=$K281,IF($C281="W",1,IF($C281="1/2W",0.5,0)),0)</f>
        <v>0</v>
      </c>
      <c r="CI281" s="285">
        <f>IF(CH$3=$K281,IF($C281="L",1,IF($C281="1/2L",0.5,0)),0)</f>
        <v>0</v>
      </c>
      <c r="CJ281" s="285">
        <f>IF(CJ$3=$K281,IF($C281="W",1,IF($C281="1/2W",0.5,0)),0)</f>
        <v>0</v>
      </c>
      <c r="CK281" s="285">
        <f>IF(CJ$3=$K281,IF($C281="L",1,IF($C281="1/2L",0.5,0)),0)</f>
        <v>0</v>
      </c>
      <c r="CL281" s="285">
        <f>IF(CL$3=$K281,IF($C281="W",1,IF($C281="1/2W",0.5,0)),0)</f>
        <v>0</v>
      </c>
      <c r="CM281" s="285">
        <f>IF(CL$3=$K281,IF($C281="L",1,IF($C281="1/2L",0.5,0)),0)</f>
        <v>0</v>
      </c>
      <c r="CN281" s="285">
        <f>IF(CN$3=$K281,IF($C281="W",1,IF($C281="1/2W",0.5,0)),0)</f>
        <v>1</v>
      </c>
      <c r="CO281" s="285">
        <f>IF(CN$3=$K281,IF($C281="L",1,IF($C281="1/2L",0.5,0)),0)</f>
        <v>0</v>
      </c>
      <c r="CP281" s="285">
        <f>IF(CP$3=$K281,IF($C281="W",1,IF($C281="1/2W",0.5,0)),0)</f>
        <v>0</v>
      </c>
      <c r="CQ281" s="285">
        <f>IF(CP$3=$K281,IF($C281="L",1,IF($C281="1/2L",0.5,0)),0)</f>
        <v>0</v>
      </c>
      <c r="CR281" s="285">
        <f>IF(CR$3=$K281,IF($C281="W",1,IF($C281="1/2W",0.5,0)),0)</f>
        <v>0</v>
      </c>
      <c r="CS281" s="285">
        <f>IF(CR$3=$K281,IF($C281="L",1,IF($C281="1/2L",0.5,0)),0)</f>
        <v>0</v>
      </c>
      <c r="CT281" s="145">
        <f>IF(CT$3=$K281,IF($C281="W",1,IF($C281="1/2W",0.5,0)),0)</f>
        <v>0</v>
      </c>
      <c r="CU281" s="146">
        <f>IF(CT$3=$K281,IF($C281="L",1,IF($C281="1/2L",0.5,0)),0)</f>
        <v>0</v>
      </c>
      <c r="CV281" s="146">
        <f>IF(CV$3=$K281,IF($C281="W",1,IF($C281="1/2W",0.5,0)),0)</f>
        <v>0</v>
      </c>
      <c r="CW281" s="146">
        <f>IF(CV$3=$K281,IF($C281="L",1,IF($C281="1/2L",0.5,0)),0)</f>
        <v>0</v>
      </c>
      <c r="CX281" s="146">
        <f>IF(CX$3=$K281,IF($C281="W",1,IF($C281="1/2W",0.5,0)),0)</f>
        <v>0</v>
      </c>
      <c r="CY281" s="146">
        <f>IF(CX$3=$K281,IF($C281="L",1,IF($C281="1/2L",0.5,0)),0)</f>
        <v>0</v>
      </c>
      <c r="CZ281" s="146">
        <f>IF(CZ$3=$K281,IF($C281="W",1,IF($C281="1/2W",0.5,0)),0)</f>
        <v>0</v>
      </c>
      <c r="DA281" s="146">
        <f>IF(CZ$3=$K281,IF($C281="L",1,IF($C281="1/2L",0.5,0)),0)</f>
        <v>0</v>
      </c>
      <c r="DB281" s="146">
        <f>IF(DB$3=$K281,IF($C281="W",1,IF($C281="1/2W",0.5,0)),0)</f>
        <v>0</v>
      </c>
      <c r="DC281" s="146">
        <f>IF(DB$3=$K281,IF($C281="L",1,IF($C281="1/2L",0.5,0)),0)</f>
        <v>0</v>
      </c>
      <c r="DD281" s="146">
        <f>IF(DD$3=$K281,IF($C281="W",1,IF($C281="1/2W",0.5,0)),0)</f>
        <v>0</v>
      </c>
      <c r="DE281" s="147">
        <f>IF(DD$3=$K281,IF($C281="L",1,IF($C281="1/2L",0.5,0)),0)</f>
        <v>0</v>
      </c>
      <c r="DF281" s="143">
        <f>IF(AND(L281&lt;DF$3,$C281="W"),1+DF280,DF280)</f>
        <v>10</v>
      </c>
      <c r="DG281" s="133">
        <f>IF(DF281&gt;DF280,L281+DG280,DG280)</f>
        <v>13.078</v>
      </c>
      <c r="DH281" s="146">
        <f>IF(AND(L281&gt;DH$3,$C281="W"),1+DH280,0+DH280)</f>
        <v>6</v>
      </c>
      <c r="DI281" s="133">
        <f>IF(DH281&gt;DH280,L281+DI280,DI280)</f>
        <v>30.83</v>
      </c>
      <c r="DJ281" t="s" s="304">
        <f>IF($D280="","",$D280)</f>
        <v>229</v>
      </c>
      <c r="DK281" s="286"/>
    </row>
    <row r="282" ht="14.55" customHeight="1">
      <c r="A282" s="149"/>
      <c r="B282" s="150"/>
      <c r="C282" t="s" s="151">
        <v>58</v>
      </c>
      <c r="D282" s="152"/>
      <c r="E282" s="153"/>
      <c r="F282" s="155"/>
      <c r="G282" s="252"/>
      <c r="H282" s="156"/>
      <c r="I282" s="287"/>
      <c r="J282" s="288"/>
      <c r="K282" s="156"/>
      <c r="L282" s="289"/>
      <c r="M282" s="290"/>
      <c r="N282" s="161"/>
      <c r="O282" t="s" s="162">
        <f>IF(OR(AE280="",AE281=""),"",IF(L282&gt;0,ROUND(IF(M282&gt;0,M282,IF(M280&gt;0,ROUND((M280*AE282)/AE280,IF(N280=0,2,IF(N280=0.1,1,0))),IF(M281&gt;0,ROUND((M281*AE282)/AE281,IF(N280=0,2,IF(N280=0.1,1,0))),IF(M282&gt;0,M282,0)))),2),""))</f>
      </c>
      <c r="P282" t="s" s="163">
        <f>IF(I281="Lay",O281*(L281/(L281-1))-O281,IF(I280="Lay",O280*(L280/(L280-1))-O280,IF(OR(L282="",O282=""),"",IF($C282="1/2W",O282/2+O282/2*L282,IF($C282="1/2L",O282/2,(O282*L282-O282)*(1-_xlfn.XLOOKUP(K282,'Janeiro 2023 - Valor Real'!A3:A15,'Janeiro 2023 - Valor Real'!C3:C15,0))+O282)))))</f>
      </c>
      <c r="Q282" t="s" s="154">
        <f>IF(K282="","",IF(_xlfn.XLOOKUP(K282,K$96:K144,DJ$96:DJ144,0,,-1)=DJ282,_xlfn.XLOOKUP(K282,K$96:K144,Q$96:Q144,1,,-1)+1,1))</f>
      </c>
      <c r="R282" t="s" s="163">
        <f>IF(K282="","",_xlfn.XLOOKUP(K282,K$96:K144,R$96:R144,0,,-1)+IF($C282=" ",1,0))</f>
      </c>
      <c r="S282" s="166"/>
      <c r="T282" s="155"/>
      <c r="U282" s="155"/>
      <c r="V282" s="166"/>
      <c r="W282" s="155"/>
      <c r="X282" s="167"/>
      <c r="Y282" s="128"/>
      <c r="Z282" s="129"/>
      <c r="AA282" s="129"/>
      <c r="AB282" s="129"/>
      <c r="AC282" s="129"/>
      <c r="AD282" s="168"/>
      <c r="AE282" t="s" s="169">
        <f>IF(L282="","",(SUM(((L280-1)*(1-_xlfn.XLOOKUP(K280,'Janeiro 2023 - Valor Real'!A3:A15,'Janeiro 2023 - Valor Real'!C3:C15,0))+1),((L281-1)*(1-_xlfn.XLOOKUP(K281,'Janeiro 2023 - Valor Real'!A3:A15,'Janeiro 2023 - Valor Real'!C3:C15,0))+1),((L282-1)*(1-_xlfn.XLOOKUP(K282,'Janeiro 2023 - Valor Real'!A3:A15,'Janeiro 2023 - Valor Real'!C3:C15,0))+1))/((L282-1)*(1-_xlfn.XLOOKUP(K282,'Janeiro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Real'!C3:C15,0))+1))/((L280-1)*(1-_xlfn.XLOOKUP(K280,'Janeiro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Real'!C3:C15,0))+1))/((L281-1)*(1-_xlfn.XLOOKUP(K281,'Janeiro 2023 - Valor Real'!A3:A15,'Janeiro 2023 - Valor Real'!C3:C15,0))+1)+SUM(((L280-1)*(1-_xlfn.XLOOKUP(K280,'Janeiro 2023 - Valor Real'!A3:A15,'Janeiro 2023 - Valor Real'!C3:C15,0))+1),((L281-1)*(1-_xlfn.XLOOKUP(K281,'Janeiro 2023 - Valor Real'!A3:A15,'Janeiro 2023 - Valor Real'!C3:C15,0))+1),((L282-1)*(1-_xlfn.XLOOKUP(K282,'Janeiro 2023 - Valor Real'!A3:A15,'Janeiro 2023 - Valor Real'!C3:C15,0))+1))/((L282-1)*(1-_xlfn.XLOOKUP(K282,'Janeiro 2023 - Valor Real'!A3:A15,'Janeiro 2023 - Valor Real'!C3:C15,0))+1)))</f>
      </c>
      <c r="AF282" s="132">
        <f>IF($K282=AF$3,ROUND(IF(OR($C282="W",$C282="1/2W",$C282="1/2L"),$P282-$O282,IF($C282="X",0,-$O282)),2),0)</f>
        <v>0</v>
      </c>
      <c r="AG282" s="133">
        <f>IF($K282=AG$3,ROUND(IF(OR($C282="W",$C282="1/2W",$C282="1/2L"),$P282-$O282,IF($C282="X",0,-$O282)),2),0)</f>
        <v>0</v>
      </c>
      <c r="AH282" s="133">
        <f>IF($K282=AH$3,ROUND(IF(OR($C282="W",$C282="1/2W",$C282="1/2L"),$P282-$O282,IF($C282="X",0,-$O282)),2),0)</f>
        <v>0</v>
      </c>
      <c r="AI282" s="133">
        <f>IF($K282=AI$3,ROUND(IF(OR($C282="W",$C282="1/2W",$C282="1/2L"),$P282-$O282,IF($C282="X",0,-$O282)),2),0)</f>
        <v>0</v>
      </c>
      <c r="AJ282" s="133">
        <f>IF($K282=AJ$3,ROUND(IF(OR($C282="W",$C282="1/2W",$C282="1/2L"),$P282-$O282,IF($C282="X",0,-$O282)),2),0)</f>
        <v>0</v>
      </c>
      <c r="AK282" s="133">
        <f>IF($K282=AK$3,ROUND(IF(OR($C282="W",$C282="1/2W",$C282="1/2L"),$P282-$O282,IF($C282="X",0,-$O282)),2),0)</f>
        <v>0</v>
      </c>
      <c r="AL282" s="133">
        <f>IF($K282=AL$3,ROUND(IF(OR($C282="W",$C282="1/2W",$C282="1/2L"),$P282-$O282,IF($C282="X",0,-$O282)),2),0)</f>
        <v>0</v>
      </c>
      <c r="AM282" s="133">
        <f>IF($K282=AM$3,ROUND(IF(OR($C282="W",$C282="1/2W",$C282="1/2L"),$P282-$O282,IF($C282="X",0,-$O282)),2),0)</f>
        <v>0</v>
      </c>
      <c r="AN282" s="133">
        <f>IF($K282=AN$3,ROUND(IF(OR($C282="W",$C282="1/2W",$C282="1/2L"),$P282-$O282,IF($C282="X",0,-$O282)),2),0)</f>
        <v>0</v>
      </c>
      <c r="AO282" s="133">
        <f>IF($K282=AO$3,ROUND(IF(OR($C282="W",$C282="1/2W",$C282="1/2L"),$P282-$O282,IF($C282="X",0,-$O282)),2),0)</f>
        <v>0</v>
      </c>
      <c r="AP282" s="133">
        <f>IF($K282=AP$3,ROUND(IF(OR($C282="W",$C282="1/2W",$C282="1/2L"),$P282-$O282,IF($C282="X",0,-$O282)),2),0)</f>
        <v>0</v>
      </c>
      <c r="AQ282" s="133">
        <f>IF($K282=AQ$3,ROUND(IF(OR($C282="W",$C282="1/2W",$C282="1/2L"),$P282-$O282,IF($C282="X",0,-$O282)),2),0)</f>
        <v>0</v>
      </c>
      <c r="AR282" s="134">
        <f>IF($K282=AR$3,ROUND(IF(OR($C282="W",$C282="1/2W",$C282="1/2L"),$P282-$O282,IF($C282="X",0,-$O282)),2),0)</f>
        <v>0</v>
      </c>
      <c r="AS282" s="132">
        <f>IF(AND($B280=" ",$K282=AS$3),$O282,0)</f>
        <v>0</v>
      </c>
      <c r="AT282" s="133">
        <f>IF(AND($B280=" ",K282=AT$3),$O282,0)</f>
        <v>0</v>
      </c>
      <c r="AU282" s="133">
        <f>IF(AND($B280=" ",$K282=AU$3),$O282,0)</f>
        <v>0</v>
      </c>
      <c r="AV282" s="133">
        <f>IF(AND($B280=" ",$K282=AV$3),$O282,0)</f>
        <v>0</v>
      </c>
      <c r="AW282" s="133">
        <f>IF(AND($B280=" ",$K282=AW$3),$O282,0)</f>
        <v>0</v>
      </c>
      <c r="AX282" s="133">
        <f>IF(AND($B280=" ",$K282=AX$3),$O282,0)</f>
        <v>0</v>
      </c>
      <c r="AY282" s="135">
        <f>IF(AND($B280=" ",$K282=AY$3),$O282,0)</f>
        <v>0</v>
      </c>
      <c r="AZ282" s="136">
        <f>IF(AND($B280=" ",$K282=AZ$3),$O282,0)</f>
        <v>0</v>
      </c>
      <c r="BA282" s="136">
        <f>IF(AND($B280=" ",$K282=BA$3),$O282,0)</f>
        <v>0</v>
      </c>
      <c r="BB282" s="136">
        <f>IF(AND($B280=" ",$K282=BB$3),$O282,0)</f>
        <v>0</v>
      </c>
      <c r="BC282" s="137">
        <f>IF(AND($B280=" ",$K282=BC$3),$O282,0)</f>
        <v>0</v>
      </c>
      <c r="BD282" s="133">
        <f>IF(AND($B280=" ",$K282=BD$3),$O282,0)</f>
        <v>0</v>
      </c>
      <c r="BE282" s="134">
        <f>IF(AND($B280=" ",$K282=BE$3),$O282,0)</f>
        <v>0</v>
      </c>
      <c r="BF282" s="132">
        <f>IF($K282=BF$3,IF($C282="X",0,$O282),0)</f>
        <v>0</v>
      </c>
      <c r="BG282" s="281">
        <f>IF($K282=BG$3,IF($C282="X",0,$O282),0)</f>
        <v>0</v>
      </c>
      <c r="BH282" s="133">
        <f>IF($K282=BH$3,IF($C282="X",0,$O282),0)</f>
        <v>0</v>
      </c>
      <c r="BI282" s="133">
        <f>IF($K282=BI$3,IF($C282="X",0,$O282),0)</f>
        <v>0</v>
      </c>
      <c r="BJ282" s="133">
        <f>IF($K282=BJ$3,IF($C282="X",0,$O282),0)</f>
        <v>0</v>
      </c>
      <c r="BK282" s="133">
        <f>IF($K282=BK$3,IF($C282="X",0,$O282),0)</f>
        <v>0</v>
      </c>
      <c r="BL282" s="133">
        <f>IF($K282=BL$3,IF($C282="X",0,$O282),0)</f>
        <v>0</v>
      </c>
      <c r="BM282" s="135">
        <f>IF($K282=BM$3,IF($C282="X",0,$O282),0)</f>
        <v>0</v>
      </c>
      <c r="BN282" s="136">
        <f>IF($K282=BN$3,IF($C282="X",0,$O282),0)</f>
        <v>0</v>
      </c>
      <c r="BO282" s="136">
        <f>IF($K282=BO$3,IF($C282="X",0,$O282),0)</f>
        <v>0</v>
      </c>
      <c r="BP282" s="136">
        <f>IF($K282=BP$3,IF($C282="X",0,$O282),0)</f>
        <v>0</v>
      </c>
      <c r="BQ282" s="137">
        <f>IF($K282=BQ$3,IF($C282="X",0,$O282),0)</f>
        <v>0</v>
      </c>
      <c r="BR282" s="134">
        <f>IF($K282=BR$3,IF($C282="X",0,$O282),0)</f>
        <v>0</v>
      </c>
      <c r="BS282" s="282"/>
      <c r="BT282" s="283"/>
      <c r="BU282" s="140"/>
      <c r="BV282" s="283"/>
      <c r="BW282" s="140"/>
      <c r="BX282" s="140"/>
      <c r="BY282" s="140"/>
      <c r="BZ282" s="283"/>
      <c r="CA282" s="140"/>
      <c r="CB282" s="140"/>
      <c r="CC282" s="140"/>
      <c r="CD282" s="141"/>
      <c r="CE282" s="142"/>
      <c r="CF282" s="284">
        <f>IF(CF$3=$K282,IF($C282="W",1,IF($C282="1/2W",0.5,0)),0)</f>
        <v>0</v>
      </c>
      <c r="CG282" s="285">
        <f>IF(CF$3=$K282,IF($C282="L",1,IF($C282="1/2L",0.5,0)),0)</f>
        <v>0</v>
      </c>
      <c r="CH282" s="285">
        <f>IF(CH$3=$K282,IF($C282="W",1,IF($C282="1/2W",0.5,0)),0)</f>
        <v>0</v>
      </c>
      <c r="CI282" s="285">
        <f>IF(CH$3=$K282,IF($C282="L",1,IF($C282="1/2L",0.5,0)),0)</f>
        <v>0</v>
      </c>
      <c r="CJ282" s="285">
        <f>IF(CJ$3=$K282,IF($C282="W",1,IF($C282="1/2W",0.5,0)),0)</f>
        <v>0</v>
      </c>
      <c r="CK282" s="285">
        <f>IF(CJ$3=$K282,IF($C282="L",1,IF($C282="1/2L",0.5,0)),0)</f>
        <v>0</v>
      </c>
      <c r="CL282" s="285">
        <f>IF(CL$3=$K282,IF($C282="W",1,IF($C282="1/2W",0.5,0)),0)</f>
        <v>0</v>
      </c>
      <c r="CM282" s="285">
        <f>IF(CL$3=$K282,IF($C282="L",1,IF($C282="1/2L",0.5,0)),0)</f>
        <v>0</v>
      </c>
      <c r="CN282" s="285">
        <f>IF(CN$3=$K282,IF($C282="W",1,IF($C282="1/2W",0.5,0)),0)</f>
        <v>0</v>
      </c>
      <c r="CO282" s="285">
        <f>IF(CN$3=$K282,IF($C282="L",1,IF($C282="1/2L",0.5,0)),0)</f>
        <v>0</v>
      </c>
      <c r="CP282" s="285">
        <f>IF(CP$3=$K282,IF($C282="W",1,IF($C282="1/2W",0.5,0)),0)</f>
        <v>0</v>
      </c>
      <c r="CQ282" s="285">
        <f>IF(CP$3=$K282,IF($C282="L",1,IF($C282="1/2L",0.5,0)),0)</f>
        <v>0</v>
      </c>
      <c r="CR282" s="285">
        <f>IF(CR$3=$K282,IF($C282="W",1,IF($C282="1/2W",0.5,0)),0)</f>
        <v>0</v>
      </c>
      <c r="CS282" s="285">
        <f>IF(CR$3=$K282,IF($C282="L",1,IF($C282="1/2L",0.5,0)),0)</f>
        <v>0</v>
      </c>
      <c r="CT282" s="145">
        <f>IF(CT$3=$K282,IF($C282="W",1,IF($C282="1/2W",0.5,0)),0)</f>
        <v>0</v>
      </c>
      <c r="CU282" s="146">
        <f>IF(CT$3=$K282,IF($C282="L",1,IF($C282="1/2L",0.5,0)),0)</f>
        <v>0</v>
      </c>
      <c r="CV282" s="146">
        <f>IF(CV$3=$K282,IF($C282="W",1,IF($C282="1/2W",0.5,0)),0)</f>
        <v>0</v>
      </c>
      <c r="CW282" s="146">
        <f>IF(CV$3=$K282,IF($C282="L",1,IF($C282="1/2L",0.5,0)),0)</f>
        <v>0</v>
      </c>
      <c r="CX282" s="146">
        <f>IF(CX$3=$K282,IF($C282="W",1,IF($C282="1/2W",0.5,0)),0)</f>
        <v>0</v>
      </c>
      <c r="CY282" s="146">
        <f>IF(CX$3=$K282,IF($C282="L",1,IF($C282="1/2L",0.5,0)),0)</f>
        <v>0</v>
      </c>
      <c r="CZ282" s="146">
        <f>IF(CZ$3=$K282,IF($C282="W",1,IF($C282="1/2W",0.5,0)),0)</f>
        <v>0</v>
      </c>
      <c r="DA282" s="146">
        <f>IF(CZ$3=$K282,IF($C282="L",1,IF($C282="1/2L",0.5,0)),0)</f>
        <v>0</v>
      </c>
      <c r="DB282" s="146">
        <f>IF(DB$3=$K282,IF($C282="W",1,IF($C282="1/2W",0.5,0)),0)</f>
        <v>0</v>
      </c>
      <c r="DC282" s="146">
        <f>IF(DB$3=$K282,IF($C282="L",1,IF($C282="1/2L",0.5,0)),0)</f>
        <v>0</v>
      </c>
      <c r="DD282" s="146">
        <f>IF(DD$3=$K282,IF($C282="W",1,IF($C282="1/2W",0.5,0)),0)</f>
        <v>0</v>
      </c>
      <c r="DE282" s="147">
        <f>IF(DD$3=$K282,IF($C282="L",1,IF($C282="1/2L",0.5,0)),0)</f>
        <v>0</v>
      </c>
      <c r="DF282" s="143">
        <f>IF(AND(L282&lt;DF$3,$C282="W"),1+DF281,DF281)</f>
        <v>10</v>
      </c>
      <c r="DG282" s="133">
        <f>IF(DF282&gt;DF281,L282+DG281,DG281)</f>
        <v>13.078</v>
      </c>
      <c r="DH282" s="146">
        <f>IF(AND(L282&gt;DH$3,$C282="W"),1+DH281,0+DH281)</f>
        <v>6</v>
      </c>
      <c r="DI282" s="133">
        <f>IF(DH282&gt;DH281,L282+DI281,DI281)</f>
        <v>30.83</v>
      </c>
      <c r="DJ282" t="s" s="304">
        <f>IF($D280="","",$D280)</f>
        <v>229</v>
      </c>
      <c r="DK282" s="286"/>
    </row>
    <row r="283" ht="14.55" customHeight="1">
      <c r="A283" s="171">
        <f>$A280+1</f>
        <v>94</v>
      </c>
      <c r="B283" t="s" s="172">
        <f>IF(AND(_xlfn.XLOOKUP(H283,H$97:H139,G$97:G139,0)=G283,_xlfn.XLOOKUP("TempoBet",K283:K285,L283:L285,0)&gt;0),"X",IF(OR(C283="W",C284="W",C285="W",C283="1/2W",C284="1/2W",C285="1/2W",C283="1/2L",C284="1/2L",C285="1/2L"),"OK",IF(OR(C283="L",C284="L",C285="L"),"LOSS",IF(OR(C283="X",C284="X",C285="X"),"Anulado"," "))))</f>
        <v>50</v>
      </c>
      <c r="C283" t="s" s="173">
        <v>51</v>
      </c>
      <c r="D283" t="s" s="305">
        <f>IF(G283="","",$D280)</f>
        <v>229</v>
      </c>
      <c r="E283" t="s" s="175">
        <f>IF(G283=""," ","– "&amp;COUNTIF(D$4:D285,$D283))</f>
        <v>150</v>
      </c>
      <c r="F283" t="s" s="176"/>
      <c r="G283" s="177">
        <v>44945.9375</v>
      </c>
      <c r="H283" t="s" s="178">
        <v>258</v>
      </c>
      <c r="I283" t="s" s="179">
        <v>65</v>
      </c>
      <c r="J283" s="291">
        <v>12.5</v>
      </c>
      <c r="K283" t="s" s="181">
        <v>37</v>
      </c>
      <c r="L283" s="182">
        <v>4.5</v>
      </c>
      <c r="M283" s="183"/>
      <c r="N283" s="184">
        <v>0.1</v>
      </c>
      <c r="O283" s="185">
        <f>IF(OR(AE283="",AE284=""),"",ROUND(IF(L285&gt;0,IF(M283&gt;0,M283,IF(M284&gt;0,ROUND((M284*AE283)/AE284,IF(N283=0,2,IF(N283=0.1,1,0))),ROUND((M285*AE283)/AE285,IF(N283=0,2,IF(N283=0.1,1,0))))),IF(M283&gt;0,M283,ROUND((M284*AE283)/AE284,IF(N283=0,2,IF(N283=0.1,1,0))))),2))</f>
        <v>7.8</v>
      </c>
      <c r="P283" s="186">
        <f>IF(OR(L283="",O283=""),"",IF($C283="1/2W",O283/2+O283/2*L283,IF($C283="1/2L",O283/2,IF(I283="Lay",(O283*(L283/(L283-1))-O283)*(1-_xlfn.XLOOKUP(K283,'Janeiro 2023 - Valor Real'!A3:A15,'Janeiro 2023 - Valor Real'!C3:C15,0))+O283,(O283*L283-O283)*(1-_xlfn.XLOOKUP(K283,'Janeiro 2023 - Valor Real'!A3:A15,'Janeiro 2023 - Valor Real'!C3:C15,0))+O283))))</f>
        <v>35.1</v>
      </c>
      <c r="Q283" s="187">
        <f>IF(K283="","",IF(_xlfn.XLOOKUP(K283,K$97:K139,DJ$97:DJ139,0,,-1)=DJ283,_xlfn.XLOOKUP(K283,K$97:K139,Q$97:Q139,1,,-1)+1,1))</f>
        <v>1</v>
      </c>
      <c r="R283" s="188">
        <f>IF(K283="","",_xlfn.XLOOKUP(K283,K$97:K139,R$97:R139,0,,-1)+IF($C283=" ",1,0))</f>
        <v>0</v>
      </c>
      <c r="S283" s="189">
        <f>IF($B283="Anulado",0,ROUND(IF(OR($B283="LOSS",$B283="OK"),IF(OR($C283="W",$C283="1/2W",$C283="1/2L"),P283-O283,IF($C283="L",-O283,0))+IF(OR($C284="W",$C284="1/2W",$C284="1/2L"),P284-O284,IF($C284="L",-O284,0))+IF(OR($C285="W",$C285="1/2W",$C285="1/2L"),P285-O285,IF($C285="L",-O285,0)),IF(AND(OR($C283="W",$C283="1/2W",$C283="1/2L"),C284="W"),P283+P284-SUM(O283:O285)+_xlfn.XLOOKUP("X",C283:C285,O283:O285,0),IF(AND(C283=TRUE,C285="W"),P283+P285-SUM(O283:O285),IF(AND(C284="W",C285="W"),P284+P285-SUM(O283:O285)+_xlfn.XLOOKUP("X",C283:C285,O283:O285,0),IF(L285&gt;0,IF(OR($C283="W",$C283="1/2W",$C283="1/2L"),P283-SUM(O283:O285)+_xlfn.XLOOKUP("X",C283:C285,O283:O285,0),IF(OR($C283="W",$C283="1/2W",$C283="1/2L"),P284-SUM(O283:O285)+_xlfn.XLOOKUP("X",C283:C285,O283:O285,0),IF(OR($C283="W",$C283="1/2W",$C283="1/2L"),P285-SUM(O283:O285)+_xlfn.XLOOKUP("X",C283:C285,O283:O285,0),IF(SUM(P283:P285)/3-SUM(O283:O285)+_xlfn.XLOOKUP("X",C283:C285,O283:O285,0)&gt;0,SUM(P283:P285)/3-SUM(O283:O285)+_xlfn.XLOOKUP("X",C283:C285,O283:O285,0),LARGE(P283:P285,1)-SUM(O283:O285))))),IF(OR($C283="W",$C283="1/2W",$C283="1/2L"),P283-SUM(O283:O284)+_xlfn.XLOOKUP("X",C283:C285,O283:O285,0),IF(OR($C283="W",$C283="1/2W",$C283="1/2L"),P284-SUM(O283:O284)+_xlfn.XLOOKUP("X",C283:C285,O283:O285,0),SUM(P283:P284)/2-SUM(O283:O284)+_xlfn.XLOOKUP("X",C283:C285,O283:O285,0)))))))),2))</f>
        <v>2.95</v>
      </c>
      <c r="T283" s="190">
        <f>IF(S283=0,0,S283/SUM(O283:O285))</f>
        <v>0.0915296307787775</v>
      </c>
      <c r="U283" s="191">
        <f>IF($D283=$D280,IF(OR($B283="LOSS",$B283="OK",$B283="Anulada"),S283,0)+U280,IF(OR($B283="LOSS",$B283="OK",$B283="Anulada"),S283,0))</f>
        <v>24.2</v>
      </c>
      <c r="V283" s="191">
        <f>IF($D283="",0,IF($D283=$D280,IF($B283=" ",IF(I285="",IF(OR(AND(I283="DNB1",I284="DNB2"),AND(OR(I283="DNB1",I283="DNB2"),J284=0),AND(OR(I284="DNB1",I284="DNB2"),J283=0),AND(I283="DNB2",I284="DNB1"),AND(IF(J283=0,(J283+1)/ROUND(J283+1,0),J283/ROUND(J283,0))=1,IF(J284=0,(J284+1)/ROUND(IF(J284="",0,J284)+1,0),IF(J284="",0,J284)/ROUND(IF(J284="",1,J284),0))=1,OR(J283&lt;&gt;""),J284&lt;&gt;"")),0,IF(S283&lt;0,IF(I285="",SMALL(P283:P284,1)-SUM(O283:O284),0),SMALL(P283:P284,1)-SUM(O283:O284))),IF(S283&lt;0,IF(I285="",SMALL(P283:P285,1)-SUM(O283:O285),0),LARGE(P283:P285,1)-SUM(O283:O285))),S283)+V280,IF(I285="",IF(OR(AND(I283="DNB1",I284="DNB2"),AND(OR(I283="DNB1",I283="DNB2"),J284=0),AND(OR(I284="DNB1",I284="DNB2"),J283=0),AND(I283="DNB2",I284="DNB1"),AND(IF(J283=0,(J283+1)/ROUND(J283+1,0),J283/ROUND(J283,0))=1,IF(J284=0,(IF(J284="",0,J284)+1)/ROUND(IF(J284="",0,J284)+1,0),IF(J284="",0,J284)/ROUND(IF(J284="",0,J284)+1,0))=1,OR(J283&lt;&gt;""),J284&lt;&gt;"")),0,IF(S283&lt;0,IF(I285="",SMALL(P283:P284,1)-SUM(O283:O284),0),SMALL(P283:P285,1)-SUM(O283:O285))),IF(S283&lt;0,IF(I285="",SMALL(P283:P285,1)-SUM(O283:O285),0),LARGE(P283:P285,1)-SUM(O283:O285)))))</f>
        <v>24.196</v>
      </c>
      <c r="W283" s="191">
        <f>IF($D283=$D280,IF(S283&lt;0,IF(I285="",S283,0),S283)+W280,S283)</f>
        <v>24.2</v>
      </c>
      <c r="X283" t="s" s="192">
        <f>IF(OR(SUM(R283:R285)=0,V283=W283),ROUND(IF(W283=0,0,W283/Y283)*100,2)&amp;"%",ROUND(IF(V283=0,0,V283/Y283)*100,2)&amp;"% a "&amp;ROUND(IF(W283=0,0,W283/Y283)*100,2)&amp;"%")</f>
        <v>259</v>
      </c>
      <c r="Y283" s="193">
        <f>IF($D283=$D280,Y280+SUM(O283:O285),SUM(O283:O285))</f>
        <v>576.05</v>
      </c>
      <c r="Z283" s="191">
        <f>IF($B283=" ",SUM(O283:O285),0)+Z280</f>
        <v>0</v>
      </c>
      <c r="AA283" s="191">
        <f>IF(G283="","",IF($B283="Anulado",LARGE(P283:P285,1)-SUM(O283:O285)+AA280,AA280))</f>
        <v>16.5099</v>
      </c>
      <c r="AB283" s="191">
        <f>IF($D283="","",AB280+S283)</f>
        <v>226.37</v>
      </c>
      <c r="AC283" s="194">
        <f>IF($D283="","",IF($B283=" ",IF(DAY(G283)=DAY(TODAY()),1+AC280,0+AC280),0+AC280))</f>
        <v>0</v>
      </c>
      <c r="AD283" s="195">
        <f>(((L284/(L284-1)-1)*(1-_xlfn.XLOOKUP(K284,'Janeiro 2023 - Valor Real'!A3:A15,'Janeiro 2023 - Valor Real'!C3:C15,0))+1))/(((L283-1)*(1-_xlfn.XLOOKUP(K283,'Janeiro 2023 - Valor Real'!A3:A15,'Janeiro 2023 - Valor Real'!C3:C15,0))+1)+((L284/(L284-1)-1)*(1-_xlfn.XLOOKUP(K284,'Janeiro 2023 - Valor Real'!A3:A15,'Janeiro 2023 - Valor Real'!C3:C15,0))+1))</f>
        <v>0.421052631578947</v>
      </c>
      <c r="AE283" s="196">
        <f>IF(L283="","",IF(L285&gt;0,(SUM(((L283-1)*(1-_xlfn.XLOOKUP(K283,'Janeiro 2023 - Valor Real'!A3:A15,'Janeiro 2023 - Valor Real'!C3:C15,0))+1),((L284-1)*(1-_xlfn.XLOOKUP(K284,'Janeiro 2023 - Valor Real'!A3:A15,'Janeiro 2023 - Valor Real'!C3:C15,0))+1),((L285-1)*(1-_xlfn.XLOOKUP(K285,'Janeiro 2023 - Valor Real'!A3:A15,'Janeiro 2023 - Valor Real'!C3:C15,0))+1))/((L283-1)*(1-_xlfn.XLOOKUP(K283,'Janeiro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Real'!C3:C15,0))+1))/((L283-1)*(1-_xlfn.XLOOKUP(K283,'Janeiro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Real'!C3:C15,0))+1))/((L284-1)*(1-_xlfn.XLOOKUP(K284,'Janeiro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Real'!C3:C15,0))+1))/((L285-1)*(1-_xlfn.XLOOKUP(K285,'Janeiro 2023 - Valor Real'!A3:A15,'Janeiro 2023 - Valor Real'!C3:C15,0))+1)),IF(I283="Lay",IF(I284="Lay",((L284/(L284-1)-1)*(1-_xlfn.XLOOKUP(K284,'Janeiro 2023 - Valor Real'!A3:A15,'Janeiro 2023 - Valor Real'!C3:C15,0))+1)/(((L284/(L284-1)-1)*(1-_xlfn.XLOOKUP(K284,'Janeiro 2023 - Valor Real'!A3:A15,'Janeiro 2023 - Valor Real'!C3:C15,0))+1)+((L283/(L283-1)-1)*(1-_xlfn.XLOOKUP(K283,'Janeiro 2023 - Valor Real'!A3:A15,'Janeiro 2023 - Valor Real'!C3:C15,0))+1)),((L284-1)*(1-_xlfn.XLOOKUP(K284,'Janeiro 2023 - Valor Real'!A3:A15,'Janeiro 2023 - Valor Real'!C3:C15,0))+1)/(((L284-1)*(1-_xlfn.XLOOKUP(K284,'Janeiro 2023 - Valor Real'!A3:A15,'Janeiro 2023 - Valor Real'!C3:C15,0))+1)+((L283/(L283-1)-1)*(1-_xlfn.XLOOKUP(K283,'Janeiro 2023 - Valor Real'!A3:A15,'Janeiro 2023 - Valor Real'!C3:C15,0))+1))),IF(I284="Lay",(((L284/(L284-1)-1)*(1-_xlfn.XLOOKUP(K284,'Janeiro 2023 - Valor Real'!A3:A15,'Janeiro 2023 - Valor Real'!C3:C15,0))+1))/(((L283-1)*(1-_xlfn.XLOOKUP(K283,'Janeiro 2023 - Valor Real'!A3:A15,'Janeiro 2023 - Valor Real'!C3:C15,0))+1)+((L284/(L284-1)-1)*(1-_xlfn.XLOOKUP(K284,'Janeiro 2023 - Valor Real'!A3:A15,'Janeiro 2023 - Valor Real'!C3:C15,0))+1)),((L284-1)*(1-_xlfn.XLOOKUP(K284,'Janeiro 2023 - Valor Real'!A3:A15,'Janeiro 2023 - Valor Real'!C3:C15,0))+1)/(((L284-1)*(1-_xlfn.XLOOKUP(K284,'Janeiro 2023 - Valor Real'!A3:A15,'Janeiro 2023 - Valor Real'!C3:C15,0))+1)+((L283-1)*(1-_xlfn.XLOOKUP(K283,'Janeiro 2023 - Valor Real'!A3:A15,'Janeiro 2023 - Valor Real'!C3:C15,0))+1))))))</f>
        <v>0.242424242424242</v>
      </c>
      <c r="AF283" s="197">
        <f>IF($K283=AF$3,ROUND(IF(OR($C283="W",$C283="1/2W",$C283="1/2L"),$P283-$O283,IF($C283="X",0,-$O283)),2),0)</f>
        <v>-7.8</v>
      </c>
      <c r="AG283" s="198">
        <f>IF($K283=AG$3,ROUND(IF(OR($C283="W",$C283="1/2W",$C283="1/2L"),$P283-$O283,IF($C283="X",0,-$O283)),2),0)</f>
        <v>0</v>
      </c>
      <c r="AH283" s="198">
        <f>IF($K283=AH$3,ROUND(IF(OR($C283="W",$C283="1/2W",$C283="1/2L"),$P283-$O283,IF($C283="X",0,-$O283)),2),0)</f>
        <v>0</v>
      </c>
      <c r="AI283" s="198">
        <f>IF($K283=AI$3,ROUND(IF(OR($C283="W",$C283="1/2W",$C283="1/2L"),$P283-$O283,IF($C283="X",0,-$O283)),2),0)</f>
        <v>0</v>
      </c>
      <c r="AJ283" s="198">
        <f>IF($K283=AJ$3,ROUND(IF(OR($C283="W",$C283="1/2W",$C283="1/2L"),$P283-$O283,IF($C283="X",0,-$O283)),2),0)</f>
        <v>0</v>
      </c>
      <c r="AK283" s="198">
        <f>IF($K283=AK$3,ROUND(IF(OR($C283="W",$C283="1/2W",$C283="1/2L"),$P283-$O283,IF($C283="X",0,-$O283)),2),0)</f>
        <v>0</v>
      </c>
      <c r="AL283" s="198">
        <f>IF($K283=AL$3,ROUND(IF(OR($C283="W",$C283="1/2W",$C283="1/2L"),$P283-$O283,IF($C283="X",0,-$O283)),2),0)</f>
        <v>0</v>
      </c>
      <c r="AM283" s="198">
        <f>IF($K283=AM$3,ROUND(IF(OR($C283="W",$C283="1/2W",$C283="1/2L"),$P283-$O283,IF($C283="X",0,-$O283)),2),0)</f>
        <v>0</v>
      </c>
      <c r="AN283" s="198">
        <f>IF($K283=AN$3,ROUND(IF(OR($C283="W",$C283="1/2W",$C283="1/2L"),$P283-$O283,IF($C283="X",0,-$O283)),2),0)</f>
        <v>0</v>
      </c>
      <c r="AO283" s="198">
        <f>IF($K283=AO$3,ROUND(IF(OR($C283="W",$C283="1/2W",$C283="1/2L"),$P283-$O283,IF($C283="X",0,-$O283)),2),0)</f>
        <v>0</v>
      </c>
      <c r="AP283" s="198">
        <f>IF($K283=AP$3,ROUND(IF(OR($C283="W",$C283="1/2W",$C283="1/2L"),$P283-$O283,IF($C283="X",0,-$O283)),2),0)</f>
        <v>0</v>
      </c>
      <c r="AQ283" s="198">
        <f>IF($K283=AQ$3,ROUND(IF(OR($C283="W",$C283="1/2W",$C283="1/2L"),$P283-$O283,IF($C283="X",0,-$O283)),2),0)</f>
        <v>0</v>
      </c>
      <c r="AR283" s="199">
        <f>IF($K283=AR$3,ROUND(IF(OR($C283="W",$C283="1/2W",$C283="1/2L"),$P283-$O283,IF($C283="X",0,-$O283)),2),0)</f>
        <v>0</v>
      </c>
      <c r="AS283" s="197">
        <f>IF(AND($B283=" ",$K283=AS$3),$O283,0)</f>
        <v>0</v>
      </c>
      <c r="AT283" s="198">
        <f>IF(AND($B283=" ",$K283=AT$3),$O283,0)</f>
        <v>0</v>
      </c>
      <c r="AU283" s="198">
        <f>IF(AND($B283=" ",$K283=AU$3),$O283,0)</f>
        <v>0</v>
      </c>
      <c r="AV283" s="198">
        <f>IF(AND($B283=" ",$K283=AV$3),$O283,0)</f>
        <v>0</v>
      </c>
      <c r="AW283" s="198">
        <f>IF(AND($B283=" ",$K283=AW$3),$O283,0)</f>
        <v>0</v>
      </c>
      <c r="AX283" s="198">
        <f>IF(AND($B283=" ",$K283=AX$3),$O283,0)</f>
        <v>0</v>
      </c>
      <c r="AY283" s="200">
        <f>IF(AND($B283=" ",$K283=AY$3),$O283,0)</f>
        <v>0</v>
      </c>
      <c r="AZ283" s="201">
        <f>IF(AND($B283=" ",$K283=AZ$3),$O283,0)</f>
        <v>0</v>
      </c>
      <c r="BA283" s="201">
        <f>IF(AND($B283=" ",$K283=BA$3),$O283,0)</f>
        <v>0</v>
      </c>
      <c r="BB283" s="201">
        <f>IF(AND($B283=" ",$K283=BB$3),$O283,0)</f>
        <v>0</v>
      </c>
      <c r="BC283" s="202">
        <f>IF(AND($B283=" ",$K283=BC$3),$O283,0)</f>
        <v>0</v>
      </c>
      <c r="BD283" s="198">
        <f>IF(AND($B283=" ",$K283=BD$3),$O283,0)</f>
        <v>0</v>
      </c>
      <c r="BE283" s="199">
        <f>IF(AND($B283=" ",$K283=BE$3),$O283,0)</f>
        <v>0</v>
      </c>
      <c r="BF283" s="203">
        <f>IF($K283=BF$3,IF($C283="X",0,$O283),0)</f>
        <v>7.8</v>
      </c>
      <c r="BG283" s="198">
        <f>IF($K283=BG$3,IF($C283="X",0,$O283),0)</f>
        <v>0</v>
      </c>
      <c r="BH283" s="198">
        <f>IF($K283=BH$3,IF($C283="X",0,$O283),0)</f>
        <v>0</v>
      </c>
      <c r="BI283" s="198">
        <f>IF($K283=BI$3,IF($C283="X",0,$O283),0)</f>
        <v>0</v>
      </c>
      <c r="BJ283" s="198">
        <f>IF($K283=BJ$3,IF($C283="X",0,$O283),0)</f>
        <v>0</v>
      </c>
      <c r="BK283" s="198">
        <f>IF($K283=BK$3,IF($C283="X",0,$O283),0)</f>
        <v>0</v>
      </c>
      <c r="BL283" s="198">
        <f>IF($K283=BL$3,IF($C283="X",0,$O283),0)</f>
        <v>0</v>
      </c>
      <c r="BM283" s="200">
        <f>IF($K283=BM$3,IF($C283="X",0,$O283),0)</f>
        <v>0</v>
      </c>
      <c r="BN283" s="201">
        <f>IF($K283=BN$3,IF($C283="X",0,$O283),0)</f>
        <v>0</v>
      </c>
      <c r="BO283" s="201">
        <f>IF($K283=BO$3,IF($C283="X",0,$O283),0)</f>
        <v>0</v>
      </c>
      <c r="BP283" s="201">
        <f>IF($K283=BP$3,IF($C283="X",0,$O283),0)</f>
        <v>0</v>
      </c>
      <c r="BQ283" s="202">
        <f>IF($K283=BQ$3,IF($C283="X",0,$O283),0)</f>
        <v>0</v>
      </c>
      <c r="BR283" s="199">
        <f>IF($K283=BR$3,IF($C283="X",0,$O283),0)</f>
        <v>0</v>
      </c>
      <c r="BS283" s="204">
        <f>IF($B283="LOSS",IF(AND($K283=BS$3,$C283="L"),-$O283,0)+IF(AND($K284=BS$3,$C284="L"),-$O284,0)+IF(AND($K285=BS$3,$C285="L"),-$O285,0),IF(OR(AND($K283=BS$3,OR($C283="W",$C283="1/2W")),AND($K284=BS$3,OR($C284="W",$C284="1/2W")),AND($K285=BS$3,OR($C285="W",$C285="1/2W"))),$S283,0))</f>
        <v>0</v>
      </c>
      <c r="BT283" s="201">
        <f>IF($B283="LOSS",IF(AND($K283=BT$3,$C283="L"),-$O283,0)+IF(AND($K284=BT$3,$C284="L"),-$O284,0)+IF(AND($K284=BT$3,$C285="L"),-$O285,0),IF(OR(AND($K284=BT$3,OR($C283="W",$C283="1/2W")),AND($K284=BT$3,OR($C284="W",$C284="1/2W")),AND($K284=BT$3,OR($C285="W",$C285="1/2W"))),$S283,0))</f>
        <v>2.95</v>
      </c>
      <c r="BU283" s="201">
        <f>IF($B283="LOSS",IF(AND($K283=BU$3,$C283="L"),-$O283,0)+IF(AND($K284=BU$3,$C284="L"),-$O284,0)+IF(AND($K284=BU$3,$C285="L"),-$O285,0),IF(OR(AND($K284=BU$3,OR($C283="W",$C283="1/2W")),AND($K284=BU$3,OR($C284="W",$C284="1/2W")),AND($K284=BU$3,OR($C285="W",$C285="1/2W"))),$S283,0))</f>
        <v>0</v>
      </c>
      <c r="BV283" s="201">
        <f>IF($B283="LOSS",IF(AND($K283=BV$3,$C283="L"),-$O283,0)+IF(AND($K284=BV$3,$C284="L"),-$O284,0)+IF(AND($K285=BV$3,$C285="L"),-$O285,0),IF(OR(AND($K283=BV$3,OR($C283="W",$C283="1/2W")),AND($K284=BV$3,OR($C284="W",$C284="1/2W")),AND($K285=BV$3,OR($C285="W",$C285="1/2W"))),$S283,0))</f>
        <v>0</v>
      </c>
      <c r="BW283" s="201">
        <f>IF($B283="LOSS",IF(AND($K283=BW$3,$C283="L"),-$O283,0)+IF(AND($K284=BW$3,$C284="L"),-$O284,0)+IF(AND($K285=BW$3,$C285="L"),-$O285,0),IF(OR(AND($K283=BW$3,OR($C283="W",$C283="1/2W")),AND($K284=BW$3,OR($C284="W",$C284="1/2W")),AND($K285=BW$3,OR($C285="W",$C285="1/2W"))),$S283,0))</f>
        <v>0</v>
      </c>
      <c r="BX283" s="201">
        <f>IF($B283="LOSS",IF(AND($K283=BX$3,$C283="L"),-$O283,0)+IF(AND($K284=BX$3,$C284="L"),-$O284,0)+IF(AND($K285=BX$3,$C285="L"),-$O285,0),IF(OR(AND($K283=BX$3,OR($C283="W",$C283="1/2W")),AND($K284=BX$3,OR($C284="W",$C284="1/2W")),AND($K285=BX$3,OR($C285="W",$C285="1/2W"))),$S283,0))</f>
        <v>0</v>
      </c>
      <c r="BY283" s="201">
        <f>IF($B283="LOSS",IF(AND($K283=BY$3,$C283="L"),-$O283,0)+IF(AND($K284=BY$3,$C284="L"),-$O284,0)+IF(AND($K285=BY$3,$C285="L"),-$O285,0),IF(OR(AND($K283=BY$3,OR($C283="W",$C283="1/2W")),AND($K284=BY$3,OR($C284="W",$C284="1/2W")),AND($K285=BY$3,OR($C285="W",$C285="1/2W"))),$S283,0))</f>
        <v>0</v>
      </c>
      <c r="BZ283" s="205">
        <f>IF($B283="LOSS",IF(AND($K283=BZ$3,$C283="L"),-$O283,0)+IF(AND($K284=BZ$3,$C284="L"),-$O284,0)+IF(AND($K285=BZ$3,$C285="L"),-$O285,0),IF(OR(AND($K283=BZ$3,OR($C283="W",$C283="1/2W")),AND($K284=BZ$3,OR($C284="W",$C284="1/2W")),AND($K285=BZ$3,OR($C285="W",$C285="1/2W"))),$S283,0))</f>
        <v>0</v>
      </c>
      <c r="CA283" s="205">
        <f>IF($B283="LOSS",IF(AND($K283=CA$3,$C283="L"),-$O283,0)+IF(AND($K284=CA$3,$C284="L"),-$O284,0)+IF(AND($K285=CA$3,$C285="L"),-$O285,0),IF(OR(AND($K283=CA$3,OR($C283="W",$C283="1/2W")),AND($K284=CA$3,OR($C284="W",$C284="1/2W")),AND($K285=CA$3,OR($C285="W",$C285="1/2W"))),$S283,0))</f>
        <v>0</v>
      </c>
      <c r="CB283" s="205">
        <f>IF($B283="LOSS",IF(AND($K283=CB$3,$C283="L"),-$O283,0)+IF(AND($K284=CB$3,$C284="L"),-$O284,0)+IF(AND($K285=CB$3,$C285="L"),-$O285,0),IF(OR(AND($K283=CB$3,OR($C283="W",$C283="1/2W")),AND($K284=CB$3,OR($C284="W",$C284="1/2W")),AND($K285=CB$3,OR($C285="W",$C285="1/2W"))),$S283,0))</f>
        <v>0</v>
      </c>
      <c r="CC283" s="205">
        <f>IF($B283="LOSS",IF(AND($K283=CC$3,$C283="L"),-$O283,0)+IF(AND($K284=CC$3,$C284="L"),-$O284,0)+IF(AND($K285=CC$3,$C285="L"),-$O285,0),IF(OR(AND($K283=CC$3,OR($C283="W",$C283="1/2W")),AND($K284=CC$3,OR($C284="W",$C284="1/2W")),AND($K285=CC$3,OR($C285="W",$C285="1/2W"))),$S283,0))</f>
        <v>0</v>
      </c>
      <c r="CD283" s="202">
        <f>IF($B283="LOSS",IF(AND($K283=CD$3,$C283="L"),-$O283,0)+IF(AND($K284=CD$3,$C284="L"),-$O284,0)+IF(AND($K285=CD$3,$C285="L"),-$O285,0),IF(OR(AND($K283=CD$3,OR($C283="W",$C283="1/2W")),AND($K284=CD$3,OR($C284="W",$C284="1/2W")),AND($K285=CD$3,OR($C285="W",$C285="1/2W"))),$S283,0))</f>
        <v>0</v>
      </c>
      <c r="CE283" s="199">
        <f>IF($B283="LOSS",IF(AND($K283=CE$3,$C283="L"),-$O283,0)+IF(AND($K284=CE$3,$C284="L"),-$O284,0)+IF(AND($K285=CE$3,$C285="L"),-$O285,0),IF(OR(AND($K283=CE$3,OR($C283="W",$C283="1/2W")),AND($K284=CE$3,OR($C284="W",$C284="1/2W")),AND($K285=CE$3,OR($C285="W",$C285="1/2W"))),$S283,0))</f>
        <v>0</v>
      </c>
      <c r="CF283" s="206">
        <f>IF(CF$3=$K283,IF($C283="W",1,IF($C283="1/2W",0.5,0)),0)</f>
        <v>0</v>
      </c>
      <c r="CG283" s="207">
        <f>IF(CF$3=$K283,IF($C283="L",1,IF($C283="1/2L",0.5,0)),0)</f>
        <v>1</v>
      </c>
      <c r="CH283" s="207">
        <f>IF(CH$3=$K283,IF($C283="W",1,IF($C283="1/2W",0.5,0)),0)</f>
        <v>0</v>
      </c>
      <c r="CI283" s="207">
        <f>IF(CH$3=$K283,IF($C283="L",1,IF($C283="1/2L",0.5,0)),0)</f>
        <v>0</v>
      </c>
      <c r="CJ283" s="207">
        <f>IF(CJ$3=$K283,IF($C283="W",1,IF($C283="1/2W",0.5,0)),0)</f>
        <v>0</v>
      </c>
      <c r="CK283" s="207">
        <f>IF(CJ$3=$K283,IF($C283="L",1,IF($C283="1/2L",0.5,0)),0)</f>
        <v>0</v>
      </c>
      <c r="CL283" s="207">
        <f>IF(CL$3=$K283,IF($C283="W",1,IF($C283="1/2W",0.5,0)),0)</f>
        <v>0</v>
      </c>
      <c r="CM283" s="207">
        <f>IF(CL$3=$K283,IF($C283="L",1,IF($C283="1/2L",0.5,0)),0)</f>
        <v>0</v>
      </c>
      <c r="CN283" s="207">
        <f>IF(CN$3=$K283,IF($C283="W",1,IF($C283="1/2W",0.5,0)),0)</f>
        <v>0</v>
      </c>
      <c r="CO283" s="207">
        <f>IF(CN$3=$K283,IF($C283="L",1,IF($C283="1/2L",0.5,0)),0)</f>
        <v>0</v>
      </c>
      <c r="CP283" s="207">
        <f>IF(CP$3=$K283,IF($C283="W",1,IF($C283="1/2W",0.5,0)),0)</f>
        <v>0</v>
      </c>
      <c r="CQ283" s="207">
        <f>IF(CP$3=$K283,IF($C283="L",1,IF($C283="1/2L",0.5,0)),0)</f>
        <v>0</v>
      </c>
      <c r="CR283" s="207">
        <f>IF(CR$3=$K283,IF($C283="W",1,IF($C283="1/2W",0.5,0)),0)</f>
        <v>0</v>
      </c>
      <c r="CS283" s="207">
        <f>IF(CR$3=$K283,IF($C283="L",1,IF($C283="1/2L",0.5,0)),0)</f>
        <v>0</v>
      </c>
      <c r="CT283" s="208">
        <f>IF(CT$3=$K283,IF($C283="W",1,IF($C283="1/2W",0.5,0)),0)</f>
        <v>0</v>
      </c>
      <c r="CU283" s="209">
        <f>IF(CT$3=$K283,IF($C283="L",1,IF($C283="1/2L",0.5,0)),0)</f>
        <v>0</v>
      </c>
      <c r="CV283" s="209">
        <f>IF(CV$3=$K283,IF($C283="W",1,IF($C283="1/2W",0.5,0)),0)</f>
        <v>0</v>
      </c>
      <c r="CW283" s="209">
        <f>IF(CV$3=$K283,IF($C283="L",1,IF($C283="1/2L",0.5,0)),0)</f>
        <v>0</v>
      </c>
      <c r="CX283" s="209">
        <f>IF(CX$3=$K283,IF($C283="W",1,IF($C283="1/2W",0.5,0)),0)</f>
        <v>0</v>
      </c>
      <c r="CY283" s="209">
        <f>IF(CX$3=$K283,IF($C283="L",1,IF($C283="1/2L",0.5,0)),0)</f>
        <v>0</v>
      </c>
      <c r="CZ283" s="209">
        <f>IF(CZ$3=$K283,IF($C283="W",1,IF($C283="1/2W",0.5,0)),0)</f>
        <v>0</v>
      </c>
      <c r="DA283" s="209">
        <f>IF(CZ$3=$K283,IF($C283="L",1,IF($C283="1/2L",0.5,0)),0)</f>
        <v>0</v>
      </c>
      <c r="DB283" s="209">
        <f>IF(DB$3=$K283,IF($C283="W",1,IF($C283="1/2W",0.5,0)),0)</f>
        <v>0</v>
      </c>
      <c r="DC283" s="209">
        <f>IF(DB$3=$K283,IF($C283="L",1,IF($C283="1/2L",0.5,0)),0)</f>
        <v>0</v>
      </c>
      <c r="DD283" s="209">
        <f>IF(DD$3=$K283,IF($C283="W",1,IF($C283="1/2W",0.5,0)),0)</f>
        <v>0</v>
      </c>
      <c r="DE283" s="210">
        <f>IF(DD$3=$K283,IF($C283="L",1,IF($C283="1/2L",0.5,0)),0)</f>
        <v>0</v>
      </c>
      <c r="DF283" s="211">
        <f>IF(AND(L283&lt;DF$3,$C283="W"),1+DF282,DF282)</f>
        <v>10</v>
      </c>
      <c r="DG283" s="198">
        <f>IF(DF283&gt;DF282,L283+DG282,DG282)</f>
        <v>13.078</v>
      </c>
      <c r="DH283" s="209">
        <f>IF(AND(L283&gt;DH$3,$C283="W"),1+DH282,0+DH282)</f>
        <v>6</v>
      </c>
      <c r="DI283" s="198">
        <f>IF(DH283&gt;DH282,L283+DI282,DI282)</f>
        <v>30.83</v>
      </c>
      <c r="DJ283" t="s" s="306">
        <f>IF($D283="","",$D283)</f>
        <v>229</v>
      </c>
      <c r="DK283" s="209">
        <f>IF(AND($B283=" ",$D283&lt;&gt;""),1,0)</f>
        <v>0</v>
      </c>
    </row>
    <row r="284" ht="14.55" customHeight="1">
      <c r="A284" s="107"/>
      <c r="B284" s="108"/>
      <c r="C284" t="s" s="213">
        <v>56</v>
      </c>
      <c r="D284" s="110"/>
      <c r="E284" s="111"/>
      <c r="F284" s="113"/>
      <c r="G284" s="214"/>
      <c r="H284" s="114"/>
      <c r="I284" t="s" s="215">
        <v>67</v>
      </c>
      <c r="J284" s="296">
        <f>IF(OR(I283="TO",I283="TU",I283="TO1",I283="TU1",I283="TO2",I283="TU2"),J283,IF(OR(I283="AH1",I283="AH2"),IF(OR(I284="AH1",I284="AH2"),-J283,IF(OR(I284="EH1",I284="EH2"),-J283+0.5,"")),IF(OR(I283="EH1",I283="EH2"),IF(OR(I284="AH1",I284="AH2"),-J283+0.5,IF(OR(I284="EH1",I284="EH2"),-J283+1,"")),IF(AND(OR(I283="DNB1",I283="DNB2"),OR(I284="AH1",I284="AH2")),0,IF(AND(I283="Not ScoreBoth",OR(I284="TO1",I284="TO2")),0.5,"")))))</f>
        <v>12.5</v>
      </c>
      <c r="K284" t="s" s="217">
        <v>38</v>
      </c>
      <c r="L284" s="218">
        <v>1.44</v>
      </c>
      <c r="M284" s="219">
        <v>24.43</v>
      </c>
      <c r="N284" s="120"/>
      <c r="O284" s="220">
        <f>IF(OR(AE283="",AE284=""),"",ROUND(IF(L285&gt;0,IF(M284&gt;0,M284,IF(M283&gt;0,IF(N283=TRUE,ROUND((M283*AE284)/AE283,0),(M283*AE284)/AE283),IF(M284&gt;0,ROUND(M284,IF(N283=0,2,IF(N283=0.1,1,0))),IF(M285&gt;0,ROUND(O285*AE284/AE285,IF(N283=0,2,IF(N283=0.1,1,0))),0)))),IF(M284&gt;0,M284,ROUND((M283*AE284)/AE283,IF(N283=0,2,IF(N283=0.1,1,0))))),2))</f>
        <v>24.43</v>
      </c>
      <c r="P284" s="221">
        <f>IF(OR(L284="",O284=""),"",IF($C284="1/2W",O284/2+O284/2*L284,IF($C284="1/2L",O284/2,IF(I284="Lay",((O284*(L284/(L284-1)))-O284)*(1-_xlfn.XLOOKUP(K284,'Janeiro 2023 - Valor Real'!A3:A15,'Janeiro 2023 - Valor Real'!C3:C15,0))+O284,(O284*L284-O284)*(1-_xlfn.XLOOKUP(K284,'Janeiro 2023 - Valor Real'!A3:A15,'Janeiro 2023 - Valor Real'!C3:C15,0))+O284))))</f>
        <v>35.1792</v>
      </c>
      <c r="Q284" s="222">
        <f>IF(K284="","",IF(_xlfn.XLOOKUP(K284,K$98:K140,DJ$98:DJ140,0,,-1)=DJ284,_xlfn.XLOOKUP(K284,K$98:K140,Q$98:Q140,1,,-1)+1,1))</f>
        <v>1</v>
      </c>
      <c r="R284" s="223">
        <f>IF(K284="","",_xlfn.XLOOKUP(K284,K$98:K140,R$98:R140,0,,-1)+IF($C284=" ",1,0))</f>
        <v>0</v>
      </c>
      <c r="S284" s="125"/>
      <c r="T284" s="126"/>
      <c r="U284" s="126"/>
      <c r="V284" s="224"/>
      <c r="W284" s="126"/>
      <c r="X284" s="127"/>
      <c r="Y284" s="128"/>
      <c r="Z284" s="129"/>
      <c r="AA284" s="129"/>
      <c r="AB284" s="129"/>
      <c r="AC284" s="129"/>
      <c r="AD284" s="225">
        <f>(((L284/(L284-1)-1)*(1-_xlfn.XLOOKUP(K284,'Janeiro 2023 - Valor Real'!A3:A15,'Janeiro 2023 - Valor Real'!C3:C15,0))+1))</f>
        <v>3.27272727272727</v>
      </c>
      <c r="AE284" s="226">
        <f>IF(L284="","",IF(L285&gt;0,(SUM(((L283-1)*(1-_xlfn.XLOOKUP(K283,'Janeiro 2023 - Valor Real'!A3:A15,'Janeiro 2023 - Valor Real'!C3:C15,0))+1),((L284-1)*(1-_xlfn.XLOOKUP(K284,'Janeiro 2023 - Valor Real'!A3:A15,'Janeiro 2023 - Valor Real'!C3:C15,0))+1),((L285-1)*(1-_xlfn.XLOOKUP(K285,'Janeiro 2023 - Valor Real'!A3:A15,'Janeiro 2023 - Valor Real'!C3:C15,0))+1))/((L284-1)*(1-_xlfn.XLOOKUP(K284,'Janeiro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Real'!C3:C15,0))+1))/((L283-1)*(1-_xlfn.XLOOKUP(K283,'Janeiro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Real'!C3:C15,0))+1))/((L284-1)*(1-_xlfn.XLOOKUP(K284,'Janeiro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Real'!C3:C15,0))+1))/((L285-1)*(1-_xlfn.XLOOKUP(K285,'Janeiro 2023 - Valor Real'!A3:A15,'Janeiro 2023 - Valor Real'!C3:C15,0))+1)),IF(I284="Lay",IF(I283="Lay",((L283/(L283-1)-1)*(1-_xlfn.XLOOKUP(K283,'Janeiro 2023 - Valor Real'!A3:A15,'Janeiro 2023 - Valor Real'!C3:C15,0))+1)/(((L283/(L283-1)-1)*(1-_xlfn.XLOOKUP(K283,'Janeiro 2023 - Valor Real'!A3:A15,'Janeiro 2023 - Valor Real'!C3:C15,0))+1)+((L284/(L284-1)-1)*(1-_xlfn.XLOOKUP(K284,'Janeiro 2023 - Valor Real'!A3:A15,'Janeiro 2023 - Valor Real'!C3:C15,0))+1)),((L283-1)*(1-_xlfn.XLOOKUP(K283,'Janeiro 2023 - Valor Real'!A3:A15,'Janeiro 2023 - Valor Real'!C3:C15,0))+1)/(((L283-1)*(1-_xlfn.XLOOKUP(K283,'Janeiro 2023 - Valor Real'!A3:A15,'Janeiro 2023 - Valor Real'!C3:C15,0))+1)+((L284/(L284-1)-1)*(1-_xlfn.XLOOKUP(K284,'Janeiro 2023 - Valor Real'!A3:A15,'Janeiro 2023 - Valor Real'!C3:C15,0))+1))),IF(I283="Lay",((L283/(L283-1)-1)*(1-_xlfn.XLOOKUP(K283,'Janeiro 2023 - Valor Real'!A3:A15,'Janeiro 2023 - Valor Real'!C3:C15,0))+1)/((((L283/(L283-1)-1)*(1-_xlfn.XLOOKUP(K283,'Janeiro 2023 - Valor Real'!A3:A15,'Janeiro 2023 - Valor Real'!C3:C15,0))+1))+((L284-1)*(1-_xlfn.XLOOKUP(K284,'Janeiro 2023 - Valor Real'!A3:A15,'Janeiro 2023 - Valor Real'!C3:C15,0))+1)),((L283-1)*(1-_xlfn.XLOOKUP(K283,'Janeiro 2023 - Valor Real'!A3:A15,'Janeiro 2023 - Valor Real'!C3:C15,0))+1)/(((L283-1)*(1-_xlfn.XLOOKUP(K283,'Janeiro 2023 - Valor Real'!A3:A15,'Janeiro 2023 - Valor Real'!C3:C15,0))+1)+((L284-1)*(1-_xlfn.XLOOKUP(K284,'Janeiro 2023 - Valor Real'!A3:A15,'Janeiro 2023 - Valor Real'!C3:C15,0))+1))))))</f>
        <v>0.757575757575758</v>
      </c>
      <c r="AF284" s="197">
        <f>IF($K284=AF$3,ROUND(IF(OR($C284="W",$C284="1/2W",$C284="1/2L"),$P284-$O284,IF($C284="X",0,-$O284)),2),0)</f>
        <v>0</v>
      </c>
      <c r="AG284" s="198">
        <f>IF($K284=AG$3,ROUND(IF(OR($C284="W",$C284="1/2W",$C284="1/2L"),$P284-$O284,IF($C284="X",0,-$O284)),2),0)</f>
        <v>10.75</v>
      </c>
      <c r="AH284" s="198">
        <f>IF($K284=AH$3,ROUND(IF(OR($C284="W",$C284="1/2W",$C284="1/2L"),$P284-$O284,IF($C284="X",0,-$O284)),2),0)</f>
        <v>0</v>
      </c>
      <c r="AI284" s="198">
        <f>IF($K284=AI$3,ROUND(IF(OR($C284="W",$C284="1/2W",$C284="1/2L"),$P284-$O284,IF($C284="X",0,-$O284)),2),0)</f>
        <v>0</v>
      </c>
      <c r="AJ284" s="198">
        <f>IF($K284=AJ$3,ROUND(IF(OR($C284="W",$C284="1/2W",$C284="1/2L"),$P284-$O284,IF($C284="X",0,-$O284)),2),0)</f>
        <v>0</v>
      </c>
      <c r="AK284" s="198">
        <f>IF($K284=AK$3,ROUND(IF(OR($C284="W",$C284="1/2W",$C284="1/2L"),$P284-$O284,IF($C284="X",0,-$O284)),2),0)</f>
        <v>0</v>
      </c>
      <c r="AL284" s="198">
        <f>IF($K284=AL$3,ROUND(IF(OR($C284="W",$C284="1/2W",$C284="1/2L"),$P284-$O284,IF($C284="X",0,-$O284)),2),0)</f>
        <v>0</v>
      </c>
      <c r="AM284" s="198">
        <f>IF($K284=AM$3,ROUND(IF(OR($C284="W",$C284="1/2W",$C284="1/2L"),$P284-$O284,IF($C284="X",0,-$O284)),2),0)</f>
        <v>0</v>
      </c>
      <c r="AN284" s="198">
        <f>IF($K284=AN$3,ROUND(IF(OR($C284="W",$C284="1/2W",$C284="1/2L"),$P284-$O284,IF($C284="X",0,-$O284)),2),0)</f>
        <v>0</v>
      </c>
      <c r="AO284" s="198">
        <f>IF($K284=AO$3,ROUND(IF(OR($C284="W",$C284="1/2W",$C284="1/2L"),$P284-$O284,IF($C284="X",0,-$O284)),2),0)</f>
        <v>0</v>
      </c>
      <c r="AP284" s="198">
        <f>IF($K284=AP$3,ROUND(IF(OR($C284="W",$C284="1/2W",$C284="1/2L"),$P284-$O284,IF($C284="X",0,-$O284)),2),0)</f>
        <v>0</v>
      </c>
      <c r="AQ284" s="198">
        <f>IF($K284=AQ$3,ROUND(IF(OR($C284="W",$C284="1/2W",$C284="1/2L"),$P284-$O284,IF($C284="X",0,-$O284)),2),0)</f>
        <v>0</v>
      </c>
      <c r="AR284" s="199">
        <f>IF($K284=AR$3,ROUND(IF(OR($C284="W",$C284="1/2W",$C284="1/2L"),$P284-$O284,IF($C284="X",0,-$O284)),2),0)</f>
        <v>0</v>
      </c>
      <c r="AS284" s="197">
        <f>IF(AND($B283=" ",$K284=AS$3),$O284,0)</f>
        <v>0</v>
      </c>
      <c r="AT284" s="198">
        <f>IF(AND($B283=" ",K284=AT$3),$O284,0)</f>
        <v>0</v>
      </c>
      <c r="AU284" s="198">
        <f>IF(AND($B283=" ",$K284=AU$3),$O284,0)</f>
        <v>0</v>
      </c>
      <c r="AV284" s="198">
        <f>IF(AND($B283=" ",$K284=AV$3),$O284,0)</f>
        <v>0</v>
      </c>
      <c r="AW284" s="198">
        <f>IF(AND($B283=" ",$K284=AW$3),$O284,0)</f>
        <v>0</v>
      </c>
      <c r="AX284" s="198">
        <f>IF(AND($B283=" ",$K284=AX$3),$O284,0)</f>
        <v>0</v>
      </c>
      <c r="AY284" s="200">
        <f>IF(AND($B283=" ",$K284=AY$3),$O284,0)</f>
        <v>0</v>
      </c>
      <c r="AZ284" s="201">
        <f>IF(AND($B283=" ",$K284=AZ$3),$O284,0)</f>
        <v>0</v>
      </c>
      <c r="BA284" s="201">
        <f>IF(AND($B283=" ",$K284=BA$3),$O284,0)</f>
        <v>0</v>
      </c>
      <c r="BB284" s="201">
        <f>IF(AND($B283=" ",$K284=BB$3),$O284,0)</f>
        <v>0</v>
      </c>
      <c r="BC284" s="202">
        <f>IF(AND($B283=" ",$K284=BC$3),$O284,0)</f>
        <v>0</v>
      </c>
      <c r="BD284" s="198">
        <f>IF(AND($B283=" ",$K284=BD$3),$O284,0)</f>
        <v>0</v>
      </c>
      <c r="BE284" s="199">
        <f>IF(AND($B283=" ",$K284=BE$3),$O284,0)</f>
        <v>0</v>
      </c>
      <c r="BF284" s="197">
        <f>IF($K284=BF$3,IF($C284="X",0,$O284),0)</f>
        <v>0</v>
      </c>
      <c r="BG284" s="198">
        <f>IF($K284=BG$3,IF($C284="X",0,$O284),0)</f>
        <v>24.43</v>
      </c>
      <c r="BH284" s="198">
        <f>IF($K284=BH$3,IF($C284="X",0,$O284),0)</f>
        <v>0</v>
      </c>
      <c r="BI284" s="198">
        <f>IF($K284=BI$3,IF($C284="X",0,$O284),0)</f>
        <v>0</v>
      </c>
      <c r="BJ284" s="198">
        <f>IF($K284=BJ$3,IF($C284="X",0,$O284),0)</f>
        <v>0</v>
      </c>
      <c r="BK284" s="198">
        <f>IF($K284=BK$3,IF($C284="X",0,$O284),0)</f>
        <v>0</v>
      </c>
      <c r="BL284" s="198">
        <f>IF($K284=BL$3,IF($C284="X",0,$O284),0)</f>
        <v>0</v>
      </c>
      <c r="BM284" s="227">
        <f>IF($K284=BM$3,IF($C284="X",0,$O284),0)</f>
        <v>0</v>
      </c>
      <c r="BN284" s="205">
        <f>IF($K284=BN$3,IF($C284="X",0,$O284),0)</f>
        <v>0</v>
      </c>
      <c r="BO284" s="205">
        <f>IF($K284=BO$3,IF($C284="X",0,$O284),0)</f>
        <v>0</v>
      </c>
      <c r="BP284" s="205">
        <f>IF($K284=BP$3,IF($C284="X",0,$O284),0)</f>
        <v>0</v>
      </c>
      <c r="BQ284" s="202">
        <f>IF($K284=BQ$3,IF($C284="X",0,$O284),0)</f>
        <v>0</v>
      </c>
      <c r="BR284" s="199">
        <f>IF($K284=BR$3,IF($C284="X",0,$O284),0)</f>
        <v>0</v>
      </c>
      <c r="BS284" s="228"/>
      <c r="BT284" s="229"/>
      <c r="BU284" s="140"/>
      <c r="BV284" s="229"/>
      <c r="BW284" s="140"/>
      <c r="BX284" s="140"/>
      <c r="BY284" s="140"/>
      <c r="BZ284" s="229"/>
      <c r="CA284" s="140"/>
      <c r="CB284" s="140"/>
      <c r="CC284" s="140"/>
      <c r="CD284" s="141"/>
      <c r="CE284" s="142"/>
      <c r="CF284" s="230">
        <f>IF(CF$3=$K284,IF($C284="W",1,IF($C284="1/2W",0.5,0)),0)</f>
        <v>0</v>
      </c>
      <c r="CG284" s="231">
        <f>IF(CF$3=$K284,IF($C284="L",1,IF($C284="1/2L",0.5,0)),0)</f>
        <v>0</v>
      </c>
      <c r="CH284" s="231">
        <f>IF(CH$3=$K284,IF($C284="W",1,IF($C284="1/2W",0.5,0)),0)</f>
        <v>1</v>
      </c>
      <c r="CI284" s="231">
        <f>IF(CH$3=$K284,IF($C284="L",1,IF($C284="1/2L",0.5,0)),0)</f>
        <v>0</v>
      </c>
      <c r="CJ284" s="231">
        <f>IF(CJ$3=$K284,IF($C284="W",1,IF($C284="1/2W",0.5,0)),0)</f>
        <v>0</v>
      </c>
      <c r="CK284" s="231">
        <f>IF(CJ$3=$K284,IF($C284="L",1,IF($C284="1/2L",0.5,0)),0)</f>
        <v>0</v>
      </c>
      <c r="CL284" s="231">
        <f>IF(CL$3=$K284,IF($C284="W",1,IF($C284="1/2W",0.5,0)),0)</f>
        <v>0</v>
      </c>
      <c r="CM284" s="231">
        <f>IF(CL$3=$K284,IF($C284="L",1,IF($C284="1/2L",0.5,0)),0)</f>
        <v>0</v>
      </c>
      <c r="CN284" s="231">
        <f>IF(CN$3=$K284,IF($C284="W",1,IF($C284="1/2W",0.5,0)),0)</f>
        <v>0</v>
      </c>
      <c r="CO284" s="231">
        <f>IF(CN$3=$K284,IF($C284="L",1,IF($C284="1/2L",0.5,0)),0)</f>
        <v>0</v>
      </c>
      <c r="CP284" s="231">
        <f>IF(CP$3=$K284,IF($C284="W",1,IF($C284="1/2W",0.5,0)),0)</f>
        <v>0</v>
      </c>
      <c r="CQ284" s="231">
        <f>IF(CP$3=$K284,IF($C284="L",1,IF($C284="1/2L",0.5,0)),0)</f>
        <v>0</v>
      </c>
      <c r="CR284" s="231">
        <f>IF(CR$3=$K284,IF($C284="W",1,IF($C284="1/2W",0.5,0)),0)</f>
        <v>0</v>
      </c>
      <c r="CS284" s="231">
        <f>IF(CR$3=$K284,IF($C284="L",1,IF($C284="1/2L",0.5,0)),0)</f>
        <v>0</v>
      </c>
      <c r="CT284" s="208">
        <f>IF(CT$3=$K284,IF($C284="W",1,IF($C284="1/2W",0.5,0)),0)</f>
        <v>0</v>
      </c>
      <c r="CU284" s="209">
        <f>IF(CT$3=$K284,IF($C284="L",1,IF($C284="1/2L",0.5,0)),0)</f>
        <v>0</v>
      </c>
      <c r="CV284" s="209">
        <f>IF(CV$3=$K284,IF($C284="W",1,IF($C284="1/2W",0.5,0)),0)</f>
        <v>0</v>
      </c>
      <c r="CW284" s="209">
        <f>IF(CV$3=$K284,IF($C284="L",1,IF($C284="1/2L",0.5,0)),0)</f>
        <v>0</v>
      </c>
      <c r="CX284" s="209">
        <f>IF(CX$3=$K284,IF($C284="W",1,IF($C284="1/2W",0.5,0)),0)</f>
        <v>0</v>
      </c>
      <c r="CY284" s="209">
        <f>IF(CX$3=$K284,IF($C284="L",1,IF($C284="1/2L",0.5,0)),0)</f>
        <v>0</v>
      </c>
      <c r="CZ284" s="209">
        <f>IF(CZ$3=$K284,IF($C284="W",1,IF($C284="1/2W",0.5,0)),0)</f>
        <v>0</v>
      </c>
      <c r="DA284" s="209">
        <f>IF(CZ$3=$K284,IF($C284="L",1,IF($C284="1/2L",0.5,0)),0)</f>
        <v>0</v>
      </c>
      <c r="DB284" s="209">
        <f>IF(DB$3=$K284,IF($C284="W",1,IF($C284="1/2W",0.5,0)),0)</f>
        <v>0</v>
      </c>
      <c r="DC284" s="209">
        <f>IF(DB$3=$K284,IF($C284="L",1,IF($C284="1/2L",0.5,0)),0)</f>
        <v>0</v>
      </c>
      <c r="DD284" s="209">
        <f>IF(DD$3=$K284,IF($C284="W",1,IF($C284="1/2W",0.5,0)),0)</f>
        <v>0</v>
      </c>
      <c r="DE284" s="210">
        <f>IF(DD$3=$K284,IF($C284="L",1,IF($C284="1/2L",0.5,0)),0)</f>
        <v>0</v>
      </c>
      <c r="DF284" s="211">
        <f>IF(AND(L284&lt;DF$3,$C284="W"),1+DF283,DF283)</f>
        <v>11</v>
      </c>
      <c r="DG284" s="198">
        <f>IF(DF284&gt;DF283,L284+DG283,DG283)</f>
        <v>14.518</v>
      </c>
      <c r="DH284" s="209">
        <f>IF(AND(L284&gt;DH$3,$C284="W"),1+DH283,0+DH283)</f>
        <v>6</v>
      </c>
      <c r="DI284" s="198">
        <f>IF(DH284&gt;DH283,L284+DI283,DI283)</f>
        <v>30.83</v>
      </c>
      <c r="DJ284" t="s" s="306">
        <f>IF($D283="","",$D283)</f>
        <v>229</v>
      </c>
      <c r="DK284" s="232"/>
    </row>
    <row r="285" ht="14.55" customHeight="1">
      <c r="A285" s="149"/>
      <c r="B285" s="150"/>
      <c r="C285" t="s" s="233">
        <v>58</v>
      </c>
      <c r="D285" s="152"/>
      <c r="E285" s="153"/>
      <c r="F285" s="155"/>
      <c r="G285" s="234"/>
      <c r="H285" s="156"/>
      <c r="I285" s="235"/>
      <c r="J285" s="236"/>
      <c r="K285" s="237"/>
      <c r="L285" s="238"/>
      <c r="M285" s="239"/>
      <c r="N285" s="161"/>
      <c r="O285" t="s" s="240">
        <f>IF(OR(AE283="",AE284=""),"",IF(L285&gt;0,ROUND(IF(M285&gt;0,M285,IF(M283&gt;0,ROUND((M283*AE285)/AE283,IF(N283=0,2,IF(N283=0.1,1,0))),IF(M284&gt;0,ROUND((M284*AE285)/AE284,IF(N283=0,2,IF(N283=0.1,1,0))),IF(M285&gt;0,M285,0)))),2),""))</f>
      </c>
      <c r="P285" t="s" s="241">
        <f>IF(I284="Lay",O284*(L284/(L284-1))-O284,IF(I283="Lay",O283*(L283/(L283-1))-O283,IF(OR(L285="",O285=""),"",IF($C285="1/2W",O285/2+O285/2*L285,IF($C285="1/2L",O285/2,(O285*L285-O285)*(1-_xlfn.XLOOKUP(K285,'Janeiro 2023 - Valor Real'!A3:A15,'Janeiro 2023 - Valor Real'!C3:C15,0))+O285)))))</f>
      </c>
      <c r="Q285" t="s" s="242">
        <f>IF(K285="","",IF(_xlfn.XLOOKUP(K285,K$99:K141,DJ$99:DJ141,0,,-1)=DJ285,_xlfn.XLOOKUP(K285,K$99:K141,Q$99:Q141,1,,-1)+1,1))</f>
      </c>
      <c r="R285" t="s" s="243">
        <f>IF(K285="","",_xlfn.XLOOKUP(K285,K$99:K141,R$99:R141,0,,-1)+IF($C285=" ",1,0))</f>
      </c>
      <c r="S285" s="166"/>
      <c r="T285" s="155"/>
      <c r="U285" s="155"/>
      <c r="V285" s="166"/>
      <c r="W285" s="155"/>
      <c r="X285" s="167"/>
      <c r="Y285" s="128"/>
      <c r="Z285" s="129"/>
      <c r="AA285" s="129"/>
      <c r="AB285" s="129"/>
      <c r="AC285" s="129"/>
      <c r="AD285" s="244">
        <f>((L284/(L284-1)-1))</f>
        <v>2.27272727272727</v>
      </c>
      <c r="AE285" t="s" s="245">
        <f>IF(L285="","",(SUM(((L283-1)*(1-_xlfn.XLOOKUP(K283,'Janeiro 2023 - Valor Real'!A3:A15,'Janeiro 2023 - Valor Real'!C3:C15,0))+1),((L284-1)*(1-_xlfn.XLOOKUP(K284,'Janeiro 2023 - Valor Real'!A3:A15,'Janeiro 2023 - Valor Real'!C3:C15,0))+1),((L285-1)*(1-_xlfn.XLOOKUP(K285,'Janeiro 2023 - Valor Real'!A3:A15,'Janeiro 2023 - Valor Real'!C3:C15,0))+1))/((L285-1)*(1-_xlfn.XLOOKUP(K285,'Janeiro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Real'!C3:C15,0))+1))/((L283-1)*(1-_xlfn.XLOOKUP(K283,'Janeiro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Real'!C3:C15,0))+1))/((L284-1)*(1-_xlfn.XLOOKUP(K284,'Janeiro 2023 - Valor Real'!A3:A15,'Janeiro 2023 - Valor Real'!C3:C15,0))+1)+SUM(((L283-1)*(1-_xlfn.XLOOKUP(K283,'Janeiro 2023 - Valor Real'!A3:A15,'Janeiro 2023 - Valor Real'!C3:C15,0))+1),((L284-1)*(1-_xlfn.XLOOKUP(K284,'Janeiro 2023 - Valor Real'!A3:A15,'Janeiro 2023 - Valor Real'!C3:C15,0))+1),((L285-1)*(1-_xlfn.XLOOKUP(K285,'Janeiro 2023 - Valor Real'!A3:A15,'Janeiro 2023 - Valor Real'!C3:C15,0))+1))/((L285-1)*(1-_xlfn.XLOOKUP(K285,'Janeiro 2023 - Valor Real'!A3:A15,'Janeiro 2023 - Valor Real'!C3:C15,0))+1)))</f>
      </c>
      <c r="AF285" s="197">
        <f>IF($K285=AF$3,ROUND(IF(OR($C285="W",$C285="1/2W",$C285="1/2L"),$P285-$O285,IF($C285="X",0,-$O285)),2),0)</f>
        <v>0</v>
      </c>
      <c r="AG285" s="198">
        <f>IF($K285=AG$3,ROUND(IF(OR($C285="W",$C285="1/2W",$C285="1/2L"),$P285-$O285,IF($C285="X",0,-$O285)),2),0)</f>
        <v>0</v>
      </c>
      <c r="AH285" s="198">
        <f>IF($K285=AH$3,ROUND(IF(OR($C285="W",$C285="1/2W",$C285="1/2L"),$P285-$O285,IF($C285="X",0,-$O285)),2),0)</f>
        <v>0</v>
      </c>
      <c r="AI285" s="198">
        <f>IF($K285=AI$3,ROUND(IF(OR($C285="W",$C285="1/2W",$C285="1/2L"),$P285-$O285,IF($C285="X",0,-$O285)),2),0)</f>
        <v>0</v>
      </c>
      <c r="AJ285" s="198">
        <f>IF($K285=AJ$3,ROUND(IF(OR($C285="W",$C285="1/2W",$C285="1/2L"),$P285-$O285,IF($C285="X",0,-$O285)),2),0)</f>
        <v>0</v>
      </c>
      <c r="AK285" s="198">
        <f>IF($K285=AK$3,ROUND(IF(OR($C285="W",$C285="1/2W",$C285="1/2L"),$P285-$O285,IF($C285="X",0,-$O285)),2),0)</f>
        <v>0</v>
      </c>
      <c r="AL285" s="198">
        <f>IF($K285=AL$3,ROUND(IF(OR($C285="W",$C285="1/2W",$C285="1/2L"),$P285-$O285,IF($C285="X",0,-$O285)),2),0)</f>
        <v>0</v>
      </c>
      <c r="AM285" s="198">
        <f>IF($K285=AM$3,ROUND(IF(OR($C285="W",$C285="1/2W",$C285="1/2L"),$P285-$O285,IF($C285="X",0,-$O285)),2),0)</f>
        <v>0</v>
      </c>
      <c r="AN285" s="198">
        <f>IF($K285=AN$3,ROUND(IF(OR($C285="W",$C285="1/2W",$C285="1/2L"),$P285-$O285,IF($C285="X",0,-$O285)),2),0)</f>
        <v>0</v>
      </c>
      <c r="AO285" s="198">
        <f>IF($K285=AO$3,ROUND(IF(OR($C285="W",$C285="1/2W",$C285="1/2L"),$P285-$O285,IF($C285="X",0,-$O285)),2),0)</f>
        <v>0</v>
      </c>
      <c r="AP285" s="198">
        <f>IF($K285=AP$3,ROUND(IF(OR($C285="W",$C285="1/2W",$C285="1/2L"),$P285-$O285,IF($C285="X",0,-$O285)),2),0)</f>
        <v>0</v>
      </c>
      <c r="AQ285" s="198">
        <f>IF($K285=AQ$3,ROUND(IF(OR($C285="W",$C285="1/2W",$C285="1/2L"),$P285-$O285,IF($C285="X",0,-$O285)),2),0)</f>
        <v>0</v>
      </c>
      <c r="AR285" s="199">
        <f>IF($K285=AR$3,ROUND(IF(OR($C285="W",$C285="1/2W",$C285="1/2L"),$P285-$O285,IF($C285="X",0,-$O285)),2),0)</f>
        <v>0</v>
      </c>
      <c r="AS285" s="197">
        <f>IF(AND($B283=" ",$K285=AS$3),$O285,0)</f>
        <v>0</v>
      </c>
      <c r="AT285" s="198">
        <f>IF(AND($B283=" ",K285=AT$3),$O285,0)</f>
        <v>0</v>
      </c>
      <c r="AU285" s="198">
        <f>IF(AND($B283=" ",$K285=AU$3),$O285,0)</f>
        <v>0</v>
      </c>
      <c r="AV285" s="198">
        <f>IF(AND($B283=" ",$K285=AV$3),$O285,0)</f>
        <v>0</v>
      </c>
      <c r="AW285" s="198">
        <f>IF(AND($B283=" ",$K285=AW$3),$O285,0)</f>
        <v>0</v>
      </c>
      <c r="AX285" s="198">
        <f>IF(AND($B283=" ",$K285=AX$3),$O285,0)</f>
        <v>0</v>
      </c>
      <c r="AY285" s="200">
        <f>IF(AND($B283=" ",$K285=AY$3),$O285,0)</f>
        <v>0</v>
      </c>
      <c r="AZ285" s="201">
        <f>IF(AND($B283=" ",$K285=AZ$3),$O285,0)</f>
        <v>0</v>
      </c>
      <c r="BA285" s="201">
        <f>IF(AND($B283=" ",$K285=BA$3),$O285,0)</f>
        <v>0</v>
      </c>
      <c r="BB285" s="201">
        <f>IF(AND($B283=" ",$K285=BB$3),$O285,0)</f>
        <v>0</v>
      </c>
      <c r="BC285" s="202">
        <f>IF(AND($B283=" ",$K285=BC$3),$O285,0)</f>
        <v>0</v>
      </c>
      <c r="BD285" s="198">
        <f>IF(AND($B283=" ",$K285=BD$3),$O285,0)</f>
        <v>0</v>
      </c>
      <c r="BE285" s="199">
        <f>IF(AND($B283=" ",$K285=BE$3),$O285,0)</f>
        <v>0</v>
      </c>
      <c r="BF285" s="197">
        <f>IF($K285=BF$3,IF($C285="X",0,$O285),0)</f>
        <v>0</v>
      </c>
      <c r="BG285" s="198">
        <f>IF($K285=BG$3,IF($C285="X",0,$O285),0)</f>
        <v>0</v>
      </c>
      <c r="BH285" s="198">
        <f>IF($K285=BH$3,IF($C285="X",0,$O285),0)</f>
        <v>0</v>
      </c>
      <c r="BI285" s="198">
        <f>IF($K285=BI$3,IF($C285="X",0,$O285),0)</f>
        <v>0</v>
      </c>
      <c r="BJ285" s="198">
        <f>IF($K285=BJ$3,IF($C285="X",0,$O285),0)</f>
        <v>0</v>
      </c>
      <c r="BK285" s="198">
        <f>IF($K285=BK$3,IF($C285="X",0,$O285),0)</f>
        <v>0</v>
      </c>
      <c r="BL285" s="198">
        <f>IF($K285=BL$3,IF($C285="X",0,$O285),0)</f>
        <v>0</v>
      </c>
      <c r="BM285" s="200">
        <f>IF($K285=BM$3,IF($C285="X",0,$O285),0)</f>
        <v>0</v>
      </c>
      <c r="BN285" s="201">
        <f>IF($K285=BN$3,IF($C285="X",0,$O285),0)</f>
        <v>0</v>
      </c>
      <c r="BO285" s="201">
        <f>IF($K285=BO$3,IF($C285="X",0,$O285),0)</f>
        <v>0</v>
      </c>
      <c r="BP285" s="201">
        <f>IF($K285=BP$3,IF($C285="X",0,$O285),0)</f>
        <v>0</v>
      </c>
      <c r="BQ285" s="202">
        <f>IF($K285=BQ$3,IF($C285="X",0,$O285),0)</f>
        <v>0</v>
      </c>
      <c r="BR285" s="199">
        <f>IF($K285=BR$3,IF($C285="X",0,$O285),0)</f>
        <v>0</v>
      </c>
      <c r="BS285" s="228"/>
      <c r="BT285" s="229"/>
      <c r="BU285" s="140"/>
      <c r="BV285" s="229"/>
      <c r="BW285" s="140"/>
      <c r="BX285" s="140"/>
      <c r="BY285" s="140"/>
      <c r="BZ285" s="229"/>
      <c r="CA285" s="140"/>
      <c r="CB285" s="140"/>
      <c r="CC285" s="140"/>
      <c r="CD285" s="141"/>
      <c r="CE285" s="142"/>
      <c r="CF285" s="230">
        <f>IF(CF$3=$K285,IF($C285="W",1,IF($C285="1/2W",0.5,0)),0)</f>
        <v>0</v>
      </c>
      <c r="CG285" s="231">
        <f>IF(CF$3=$K285,IF($C285="L",1,IF($C285="1/2L",0.5,0)),0)</f>
        <v>0</v>
      </c>
      <c r="CH285" s="231">
        <f>IF(CH$3=$K285,IF($C285="W",1,IF($C285="1/2W",0.5,0)),0)</f>
        <v>0</v>
      </c>
      <c r="CI285" s="231">
        <f>IF(CH$3=$K285,IF($C285="L",1,IF($C285="1/2L",0.5,0)),0)</f>
        <v>0</v>
      </c>
      <c r="CJ285" s="231">
        <f>IF(CJ$3=$K285,IF($C285="W",1,IF($C285="1/2W",0.5,0)),0)</f>
        <v>0</v>
      </c>
      <c r="CK285" s="231">
        <f>IF(CJ$3=$K285,IF($C285="L",1,IF($C285="1/2L",0.5,0)),0)</f>
        <v>0</v>
      </c>
      <c r="CL285" s="231">
        <f>IF(CL$3=$K285,IF($C285="W",1,IF($C285="1/2W",0.5,0)),0)</f>
        <v>0</v>
      </c>
      <c r="CM285" s="231">
        <f>IF(CL$3=$K285,IF($C285="L",1,IF($C285="1/2L",0.5,0)),0)</f>
        <v>0</v>
      </c>
      <c r="CN285" s="231">
        <f>IF(CN$3=$K285,IF($C285="W",1,IF($C285="1/2W",0.5,0)),0)</f>
        <v>0</v>
      </c>
      <c r="CO285" s="231">
        <f>IF(CN$3=$K285,IF($C285="L",1,IF($C285="1/2L",0.5,0)),0)</f>
        <v>0</v>
      </c>
      <c r="CP285" s="231">
        <f>IF(CP$3=$K285,IF($C285="W",1,IF($C285="1/2W",0.5,0)),0)</f>
        <v>0</v>
      </c>
      <c r="CQ285" s="231">
        <f>IF(CP$3=$K285,IF($C285="L",1,IF($C285="1/2L",0.5,0)),0)</f>
        <v>0</v>
      </c>
      <c r="CR285" s="231">
        <f>IF(CR$3=$K285,IF($C285="W",1,IF($C285="1/2W",0.5,0)),0)</f>
        <v>0</v>
      </c>
      <c r="CS285" s="231">
        <f>IF(CR$3=$K285,IF($C285="L",1,IF($C285="1/2L",0.5,0)),0)</f>
        <v>0</v>
      </c>
      <c r="CT285" s="208">
        <f>IF(CT$3=$K285,IF($C285="W",1,IF($C285="1/2W",0.5,0)),0)</f>
        <v>0</v>
      </c>
      <c r="CU285" s="209">
        <f>IF(CT$3=$K285,IF($C285="L",1,IF($C285="1/2L",0.5,0)),0)</f>
        <v>0</v>
      </c>
      <c r="CV285" s="209">
        <f>IF(CV$3=$K285,IF($C285="W",1,IF($C285="1/2W",0.5,0)),0)</f>
        <v>0</v>
      </c>
      <c r="CW285" s="209">
        <f>IF(CV$3=$K285,IF($C285="L",1,IF($C285="1/2L",0.5,0)),0)</f>
        <v>0</v>
      </c>
      <c r="CX285" s="209">
        <f>IF(CX$3=$K285,IF($C285="W",1,IF($C285="1/2W",0.5,0)),0)</f>
        <v>0</v>
      </c>
      <c r="CY285" s="209">
        <f>IF(CX$3=$K285,IF($C285="L",1,IF($C285="1/2L",0.5,0)),0)</f>
        <v>0</v>
      </c>
      <c r="CZ285" s="209">
        <f>IF(CZ$3=$K285,IF($C285="W",1,IF($C285="1/2W",0.5,0)),0)</f>
        <v>0</v>
      </c>
      <c r="DA285" s="209">
        <f>IF(CZ$3=$K285,IF($C285="L",1,IF($C285="1/2L",0.5,0)),0)</f>
        <v>0</v>
      </c>
      <c r="DB285" s="209">
        <f>IF(DB$3=$K285,IF($C285="W",1,IF($C285="1/2W",0.5,0)),0)</f>
        <v>0</v>
      </c>
      <c r="DC285" s="209">
        <f>IF(DB$3=$K285,IF($C285="L",1,IF($C285="1/2L",0.5,0)),0)</f>
        <v>0</v>
      </c>
      <c r="DD285" s="209">
        <f>IF(DD$3=$K285,IF($C285="W",1,IF($C285="1/2W",0.5,0)),0)</f>
        <v>0</v>
      </c>
      <c r="DE285" s="210">
        <f>IF(DD$3=$K285,IF($C285="L",1,IF($C285="1/2L",0.5,0)),0)</f>
        <v>0</v>
      </c>
      <c r="DF285" s="211">
        <f>IF(AND(L285&lt;DF$3,$C285="W"),1+DF284,DF284)</f>
        <v>11</v>
      </c>
      <c r="DG285" s="198">
        <f>IF(DF285&gt;DF284,L285+DG284,DG284)</f>
        <v>14.518</v>
      </c>
      <c r="DH285" s="209">
        <f>IF(AND(L285&gt;DH$3,$C285="W"),1+DH284,0+DH284)</f>
        <v>6</v>
      </c>
      <c r="DI285" s="198">
        <f>IF(DH285&gt;DH284,L285+DI284,DI284)</f>
        <v>30.83</v>
      </c>
      <c r="DJ285" t="s" s="306">
        <f>IF($D283="","",$D283)</f>
        <v>229</v>
      </c>
      <c r="DK285" s="232"/>
    </row>
    <row r="286" ht="14.55" customHeight="1">
      <c r="A286" s="246">
        <f>$A283+1</f>
        <v>95</v>
      </c>
      <c r="B286" t="s" s="247">
        <f>IF(AND(_xlfn.XLOOKUP(H286,H$94:H148,G$94:G148,0)=G286,_xlfn.XLOOKUP("TempoBet",K286:K288,L286:L288,0)&gt;0),"X",IF(OR(C286="W",C287="W",C288="W",C286="1/2W",C287="1/2W",C288="1/2W",C286="1/2L",C287="1/2L",C288="1/2L"),"OK",IF(OR(C286="L",C287="L",C288="L"),"LOSS",IF(OR(C286="X",C287="X",C288="X"),"Anulado"," "))))</f>
        <v>50</v>
      </c>
      <c r="C286" t="s" s="248">
        <v>51</v>
      </c>
      <c r="D286" t="s" s="303">
        <f>IF(G286="","",$D283)</f>
        <v>229</v>
      </c>
      <c r="E286" t="s" s="250">
        <v>152</v>
      </c>
      <c r="F286" t="s" s="251"/>
      <c r="G286" s="252">
        <v>44945.9375</v>
      </c>
      <c r="H286" t="s" s="253">
        <v>258</v>
      </c>
      <c r="I286" t="s" s="254">
        <v>65</v>
      </c>
      <c r="J286" s="255">
        <v>9.5</v>
      </c>
      <c r="K286" t="s" s="256">
        <v>41</v>
      </c>
      <c r="L286" s="257">
        <v>2.05</v>
      </c>
      <c r="M286" s="258"/>
      <c r="N286" s="259">
        <v>0</v>
      </c>
      <c r="O286" s="260">
        <f>IF(OR(AE286="",AE287=""),"",ROUND(IF(L288&gt;0,IF(M286&gt;0,M286,IF(M287&gt;0,ROUND((M287*AE286)/AE287,IF(N286=0,2,IF(N286=0.1,1,0))),ROUND((M288*AE286)/AE288,IF(N286=0,2,IF(N286=0.1,1,0))))),IF(M286&gt;0,M286,ROUND((M287*AE286)/AE287,IF(N286=0,2,IF(N286=0.1,1,0))))),2))</f>
        <v>8.539999999999999</v>
      </c>
      <c r="P286" s="261">
        <f>IF(OR(L286="",O286=""),"",IF($C286="1/2W",O286/2+O286/2*L286,IF($C286="1/2L",O286/2,IF(I286="Lay",(O286*(L286/(L286-1))-O286)*(1-_xlfn.XLOOKUP(K286,'Janeiro 2023 - Valor Real'!A3:A15,'Janeiro 2023 - Valor Real'!C3:C15,0))+O286,(O286*L286-O286)*(1-_xlfn.XLOOKUP(K286,'Janeiro 2023 - Valor Real'!A3:A15,'Janeiro 2023 - Valor Real'!C3:C15,0))+O286))))</f>
        <v>17.507</v>
      </c>
      <c r="Q286" s="262">
        <f>IF(K286="","",IF(_xlfn.XLOOKUP(K286,K$94:K148,DJ$94:DJ148,0,,-1)=DJ286,_xlfn.XLOOKUP(K286,K$94:K148,Q$94:Q148,1,,-1)+1,1))</f>
        <v>1</v>
      </c>
      <c r="R286" s="263">
        <f>IF(K286="","",_xlfn.XLOOKUP(K286,K$94:K148,R$94:R148,0,,-1)+IF($C286=" ",1,0))</f>
        <v>0</v>
      </c>
      <c r="S286" s="264">
        <f>IF($B286="Anulado",0,ROUND(IF(OR($B286="LOSS",$B286="OK"),IF(OR($C286="W",$C286="1/2W",$C286="1/2L"),P286-O286,IF($C286="L",-O286,0))+IF(OR($C287="W",$C287="1/2W",$C287="1/2L"),P287-O287,IF($C287="L",-O287,0))+IF(OR($C288="W",$C288="1/2W",$C288="1/2L"),P288-O288,IF($C288="L",-O288,0)),IF(AND(OR($C286="W",$C286="1/2W",$C286="1/2L"),C287="W"),P286+P287-SUM(O286:O288)+_xlfn.XLOOKUP("X",C286:C288,O286:O288,0),IF(AND(C286=TRUE,C288="W"),P286+P288-SUM(O286:O288),IF(AND(C287="W",C288="W"),P287+P288-SUM(O286:O288)+_xlfn.XLOOKUP("X",C286:C288,O286:O288,0),IF(L288&gt;0,IF(OR($C286="W",$C286="1/2W",$C286="1/2L"),P286-SUM(O286:O288)+_xlfn.XLOOKUP("X",C286:C288,O286:O288,0),IF(OR($C286="W",$C286="1/2W",$C286="1/2L"),P287-SUM(O286:O288)+_xlfn.XLOOKUP("X",C286:C288,O286:O288,0),IF(OR($C286="W",$C286="1/2W",$C286="1/2L"),P288-SUM(O286:O288)+_xlfn.XLOOKUP("X",C286:C288,O286:O288,0),IF(SUM(P286:P288)/3-SUM(O286:O288)+_xlfn.XLOOKUP("X",C286:C288,O286:O288,0)&gt;0,SUM(P286:P288)/3-SUM(O286:O288)+_xlfn.XLOOKUP("X",C286:C288,O286:O288,0),LARGE(P286:P288,1)-SUM(O286:O288))))),IF(OR($C286="W",$C286="1/2W",$C286="1/2L"),P286-SUM(O286:O287)+_xlfn.XLOOKUP("X",C286:C288,O286:O288,0),IF(OR($C286="W",$C286="1/2W",$C286="1/2L"),P287-SUM(O286:O287)+_xlfn.XLOOKUP("X",C286:C288,O286:O288,0),SUM(P286:P287)/2-SUM(O286:O287)+_xlfn.XLOOKUP("X",C286:C288,O286:O288,0)))))))),2))</f>
        <v>2.32</v>
      </c>
      <c r="T286" s="265">
        <f>IF(S286=0,0,S286/SUM(O286:O288))</f>
        <v>0.152631578947368</v>
      </c>
      <c r="U286" s="266">
        <f>IF($D286=$D283,IF(OR($B286="LOSS",$B286="OK",$B286="Anulada"),S286,0)+U283,IF(OR($B286="LOSS",$B286="OK",$B286="Anulada"),S286,0))</f>
        <v>26.52</v>
      </c>
      <c r="V286" s="266">
        <f>IF($D286="",0,IF($D286=$D283,IF($B286=" ",IF(I288="",IF(OR(AND(I286="DNB1",I287="DNB2"),AND(OR(I286="DNB1",I286="DNB2"),J287=0),AND(OR(I287="DNB1",I287="DNB2"),J286=0),AND(I286="DNB2",I287="DNB1"),AND(IF(J286=0,(J286+1)/ROUND(J286+1,0),J286/ROUND(J286,0))=1,IF(J287=0,(J287+1)/ROUND(IF(J287="",0,J287)+1,0),IF(J287="",0,J287)/ROUND(IF(J287="",1,J287),0))=1,OR(J286&lt;&gt;""),J287&lt;&gt;"")),0,IF(S286&lt;0,IF(I288="",SMALL(P286:P287,1)-SUM(O286:O287),0),SMALL(P286:P287,1)-SUM(O286:O287))),IF(S286&lt;0,IF(I288="",SMALL(P286:P288,1)-SUM(O286:O288),0),LARGE(P286:P288,1)-SUM(O286:O288))),S286)+V283,IF(I288="",IF(OR(AND(I286="DNB1",I287="DNB2"),AND(OR(I286="DNB1",I286="DNB2"),J287=0),AND(OR(I287="DNB1",I287="DNB2"),J286=0),AND(I286="DNB2",I287="DNB1"),AND(IF(J286=0,(J286+1)/ROUND(J286+1,0),J286/ROUND(J286,0))=1,IF(J287=0,(IF(J287="",0,J287)+1)/ROUND(IF(J287="",0,J287)+1,0),IF(J287="",0,J287)/ROUND(IF(J287="",0,J287)+1,0))=1,OR(J286&lt;&gt;""),J287&lt;&gt;"")),0,IF(S286&lt;0,IF(I288="",SMALL(P286:P287,1)-SUM(O286:O287),0),SMALL(P286:P288,1)-SUM(O286:O288))),IF(S286&lt;0,IF(I288="",SMALL(P286:P288,1)-SUM(O286:O288),0),LARGE(P286:P288,1)-SUM(O286:O288)))))</f>
        <v>26.516</v>
      </c>
      <c r="W286" s="266">
        <f>IF($D286=$D283,IF(S286&lt;0,IF(I288="",S286,0),S286)+W283,S286)</f>
        <v>26.52</v>
      </c>
      <c r="X286" t="s" s="267">
        <f>IF(OR(SUM(R286:R288)=0,V286=W286),ROUND(IF(W286=0,0,W286/Y286)*100,2)&amp;"%",ROUND(IF(V286=0,0,V286/Y286)*100,2)&amp;"% a "&amp;ROUND(IF(W286=0,0,W286/Y286)*100,2)&amp;"%")</f>
        <v>260</v>
      </c>
      <c r="Y286" s="268">
        <f>IF($D286=$D283,Y283+SUM(O286:O288),SUM(O286:O288))</f>
        <v>591.25</v>
      </c>
      <c r="Z286" s="266">
        <f>IF($B286=" ",SUM(O286:O288),0)+Z283</f>
        <v>0</v>
      </c>
      <c r="AA286" s="266">
        <f>IF(G286="","",IF($B286="Anulado",LARGE(P286:P288,1)-SUM(O286:O288)+AA283,AA283))</f>
        <v>16.5099</v>
      </c>
      <c r="AB286" s="266">
        <f>IF($D286="","",AB283+S286)</f>
        <v>228.69</v>
      </c>
      <c r="AC286" s="269">
        <f>IF($D286="","",IF($B286=" ",IF(DAY(G286)=DAY(TODAY()),1+AC283,0+AC283),0+AC283))</f>
        <v>0</v>
      </c>
      <c r="AD286" s="270">
        <f>(1-_xlfn.XLOOKUP(K284,'Janeiro 2023 - Valor Real'!A3:A15,'Janeiro 2023 - Valor Real'!C3:C15,0))+1</f>
        <v>2</v>
      </c>
      <c r="AE286" s="271">
        <f>IF(L286="","",IF(L288&gt;0,(SUM(((L286-1)*(1-_xlfn.XLOOKUP(K286,'Janeiro 2023 - Valor Real'!A3:A15,'Janeiro 2023 - Valor Real'!C3:C15,0))+1),((L287-1)*(1-_xlfn.XLOOKUP(K287,'Janeiro 2023 - Valor Real'!A3:A15,'Janeiro 2023 - Valor Real'!C3:C15,0))+1),((L288-1)*(1-_xlfn.XLOOKUP(K288,'Janeiro 2023 - Valor Real'!A3:A15,'Janeiro 2023 - Valor Real'!C3:C15,0))+1))/((L286-1)*(1-_xlfn.XLOOKUP(K286,'Janeiro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Real'!C3:C15,0))+1))/((L286-1)*(1-_xlfn.XLOOKUP(K286,'Janeiro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Real'!C3:C15,0))+1))/((L287-1)*(1-_xlfn.XLOOKUP(K287,'Janeiro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Real'!C3:C15,0))+1))/((L288-1)*(1-_xlfn.XLOOKUP(K288,'Janeiro 2023 - Valor Real'!A3:A15,'Janeiro 2023 - Valor Real'!C3:C15,0))+1)),IF(I286="Lay",IF(I287="Lay",((L287/(L287-1)-1)*(1-_xlfn.XLOOKUP(K287,'Janeiro 2023 - Valor Real'!A3:A15,'Janeiro 2023 - Valor Real'!C3:C15,0))+1)/(((L287/(L287-1)-1)*(1-_xlfn.XLOOKUP(K287,'Janeiro 2023 - Valor Real'!A3:A15,'Janeiro 2023 - Valor Real'!C3:C15,0))+1)+((L286/(L286-1)-1)*(1-_xlfn.XLOOKUP(K286,'Janeiro 2023 - Valor Real'!A3:A15,'Janeiro 2023 - Valor Real'!C3:C15,0))+1)),((L287-1)*(1-_xlfn.XLOOKUP(K287,'Janeiro 2023 - Valor Real'!A3:A15,'Janeiro 2023 - Valor Real'!C3:C15,0))+1)/(((L287-1)*(1-_xlfn.XLOOKUP(K287,'Janeiro 2023 - Valor Real'!A3:A15,'Janeiro 2023 - Valor Real'!C3:C15,0))+1)+((L286/(L286-1)-1)*(1-_xlfn.XLOOKUP(K286,'Janeiro 2023 - Valor Real'!A3:A15,'Janeiro 2023 - Valor Real'!C3:C15,0))+1))),IF(I287="Lay",(((L287/(L287-1)-1)*(1-_xlfn.XLOOKUP(K287,'Janeiro 2023 - Valor Real'!A3:A15,'Janeiro 2023 - Valor Real'!C3:C15,0))+1))/(((L286-1)*(1-_xlfn.XLOOKUP(K286,'Janeiro 2023 - Valor Real'!A3:A15,'Janeiro 2023 - Valor Real'!C3:C15,0))+1)+((L287/(L287-1)-1)*(1-_xlfn.XLOOKUP(K287,'Janeiro 2023 - Valor Real'!A3:A15,'Janeiro 2023 - Valor Real'!C3:C15,0))+1)),((L287-1)*(1-_xlfn.XLOOKUP(K287,'Janeiro 2023 - Valor Real'!A3:A15,'Janeiro 2023 - Valor Real'!C3:C15,0))+1)/(((L287-1)*(1-_xlfn.XLOOKUP(K287,'Janeiro 2023 - Valor Real'!A3:A15,'Janeiro 2023 - Valor Real'!C3:C15,0))+1)+((L286-1)*(1-_xlfn.XLOOKUP(K286,'Janeiro 2023 - Valor Real'!A3:A15,'Janeiro 2023 - Valor Real'!C3:C15,0))+1))))))</f>
        <v>0.561965811965812</v>
      </c>
      <c r="AF286" s="132">
        <f>IF($K286=AF$3,ROUND(IF(OR($C286="W",$C286="1/2W",$C286="1/2L"),$P286-$O286,IF($C286="X",0,-$O286)),2),0)</f>
        <v>0</v>
      </c>
      <c r="AG286" s="133">
        <f>IF($K286=AG$3,ROUND(IF(OR($C286="W",$C286="1/2W",$C286="1/2L"),$P286-$O286,IF($C286="X",0,-$O286)),2),0)</f>
        <v>0</v>
      </c>
      <c r="AH286" s="133">
        <f>IF($K286=AH$3,ROUND(IF(OR($C286="W",$C286="1/2W",$C286="1/2L"),$P286-$O286,IF($C286="X",0,-$O286)),2),0)</f>
        <v>0</v>
      </c>
      <c r="AI286" s="133">
        <f>IF($K286=AI$3,ROUND(IF(OR($C286="W",$C286="1/2W",$C286="1/2L"),$P286-$O286,IF($C286="X",0,-$O286)),2),0)</f>
        <v>0</v>
      </c>
      <c r="AJ286" s="133">
        <f>IF($K286=AJ$3,ROUND(IF(OR($C286="W",$C286="1/2W",$C286="1/2L"),$P286-$O286,IF($C286="X",0,-$O286)),2),0)</f>
        <v>-8.539999999999999</v>
      </c>
      <c r="AK286" s="133">
        <f>IF($K286=AK$3,ROUND(IF(OR($C286="W",$C286="1/2W",$C286="1/2L"),$P286-$O286,IF($C286="X",0,-$O286)),2),0)</f>
        <v>0</v>
      </c>
      <c r="AL286" s="133">
        <f>IF($K286=AL$3,ROUND(IF(OR($C286="W",$C286="1/2W",$C286="1/2L"),$P286-$O286,IF($C286="X",0,-$O286)),2),0)</f>
        <v>0</v>
      </c>
      <c r="AM286" s="133">
        <f>IF($K286=AM$3,ROUND(IF(OR($C286="W",$C286="1/2W",$C286="1/2L"),$P286-$O286,IF($C286="X",0,-$O286)),2),0)</f>
        <v>0</v>
      </c>
      <c r="AN286" s="133">
        <f>IF($K286=AN$3,ROUND(IF(OR($C286="W",$C286="1/2W",$C286="1/2L"),$P286-$O286,IF($C286="X",0,-$O286)),2),0)</f>
        <v>0</v>
      </c>
      <c r="AO286" s="133">
        <f>IF($K286=AO$3,ROUND(IF(OR($C286="W",$C286="1/2W",$C286="1/2L"),$P286-$O286,IF($C286="X",0,-$O286)),2),0)</f>
        <v>0</v>
      </c>
      <c r="AP286" s="133">
        <f>IF($K286=AP$3,ROUND(IF(OR($C286="W",$C286="1/2W",$C286="1/2L"),$P286-$O286,IF($C286="X",0,-$O286)),2),0)</f>
        <v>0</v>
      </c>
      <c r="AQ286" s="133">
        <f>IF($K286=AQ$3,ROUND(IF(OR($C286="W",$C286="1/2W",$C286="1/2L"),$P286-$O286,IF($C286="X",0,-$O286)),2),0)</f>
        <v>0</v>
      </c>
      <c r="AR286" s="134">
        <f>IF($K286=AR$3,ROUND(IF(OR($C286="W",$C286="1/2W",$C286="1/2L"),$P286-$O286,IF($C286="X",0,-$O286)),2),0)</f>
        <v>0</v>
      </c>
      <c r="AS286" s="132">
        <f>IF(AND($B286=" ",$K286=AS$3),$O286,0)</f>
        <v>0</v>
      </c>
      <c r="AT286" s="133">
        <f>IF(AND($B286=" ",$K286=AT$3),$O286,0)</f>
        <v>0</v>
      </c>
      <c r="AU286" s="133">
        <f>IF(AND($B286=" ",$K286=AU$3),$O286,0)</f>
        <v>0</v>
      </c>
      <c r="AV286" s="133">
        <f>IF(AND($B286=" ",$K286=AV$3),$O286,0)</f>
        <v>0</v>
      </c>
      <c r="AW286" s="133">
        <f>IF(AND($B286=" ",$K286=AW$3),$O286,0)</f>
        <v>0</v>
      </c>
      <c r="AX286" s="133">
        <f>IF(AND($B286=" ",$K286=AX$3),$O286,0)</f>
        <v>0</v>
      </c>
      <c r="AY286" s="135">
        <f>IF(AND($B286=" ",$K286=AY$3),$O286,0)</f>
        <v>0</v>
      </c>
      <c r="AZ286" s="136">
        <f>IF(AND($B286=" ",$K286=AZ$3),$O286,0)</f>
        <v>0</v>
      </c>
      <c r="BA286" s="136">
        <f>IF(AND($B286=" ",$K286=BA$3),$O286,0)</f>
        <v>0</v>
      </c>
      <c r="BB286" s="136">
        <f>IF(AND($B286=" ",$K286=BB$3),$O286,0)</f>
        <v>0</v>
      </c>
      <c r="BC286" s="137">
        <f>IF(AND($B286=" ",$K286=BC$3),$O286,0)</f>
        <v>0</v>
      </c>
      <c r="BD286" s="133">
        <f>IF(AND($B286=" ",$K286=BD$3),$O286,0)</f>
        <v>0</v>
      </c>
      <c r="BE286" s="134">
        <f>IF(AND($B286=" ",$K286=BE$3),$O286,0)</f>
        <v>0</v>
      </c>
      <c r="BF286" s="132">
        <f>IF($K286=BF$3,IF($C286="X",0,$O286),0)</f>
        <v>0</v>
      </c>
      <c r="BG286" s="133">
        <f>IF($K286=BG$3,IF($C286="X",0,$O286),0)</f>
        <v>0</v>
      </c>
      <c r="BH286" s="133">
        <f>IF($K286=BH$3,IF($C286="X",0,$O286),0)</f>
        <v>0</v>
      </c>
      <c r="BI286" s="133">
        <f>IF($K286=BI$3,IF($C286="X",0,$O286),0)</f>
        <v>0</v>
      </c>
      <c r="BJ286" s="133">
        <f>IF($K286=BJ$3,IF($C286="X",0,$O286),0)</f>
        <v>8.539999999999999</v>
      </c>
      <c r="BK286" s="133">
        <f>IF($K286=BK$3,IF($C286="X",0,$O286),0)</f>
        <v>0</v>
      </c>
      <c r="BL286" s="133">
        <f>IF($K286=BL$3,IF($C286="X",0,$O286),0)</f>
        <v>0</v>
      </c>
      <c r="BM286" s="135">
        <f>IF($K286=BM$3,IF($C286="X",0,$O286),0)</f>
        <v>0</v>
      </c>
      <c r="BN286" s="136">
        <f>IF($K286=BN$3,IF($C286="X",0,$O286),0)</f>
        <v>0</v>
      </c>
      <c r="BO286" s="136">
        <f>IF($K286=BO$3,IF($C286="X",0,$O286),0)</f>
        <v>0</v>
      </c>
      <c r="BP286" s="136">
        <f>IF($K286=BP$3,IF($C286="X",0,$O286),0)</f>
        <v>0</v>
      </c>
      <c r="BQ286" s="137">
        <f>IF($K286=BQ$3,IF($C286="X",0,$O286),0)</f>
        <v>0</v>
      </c>
      <c r="BR286" s="134">
        <f>IF($K286=BR$3,IF($C286="X",0,$O286),0)</f>
        <v>0</v>
      </c>
      <c r="BS286" s="170">
        <f>IF($B286="LOSS",IF(AND($K286=BS$3,$C286="L"),-$O286,0)+IF(AND($K287=BS$3,$C287="L"),-$O287,0)+IF(AND($K288=BS$3,$C288="L"),-$O288,0),IF(OR(AND($K286=BS$3,OR($C286="W",$C286="1/2W")),AND($K287=BS$3,OR($C287="W",$C287="1/2W")),AND($K288=BS$3,OR($C288="W",$C288="1/2W"))),$S286,0))</f>
        <v>0</v>
      </c>
      <c r="BT286" s="272">
        <f>IF($B286="LOSS",IF(AND($K286=BT$3,$C286="L"),-$O286,0)+IF(AND($K287=BT$3,$C287="L"),-$O287,0)+IF(AND($K287=BT$3,$C288="L"),-$O288,0),IF(OR(AND($K287=BT$3,OR($C286="W",$C286="1/2W")),AND($K287=BT$3,OR($C287="W",$C287="1/2W")),AND($K287=BT$3,OR($C288="W",$C288="1/2W"))),$S286,0))</f>
        <v>2.32</v>
      </c>
      <c r="BU286" s="136">
        <f>IF($B286="LOSS",IF(AND($K286=BU$3,$C286="L"),-$O286,0)+IF(AND($K287=BU$3,$C287="L"),-$O287,0)+IF(AND($K287=BU$3,$C288="L"),-$O288,0),IF(OR(AND($K287=BU$3,OR($C286="W",$C286="1/2W")),AND($K287=BU$3,OR($C287="W",$C287="1/2W")),AND($K287=BU$3,OR($C288="W",$C288="1/2W"))),$S286,0))</f>
        <v>0</v>
      </c>
      <c r="BV286" s="136">
        <f>IF($B286="LOSS",IF(AND($K286=BV$3,$C286="L"),-$O286,0)+IF(AND($K287=BV$3,$C287="L"),-$O287,0)+IF(AND($K288=BV$3,$C288="L"),-$O288,0),IF(OR(AND($K286=BV$3,OR($C286="W",$C286="1/2W")),AND($K287=BV$3,OR($C287="W",$C287="1/2W")),AND($K288=BV$3,OR($C288="W",$C288="1/2W"))),$S286,0))</f>
        <v>0</v>
      </c>
      <c r="BW286" s="136">
        <f>IF($B286="LOSS",IF(AND($K286=BW$3,$C286="L"),-$O286,0)+IF(AND($K287=BW$3,$C287="L"),-$O287,0)+IF(AND($K288=BW$3,$C288="L"),-$O288,0),IF(OR(AND($K286=BW$3,OR($C286="W",$C286="1/2W")),AND($K287=BW$3,OR($C287="W",$C287="1/2W")),AND($K288=BW$3,OR($C288="W",$C288="1/2W"))),$S286,0))</f>
        <v>0</v>
      </c>
      <c r="BX286" s="136">
        <f>IF($B286="LOSS",IF(AND($K286=BX$3,$C286="L"),-$O286,0)+IF(AND($K287=BX$3,$C287="L"),-$O287,0)+IF(AND($K288=BX$3,$C288="L"),-$O288,0),IF(OR(AND($K286=BX$3,OR($C286="W",$C286="1/2W")),AND($K287=BX$3,OR($C287="W",$C287="1/2W")),AND($K288=BX$3,OR($C288="W",$C288="1/2W"))),$S286,0))</f>
        <v>0</v>
      </c>
      <c r="BY286" s="136">
        <f>IF($B286="LOSS",IF(AND($K286=BY$3,$C286="L"),-$O286,0)+IF(AND($K287=BY$3,$C287="L"),-$O287,0)+IF(AND($K288=BY$3,$C288="L"),-$O288,0),IF(OR(AND($K286=BY$3,OR($C286="W",$C286="1/2W")),AND($K287=BY$3,OR($C287="W",$C287="1/2W")),AND($K288=BY$3,OR($C288="W",$C288="1/2W"))),$S286,0))</f>
        <v>0</v>
      </c>
      <c r="BZ286" s="136">
        <f>IF($B286="LOSS",IF(AND($K286=BZ$3,$C286="L"),-$O286,0)+IF(AND($K287=BZ$3,$C287="L"),-$O287,0)+IF(AND($K288=BZ$3,$C288="L"),-$O288,0),IF(OR(AND($K286=BZ$3,OR($C286="W",$C286="1/2W")),AND($K287=BZ$3,OR($C287="W",$C287="1/2W")),AND($K288=BZ$3,OR($C288="W",$C288="1/2W"))),$S286,0))</f>
        <v>0</v>
      </c>
      <c r="CA286" s="136">
        <f>IF($B286="LOSS",IF(AND($K286=CA$3,$C286="L"),-$O286,0)+IF(AND($K287=CA$3,$C287="L"),-$O287,0)+IF(AND($K288=CA$3,$C288="L"),-$O288,0),IF(OR(AND($K286=CA$3,OR($C286="W",$C286="1/2W")),AND($K287=CA$3,OR($C287="W",$C287="1/2W")),AND($K288=CA$3,OR($C288="W",$C288="1/2W"))),$S286,0))</f>
        <v>0</v>
      </c>
      <c r="CB286" s="136">
        <f>IF($B286="LOSS",IF(AND($K286=CB$3,$C286="L"),-$O286,0)+IF(AND($K287=CB$3,$C287="L"),-$O287,0)+IF(AND($K288=CB$3,$C288="L"),-$O288,0),IF(OR(AND($K286=CB$3,OR($C286="W",$C286="1/2W")),AND($K287=CB$3,OR($C287="W",$C287="1/2W")),AND($K288=CB$3,OR($C288="W",$C288="1/2W"))),$S286,0))</f>
        <v>0</v>
      </c>
      <c r="CC286" s="136">
        <f>IF($B286="LOSS",IF(AND($K286=CC$3,$C286="L"),-$O286,0)+IF(AND($K287=CC$3,$C287="L"),-$O287,0)+IF(AND($K288=CC$3,$C288="L"),-$O288,0),IF(OR(AND($K286=CC$3,OR($C286="W",$C286="1/2W")),AND($K287=CC$3,OR($C287="W",$C287="1/2W")),AND($K288=CC$3,OR($C288="W",$C288="1/2W"))),$S286,0))</f>
        <v>0</v>
      </c>
      <c r="CD286" s="137">
        <f>IF($B286="LOSS",IF(AND($K286=CD$3,$C286="L"),-$O286,0)+IF(AND($K287=CD$3,$C287="L"),-$O287,0)+IF(AND($K288=CD$3,$C288="L"),-$O288,0),IF(OR(AND($K286=CD$3,OR($C286="W",$C286="1/2W")),AND($K287=CD$3,OR($C287="W",$C287="1/2W")),AND($K288=CD$3,OR($C288="W",$C288="1/2W"))),$S286,0))</f>
        <v>0</v>
      </c>
      <c r="CE286" s="134">
        <f>IF($B286="LOSS",IF(AND($K286=CE$3,$C286="L"),-$O286,0)+IF(AND($K287=CE$3,$C287="L"),-$O287,0)+IF(AND($K288=CE$3,$C288="L"),-$O288,0),IF(OR(AND($K286=CE$3,OR($C286="W",$C286="1/2W")),AND($K287=CE$3,OR($C287="W",$C287="1/2W")),AND($K288=CE$3,OR($C288="W",$C288="1/2W"))),$S286,0))</f>
        <v>0</v>
      </c>
      <c r="CF286" s="273">
        <f>IF(CF$3=$K286,IF($C286="W",1,IF($C286="1/2W",0.5,0)),0)</f>
        <v>0</v>
      </c>
      <c r="CG286" s="274">
        <f>IF(CF$3=$K286,IF($C286="L",1,IF($C286="1/2L",0.5,0)),0)</f>
        <v>0</v>
      </c>
      <c r="CH286" s="274">
        <f>IF(CH$3=$K286,IF($C286="W",1,IF($C286="1/2W",0.5,0)),0)</f>
        <v>0</v>
      </c>
      <c r="CI286" s="274">
        <f>IF(CH$3=$K286,IF($C286="L",1,IF($C286="1/2L",0.5,0)),0)</f>
        <v>0</v>
      </c>
      <c r="CJ286" s="274">
        <f>IF(CJ$3=$K286,IF($C286="W",1,IF($C286="1/2W",0.5,0)),0)</f>
        <v>0</v>
      </c>
      <c r="CK286" s="274">
        <f>IF(CJ$3=$K286,IF($C286="L",1,IF($C286="1/2L",0.5,0)),0)</f>
        <v>0</v>
      </c>
      <c r="CL286" s="274">
        <f>IF(CL$3=$K286,IF($C286="W",1,IF($C286="1/2W",0.5,0)),0)</f>
        <v>0</v>
      </c>
      <c r="CM286" s="274">
        <f>IF(CL$3=$K286,IF($C286="L",1,IF($C286="1/2L",0.5,0)),0)</f>
        <v>0</v>
      </c>
      <c r="CN286" s="274">
        <f>IF(CN$3=$K286,IF($C286="W",1,IF($C286="1/2W",0.5,0)),0)</f>
        <v>0</v>
      </c>
      <c r="CO286" s="274">
        <f>IF(CN$3=$K286,IF($C286="L",1,IF($C286="1/2L",0.5,0)),0)</f>
        <v>1</v>
      </c>
      <c r="CP286" s="274">
        <f>IF(CP$3=$K286,IF($C286="W",1,IF($C286="1/2W",0.5,0)),0)</f>
        <v>0</v>
      </c>
      <c r="CQ286" s="274">
        <f>IF(CP$3=$K286,IF($C286="L",1,IF($C286="1/2L",0.5,0)),0)</f>
        <v>0</v>
      </c>
      <c r="CR286" s="274">
        <f>IF(CR$3=$K286,IF($C286="W",1,IF($C286="1/2W",0.5,0)),0)</f>
        <v>0</v>
      </c>
      <c r="CS286" s="274">
        <f>IF(CR$3=$K286,IF($C286="L",1,IF($C286="1/2L",0.5,0)),0)</f>
        <v>0</v>
      </c>
      <c r="CT286" s="145">
        <f>IF(CT$3=$K286,IF($C286="W",1,IF($C286="1/2W",0.5,0)),0)</f>
        <v>0</v>
      </c>
      <c r="CU286" s="146">
        <f>IF(CT$3=$K286,IF($C286="L",1,IF($C286="1/2L",0.5,0)),0)</f>
        <v>0</v>
      </c>
      <c r="CV286" s="146">
        <f>IF(CV$3=$K286,IF($C286="W",1,IF($C286="1/2W",0.5,0)),0)</f>
        <v>0</v>
      </c>
      <c r="CW286" s="146">
        <f>IF(CV$3=$K286,IF($C286="L",1,IF($C286="1/2L",0.5,0)),0)</f>
        <v>0</v>
      </c>
      <c r="CX286" s="146">
        <f>IF(CX$3=$K286,IF($C286="W",1,IF($C286="1/2W",0.5,0)),0)</f>
        <v>0</v>
      </c>
      <c r="CY286" s="146">
        <f>IF(CX$3=$K286,IF($C286="L",1,IF($C286="1/2L",0.5,0)),0)</f>
        <v>0</v>
      </c>
      <c r="CZ286" s="146">
        <f>IF(CZ$3=$K286,IF($C286="W",1,IF($C286="1/2W",0.5,0)),0)</f>
        <v>0</v>
      </c>
      <c r="DA286" s="146">
        <f>IF(CZ$3=$K286,IF($C286="L",1,IF($C286="1/2L",0.5,0)),0)</f>
        <v>0</v>
      </c>
      <c r="DB286" s="146">
        <f>IF(DB$3=$K286,IF($C286="W",1,IF($C286="1/2W",0.5,0)),0)</f>
        <v>0</v>
      </c>
      <c r="DC286" s="146">
        <f>IF(DB$3=$K286,IF($C286="L",1,IF($C286="1/2L",0.5,0)),0)</f>
        <v>0</v>
      </c>
      <c r="DD286" s="146">
        <f>IF(DD$3=$K286,IF($C286="W",1,IF($C286="1/2W",0.5,0)),0)</f>
        <v>0</v>
      </c>
      <c r="DE286" s="147">
        <f>IF(DD$3=$K286,IF($C286="L",1,IF($C286="1/2L",0.5,0)),0)</f>
        <v>0</v>
      </c>
      <c r="DF286" s="143">
        <f>IF(AND(L286&lt;DF$3,$C286="W"),1+DF285,DF285)</f>
        <v>11</v>
      </c>
      <c r="DG286" s="133">
        <f>IF(DF286&gt;DF285,L286+DG285,DG285)</f>
        <v>14.518</v>
      </c>
      <c r="DH286" s="146">
        <f>IF(AND(L286&gt;DH$3,$C286="W"),1+DH285,0+DH285)</f>
        <v>6</v>
      </c>
      <c r="DI286" s="133">
        <f>IF(DH286&gt;DH285,L286+DI285,DI285)</f>
        <v>30.83</v>
      </c>
      <c r="DJ286" t="s" s="304">
        <f>IF($D286="","",$D286)</f>
        <v>229</v>
      </c>
      <c r="DK286" s="146">
        <f>IF(AND($B286=" ",$D286&lt;&gt;""),1,0)</f>
        <v>0</v>
      </c>
    </row>
    <row r="287" ht="14.55" customHeight="1">
      <c r="A287" s="107"/>
      <c r="B287" s="108"/>
      <c r="C287" t="s" s="109">
        <v>56</v>
      </c>
      <c r="D287" s="110"/>
      <c r="E287" s="111"/>
      <c r="F287" s="113"/>
      <c r="G287" s="252"/>
      <c r="H287" s="114"/>
      <c r="I287" t="s" s="275">
        <v>67</v>
      </c>
      <c r="J287" s="276">
        <f>IF(OR(I286="TO",I286="TU",I286="TO1",I286="TU1",I286="TO2",I286="TU2"),J286,IF(OR(I286="AH1",I286="AH2"),IF(OR(I287="AH1",I287="AH2"),-J286,IF(OR(I287="EH1",I287="EH2"),-J286+0.5,"")),IF(OR(I286="EH1",I286="EH2"),IF(OR(I287="AH1",I287="AH2"),-J286+0.5,IF(OR(I287="EH1",I287="EH2"),-J286+1,"")),IF(AND(OR(I286="DNB1",I286="DNB2"),OR(I287="AH1",I287="AH2")),0,IF(AND(I286="Not ScoreBoth",OR(I287="TO1",I287="TO2")),0.5,"")))))</f>
        <v>9.5</v>
      </c>
      <c r="K287" t="s" s="117">
        <v>38</v>
      </c>
      <c r="L287" s="277">
        <v>2.63</v>
      </c>
      <c r="M287" s="278">
        <v>6.66</v>
      </c>
      <c r="N287" s="120"/>
      <c r="O287" s="121">
        <f>IF(OR(AE286="",AE287=""),"",ROUND(IF(L288&gt;0,IF(M287&gt;0,M287,IF(M286&gt;0,IF(N286=TRUE,ROUND((M286*AE287)/AE286,0),(M286*AE287)/AE286),IF(M287&gt;0,ROUND(M287,IF(N286=0,2,IF(N286=0.1,1,0))),IF(M288&gt;0,ROUND(O288*AE287/AE288,IF(N286=0,2,IF(N286=0.1,1,0))),0)))),IF(M287&gt;0,M287,ROUND((M286*AE287)/AE286,IF(N286=0,2,IF(N286=0.1,1,0))))),2))</f>
        <v>6.66</v>
      </c>
      <c r="P287" s="122">
        <f>IF(OR(L287="",O287=""),"",IF($C287="1/2W",O287/2+O287/2*L287,IF($C287="1/2L",O287/2,IF(I287="Lay",((O287*(L287/(L287-1)))-O287)*(1-_xlfn.XLOOKUP(K287,'Janeiro 2023 - Valor Real'!A3:A15,'Janeiro 2023 - Valor Real'!C3:C15,0))+O287,(O287*L287-O287)*(1-_xlfn.XLOOKUP(K287,'Janeiro 2023 - Valor Real'!A3:A15,'Janeiro 2023 - Valor Real'!C3:C15,0))+O287))))</f>
        <v>17.5158</v>
      </c>
      <c r="Q287" s="279">
        <f>IF(K287="","",IF(_xlfn.XLOOKUP(K287,K$95:K149,DJ$95:DJ149,0,,-1)=DJ287,_xlfn.XLOOKUP(K287,K$95:K149,Q$95:Q149,1,,-1)+1,1))</f>
        <v>1</v>
      </c>
      <c r="R287" s="280">
        <f>IF(K287="","",_xlfn.XLOOKUP(K287,K$95:K149,R$95:R149,0,,-1)+IF($C287=" ",1,0))</f>
        <v>0</v>
      </c>
      <c r="S287" s="125"/>
      <c r="T287" s="126"/>
      <c r="U287" s="126"/>
      <c r="V287" s="224"/>
      <c r="W287" s="126"/>
      <c r="X287" s="127"/>
      <c r="Y287" s="128"/>
      <c r="Z287" s="129"/>
      <c r="AA287" s="129"/>
      <c r="AB287" s="129"/>
      <c r="AC287" s="129"/>
      <c r="AD287" s="130"/>
      <c r="AE287" s="131">
        <f>IF(L287="","",IF(L288&gt;0,(SUM(((L286-1)*(1-_xlfn.XLOOKUP(K286,'Janeiro 2023 - Valor Real'!A3:A15,'Janeiro 2023 - Valor Real'!C3:C15,0))+1),((L287-1)*(1-_xlfn.XLOOKUP(K287,'Janeiro 2023 - Valor Real'!A3:A15,'Janeiro 2023 - Valor Real'!C3:C15,0))+1),((L288-1)*(1-_xlfn.XLOOKUP(K288,'Janeiro 2023 - Valor Real'!A3:A15,'Janeiro 2023 - Valor Real'!C3:C15,0))+1))/((L287-1)*(1-_xlfn.XLOOKUP(K287,'Janeiro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Real'!C3:C15,0))+1))/((L286-1)*(1-_xlfn.XLOOKUP(K286,'Janeiro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Real'!C3:C15,0))+1))/((L287-1)*(1-_xlfn.XLOOKUP(K287,'Janeiro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Real'!C3:C15,0))+1))/((L288-1)*(1-_xlfn.XLOOKUP(K288,'Janeiro 2023 - Valor Real'!A3:A15,'Janeiro 2023 - Valor Real'!C3:C15,0))+1)),IF(I287="Lay",IF(I286="Lay",((L286/(L286-1)-1)*(1-_xlfn.XLOOKUP(K286,'Janeiro 2023 - Valor Real'!A3:A15,'Janeiro 2023 - Valor Real'!C3:C15,0))+1)/(((L286/(L286-1)-1)*(1-_xlfn.XLOOKUP(K286,'Janeiro 2023 - Valor Real'!A3:A15,'Janeiro 2023 - Valor Real'!C3:C15,0))+1)+((L287/(L287-1)-1)*(1-_xlfn.XLOOKUP(K287,'Janeiro 2023 - Valor Real'!A3:A15,'Janeiro 2023 - Valor Real'!C3:C15,0))+1)),((L286-1)*(1-_xlfn.XLOOKUP(K286,'Janeiro 2023 - Valor Real'!A3:A15,'Janeiro 2023 - Valor Real'!C3:C15,0))+1)/(((L286-1)*(1-_xlfn.XLOOKUP(K286,'Janeiro 2023 - Valor Real'!A3:A15,'Janeiro 2023 - Valor Real'!C3:C15,0))+1)+((L287/(L287-1)-1)*(1-_xlfn.XLOOKUP(K287,'Janeiro 2023 - Valor Real'!A3:A15,'Janeiro 2023 - Valor Real'!C3:C15,0))+1))),IF(I286="Lay",((L286/(L286-1)-1)*(1-_xlfn.XLOOKUP(K286,'Janeiro 2023 - Valor Real'!A3:A15,'Janeiro 2023 - Valor Real'!C3:C15,0))+1)/((((L286/(L286-1)-1)*(1-_xlfn.XLOOKUP(K286,'Janeiro 2023 - Valor Real'!A3:A15,'Janeiro 2023 - Valor Real'!C3:C15,0))+1))+((L287-1)*(1-_xlfn.XLOOKUP(K287,'Janeiro 2023 - Valor Real'!A3:A15,'Janeiro 2023 - Valor Real'!C3:C15,0))+1)),((L286-1)*(1-_xlfn.XLOOKUP(K286,'Janeiro 2023 - Valor Real'!A3:A15,'Janeiro 2023 - Valor Real'!C3:C15,0))+1)/(((L286-1)*(1-_xlfn.XLOOKUP(K286,'Janeiro 2023 - Valor Real'!A3:A15,'Janeiro 2023 - Valor Real'!C3:C15,0))+1)+((L287-1)*(1-_xlfn.XLOOKUP(K287,'Janeiro 2023 - Valor Real'!A3:A15,'Janeiro 2023 - Valor Real'!C3:C15,0))+1))))))</f>
        <v>0.438034188034188</v>
      </c>
      <c r="AF287" s="132">
        <f>IF($K287=AF$3,ROUND(IF(OR($C287="W",$C287="1/2W",$C287="1/2L"),$P287-$O287,IF($C287="X",0,-$O287)),2),0)</f>
        <v>0</v>
      </c>
      <c r="AG287" s="133">
        <f>IF($K287=AG$3,ROUND(IF(OR($C287="W",$C287="1/2W",$C287="1/2L"),$P287-$O287,IF($C287="X",0,-$O287)),2),0)</f>
        <v>10.86</v>
      </c>
      <c r="AH287" s="133">
        <f>IF($K287=AH$3,ROUND(IF(OR($C287="W",$C287="1/2W",$C287="1/2L"),$P287-$O287,IF($C287="X",0,-$O287)),2),0)</f>
        <v>0</v>
      </c>
      <c r="AI287" s="133">
        <f>IF($K287=AI$3,ROUND(IF(OR($C287="W",$C287="1/2W",$C287="1/2L"),$P287-$O287,IF($C287="X",0,-$O287)),2),0)</f>
        <v>0</v>
      </c>
      <c r="AJ287" s="133">
        <f>IF($K287=AJ$3,ROUND(IF(OR($C287="W",$C287="1/2W",$C287="1/2L"),$P287-$O287,IF($C287="X",0,-$O287)),2),0)</f>
        <v>0</v>
      </c>
      <c r="AK287" s="133">
        <f>IF($K287=AK$3,ROUND(IF(OR($C287="W",$C287="1/2W",$C287="1/2L"),$P287-$O287,IF($C287="X",0,-$O287)),2),0)</f>
        <v>0</v>
      </c>
      <c r="AL287" s="133">
        <f>IF($K287=AL$3,ROUND(IF(OR($C287="W",$C287="1/2W",$C287="1/2L"),$P287-$O287,IF($C287="X",0,-$O287)),2),0)</f>
        <v>0</v>
      </c>
      <c r="AM287" s="133">
        <f>IF($K287=AM$3,ROUND(IF(OR($C287="W",$C287="1/2W",$C287="1/2L"),$P287-$O287,IF($C287="X",0,-$O287)),2),0)</f>
        <v>0</v>
      </c>
      <c r="AN287" s="133">
        <f>IF($K287=AN$3,ROUND(IF(OR($C287="W",$C287="1/2W",$C287="1/2L"),$P287-$O287,IF($C287="X",0,-$O287)),2),0)</f>
        <v>0</v>
      </c>
      <c r="AO287" s="133">
        <f>IF($K287=AO$3,ROUND(IF(OR($C287="W",$C287="1/2W",$C287="1/2L"),$P287-$O287,IF($C287="X",0,-$O287)),2),0)</f>
        <v>0</v>
      </c>
      <c r="AP287" s="133">
        <f>IF($K287=AP$3,ROUND(IF(OR($C287="W",$C287="1/2W",$C287="1/2L"),$P287-$O287,IF($C287="X",0,-$O287)),2),0)</f>
        <v>0</v>
      </c>
      <c r="AQ287" s="133">
        <f>IF($K287=AQ$3,ROUND(IF(OR($C287="W",$C287="1/2W",$C287="1/2L"),$P287-$O287,IF($C287="X",0,-$O287)),2),0)</f>
        <v>0</v>
      </c>
      <c r="AR287" s="134">
        <f>IF($K287=AR$3,ROUND(IF(OR($C287="W",$C287="1/2W",$C287="1/2L"),$P287-$O287,IF($C287="X",0,-$O287)),2),0)</f>
        <v>0</v>
      </c>
      <c r="AS287" s="132">
        <f>IF(AND($B286=" ",$K287=AS$3),$O287,0)</f>
        <v>0</v>
      </c>
      <c r="AT287" s="133">
        <f>IF(AND($B286=" ",K287=AT$3),$O287,0)</f>
        <v>0</v>
      </c>
      <c r="AU287" s="133">
        <f>IF(AND($B286=" ",$K287=AU$3),$O287,0)</f>
        <v>0</v>
      </c>
      <c r="AV287" s="133">
        <f>IF(AND($B286=" ",$K287=AV$3),$O287,0)</f>
        <v>0</v>
      </c>
      <c r="AW287" s="133">
        <f>IF(AND($B286=" ",$K287=AW$3),$O287,0)</f>
        <v>0</v>
      </c>
      <c r="AX287" s="133">
        <f>IF(AND($B286=" ",$K287=AX$3),$O287,0)</f>
        <v>0</v>
      </c>
      <c r="AY287" s="135">
        <f>IF(AND($B286=" ",$K287=AY$3),$O287,0)</f>
        <v>0</v>
      </c>
      <c r="AZ287" s="136">
        <f>IF(AND($B286=" ",$K287=AZ$3),$O287,0)</f>
        <v>0</v>
      </c>
      <c r="BA287" s="136">
        <f>IF(AND($B286=" ",$K287=BA$3),$O287,0)</f>
        <v>0</v>
      </c>
      <c r="BB287" s="136">
        <f>IF(AND($B286=" ",$K287=BB$3),$O287,0)</f>
        <v>0</v>
      </c>
      <c r="BC287" s="137">
        <f>IF(AND($B286=" ",$K287=BC$3),$O287,0)</f>
        <v>0</v>
      </c>
      <c r="BD287" s="133">
        <f>IF(AND($B286=" ",$K287=BD$3),$O287,0)</f>
        <v>0</v>
      </c>
      <c r="BE287" s="134">
        <f>IF(AND($B286=" ",$K287=BE$3),$O287,0)</f>
        <v>0</v>
      </c>
      <c r="BF287" s="132">
        <f>IF($K287=BF$3,IF($C287="X",0,$O287),0)</f>
        <v>0</v>
      </c>
      <c r="BG287" s="281">
        <f>IF($K287=BG$3,IF($C287="X",0,$O287),0)</f>
        <v>6.66</v>
      </c>
      <c r="BH287" s="133">
        <f>IF($K287=BH$3,IF($C287="X",0,$O287),0)</f>
        <v>0</v>
      </c>
      <c r="BI287" s="133">
        <f>IF($K287=BI$3,IF($C287="X",0,$O287),0)</f>
        <v>0</v>
      </c>
      <c r="BJ287" s="133">
        <f>IF($K287=BJ$3,IF($C287="X",0,$O287),0)</f>
        <v>0</v>
      </c>
      <c r="BK287" s="133">
        <f>IF($K287=BK$3,IF($C287="X",0,$O287),0)</f>
        <v>0</v>
      </c>
      <c r="BL287" s="133">
        <f>IF($K287=BL$3,IF($C287="X",0,$O287),0)</f>
        <v>0</v>
      </c>
      <c r="BM287" s="135">
        <f>IF($K287=BM$3,IF($C287="X",0,$O287),0)</f>
        <v>0</v>
      </c>
      <c r="BN287" s="136">
        <f>IF($K287=BN$3,IF($C287="X",0,$O287),0)</f>
        <v>0</v>
      </c>
      <c r="BO287" s="136">
        <f>IF($K287=BO$3,IF($C287="X",0,$O287),0)</f>
        <v>0</v>
      </c>
      <c r="BP287" s="136">
        <f>IF($K287=BP$3,IF($C287="X",0,$O287),0)</f>
        <v>0</v>
      </c>
      <c r="BQ287" s="137">
        <f>IF($K287=BQ$3,IF($C287="X",0,$O287),0)</f>
        <v>0</v>
      </c>
      <c r="BR287" s="134">
        <f>IF($K287=BR$3,IF($C287="X",0,$O287),0)</f>
        <v>0</v>
      </c>
      <c r="BS287" s="282"/>
      <c r="BT287" s="283"/>
      <c r="BU287" s="140"/>
      <c r="BV287" s="283"/>
      <c r="BW287" s="140"/>
      <c r="BX287" s="140"/>
      <c r="BY287" s="140"/>
      <c r="BZ287" s="283"/>
      <c r="CA287" s="140"/>
      <c r="CB287" s="140"/>
      <c r="CC287" s="140"/>
      <c r="CD287" s="141"/>
      <c r="CE287" s="142"/>
      <c r="CF287" s="284">
        <f>IF(CF$3=$K287,IF($C287="W",1,IF($C287="1/2W",0.5,0)),0)</f>
        <v>0</v>
      </c>
      <c r="CG287" s="285">
        <f>IF(CF$3=$K287,IF($C287="L",1,IF($C287="1/2L",0.5,0)),0)</f>
        <v>0</v>
      </c>
      <c r="CH287" s="285">
        <f>IF(CH$3=$K287,IF($C287="W",1,IF($C287="1/2W",0.5,0)),0)</f>
        <v>1</v>
      </c>
      <c r="CI287" s="285">
        <f>IF(CH$3=$K287,IF($C287="L",1,IF($C287="1/2L",0.5,0)),0)</f>
        <v>0</v>
      </c>
      <c r="CJ287" s="285">
        <f>IF(CJ$3=$K287,IF($C287="W",1,IF($C287="1/2W",0.5,0)),0)</f>
        <v>0</v>
      </c>
      <c r="CK287" s="285">
        <f>IF(CJ$3=$K287,IF($C287="L",1,IF($C287="1/2L",0.5,0)),0)</f>
        <v>0</v>
      </c>
      <c r="CL287" s="285">
        <f>IF(CL$3=$K287,IF($C287="W",1,IF($C287="1/2W",0.5,0)),0)</f>
        <v>0</v>
      </c>
      <c r="CM287" s="285">
        <f>IF(CL$3=$K287,IF($C287="L",1,IF($C287="1/2L",0.5,0)),0)</f>
        <v>0</v>
      </c>
      <c r="CN287" s="285">
        <f>IF(CN$3=$K287,IF($C287="W",1,IF($C287="1/2W",0.5,0)),0)</f>
        <v>0</v>
      </c>
      <c r="CO287" s="285">
        <f>IF(CN$3=$K287,IF($C287="L",1,IF($C287="1/2L",0.5,0)),0)</f>
        <v>0</v>
      </c>
      <c r="CP287" s="285">
        <f>IF(CP$3=$K287,IF($C287="W",1,IF($C287="1/2W",0.5,0)),0)</f>
        <v>0</v>
      </c>
      <c r="CQ287" s="285">
        <f>IF(CP$3=$K287,IF($C287="L",1,IF($C287="1/2L",0.5,0)),0)</f>
        <v>0</v>
      </c>
      <c r="CR287" s="285">
        <f>IF(CR$3=$K287,IF($C287="W",1,IF($C287="1/2W",0.5,0)),0)</f>
        <v>0</v>
      </c>
      <c r="CS287" s="285">
        <f>IF(CR$3=$K287,IF($C287="L",1,IF($C287="1/2L",0.5,0)),0)</f>
        <v>0</v>
      </c>
      <c r="CT287" s="145">
        <f>IF(CT$3=$K287,IF($C287="W",1,IF($C287="1/2W",0.5,0)),0)</f>
        <v>0</v>
      </c>
      <c r="CU287" s="146">
        <f>IF(CT$3=$K287,IF($C287="L",1,IF($C287="1/2L",0.5,0)),0)</f>
        <v>0</v>
      </c>
      <c r="CV287" s="146">
        <f>IF(CV$3=$K287,IF($C287="W",1,IF($C287="1/2W",0.5,0)),0)</f>
        <v>0</v>
      </c>
      <c r="CW287" s="146">
        <f>IF(CV$3=$K287,IF($C287="L",1,IF($C287="1/2L",0.5,0)),0)</f>
        <v>0</v>
      </c>
      <c r="CX287" s="146">
        <f>IF(CX$3=$K287,IF($C287="W",1,IF($C287="1/2W",0.5,0)),0)</f>
        <v>0</v>
      </c>
      <c r="CY287" s="146">
        <f>IF(CX$3=$K287,IF($C287="L",1,IF($C287="1/2L",0.5,0)),0)</f>
        <v>0</v>
      </c>
      <c r="CZ287" s="146">
        <f>IF(CZ$3=$K287,IF($C287="W",1,IF($C287="1/2W",0.5,0)),0)</f>
        <v>0</v>
      </c>
      <c r="DA287" s="146">
        <f>IF(CZ$3=$K287,IF($C287="L",1,IF($C287="1/2L",0.5,0)),0)</f>
        <v>0</v>
      </c>
      <c r="DB287" s="146">
        <f>IF(DB$3=$K287,IF($C287="W",1,IF($C287="1/2W",0.5,0)),0)</f>
        <v>0</v>
      </c>
      <c r="DC287" s="146">
        <f>IF(DB$3=$K287,IF($C287="L",1,IF($C287="1/2L",0.5,0)),0)</f>
        <v>0</v>
      </c>
      <c r="DD287" s="146">
        <f>IF(DD$3=$K287,IF($C287="W",1,IF($C287="1/2W",0.5,0)),0)</f>
        <v>0</v>
      </c>
      <c r="DE287" s="147">
        <f>IF(DD$3=$K287,IF($C287="L",1,IF($C287="1/2L",0.5,0)),0)</f>
        <v>0</v>
      </c>
      <c r="DF287" s="143">
        <f>IF(AND(L287&lt;DF$3,$C287="W"),1+DF286,DF286)</f>
        <v>11</v>
      </c>
      <c r="DG287" s="133">
        <f>IF(DF287&gt;DF286,L287+DG286,DG286)</f>
        <v>14.518</v>
      </c>
      <c r="DH287" s="146">
        <f>IF(AND(L287&gt;DH$3,$C287="W"),1+DH286,0+DH286)</f>
        <v>6</v>
      </c>
      <c r="DI287" s="133">
        <f>IF(DH287&gt;DH286,L287+DI286,DI286)</f>
        <v>30.83</v>
      </c>
      <c r="DJ287" t="s" s="304">
        <f>IF($D286="","",$D286)</f>
        <v>229</v>
      </c>
      <c r="DK287" s="286"/>
    </row>
    <row r="288" ht="14.55" customHeight="1">
      <c r="A288" s="149"/>
      <c r="B288" s="150"/>
      <c r="C288" t="s" s="151">
        <v>58</v>
      </c>
      <c r="D288" s="152"/>
      <c r="E288" s="153"/>
      <c r="F288" s="155"/>
      <c r="G288" s="252"/>
      <c r="H288" s="156"/>
      <c r="I288" s="287"/>
      <c r="J288" s="288"/>
      <c r="K288" s="156"/>
      <c r="L288" s="289"/>
      <c r="M288" s="290"/>
      <c r="N288" s="161"/>
      <c r="O288" t="s" s="162">
        <f>IF(OR(AE286="",AE287=""),"",IF(L288&gt;0,ROUND(IF(M288&gt;0,M288,IF(M286&gt;0,ROUND((M286*AE288)/AE286,IF(N286=0,2,IF(N286=0.1,1,0))),IF(M287&gt;0,ROUND((M287*AE288)/AE287,IF(N286=0,2,IF(N286=0.1,1,0))),IF(M288&gt;0,M288,0)))),2),""))</f>
      </c>
      <c r="P288" t="s" s="163">
        <f>IF(I287="Lay",O287*(L287/(L287-1))-O287,IF(I286="Lay",O286*(L286/(L286-1))-O286,IF(OR(L288="",O288=""),"",IF($C288="1/2W",O288/2+O288/2*L288,IF($C288="1/2L",O288/2,(O288*L288-O288)*(1-_xlfn.XLOOKUP(K288,'Janeiro 2023 - Valor Real'!A3:A15,'Janeiro 2023 - Valor Real'!C3:C15,0))+O288)))))</f>
      </c>
      <c r="Q288" t="s" s="154">
        <f>IF(K288="","",IF(_xlfn.XLOOKUP(K288,K$96:K150,DJ$96:DJ150,0,,-1)=DJ288,_xlfn.XLOOKUP(K288,K$96:K150,Q$96:Q150,1,,-1)+1,1))</f>
      </c>
      <c r="R288" t="s" s="163">
        <f>IF(K288="","",_xlfn.XLOOKUP(K288,K$96:K150,R$96:R150,0,,-1)+IF($C288=" ",1,0))</f>
      </c>
      <c r="S288" s="166"/>
      <c r="T288" s="155"/>
      <c r="U288" s="155"/>
      <c r="V288" s="166"/>
      <c r="W288" s="155"/>
      <c r="X288" s="167"/>
      <c r="Y288" s="128"/>
      <c r="Z288" s="129"/>
      <c r="AA288" s="129"/>
      <c r="AB288" s="129"/>
      <c r="AC288" s="129"/>
      <c r="AD288" s="168"/>
      <c r="AE288" t="s" s="169">
        <f>IF(L288="","",(SUM(((L286-1)*(1-_xlfn.XLOOKUP(K286,'Janeiro 2023 - Valor Real'!A3:A15,'Janeiro 2023 - Valor Real'!C3:C15,0))+1),((L287-1)*(1-_xlfn.XLOOKUP(K287,'Janeiro 2023 - Valor Real'!A3:A15,'Janeiro 2023 - Valor Real'!C3:C15,0))+1),((L288-1)*(1-_xlfn.XLOOKUP(K288,'Janeiro 2023 - Valor Real'!A3:A15,'Janeiro 2023 - Valor Real'!C3:C15,0))+1))/((L288-1)*(1-_xlfn.XLOOKUP(K288,'Janeiro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Real'!C3:C15,0))+1))/((L286-1)*(1-_xlfn.XLOOKUP(K286,'Janeiro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Real'!C3:C15,0))+1))/((L287-1)*(1-_xlfn.XLOOKUP(K287,'Janeiro 2023 - Valor Real'!A3:A15,'Janeiro 2023 - Valor Real'!C3:C15,0))+1)+SUM(((L286-1)*(1-_xlfn.XLOOKUP(K286,'Janeiro 2023 - Valor Real'!A3:A15,'Janeiro 2023 - Valor Real'!C3:C15,0))+1),((L287-1)*(1-_xlfn.XLOOKUP(K287,'Janeiro 2023 - Valor Real'!A3:A15,'Janeiro 2023 - Valor Real'!C3:C15,0))+1),((L288-1)*(1-_xlfn.XLOOKUP(K288,'Janeiro 2023 - Valor Real'!A3:A15,'Janeiro 2023 - Valor Real'!C3:C15,0))+1))/((L288-1)*(1-_xlfn.XLOOKUP(K288,'Janeiro 2023 - Valor Real'!A3:A15,'Janeiro 2023 - Valor Real'!C3:C15,0))+1)))</f>
      </c>
      <c r="AF288" s="132">
        <f>IF($K288=AF$3,ROUND(IF(OR($C288="W",$C288="1/2W",$C288="1/2L"),$P288-$O288,IF($C288="X",0,-$O288)),2),0)</f>
        <v>0</v>
      </c>
      <c r="AG288" s="133">
        <f>IF($K288=AG$3,ROUND(IF(OR($C288="W",$C288="1/2W",$C288="1/2L"),$P288-$O288,IF($C288="X",0,-$O288)),2),0)</f>
        <v>0</v>
      </c>
      <c r="AH288" s="133">
        <f>IF($K288=AH$3,ROUND(IF(OR($C288="W",$C288="1/2W",$C288="1/2L"),$P288-$O288,IF($C288="X",0,-$O288)),2),0)</f>
        <v>0</v>
      </c>
      <c r="AI288" s="133">
        <f>IF($K288=AI$3,ROUND(IF(OR($C288="W",$C288="1/2W",$C288="1/2L"),$P288-$O288,IF($C288="X",0,-$O288)),2),0)</f>
        <v>0</v>
      </c>
      <c r="AJ288" s="133">
        <f>IF($K288=AJ$3,ROUND(IF(OR($C288="W",$C288="1/2W",$C288="1/2L"),$P288-$O288,IF($C288="X",0,-$O288)),2),0)</f>
        <v>0</v>
      </c>
      <c r="AK288" s="133">
        <f>IF($K288=AK$3,ROUND(IF(OR($C288="W",$C288="1/2W",$C288="1/2L"),$P288-$O288,IF($C288="X",0,-$O288)),2),0)</f>
        <v>0</v>
      </c>
      <c r="AL288" s="133">
        <f>IF($K288=AL$3,ROUND(IF(OR($C288="W",$C288="1/2W",$C288="1/2L"),$P288-$O288,IF($C288="X",0,-$O288)),2),0)</f>
        <v>0</v>
      </c>
      <c r="AM288" s="133">
        <f>IF($K288=AM$3,ROUND(IF(OR($C288="W",$C288="1/2W",$C288="1/2L"),$P288-$O288,IF($C288="X",0,-$O288)),2),0)</f>
        <v>0</v>
      </c>
      <c r="AN288" s="133">
        <f>IF($K288=AN$3,ROUND(IF(OR($C288="W",$C288="1/2W",$C288="1/2L"),$P288-$O288,IF($C288="X",0,-$O288)),2),0)</f>
        <v>0</v>
      </c>
      <c r="AO288" s="133">
        <f>IF($K288=AO$3,ROUND(IF(OR($C288="W",$C288="1/2W",$C288="1/2L"),$P288-$O288,IF($C288="X",0,-$O288)),2),0)</f>
        <v>0</v>
      </c>
      <c r="AP288" s="133">
        <f>IF($K288=AP$3,ROUND(IF(OR($C288="W",$C288="1/2W",$C288="1/2L"),$P288-$O288,IF($C288="X",0,-$O288)),2),0)</f>
        <v>0</v>
      </c>
      <c r="AQ288" s="133">
        <f>IF($K288=AQ$3,ROUND(IF(OR($C288="W",$C288="1/2W",$C288="1/2L"),$P288-$O288,IF($C288="X",0,-$O288)),2),0)</f>
        <v>0</v>
      </c>
      <c r="AR288" s="134">
        <f>IF($K288=AR$3,ROUND(IF(OR($C288="W",$C288="1/2W",$C288="1/2L"),$P288-$O288,IF($C288="X",0,-$O288)),2),0)</f>
        <v>0</v>
      </c>
      <c r="AS288" s="132">
        <f>IF(AND($B286=" ",$K288=AS$3),$O288,0)</f>
        <v>0</v>
      </c>
      <c r="AT288" s="133">
        <f>IF(AND($B286=" ",K288=AT$3),$O288,0)</f>
        <v>0</v>
      </c>
      <c r="AU288" s="133">
        <f>IF(AND($B286=" ",$K288=AU$3),$O288,0)</f>
        <v>0</v>
      </c>
      <c r="AV288" s="133">
        <f>IF(AND($B286=" ",$K288=AV$3),$O288,0)</f>
        <v>0</v>
      </c>
      <c r="AW288" s="133">
        <f>IF(AND($B286=" ",$K288=AW$3),$O288,0)</f>
        <v>0</v>
      </c>
      <c r="AX288" s="133">
        <f>IF(AND($B286=" ",$K288=AX$3),$O288,0)</f>
        <v>0</v>
      </c>
      <c r="AY288" s="135">
        <f>IF(AND($B286=" ",$K288=AY$3),$O288,0)</f>
        <v>0</v>
      </c>
      <c r="AZ288" s="136">
        <f>IF(AND($B286=" ",$K288=AZ$3),$O288,0)</f>
        <v>0</v>
      </c>
      <c r="BA288" s="136">
        <f>IF(AND($B286=" ",$K288=BA$3),$O288,0)</f>
        <v>0</v>
      </c>
      <c r="BB288" s="136">
        <f>IF(AND($B286=" ",$K288=BB$3),$O288,0)</f>
        <v>0</v>
      </c>
      <c r="BC288" s="137">
        <f>IF(AND($B286=" ",$K288=BC$3),$O288,0)</f>
        <v>0</v>
      </c>
      <c r="BD288" s="133">
        <f>IF(AND($B286=" ",$K288=BD$3),$O288,0)</f>
        <v>0</v>
      </c>
      <c r="BE288" s="134">
        <f>IF(AND($B286=" ",$K288=BE$3),$O288,0)</f>
        <v>0</v>
      </c>
      <c r="BF288" s="132">
        <f>IF($K288=BF$3,IF($C288="X",0,$O288),0)</f>
        <v>0</v>
      </c>
      <c r="BG288" s="281">
        <f>IF($K288=BG$3,IF($C288="X",0,$O288),0)</f>
        <v>0</v>
      </c>
      <c r="BH288" s="133">
        <f>IF($K288=BH$3,IF($C288="X",0,$O288),0)</f>
        <v>0</v>
      </c>
      <c r="BI288" s="133">
        <f>IF($K288=BI$3,IF($C288="X",0,$O288),0)</f>
        <v>0</v>
      </c>
      <c r="BJ288" s="133">
        <f>IF($K288=BJ$3,IF($C288="X",0,$O288),0)</f>
        <v>0</v>
      </c>
      <c r="BK288" s="133">
        <f>IF($K288=BK$3,IF($C288="X",0,$O288),0)</f>
        <v>0</v>
      </c>
      <c r="BL288" s="133">
        <f>IF($K288=BL$3,IF($C288="X",0,$O288),0)</f>
        <v>0</v>
      </c>
      <c r="BM288" s="135">
        <f>IF($K288=BM$3,IF($C288="X",0,$O288),0)</f>
        <v>0</v>
      </c>
      <c r="BN288" s="136">
        <f>IF($K288=BN$3,IF($C288="X",0,$O288),0)</f>
        <v>0</v>
      </c>
      <c r="BO288" s="136">
        <f>IF($K288=BO$3,IF($C288="X",0,$O288),0)</f>
        <v>0</v>
      </c>
      <c r="BP288" s="136">
        <f>IF($K288=BP$3,IF($C288="X",0,$O288),0)</f>
        <v>0</v>
      </c>
      <c r="BQ288" s="137">
        <f>IF($K288=BQ$3,IF($C288="X",0,$O288),0)</f>
        <v>0</v>
      </c>
      <c r="BR288" s="134">
        <f>IF($K288=BR$3,IF($C288="X",0,$O288),0)</f>
        <v>0</v>
      </c>
      <c r="BS288" s="282"/>
      <c r="BT288" s="283"/>
      <c r="BU288" s="140"/>
      <c r="BV288" s="283"/>
      <c r="BW288" s="140"/>
      <c r="BX288" s="140"/>
      <c r="BY288" s="140"/>
      <c r="BZ288" s="283"/>
      <c r="CA288" s="140"/>
      <c r="CB288" s="140"/>
      <c r="CC288" s="140"/>
      <c r="CD288" s="141"/>
      <c r="CE288" s="142"/>
      <c r="CF288" s="284">
        <f>IF(CF$3=$K288,IF($C288="W",1,IF($C288="1/2W",0.5,0)),0)</f>
        <v>0</v>
      </c>
      <c r="CG288" s="285">
        <f>IF(CF$3=$K288,IF($C288="L",1,IF($C288="1/2L",0.5,0)),0)</f>
        <v>0</v>
      </c>
      <c r="CH288" s="285">
        <f>IF(CH$3=$K288,IF($C288="W",1,IF($C288="1/2W",0.5,0)),0)</f>
        <v>0</v>
      </c>
      <c r="CI288" s="285">
        <f>IF(CH$3=$K288,IF($C288="L",1,IF($C288="1/2L",0.5,0)),0)</f>
        <v>0</v>
      </c>
      <c r="CJ288" s="285">
        <f>IF(CJ$3=$K288,IF($C288="W",1,IF($C288="1/2W",0.5,0)),0)</f>
        <v>0</v>
      </c>
      <c r="CK288" s="285">
        <f>IF(CJ$3=$K288,IF($C288="L",1,IF($C288="1/2L",0.5,0)),0)</f>
        <v>0</v>
      </c>
      <c r="CL288" s="285">
        <f>IF(CL$3=$K288,IF($C288="W",1,IF($C288="1/2W",0.5,0)),0)</f>
        <v>0</v>
      </c>
      <c r="CM288" s="285">
        <f>IF(CL$3=$K288,IF($C288="L",1,IF($C288="1/2L",0.5,0)),0)</f>
        <v>0</v>
      </c>
      <c r="CN288" s="285">
        <f>IF(CN$3=$K288,IF($C288="W",1,IF($C288="1/2W",0.5,0)),0)</f>
        <v>0</v>
      </c>
      <c r="CO288" s="285">
        <f>IF(CN$3=$K288,IF($C288="L",1,IF($C288="1/2L",0.5,0)),0)</f>
        <v>0</v>
      </c>
      <c r="CP288" s="285">
        <f>IF(CP$3=$K288,IF($C288="W",1,IF($C288="1/2W",0.5,0)),0)</f>
        <v>0</v>
      </c>
      <c r="CQ288" s="285">
        <f>IF(CP$3=$K288,IF($C288="L",1,IF($C288="1/2L",0.5,0)),0)</f>
        <v>0</v>
      </c>
      <c r="CR288" s="285">
        <f>IF(CR$3=$K288,IF($C288="W",1,IF($C288="1/2W",0.5,0)),0)</f>
        <v>0</v>
      </c>
      <c r="CS288" s="285">
        <f>IF(CR$3=$K288,IF($C288="L",1,IF($C288="1/2L",0.5,0)),0)</f>
        <v>0</v>
      </c>
      <c r="CT288" s="145">
        <f>IF(CT$3=$K288,IF($C288="W",1,IF($C288="1/2W",0.5,0)),0)</f>
        <v>0</v>
      </c>
      <c r="CU288" s="146">
        <f>IF(CT$3=$K288,IF($C288="L",1,IF($C288="1/2L",0.5,0)),0)</f>
        <v>0</v>
      </c>
      <c r="CV288" s="146">
        <f>IF(CV$3=$K288,IF($C288="W",1,IF($C288="1/2W",0.5,0)),0)</f>
        <v>0</v>
      </c>
      <c r="CW288" s="146">
        <f>IF(CV$3=$K288,IF($C288="L",1,IF($C288="1/2L",0.5,0)),0)</f>
        <v>0</v>
      </c>
      <c r="CX288" s="146">
        <f>IF(CX$3=$K288,IF($C288="W",1,IF($C288="1/2W",0.5,0)),0)</f>
        <v>0</v>
      </c>
      <c r="CY288" s="146">
        <f>IF(CX$3=$K288,IF($C288="L",1,IF($C288="1/2L",0.5,0)),0)</f>
        <v>0</v>
      </c>
      <c r="CZ288" s="146">
        <f>IF(CZ$3=$K288,IF($C288="W",1,IF($C288="1/2W",0.5,0)),0)</f>
        <v>0</v>
      </c>
      <c r="DA288" s="146">
        <f>IF(CZ$3=$K288,IF($C288="L",1,IF($C288="1/2L",0.5,0)),0)</f>
        <v>0</v>
      </c>
      <c r="DB288" s="146">
        <f>IF(DB$3=$K288,IF($C288="W",1,IF($C288="1/2W",0.5,0)),0)</f>
        <v>0</v>
      </c>
      <c r="DC288" s="146">
        <f>IF(DB$3=$K288,IF($C288="L",1,IF($C288="1/2L",0.5,0)),0)</f>
        <v>0</v>
      </c>
      <c r="DD288" s="146">
        <f>IF(DD$3=$K288,IF($C288="W",1,IF($C288="1/2W",0.5,0)),0)</f>
        <v>0</v>
      </c>
      <c r="DE288" s="147">
        <f>IF(DD$3=$K288,IF($C288="L",1,IF($C288="1/2L",0.5,0)),0)</f>
        <v>0</v>
      </c>
      <c r="DF288" s="143">
        <f>IF(AND(L288&lt;DF$3,$C288="W"),1+DF287,DF287)</f>
        <v>11</v>
      </c>
      <c r="DG288" s="133">
        <f>IF(DF288&gt;DF287,L288+DG287,DG287)</f>
        <v>14.518</v>
      </c>
      <c r="DH288" s="146">
        <f>IF(AND(L288&gt;DH$3,$C288="W"),1+DH287,0+DH287)</f>
        <v>6</v>
      </c>
      <c r="DI288" s="133">
        <f>IF(DH288&gt;DH287,L288+DI287,DI287)</f>
        <v>30.83</v>
      </c>
      <c r="DJ288" t="s" s="304">
        <f>IF($D286="","",$D286)</f>
        <v>229</v>
      </c>
      <c r="DK288" s="286"/>
    </row>
    <row r="289" ht="14.55" customHeight="1">
      <c r="A289" s="171">
        <f>$A286+1</f>
        <v>96</v>
      </c>
      <c r="B289" t="s" s="172">
        <f>IF(AND(_xlfn.XLOOKUP(H289,H$97:H145,G$97:G145,0)=G289,_xlfn.XLOOKUP("TempoBet",K289:K291,L289:L291,0)&gt;0),"X",IF(OR(C289="W",C290="W",C291="W",C289="1/2W",C290="1/2W",C291="1/2W",C289="1/2L",C290="1/2L",C291="1/2L"),"OK",IF(OR(C289="L",C290="L",C291="L"),"LOSS",IF(OR(C289="X",C290="X",C291="X"),"Anulado"," "))))</f>
        <v>211</v>
      </c>
      <c r="C289" t="s" s="173">
        <v>51</v>
      </c>
      <c r="D289" t="s" s="305">
        <f>IF(G289="","",$D286)</f>
        <v>229</v>
      </c>
      <c r="E289" t="s" s="175">
        <f>IF(G289=""," ","– "&amp;COUNTIF(D$4:D291,$D289))</f>
        <v>155</v>
      </c>
      <c r="F289" t="s" s="176"/>
      <c r="G289" s="177">
        <v>44946.666666666664</v>
      </c>
      <c r="H289" t="s" s="178">
        <v>261</v>
      </c>
      <c r="I289" t="s" s="179">
        <v>54</v>
      </c>
      <c r="J289" s="291">
        <v>-2</v>
      </c>
      <c r="K289" t="s" s="181">
        <v>41</v>
      </c>
      <c r="L289" s="182">
        <v>2.07</v>
      </c>
      <c r="M289" s="183">
        <v>10.51</v>
      </c>
      <c r="N289" s="184">
        <v>0</v>
      </c>
      <c r="O289" s="185">
        <f>IF(OR(AE289="",AE290=""),"",ROUND(IF(L291&gt;0,IF(M289&gt;0,M289,IF(M290&gt;0,ROUND((M290*AE289)/AE290,IF(N289=0,2,IF(N289=0.1,1,0))),ROUND((M291*AE289)/AE291,IF(N289=0,2,IF(N289=0.1,1,0))))),IF(M289&gt;0,M289,ROUND((M290*AE289)/AE290,IF(N289=0,2,IF(N289=0.1,1,0))))),2))</f>
        <v>10.51</v>
      </c>
      <c r="P289" s="186">
        <f>IF(OR(L289="",O289=""),"",IF($C289="1/2W",O289/2+O289/2*L289,IF($C289="1/2L",O289/2,IF(I289="Lay",(O289*(L289/(L289-1))-O289)*(1-_xlfn.XLOOKUP(K289,'Janeiro 2023 - Valor Real'!A3:A15,'Janeiro 2023 - Valor Real'!C3:C15,0))+O289,(O289*L289-O289)*(1-_xlfn.XLOOKUP(K289,'Janeiro 2023 - Valor Real'!A3:A15,'Janeiro 2023 - Valor Real'!C3:C15,0))+O289))))</f>
        <v>21.7557</v>
      </c>
      <c r="Q289" s="187">
        <f>IF(K289="","",IF(_xlfn.XLOOKUP(K289,K$97:K145,DJ$97:DJ145,0,,-1)=DJ289,_xlfn.XLOOKUP(K289,K$97:K145,Q$97:Q145,1,,-1)+1,1))</f>
        <v>1</v>
      </c>
      <c r="R289" s="188">
        <f>IF(K289="","",_xlfn.XLOOKUP(K289,K$97:K145,R$97:R145,0,,-1)+IF($C289=" ",1,0))</f>
        <v>0</v>
      </c>
      <c r="S289" s="189">
        <f>IF($B289="Anulado",0,ROUND(IF(OR($B289="LOSS",$B289="OK"),IF(OR($C289="W",$C289="1/2W",$C289="1/2L"),P289-O289,IF($C289="L",-O289,0))+IF(OR($C290="W",$C290="1/2W",$C290="1/2L"),P290-O290,IF($C290="L",-O290,0))+IF(OR($C291="W",$C291="1/2W",$C291="1/2L"),P291-O291,IF($C291="L",-O291,0)),IF(AND(OR($C289="W",$C289="1/2W",$C289="1/2L"),C290="W"),P289+P290-SUM(O289:O291)+_xlfn.XLOOKUP("X",C289:C291,O289:O291,0),IF(AND(C289=TRUE,C291="W"),P289+P291-SUM(O289:O291),IF(AND(C290="W",C291="W"),P290+P291-SUM(O289:O291)+_xlfn.XLOOKUP("X",C289:C291,O289:O291,0),IF(L291&gt;0,IF(OR($C289="W",$C289="1/2W",$C289="1/2L"),P289-SUM(O289:O291)+_xlfn.XLOOKUP("X",C289:C291,O289:O291,0),IF(OR($C289="W",$C289="1/2W",$C289="1/2L"),P290-SUM(O289:O291)+_xlfn.XLOOKUP("X",C289:C291,O289:O291,0),IF(OR($C289="W",$C289="1/2W",$C289="1/2L"),P291-SUM(O289:O291)+_xlfn.XLOOKUP("X",C289:C291,O289:O291,0),IF(SUM(P289:P291)/3-SUM(O289:O291)+_xlfn.XLOOKUP("X",C289:C291,O289:O291,0)&gt;0,SUM(P289:P291)/3-SUM(O289:O291)+_xlfn.XLOOKUP("X",C289:C291,O289:O291,0),LARGE(P289:P291,1)-SUM(O289:O291))))),IF(OR($C289="W",$C289="1/2W",$C289="1/2L"),P289-SUM(O289:O290)+_xlfn.XLOOKUP("X",C289:C291,O289:O291,0),IF(OR($C289="W",$C289="1/2W",$C289="1/2L"),P290-SUM(O289:O290)+_xlfn.XLOOKUP("X",C289:C291,O289:O291,0),SUM(P289:P290)/2-SUM(O289:O290)+_xlfn.XLOOKUP("X",C289:C291,O289:O291,0)))))))),2))</f>
        <v>-10.51</v>
      </c>
      <c r="T289" s="190">
        <f>IF(S289=0,0,S289/SUM(O289:O291))</f>
        <v>-0.518500246669956</v>
      </c>
      <c r="U289" s="191">
        <f>IF($D289=$D286,IF(OR($B289="LOSS",$B289="OK",$B289="Anulada"),S289,0)+U286,IF(OR($B289="LOSS",$B289="OK",$B289="Anulada"),S289,0))</f>
        <v>16.01</v>
      </c>
      <c r="V289" s="191">
        <f>IF($D289="",0,IF($D289=$D286,IF($B289=" ",IF(I291="",IF(OR(AND(I289="DNB1",I290="DNB2"),AND(OR(I289="DNB1",I289="DNB2"),J290=0),AND(OR(I290="DNB1",I290="DNB2"),J289=0),AND(I289="DNB2",I290="DNB1"),AND(IF(J289=0,(J289+1)/ROUND(J289+1,0),J289/ROUND(J289,0))=1,IF(J290=0,(J290+1)/ROUND(IF(J290="",0,J290)+1,0),IF(J290="",0,J290)/ROUND(IF(J290="",1,J290),0))=1,OR(J289&lt;&gt;""),J290&lt;&gt;"")),0,IF(S289&lt;0,IF(I291="",SMALL(P289:P290,1)-SUM(O289:O290),0),SMALL(P289:P290,1)-SUM(O289:O290))),IF(S289&lt;0,IF(I291="",SMALL(P289:P291,1)-SUM(O289:O291),0),LARGE(P289:P291,1)-SUM(O289:O291))),S289)+V286,IF(I291="",IF(OR(AND(I289="DNB1",I290="DNB2"),AND(OR(I289="DNB1",I289="DNB2"),J290=0),AND(OR(I290="DNB1",I290="DNB2"),J289=0),AND(I289="DNB2",I290="DNB1"),AND(IF(J289=0,(J289+1)/ROUND(J289+1,0),J289/ROUND(J289,0))=1,IF(J290=0,(IF(J290="",0,J290)+1)/ROUND(IF(J290="",0,J290)+1,0),IF(J290="",0,J290)/ROUND(IF(J290="",0,J290)+1,0))=1,OR(J289&lt;&gt;""),J290&lt;&gt;"")),0,IF(S289&lt;0,IF(I291="",SMALL(P289:P290,1)-SUM(O289:O290),0),SMALL(P289:P291,1)-SUM(O289:O291))),IF(S289&lt;0,IF(I291="",SMALL(P289:P291,1)-SUM(O289:O291),0),LARGE(P289:P291,1)-SUM(O289:O291)))))</f>
        <v>16.006</v>
      </c>
      <c r="W289" s="191">
        <f>IF($D289=$D286,IF(S289&lt;0,IF(I291="",S289,0),S289)+W286,S289)</f>
        <v>16.01</v>
      </c>
      <c r="X289" t="s" s="192">
        <f>IF(OR(SUM(R289:R291)=0,V289=W289),ROUND(IF(W289=0,0,W289/Y289)*100,2)&amp;"%",ROUND(IF(V289=0,0,V289/Y289)*100,2)&amp;"% a "&amp;ROUND(IF(W289=0,0,W289/Y289)*100,2)&amp;"%")</f>
        <v>262</v>
      </c>
      <c r="Y289" s="193">
        <f>IF($D289=$D286,Y286+SUM(O289:O291),SUM(O289:O291))</f>
        <v>611.52</v>
      </c>
      <c r="Z289" s="191">
        <f>IF($B289=" ",SUM(O289:O291),0)+Z286</f>
        <v>0</v>
      </c>
      <c r="AA289" s="191">
        <f>IF(G289="","",IF($B289="Anulado",LARGE(P289:P291,1)-SUM(O289:O291)+AA286,AA286))</f>
        <v>16.5099</v>
      </c>
      <c r="AB289" s="191">
        <f>IF($D289="","",AB286+S289)</f>
        <v>218.18</v>
      </c>
      <c r="AC289" s="194">
        <f>IF($D289="","",IF($B289=" ",IF(DAY(G289)=DAY(TODAY()),1+AC286,0+AC286),0+AC286))</f>
        <v>0</v>
      </c>
      <c r="AD289" s="195">
        <f>(((L290/(L290-1)-1)*(1-_xlfn.XLOOKUP(K290,'Janeiro 2023 - Valor Real'!A3:A15,'Janeiro 2023 - Valor Real'!C3:C15,0))+1))/(((L289-1)*(1-_xlfn.XLOOKUP(K289,'Janeiro 2023 - Valor Real'!A3:A15,'Janeiro 2023 - Valor Real'!C3:C15,0))+1)+((L290/(L290-1)-1)*(1-_xlfn.XLOOKUP(K290,'Janeiro 2023 - Valor Real'!A3:A15,'Janeiro 2023 - Valor Real'!C3:C15,0))+1))</f>
        <v>0.466908146814346</v>
      </c>
      <c r="AE289" s="196">
        <f>IF(L289="","",IF(L291&gt;0,(SUM(((L289-1)*(1-_xlfn.XLOOKUP(K289,'Janeiro 2023 - Valor Real'!A3:A15,'Janeiro 2023 - Valor Real'!C3:C15,0))+1),((L290-1)*(1-_xlfn.XLOOKUP(K290,'Janeiro 2023 - Valor Real'!A3:A15,'Janeiro 2023 - Valor Real'!C3:C15,0))+1),((L291-1)*(1-_xlfn.XLOOKUP(K291,'Janeiro 2023 - Valor Real'!A3:A15,'Janeiro 2023 - Valor Real'!C3:C15,0))+1))/((L289-1)*(1-_xlfn.XLOOKUP(K289,'Janeiro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Real'!C3:C15,0))+1))/((L289-1)*(1-_xlfn.XLOOKUP(K289,'Janeiro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Real'!C3:C15,0))+1))/((L290-1)*(1-_xlfn.XLOOKUP(K290,'Janeiro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Real'!C3:C15,0))+1))/((L291-1)*(1-_xlfn.XLOOKUP(K291,'Janeiro 2023 - Valor Real'!A3:A15,'Janeiro 2023 - Valor Real'!C3:C15,0))+1)),IF(I289="Lay",IF(I290="Lay",((L290/(L290-1)-1)*(1-_xlfn.XLOOKUP(K290,'Janeiro 2023 - Valor Real'!A3:A15,'Janeiro 2023 - Valor Real'!C3:C15,0))+1)/(((L290/(L290-1)-1)*(1-_xlfn.XLOOKUP(K290,'Janeiro 2023 - Valor Real'!A3:A15,'Janeiro 2023 - Valor Real'!C3:C15,0))+1)+((L289/(L289-1)-1)*(1-_xlfn.XLOOKUP(K289,'Janeiro 2023 - Valor Real'!A3:A15,'Janeiro 2023 - Valor Real'!C3:C15,0))+1)),((L290-1)*(1-_xlfn.XLOOKUP(K290,'Janeiro 2023 - Valor Real'!A3:A15,'Janeiro 2023 - Valor Real'!C3:C15,0))+1)/(((L290-1)*(1-_xlfn.XLOOKUP(K290,'Janeiro 2023 - Valor Real'!A3:A15,'Janeiro 2023 - Valor Real'!C3:C15,0))+1)+((L289/(L289-1)-1)*(1-_xlfn.XLOOKUP(K289,'Janeiro 2023 - Valor Real'!A3:A15,'Janeiro 2023 - Valor Real'!C3:C15,0))+1))),IF(I290="Lay",(((L290/(L290-1)-1)*(1-_xlfn.XLOOKUP(K290,'Janeiro 2023 - Valor Real'!A3:A15,'Janeiro 2023 - Valor Real'!C3:C15,0))+1))/(((L289-1)*(1-_xlfn.XLOOKUP(K289,'Janeiro 2023 - Valor Real'!A3:A15,'Janeiro 2023 - Valor Real'!C3:C15,0))+1)+((L290/(L290-1)-1)*(1-_xlfn.XLOOKUP(K290,'Janeiro 2023 - Valor Real'!A3:A15,'Janeiro 2023 - Valor Real'!C3:C15,0))+1)),((L290-1)*(1-_xlfn.XLOOKUP(K290,'Janeiro 2023 - Valor Real'!A3:A15,'Janeiro 2023 - Valor Real'!C3:C15,0))+1)/(((L290-1)*(1-_xlfn.XLOOKUP(K290,'Janeiro 2023 - Valor Real'!A3:A15,'Janeiro 2023 - Valor Real'!C3:C15,0))+1)+((L289-1)*(1-_xlfn.XLOOKUP(K289,'Janeiro 2023 - Valor Real'!A3:A15,'Janeiro 2023 - Valor Real'!C3:C15,0))+1))))))</f>
        <v>0.518604651162791</v>
      </c>
      <c r="AF289" s="197">
        <f>IF($K289=AF$3,ROUND(IF(OR($C289="W",$C289="1/2W",$C289="1/2L"),$P289-$O289,IF($C289="X",0,-$O289)),2),0)</f>
        <v>0</v>
      </c>
      <c r="AG289" s="198">
        <f>IF($K289=AG$3,ROUND(IF(OR($C289="W",$C289="1/2W",$C289="1/2L"),$P289-$O289,IF($C289="X",0,-$O289)),2),0)</f>
        <v>0</v>
      </c>
      <c r="AH289" s="198">
        <f>IF($K289=AH$3,ROUND(IF(OR($C289="W",$C289="1/2W",$C289="1/2L"),$P289-$O289,IF($C289="X",0,-$O289)),2),0)</f>
        <v>0</v>
      </c>
      <c r="AI289" s="198">
        <f>IF($K289=AI$3,ROUND(IF(OR($C289="W",$C289="1/2W",$C289="1/2L"),$P289-$O289,IF($C289="X",0,-$O289)),2),0)</f>
        <v>0</v>
      </c>
      <c r="AJ289" s="198">
        <f>IF($K289=AJ$3,ROUND(IF(OR($C289="W",$C289="1/2W",$C289="1/2L"),$P289-$O289,IF($C289="X",0,-$O289)),2),0)</f>
        <v>-10.51</v>
      </c>
      <c r="AK289" s="198">
        <f>IF($K289=AK$3,ROUND(IF(OR($C289="W",$C289="1/2W",$C289="1/2L"),$P289-$O289,IF($C289="X",0,-$O289)),2),0)</f>
        <v>0</v>
      </c>
      <c r="AL289" s="198">
        <f>IF($K289=AL$3,ROUND(IF(OR($C289="W",$C289="1/2W",$C289="1/2L"),$P289-$O289,IF($C289="X",0,-$O289)),2),0)</f>
        <v>0</v>
      </c>
      <c r="AM289" s="198">
        <f>IF($K289=AM$3,ROUND(IF(OR($C289="W",$C289="1/2W",$C289="1/2L"),$P289-$O289,IF($C289="X",0,-$O289)),2),0)</f>
        <v>0</v>
      </c>
      <c r="AN289" s="198">
        <f>IF($K289=AN$3,ROUND(IF(OR($C289="W",$C289="1/2W",$C289="1/2L"),$P289-$O289,IF($C289="X",0,-$O289)),2),0)</f>
        <v>0</v>
      </c>
      <c r="AO289" s="198">
        <f>IF($K289=AO$3,ROUND(IF(OR($C289="W",$C289="1/2W",$C289="1/2L"),$P289-$O289,IF($C289="X",0,-$O289)),2),0)</f>
        <v>0</v>
      </c>
      <c r="AP289" s="198">
        <f>IF($K289=AP$3,ROUND(IF(OR($C289="W",$C289="1/2W",$C289="1/2L"),$P289-$O289,IF($C289="X",0,-$O289)),2),0)</f>
        <v>0</v>
      </c>
      <c r="AQ289" s="198">
        <f>IF($K289=AQ$3,ROUND(IF(OR($C289="W",$C289="1/2W",$C289="1/2L"),$P289-$O289,IF($C289="X",0,-$O289)),2),0)</f>
        <v>0</v>
      </c>
      <c r="AR289" s="199">
        <f>IF($K289=AR$3,ROUND(IF(OR($C289="W",$C289="1/2W",$C289="1/2L"),$P289-$O289,IF($C289="X",0,-$O289)),2),0)</f>
        <v>0</v>
      </c>
      <c r="AS289" s="197">
        <f>IF(AND($B289=" ",$K289=AS$3),$O289,0)</f>
        <v>0</v>
      </c>
      <c r="AT289" s="198">
        <f>IF(AND($B289=" ",$K289=AT$3),$O289,0)</f>
        <v>0</v>
      </c>
      <c r="AU289" s="198">
        <f>IF(AND($B289=" ",$K289=AU$3),$O289,0)</f>
        <v>0</v>
      </c>
      <c r="AV289" s="198">
        <f>IF(AND($B289=" ",$K289=AV$3),$O289,0)</f>
        <v>0</v>
      </c>
      <c r="AW289" s="198">
        <f>IF(AND($B289=" ",$K289=AW$3),$O289,0)</f>
        <v>0</v>
      </c>
      <c r="AX289" s="198">
        <f>IF(AND($B289=" ",$K289=AX$3),$O289,0)</f>
        <v>0</v>
      </c>
      <c r="AY289" s="200">
        <f>IF(AND($B289=" ",$K289=AY$3),$O289,0)</f>
        <v>0</v>
      </c>
      <c r="AZ289" s="201">
        <f>IF(AND($B289=" ",$K289=AZ$3),$O289,0)</f>
        <v>0</v>
      </c>
      <c r="BA289" s="201">
        <f>IF(AND($B289=" ",$K289=BA$3),$O289,0)</f>
        <v>0</v>
      </c>
      <c r="BB289" s="201">
        <f>IF(AND($B289=" ",$K289=BB$3),$O289,0)</f>
        <v>0</v>
      </c>
      <c r="BC289" s="202">
        <f>IF(AND($B289=" ",$K289=BC$3),$O289,0)</f>
        <v>0</v>
      </c>
      <c r="BD289" s="198">
        <f>IF(AND($B289=" ",$K289=BD$3),$O289,0)</f>
        <v>0</v>
      </c>
      <c r="BE289" s="199">
        <f>IF(AND($B289=" ",$K289=BE$3),$O289,0)</f>
        <v>0</v>
      </c>
      <c r="BF289" s="203">
        <f>IF($K289=BF$3,IF($C289="X",0,$O289),0)</f>
        <v>0</v>
      </c>
      <c r="BG289" s="198">
        <f>IF($K289=BG$3,IF($C289="X",0,$O289),0)</f>
        <v>0</v>
      </c>
      <c r="BH289" s="198">
        <f>IF($K289=BH$3,IF($C289="X",0,$O289),0)</f>
        <v>0</v>
      </c>
      <c r="BI289" s="198">
        <f>IF($K289=BI$3,IF($C289="X",0,$O289),0)</f>
        <v>0</v>
      </c>
      <c r="BJ289" s="198">
        <f>IF($K289=BJ$3,IF($C289="X",0,$O289),0)</f>
        <v>10.51</v>
      </c>
      <c r="BK289" s="198">
        <f>IF($K289=BK$3,IF($C289="X",0,$O289),0)</f>
        <v>0</v>
      </c>
      <c r="BL289" s="198">
        <f>IF($K289=BL$3,IF($C289="X",0,$O289),0)</f>
        <v>0</v>
      </c>
      <c r="BM289" s="200">
        <f>IF($K289=BM$3,IF($C289="X",0,$O289),0)</f>
        <v>0</v>
      </c>
      <c r="BN289" s="201">
        <f>IF($K289=BN$3,IF($C289="X",0,$O289),0)</f>
        <v>0</v>
      </c>
      <c r="BO289" s="201">
        <f>IF($K289=BO$3,IF($C289="X",0,$O289),0)</f>
        <v>0</v>
      </c>
      <c r="BP289" s="201">
        <f>IF($K289=BP$3,IF($C289="X",0,$O289),0)</f>
        <v>0</v>
      </c>
      <c r="BQ289" s="202">
        <f>IF($K289=BQ$3,IF($C289="X",0,$O289),0)</f>
        <v>0</v>
      </c>
      <c r="BR289" s="199">
        <f>IF($K289=BR$3,IF($C289="X",0,$O289),0)</f>
        <v>0</v>
      </c>
      <c r="BS289" s="204">
        <f>IF($B289="LOSS",IF(AND($K289=BS$3,$C289="L"),-$O289,0)+IF(AND($K290=BS$3,$C290="L"),-$O290,0)+IF(AND($K291=BS$3,$C291="L"),-$O291,0),IF(OR(AND($K289=BS$3,OR($C289="W",$C289="1/2W")),AND($K290=BS$3,OR($C290="W",$C290="1/2W")),AND($K291=BS$3,OR($C291="W",$C291="1/2W"))),$S289,0))</f>
        <v>0</v>
      </c>
      <c r="BT289" s="201">
        <f>IF($B289="LOSS",IF(AND($K289=BT$3,$C289="L"),-$O289,0)+IF(AND($K290=BT$3,$C290="L"),-$O290,0)+IF(AND($K290=BT$3,$C291="L"),-$O291,0),IF(OR(AND($K290=BT$3,OR($C289="W",$C289="1/2W")),AND($K290=BT$3,OR($C290="W",$C290="1/2W")),AND($K290=BT$3,OR($C291="W",$C291="1/2W"))),$S289,0))</f>
        <v>0</v>
      </c>
      <c r="BU289" s="201">
        <f>IF($B289="LOSS",IF(AND($K289=BU$3,$C289="L"),-$O289,0)+IF(AND($K290=BU$3,$C290="L"),-$O290,0)+IF(AND($K290=BU$3,$C291="L"),-$O291,0),IF(OR(AND($K290=BU$3,OR($C289="W",$C289="1/2W")),AND($K290=BU$3,OR($C290="W",$C290="1/2W")),AND($K290=BU$3,OR($C291="W",$C291="1/2W"))),$S289,0))</f>
        <v>0</v>
      </c>
      <c r="BV289" s="201">
        <f>IF($B289="LOSS",IF(AND($K289=BV$3,$C289="L"),-$O289,0)+IF(AND($K290=BV$3,$C290="L"),-$O290,0)+IF(AND($K291=BV$3,$C291="L"),-$O291,0),IF(OR(AND($K289=BV$3,OR($C289="W",$C289="1/2W")),AND($K290=BV$3,OR($C290="W",$C290="1/2W")),AND($K291=BV$3,OR($C291="W",$C291="1/2W"))),$S289,0))</f>
        <v>0</v>
      </c>
      <c r="BW289" s="201">
        <f>IF($B289="LOSS",IF(AND($K289=BW$3,$C289="L"),-$O289,0)+IF(AND($K290=BW$3,$C290="L"),-$O290,0)+IF(AND($K291=BW$3,$C291="L"),-$O291,0),IF(OR(AND($K289=BW$3,OR($C289="W",$C289="1/2W")),AND($K290=BW$3,OR($C290="W",$C290="1/2W")),AND($K291=BW$3,OR($C291="W",$C291="1/2W"))),$S289,0))</f>
        <v>-10.51</v>
      </c>
      <c r="BX289" s="201">
        <f>IF($B289="LOSS",IF(AND($K289=BX$3,$C289="L"),-$O289,0)+IF(AND($K290=BX$3,$C290="L"),-$O290,0)+IF(AND($K291=BX$3,$C291="L"),-$O291,0),IF(OR(AND($K289=BX$3,OR($C289="W",$C289="1/2W")),AND($K290=BX$3,OR($C290="W",$C290="1/2W")),AND($K291=BX$3,OR($C291="W",$C291="1/2W"))),$S289,0))</f>
        <v>0</v>
      </c>
      <c r="BY289" s="201">
        <f>IF($B289="LOSS",IF(AND($K289=BY$3,$C289="L"),-$O289,0)+IF(AND($K290=BY$3,$C290="L"),-$O290,0)+IF(AND($K291=BY$3,$C291="L"),-$O291,0),IF(OR(AND($K289=BY$3,OR($C289="W",$C289="1/2W")),AND($K290=BY$3,OR($C290="W",$C290="1/2W")),AND($K291=BY$3,OR($C291="W",$C291="1/2W"))),$S289,0))</f>
        <v>0</v>
      </c>
      <c r="BZ289" s="205">
        <f>IF($B289="LOSS",IF(AND($K289=BZ$3,$C289="L"),-$O289,0)+IF(AND($K290=BZ$3,$C290="L"),-$O290,0)+IF(AND($K291=BZ$3,$C291="L"),-$O291,0),IF(OR(AND($K289=BZ$3,OR($C289="W",$C289="1/2W")),AND($K290=BZ$3,OR($C290="W",$C290="1/2W")),AND($K291=BZ$3,OR($C291="W",$C291="1/2W"))),$S289,0))</f>
        <v>0</v>
      </c>
      <c r="CA289" s="205">
        <f>IF($B289="LOSS",IF(AND($K289=CA$3,$C289="L"),-$O289,0)+IF(AND($K290=CA$3,$C290="L"),-$O290,0)+IF(AND($K291=CA$3,$C291="L"),-$O291,0),IF(OR(AND($K289=CA$3,OR($C289="W",$C289="1/2W")),AND($K290=CA$3,OR($C290="W",$C290="1/2W")),AND($K291=CA$3,OR($C291="W",$C291="1/2W"))),$S289,0))</f>
        <v>0</v>
      </c>
      <c r="CB289" s="205">
        <f>IF($B289="LOSS",IF(AND($K289=CB$3,$C289="L"),-$O289,0)+IF(AND($K290=CB$3,$C290="L"),-$O290,0)+IF(AND($K291=CB$3,$C291="L"),-$O291,0),IF(OR(AND($K289=CB$3,OR($C289="W",$C289="1/2W")),AND($K290=CB$3,OR($C290="W",$C290="1/2W")),AND($K291=CB$3,OR($C291="W",$C291="1/2W"))),$S289,0))</f>
        <v>0</v>
      </c>
      <c r="CC289" s="205">
        <f>IF($B289="LOSS",IF(AND($K289=CC$3,$C289="L"),-$O289,0)+IF(AND($K290=CC$3,$C290="L"),-$O290,0)+IF(AND($K291=CC$3,$C291="L"),-$O291,0),IF(OR(AND($K289=CC$3,OR($C289="W",$C289="1/2W")),AND($K290=CC$3,OR($C290="W",$C290="1/2W")),AND($K291=CC$3,OR($C291="W",$C291="1/2W"))),$S289,0))</f>
        <v>0</v>
      </c>
      <c r="CD289" s="202">
        <f>IF($B289="LOSS",IF(AND($K289=CD$3,$C289="L"),-$O289,0)+IF(AND($K290=CD$3,$C290="L"),-$O290,0)+IF(AND($K291=CD$3,$C291="L"),-$O291,0),IF(OR(AND($K289=CD$3,OR($C289="W",$C289="1/2W")),AND($K290=CD$3,OR($C290="W",$C290="1/2W")),AND($K291=CD$3,OR($C291="W",$C291="1/2W"))),$S289,0))</f>
        <v>0</v>
      </c>
      <c r="CE289" s="199">
        <f>IF($B289="LOSS",IF(AND($K289=CE$3,$C289="L"),-$O289,0)+IF(AND($K290=CE$3,$C290="L"),-$O290,0)+IF(AND($K291=CE$3,$C291="L"),-$O291,0),IF(OR(AND($K289=CE$3,OR($C289="W",$C289="1/2W")),AND($K290=CE$3,OR($C290="W",$C290="1/2W")),AND($K291=CE$3,OR($C291="W",$C291="1/2W"))),$S289,0))</f>
        <v>0</v>
      </c>
      <c r="CF289" s="206">
        <f>IF(CF$3=$K289,IF($C289="W",1,IF($C289="1/2W",0.5,0)),0)</f>
        <v>0</v>
      </c>
      <c r="CG289" s="207">
        <f>IF(CF$3=$K289,IF($C289="L",1,IF($C289="1/2L",0.5,0)),0)</f>
        <v>0</v>
      </c>
      <c r="CH289" s="207">
        <f>IF(CH$3=$K289,IF($C289="W",1,IF($C289="1/2W",0.5,0)),0)</f>
        <v>0</v>
      </c>
      <c r="CI289" s="207">
        <f>IF(CH$3=$K289,IF($C289="L",1,IF($C289="1/2L",0.5,0)),0)</f>
        <v>0</v>
      </c>
      <c r="CJ289" s="207">
        <f>IF(CJ$3=$K289,IF($C289="W",1,IF($C289="1/2W",0.5,0)),0)</f>
        <v>0</v>
      </c>
      <c r="CK289" s="207">
        <f>IF(CJ$3=$K289,IF($C289="L",1,IF($C289="1/2L",0.5,0)),0)</f>
        <v>0</v>
      </c>
      <c r="CL289" s="207">
        <f>IF(CL$3=$K289,IF($C289="W",1,IF($C289="1/2W",0.5,0)),0)</f>
        <v>0</v>
      </c>
      <c r="CM289" s="207">
        <f>IF(CL$3=$K289,IF($C289="L",1,IF($C289="1/2L",0.5,0)),0)</f>
        <v>0</v>
      </c>
      <c r="CN289" s="207">
        <f>IF(CN$3=$K289,IF($C289="W",1,IF($C289="1/2W",0.5,0)),0)</f>
        <v>0</v>
      </c>
      <c r="CO289" s="207">
        <f>IF(CN$3=$K289,IF($C289="L",1,IF($C289="1/2L",0.5,0)),0)</f>
        <v>1</v>
      </c>
      <c r="CP289" s="207">
        <f>IF(CP$3=$K289,IF($C289="W",1,IF($C289="1/2W",0.5,0)),0)</f>
        <v>0</v>
      </c>
      <c r="CQ289" s="207">
        <f>IF(CP$3=$K289,IF($C289="L",1,IF($C289="1/2L",0.5,0)),0)</f>
        <v>0</v>
      </c>
      <c r="CR289" s="207">
        <f>IF(CR$3=$K289,IF($C289="W",1,IF($C289="1/2W",0.5,0)),0)</f>
        <v>0</v>
      </c>
      <c r="CS289" s="207">
        <f>IF(CR$3=$K289,IF($C289="L",1,IF($C289="1/2L",0.5,0)),0)</f>
        <v>0</v>
      </c>
      <c r="CT289" s="208">
        <f>IF(CT$3=$K289,IF($C289="W",1,IF($C289="1/2W",0.5,0)),0)</f>
        <v>0</v>
      </c>
      <c r="CU289" s="209">
        <f>IF(CT$3=$K289,IF($C289="L",1,IF($C289="1/2L",0.5,0)),0)</f>
        <v>0</v>
      </c>
      <c r="CV289" s="209">
        <f>IF(CV$3=$K289,IF($C289="W",1,IF($C289="1/2W",0.5,0)),0)</f>
        <v>0</v>
      </c>
      <c r="CW289" s="209">
        <f>IF(CV$3=$K289,IF($C289="L",1,IF($C289="1/2L",0.5,0)),0)</f>
        <v>0</v>
      </c>
      <c r="CX289" s="209">
        <f>IF(CX$3=$K289,IF($C289="W",1,IF($C289="1/2W",0.5,0)),0)</f>
        <v>0</v>
      </c>
      <c r="CY289" s="209">
        <f>IF(CX$3=$K289,IF($C289="L",1,IF($C289="1/2L",0.5,0)),0)</f>
        <v>0</v>
      </c>
      <c r="CZ289" s="209">
        <f>IF(CZ$3=$K289,IF($C289="W",1,IF($C289="1/2W",0.5,0)),0)</f>
        <v>0</v>
      </c>
      <c r="DA289" s="209">
        <f>IF(CZ$3=$K289,IF($C289="L",1,IF($C289="1/2L",0.5,0)),0)</f>
        <v>0</v>
      </c>
      <c r="DB289" s="209">
        <f>IF(DB$3=$K289,IF($C289="W",1,IF($C289="1/2W",0.5,0)),0)</f>
        <v>0</v>
      </c>
      <c r="DC289" s="209">
        <f>IF(DB$3=$K289,IF($C289="L",1,IF($C289="1/2L",0.5,0)),0)</f>
        <v>0</v>
      </c>
      <c r="DD289" s="209">
        <f>IF(DD$3=$K289,IF($C289="W",1,IF($C289="1/2W",0.5,0)),0)</f>
        <v>0</v>
      </c>
      <c r="DE289" s="210">
        <f>IF(DD$3=$K289,IF($C289="L",1,IF($C289="1/2L",0.5,0)),0)</f>
        <v>0</v>
      </c>
      <c r="DF289" s="211">
        <f>IF(AND(L289&lt;DF$3,$C289="W"),1+DF288,DF288)</f>
        <v>11</v>
      </c>
      <c r="DG289" s="198">
        <f>IF(DF289&gt;DF288,L289+DG288,DG288)</f>
        <v>14.518</v>
      </c>
      <c r="DH289" s="209">
        <f>IF(AND(L289&gt;DH$3,$C289="W"),1+DH288,0+DH288)</f>
        <v>6</v>
      </c>
      <c r="DI289" s="198">
        <f>IF(DH289&gt;DH288,L289+DI288,DI288)</f>
        <v>30.83</v>
      </c>
      <c r="DJ289" t="s" s="306">
        <f>IF($D289="","",$D289)</f>
        <v>229</v>
      </c>
      <c r="DK289" s="209">
        <f>IF(AND($B289=" ",$D289&lt;&gt;""),1,0)</f>
        <v>0</v>
      </c>
    </row>
    <row r="290" ht="14.55" customHeight="1">
      <c r="A290" s="107"/>
      <c r="B290" s="108"/>
      <c r="C290" t="s" s="213">
        <v>114</v>
      </c>
      <c r="D290" s="110"/>
      <c r="E290" s="111"/>
      <c r="F290" s="112"/>
      <c r="G290" s="214"/>
      <c r="H290" s="114"/>
      <c r="I290" t="s" s="215">
        <v>57</v>
      </c>
      <c r="J290" s="296">
        <f>IF(OR(I289="TO",I289="TU",I289="TO1",I289="TU1",I289="TO2",I289="TU2"),J289,IF(OR(I289="AH1",I289="AH2"),IF(OR(I290="AH1",I290="AH2"),-J289,IF(OR(I290="EH1",I290="EH2"),-J289+0.5,"")),IF(OR(I289="EH1",I289="EH2"),IF(OR(I290="AH1",I290="AH2"),-J289+0.5,IF(OR(I290="EH1",I290="EH2"),-J289+1,"")),IF(AND(OR(I289="DNB1",I289="DNB2"),OR(I290="AH1",I290="AH2")),0,IF(AND(I289="Not ScoreBoth",OR(I290="TO1",I290="TO2")),0.5,"")))))</f>
        <v>2</v>
      </c>
      <c r="K290" t="s" s="217">
        <v>44</v>
      </c>
      <c r="L290" s="218">
        <v>2.23</v>
      </c>
      <c r="M290" s="219"/>
      <c r="N290" s="120"/>
      <c r="O290" s="220">
        <f>IF(OR(AE289="",AE290=""),"",ROUND(IF(L291&gt;0,IF(M290&gt;0,M290,IF(M289&gt;0,IF(N289=TRUE,ROUND((M289*AE290)/AE289,0),(M289*AE290)/AE289),IF(M290&gt;0,ROUND(M290,IF(N289=0,2,IF(N289=0.1,1,0))),IF(M291&gt;0,ROUND(O291*AE290/AE291,IF(N289=0,2,IF(N289=0.1,1,0))),0)))),IF(M290&gt;0,M290,ROUND((M289*AE290)/AE289,IF(N289=0,2,IF(N289=0.1,1,0))))),2))</f>
        <v>9.76</v>
      </c>
      <c r="P290" s="221">
        <f>IF(OR(L290="",O290=""),"",IF($C290="1/2W",O290/2+O290/2*L290,IF($C290="1/2L",O290/2,IF(I290="Lay",((O290*(L290/(L290-1)))-O290)*(1-_xlfn.XLOOKUP(K290,'Janeiro 2023 - Valor Real'!A3:A15,'Janeiro 2023 - Valor Real'!C3:C15,0))+O290,(O290*L290-O290)*(1-_xlfn.XLOOKUP(K290,'Janeiro 2023 - Valor Real'!A3:A15,'Janeiro 2023 - Valor Real'!C3:C15,0))+O290))))</f>
        <v>21.7648</v>
      </c>
      <c r="Q290" s="222">
        <f>IF(K290="","",IF(_xlfn.XLOOKUP(K290,K$98:K146,DJ$98:DJ146,0,,-1)=DJ290,_xlfn.XLOOKUP(K290,K$98:K146,Q$98:Q146,1,,-1)+1,1))</f>
        <v>1</v>
      </c>
      <c r="R290" s="223">
        <f>IF(K290="","",_xlfn.XLOOKUP(K290,K$98:K146,R$98:R146,0,,-1)+IF($C290=" ",1,0))</f>
        <v>0</v>
      </c>
      <c r="S290" s="125"/>
      <c r="T290" s="126"/>
      <c r="U290" s="126"/>
      <c r="V290" s="224"/>
      <c r="W290" s="126"/>
      <c r="X290" s="127"/>
      <c r="Y290" s="128"/>
      <c r="Z290" s="129"/>
      <c r="AA290" s="129"/>
      <c r="AB290" s="129"/>
      <c r="AC290" s="129"/>
      <c r="AD290" s="225">
        <f>(((L290/(L290-1)-1)*(1-_xlfn.XLOOKUP(K290,'Janeiro 2023 - Valor Real'!A3:A15,'Janeiro 2023 - Valor Real'!C3:C15,0))+1))</f>
        <v>1.8130081300813</v>
      </c>
      <c r="AE290" s="226">
        <f>IF(L290="","",IF(L291&gt;0,(SUM(((L289-1)*(1-_xlfn.XLOOKUP(K289,'Janeiro 2023 - Valor Real'!A3:A15,'Janeiro 2023 - Valor Real'!C3:C15,0))+1),((L290-1)*(1-_xlfn.XLOOKUP(K290,'Janeiro 2023 - Valor Real'!A3:A15,'Janeiro 2023 - Valor Real'!C3:C15,0))+1),((L291-1)*(1-_xlfn.XLOOKUP(K291,'Janeiro 2023 - Valor Real'!A3:A15,'Janeiro 2023 - Valor Real'!C3:C15,0))+1))/((L290-1)*(1-_xlfn.XLOOKUP(K290,'Janeiro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Real'!C3:C15,0))+1))/((L289-1)*(1-_xlfn.XLOOKUP(K289,'Janeiro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Real'!C3:C15,0))+1))/((L290-1)*(1-_xlfn.XLOOKUP(K290,'Janeiro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Real'!C3:C15,0))+1))/((L291-1)*(1-_xlfn.XLOOKUP(K291,'Janeiro 2023 - Valor Real'!A3:A15,'Janeiro 2023 - Valor Real'!C3:C15,0))+1)),IF(I290="Lay",IF(I289="Lay",((L289/(L289-1)-1)*(1-_xlfn.XLOOKUP(K289,'Janeiro 2023 - Valor Real'!A3:A15,'Janeiro 2023 - Valor Real'!C3:C15,0))+1)/(((L289/(L289-1)-1)*(1-_xlfn.XLOOKUP(K289,'Janeiro 2023 - Valor Real'!A3:A15,'Janeiro 2023 - Valor Real'!C3:C15,0))+1)+((L290/(L290-1)-1)*(1-_xlfn.XLOOKUP(K290,'Janeiro 2023 - Valor Real'!A3:A15,'Janeiro 2023 - Valor Real'!C3:C15,0))+1)),((L289-1)*(1-_xlfn.XLOOKUP(K289,'Janeiro 2023 - Valor Real'!A3:A15,'Janeiro 2023 - Valor Real'!C3:C15,0))+1)/(((L289-1)*(1-_xlfn.XLOOKUP(K289,'Janeiro 2023 - Valor Real'!A3:A15,'Janeiro 2023 - Valor Real'!C3:C15,0))+1)+((L290/(L290-1)-1)*(1-_xlfn.XLOOKUP(K290,'Janeiro 2023 - Valor Real'!A3:A15,'Janeiro 2023 - Valor Real'!C3:C15,0))+1))),IF(I289="Lay",((L289/(L289-1)-1)*(1-_xlfn.XLOOKUP(K289,'Janeiro 2023 - Valor Real'!A3:A15,'Janeiro 2023 - Valor Real'!C3:C15,0))+1)/((((L289/(L289-1)-1)*(1-_xlfn.XLOOKUP(K289,'Janeiro 2023 - Valor Real'!A3:A15,'Janeiro 2023 - Valor Real'!C3:C15,0))+1))+((L290-1)*(1-_xlfn.XLOOKUP(K290,'Janeiro 2023 - Valor Real'!A3:A15,'Janeiro 2023 - Valor Real'!C3:C15,0))+1)),((L289-1)*(1-_xlfn.XLOOKUP(K289,'Janeiro 2023 - Valor Real'!A3:A15,'Janeiro 2023 - Valor Real'!C3:C15,0))+1)/(((L289-1)*(1-_xlfn.XLOOKUP(K289,'Janeiro 2023 - Valor Real'!A3:A15,'Janeiro 2023 - Valor Real'!C3:C15,0))+1)+((L290-1)*(1-_xlfn.XLOOKUP(K290,'Janeiro 2023 - Valor Real'!A3:A15,'Janeiro 2023 - Valor Real'!C3:C15,0))+1))))))</f>
        <v>0.481395348837209</v>
      </c>
      <c r="AF290" s="197">
        <f>IF($K290=AF$3,ROUND(IF(OR($C290="W",$C290="1/2W",$C290="1/2L"),$P290-$O290,IF($C290="X",0,-$O290)),2),0)</f>
        <v>0</v>
      </c>
      <c r="AG290" s="198">
        <f>IF($K290=AG$3,ROUND(IF(OR($C290="W",$C290="1/2W",$C290="1/2L"),$P290-$O290,IF($C290="X",0,-$O290)),2),0)</f>
        <v>0</v>
      </c>
      <c r="AH290" s="198">
        <f>IF($K290=AH$3,ROUND(IF(OR($C290="W",$C290="1/2W",$C290="1/2L"),$P290-$O290,IF($C290="X",0,-$O290)),2),0)</f>
        <v>0</v>
      </c>
      <c r="AI290" s="198">
        <f>IF($K290=AI$3,ROUND(IF(OR($C290="W",$C290="1/2W",$C290="1/2L"),$P290-$O290,IF($C290="X",0,-$O290)),2),0)</f>
        <v>0</v>
      </c>
      <c r="AJ290" s="198">
        <f>IF($K290=AJ$3,ROUND(IF(OR($C290="W",$C290="1/2W",$C290="1/2L"),$P290-$O290,IF($C290="X",0,-$O290)),2),0)</f>
        <v>0</v>
      </c>
      <c r="AK290" s="198">
        <f>IF($K290=AK$3,ROUND(IF(OR($C290="W",$C290="1/2W",$C290="1/2L"),$P290-$O290,IF($C290="X",0,-$O290)),2),0)</f>
        <v>0</v>
      </c>
      <c r="AL290" s="198">
        <f>IF($K290=AL$3,ROUND(IF(OR($C290="W",$C290="1/2W",$C290="1/2L"),$P290-$O290,IF($C290="X",0,-$O290)),2),0)</f>
        <v>0</v>
      </c>
      <c r="AM290" s="198">
        <f>IF($K290=AM$3,ROUND(IF(OR($C290="W",$C290="1/2W",$C290="1/2L"),$P290-$O290,IF($C290="X",0,-$O290)),2),0)</f>
        <v>0</v>
      </c>
      <c r="AN290" s="198">
        <f>IF($K290=AN$3,ROUND(IF(OR($C290="W",$C290="1/2W",$C290="1/2L"),$P290-$O290,IF($C290="X",0,-$O290)),2),0)</f>
        <v>0</v>
      </c>
      <c r="AO290" s="198">
        <f>IF($K290=AO$3,ROUND(IF(OR($C290="W",$C290="1/2W",$C290="1/2L"),$P290-$O290,IF($C290="X",0,-$O290)),2),0)</f>
        <v>0</v>
      </c>
      <c r="AP290" s="198">
        <f>IF($K290=AP$3,ROUND(IF(OR($C290="W",$C290="1/2W",$C290="1/2L"),$P290-$O290,IF($C290="X",0,-$O290)),2),0)</f>
        <v>0</v>
      </c>
      <c r="AQ290" s="198">
        <f>IF($K290=AQ$3,ROUND(IF(OR($C290="W",$C290="1/2W",$C290="1/2L"),$P290-$O290,IF($C290="X",0,-$O290)),2),0)</f>
        <v>0</v>
      </c>
      <c r="AR290" s="199">
        <f>IF($K290=AR$3,ROUND(IF(OR($C290="W",$C290="1/2W",$C290="1/2L"),$P290-$O290,IF($C290="X",0,-$O290)),2),0)</f>
        <v>0</v>
      </c>
      <c r="AS290" s="197">
        <f>IF(AND($B289=" ",$K290=AS$3),$O290,0)</f>
        <v>0</v>
      </c>
      <c r="AT290" s="198">
        <f>IF(AND($B289=" ",K290=AT$3),$O290,0)</f>
        <v>0</v>
      </c>
      <c r="AU290" s="198">
        <f>IF(AND($B289=" ",$K290=AU$3),$O290,0)</f>
        <v>0</v>
      </c>
      <c r="AV290" s="198">
        <f>IF(AND($B289=" ",$K290=AV$3),$O290,0)</f>
        <v>0</v>
      </c>
      <c r="AW290" s="198">
        <f>IF(AND($B289=" ",$K290=AW$3),$O290,0)</f>
        <v>0</v>
      </c>
      <c r="AX290" s="198">
        <f>IF(AND($B289=" ",$K290=AX$3),$O290,0)</f>
        <v>0</v>
      </c>
      <c r="AY290" s="200">
        <f>IF(AND($B289=" ",$K290=AY$3),$O290,0)</f>
        <v>0</v>
      </c>
      <c r="AZ290" s="201">
        <f>IF(AND($B289=" ",$K290=AZ$3),$O290,0)</f>
        <v>0</v>
      </c>
      <c r="BA290" s="201">
        <f>IF(AND($B289=" ",$K290=BA$3),$O290,0)</f>
        <v>0</v>
      </c>
      <c r="BB290" s="201">
        <f>IF(AND($B289=" ",$K290=BB$3),$O290,0)</f>
        <v>0</v>
      </c>
      <c r="BC290" s="202">
        <f>IF(AND($B289=" ",$K290=BC$3),$O290,0)</f>
        <v>0</v>
      </c>
      <c r="BD290" s="198">
        <f>IF(AND($B289=" ",$K290=BD$3),$O290,0)</f>
        <v>0</v>
      </c>
      <c r="BE290" s="199">
        <f>IF(AND($B289=" ",$K290=BE$3),$O290,0)</f>
        <v>0</v>
      </c>
      <c r="BF290" s="197">
        <f>IF($K290=BF$3,IF($C290="X",0,$O290),0)</f>
        <v>0</v>
      </c>
      <c r="BG290" s="198">
        <f>IF($K290=BG$3,IF($C290="X",0,$O290),0)</f>
        <v>0</v>
      </c>
      <c r="BH290" s="198">
        <f>IF($K290=BH$3,IF($C290="X",0,$O290),0)</f>
        <v>0</v>
      </c>
      <c r="BI290" s="198">
        <f>IF($K290=BI$3,IF($C290="X",0,$O290),0)</f>
        <v>0</v>
      </c>
      <c r="BJ290" s="198">
        <f>IF($K290=BJ$3,IF($C290="X",0,$O290),0)</f>
        <v>0</v>
      </c>
      <c r="BK290" s="198">
        <f>IF($K290=BK$3,IF($C290="X",0,$O290),0)</f>
        <v>0</v>
      </c>
      <c r="BL290" s="198">
        <f>IF($K290=BL$3,IF($C290="X",0,$O290),0)</f>
        <v>0</v>
      </c>
      <c r="BM290" s="227">
        <f>IF($K290=BM$3,IF($C290="X",0,$O290),0)</f>
        <v>0</v>
      </c>
      <c r="BN290" s="205">
        <f>IF($K290=BN$3,IF($C290="X",0,$O290),0)</f>
        <v>0</v>
      </c>
      <c r="BO290" s="205">
        <f>IF($K290=BO$3,IF($C290="X",0,$O290),0)</f>
        <v>0</v>
      </c>
      <c r="BP290" s="205">
        <f>IF($K290=BP$3,IF($C290="X",0,$O290),0)</f>
        <v>0</v>
      </c>
      <c r="BQ290" s="202">
        <f>IF($K290=BQ$3,IF($C290="X",0,$O290),0)</f>
        <v>0</v>
      </c>
      <c r="BR290" s="199">
        <f>IF($K290=BR$3,IF($C290="X",0,$O290),0)</f>
        <v>0</v>
      </c>
      <c r="BS290" s="228"/>
      <c r="BT290" s="229"/>
      <c r="BU290" s="140"/>
      <c r="BV290" s="229"/>
      <c r="BW290" s="140"/>
      <c r="BX290" s="140"/>
      <c r="BY290" s="140"/>
      <c r="BZ290" s="229"/>
      <c r="CA290" s="140"/>
      <c r="CB290" s="140"/>
      <c r="CC290" s="140"/>
      <c r="CD290" s="141"/>
      <c r="CE290" s="142"/>
      <c r="CF290" s="230">
        <f>IF(CF$3=$K290,IF($C290="W",1,IF($C290="1/2W",0.5,0)),0)</f>
        <v>0</v>
      </c>
      <c r="CG290" s="231">
        <f>IF(CF$3=$K290,IF($C290="L",1,IF($C290="1/2L",0.5,0)),0)</f>
        <v>0</v>
      </c>
      <c r="CH290" s="231">
        <f>IF(CH$3=$K290,IF($C290="W",1,IF($C290="1/2W",0.5,0)),0)</f>
        <v>0</v>
      </c>
      <c r="CI290" s="231">
        <f>IF(CH$3=$K290,IF($C290="L",1,IF($C290="1/2L",0.5,0)),0)</f>
        <v>0</v>
      </c>
      <c r="CJ290" s="231">
        <f>IF(CJ$3=$K290,IF($C290="W",1,IF($C290="1/2W",0.5,0)),0)</f>
        <v>0</v>
      </c>
      <c r="CK290" s="231">
        <f>IF(CJ$3=$K290,IF($C290="L",1,IF($C290="1/2L",0.5,0)),0)</f>
        <v>0</v>
      </c>
      <c r="CL290" s="231">
        <f>IF(CL$3=$K290,IF($C290="W",1,IF($C290="1/2W",0.5,0)),0)</f>
        <v>0</v>
      </c>
      <c r="CM290" s="231">
        <f>IF(CL$3=$K290,IF($C290="L",1,IF($C290="1/2L",0.5,0)),0)</f>
        <v>0</v>
      </c>
      <c r="CN290" s="231">
        <f>IF(CN$3=$K290,IF($C290="W",1,IF($C290="1/2W",0.5,0)),0)</f>
        <v>0</v>
      </c>
      <c r="CO290" s="231">
        <f>IF(CN$3=$K290,IF($C290="L",1,IF($C290="1/2L",0.5,0)),0)</f>
        <v>0</v>
      </c>
      <c r="CP290" s="231">
        <f>IF(CP$3=$K290,IF($C290="W",1,IF($C290="1/2W",0.5,0)),0)</f>
        <v>0</v>
      </c>
      <c r="CQ290" s="231">
        <f>IF(CP$3=$K290,IF($C290="L",1,IF($C290="1/2L",0.5,0)),0)</f>
        <v>0</v>
      </c>
      <c r="CR290" s="231">
        <f>IF(CR$3=$K290,IF($C290="W",1,IF($C290="1/2W",0.5,0)),0)</f>
        <v>0</v>
      </c>
      <c r="CS290" s="231">
        <f>IF(CR$3=$K290,IF($C290="L",1,IF($C290="1/2L",0.5,0)),0)</f>
        <v>0</v>
      </c>
      <c r="CT290" s="208">
        <f>IF(CT$3=$K290,IF($C290="W",1,IF($C290="1/2W",0.5,0)),0)</f>
        <v>0</v>
      </c>
      <c r="CU290" s="209">
        <f>IF(CT$3=$K290,IF($C290="L",1,IF($C290="1/2L",0.5,0)),0)</f>
        <v>0</v>
      </c>
      <c r="CV290" s="209">
        <f>IF(CV$3=$K290,IF($C290="W",1,IF($C290="1/2W",0.5,0)),0)</f>
        <v>0</v>
      </c>
      <c r="CW290" s="209">
        <f>IF(CV$3=$K290,IF($C290="L",1,IF($C290="1/2L",0.5,0)),0)</f>
        <v>0</v>
      </c>
      <c r="CX290" s="209">
        <f>IF(CX$3=$K290,IF($C290="W",1,IF($C290="1/2W",0.5,0)),0)</f>
        <v>0</v>
      </c>
      <c r="CY290" s="209">
        <f>IF(CX$3=$K290,IF($C290="L",1,IF($C290="1/2L",0.5,0)),0)</f>
        <v>0</v>
      </c>
      <c r="CZ290" s="209">
        <f>IF(CZ$3=$K290,IF($C290="W",1,IF($C290="1/2W",0.5,0)),0)</f>
        <v>0</v>
      </c>
      <c r="DA290" s="209">
        <f>IF(CZ$3=$K290,IF($C290="L",1,IF($C290="1/2L",0.5,0)),0)</f>
        <v>0</v>
      </c>
      <c r="DB290" s="209">
        <f>IF(DB$3=$K290,IF($C290="W",1,IF($C290="1/2W",0.5,0)),0)</f>
        <v>0</v>
      </c>
      <c r="DC290" s="209">
        <f>IF(DB$3=$K290,IF($C290="L",1,IF($C290="1/2L",0.5,0)),0)</f>
        <v>0</v>
      </c>
      <c r="DD290" s="209">
        <f>IF(DD$3=$K290,IF($C290="W",1,IF($C290="1/2W",0.5,0)),0)</f>
        <v>0</v>
      </c>
      <c r="DE290" s="210">
        <f>IF(DD$3=$K290,IF($C290="L",1,IF($C290="1/2L",0.5,0)),0)</f>
        <v>0</v>
      </c>
      <c r="DF290" s="211">
        <f>IF(AND(L290&lt;DF$3,$C290="W"),1+DF289,DF289)</f>
        <v>11</v>
      </c>
      <c r="DG290" s="198">
        <f>IF(DF290&gt;DF289,L290+DG289,DG289)</f>
        <v>14.518</v>
      </c>
      <c r="DH290" s="209">
        <f>IF(AND(L290&gt;DH$3,$C290="W"),1+DH289,0+DH289)</f>
        <v>6</v>
      </c>
      <c r="DI290" s="198">
        <f>IF(DH290&gt;DH289,L290+DI289,DI289)</f>
        <v>30.83</v>
      </c>
      <c r="DJ290" t="s" s="306">
        <f>IF($D289="","",$D289)</f>
        <v>229</v>
      </c>
      <c r="DK290" s="232"/>
    </row>
    <row r="291" ht="14.55" customHeight="1">
      <c r="A291" s="149"/>
      <c r="B291" s="150"/>
      <c r="C291" t="s" s="233">
        <v>58</v>
      </c>
      <c r="D291" s="152"/>
      <c r="E291" s="153"/>
      <c r="F291" s="300"/>
      <c r="G291" s="234"/>
      <c r="H291" s="156"/>
      <c r="I291" s="235"/>
      <c r="J291" s="236"/>
      <c r="K291" s="237"/>
      <c r="L291" s="238"/>
      <c r="M291" s="239"/>
      <c r="N291" s="161"/>
      <c r="O291" t="s" s="240">
        <f>IF(OR(AE289="",AE290=""),"",IF(L291&gt;0,ROUND(IF(M291&gt;0,M291,IF(M289&gt;0,ROUND((M289*AE291)/AE289,IF(N289=0,2,IF(N289=0.1,1,0))),IF(M290&gt;0,ROUND((M290*AE291)/AE290,IF(N289=0,2,IF(N289=0.1,1,0))),IF(M291&gt;0,M291,0)))),2),""))</f>
      </c>
      <c r="P291" t="s" s="241">
        <f>IF(I290="Lay",O290*(L290/(L290-1))-O290,IF(I289="Lay",O289*(L289/(L289-1))-O289,IF(OR(L291="",O291=""),"",IF($C291="1/2W",O291/2+O291/2*L291,IF($C291="1/2L",O291/2,(O291*L291-O291)*(1-_xlfn.XLOOKUP(K291,'Janeiro 2023 - Valor Real'!A3:A15,'Janeiro 2023 - Valor Real'!C3:C15,0))+O291)))))</f>
      </c>
      <c r="Q291" t="s" s="242">
        <f>IF(K291="","",IF(_xlfn.XLOOKUP(K291,K$99:K147,DJ$99:DJ147,0,,-1)=DJ291,_xlfn.XLOOKUP(K291,K$99:K147,Q$99:Q147,1,,-1)+1,1))</f>
      </c>
      <c r="R291" t="s" s="243">
        <f>IF(K291="","",_xlfn.XLOOKUP(K291,K$99:K147,R$99:R147,0,,-1)+IF($C291=" ",1,0))</f>
      </c>
      <c r="S291" s="166"/>
      <c r="T291" s="155"/>
      <c r="U291" s="155"/>
      <c r="V291" s="166"/>
      <c r="W291" s="155"/>
      <c r="X291" s="167"/>
      <c r="Y291" s="128"/>
      <c r="Z291" s="129"/>
      <c r="AA291" s="129"/>
      <c r="AB291" s="129"/>
      <c r="AC291" s="129"/>
      <c r="AD291" s="244">
        <f>((L290/(L290-1)-1))</f>
        <v>0.813008130081301</v>
      </c>
      <c r="AE291" t="s" s="245">
        <f>IF(L291="","",(SUM(((L289-1)*(1-_xlfn.XLOOKUP(K289,'Janeiro 2023 - Valor Real'!A3:A15,'Janeiro 2023 - Valor Real'!C3:C15,0))+1),((L290-1)*(1-_xlfn.XLOOKUP(K290,'Janeiro 2023 - Valor Real'!A3:A15,'Janeiro 2023 - Valor Real'!C3:C15,0))+1),((L291-1)*(1-_xlfn.XLOOKUP(K291,'Janeiro 2023 - Valor Real'!A3:A15,'Janeiro 2023 - Valor Real'!C3:C15,0))+1))/((L291-1)*(1-_xlfn.XLOOKUP(K291,'Janeiro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Real'!C3:C15,0))+1))/((L289-1)*(1-_xlfn.XLOOKUP(K289,'Janeiro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Real'!C3:C15,0))+1))/((L290-1)*(1-_xlfn.XLOOKUP(K290,'Janeiro 2023 - Valor Real'!A3:A15,'Janeiro 2023 - Valor Real'!C3:C15,0))+1)+SUM(((L289-1)*(1-_xlfn.XLOOKUP(K289,'Janeiro 2023 - Valor Real'!A3:A15,'Janeiro 2023 - Valor Real'!C3:C15,0))+1),((L290-1)*(1-_xlfn.XLOOKUP(K290,'Janeiro 2023 - Valor Real'!A3:A15,'Janeiro 2023 - Valor Real'!C3:C15,0))+1),((L291-1)*(1-_xlfn.XLOOKUP(K291,'Janeiro 2023 - Valor Real'!A3:A15,'Janeiro 2023 - Valor Real'!C3:C15,0))+1))/((L291-1)*(1-_xlfn.XLOOKUP(K291,'Janeiro 2023 - Valor Real'!A3:A15,'Janeiro 2023 - Valor Real'!C3:C15,0))+1)))</f>
      </c>
      <c r="AF291" s="197">
        <f>IF($K291=AF$3,ROUND(IF(OR($C291="W",$C291="1/2W",$C291="1/2L"),$P291-$O291,IF($C291="X",0,-$O291)),2),0)</f>
        <v>0</v>
      </c>
      <c r="AG291" s="198">
        <f>IF($K291=AG$3,ROUND(IF(OR($C291="W",$C291="1/2W",$C291="1/2L"),$P291-$O291,IF($C291="X",0,-$O291)),2),0)</f>
        <v>0</v>
      </c>
      <c r="AH291" s="198">
        <f>IF($K291=AH$3,ROUND(IF(OR($C291="W",$C291="1/2W",$C291="1/2L"),$P291-$O291,IF($C291="X",0,-$O291)),2),0)</f>
        <v>0</v>
      </c>
      <c r="AI291" s="198">
        <f>IF($K291=AI$3,ROUND(IF(OR($C291="W",$C291="1/2W",$C291="1/2L"),$P291-$O291,IF($C291="X",0,-$O291)),2),0)</f>
        <v>0</v>
      </c>
      <c r="AJ291" s="198">
        <f>IF($K291=AJ$3,ROUND(IF(OR($C291="W",$C291="1/2W",$C291="1/2L"),$P291-$O291,IF($C291="X",0,-$O291)),2),0)</f>
        <v>0</v>
      </c>
      <c r="AK291" s="198">
        <f>IF($K291=AK$3,ROUND(IF(OR($C291="W",$C291="1/2W",$C291="1/2L"),$P291-$O291,IF($C291="X",0,-$O291)),2),0)</f>
        <v>0</v>
      </c>
      <c r="AL291" s="198">
        <f>IF($K291=AL$3,ROUND(IF(OR($C291="W",$C291="1/2W",$C291="1/2L"),$P291-$O291,IF($C291="X",0,-$O291)),2),0)</f>
        <v>0</v>
      </c>
      <c r="AM291" s="198">
        <f>IF($K291=AM$3,ROUND(IF(OR($C291="W",$C291="1/2W",$C291="1/2L"),$P291-$O291,IF($C291="X",0,-$O291)),2),0)</f>
        <v>0</v>
      </c>
      <c r="AN291" s="198">
        <f>IF($K291=AN$3,ROUND(IF(OR($C291="W",$C291="1/2W",$C291="1/2L"),$P291-$O291,IF($C291="X",0,-$O291)),2),0)</f>
        <v>0</v>
      </c>
      <c r="AO291" s="198">
        <f>IF($K291=AO$3,ROUND(IF(OR($C291="W",$C291="1/2W",$C291="1/2L"),$P291-$O291,IF($C291="X",0,-$O291)),2),0)</f>
        <v>0</v>
      </c>
      <c r="AP291" s="198">
        <f>IF($K291=AP$3,ROUND(IF(OR($C291="W",$C291="1/2W",$C291="1/2L"),$P291-$O291,IF($C291="X",0,-$O291)),2),0)</f>
        <v>0</v>
      </c>
      <c r="AQ291" s="198">
        <f>IF($K291=AQ$3,ROUND(IF(OR($C291="W",$C291="1/2W",$C291="1/2L"),$P291-$O291,IF($C291="X",0,-$O291)),2),0)</f>
        <v>0</v>
      </c>
      <c r="AR291" s="199">
        <f>IF($K291=AR$3,ROUND(IF(OR($C291="W",$C291="1/2W",$C291="1/2L"),$P291-$O291,IF($C291="X",0,-$O291)),2),0)</f>
        <v>0</v>
      </c>
      <c r="AS291" s="197">
        <f>IF(AND($B289=" ",$K291=AS$3),$O291,0)</f>
        <v>0</v>
      </c>
      <c r="AT291" s="198">
        <f>IF(AND($B289=" ",K291=AT$3),$O291,0)</f>
        <v>0</v>
      </c>
      <c r="AU291" s="198">
        <f>IF(AND($B289=" ",$K291=AU$3),$O291,0)</f>
        <v>0</v>
      </c>
      <c r="AV291" s="198">
        <f>IF(AND($B289=" ",$K291=AV$3),$O291,0)</f>
        <v>0</v>
      </c>
      <c r="AW291" s="198">
        <f>IF(AND($B289=" ",$K291=AW$3),$O291,0)</f>
        <v>0</v>
      </c>
      <c r="AX291" s="198">
        <f>IF(AND($B289=" ",$K291=AX$3),$O291,0)</f>
        <v>0</v>
      </c>
      <c r="AY291" s="200">
        <f>IF(AND($B289=" ",$K291=AY$3),$O291,0)</f>
        <v>0</v>
      </c>
      <c r="AZ291" s="201">
        <f>IF(AND($B289=" ",$K291=AZ$3),$O291,0)</f>
        <v>0</v>
      </c>
      <c r="BA291" s="201">
        <f>IF(AND($B289=" ",$K291=BA$3),$O291,0)</f>
        <v>0</v>
      </c>
      <c r="BB291" s="201">
        <f>IF(AND($B289=" ",$K291=BB$3),$O291,0)</f>
        <v>0</v>
      </c>
      <c r="BC291" s="202">
        <f>IF(AND($B289=" ",$K291=BC$3),$O291,0)</f>
        <v>0</v>
      </c>
      <c r="BD291" s="198">
        <f>IF(AND($B289=" ",$K291=BD$3),$O291,0)</f>
        <v>0</v>
      </c>
      <c r="BE291" s="199">
        <f>IF(AND($B289=" ",$K291=BE$3),$O291,0)</f>
        <v>0</v>
      </c>
      <c r="BF291" s="197">
        <f>IF($K291=BF$3,IF($C291="X",0,$O291),0)</f>
        <v>0</v>
      </c>
      <c r="BG291" s="198">
        <f>IF($K291=BG$3,IF($C291="X",0,$O291),0)</f>
        <v>0</v>
      </c>
      <c r="BH291" s="198">
        <f>IF($K291=BH$3,IF($C291="X",0,$O291),0)</f>
        <v>0</v>
      </c>
      <c r="BI291" s="198">
        <f>IF($K291=BI$3,IF($C291="X",0,$O291),0)</f>
        <v>0</v>
      </c>
      <c r="BJ291" s="198">
        <f>IF($K291=BJ$3,IF($C291="X",0,$O291),0)</f>
        <v>0</v>
      </c>
      <c r="BK291" s="198">
        <f>IF($K291=BK$3,IF($C291="X",0,$O291),0)</f>
        <v>0</v>
      </c>
      <c r="BL291" s="198">
        <f>IF($K291=BL$3,IF($C291="X",0,$O291),0)</f>
        <v>0</v>
      </c>
      <c r="BM291" s="200">
        <f>IF($K291=BM$3,IF($C291="X",0,$O291),0)</f>
        <v>0</v>
      </c>
      <c r="BN291" s="201">
        <f>IF($K291=BN$3,IF($C291="X",0,$O291),0)</f>
        <v>0</v>
      </c>
      <c r="BO291" s="201">
        <f>IF($K291=BO$3,IF($C291="X",0,$O291),0)</f>
        <v>0</v>
      </c>
      <c r="BP291" s="201">
        <f>IF($K291=BP$3,IF($C291="X",0,$O291),0)</f>
        <v>0</v>
      </c>
      <c r="BQ291" s="202">
        <f>IF($K291=BQ$3,IF($C291="X",0,$O291),0)</f>
        <v>0</v>
      </c>
      <c r="BR291" s="199">
        <f>IF($K291=BR$3,IF($C291="X",0,$O291),0)</f>
        <v>0</v>
      </c>
      <c r="BS291" s="228"/>
      <c r="BT291" s="229"/>
      <c r="BU291" s="140"/>
      <c r="BV291" s="229"/>
      <c r="BW291" s="140"/>
      <c r="BX291" s="140"/>
      <c r="BY291" s="140"/>
      <c r="BZ291" s="229"/>
      <c r="CA291" s="140"/>
      <c r="CB291" s="140"/>
      <c r="CC291" s="140"/>
      <c r="CD291" s="141"/>
      <c r="CE291" s="142"/>
      <c r="CF291" s="230">
        <f>IF(CF$3=$K291,IF($C291="W",1,IF($C291="1/2W",0.5,0)),0)</f>
        <v>0</v>
      </c>
      <c r="CG291" s="231">
        <f>IF(CF$3=$K291,IF($C291="L",1,IF($C291="1/2L",0.5,0)),0)</f>
        <v>0</v>
      </c>
      <c r="CH291" s="231">
        <f>IF(CH$3=$K291,IF($C291="W",1,IF($C291="1/2W",0.5,0)),0)</f>
        <v>0</v>
      </c>
      <c r="CI291" s="231">
        <f>IF(CH$3=$K291,IF($C291="L",1,IF($C291="1/2L",0.5,0)),0)</f>
        <v>0</v>
      </c>
      <c r="CJ291" s="231">
        <f>IF(CJ$3=$K291,IF($C291="W",1,IF($C291="1/2W",0.5,0)),0)</f>
        <v>0</v>
      </c>
      <c r="CK291" s="231">
        <f>IF(CJ$3=$K291,IF($C291="L",1,IF($C291="1/2L",0.5,0)),0)</f>
        <v>0</v>
      </c>
      <c r="CL291" s="231">
        <f>IF(CL$3=$K291,IF($C291="W",1,IF($C291="1/2W",0.5,0)),0)</f>
        <v>0</v>
      </c>
      <c r="CM291" s="231">
        <f>IF(CL$3=$K291,IF($C291="L",1,IF($C291="1/2L",0.5,0)),0)</f>
        <v>0</v>
      </c>
      <c r="CN291" s="231">
        <f>IF(CN$3=$K291,IF($C291="W",1,IF($C291="1/2W",0.5,0)),0)</f>
        <v>0</v>
      </c>
      <c r="CO291" s="231">
        <f>IF(CN$3=$K291,IF($C291="L",1,IF($C291="1/2L",0.5,0)),0)</f>
        <v>0</v>
      </c>
      <c r="CP291" s="231">
        <f>IF(CP$3=$K291,IF($C291="W",1,IF($C291="1/2W",0.5,0)),0)</f>
        <v>0</v>
      </c>
      <c r="CQ291" s="231">
        <f>IF(CP$3=$K291,IF($C291="L",1,IF($C291="1/2L",0.5,0)),0)</f>
        <v>0</v>
      </c>
      <c r="CR291" s="231">
        <f>IF(CR$3=$K291,IF($C291="W",1,IF($C291="1/2W",0.5,0)),0)</f>
        <v>0</v>
      </c>
      <c r="CS291" s="231">
        <f>IF(CR$3=$K291,IF($C291="L",1,IF($C291="1/2L",0.5,0)),0)</f>
        <v>0</v>
      </c>
      <c r="CT291" s="208">
        <f>IF(CT$3=$K291,IF($C291="W",1,IF($C291="1/2W",0.5,0)),0)</f>
        <v>0</v>
      </c>
      <c r="CU291" s="209">
        <f>IF(CT$3=$K291,IF($C291="L",1,IF($C291="1/2L",0.5,0)),0)</f>
        <v>0</v>
      </c>
      <c r="CV291" s="209">
        <f>IF(CV$3=$K291,IF($C291="W",1,IF($C291="1/2W",0.5,0)),0)</f>
        <v>0</v>
      </c>
      <c r="CW291" s="209">
        <f>IF(CV$3=$K291,IF($C291="L",1,IF($C291="1/2L",0.5,0)),0)</f>
        <v>0</v>
      </c>
      <c r="CX291" s="209">
        <f>IF(CX$3=$K291,IF($C291="W",1,IF($C291="1/2W",0.5,0)),0)</f>
        <v>0</v>
      </c>
      <c r="CY291" s="209">
        <f>IF(CX$3=$K291,IF($C291="L",1,IF($C291="1/2L",0.5,0)),0)</f>
        <v>0</v>
      </c>
      <c r="CZ291" s="209">
        <f>IF(CZ$3=$K291,IF($C291="W",1,IF($C291="1/2W",0.5,0)),0)</f>
        <v>0</v>
      </c>
      <c r="DA291" s="209">
        <f>IF(CZ$3=$K291,IF($C291="L",1,IF($C291="1/2L",0.5,0)),0)</f>
        <v>0</v>
      </c>
      <c r="DB291" s="209">
        <f>IF(DB$3=$K291,IF($C291="W",1,IF($C291="1/2W",0.5,0)),0)</f>
        <v>0</v>
      </c>
      <c r="DC291" s="209">
        <f>IF(DB$3=$K291,IF($C291="L",1,IF($C291="1/2L",0.5,0)),0)</f>
        <v>0</v>
      </c>
      <c r="DD291" s="209">
        <f>IF(DD$3=$K291,IF($C291="W",1,IF($C291="1/2W",0.5,0)),0)</f>
        <v>0</v>
      </c>
      <c r="DE291" s="210">
        <f>IF(DD$3=$K291,IF($C291="L",1,IF($C291="1/2L",0.5,0)),0)</f>
        <v>0</v>
      </c>
      <c r="DF291" s="211">
        <f>IF(AND(L291&lt;DF$3,$C291="W"),1+DF290,DF290)</f>
        <v>11</v>
      </c>
      <c r="DG291" s="198">
        <f>IF(DF291&gt;DF290,L291+DG290,DG290)</f>
        <v>14.518</v>
      </c>
      <c r="DH291" s="209">
        <f>IF(AND(L291&gt;DH$3,$C291="W"),1+DH290,0+DH290)</f>
        <v>6</v>
      </c>
      <c r="DI291" s="198">
        <f>IF(DH291&gt;DH290,L291+DI290,DI290)</f>
        <v>30.83</v>
      </c>
      <c r="DJ291" t="s" s="306">
        <f>IF($D289="","",$D289)</f>
        <v>229</v>
      </c>
      <c r="DK291" s="232"/>
    </row>
    <row r="292" ht="14.55" customHeight="1">
      <c r="A292" s="246">
        <f>$A289+1</f>
        <v>97</v>
      </c>
      <c r="B292" t="s" s="247">
        <f>IF(AND(_xlfn.XLOOKUP(H292,H$94:H154,G$94:G154,0)=G292,_xlfn.XLOOKUP("TempoBet",K292:K294,L292:L294,0)&gt;0),"X",IF(OR(C292="W",C293="W",C294="W",C292="1/2W",C293="1/2W",C294="1/2W",C292="1/2L",C293="1/2L",C294="1/2L"),"OK",IF(OR(C292="L",C293="L",C294="L"),"LOSS",IF(OR(C292="X",C293="X",C294="X"),"Anulado"," "))))</f>
        <v>50</v>
      </c>
      <c r="C292" t="s" s="248">
        <v>56</v>
      </c>
      <c r="D292" t="s" s="303">
        <f>IF(G292="","",$D289)</f>
        <v>229</v>
      </c>
      <c r="E292" t="s" s="250">
        <v>158</v>
      </c>
      <c r="F292" t="s" s="302"/>
      <c r="G292" s="252">
        <v>44946.625</v>
      </c>
      <c r="H292" t="s" s="253">
        <v>263</v>
      </c>
      <c r="I292" s="292">
        <v>1</v>
      </c>
      <c r="J292" s="293"/>
      <c r="K292" t="s" s="256">
        <v>38</v>
      </c>
      <c r="L292" s="257">
        <v>1.2</v>
      </c>
      <c r="M292" s="258">
        <v>57.9</v>
      </c>
      <c r="N292" s="259">
        <v>1</v>
      </c>
      <c r="O292" s="260">
        <f>IF(OR(AE292="",AE293=""),"",ROUND(IF(L294&gt;0,IF(M292&gt;0,M292,IF(M293&gt;0,ROUND((M293*AE292)/AE293,IF(N292=0,2,IF(N292=0.1,1,0))),ROUND((M294*AE292)/AE294,IF(N292=0,2,IF(N292=0.1,1,0))))),IF(M292&gt;0,M292,ROUND((M293*AE292)/AE293,IF(N292=0,2,IF(N292=0.1,1,0))))),2))</f>
        <v>57.9</v>
      </c>
      <c r="P292" s="261">
        <f>IF(OR(L292="",O292=""),"",IF($C292="1/2W",O292/2+O292/2*L292,IF($C292="1/2L",O292/2,IF(I292="Lay",(O292*(L292/(L292-1))-O292)*(1-_xlfn.XLOOKUP(K292,'Janeiro 2023 - Valor Real'!A3:A15,'Janeiro 2023 - Valor Real'!C3:C15,0))+O292,(O292*L292-O292)*(1-_xlfn.XLOOKUP(K292,'Janeiro 2023 - Valor Real'!A3:A15,'Janeiro 2023 - Valor Real'!C3:C15,0))+O292))))</f>
        <v>69.48</v>
      </c>
      <c r="Q292" s="262">
        <f>IF(K292="","",IF(_xlfn.XLOOKUP(K292,K$94:K154,DJ$94:DJ154,0,,-1)=DJ292,_xlfn.XLOOKUP(K292,K$94:K154,Q$94:Q154,1,,-1)+1,1))</f>
        <v>1</v>
      </c>
      <c r="R292" s="263">
        <f>IF(K292="","",_xlfn.XLOOKUP(K292,K$94:K154,R$94:R154,0,,-1)+IF($C292=" ",1,0))</f>
        <v>0</v>
      </c>
      <c r="S292" s="264">
        <f>IF($B292="Anulado",0,ROUND(IF(OR($B292="LOSS",$B292="OK"),IF(OR($C292="W",$C292="1/2W",$C292="1/2L"),P292-O292,IF($C292="L",-O292,0))+IF(OR($C293="W",$C293="1/2W",$C293="1/2L"),P293-O293,IF($C293="L",-O293,0))+IF(OR($C294="W",$C294="1/2W",$C294="1/2L"),P294-O294,IF($C294="L",-O294,0)),IF(AND(OR($C292="W",$C292="1/2W",$C292="1/2L"),C293="W"),P292+P293-SUM(O292:O294)+_xlfn.XLOOKUP("X",C292:C294,O292:O294,0),IF(AND(C292=TRUE,C294="W"),P292+P294-SUM(O292:O294),IF(AND(C293="W",C294="W"),P293+P294-SUM(O292:O294)+_xlfn.XLOOKUP("X",C292:C294,O292:O294,0),IF(L294&gt;0,IF(OR($C292="W",$C292="1/2W",$C292="1/2L"),P292-SUM(O292:O294)+_xlfn.XLOOKUP("X",C292:C294,O292:O294,0),IF(OR($C292="W",$C292="1/2W",$C292="1/2L"),P293-SUM(O292:O294)+_xlfn.XLOOKUP("X",C292:C294,O292:O294,0),IF(OR($C292="W",$C292="1/2W",$C292="1/2L"),P294-SUM(O292:O294)+_xlfn.XLOOKUP("X",C292:C294,O292:O294,0),IF(SUM(P292:P294)/3-SUM(O292:O294)+_xlfn.XLOOKUP("X",C292:C294,O292:O294,0)&gt;0,SUM(P292:P294)/3-SUM(O292:O294)+_xlfn.XLOOKUP("X",C292:C294,O292:O294,0),LARGE(P292:P294,1)-SUM(O292:O294))))),IF(OR($C292="W",$C292="1/2W",$C292="1/2L"),P292-SUM(O292:O293)+_xlfn.XLOOKUP("X",C292:C294,O292:O294,0),IF(OR($C292="W",$C292="1/2W",$C292="1/2L"),P293-SUM(O292:O293)+_xlfn.XLOOKUP("X",C292:C294,O292:O294,0),SUM(P292:P293)/2-SUM(O292:O293)+_xlfn.XLOOKUP("X",C292:C294,O292:O294,0)))))))),2))</f>
        <v>4.58</v>
      </c>
      <c r="T292" s="265">
        <f>IF(S292=0,0,S292/SUM(O292:O294))</f>
        <v>0.0705701078582435</v>
      </c>
      <c r="U292" s="266">
        <f>IF($D292=$D289,IF(OR($B292="LOSS",$B292="OK",$B292="Anulada"),S292,0)+U289,IF(OR($B292="LOSS",$B292="OK",$B292="Anulada"),S292,0))</f>
        <v>20.59</v>
      </c>
      <c r="V292" s="266">
        <f>IF($D292="",0,IF($D292=$D289,IF($B292=" ",IF(I294="",IF(OR(AND(I292="DNB1",I293="DNB2"),AND(OR(I292="DNB1",I292="DNB2"),J293=0),AND(OR(I293="DNB1",I293="DNB2"),J292=0),AND(I292="DNB2",I293="DNB1"),AND(IF(J292=0,(J292+1)/ROUND(J292+1,0),J292/ROUND(J292,0))=1,IF(J293=0,(J293+1)/ROUND(IF(J293="",0,J293)+1,0),IF(J293="",0,J293)/ROUND(IF(J293="",1,J293),0))=1,OR(J292&lt;&gt;""),J293&lt;&gt;"")),0,IF(S292&lt;0,IF(I294="",SMALL(P292:P293,1)-SUM(O292:O293),0),SMALL(P292:P293,1)-SUM(O292:O293))),IF(S292&lt;0,IF(I294="",SMALL(P292:P294,1)-SUM(O292:O294),0),LARGE(P292:P294,1)-SUM(O292:O294))),S292)+V289,IF(I294="",IF(OR(AND(I292="DNB1",I293="DNB2"),AND(OR(I292="DNB1",I292="DNB2"),J293=0),AND(OR(I293="DNB1",I293="DNB2"),J292=0),AND(I292="DNB2",I293="DNB1"),AND(IF(J292=0,(J292+1)/ROUND(J292+1,0),J292/ROUND(J292,0))=1,IF(J293=0,(IF(J293="",0,J293)+1)/ROUND(IF(J293="",0,J293)+1,0),IF(J293="",0,J293)/ROUND(IF(J293="",0,J293)+1,0))=1,OR(J292&lt;&gt;""),J293&lt;&gt;"")),0,IF(S292&lt;0,IF(I294="",SMALL(P292:P293,1)-SUM(O292:O293),0),SMALL(P292:P294,1)-SUM(O292:O294))),IF(S292&lt;0,IF(I294="",SMALL(P292:P294,1)-SUM(O292:O294),0),LARGE(P292:P294,1)-SUM(O292:O294)))))</f>
        <v>20.586</v>
      </c>
      <c r="W292" s="266">
        <f>IF($D292=$D289,IF(S292&lt;0,IF(I294="",S292,0),S292)+W289,S292)</f>
        <v>20.59</v>
      </c>
      <c r="X292" t="s" s="267">
        <f>IF(OR(SUM(R292:R294)=0,V292=W292),ROUND(IF(W292=0,0,W292/Y292)*100,2)&amp;"%",ROUND(IF(V292=0,0,V292/Y292)*100,2)&amp;"% a "&amp;ROUND(IF(W292=0,0,W292/Y292)*100,2)&amp;"%")</f>
        <v>264</v>
      </c>
      <c r="Y292" s="268">
        <f>IF($D292=$D289,Y289+SUM(O292:O294),SUM(O292:O294))</f>
        <v>676.42</v>
      </c>
      <c r="Z292" s="266">
        <f>IF($B292=" ",SUM(O292:O294),0)+Z289</f>
        <v>0</v>
      </c>
      <c r="AA292" s="266">
        <f>IF(G292="","",IF($B292="Anulado",LARGE(P292:P294,1)-SUM(O292:O294)+AA289,AA289))</f>
        <v>16.5099</v>
      </c>
      <c r="AB292" s="266">
        <f>IF($D292="","",AB289+S292)</f>
        <v>222.76</v>
      </c>
      <c r="AC292" s="269">
        <f>IF($D292="","",IF($B292=" ",IF(DAY(G292)=DAY(TODAY()),1+AC289,0+AC289),0+AC289))</f>
        <v>0</v>
      </c>
      <c r="AD292" s="270">
        <f>(1-_xlfn.XLOOKUP(K290,'Janeiro 2023 - Valor Real'!A3:A15,'Janeiro 2023 - Valor Real'!C3:C15,0))+1</f>
        <v>2</v>
      </c>
      <c r="AE292" s="271">
        <f>IF(L292="","",IF(L294&gt;0,(SUM(((L292-1)*(1-_xlfn.XLOOKUP(K292,'Janeiro 2023 - Valor Real'!A3:A15,'Janeiro 2023 - Valor Real'!C3:C15,0))+1),((L293-1)*(1-_xlfn.XLOOKUP(K293,'Janeiro 2023 - Valor Real'!A3:A15,'Janeiro 2023 - Valor Real'!C3:C15,0))+1),((L294-1)*(1-_xlfn.XLOOKUP(K294,'Janeiro 2023 - Valor Real'!A3:A15,'Janeiro 2023 - Valor Real'!C3:C15,0))+1))/((L292-1)*(1-_xlfn.XLOOKUP(K292,'Janeiro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Real'!C3:C15,0))+1))/((L292-1)*(1-_xlfn.XLOOKUP(K292,'Janeiro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Real'!C3:C15,0))+1))/((L293-1)*(1-_xlfn.XLOOKUP(K293,'Janeiro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Real'!C3:C15,0))+1))/((L294-1)*(1-_xlfn.XLOOKUP(K294,'Janeiro 2023 - Valor Real'!A3:A15,'Janeiro 2023 - Valor Real'!C3:C15,0))+1)),IF(I292="Lay",IF(I293="Lay",((L293/(L293-1)-1)*(1-_xlfn.XLOOKUP(K293,'Janeiro 2023 - Valor Real'!A3:A15,'Janeiro 2023 - Valor Real'!C3:C15,0))+1)/(((L293/(L293-1)-1)*(1-_xlfn.XLOOKUP(K293,'Janeiro 2023 - Valor Real'!A3:A15,'Janeiro 2023 - Valor Real'!C3:C15,0))+1)+((L292/(L292-1)-1)*(1-_xlfn.XLOOKUP(K292,'Janeiro 2023 - Valor Real'!A3:A15,'Janeiro 2023 - Valor Real'!C3:C15,0))+1)),((L293-1)*(1-_xlfn.XLOOKUP(K293,'Janeiro 2023 - Valor Real'!A3:A15,'Janeiro 2023 - Valor Real'!C3:C15,0))+1)/(((L293-1)*(1-_xlfn.XLOOKUP(K293,'Janeiro 2023 - Valor Real'!A3:A15,'Janeiro 2023 - Valor Real'!C3:C15,0))+1)+((L292/(L292-1)-1)*(1-_xlfn.XLOOKUP(K292,'Janeiro 2023 - Valor Real'!A3:A15,'Janeiro 2023 - Valor Real'!C3:C15,0))+1))),IF(I293="Lay",(((L293/(L293-1)-1)*(1-_xlfn.XLOOKUP(K293,'Janeiro 2023 - Valor Real'!A3:A15,'Janeiro 2023 - Valor Real'!C3:C15,0))+1))/(((L292-1)*(1-_xlfn.XLOOKUP(K292,'Janeiro 2023 - Valor Real'!A3:A15,'Janeiro 2023 - Valor Real'!C3:C15,0))+1)+((L293/(L293-1)-1)*(1-_xlfn.XLOOKUP(K293,'Janeiro 2023 - Valor Real'!A3:A15,'Janeiro 2023 - Valor Real'!C3:C15,0))+1)),((L293-1)*(1-_xlfn.XLOOKUP(K293,'Janeiro 2023 - Valor Real'!A3:A15,'Janeiro 2023 - Valor Real'!C3:C15,0))+1)/(((L293-1)*(1-_xlfn.XLOOKUP(K293,'Janeiro 2023 - Valor Real'!A3:A15,'Janeiro 2023 - Valor Real'!C3:C15,0))+1)+((L292-1)*(1-_xlfn.XLOOKUP(K292,'Janeiro 2023 - Valor Real'!A3:A15,'Janeiro 2023 - Valor Real'!C3:C15,0))+1))))))</f>
        <v>0.890909090909091</v>
      </c>
      <c r="AF292" s="132">
        <f>IF($K292=AF$3,ROUND(IF(OR($C292="W",$C292="1/2W",$C292="1/2L"),$P292-$O292,IF($C292="X",0,-$O292)),2),0)</f>
        <v>0</v>
      </c>
      <c r="AG292" s="133">
        <f>IF($K292=AG$3,ROUND(IF(OR($C292="W",$C292="1/2W",$C292="1/2L"),$P292-$O292,IF($C292="X",0,-$O292)),2),0)</f>
        <v>11.58</v>
      </c>
      <c r="AH292" s="133">
        <f>IF($K292=AH$3,ROUND(IF(OR($C292="W",$C292="1/2W",$C292="1/2L"),$P292-$O292,IF($C292="X",0,-$O292)),2),0)</f>
        <v>0</v>
      </c>
      <c r="AI292" s="133">
        <f>IF($K292=AI$3,ROUND(IF(OR($C292="W",$C292="1/2W",$C292="1/2L"),$P292-$O292,IF($C292="X",0,-$O292)),2),0)</f>
        <v>0</v>
      </c>
      <c r="AJ292" s="133">
        <f>IF($K292=AJ$3,ROUND(IF(OR($C292="W",$C292="1/2W",$C292="1/2L"),$P292-$O292,IF($C292="X",0,-$O292)),2),0)</f>
        <v>0</v>
      </c>
      <c r="AK292" s="133">
        <f>IF($K292=AK$3,ROUND(IF(OR($C292="W",$C292="1/2W",$C292="1/2L"),$P292-$O292,IF($C292="X",0,-$O292)),2),0)</f>
        <v>0</v>
      </c>
      <c r="AL292" s="133">
        <f>IF($K292=AL$3,ROUND(IF(OR($C292="W",$C292="1/2W",$C292="1/2L"),$P292-$O292,IF($C292="X",0,-$O292)),2),0)</f>
        <v>0</v>
      </c>
      <c r="AM292" s="133">
        <f>IF($K292=AM$3,ROUND(IF(OR($C292="W",$C292="1/2W",$C292="1/2L"),$P292-$O292,IF($C292="X",0,-$O292)),2),0)</f>
        <v>0</v>
      </c>
      <c r="AN292" s="133">
        <f>IF($K292=AN$3,ROUND(IF(OR($C292="W",$C292="1/2W",$C292="1/2L"),$P292-$O292,IF($C292="X",0,-$O292)),2),0)</f>
        <v>0</v>
      </c>
      <c r="AO292" s="133">
        <f>IF($K292=AO$3,ROUND(IF(OR($C292="W",$C292="1/2W",$C292="1/2L"),$P292-$O292,IF($C292="X",0,-$O292)),2),0)</f>
        <v>0</v>
      </c>
      <c r="AP292" s="133">
        <f>IF($K292=AP$3,ROUND(IF(OR($C292="W",$C292="1/2W",$C292="1/2L"),$P292-$O292,IF($C292="X",0,-$O292)),2),0)</f>
        <v>0</v>
      </c>
      <c r="AQ292" s="133">
        <f>IF($K292=AQ$3,ROUND(IF(OR($C292="W",$C292="1/2W",$C292="1/2L"),$P292-$O292,IF($C292="X",0,-$O292)),2),0)</f>
        <v>0</v>
      </c>
      <c r="AR292" s="134">
        <f>IF($K292=AR$3,ROUND(IF(OR($C292="W",$C292="1/2W",$C292="1/2L"),$P292-$O292,IF($C292="X",0,-$O292)),2),0)</f>
        <v>0</v>
      </c>
      <c r="AS292" s="132">
        <f>IF(AND($B292=" ",$K292=AS$3),$O292,0)</f>
        <v>0</v>
      </c>
      <c r="AT292" s="133">
        <f>IF(AND($B292=" ",$K292=AT$3),$O292,0)</f>
        <v>0</v>
      </c>
      <c r="AU292" s="133">
        <f>IF(AND($B292=" ",$K292=AU$3),$O292,0)</f>
        <v>0</v>
      </c>
      <c r="AV292" s="133">
        <f>IF(AND($B292=" ",$K292=AV$3),$O292,0)</f>
        <v>0</v>
      </c>
      <c r="AW292" s="133">
        <f>IF(AND($B292=" ",$K292=AW$3),$O292,0)</f>
        <v>0</v>
      </c>
      <c r="AX292" s="133">
        <f>IF(AND($B292=" ",$K292=AX$3),$O292,0)</f>
        <v>0</v>
      </c>
      <c r="AY292" s="135">
        <f>IF(AND($B292=" ",$K292=AY$3),$O292,0)</f>
        <v>0</v>
      </c>
      <c r="AZ292" s="136">
        <f>IF(AND($B292=" ",$K292=AZ$3),$O292,0)</f>
        <v>0</v>
      </c>
      <c r="BA292" s="136">
        <f>IF(AND($B292=" ",$K292=BA$3),$O292,0)</f>
        <v>0</v>
      </c>
      <c r="BB292" s="136">
        <f>IF(AND($B292=" ",$K292=BB$3),$O292,0)</f>
        <v>0</v>
      </c>
      <c r="BC292" s="137">
        <f>IF(AND($B292=" ",$K292=BC$3),$O292,0)</f>
        <v>0</v>
      </c>
      <c r="BD292" s="133">
        <f>IF(AND($B292=" ",$K292=BD$3),$O292,0)</f>
        <v>0</v>
      </c>
      <c r="BE292" s="134">
        <f>IF(AND($B292=" ",$K292=BE$3),$O292,0)</f>
        <v>0</v>
      </c>
      <c r="BF292" s="132">
        <f>IF($K292=BF$3,IF($C292="X",0,$O292),0)</f>
        <v>0</v>
      </c>
      <c r="BG292" s="133">
        <f>IF($K292=BG$3,IF($C292="X",0,$O292),0)</f>
        <v>57.9</v>
      </c>
      <c r="BH292" s="133">
        <f>IF($K292=BH$3,IF($C292="X",0,$O292),0)</f>
        <v>0</v>
      </c>
      <c r="BI292" s="133">
        <f>IF($K292=BI$3,IF($C292="X",0,$O292),0)</f>
        <v>0</v>
      </c>
      <c r="BJ292" s="133">
        <f>IF($K292=BJ$3,IF($C292="X",0,$O292),0)</f>
        <v>0</v>
      </c>
      <c r="BK292" s="133">
        <f>IF($K292=BK$3,IF($C292="X",0,$O292),0)</f>
        <v>0</v>
      </c>
      <c r="BL292" s="133">
        <f>IF($K292=BL$3,IF($C292="X",0,$O292),0)</f>
        <v>0</v>
      </c>
      <c r="BM292" s="135">
        <f>IF($K292=BM$3,IF($C292="X",0,$O292),0)</f>
        <v>0</v>
      </c>
      <c r="BN292" s="136">
        <f>IF($K292=BN$3,IF($C292="X",0,$O292),0)</f>
        <v>0</v>
      </c>
      <c r="BO292" s="136">
        <f>IF($K292=BO$3,IF($C292="X",0,$O292),0)</f>
        <v>0</v>
      </c>
      <c r="BP292" s="136">
        <f>IF($K292=BP$3,IF($C292="X",0,$O292),0)</f>
        <v>0</v>
      </c>
      <c r="BQ292" s="137">
        <f>IF($K292=BQ$3,IF($C292="X",0,$O292),0)</f>
        <v>0</v>
      </c>
      <c r="BR292" s="134">
        <f>IF($K292=BR$3,IF($C292="X",0,$O292),0)</f>
        <v>0</v>
      </c>
      <c r="BS292" s="170">
        <f>IF($B292="LOSS",IF(AND($K292=BS$3,$C292="L"),-$O292,0)+IF(AND($K293=BS$3,$C293="L"),-$O293,0)+IF(AND($K294=BS$3,$C294="L"),-$O294,0),IF(OR(AND($K292=BS$3,OR($C292="W",$C292="1/2W")),AND($K293=BS$3,OR($C293="W",$C293="1/2W")),AND($K294=BS$3,OR($C294="W",$C294="1/2W"))),$S292,0))</f>
        <v>0</v>
      </c>
      <c r="BT292" s="272">
        <f>IF($B292="LOSS",IF(AND($K292=BT$3,$C292="L"),-$O292,0)+IF(AND($K293=BT$3,$C293="L"),-$O293,0)+IF(AND($K293=BT$3,$C294="L"),-$O294,0),IF(OR(AND($K293=BT$3,OR($C292="W",$C292="1/2W")),AND($K293=BT$3,OR($C293="W",$C293="1/2W")),AND($K293=BT$3,OR($C294="W",$C294="1/2W"))),$S292,0))</f>
        <v>0</v>
      </c>
      <c r="BU292" s="136">
        <f>IF($B292="LOSS",IF(AND($K292=BU$3,$C292="L"),-$O292,0)+IF(AND($K293=BU$3,$C293="L"),-$O293,0)+IF(AND($K293=BU$3,$C294="L"),-$O294,0),IF(OR(AND($K293=BU$3,OR($C292="W",$C292="1/2W")),AND($K293=BU$3,OR($C293="W",$C293="1/2W")),AND($K293=BU$3,OR($C294="W",$C294="1/2W"))),$S292,0))</f>
        <v>0</v>
      </c>
      <c r="BV292" s="136">
        <f>IF($B292="LOSS",IF(AND($K292=BV$3,$C292="L"),-$O292,0)+IF(AND($K293=BV$3,$C293="L"),-$O293,0)+IF(AND($K294=BV$3,$C294="L"),-$O294,0),IF(OR(AND($K292=BV$3,OR($C292="W",$C292="1/2W")),AND($K293=BV$3,OR($C293="W",$C293="1/2W")),AND($K294=BV$3,OR($C294="W",$C294="1/2W"))),$S292,0))</f>
        <v>0</v>
      </c>
      <c r="BW292" s="136">
        <f>IF($B292="LOSS",IF(AND($K292=BW$3,$C292="L"),-$O292,0)+IF(AND($K293=BW$3,$C293="L"),-$O293,0)+IF(AND($K294=BW$3,$C294="L"),-$O294,0),IF(OR(AND($K292=BW$3,OR($C292="W",$C292="1/2W")),AND($K293=BW$3,OR($C293="W",$C293="1/2W")),AND($K294=BW$3,OR($C294="W",$C294="1/2W"))),$S292,0))</f>
        <v>0</v>
      </c>
      <c r="BX292" s="136">
        <f>IF($B292="LOSS",IF(AND($K292=BX$3,$C292="L"),-$O292,0)+IF(AND($K293=BX$3,$C293="L"),-$O293,0)+IF(AND($K294=BX$3,$C294="L"),-$O294,0),IF(OR(AND($K292=BX$3,OR($C292="W",$C292="1/2W")),AND($K293=BX$3,OR($C293="W",$C293="1/2W")),AND($K294=BX$3,OR($C294="W",$C294="1/2W"))),$S292,0))</f>
        <v>0</v>
      </c>
      <c r="BY292" s="136">
        <f>IF($B292="LOSS",IF(AND($K292=BY$3,$C292="L"),-$O292,0)+IF(AND($K293=BY$3,$C293="L"),-$O293,0)+IF(AND($K294=BY$3,$C294="L"),-$O294,0),IF(OR(AND($K292=BY$3,OR($C292="W",$C292="1/2W")),AND($K293=BY$3,OR($C293="W",$C293="1/2W")),AND($K294=BY$3,OR($C294="W",$C294="1/2W"))),$S292,0))</f>
        <v>0</v>
      </c>
      <c r="BZ292" s="136">
        <f>IF($B292="LOSS",IF(AND($K292=BZ$3,$C292="L"),-$O292,0)+IF(AND($K293=BZ$3,$C293="L"),-$O293,0)+IF(AND($K294=BZ$3,$C294="L"),-$O294,0),IF(OR(AND($K292=BZ$3,OR($C292="W",$C292="1/2W")),AND($K293=BZ$3,OR($C293="W",$C293="1/2W")),AND($K294=BZ$3,OR($C294="W",$C294="1/2W"))),$S292,0))</f>
        <v>0</v>
      </c>
      <c r="CA292" s="136">
        <f>IF($B292="LOSS",IF(AND($K292=CA$3,$C292="L"),-$O292,0)+IF(AND($K293=CA$3,$C293="L"),-$O293,0)+IF(AND($K294=CA$3,$C294="L"),-$O294,0),IF(OR(AND($K292=CA$3,OR($C292="W",$C292="1/2W")),AND($K293=CA$3,OR($C293="W",$C293="1/2W")),AND($K294=CA$3,OR($C294="W",$C294="1/2W"))),$S292,0))</f>
        <v>0</v>
      </c>
      <c r="CB292" s="136">
        <f>IF($B292="LOSS",IF(AND($K292=CB$3,$C292="L"),-$O292,0)+IF(AND($K293=CB$3,$C293="L"),-$O293,0)+IF(AND($K294=CB$3,$C294="L"),-$O294,0),IF(OR(AND($K292=CB$3,OR($C292="W",$C292="1/2W")),AND($K293=CB$3,OR($C293="W",$C293="1/2W")),AND($K294=CB$3,OR($C294="W",$C294="1/2W"))),$S292,0))</f>
        <v>0</v>
      </c>
      <c r="CC292" s="136">
        <f>IF($B292="LOSS",IF(AND($K292=CC$3,$C292="L"),-$O292,0)+IF(AND($K293=CC$3,$C293="L"),-$O293,0)+IF(AND($K294=CC$3,$C294="L"),-$O294,0),IF(OR(AND($K292=CC$3,OR($C292="W",$C292="1/2W")),AND($K293=CC$3,OR($C293="W",$C293="1/2W")),AND($K294=CC$3,OR($C294="W",$C294="1/2W"))),$S292,0))</f>
        <v>0</v>
      </c>
      <c r="CD292" s="137">
        <f>IF($B292="LOSS",IF(AND($K292=CD$3,$C292="L"),-$O292,0)+IF(AND($K293=CD$3,$C293="L"),-$O293,0)+IF(AND($K294=CD$3,$C294="L"),-$O294,0),IF(OR(AND($K292=CD$3,OR($C292="W",$C292="1/2W")),AND($K293=CD$3,OR($C293="W",$C293="1/2W")),AND($K294=CD$3,OR($C294="W",$C294="1/2W"))),$S292,0))</f>
        <v>0</v>
      </c>
      <c r="CE292" s="134">
        <f>IF($B292="LOSS",IF(AND($K292=CE$3,$C292="L"),-$O292,0)+IF(AND($K293=CE$3,$C293="L"),-$O293,0)+IF(AND($K294=CE$3,$C294="L"),-$O294,0),IF(OR(AND($K292=CE$3,OR($C292="W",$C292="1/2W")),AND($K293=CE$3,OR($C293="W",$C293="1/2W")),AND($K294=CE$3,OR($C294="W",$C294="1/2W"))),$S292,0))</f>
        <v>0</v>
      </c>
      <c r="CF292" s="273">
        <f>IF(CF$3=$K292,IF($C292="W",1,IF($C292="1/2W",0.5,0)),0)</f>
        <v>0</v>
      </c>
      <c r="CG292" s="274">
        <f>IF(CF$3=$K292,IF($C292="L",1,IF($C292="1/2L",0.5,0)),0)</f>
        <v>0</v>
      </c>
      <c r="CH292" s="274">
        <f>IF(CH$3=$K292,IF($C292="W",1,IF($C292="1/2W",0.5,0)),0)</f>
        <v>1</v>
      </c>
      <c r="CI292" s="274">
        <f>IF(CH$3=$K292,IF($C292="L",1,IF($C292="1/2L",0.5,0)),0)</f>
        <v>0</v>
      </c>
      <c r="CJ292" s="274">
        <f>IF(CJ$3=$K292,IF($C292="W",1,IF($C292="1/2W",0.5,0)),0)</f>
        <v>0</v>
      </c>
      <c r="CK292" s="274">
        <f>IF(CJ$3=$K292,IF($C292="L",1,IF($C292="1/2L",0.5,0)),0)</f>
        <v>0</v>
      </c>
      <c r="CL292" s="274">
        <f>IF(CL$3=$K292,IF($C292="W",1,IF($C292="1/2W",0.5,0)),0)</f>
        <v>0</v>
      </c>
      <c r="CM292" s="274">
        <f>IF(CL$3=$K292,IF($C292="L",1,IF($C292="1/2L",0.5,0)),0)</f>
        <v>0</v>
      </c>
      <c r="CN292" s="274">
        <f>IF(CN$3=$K292,IF($C292="W",1,IF($C292="1/2W",0.5,0)),0)</f>
        <v>0</v>
      </c>
      <c r="CO292" s="274">
        <f>IF(CN$3=$K292,IF($C292="L",1,IF($C292="1/2L",0.5,0)),0)</f>
        <v>0</v>
      </c>
      <c r="CP292" s="274">
        <f>IF(CP$3=$K292,IF($C292="W",1,IF($C292="1/2W",0.5,0)),0)</f>
        <v>0</v>
      </c>
      <c r="CQ292" s="274">
        <f>IF(CP$3=$K292,IF($C292="L",1,IF($C292="1/2L",0.5,0)),0)</f>
        <v>0</v>
      </c>
      <c r="CR292" s="274">
        <f>IF(CR$3=$K292,IF($C292="W",1,IF($C292="1/2W",0.5,0)),0)</f>
        <v>0</v>
      </c>
      <c r="CS292" s="274">
        <f>IF(CR$3=$K292,IF($C292="L",1,IF($C292="1/2L",0.5,0)),0)</f>
        <v>0</v>
      </c>
      <c r="CT292" s="145">
        <f>IF(CT$3=$K292,IF($C292="W",1,IF($C292="1/2W",0.5,0)),0)</f>
        <v>0</v>
      </c>
      <c r="CU292" s="146">
        <f>IF(CT$3=$K292,IF($C292="L",1,IF($C292="1/2L",0.5,0)),0)</f>
        <v>0</v>
      </c>
      <c r="CV292" s="146">
        <f>IF(CV$3=$K292,IF($C292="W",1,IF($C292="1/2W",0.5,0)),0)</f>
        <v>0</v>
      </c>
      <c r="CW292" s="146">
        <f>IF(CV$3=$K292,IF($C292="L",1,IF($C292="1/2L",0.5,0)),0)</f>
        <v>0</v>
      </c>
      <c r="CX292" s="146">
        <f>IF(CX$3=$K292,IF($C292="W",1,IF($C292="1/2W",0.5,0)),0)</f>
        <v>0</v>
      </c>
      <c r="CY292" s="146">
        <f>IF(CX$3=$K292,IF($C292="L",1,IF($C292="1/2L",0.5,0)),0)</f>
        <v>0</v>
      </c>
      <c r="CZ292" s="146">
        <f>IF(CZ$3=$K292,IF($C292="W",1,IF($C292="1/2W",0.5,0)),0)</f>
        <v>0</v>
      </c>
      <c r="DA292" s="146">
        <f>IF(CZ$3=$K292,IF($C292="L",1,IF($C292="1/2L",0.5,0)),0)</f>
        <v>0</v>
      </c>
      <c r="DB292" s="146">
        <f>IF(DB$3=$K292,IF($C292="W",1,IF($C292="1/2W",0.5,0)),0)</f>
        <v>0</v>
      </c>
      <c r="DC292" s="146">
        <f>IF(DB$3=$K292,IF($C292="L",1,IF($C292="1/2L",0.5,0)),0)</f>
        <v>0</v>
      </c>
      <c r="DD292" s="146">
        <f>IF(DD$3=$K292,IF($C292="W",1,IF($C292="1/2W",0.5,0)),0)</f>
        <v>0</v>
      </c>
      <c r="DE292" s="147">
        <f>IF(DD$3=$K292,IF($C292="L",1,IF($C292="1/2L",0.5,0)),0)</f>
        <v>0</v>
      </c>
      <c r="DF292" s="143">
        <f>IF(AND(L292&lt;DF$3,$C292="W"),1+DF291,DF291)</f>
        <v>12</v>
      </c>
      <c r="DG292" s="133">
        <f>IF(DF292&gt;DF291,L292+DG291,DG291)</f>
        <v>15.718</v>
      </c>
      <c r="DH292" s="146">
        <f>IF(AND(L292&gt;DH$3,$C292="W"),1+DH291,0+DH291)</f>
        <v>6</v>
      </c>
      <c r="DI292" s="133">
        <f>IF(DH292&gt;DH291,L292+DI291,DI291)</f>
        <v>30.83</v>
      </c>
      <c r="DJ292" t="s" s="304">
        <f>IF($D292="","",$D292)</f>
        <v>229</v>
      </c>
      <c r="DK292" s="146">
        <f>IF(AND($B292=" ",$D292&lt;&gt;""),1,0)</f>
        <v>0</v>
      </c>
    </row>
    <row r="293" ht="14.55" customHeight="1">
      <c r="A293" s="107"/>
      <c r="B293" s="108"/>
      <c r="C293" t="s" s="109">
        <v>51</v>
      </c>
      <c r="D293" s="110"/>
      <c r="E293" s="111"/>
      <c r="F293" s="113"/>
      <c r="G293" s="252"/>
      <c r="H293" s="114"/>
      <c r="I293" s="294">
        <v>2</v>
      </c>
      <c r="J293" t="s" s="295"/>
      <c r="K293" t="s" s="117">
        <v>48</v>
      </c>
      <c r="L293" s="277">
        <v>9.800000000000001</v>
      </c>
      <c r="M293" s="278"/>
      <c r="N293" s="120"/>
      <c r="O293" s="121">
        <f>IF(OR(AE292="",AE293=""),"",ROUND(IF(L294&gt;0,IF(M293&gt;0,M293,IF(M292&gt;0,IF(N292=TRUE,ROUND((M292*AE293)/AE292,0),(M292*AE293)/AE292),IF(M293&gt;0,ROUND(M293,IF(N292=0,2,IF(N292=0.1,1,0))),IF(M294&gt;0,ROUND(O294*AE293/AE294,IF(N292=0,2,IF(N292=0.1,1,0))),0)))),IF(M293&gt;0,M293,ROUND((M292*AE293)/AE292,IF(N292=0,2,IF(N292=0.1,1,0))))),2))</f>
        <v>7</v>
      </c>
      <c r="P293" s="122">
        <f>IF(OR(L293="",O293=""),"",IF($C293="1/2W",O293/2+O293/2*L293,IF($C293="1/2L",O293/2,IF(I293="Lay",((O293*(L293/(L293-1)))-O293)*(1-_xlfn.XLOOKUP(K293,'Janeiro 2023 - Valor Real'!A3:A15,'Janeiro 2023 - Valor Real'!C3:C15,0))+O293,(O293*L293-O293)*(1-_xlfn.XLOOKUP(K293,'Janeiro 2023 - Valor Real'!A3:A15,'Janeiro 2023 - Valor Real'!C3:C15,0))+O293))))</f>
        <v>68.59999999999999</v>
      </c>
      <c r="Q293" s="279">
        <f>IF(K293="","",IF(_xlfn.XLOOKUP(K293,K$107:K108,DJ$107:DJ108,0,,-1)=DJ293,_xlfn.XLOOKUP(K293,K$107:K108,Q$107:Q108,1,,-1)+1,1))</f>
        <v>1</v>
      </c>
      <c r="R293" s="280">
        <f>IF(K293="","",_xlfn.XLOOKUP(K293,K$107:K108,R$107:R108,0,,-1)+IF($C293=" ",1,0))</f>
        <v>0</v>
      </c>
      <c r="S293" s="125"/>
      <c r="T293" s="126"/>
      <c r="U293" s="126"/>
      <c r="V293" s="224"/>
      <c r="W293" s="126"/>
      <c r="X293" s="127"/>
      <c r="Y293" s="128"/>
      <c r="Z293" s="129"/>
      <c r="AA293" s="129"/>
      <c r="AB293" s="129"/>
      <c r="AC293" s="129"/>
      <c r="AD293" s="130"/>
      <c r="AE293" s="131">
        <f>IF(L293="","",IF(L294&gt;0,(SUM(((L292-1)*(1-_xlfn.XLOOKUP(K292,'Janeiro 2023 - Valor Real'!A3:A15,'Janeiro 2023 - Valor Real'!C3:C15,0))+1),((L293-1)*(1-_xlfn.XLOOKUP(K293,'Janeiro 2023 - Valor Real'!A3:A15,'Janeiro 2023 - Valor Real'!C3:C15,0))+1),((L294-1)*(1-_xlfn.XLOOKUP(K294,'Janeiro 2023 - Valor Real'!A3:A15,'Janeiro 2023 - Valor Real'!C3:C15,0))+1))/((L293-1)*(1-_xlfn.XLOOKUP(K293,'Janeiro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Real'!C3:C15,0))+1))/((L292-1)*(1-_xlfn.XLOOKUP(K292,'Janeiro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Real'!C3:C15,0))+1))/((L293-1)*(1-_xlfn.XLOOKUP(K293,'Janeiro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Real'!C3:C15,0))+1))/((L294-1)*(1-_xlfn.XLOOKUP(K294,'Janeiro 2023 - Valor Real'!A3:A15,'Janeiro 2023 - Valor Real'!C3:C15,0))+1)),IF(I293="Lay",IF(I292="Lay",((L292/(L292-1)-1)*(1-_xlfn.XLOOKUP(K292,'Janeiro 2023 - Valor Real'!A3:A15,'Janeiro 2023 - Valor Real'!C3:C15,0))+1)/(((L292/(L292-1)-1)*(1-_xlfn.XLOOKUP(K292,'Janeiro 2023 - Valor Real'!A3:A15,'Janeiro 2023 - Valor Real'!C3:C15,0))+1)+((L293/(L293-1)-1)*(1-_xlfn.XLOOKUP(K293,'Janeiro 2023 - Valor Real'!A3:A15,'Janeiro 2023 - Valor Real'!C3:C15,0))+1)),((L292-1)*(1-_xlfn.XLOOKUP(K292,'Janeiro 2023 - Valor Real'!A3:A15,'Janeiro 2023 - Valor Real'!C3:C15,0))+1)/(((L292-1)*(1-_xlfn.XLOOKUP(K292,'Janeiro 2023 - Valor Real'!A3:A15,'Janeiro 2023 - Valor Real'!C3:C15,0))+1)+((L293/(L293-1)-1)*(1-_xlfn.XLOOKUP(K293,'Janeiro 2023 - Valor Real'!A3:A15,'Janeiro 2023 - Valor Real'!C3:C15,0))+1))),IF(I292="Lay",((L292/(L292-1)-1)*(1-_xlfn.XLOOKUP(K292,'Janeiro 2023 - Valor Real'!A3:A15,'Janeiro 2023 - Valor Real'!C3:C15,0))+1)/((((L292/(L292-1)-1)*(1-_xlfn.XLOOKUP(K292,'Janeiro 2023 - Valor Real'!A3:A15,'Janeiro 2023 - Valor Real'!C3:C15,0))+1))+((L293-1)*(1-_xlfn.XLOOKUP(K293,'Janeiro 2023 - Valor Real'!A3:A15,'Janeiro 2023 - Valor Real'!C3:C15,0))+1)),((L292-1)*(1-_xlfn.XLOOKUP(K292,'Janeiro 2023 - Valor Real'!A3:A15,'Janeiro 2023 - Valor Real'!C3:C15,0))+1)/(((L292-1)*(1-_xlfn.XLOOKUP(K292,'Janeiro 2023 - Valor Real'!A3:A15,'Janeiro 2023 - Valor Real'!C3:C15,0))+1)+((L293-1)*(1-_xlfn.XLOOKUP(K293,'Janeiro 2023 - Valor Real'!A3:A15,'Janeiro 2023 - Valor Real'!C3:C15,0))+1))))))</f>
        <v>0.109090909090909</v>
      </c>
      <c r="AF293" s="132">
        <f>IF($K293=AF$3,ROUND(IF(OR($C293="W",$C293="1/2W",$C293="1/2L"),$P293-$O293,IF($C293="X",0,-$O293)),2),0)</f>
        <v>0</v>
      </c>
      <c r="AG293" s="133">
        <f>IF($K293=AG$3,ROUND(IF(OR($C293="W",$C293="1/2W",$C293="1/2L"),$P293-$O293,IF($C293="X",0,-$O293)),2),0)</f>
        <v>0</v>
      </c>
      <c r="AH293" s="133">
        <f>IF($K293=AH$3,ROUND(IF(OR($C293="W",$C293="1/2W",$C293="1/2L"),$P293-$O293,IF($C293="X",0,-$O293)),2),0)</f>
        <v>0</v>
      </c>
      <c r="AI293" s="133">
        <f>IF($K293=AI$3,ROUND(IF(OR($C293="W",$C293="1/2W",$C293="1/2L"),$P293-$O293,IF($C293="X",0,-$O293)),2),0)</f>
        <v>0</v>
      </c>
      <c r="AJ293" s="133">
        <f>IF($K293=AJ$3,ROUND(IF(OR($C293="W",$C293="1/2W",$C293="1/2L"),$P293-$O293,IF($C293="X",0,-$O293)),2),0)</f>
        <v>0</v>
      </c>
      <c r="AK293" s="133">
        <f>IF($K293=AK$3,ROUND(IF(OR($C293="W",$C293="1/2W",$C293="1/2L"),$P293-$O293,IF($C293="X",0,-$O293)),2),0)</f>
        <v>0</v>
      </c>
      <c r="AL293" s="133">
        <f>IF($K293=AL$3,ROUND(IF(OR($C293="W",$C293="1/2W",$C293="1/2L"),$P293-$O293,IF($C293="X",0,-$O293)),2),0)</f>
        <v>0</v>
      </c>
      <c r="AM293" s="133">
        <f>IF($K293=AM$3,ROUND(IF(OR($C293="W",$C293="1/2W",$C293="1/2L"),$P293-$O293,IF($C293="X",0,-$O293)),2),0)</f>
        <v>0</v>
      </c>
      <c r="AN293" s="133">
        <f>IF($K293=AN$3,ROUND(IF(OR($C293="W",$C293="1/2W",$C293="1/2L"),$P293-$O293,IF($C293="X",0,-$O293)),2),0)</f>
        <v>0</v>
      </c>
      <c r="AO293" s="133">
        <f>IF($K293=AO$3,ROUND(IF(OR($C293="W",$C293="1/2W",$C293="1/2L"),$P293-$O293,IF($C293="X",0,-$O293)),2),0)</f>
        <v>0</v>
      </c>
      <c r="AP293" s="133">
        <f>IF($K293=AP$3,ROUND(IF(OR($C293="W",$C293="1/2W",$C293="1/2L"),$P293-$O293,IF($C293="X",0,-$O293)),2),0)</f>
        <v>0</v>
      </c>
      <c r="AQ293" s="133">
        <f>IF($K293=AQ$3,ROUND(IF(OR($C293="W",$C293="1/2W",$C293="1/2L"),$P293-$O293,IF($C293="X",0,-$O293)),2),0)</f>
        <v>-7</v>
      </c>
      <c r="AR293" s="134">
        <f>IF($K293=AR$3,ROUND(IF(OR($C293="W",$C293="1/2W",$C293="1/2L"),$P293-$O293,IF($C293="X",0,-$O293)),2),0)</f>
        <v>0</v>
      </c>
      <c r="AS293" s="132">
        <f>IF(AND($B292=" ",$K293=AS$3),$O293,0)</f>
        <v>0</v>
      </c>
      <c r="AT293" s="133">
        <f>IF(AND($B292=" ",K293=AT$3),$O293,0)</f>
        <v>0</v>
      </c>
      <c r="AU293" s="133">
        <f>IF(AND($B292=" ",$K293=AU$3),$O293,0)</f>
        <v>0</v>
      </c>
      <c r="AV293" s="133">
        <f>IF(AND($B292=" ",$K293=AV$3),$O293,0)</f>
        <v>0</v>
      </c>
      <c r="AW293" s="133">
        <f>IF(AND($B292=" ",$K293=AW$3),$O293,0)</f>
        <v>0</v>
      </c>
      <c r="AX293" s="133">
        <f>IF(AND($B292=" ",$K293=AX$3),$O293,0)</f>
        <v>0</v>
      </c>
      <c r="AY293" s="135">
        <f>IF(AND($B292=" ",$K293=AY$3),$O293,0)</f>
        <v>0</v>
      </c>
      <c r="AZ293" s="136">
        <f>IF(AND($B292=" ",$K293=AZ$3),$O293,0)</f>
        <v>0</v>
      </c>
      <c r="BA293" s="136">
        <f>IF(AND($B292=" ",$K293=BA$3),$O293,0)</f>
        <v>0</v>
      </c>
      <c r="BB293" s="136">
        <f>IF(AND($B292=" ",$K293=BB$3),$O293,0)</f>
        <v>0</v>
      </c>
      <c r="BC293" s="137">
        <f>IF(AND($B292=" ",$K293=BC$3),$O293,0)</f>
        <v>0</v>
      </c>
      <c r="BD293" s="133">
        <f>IF(AND($B292=" ",$K293=BD$3),$O293,0)</f>
        <v>0</v>
      </c>
      <c r="BE293" s="134">
        <f>IF(AND($B292=" ",$K293=BE$3),$O293,0)</f>
        <v>0</v>
      </c>
      <c r="BF293" s="132">
        <f>IF($K293=BF$3,IF($C293="X",0,$O293),0)</f>
        <v>0</v>
      </c>
      <c r="BG293" s="281">
        <f>IF($K293=BG$3,IF($C293="X",0,$O293),0)</f>
        <v>0</v>
      </c>
      <c r="BH293" s="133">
        <f>IF($K293=BH$3,IF($C293="X",0,$O293),0)</f>
        <v>0</v>
      </c>
      <c r="BI293" s="133">
        <f>IF($K293=BI$3,IF($C293="X",0,$O293),0)</f>
        <v>0</v>
      </c>
      <c r="BJ293" s="133">
        <f>IF($K293=BJ$3,IF($C293="X",0,$O293),0)</f>
        <v>0</v>
      </c>
      <c r="BK293" s="133">
        <f>IF($K293=BK$3,IF($C293="X",0,$O293),0)</f>
        <v>0</v>
      </c>
      <c r="BL293" s="133">
        <f>IF($K293=BL$3,IF($C293="X",0,$O293),0)</f>
        <v>0</v>
      </c>
      <c r="BM293" s="135">
        <f>IF($K293=BM$3,IF($C293="X",0,$O293),0)</f>
        <v>0</v>
      </c>
      <c r="BN293" s="136">
        <f>IF($K293=BN$3,IF($C293="X",0,$O293),0)</f>
        <v>0</v>
      </c>
      <c r="BO293" s="136">
        <f>IF($K293=BO$3,IF($C293="X",0,$O293),0)</f>
        <v>0</v>
      </c>
      <c r="BP293" s="136">
        <f>IF($K293=BP$3,IF($C293="X",0,$O293),0)</f>
        <v>0</v>
      </c>
      <c r="BQ293" s="137">
        <f>IF($K293=BQ$3,IF($C293="X",0,$O293),0)</f>
        <v>7</v>
      </c>
      <c r="BR293" s="134">
        <f>IF($K293=BR$3,IF($C293="X",0,$O293),0)</f>
        <v>0</v>
      </c>
      <c r="BS293" s="282"/>
      <c r="BT293" s="283"/>
      <c r="BU293" s="140"/>
      <c r="BV293" s="283"/>
      <c r="BW293" s="140"/>
      <c r="BX293" s="140"/>
      <c r="BY293" s="140"/>
      <c r="BZ293" s="283"/>
      <c r="CA293" s="140"/>
      <c r="CB293" s="140"/>
      <c r="CC293" s="140"/>
      <c r="CD293" s="141"/>
      <c r="CE293" s="142"/>
      <c r="CF293" s="284">
        <f>IF(CF$3=$K293,IF($C293="W",1,IF($C293="1/2W",0.5,0)),0)</f>
        <v>0</v>
      </c>
      <c r="CG293" s="285">
        <f>IF(CF$3=$K293,IF($C293="L",1,IF($C293="1/2L",0.5,0)),0)</f>
        <v>0</v>
      </c>
      <c r="CH293" s="285">
        <f>IF(CH$3=$K293,IF($C293="W",1,IF($C293="1/2W",0.5,0)),0)</f>
        <v>0</v>
      </c>
      <c r="CI293" s="285">
        <f>IF(CH$3=$K293,IF($C293="L",1,IF($C293="1/2L",0.5,0)),0)</f>
        <v>0</v>
      </c>
      <c r="CJ293" s="285">
        <f>IF(CJ$3=$K293,IF($C293="W",1,IF($C293="1/2W",0.5,0)),0)</f>
        <v>0</v>
      </c>
      <c r="CK293" s="285">
        <f>IF(CJ$3=$K293,IF($C293="L",1,IF($C293="1/2L",0.5,0)),0)</f>
        <v>0</v>
      </c>
      <c r="CL293" s="285">
        <f>IF(CL$3=$K293,IF($C293="W",1,IF($C293="1/2W",0.5,0)),0)</f>
        <v>0</v>
      </c>
      <c r="CM293" s="285">
        <f>IF(CL$3=$K293,IF($C293="L",1,IF($C293="1/2L",0.5,0)),0)</f>
        <v>0</v>
      </c>
      <c r="CN293" s="285">
        <f>IF(CN$3=$K293,IF($C293="W",1,IF($C293="1/2W",0.5,0)),0)</f>
        <v>0</v>
      </c>
      <c r="CO293" s="285">
        <f>IF(CN$3=$K293,IF($C293="L",1,IF($C293="1/2L",0.5,0)),0)</f>
        <v>0</v>
      </c>
      <c r="CP293" s="285">
        <f>IF(CP$3=$K293,IF($C293="W",1,IF($C293="1/2W",0.5,0)),0)</f>
        <v>0</v>
      </c>
      <c r="CQ293" s="285">
        <f>IF(CP$3=$K293,IF($C293="L",1,IF($C293="1/2L",0.5,0)),0)</f>
        <v>0</v>
      </c>
      <c r="CR293" s="285">
        <f>IF(CR$3=$K293,IF($C293="W",1,IF($C293="1/2W",0.5,0)),0)</f>
        <v>0</v>
      </c>
      <c r="CS293" s="285">
        <f>IF(CR$3=$K293,IF($C293="L",1,IF($C293="1/2L",0.5,0)),0)</f>
        <v>0</v>
      </c>
      <c r="CT293" s="145">
        <f>IF(CT$3=$K293,IF($C293="W",1,IF($C293="1/2W",0.5,0)),0)</f>
        <v>0</v>
      </c>
      <c r="CU293" s="146">
        <f>IF(CT$3=$K293,IF($C293="L",1,IF($C293="1/2L",0.5,0)),0)</f>
        <v>0</v>
      </c>
      <c r="CV293" s="146">
        <f>IF(CV$3=$K293,IF($C293="W",1,IF($C293="1/2W",0.5,0)),0)</f>
        <v>0</v>
      </c>
      <c r="CW293" s="146">
        <f>IF(CV$3=$K293,IF($C293="L",1,IF($C293="1/2L",0.5,0)),0)</f>
        <v>0</v>
      </c>
      <c r="CX293" s="146">
        <f>IF(CX$3=$K293,IF($C293="W",1,IF($C293="1/2W",0.5,0)),0)</f>
        <v>0</v>
      </c>
      <c r="CY293" s="146">
        <f>IF(CX$3=$K293,IF($C293="L",1,IF($C293="1/2L",0.5,0)),0)</f>
        <v>0</v>
      </c>
      <c r="CZ293" s="146">
        <f>IF(CZ$3=$K293,IF($C293="W",1,IF($C293="1/2W",0.5,0)),0)</f>
        <v>0</v>
      </c>
      <c r="DA293" s="146">
        <f>IF(CZ$3=$K293,IF($C293="L",1,IF($C293="1/2L",0.5,0)),0)</f>
        <v>0</v>
      </c>
      <c r="DB293" s="146">
        <f>IF(DB$3=$K293,IF($C293="W",1,IF($C293="1/2W",0.5,0)),0)</f>
        <v>0</v>
      </c>
      <c r="DC293" s="146">
        <f>IF(DB$3=$K293,IF($C293="L",1,IF($C293="1/2L",0.5,0)),0)</f>
        <v>1</v>
      </c>
      <c r="DD293" s="146">
        <f>IF(DD$3=$K293,IF($C293="W",1,IF($C293="1/2W",0.5,0)),0)</f>
        <v>0</v>
      </c>
      <c r="DE293" s="147">
        <f>IF(DD$3=$K293,IF($C293="L",1,IF($C293="1/2L",0.5,0)),0)</f>
        <v>0</v>
      </c>
      <c r="DF293" s="143">
        <f>IF(AND(L293&lt;DF$3,$C293="W"),1+DF292,DF292)</f>
        <v>12</v>
      </c>
      <c r="DG293" s="133">
        <f>IF(DF293&gt;DF292,L293+DG292,DG292)</f>
        <v>15.718</v>
      </c>
      <c r="DH293" s="146">
        <f>IF(AND(L293&gt;DH$3,$C293="W"),1+DH292,0+DH292)</f>
        <v>6</v>
      </c>
      <c r="DI293" s="133">
        <f>IF(DH293&gt;DH292,L293+DI292,DI292)</f>
        <v>30.83</v>
      </c>
      <c r="DJ293" t="s" s="304">
        <f>IF($D292="","",$D292)</f>
        <v>229</v>
      </c>
      <c r="DK293" s="286"/>
    </row>
    <row r="294" ht="24.6" customHeight="1">
      <c r="A294" s="149"/>
      <c r="B294" s="150"/>
      <c r="C294" t="s" s="151">
        <v>58</v>
      </c>
      <c r="D294" s="152"/>
      <c r="E294" s="153"/>
      <c r="F294" s="155"/>
      <c r="G294" s="252"/>
      <c r="H294" s="156"/>
      <c r="I294" s="287"/>
      <c r="J294" s="288"/>
      <c r="K294" s="156"/>
      <c r="L294" s="289"/>
      <c r="M294" s="290"/>
      <c r="N294" s="161"/>
      <c r="O294" t="s" s="162">
        <f>IF(OR(AE292="",AE293=""),"",IF(L294&gt;0,ROUND(IF(M294&gt;0,M294,IF(M292&gt;0,ROUND((M292*AE294)/AE292,IF(N292=0,2,IF(N292=0.1,1,0))),IF(M293&gt;0,ROUND((M293*AE294)/AE293,IF(N292=0,2,IF(N292=0.1,1,0))),IF(M294&gt;0,M294,0)))),2),""))</f>
      </c>
      <c r="P294" t="s" s="163">
        <f>IF(I293="Lay",O293*(L293/(L293-1))-O293,IF(I292="Lay",O292*(L292/(L292-1))-O292,IF(OR(L294="",O294=""),"",IF($C294="1/2W",O294/2+O294/2*L294,IF($C294="1/2L",O294/2,(O294*L294-O294)*(1-_xlfn.XLOOKUP(K294,'Janeiro 2023 - Valor Real'!A3:A15,'Janeiro 2023 - Valor Real'!C3:C15,0))+O294)))))</f>
      </c>
      <c r="Q294" t="s" s="154">
        <f>IF(K294="","",IF(_xlfn.XLOOKUP(K294,K$108:K109,DJ$108:DJ109,0,,-1)=DJ294,_xlfn.XLOOKUP(K294,K$108:K109,Q$108:Q109,1,,-1)+1,1))</f>
      </c>
      <c r="R294" t="s" s="163">
        <f>IF(K294="","",_xlfn.XLOOKUP(K294,K$108:K109,R$108:R109,0,,-1)+IF($C294=" ",1,0))</f>
      </c>
      <c r="S294" s="166"/>
      <c r="T294" s="155"/>
      <c r="U294" s="155"/>
      <c r="V294" s="166"/>
      <c r="W294" s="155"/>
      <c r="X294" s="167"/>
      <c r="Y294" s="128"/>
      <c r="Z294" s="129"/>
      <c r="AA294" s="129"/>
      <c r="AB294" s="129"/>
      <c r="AC294" s="129"/>
      <c r="AD294" s="168"/>
      <c r="AE294" t="s" s="169">
        <f>IF(L294="","",(SUM(((L292-1)*(1-_xlfn.XLOOKUP(K292,'Janeiro 2023 - Valor Real'!A3:A15,'Janeiro 2023 - Valor Real'!C3:C15,0))+1),((L293-1)*(1-_xlfn.XLOOKUP(K293,'Janeiro 2023 - Valor Real'!A3:A15,'Janeiro 2023 - Valor Real'!C3:C15,0))+1),((L294-1)*(1-_xlfn.XLOOKUP(K294,'Janeiro 2023 - Valor Real'!A3:A15,'Janeiro 2023 - Valor Real'!C3:C15,0))+1))/((L294-1)*(1-_xlfn.XLOOKUP(K294,'Janeiro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Real'!C3:C15,0))+1))/((L292-1)*(1-_xlfn.XLOOKUP(K292,'Janeiro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Real'!C3:C15,0))+1))/((L293-1)*(1-_xlfn.XLOOKUP(K293,'Janeiro 2023 - Valor Real'!A3:A15,'Janeiro 2023 - Valor Real'!C3:C15,0))+1)+SUM(((L292-1)*(1-_xlfn.XLOOKUP(K292,'Janeiro 2023 - Valor Real'!A3:A15,'Janeiro 2023 - Valor Real'!C3:C15,0))+1),((L293-1)*(1-_xlfn.XLOOKUP(K293,'Janeiro 2023 - Valor Real'!A3:A15,'Janeiro 2023 - Valor Real'!C3:C15,0))+1),((L294-1)*(1-_xlfn.XLOOKUP(K294,'Janeiro 2023 - Valor Real'!A3:A15,'Janeiro 2023 - Valor Real'!C3:C15,0))+1))/((L294-1)*(1-_xlfn.XLOOKUP(K294,'Janeiro 2023 - Valor Real'!A3:A15,'Janeiro 2023 - Valor Real'!C3:C15,0))+1)))</f>
      </c>
      <c r="AF294" s="132">
        <f>IF($K294=AF$3,ROUND(IF(OR($C294="W",$C294="1/2W",$C294="1/2L"),$P294-$O294,IF($C294="X",0,-$O294)),2),0)</f>
        <v>0</v>
      </c>
      <c r="AG294" s="133">
        <f>IF($K294=AG$3,ROUND(IF(OR($C294="W",$C294="1/2W",$C294="1/2L"),$P294-$O294,IF($C294="X",0,-$O294)),2),0)</f>
        <v>0</v>
      </c>
      <c r="AH294" s="133">
        <f>IF($K294=AH$3,ROUND(IF(OR($C294="W",$C294="1/2W",$C294="1/2L"),$P294-$O294,IF($C294="X",0,-$O294)),2),0)</f>
        <v>0</v>
      </c>
      <c r="AI294" s="133">
        <f>IF($K294=AI$3,ROUND(IF(OR($C294="W",$C294="1/2W",$C294="1/2L"),$P294-$O294,IF($C294="X",0,-$O294)),2),0)</f>
        <v>0</v>
      </c>
      <c r="AJ294" s="133">
        <f>IF($K294=AJ$3,ROUND(IF(OR($C294="W",$C294="1/2W",$C294="1/2L"),$P294-$O294,IF($C294="X",0,-$O294)),2),0)</f>
        <v>0</v>
      </c>
      <c r="AK294" s="133">
        <f>IF($K294=AK$3,ROUND(IF(OR($C294="W",$C294="1/2W",$C294="1/2L"),$P294-$O294,IF($C294="X",0,-$O294)),2),0)</f>
        <v>0</v>
      </c>
      <c r="AL294" s="133">
        <f>IF($K294=AL$3,ROUND(IF(OR($C294="W",$C294="1/2W",$C294="1/2L"),$P294-$O294,IF($C294="X",0,-$O294)),2),0)</f>
        <v>0</v>
      </c>
      <c r="AM294" s="133">
        <f>IF($K294=AM$3,ROUND(IF(OR($C294="W",$C294="1/2W",$C294="1/2L"),$P294-$O294,IF($C294="X",0,-$O294)),2),0)</f>
        <v>0</v>
      </c>
      <c r="AN294" s="133">
        <f>IF($K294=AN$3,ROUND(IF(OR($C294="W",$C294="1/2W",$C294="1/2L"),$P294-$O294,IF($C294="X",0,-$O294)),2),0)</f>
        <v>0</v>
      </c>
      <c r="AO294" s="133">
        <f>IF($K294=AO$3,ROUND(IF(OR($C294="W",$C294="1/2W",$C294="1/2L"),$P294-$O294,IF($C294="X",0,-$O294)),2),0)</f>
        <v>0</v>
      </c>
      <c r="AP294" s="133">
        <f>IF($K294=AP$3,ROUND(IF(OR($C294="W",$C294="1/2W",$C294="1/2L"),$P294-$O294,IF($C294="X",0,-$O294)),2),0)</f>
        <v>0</v>
      </c>
      <c r="AQ294" s="133">
        <f>IF($K294=AQ$3,ROUND(IF(OR($C294="W",$C294="1/2W",$C294="1/2L"),$P294-$O294,IF($C294="X",0,-$O294)),2),0)</f>
        <v>0</v>
      </c>
      <c r="AR294" s="134">
        <f>IF($K294=AR$3,ROUND(IF(OR($C294="W",$C294="1/2W",$C294="1/2L"),$P294-$O294,IF($C294="X",0,-$O294)),2),0)</f>
        <v>0</v>
      </c>
      <c r="AS294" s="132">
        <f>IF(AND($B292=" ",$K294=AS$3),$O294,0)</f>
        <v>0</v>
      </c>
      <c r="AT294" s="133">
        <f>IF(AND($B292=" ",K294=AT$3),$O294,0)</f>
        <v>0</v>
      </c>
      <c r="AU294" s="133">
        <f>IF(AND($B292=" ",$K294=AU$3),$O294,0)</f>
        <v>0</v>
      </c>
      <c r="AV294" s="133">
        <f>IF(AND($B292=" ",$K294=AV$3),$O294,0)</f>
        <v>0</v>
      </c>
      <c r="AW294" s="133">
        <f>IF(AND($B292=" ",$K294=AW$3),$O294,0)</f>
        <v>0</v>
      </c>
      <c r="AX294" s="133">
        <f>IF(AND($B292=" ",$K294=AX$3),$O294,0)</f>
        <v>0</v>
      </c>
      <c r="AY294" s="135">
        <f>IF(AND($B292=" ",$K294=AY$3),$O294,0)</f>
        <v>0</v>
      </c>
      <c r="AZ294" s="136">
        <f>IF(AND($B292=" ",$K294=AZ$3),$O294,0)</f>
        <v>0</v>
      </c>
      <c r="BA294" s="136">
        <f>IF(AND($B292=" ",$K294=BA$3),$O294,0)</f>
        <v>0</v>
      </c>
      <c r="BB294" s="136">
        <f>IF(AND($B292=" ",$K294=BB$3),$O294,0)</f>
        <v>0</v>
      </c>
      <c r="BC294" s="137">
        <f>IF(AND($B292=" ",$K294=BC$3),$O294,0)</f>
        <v>0</v>
      </c>
      <c r="BD294" s="133">
        <f>IF(AND($B292=" ",$K294=BD$3),$O294,0)</f>
        <v>0</v>
      </c>
      <c r="BE294" s="134">
        <f>IF(AND($B292=" ",$K294=BE$3),$O294,0)</f>
        <v>0</v>
      </c>
      <c r="BF294" s="132">
        <f>IF($K294=BF$3,IF($C294="X",0,$O294),0)</f>
        <v>0</v>
      </c>
      <c r="BG294" s="281">
        <f>IF($K294=BG$3,IF($C294="X",0,$O294),0)</f>
        <v>0</v>
      </c>
      <c r="BH294" s="133">
        <f>IF($K294=BH$3,IF($C294="X",0,$O294),0)</f>
        <v>0</v>
      </c>
      <c r="BI294" s="133">
        <f>IF($K294=BI$3,IF($C294="X",0,$O294),0)</f>
        <v>0</v>
      </c>
      <c r="BJ294" s="133">
        <f>IF($K294=BJ$3,IF($C294="X",0,$O294),0)</f>
        <v>0</v>
      </c>
      <c r="BK294" s="133">
        <f>IF($K294=BK$3,IF($C294="X",0,$O294),0)</f>
        <v>0</v>
      </c>
      <c r="BL294" s="133">
        <f>IF($K294=BL$3,IF($C294="X",0,$O294),0)</f>
        <v>0</v>
      </c>
      <c r="BM294" s="135">
        <f>IF($K294=BM$3,IF($C294="X",0,$O294),0)</f>
        <v>0</v>
      </c>
      <c r="BN294" s="136">
        <f>IF($K294=BN$3,IF($C294="X",0,$O294),0)</f>
        <v>0</v>
      </c>
      <c r="BO294" s="136">
        <f>IF($K294=BO$3,IF($C294="X",0,$O294),0)</f>
        <v>0</v>
      </c>
      <c r="BP294" s="136">
        <f>IF($K294=BP$3,IF($C294="X",0,$O294),0)</f>
        <v>0</v>
      </c>
      <c r="BQ294" s="137">
        <f>IF($K294=BQ$3,IF($C294="X",0,$O294),0)</f>
        <v>0</v>
      </c>
      <c r="BR294" s="134">
        <f>IF($K294=BR$3,IF($C294="X",0,$O294),0)</f>
        <v>0</v>
      </c>
      <c r="BS294" s="282"/>
      <c r="BT294" s="283"/>
      <c r="BU294" s="140"/>
      <c r="BV294" s="283"/>
      <c r="BW294" s="140"/>
      <c r="BX294" s="140"/>
      <c r="BY294" s="140"/>
      <c r="BZ294" s="283"/>
      <c r="CA294" s="140"/>
      <c r="CB294" s="140"/>
      <c r="CC294" s="140"/>
      <c r="CD294" s="141"/>
      <c r="CE294" s="142"/>
      <c r="CF294" s="284">
        <f>IF(CF$3=$K294,IF($C294="W",1,IF($C294="1/2W",0.5,0)),0)</f>
        <v>0</v>
      </c>
      <c r="CG294" s="285">
        <f>IF(CF$3=$K294,IF($C294="L",1,IF($C294="1/2L",0.5,0)),0)</f>
        <v>0</v>
      </c>
      <c r="CH294" s="285">
        <f>IF(CH$3=$K294,IF($C294="W",1,IF($C294="1/2W",0.5,0)),0)</f>
        <v>0</v>
      </c>
      <c r="CI294" s="285">
        <f>IF(CH$3=$K294,IF($C294="L",1,IF($C294="1/2L",0.5,0)),0)</f>
        <v>0</v>
      </c>
      <c r="CJ294" s="285">
        <f>IF(CJ$3=$K294,IF($C294="W",1,IF($C294="1/2W",0.5,0)),0)</f>
        <v>0</v>
      </c>
      <c r="CK294" s="285">
        <f>IF(CJ$3=$K294,IF($C294="L",1,IF($C294="1/2L",0.5,0)),0)</f>
        <v>0</v>
      </c>
      <c r="CL294" s="285">
        <f>IF(CL$3=$K294,IF($C294="W",1,IF($C294="1/2W",0.5,0)),0)</f>
        <v>0</v>
      </c>
      <c r="CM294" s="285">
        <f>IF(CL$3=$K294,IF($C294="L",1,IF($C294="1/2L",0.5,0)),0)</f>
        <v>0</v>
      </c>
      <c r="CN294" s="285">
        <f>IF(CN$3=$K294,IF($C294="W",1,IF($C294="1/2W",0.5,0)),0)</f>
        <v>0</v>
      </c>
      <c r="CO294" s="285">
        <f>IF(CN$3=$K294,IF($C294="L",1,IF($C294="1/2L",0.5,0)),0)</f>
        <v>0</v>
      </c>
      <c r="CP294" s="285">
        <f>IF(CP$3=$K294,IF($C294="W",1,IF($C294="1/2W",0.5,0)),0)</f>
        <v>0</v>
      </c>
      <c r="CQ294" s="285">
        <f>IF(CP$3=$K294,IF($C294="L",1,IF($C294="1/2L",0.5,0)),0)</f>
        <v>0</v>
      </c>
      <c r="CR294" s="285">
        <f>IF(CR$3=$K294,IF($C294="W",1,IF($C294="1/2W",0.5,0)),0)</f>
        <v>0</v>
      </c>
      <c r="CS294" s="285">
        <f>IF(CR$3=$K294,IF($C294="L",1,IF($C294="1/2L",0.5,0)),0)</f>
        <v>0</v>
      </c>
      <c r="CT294" s="145">
        <f>IF(CT$3=$K294,IF($C294="W",1,IF($C294="1/2W",0.5,0)),0)</f>
        <v>0</v>
      </c>
      <c r="CU294" s="146">
        <f>IF(CT$3=$K294,IF($C294="L",1,IF($C294="1/2L",0.5,0)),0)</f>
        <v>0</v>
      </c>
      <c r="CV294" s="146">
        <f>IF(CV$3=$K294,IF($C294="W",1,IF($C294="1/2W",0.5,0)),0)</f>
        <v>0</v>
      </c>
      <c r="CW294" s="146">
        <f>IF(CV$3=$K294,IF($C294="L",1,IF($C294="1/2L",0.5,0)),0)</f>
        <v>0</v>
      </c>
      <c r="CX294" s="146">
        <f>IF(CX$3=$K294,IF($C294="W",1,IF($C294="1/2W",0.5,0)),0)</f>
        <v>0</v>
      </c>
      <c r="CY294" s="146">
        <f>IF(CX$3=$K294,IF($C294="L",1,IF($C294="1/2L",0.5,0)),0)</f>
        <v>0</v>
      </c>
      <c r="CZ294" s="146">
        <f>IF(CZ$3=$K294,IF($C294="W",1,IF($C294="1/2W",0.5,0)),0)</f>
        <v>0</v>
      </c>
      <c r="DA294" s="146">
        <f>IF(CZ$3=$K294,IF($C294="L",1,IF($C294="1/2L",0.5,0)),0)</f>
        <v>0</v>
      </c>
      <c r="DB294" s="146">
        <f>IF(DB$3=$K294,IF($C294="W",1,IF($C294="1/2W",0.5,0)),0)</f>
        <v>0</v>
      </c>
      <c r="DC294" s="146">
        <f>IF(DB$3=$K294,IF($C294="L",1,IF($C294="1/2L",0.5,0)),0)</f>
        <v>0</v>
      </c>
      <c r="DD294" s="146">
        <f>IF(DD$3=$K294,IF($C294="W",1,IF($C294="1/2W",0.5,0)),0)</f>
        <v>0</v>
      </c>
      <c r="DE294" s="147">
        <f>IF(DD$3=$K294,IF($C294="L",1,IF($C294="1/2L",0.5,0)),0)</f>
        <v>0</v>
      </c>
      <c r="DF294" s="143">
        <f>IF(AND(L294&lt;DF$3,$C294="W"),1+DF293,DF293)</f>
        <v>12</v>
      </c>
      <c r="DG294" s="133">
        <f>IF(DF294&gt;DF293,L294+DG293,DG293)</f>
        <v>15.718</v>
      </c>
      <c r="DH294" s="146">
        <f>IF(AND(L294&gt;DH$3,$C294="W"),1+DH293,0+DH293)</f>
        <v>6</v>
      </c>
      <c r="DI294" s="133">
        <f>IF(DH294&gt;DH293,L294+DI293,DI293)</f>
        <v>30.83</v>
      </c>
      <c r="DJ294" t="s" s="304">
        <f>IF($D292="","",$D292)</f>
        <v>229</v>
      </c>
      <c r="DK294" s="286"/>
    </row>
    <row r="295" ht="14.55" customHeight="1">
      <c r="A295" s="171">
        <f>$A292+1</f>
        <v>98</v>
      </c>
      <c r="B295" t="s" s="172">
        <f>IF(AND(_xlfn.XLOOKUP(H295,H$103:H110,G$103:G110,0)=G295,_xlfn.XLOOKUP("TempoBet",K295:K297,L295:L297,0)&gt;0),"X",IF(OR(C295="W",C296="W",C297="W",C295="1/2W",C296="1/2W",C297="1/2W",C295="1/2L",C296="1/2L",C297="1/2L"),"OK",IF(OR(C295="L",C296="L",C297="L"),"LOSS",IF(OR(C295="X",C296="X",C297="X"),"Anulado"," "))))</f>
        <v>50</v>
      </c>
      <c r="C295" t="s" s="173">
        <v>114</v>
      </c>
      <c r="D295" t="s" s="305">
        <f>IF(G295="","",$D292)</f>
        <v>229</v>
      </c>
      <c r="E295" t="s" s="175">
        <f>IF(G295=""," ","– "&amp;COUNTIF(D$4:D297,$D295))</f>
        <v>160</v>
      </c>
      <c r="F295" t="s" s="176"/>
      <c r="G295" s="177">
        <v>44946.333333333336</v>
      </c>
      <c r="H295" t="s" s="178">
        <v>265</v>
      </c>
      <c r="I295" s="298">
        <v>1</v>
      </c>
      <c r="J295" s="180"/>
      <c r="K295" t="s" s="181">
        <v>41</v>
      </c>
      <c r="L295" s="182">
        <v>1.42</v>
      </c>
      <c r="M295" s="183"/>
      <c r="N295" s="184">
        <v>0</v>
      </c>
      <c r="O295" s="185">
        <f>IF(OR(AE295="",AE296=""),"",ROUND(IF(L297&gt;0,IF(M295&gt;0,M295,IF(M296&gt;0,ROUND((M296*AE295)/AE296,IF(N295=0,2,IF(N295=0.1,1,0))),ROUND((M297*AE295)/AE297,IF(N295=0,2,IF(N295=0.1,1,0))))),IF(M295&gt;0,M295,ROUND((M296*AE295)/AE296,IF(N295=0,2,IF(N295=0.1,1,0))))),2))</f>
        <v>74.42</v>
      </c>
      <c r="P295" s="186">
        <f>IF(OR(L295="",O295=""),"",IF($C295="1/2W",O295/2+O295/2*L295,IF($C295="1/2L",O295/2,IF(I295="Lay",(O295*(L295/(L295-1))-O295)*(1-_xlfn.XLOOKUP(K295,'Janeiro 2023 - Valor Real'!A3:A15,'Janeiro 2023 - Valor Real'!C3:C15,0))+O295,(O295*L295-O295)*(1-_xlfn.XLOOKUP(K295,'Janeiro 2023 - Valor Real'!A3:A15,'Janeiro 2023 - Valor Real'!C3:C15,0))+O295))))</f>
        <v>105.6764</v>
      </c>
      <c r="Q295" s="187">
        <f>IF(K295="","",IF(_xlfn.XLOOKUP(K295,K$103:K110,DJ$103:DJ110,0,,-1)=DJ295,_xlfn.XLOOKUP(K295,K$103:K110,Q$103:Q110,1,,-1)+1,1))</f>
        <v>1</v>
      </c>
      <c r="R295" s="188">
        <f>IF(K295="","",_xlfn.XLOOKUP(K295,K$103:K110,R$103:R110,0,,-1)+IF($C295=" ",1,0))</f>
        <v>0</v>
      </c>
      <c r="S295" s="189">
        <f>IF($B295="Anulado",0,ROUND(IF(OR($B295="LOSS",$B295="OK"),IF(OR($C295="W",$C295="1/2W",$C295="1/2L"),P295-O295,IF($C295="L",-O295,0))+IF(OR($C296="W",$C296="1/2W",$C296="1/2L"),P296-O296,IF($C296="L",-O296,0))+IF(OR($C297="W",$C297="1/2W",$C297="1/2L"),P297-O297,IF($C297="L",-O297,0)),IF(AND(OR($C295="W",$C295="1/2W",$C295="1/2L"),C296="W"),P295+P296-SUM(O295:O297)+_xlfn.XLOOKUP("X",C295:C297,O295:O297,0),IF(AND(C295=TRUE,C297="W"),P295+P297-SUM(O295:O297),IF(AND(C296="W",C297="W"),P296+P297-SUM(O295:O297)+_xlfn.XLOOKUP("X",C295:C297,O295:O297,0),IF(L297&gt;0,IF(OR($C295="W",$C295="1/2W",$C295="1/2L"),P295-SUM(O295:O297)+_xlfn.XLOOKUP("X",C295:C297,O295:O297,0),IF(OR($C295="W",$C295="1/2W",$C295="1/2L"),P296-SUM(O295:O297)+_xlfn.XLOOKUP("X",C295:C297,O295:O297,0),IF(OR($C295="W",$C295="1/2W",$C295="1/2L"),P297-SUM(O295:O297)+_xlfn.XLOOKUP("X",C295:C297,O295:O297,0),IF(SUM(P295:P297)/3-SUM(O295:O297)+_xlfn.XLOOKUP("X",C295:C297,O295:O297,0)&gt;0,SUM(P295:P297)/3-SUM(O295:O297)+_xlfn.XLOOKUP("X",C295:C297,O295:O297,0),LARGE(P295:P297,1)-SUM(O295:O297))))),IF(OR($C295="W",$C295="1/2W",$C295="1/2L"),P295-SUM(O295:O296)+_xlfn.XLOOKUP("X",C295:C297,O295:O297,0),IF(OR($C295="W",$C295="1/2W",$C295="1/2L"),P296-SUM(O295:O296)+_xlfn.XLOOKUP("X",C295:C297,O295:O297,0),SUM(P295:P296)/2-SUM(O295:O296)+_xlfn.XLOOKUP("X",C295:C297,O295:O297,0)))))))),2))</f>
        <v>79.26000000000001</v>
      </c>
      <c r="T295" s="190">
        <f>IF(S295=0,0,S295/SUM(O295:O297))</f>
        <v>0.785997619992067</v>
      </c>
      <c r="U295" s="191">
        <f>IF($D295=$D292,IF(OR($B295="LOSS",$B295="OK",$B295="Anulada"),S295,0)+U292,IF(OR($B295="LOSS",$B295="OK",$B295="Anulada"),S295,0))</f>
        <v>99.84999999999999</v>
      </c>
      <c r="V295" s="191">
        <f>IF($D295="",0,IF($D295=$D292,IF($B295=" ",IF(I297="",IF(OR(AND(I295="DNB1",I296="DNB2"),AND(OR(I295="DNB1",I295="DNB2"),J296=0),AND(OR(I296="DNB1",I296="DNB2"),J295=0),AND(I295="DNB2",I296="DNB1"),AND(IF(J295=0,(J295+1)/ROUND(J295+1,0),J295/ROUND(J295,0))=1,IF(J296=0,(J296+1)/ROUND(IF(J296="",0,J296)+1,0),IF(J296="",0,J296)/ROUND(IF(J296="",1,J296),0))=1,OR(J295&lt;&gt;""),J296&lt;&gt;"")),0,IF(S295&lt;0,IF(I297="",SMALL(P295:P296,1)-SUM(O295:O296),0),SMALL(P295:P296,1)-SUM(O295:O296))),IF(S295&lt;0,IF(I297="",SMALL(P295:P297,1)-SUM(O295:O297),0),LARGE(P295:P297,1)-SUM(O295:O297))),S295)+V292,IF(I297="",IF(OR(AND(I295="DNB1",I296="DNB2"),AND(OR(I295="DNB1",I295="DNB2"),J296=0),AND(OR(I296="DNB1",I296="DNB2"),J295=0),AND(I295="DNB2",I296="DNB1"),AND(IF(J295=0,(J295+1)/ROUND(J295+1,0),J295/ROUND(J295,0))=1,IF(J296=0,(IF(J296="",0,J296)+1)/ROUND(IF(J296="",0,J296)+1,0),IF(J296="",0,J296)/ROUND(IF(J296="",0,J296)+1,0))=1,OR(J295&lt;&gt;""),J296&lt;&gt;"")),0,IF(S295&lt;0,IF(I297="",SMALL(P295:P296,1)-SUM(O295:O296),0),SMALL(P295:P297,1)-SUM(O295:O297))),IF(S295&lt;0,IF(I297="",SMALL(P295:P297,1)-SUM(O295:O297),0),LARGE(P295:P297,1)-SUM(O295:O297)))))</f>
        <v>99.846</v>
      </c>
      <c r="W295" s="191">
        <f>IF($D295=$D292,IF(S295&lt;0,IF(I297="",S295,0),S295)+W292,S295)</f>
        <v>99.84999999999999</v>
      </c>
      <c r="X295" t="s" s="192">
        <f>IF(OR(SUM(R295:R297)=0,V295=W295),ROUND(IF(W295=0,0,W295/Y295)*100,2)&amp;"%",ROUND(IF(V295=0,0,V295/Y295)*100,2)&amp;"% a "&amp;ROUND(IF(W295=0,0,W295/Y295)*100,2)&amp;"%")</f>
        <v>266</v>
      </c>
      <c r="Y295" s="193">
        <f>IF($D295=$D292,Y292+SUM(O295:O297),SUM(O295:O297))</f>
        <v>777.26</v>
      </c>
      <c r="Z295" s="191">
        <f>IF($B295=" ",SUM(O295:O297),0)+Z292</f>
        <v>0</v>
      </c>
      <c r="AA295" s="191">
        <f>IF(G295="","",IF($B295="Anulado",LARGE(P295:P297,1)-SUM(O295:O297)+AA292,AA292))</f>
        <v>16.5099</v>
      </c>
      <c r="AB295" s="191">
        <f>IF($D295="","",AB292+S295)</f>
        <v>302.02</v>
      </c>
      <c r="AC295" s="194">
        <f>IF($D295="","",IF($B295=" ",IF(DAY(G295)=DAY(TODAY()),1+AC292,0+AC292),0+AC292))</f>
        <v>0</v>
      </c>
      <c r="AD295" s="195">
        <f>(((L296/(L296-1)-1)*(1-_xlfn.XLOOKUP(K296,'Janeiro 2023 - Valor Real'!A3:A15,'Janeiro 2023 - Valor Real'!C3:C15,0))+1))/(((L295-1)*(1-_xlfn.XLOOKUP(K295,'Janeiro 2023 - Valor Real'!A3:A15,'Janeiro 2023 - Valor Real'!C3:C15,0))+1)+((L296/(L296-1)-1)*(1-_xlfn.XLOOKUP(K296,'Janeiro 2023 - Valor Real'!A3:A15,'Janeiro 2023 - Valor Real'!C3:C15,0))+1))</f>
        <v>0.484261501210654</v>
      </c>
      <c r="AE295" s="196">
        <f>IF(L295="","",IF(L297&gt;0,(SUM(((L295-1)*(1-_xlfn.XLOOKUP(K295,'Janeiro 2023 - Valor Real'!A3:A15,'Janeiro 2023 - Valor Real'!C3:C15,0))+1),((L296-1)*(1-_xlfn.XLOOKUP(K296,'Janeiro 2023 - Valor Real'!A3:A15,'Janeiro 2023 - Valor Real'!C3:C15,0))+1),((L297-1)*(1-_xlfn.XLOOKUP(K297,'Janeiro 2023 - Valor Real'!A3:A15,'Janeiro 2023 - Valor Real'!C3:C15,0))+1))/((L295-1)*(1-_xlfn.XLOOKUP(K295,'Janeiro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Real'!C3:C15,0))+1))/((L295-1)*(1-_xlfn.XLOOKUP(K295,'Janeiro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Real'!C3:C15,0))+1))/((L296-1)*(1-_xlfn.XLOOKUP(K296,'Janeiro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Real'!C3:C15,0))+1))/((L297-1)*(1-_xlfn.XLOOKUP(K297,'Janeiro 2023 - Valor Real'!A3:A15,'Janeiro 2023 - Valor Real'!C3:C15,0))+1)),IF(I295="Lay",IF(I296="Lay",((L296/(L296-1)-1)*(1-_xlfn.XLOOKUP(K296,'Janeiro 2023 - Valor Real'!A3:A15,'Janeiro 2023 - Valor Real'!C3:C15,0))+1)/(((L296/(L296-1)-1)*(1-_xlfn.XLOOKUP(K296,'Janeiro 2023 - Valor Real'!A3:A15,'Janeiro 2023 - Valor Real'!C3:C15,0))+1)+((L295/(L295-1)-1)*(1-_xlfn.XLOOKUP(K295,'Janeiro 2023 - Valor Real'!A3:A15,'Janeiro 2023 - Valor Real'!C3:C15,0))+1)),((L296-1)*(1-_xlfn.XLOOKUP(K296,'Janeiro 2023 - Valor Real'!A3:A15,'Janeiro 2023 - Valor Real'!C3:C15,0))+1)/(((L296-1)*(1-_xlfn.XLOOKUP(K296,'Janeiro 2023 - Valor Real'!A3:A15,'Janeiro 2023 - Valor Real'!C3:C15,0))+1)+((L295/(L295-1)-1)*(1-_xlfn.XLOOKUP(K295,'Janeiro 2023 - Valor Real'!A3:A15,'Janeiro 2023 - Valor Real'!C3:C15,0))+1))),IF(I296="Lay",(((L296/(L296-1)-1)*(1-_xlfn.XLOOKUP(K296,'Janeiro 2023 - Valor Real'!A3:A15,'Janeiro 2023 - Valor Real'!C3:C15,0))+1))/(((L295-1)*(1-_xlfn.XLOOKUP(K295,'Janeiro 2023 - Valor Real'!A3:A15,'Janeiro 2023 - Valor Real'!C3:C15,0))+1)+((L296/(L296-1)-1)*(1-_xlfn.XLOOKUP(K296,'Janeiro 2023 - Valor Real'!A3:A15,'Janeiro 2023 - Valor Real'!C3:C15,0))+1)),((L296-1)*(1-_xlfn.XLOOKUP(K296,'Janeiro 2023 - Valor Real'!A3:A15,'Janeiro 2023 - Valor Real'!C3:C15,0))+1)/(((L296-1)*(1-_xlfn.XLOOKUP(K296,'Janeiro 2023 - Valor Real'!A3:A15,'Janeiro 2023 - Valor Real'!C3:C15,0))+1)+((L295-1)*(1-_xlfn.XLOOKUP(K295,'Janeiro 2023 - Valor Real'!A3:A15,'Janeiro 2023 - Valor Real'!C3:C15,0))+1))))))</f>
        <v>0.738007380073801</v>
      </c>
      <c r="AF295" s="197">
        <f>IF($K295=AF$3,ROUND(IF(OR($C295="W",$C295="1/2W",$C295="1/2L"),$P295-$O295,IF($C295="X",0,-$O295)),2),0)</f>
        <v>0</v>
      </c>
      <c r="AG295" s="198">
        <f>IF($K295=AG$3,ROUND(IF(OR($C295="W",$C295="1/2W",$C295="1/2L"),$P295-$O295,IF($C295="X",0,-$O295)),2),0)</f>
        <v>0</v>
      </c>
      <c r="AH295" s="198">
        <f>IF($K295=AH$3,ROUND(IF(OR($C295="W",$C295="1/2W",$C295="1/2L"),$P295-$O295,IF($C295="X",0,-$O295)),2),0)</f>
        <v>0</v>
      </c>
      <c r="AI295" s="198">
        <f>IF($K295=AI$3,ROUND(IF(OR($C295="W",$C295="1/2W",$C295="1/2L"),$P295-$O295,IF($C295="X",0,-$O295)),2),0)</f>
        <v>0</v>
      </c>
      <c r="AJ295" s="198">
        <f>IF($K295=AJ$3,ROUND(IF(OR($C295="W",$C295="1/2W",$C295="1/2L"),$P295-$O295,IF($C295="X",0,-$O295)),2),0)</f>
        <v>0</v>
      </c>
      <c r="AK295" s="198">
        <f>IF($K295=AK$3,ROUND(IF(OR($C295="W",$C295="1/2W",$C295="1/2L"),$P295-$O295,IF($C295="X",0,-$O295)),2),0)</f>
        <v>0</v>
      </c>
      <c r="AL295" s="198">
        <f>IF($K295=AL$3,ROUND(IF(OR($C295="W",$C295="1/2W",$C295="1/2L"),$P295-$O295,IF($C295="X",0,-$O295)),2),0)</f>
        <v>0</v>
      </c>
      <c r="AM295" s="198">
        <f>IF($K295=AM$3,ROUND(IF(OR($C295="W",$C295="1/2W",$C295="1/2L"),$P295-$O295,IF($C295="X",0,-$O295)),2),0)</f>
        <v>0</v>
      </c>
      <c r="AN295" s="198">
        <f>IF($K295=AN$3,ROUND(IF(OR($C295="W",$C295="1/2W",$C295="1/2L"),$P295-$O295,IF($C295="X",0,-$O295)),2),0)</f>
        <v>0</v>
      </c>
      <c r="AO295" s="198">
        <f>IF($K295=AO$3,ROUND(IF(OR($C295="W",$C295="1/2W",$C295="1/2L"),$P295-$O295,IF($C295="X",0,-$O295)),2),0)</f>
        <v>0</v>
      </c>
      <c r="AP295" s="198">
        <f>IF($K295=AP$3,ROUND(IF(OR($C295="W",$C295="1/2W",$C295="1/2L"),$P295-$O295,IF($C295="X",0,-$O295)),2),0)</f>
        <v>0</v>
      </c>
      <c r="AQ295" s="198">
        <f>IF($K295=AQ$3,ROUND(IF(OR($C295="W",$C295="1/2W",$C295="1/2L"),$P295-$O295,IF($C295="X",0,-$O295)),2),0)</f>
        <v>0</v>
      </c>
      <c r="AR295" s="199">
        <f>IF($K295=AR$3,ROUND(IF(OR($C295="W",$C295="1/2W",$C295="1/2L"),$P295-$O295,IF($C295="X",0,-$O295)),2),0)</f>
        <v>0</v>
      </c>
      <c r="AS295" s="197">
        <f>IF(AND($B295=" ",$K295=AS$3),$O295,0)</f>
        <v>0</v>
      </c>
      <c r="AT295" s="198">
        <f>IF(AND($B295=" ",$K295=AT$3),$O295,0)</f>
        <v>0</v>
      </c>
      <c r="AU295" s="198">
        <f>IF(AND($B295=" ",$K295=AU$3),$O295,0)</f>
        <v>0</v>
      </c>
      <c r="AV295" s="198">
        <f>IF(AND($B295=" ",$K295=AV$3),$O295,0)</f>
        <v>0</v>
      </c>
      <c r="AW295" s="198">
        <f>IF(AND($B295=" ",$K295=AW$3),$O295,0)</f>
        <v>0</v>
      </c>
      <c r="AX295" s="198">
        <f>IF(AND($B295=" ",$K295=AX$3),$O295,0)</f>
        <v>0</v>
      </c>
      <c r="AY295" s="200">
        <f>IF(AND($B295=" ",$K295=AY$3),$O295,0)</f>
        <v>0</v>
      </c>
      <c r="AZ295" s="201">
        <f>IF(AND($B295=" ",$K295=AZ$3),$O295,0)</f>
        <v>0</v>
      </c>
      <c r="BA295" s="201">
        <f>IF(AND($B295=" ",$K295=BA$3),$O295,0)</f>
        <v>0</v>
      </c>
      <c r="BB295" s="201">
        <f>IF(AND($B295=" ",$K295=BB$3),$O295,0)</f>
        <v>0</v>
      </c>
      <c r="BC295" s="202">
        <f>IF(AND($B295=" ",$K295=BC$3),$O295,0)</f>
        <v>0</v>
      </c>
      <c r="BD295" s="198">
        <f>IF(AND($B295=" ",$K295=BD$3),$O295,0)</f>
        <v>0</v>
      </c>
      <c r="BE295" s="199">
        <f>IF(AND($B295=" ",$K295=BE$3),$O295,0)</f>
        <v>0</v>
      </c>
      <c r="BF295" s="203">
        <f>IF($K295=BF$3,IF($C295="X",0,$O295),0)</f>
        <v>0</v>
      </c>
      <c r="BG295" s="198">
        <f>IF($K295=BG$3,IF($C295="X",0,$O295),0)</f>
        <v>0</v>
      </c>
      <c r="BH295" s="198">
        <f>IF($K295=BH$3,IF($C295="X",0,$O295),0)</f>
        <v>0</v>
      </c>
      <c r="BI295" s="198">
        <f>IF($K295=BI$3,IF($C295="X",0,$O295),0)</f>
        <v>0</v>
      </c>
      <c r="BJ295" s="198">
        <f>IF($K295=BJ$3,IF($C295="X",0,$O295),0)</f>
        <v>0</v>
      </c>
      <c r="BK295" s="198">
        <f>IF($K295=BK$3,IF($C295="X",0,$O295),0)</f>
        <v>0</v>
      </c>
      <c r="BL295" s="198">
        <f>IF($K295=BL$3,IF($C295="X",0,$O295),0)</f>
        <v>0</v>
      </c>
      <c r="BM295" s="200">
        <f>IF($K295=BM$3,IF($C295="X",0,$O295),0)</f>
        <v>0</v>
      </c>
      <c r="BN295" s="201">
        <f>IF($K295=BN$3,IF($C295="X",0,$O295),0)</f>
        <v>0</v>
      </c>
      <c r="BO295" s="201">
        <f>IF($K295=BO$3,IF($C295="X",0,$O295),0)</f>
        <v>0</v>
      </c>
      <c r="BP295" s="201">
        <f>IF($K295=BP$3,IF($C295="X",0,$O295),0)</f>
        <v>0</v>
      </c>
      <c r="BQ295" s="202">
        <f>IF($K295=BQ$3,IF($C295="X",0,$O295),0)</f>
        <v>0</v>
      </c>
      <c r="BR295" s="199">
        <f>IF($K295=BR$3,IF($C295="X",0,$O295),0)</f>
        <v>0</v>
      </c>
      <c r="BS295" s="204">
        <f>IF($B295="LOSS",IF(AND($K295=BS$3,$C295="L"),-$O295,0)+IF(AND($K296=BS$3,$C296="L"),-$O296,0)+IF(AND($K297=BS$3,$C297="L"),-$O297,0),IF(OR(AND($K295=BS$3,OR($C295="W",$C295="1/2W")),AND($K296=BS$3,OR($C296="W",$C296="1/2W")),AND($K297=BS$3,OR($C297="W",$C297="1/2W"))),$S295,0))</f>
        <v>0</v>
      </c>
      <c r="BT295" s="201">
        <f>IF($B295="LOSS",IF(AND($K295=BT$3,$C295="L"),-$O295,0)+IF(AND($K296=BT$3,$C296="L"),-$O296,0)+IF(AND($K296=BT$3,$C297="L"),-$O297,0),IF(OR(AND($K296=BT$3,OR($C295="W",$C295="1/2W")),AND($K296=BT$3,OR($C296="W",$C296="1/2W")),AND($K296=BT$3,OR($C297="W",$C297="1/2W"))),$S295,0))</f>
        <v>0</v>
      </c>
      <c r="BU295" s="201">
        <f>IF($B295="LOSS",IF(AND($K295=BU$3,$C295="L"),-$O295,0)+IF(AND($K296=BU$3,$C296="L"),-$O296,0)+IF(AND($K296=BU$3,$C297="L"),-$O297,0),IF(OR(AND($K296=BU$3,OR($C295="W",$C295="1/2W")),AND($K296=BU$3,OR($C296="W",$C296="1/2W")),AND($K296=BU$3,OR($C297="W",$C297="1/2W"))),$S295,0))</f>
        <v>0</v>
      </c>
      <c r="BV295" s="201">
        <f>IF($B295="LOSS",IF(AND($K295=BV$3,$C295="L"),-$O295,0)+IF(AND($K296=BV$3,$C296="L"),-$O296,0)+IF(AND($K297=BV$3,$C297="L"),-$O297,0),IF(OR(AND($K295=BV$3,OR($C295="W",$C295="1/2W")),AND($K296=BV$3,OR($C296="W",$C296="1/2W")),AND($K297=BV$3,OR($C297="W",$C297="1/2W"))),$S295,0))</f>
        <v>0</v>
      </c>
      <c r="BW295" s="201">
        <f>IF($B295="LOSS",IF(AND($K295=BW$3,$C295="L"),-$O295,0)+IF(AND($K296=BW$3,$C296="L"),-$O296,0)+IF(AND($K297=BW$3,$C297="L"),-$O297,0),IF(OR(AND($K295=BW$3,OR($C295="W",$C295="1/2W")),AND($K296=BW$3,OR($C296="W",$C296="1/2W")),AND($K297=BW$3,OR($C297="W",$C297="1/2W"))),$S295,0))</f>
        <v>0</v>
      </c>
      <c r="BX295" s="201">
        <f>IF($B295="LOSS",IF(AND($K295=BX$3,$C295="L"),-$O295,0)+IF(AND($K296=BX$3,$C296="L"),-$O296,0)+IF(AND($K297=BX$3,$C297="L"),-$O297,0),IF(OR(AND($K295=BX$3,OR($C295="W",$C295="1/2W")),AND($K296=BX$3,OR($C296="W",$C296="1/2W")),AND($K297=BX$3,OR($C297="W",$C297="1/2W"))),$S295,0))</f>
        <v>0</v>
      </c>
      <c r="BY295" s="201">
        <f>IF($B295="LOSS",IF(AND($K295=BY$3,$C295="L"),-$O295,0)+IF(AND($K296=BY$3,$C296="L"),-$O296,0)+IF(AND($K297=BY$3,$C297="L"),-$O297,0),IF(OR(AND($K295=BY$3,OR($C295="W",$C295="1/2W")),AND($K296=BY$3,OR($C296="W",$C296="1/2W")),AND($K297=BY$3,OR($C297="W",$C297="1/2W"))),$S295,0))</f>
        <v>0</v>
      </c>
      <c r="BZ295" s="205">
        <f>IF($B295="LOSS",IF(AND($K295=BZ$3,$C295="L"),-$O295,0)+IF(AND($K296=BZ$3,$C296="L"),-$O296,0)+IF(AND($K297=BZ$3,$C297="L"),-$O297,0),IF(OR(AND($K295=BZ$3,OR($C295="W",$C295="1/2W")),AND($K296=BZ$3,OR($C296="W",$C296="1/2W")),AND($K297=BZ$3,OR($C297="W",$C297="1/2W"))),$S295,0))</f>
        <v>0</v>
      </c>
      <c r="CA295" s="205">
        <f>IF($B295="LOSS",IF(AND($K295=CA$3,$C295="L"),-$O295,0)+IF(AND($K296=CA$3,$C296="L"),-$O296,0)+IF(AND($K297=CA$3,$C297="L"),-$O297,0),IF(OR(AND($K295=CA$3,OR($C295="W",$C295="1/2W")),AND($K296=CA$3,OR($C296="W",$C296="1/2W")),AND($K297=CA$3,OR($C297="W",$C297="1/2W"))),$S295,0))</f>
        <v>0</v>
      </c>
      <c r="CB295" s="205">
        <f>IF($B295="LOSS",IF(AND($K295=CB$3,$C295="L"),-$O295,0)+IF(AND($K296=CB$3,$C296="L"),-$O296,0)+IF(AND($K297=CB$3,$C297="L"),-$O297,0),IF(OR(AND($K295=CB$3,OR($C295="W",$C295="1/2W")),AND($K296=CB$3,OR($C296="W",$C296="1/2W")),AND($K297=CB$3,OR($C297="W",$C297="1/2W"))),$S295,0))</f>
        <v>0</v>
      </c>
      <c r="CC295" s="205">
        <f>IF($B295="LOSS",IF(AND($K295=CC$3,$C295="L"),-$O295,0)+IF(AND($K296=CC$3,$C296="L"),-$O296,0)+IF(AND($K297=CC$3,$C297="L"),-$O297,0),IF(OR(AND($K295=CC$3,OR($C295="W",$C295="1/2W")),AND($K296=CC$3,OR($C296="W",$C296="1/2W")),AND($K297=CC$3,OR($C297="W",$C297="1/2W"))),$S295,0))</f>
        <v>0</v>
      </c>
      <c r="CD295" s="202">
        <f>IF($B295="LOSS",IF(AND($K295=CD$3,$C295="L"),-$O295,0)+IF(AND($K296=CD$3,$C296="L"),-$O296,0)+IF(AND($K297=CD$3,$C297="L"),-$O297,0),IF(OR(AND($K295=CD$3,OR($C295="W",$C295="1/2W")),AND($K296=CD$3,OR($C296="W",$C296="1/2W")),AND($K297=CD$3,OR($C297="W",$C297="1/2W"))),$S295,0))</f>
        <v>79.26000000000001</v>
      </c>
      <c r="CE295" s="199">
        <f>IF($B295="LOSS",IF(AND($K295=CE$3,$C295="L"),-$O295,0)+IF(AND($K296=CE$3,$C296="L"),-$O296,0)+IF(AND($K297=CE$3,$C297="L"),-$O297,0),IF(OR(AND($K295=CE$3,OR($C295="W",$C295="1/2W")),AND($K296=CE$3,OR($C296="W",$C296="1/2W")),AND($K297=CE$3,OR($C297="W",$C297="1/2W"))),$S295,0))</f>
        <v>0</v>
      </c>
      <c r="CF295" s="206">
        <f>IF(CF$3=$K295,IF($C295="W",1,IF($C295="1/2W",0.5,0)),0)</f>
        <v>0</v>
      </c>
      <c r="CG295" s="207">
        <f>IF(CF$3=$K295,IF($C295="L",1,IF($C295="1/2L",0.5,0)),0)</f>
        <v>0</v>
      </c>
      <c r="CH295" s="207">
        <f>IF(CH$3=$K295,IF($C295="W",1,IF($C295="1/2W",0.5,0)),0)</f>
        <v>0</v>
      </c>
      <c r="CI295" s="207">
        <f>IF(CH$3=$K295,IF($C295="L",1,IF($C295="1/2L",0.5,0)),0)</f>
        <v>0</v>
      </c>
      <c r="CJ295" s="207">
        <f>IF(CJ$3=$K295,IF($C295="W",1,IF($C295="1/2W",0.5,0)),0)</f>
        <v>0</v>
      </c>
      <c r="CK295" s="207">
        <f>IF(CJ$3=$K295,IF($C295="L",1,IF($C295="1/2L",0.5,0)),0)</f>
        <v>0</v>
      </c>
      <c r="CL295" s="207">
        <f>IF(CL$3=$K295,IF($C295="W",1,IF($C295="1/2W",0.5,0)),0)</f>
        <v>0</v>
      </c>
      <c r="CM295" s="207">
        <f>IF(CL$3=$K295,IF($C295="L",1,IF($C295="1/2L",0.5,0)),0)</f>
        <v>0</v>
      </c>
      <c r="CN295" s="207">
        <f>IF(CN$3=$K295,IF($C295="W",1,IF($C295="1/2W",0.5,0)),0)</f>
        <v>0</v>
      </c>
      <c r="CO295" s="207">
        <f>IF(CN$3=$K295,IF($C295="L",1,IF($C295="1/2L",0.5,0)),0)</f>
        <v>0</v>
      </c>
      <c r="CP295" s="207">
        <f>IF(CP$3=$K295,IF($C295="W",1,IF($C295="1/2W",0.5,0)),0)</f>
        <v>0</v>
      </c>
      <c r="CQ295" s="207">
        <f>IF(CP$3=$K295,IF($C295="L",1,IF($C295="1/2L",0.5,0)),0)</f>
        <v>0</v>
      </c>
      <c r="CR295" s="207">
        <f>IF(CR$3=$K295,IF($C295="W",1,IF($C295="1/2W",0.5,0)),0)</f>
        <v>0</v>
      </c>
      <c r="CS295" s="207">
        <f>IF(CR$3=$K295,IF($C295="L",1,IF($C295="1/2L",0.5,0)),0)</f>
        <v>0</v>
      </c>
      <c r="CT295" s="208">
        <f>IF(CT$3=$K295,IF($C295="W",1,IF($C295="1/2W",0.5,0)),0)</f>
        <v>0</v>
      </c>
      <c r="CU295" s="209">
        <f>IF(CT$3=$K295,IF($C295="L",1,IF($C295="1/2L",0.5,0)),0)</f>
        <v>0</v>
      </c>
      <c r="CV295" s="209">
        <f>IF(CV$3=$K295,IF($C295="W",1,IF($C295="1/2W",0.5,0)),0)</f>
        <v>0</v>
      </c>
      <c r="CW295" s="209">
        <f>IF(CV$3=$K295,IF($C295="L",1,IF($C295="1/2L",0.5,0)),0)</f>
        <v>0</v>
      </c>
      <c r="CX295" s="209">
        <f>IF(CX$3=$K295,IF($C295="W",1,IF($C295="1/2W",0.5,0)),0)</f>
        <v>0</v>
      </c>
      <c r="CY295" s="209">
        <f>IF(CX$3=$K295,IF($C295="L",1,IF($C295="1/2L",0.5,0)),0)</f>
        <v>0</v>
      </c>
      <c r="CZ295" s="209">
        <f>IF(CZ$3=$K295,IF($C295="W",1,IF($C295="1/2W",0.5,0)),0)</f>
        <v>0</v>
      </c>
      <c r="DA295" s="209">
        <f>IF(CZ$3=$K295,IF($C295="L",1,IF($C295="1/2L",0.5,0)),0)</f>
        <v>0</v>
      </c>
      <c r="DB295" s="209">
        <f>IF(DB$3=$K295,IF($C295="W",1,IF($C295="1/2W",0.5,0)),0)</f>
        <v>0</v>
      </c>
      <c r="DC295" s="209">
        <f>IF(DB$3=$K295,IF($C295="L",1,IF($C295="1/2L",0.5,0)),0)</f>
        <v>0</v>
      </c>
      <c r="DD295" s="209">
        <f>IF(DD$3=$K295,IF($C295="W",1,IF($C295="1/2W",0.5,0)),0)</f>
        <v>0</v>
      </c>
      <c r="DE295" s="210">
        <f>IF(DD$3=$K295,IF($C295="L",1,IF($C295="1/2L",0.5,0)),0)</f>
        <v>0</v>
      </c>
      <c r="DF295" s="211">
        <f>IF(AND(L295&lt;DF$3,$C295="W"),1+DF294,DF294)</f>
        <v>12</v>
      </c>
      <c r="DG295" s="198">
        <f>IF(DF295&gt;DF294,L295+DG294,DG294)</f>
        <v>15.718</v>
      </c>
      <c r="DH295" s="209">
        <f>IF(AND(L295&gt;DH$3,$C295="W"),1+DH294,0+DH294)</f>
        <v>6</v>
      </c>
      <c r="DI295" s="198">
        <f>IF(DH295&gt;DH294,L295+DI294,DI294)</f>
        <v>30.83</v>
      </c>
      <c r="DJ295" t="s" s="306">
        <f>IF($D295="","",$D295)</f>
        <v>229</v>
      </c>
      <c r="DK295" s="209">
        <f>IF(AND($B295=" ",$D295&lt;&gt;""),1,0)</f>
        <v>0</v>
      </c>
    </row>
    <row r="296" ht="14.55" customHeight="1">
      <c r="A296" s="107"/>
      <c r="B296" s="108"/>
      <c r="C296" t="s" s="213">
        <v>56</v>
      </c>
      <c r="D296" s="110"/>
      <c r="E296" s="111"/>
      <c r="F296" s="113"/>
      <c r="G296" s="214"/>
      <c r="H296" s="114"/>
      <c r="I296" s="299">
        <v>2</v>
      </c>
      <c r="J296" t="s" s="216">
        <f>IF(OR(I295="TO",I295="TU",I295="TO1",I295="TU1",I295="TO2",I295="TU2"),J295,IF(OR(I295="AH1",I295="AH2"),IF(OR(I296="AH1",I296="AH2"),-J295,IF(OR(I296="EH1",I296="EH2"),-J295+0.5,"")),IF(OR(I295="EH1",I295="EH2"),IF(OR(I296="AH1",I296="AH2"),-J295+0.5,IF(OR(I296="EH1",I296="EH2"),-J295+1,"")),IF(AND(OR(I295="DNB1",I295="DNB2"),OR(I296="AH1",I296="AH2")),0,IF(AND(I295="Not ScoreBoth",OR(I296="TO1",I296="TO2")),0.5,"")))))</f>
      </c>
      <c r="K296" t="s" s="217">
        <v>48</v>
      </c>
      <c r="L296" s="218">
        <v>4</v>
      </c>
      <c r="M296" s="219">
        <v>26.42</v>
      </c>
      <c r="N296" s="120"/>
      <c r="O296" s="220">
        <f>IF(OR(AE295="",AE296=""),"",ROUND(IF(L297&gt;0,IF(M296&gt;0,M296,IF(M295&gt;0,IF(N295=TRUE,ROUND((M295*AE296)/AE295,0),(M295*AE296)/AE295),IF(M296&gt;0,ROUND(M296,IF(N295=0,2,IF(N295=0.1,1,0))),IF(M297&gt;0,ROUND(O297*AE296/AE297,IF(N295=0,2,IF(N295=0.1,1,0))),0)))),IF(M296&gt;0,M296,ROUND((M295*AE296)/AE295,IF(N295=0,2,IF(N295=0.1,1,0))))),2))</f>
        <v>26.42</v>
      </c>
      <c r="P296" s="221">
        <f>IF(OR(L296="",O296=""),"",IF($C296="1/2W",O296/2+O296/2*L296,IF($C296="1/2L",O296/2,IF(I296="Lay",((O296*(L296/(L296-1)))-O296)*(1-_xlfn.XLOOKUP(K296,'Janeiro 2023 - Valor Real'!A3:A15,'Janeiro 2023 - Valor Real'!C3:C15,0))+O296,(O296*L296-O296)*(1-_xlfn.XLOOKUP(K296,'Janeiro 2023 - Valor Real'!A3:A15,'Janeiro 2023 - Valor Real'!C3:C15,0))+O296))))</f>
        <v>105.68</v>
      </c>
      <c r="Q296" s="222">
        <f>IF(K296="","",IF(_xlfn.XLOOKUP(K296,K$104:K111,DJ$104:DJ111,0,,-1)=DJ296,_xlfn.XLOOKUP(K296,K$104:K111,Q$104:Q111,1,,-1)+1,1))</f>
        <v>1</v>
      </c>
      <c r="R296" s="223">
        <f>IF(K296="","",_xlfn.XLOOKUP(K296,K$104:K111,R$104:R111,0,,-1)+IF($C296=" ",1,0))</f>
        <v>0</v>
      </c>
      <c r="S296" s="125"/>
      <c r="T296" s="126"/>
      <c r="U296" s="126"/>
      <c r="V296" s="224"/>
      <c r="W296" s="126"/>
      <c r="X296" s="127"/>
      <c r="Y296" s="128"/>
      <c r="Z296" s="129"/>
      <c r="AA296" s="129"/>
      <c r="AB296" s="129"/>
      <c r="AC296" s="129"/>
      <c r="AD296" s="225">
        <f>(((L296/(L296-1)-1)*(1-_xlfn.XLOOKUP(K296,'Janeiro 2023 - Valor Real'!A3:A15,'Janeiro 2023 - Valor Real'!C3:C15,0))+1))</f>
        <v>1.33333333333333</v>
      </c>
      <c r="AE296" s="226">
        <f>IF(L296="","",IF(L297&gt;0,(SUM(((L295-1)*(1-_xlfn.XLOOKUP(K295,'Janeiro 2023 - Valor Real'!A3:A15,'Janeiro 2023 - Valor Real'!C3:C15,0))+1),((L296-1)*(1-_xlfn.XLOOKUP(K296,'Janeiro 2023 - Valor Real'!A3:A15,'Janeiro 2023 - Valor Real'!C3:C15,0))+1),((L297-1)*(1-_xlfn.XLOOKUP(K297,'Janeiro 2023 - Valor Real'!A3:A15,'Janeiro 2023 - Valor Real'!C3:C15,0))+1))/((L296-1)*(1-_xlfn.XLOOKUP(K296,'Janeiro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Real'!C3:C15,0))+1))/((L295-1)*(1-_xlfn.XLOOKUP(K295,'Janeiro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Real'!C3:C15,0))+1))/((L296-1)*(1-_xlfn.XLOOKUP(K296,'Janeiro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Real'!C3:C15,0))+1))/((L297-1)*(1-_xlfn.XLOOKUP(K297,'Janeiro 2023 - Valor Real'!A3:A15,'Janeiro 2023 - Valor Real'!C3:C15,0))+1)),IF(I296="Lay",IF(I295="Lay",((L295/(L295-1)-1)*(1-_xlfn.XLOOKUP(K295,'Janeiro 2023 - Valor Real'!A3:A15,'Janeiro 2023 - Valor Real'!C3:C15,0))+1)/(((L295/(L295-1)-1)*(1-_xlfn.XLOOKUP(K295,'Janeiro 2023 - Valor Real'!A3:A15,'Janeiro 2023 - Valor Real'!C3:C15,0))+1)+((L296/(L296-1)-1)*(1-_xlfn.XLOOKUP(K296,'Janeiro 2023 - Valor Real'!A3:A15,'Janeiro 2023 - Valor Real'!C3:C15,0))+1)),((L295-1)*(1-_xlfn.XLOOKUP(K295,'Janeiro 2023 - Valor Real'!A3:A15,'Janeiro 2023 - Valor Real'!C3:C15,0))+1)/(((L295-1)*(1-_xlfn.XLOOKUP(K295,'Janeiro 2023 - Valor Real'!A3:A15,'Janeiro 2023 - Valor Real'!C3:C15,0))+1)+((L296/(L296-1)-1)*(1-_xlfn.XLOOKUP(K296,'Janeiro 2023 - Valor Real'!A3:A15,'Janeiro 2023 - Valor Real'!C3:C15,0))+1))),IF(I295="Lay",((L295/(L295-1)-1)*(1-_xlfn.XLOOKUP(K295,'Janeiro 2023 - Valor Real'!A3:A15,'Janeiro 2023 - Valor Real'!C3:C15,0))+1)/((((L295/(L295-1)-1)*(1-_xlfn.XLOOKUP(K295,'Janeiro 2023 - Valor Real'!A3:A15,'Janeiro 2023 - Valor Real'!C3:C15,0))+1))+((L296-1)*(1-_xlfn.XLOOKUP(K296,'Janeiro 2023 - Valor Real'!A3:A15,'Janeiro 2023 - Valor Real'!C3:C15,0))+1)),((L295-1)*(1-_xlfn.XLOOKUP(K295,'Janeiro 2023 - Valor Real'!A3:A15,'Janeiro 2023 - Valor Real'!C3:C15,0))+1)/(((L295-1)*(1-_xlfn.XLOOKUP(K295,'Janeiro 2023 - Valor Real'!A3:A15,'Janeiro 2023 - Valor Real'!C3:C15,0))+1)+((L296-1)*(1-_xlfn.XLOOKUP(K296,'Janeiro 2023 - Valor Real'!A3:A15,'Janeiro 2023 - Valor Real'!C3:C15,0))+1))))))</f>
        <v>0.261992619926199</v>
      </c>
      <c r="AF296" s="197">
        <f>IF($K296=AF$3,ROUND(IF(OR($C296="W",$C296="1/2W",$C296="1/2L"),$P296-$O296,IF($C296="X",0,-$O296)),2),0)</f>
        <v>0</v>
      </c>
      <c r="AG296" s="198">
        <f>IF($K296=AG$3,ROUND(IF(OR($C296="W",$C296="1/2W",$C296="1/2L"),$P296-$O296,IF($C296="X",0,-$O296)),2),0)</f>
        <v>0</v>
      </c>
      <c r="AH296" s="198">
        <f>IF($K296=AH$3,ROUND(IF(OR($C296="W",$C296="1/2W",$C296="1/2L"),$P296-$O296,IF($C296="X",0,-$O296)),2),0)</f>
        <v>0</v>
      </c>
      <c r="AI296" s="198">
        <f>IF($K296=AI$3,ROUND(IF(OR($C296="W",$C296="1/2W",$C296="1/2L"),$P296-$O296,IF($C296="X",0,-$O296)),2),0)</f>
        <v>0</v>
      </c>
      <c r="AJ296" s="198">
        <f>IF($K296=AJ$3,ROUND(IF(OR($C296="W",$C296="1/2W",$C296="1/2L"),$P296-$O296,IF($C296="X",0,-$O296)),2),0)</f>
        <v>0</v>
      </c>
      <c r="AK296" s="198">
        <f>IF($K296=AK$3,ROUND(IF(OR($C296="W",$C296="1/2W",$C296="1/2L"),$P296-$O296,IF($C296="X",0,-$O296)),2),0)</f>
        <v>0</v>
      </c>
      <c r="AL296" s="198">
        <f>IF($K296=AL$3,ROUND(IF(OR($C296="W",$C296="1/2W",$C296="1/2L"),$P296-$O296,IF($C296="X",0,-$O296)),2),0)</f>
        <v>0</v>
      </c>
      <c r="AM296" s="198">
        <f>IF($K296=AM$3,ROUND(IF(OR($C296="W",$C296="1/2W",$C296="1/2L"),$P296-$O296,IF($C296="X",0,-$O296)),2),0)</f>
        <v>0</v>
      </c>
      <c r="AN296" s="198">
        <f>IF($K296=AN$3,ROUND(IF(OR($C296="W",$C296="1/2W",$C296="1/2L"),$P296-$O296,IF($C296="X",0,-$O296)),2),0)</f>
        <v>0</v>
      </c>
      <c r="AO296" s="198">
        <f>IF($K296=AO$3,ROUND(IF(OR($C296="W",$C296="1/2W",$C296="1/2L"),$P296-$O296,IF($C296="X",0,-$O296)),2),0)</f>
        <v>0</v>
      </c>
      <c r="AP296" s="198">
        <f>IF($K296=AP$3,ROUND(IF(OR($C296="W",$C296="1/2W",$C296="1/2L"),$P296-$O296,IF($C296="X",0,-$O296)),2),0)</f>
        <v>0</v>
      </c>
      <c r="AQ296" s="198">
        <f>IF($K296=AQ$3,ROUND(IF(OR($C296="W",$C296="1/2W",$C296="1/2L"),$P296-$O296,IF($C296="X",0,-$O296)),2),0)</f>
        <v>79.26000000000001</v>
      </c>
      <c r="AR296" s="199">
        <f>IF($K296=AR$3,ROUND(IF(OR($C296="W",$C296="1/2W",$C296="1/2L"),$P296-$O296,IF($C296="X",0,-$O296)),2),0)</f>
        <v>0</v>
      </c>
      <c r="AS296" s="197">
        <f>IF(AND($B295=" ",$K296=AS$3),$O296,0)</f>
        <v>0</v>
      </c>
      <c r="AT296" s="198">
        <f>IF(AND($B295=" ",K296=AT$3),$O296,0)</f>
        <v>0</v>
      </c>
      <c r="AU296" s="198">
        <f>IF(AND($B295=" ",$K296=AU$3),$O296,0)</f>
        <v>0</v>
      </c>
      <c r="AV296" s="198">
        <f>IF(AND($B295=" ",$K296=AV$3),$O296,0)</f>
        <v>0</v>
      </c>
      <c r="AW296" s="198">
        <f>IF(AND($B295=" ",$K296=AW$3),$O296,0)</f>
        <v>0</v>
      </c>
      <c r="AX296" s="198">
        <f>IF(AND($B295=" ",$K296=AX$3),$O296,0)</f>
        <v>0</v>
      </c>
      <c r="AY296" s="200">
        <f>IF(AND($B295=" ",$K296=AY$3),$O296,0)</f>
        <v>0</v>
      </c>
      <c r="AZ296" s="201">
        <f>IF(AND($B295=" ",$K296=AZ$3),$O296,0)</f>
        <v>0</v>
      </c>
      <c r="BA296" s="201">
        <f>IF(AND($B295=" ",$K296=BA$3),$O296,0)</f>
        <v>0</v>
      </c>
      <c r="BB296" s="201">
        <f>IF(AND($B295=" ",$K296=BB$3),$O296,0)</f>
        <v>0</v>
      </c>
      <c r="BC296" s="202">
        <f>IF(AND($B295=" ",$K296=BC$3),$O296,0)</f>
        <v>0</v>
      </c>
      <c r="BD296" s="198">
        <f>IF(AND($B295=" ",$K296=BD$3),$O296,0)</f>
        <v>0</v>
      </c>
      <c r="BE296" s="199">
        <f>IF(AND($B295=" ",$K296=BE$3),$O296,0)</f>
        <v>0</v>
      </c>
      <c r="BF296" s="197">
        <f>IF($K296=BF$3,IF($C296="X",0,$O296),0)</f>
        <v>0</v>
      </c>
      <c r="BG296" s="198">
        <f>IF($K296=BG$3,IF($C296="X",0,$O296),0)</f>
        <v>0</v>
      </c>
      <c r="BH296" s="198">
        <f>IF($K296=BH$3,IF($C296="X",0,$O296),0)</f>
        <v>0</v>
      </c>
      <c r="BI296" s="198">
        <f>IF($K296=BI$3,IF($C296="X",0,$O296),0)</f>
        <v>0</v>
      </c>
      <c r="BJ296" s="198">
        <f>IF($K296=BJ$3,IF($C296="X",0,$O296),0)</f>
        <v>0</v>
      </c>
      <c r="BK296" s="198">
        <f>IF($K296=BK$3,IF($C296="X",0,$O296),0)</f>
        <v>0</v>
      </c>
      <c r="BL296" s="198">
        <f>IF($K296=BL$3,IF($C296="X",0,$O296),0)</f>
        <v>0</v>
      </c>
      <c r="BM296" s="227">
        <f>IF($K296=BM$3,IF($C296="X",0,$O296),0)</f>
        <v>0</v>
      </c>
      <c r="BN296" s="205">
        <f>IF($K296=BN$3,IF($C296="X",0,$O296),0)</f>
        <v>0</v>
      </c>
      <c r="BO296" s="205">
        <f>IF($K296=BO$3,IF($C296="X",0,$O296),0)</f>
        <v>0</v>
      </c>
      <c r="BP296" s="205">
        <f>IF($K296=BP$3,IF($C296="X",0,$O296),0)</f>
        <v>0</v>
      </c>
      <c r="BQ296" s="202">
        <f>IF($K296=BQ$3,IF($C296="X",0,$O296),0)</f>
        <v>26.42</v>
      </c>
      <c r="BR296" s="199">
        <f>IF($K296=BR$3,IF($C296="X",0,$O296),0)</f>
        <v>0</v>
      </c>
      <c r="BS296" s="228"/>
      <c r="BT296" s="229"/>
      <c r="BU296" s="140"/>
      <c r="BV296" s="229"/>
      <c r="BW296" s="140"/>
      <c r="BX296" s="140"/>
      <c r="BY296" s="140"/>
      <c r="BZ296" s="229"/>
      <c r="CA296" s="140"/>
      <c r="CB296" s="140"/>
      <c r="CC296" s="140"/>
      <c r="CD296" s="141"/>
      <c r="CE296" s="142"/>
      <c r="CF296" s="230">
        <f>IF(CF$3=$K296,IF($C296="W",1,IF($C296="1/2W",0.5,0)),0)</f>
        <v>0</v>
      </c>
      <c r="CG296" s="231">
        <f>IF(CF$3=$K296,IF($C296="L",1,IF($C296="1/2L",0.5,0)),0)</f>
        <v>0</v>
      </c>
      <c r="CH296" s="231">
        <f>IF(CH$3=$K296,IF($C296="W",1,IF($C296="1/2W",0.5,0)),0)</f>
        <v>0</v>
      </c>
      <c r="CI296" s="231">
        <f>IF(CH$3=$K296,IF($C296="L",1,IF($C296="1/2L",0.5,0)),0)</f>
        <v>0</v>
      </c>
      <c r="CJ296" s="231">
        <f>IF(CJ$3=$K296,IF($C296="W",1,IF($C296="1/2W",0.5,0)),0)</f>
        <v>0</v>
      </c>
      <c r="CK296" s="231">
        <f>IF(CJ$3=$K296,IF($C296="L",1,IF($C296="1/2L",0.5,0)),0)</f>
        <v>0</v>
      </c>
      <c r="CL296" s="231">
        <f>IF(CL$3=$K296,IF($C296="W",1,IF($C296="1/2W",0.5,0)),0)</f>
        <v>0</v>
      </c>
      <c r="CM296" s="231">
        <f>IF(CL$3=$K296,IF($C296="L",1,IF($C296="1/2L",0.5,0)),0)</f>
        <v>0</v>
      </c>
      <c r="CN296" s="231">
        <f>IF(CN$3=$K296,IF($C296="W",1,IF($C296="1/2W",0.5,0)),0)</f>
        <v>0</v>
      </c>
      <c r="CO296" s="231">
        <f>IF(CN$3=$K296,IF($C296="L",1,IF($C296="1/2L",0.5,0)),0)</f>
        <v>0</v>
      </c>
      <c r="CP296" s="231">
        <f>IF(CP$3=$K296,IF($C296="W",1,IF($C296="1/2W",0.5,0)),0)</f>
        <v>0</v>
      </c>
      <c r="CQ296" s="231">
        <f>IF(CP$3=$K296,IF($C296="L",1,IF($C296="1/2L",0.5,0)),0)</f>
        <v>0</v>
      </c>
      <c r="CR296" s="231">
        <f>IF(CR$3=$K296,IF($C296="W",1,IF($C296="1/2W",0.5,0)),0)</f>
        <v>0</v>
      </c>
      <c r="CS296" s="231">
        <f>IF(CR$3=$K296,IF($C296="L",1,IF($C296="1/2L",0.5,0)),0)</f>
        <v>0</v>
      </c>
      <c r="CT296" s="208">
        <f>IF(CT$3=$K296,IF($C296="W",1,IF($C296="1/2W",0.5,0)),0)</f>
        <v>0</v>
      </c>
      <c r="CU296" s="209">
        <f>IF(CT$3=$K296,IF($C296="L",1,IF($C296="1/2L",0.5,0)),0)</f>
        <v>0</v>
      </c>
      <c r="CV296" s="209">
        <f>IF(CV$3=$K296,IF($C296="W",1,IF($C296="1/2W",0.5,0)),0)</f>
        <v>0</v>
      </c>
      <c r="CW296" s="209">
        <f>IF(CV$3=$K296,IF($C296="L",1,IF($C296="1/2L",0.5,0)),0)</f>
        <v>0</v>
      </c>
      <c r="CX296" s="209">
        <f>IF(CX$3=$K296,IF($C296="W",1,IF($C296="1/2W",0.5,0)),0)</f>
        <v>0</v>
      </c>
      <c r="CY296" s="209">
        <f>IF(CX$3=$K296,IF($C296="L",1,IF($C296="1/2L",0.5,0)),0)</f>
        <v>0</v>
      </c>
      <c r="CZ296" s="209">
        <f>IF(CZ$3=$K296,IF($C296="W",1,IF($C296="1/2W",0.5,0)),0)</f>
        <v>0</v>
      </c>
      <c r="DA296" s="209">
        <f>IF(CZ$3=$K296,IF($C296="L",1,IF($C296="1/2L",0.5,0)),0)</f>
        <v>0</v>
      </c>
      <c r="DB296" s="209">
        <f>IF(DB$3=$K296,IF($C296="W",1,IF($C296="1/2W",0.5,0)),0)</f>
        <v>1</v>
      </c>
      <c r="DC296" s="209">
        <f>IF(DB$3=$K296,IF($C296="L",1,IF($C296="1/2L",0.5,0)),0)</f>
        <v>0</v>
      </c>
      <c r="DD296" s="209">
        <f>IF(DD$3=$K296,IF($C296="W",1,IF($C296="1/2W",0.5,0)),0)</f>
        <v>0</v>
      </c>
      <c r="DE296" s="210">
        <f>IF(DD$3=$K296,IF($C296="L",1,IF($C296="1/2L",0.5,0)),0)</f>
        <v>0</v>
      </c>
      <c r="DF296" s="211">
        <f>IF(AND(L296&lt;DF$3,$C296="W"),1+DF295,DF295)</f>
        <v>12</v>
      </c>
      <c r="DG296" s="198">
        <f>IF(DF296&gt;DF295,L296+DG295,DG295)</f>
        <v>15.718</v>
      </c>
      <c r="DH296" s="209">
        <f>IF(AND(L296&gt;DH$3,$C296="W"),1+DH295,0+DH295)</f>
        <v>7</v>
      </c>
      <c r="DI296" s="198">
        <f>IF(DH296&gt;DH295,L296+DI295,DI295)</f>
        <v>34.83</v>
      </c>
      <c r="DJ296" t="s" s="306">
        <f>IF($D295="","",$D295)</f>
        <v>229</v>
      </c>
      <c r="DK296" s="232"/>
    </row>
    <row r="297" ht="14.55" customHeight="1">
      <c r="A297" s="149"/>
      <c r="B297" s="150"/>
      <c r="C297" t="s" s="233">
        <v>58</v>
      </c>
      <c r="D297" s="152"/>
      <c r="E297" s="153"/>
      <c r="F297" s="155"/>
      <c r="G297" s="234"/>
      <c r="H297" s="156"/>
      <c r="I297" s="235"/>
      <c r="J297" s="236"/>
      <c r="K297" s="237"/>
      <c r="L297" s="238"/>
      <c r="M297" s="239"/>
      <c r="N297" s="161"/>
      <c r="O297" t="s" s="240">
        <f>IF(OR(AE295="",AE296=""),"",IF(L297&gt;0,ROUND(IF(M297&gt;0,M297,IF(M295&gt;0,ROUND((M295*AE297)/AE295,IF(N295=0,2,IF(N295=0.1,1,0))),IF(M296&gt;0,ROUND((M296*AE297)/AE296,IF(N295=0,2,IF(N295=0.1,1,0))),IF(M297&gt;0,M297,0)))),2),""))</f>
      </c>
      <c r="P297" t="s" s="241">
        <f>IF(I296="Lay",O296*(L296/(L296-1))-O296,IF(I295="Lay",O295*(L295/(L295-1))-O295,IF(OR(L297="",O297=""),"",IF($C297="1/2W",O297/2+O297/2*L297,IF($C297="1/2L",O297/2,(O297*L297-O297)*(1-_xlfn.XLOOKUP(K297,'Janeiro 2023 - Valor Real'!A3:A15,'Janeiro 2023 - Valor Real'!C3:C15,0))+O297)))))</f>
      </c>
      <c r="Q297" t="s" s="242">
        <f>IF(K297="","",IF(_xlfn.XLOOKUP(K297,K$105:K112,DJ$105:DJ112,0,,-1)=DJ297,_xlfn.XLOOKUP(K297,K$105:K112,Q$105:Q112,1,,-1)+1,1))</f>
      </c>
      <c r="R297" t="s" s="243">
        <f>IF(K297="","",_xlfn.XLOOKUP(K297,K$105:K112,R$105:R112,0,,-1)+IF($C297=" ",1,0))</f>
      </c>
      <c r="S297" s="166"/>
      <c r="T297" s="155"/>
      <c r="U297" s="155"/>
      <c r="V297" s="166"/>
      <c r="W297" s="155"/>
      <c r="X297" s="167"/>
      <c r="Y297" s="128"/>
      <c r="Z297" s="129"/>
      <c r="AA297" s="129"/>
      <c r="AB297" s="129"/>
      <c r="AC297" s="129"/>
      <c r="AD297" s="244">
        <f>((L296/(L296-1)-1))</f>
        <v>0.333333333333333</v>
      </c>
      <c r="AE297" t="s" s="245">
        <f>IF(L297="","",(SUM(((L295-1)*(1-_xlfn.XLOOKUP(K295,'Janeiro 2023 - Valor Real'!A3:A15,'Janeiro 2023 - Valor Real'!C3:C15,0))+1),((L296-1)*(1-_xlfn.XLOOKUP(K296,'Janeiro 2023 - Valor Real'!A3:A15,'Janeiro 2023 - Valor Real'!C3:C15,0))+1),((L297-1)*(1-_xlfn.XLOOKUP(K297,'Janeiro 2023 - Valor Real'!A3:A15,'Janeiro 2023 - Valor Real'!C3:C15,0))+1))/((L297-1)*(1-_xlfn.XLOOKUP(K297,'Janeiro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Real'!C3:C15,0))+1))/((L295-1)*(1-_xlfn.XLOOKUP(K295,'Janeiro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Real'!C3:C15,0))+1))/((L296-1)*(1-_xlfn.XLOOKUP(K296,'Janeiro 2023 - Valor Real'!A3:A15,'Janeiro 2023 - Valor Real'!C3:C15,0))+1)+SUM(((L295-1)*(1-_xlfn.XLOOKUP(K295,'Janeiro 2023 - Valor Real'!A3:A15,'Janeiro 2023 - Valor Real'!C3:C15,0))+1),((L296-1)*(1-_xlfn.XLOOKUP(K296,'Janeiro 2023 - Valor Real'!A3:A15,'Janeiro 2023 - Valor Real'!C3:C15,0))+1),((L297-1)*(1-_xlfn.XLOOKUP(K297,'Janeiro 2023 - Valor Real'!A3:A15,'Janeiro 2023 - Valor Real'!C3:C15,0))+1))/((L297-1)*(1-_xlfn.XLOOKUP(K297,'Janeiro 2023 - Valor Real'!A3:A15,'Janeiro 2023 - Valor Real'!C3:C15,0))+1)))</f>
      </c>
      <c r="AF297" s="197">
        <f>IF($K297=AF$3,ROUND(IF(OR($C297="W",$C297="1/2W",$C297="1/2L"),$P297-$O297,IF($C297="X",0,-$O297)),2),0)</f>
        <v>0</v>
      </c>
      <c r="AG297" s="198">
        <f>IF($K297=AG$3,ROUND(IF(OR($C297="W",$C297="1/2W",$C297="1/2L"),$P297-$O297,IF($C297="X",0,-$O297)),2),0)</f>
        <v>0</v>
      </c>
      <c r="AH297" s="198">
        <f>IF($K297=AH$3,ROUND(IF(OR($C297="W",$C297="1/2W",$C297="1/2L"),$P297-$O297,IF($C297="X",0,-$O297)),2),0)</f>
        <v>0</v>
      </c>
      <c r="AI297" s="198">
        <f>IF($K297=AI$3,ROUND(IF(OR($C297="W",$C297="1/2W",$C297="1/2L"),$P297-$O297,IF($C297="X",0,-$O297)),2),0)</f>
        <v>0</v>
      </c>
      <c r="AJ297" s="198">
        <f>IF($K297=AJ$3,ROUND(IF(OR($C297="W",$C297="1/2W",$C297="1/2L"),$P297-$O297,IF($C297="X",0,-$O297)),2),0)</f>
        <v>0</v>
      </c>
      <c r="AK297" s="198">
        <f>IF($K297=AK$3,ROUND(IF(OR($C297="W",$C297="1/2W",$C297="1/2L"),$P297-$O297,IF($C297="X",0,-$O297)),2),0)</f>
        <v>0</v>
      </c>
      <c r="AL297" s="198">
        <f>IF($K297=AL$3,ROUND(IF(OR($C297="W",$C297="1/2W",$C297="1/2L"),$P297-$O297,IF($C297="X",0,-$O297)),2),0)</f>
        <v>0</v>
      </c>
      <c r="AM297" s="198">
        <f>IF($K297=AM$3,ROUND(IF(OR($C297="W",$C297="1/2W",$C297="1/2L"),$P297-$O297,IF($C297="X",0,-$O297)),2),0)</f>
        <v>0</v>
      </c>
      <c r="AN297" s="198">
        <f>IF($K297=AN$3,ROUND(IF(OR($C297="W",$C297="1/2W",$C297="1/2L"),$P297-$O297,IF($C297="X",0,-$O297)),2),0)</f>
        <v>0</v>
      </c>
      <c r="AO297" s="198">
        <f>IF($K297=AO$3,ROUND(IF(OR($C297="W",$C297="1/2W",$C297="1/2L"),$P297-$O297,IF($C297="X",0,-$O297)),2),0)</f>
        <v>0</v>
      </c>
      <c r="AP297" s="198">
        <f>IF($K297=AP$3,ROUND(IF(OR($C297="W",$C297="1/2W",$C297="1/2L"),$P297-$O297,IF($C297="X",0,-$O297)),2),0)</f>
        <v>0</v>
      </c>
      <c r="AQ297" s="198">
        <f>IF($K297=AQ$3,ROUND(IF(OR($C297="W",$C297="1/2W",$C297="1/2L"),$P297-$O297,IF($C297="X",0,-$O297)),2),0)</f>
        <v>0</v>
      </c>
      <c r="AR297" s="199">
        <f>IF($K297=AR$3,ROUND(IF(OR($C297="W",$C297="1/2W",$C297="1/2L"),$P297-$O297,IF($C297="X",0,-$O297)),2),0)</f>
        <v>0</v>
      </c>
      <c r="AS297" s="197">
        <f>IF(AND($B295=" ",$K297=AS$3),$O297,0)</f>
        <v>0</v>
      </c>
      <c r="AT297" s="198">
        <f>IF(AND($B295=" ",K297=AT$3),$O297,0)</f>
        <v>0</v>
      </c>
      <c r="AU297" s="198">
        <f>IF(AND($B295=" ",$K297=AU$3),$O297,0)</f>
        <v>0</v>
      </c>
      <c r="AV297" s="198">
        <f>IF(AND($B295=" ",$K297=AV$3),$O297,0)</f>
        <v>0</v>
      </c>
      <c r="AW297" s="198">
        <f>IF(AND($B295=" ",$K297=AW$3),$O297,0)</f>
        <v>0</v>
      </c>
      <c r="AX297" s="198">
        <f>IF(AND($B295=" ",$K297=AX$3),$O297,0)</f>
        <v>0</v>
      </c>
      <c r="AY297" s="200">
        <f>IF(AND($B295=" ",$K297=AY$3),$O297,0)</f>
        <v>0</v>
      </c>
      <c r="AZ297" s="201">
        <f>IF(AND($B295=" ",$K297=AZ$3),$O297,0)</f>
        <v>0</v>
      </c>
      <c r="BA297" s="201">
        <f>IF(AND($B295=" ",$K297=BA$3),$O297,0)</f>
        <v>0</v>
      </c>
      <c r="BB297" s="201">
        <f>IF(AND($B295=" ",$K297=BB$3),$O297,0)</f>
        <v>0</v>
      </c>
      <c r="BC297" s="202">
        <f>IF(AND($B295=" ",$K297=BC$3),$O297,0)</f>
        <v>0</v>
      </c>
      <c r="BD297" s="198">
        <f>IF(AND($B295=" ",$K297=BD$3),$O297,0)</f>
        <v>0</v>
      </c>
      <c r="BE297" s="199">
        <f>IF(AND($B295=" ",$K297=BE$3),$O297,0)</f>
        <v>0</v>
      </c>
      <c r="BF297" s="197">
        <f>IF($K297=BF$3,IF($C297="X",0,$O297),0)</f>
        <v>0</v>
      </c>
      <c r="BG297" s="198">
        <f>IF($K297=BG$3,IF($C297="X",0,$O297),0)</f>
        <v>0</v>
      </c>
      <c r="BH297" s="198">
        <f>IF($K297=BH$3,IF($C297="X",0,$O297),0)</f>
        <v>0</v>
      </c>
      <c r="BI297" s="198">
        <f>IF($K297=BI$3,IF($C297="X",0,$O297),0)</f>
        <v>0</v>
      </c>
      <c r="BJ297" s="198">
        <f>IF($K297=BJ$3,IF($C297="X",0,$O297),0)</f>
        <v>0</v>
      </c>
      <c r="BK297" s="198">
        <f>IF($K297=BK$3,IF($C297="X",0,$O297),0)</f>
        <v>0</v>
      </c>
      <c r="BL297" s="198">
        <f>IF($K297=BL$3,IF($C297="X",0,$O297),0)</f>
        <v>0</v>
      </c>
      <c r="BM297" s="200">
        <f>IF($K297=BM$3,IF($C297="X",0,$O297),0)</f>
        <v>0</v>
      </c>
      <c r="BN297" s="201">
        <f>IF($K297=BN$3,IF($C297="X",0,$O297),0)</f>
        <v>0</v>
      </c>
      <c r="BO297" s="201">
        <f>IF($K297=BO$3,IF($C297="X",0,$O297),0)</f>
        <v>0</v>
      </c>
      <c r="BP297" s="201">
        <f>IF($K297=BP$3,IF($C297="X",0,$O297),0)</f>
        <v>0</v>
      </c>
      <c r="BQ297" s="202">
        <f>IF($K297=BQ$3,IF($C297="X",0,$O297),0)</f>
        <v>0</v>
      </c>
      <c r="BR297" s="199">
        <f>IF($K297=BR$3,IF($C297="X",0,$O297),0)</f>
        <v>0</v>
      </c>
      <c r="BS297" s="228"/>
      <c r="BT297" s="229"/>
      <c r="BU297" s="140"/>
      <c r="BV297" s="229"/>
      <c r="BW297" s="140"/>
      <c r="BX297" s="140"/>
      <c r="BY297" s="140"/>
      <c r="BZ297" s="229"/>
      <c r="CA297" s="140"/>
      <c r="CB297" s="140"/>
      <c r="CC297" s="140"/>
      <c r="CD297" s="141"/>
      <c r="CE297" s="142"/>
      <c r="CF297" s="230">
        <f>IF(CF$3=$K297,IF($C297="W",1,IF($C297="1/2W",0.5,0)),0)</f>
        <v>0</v>
      </c>
      <c r="CG297" s="231">
        <f>IF(CF$3=$K297,IF($C297="L",1,IF($C297="1/2L",0.5,0)),0)</f>
        <v>0</v>
      </c>
      <c r="CH297" s="231">
        <f>IF(CH$3=$K297,IF($C297="W",1,IF($C297="1/2W",0.5,0)),0)</f>
        <v>0</v>
      </c>
      <c r="CI297" s="231">
        <f>IF(CH$3=$K297,IF($C297="L",1,IF($C297="1/2L",0.5,0)),0)</f>
        <v>0</v>
      </c>
      <c r="CJ297" s="231">
        <f>IF(CJ$3=$K297,IF($C297="W",1,IF($C297="1/2W",0.5,0)),0)</f>
        <v>0</v>
      </c>
      <c r="CK297" s="231">
        <f>IF(CJ$3=$K297,IF($C297="L",1,IF($C297="1/2L",0.5,0)),0)</f>
        <v>0</v>
      </c>
      <c r="CL297" s="231">
        <f>IF(CL$3=$K297,IF($C297="W",1,IF($C297="1/2W",0.5,0)),0)</f>
        <v>0</v>
      </c>
      <c r="CM297" s="231">
        <f>IF(CL$3=$K297,IF($C297="L",1,IF($C297="1/2L",0.5,0)),0)</f>
        <v>0</v>
      </c>
      <c r="CN297" s="231">
        <f>IF(CN$3=$K297,IF($C297="W",1,IF($C297="1/2W",0.5,0)),0)</f>
        <v>0</v>
      </c>
      <c r="CO297" s="231">
        <f>IF(CN$3=$K297,IF($C297="L",1,IF($C297="1/2L",0.5,0)),0)</f>
        <v>0</v>
      </c>
      <c r="CP297" s="231">
        <f>IF(CP$3=$K297,IF($C297="W",1,IF($C297="1/2W",0.5,0)),0)</f>
        <v>0</v>
      </c>
      <c r="CQ297" s="231">
        <f>IF(CP$3=$K297,IF($C297="L",1,IF($C297="1/2L",0.5,0)),0)</f>
        <v>0</v>
      </c>
      <c r="CR297" s="231">
        <f>IF(CR$3=$K297,IF($C297="W",1,IF($C297="1/2W",0.5,0)),0)</f>
        <v>0</v>
      </c>
      <c r="CS297" s="231">
        <f>IF(CR$3=$K297,IF($C297="L",1,IF($C297="1/2L",0.5,0)),0)</f>
        <v>0</v>
      </c>
      <c r="CT297" s="208">
        <f>IF(CT$3=$K297,IF($C297="W",1,IF($C297="1/2W",0.5,0)),0)</f>
        <v>0</v>
      </c>
      <c r="CU297" s="209">
        <f>IF(CT$3=$K297,IF($C297="L",1,IF($C297="1/2L",0.5,0)),0)</f>
        <v>0</v>
      </c>
      <c r="CV297" s="209">
        <f>IF(CV$3=$K297,IF($C297="W",1,IF($C297="1/2W",0.5,0)),0)</f>
        <v>0</v>
      </c>
      <c r="CW297" s="209">
        <f>IF(CV$3=$K297,IF($C297="L",1,IF($C297="1/2L",0.5,0)),0)</f>
        <v>0</v>
      </c>
      <c r="CX297" s="209">
        <f>IF(CX$3=$K297,IF($C297="W",1,IF($C297="1/2W",0.5,0)),0)</f>
        <v>0</v>
      </c>
      <c r="CY297" s="209">
        <f>IF(CX$3=$K297,IF($C297="L",1,IF($C297="1/2L",0.5,0)),0)</f>
        <v>0</v>
      </c>
      <c r="CZ297" s="209">
        <f>IF(CZ$3=$K297,IF($C297="W",1,IF($C297="1/2W",0.5,0)),0)</f>
        <v>0</v>
      </c>
      <c r="DA297" s="209">
        <f>IF(CZ$3=$K297,IF($C297="L",1,IF($C297="1/2L",0.5,0)),0)</f>
        <v>0</v>
      </c>
      <c r="DB297" s="209">
        <f>IF(DB$3=$K297,IF($C297="W",1,IF($C297="1/2W",0.5,0)),0)</f>
        <v>0</v>
      </c>
      <c r="DC297" s="209">
        <f>IF(DB$3=$K297,IF($C297="L",1,IF($C297="1/2L",0.5,0)),0)</f>
        <v>0</v>
      </c>
      <c r="DD297" s="209">
        <f>IF(DD$3=$K297,IF($C297="W",1,IF($C297="1/2W",0.5,0)),0)</f>
        <v>0</v>
      </c>
      <c r="DE297" s="210">
        <f>IF(DD$3=$K297,IF($C297="L",1,IF($C297="1/2L",0.5,0)),0)</f>
        <v>0</v>
      </c>
      <c r="DF297" s="211">
        <f>IF(AND(L297&lt;DF$3,$C297="W"),1+DF296,DF296)</f>
        <v>12</v>
      </c>
      <c r="DG297" s="198">
        <f>IF(DF297&gt;DF296,L297+DG296,DG296)</f>
        <v>15.718</v>
      </c>
      <c r="DH297" s="209">
        <f>IF(AND(L297&gt;DH$3,$C297="W"),1+DH296,0+DH296)</f>
        <v>7</v>
      </c>
      <c r="DI297" s="198">
        <f>IF(DH297&gt;DH296,L297+DI296,DI296)</f>
        <v>34.83</v>
      </c>
      <c r="DJ297" t="s" s="306">
        <f>IF($D295="","",$D295)</f>
        <v>229</v>
      </c>
      <c r="DK297" s="232"/>
    </row>
    <row r="298" ht="14.55" customHeight="1">
      <c r="A298" s="246">
        <f>$A295+1</f>
        <v>99</v>
      </c>
      <c r="B298" t="s" s="247">
        <f>IF(AND(_xlfn.XLOOKUP(H298,H$100:H107,G$100:G107,0)=G298,_xlfn.XLOOKUP("TempoBet",K298:K300,L298:L300,0)&gt;0),"X",IF(OR(C298="W",C299="W",C300="W",C298="1/2W",C299="1/2W",C300="1/2W",C298="1/2L",C299="1/2L",C300="1/2L"),"OK",IF(OR(C298="L",C299="L",C300="L"),"LOSS",IF(OR(C298="X",C299="X",C300="X"),"Anulado"," "))))</f>
        <v>50</v>
      </c>
      <c r="C298" t="s" s="248">
        <v>51</v>
      </c>
      <c r="D298" t="s" s="303">
        <f>IF(G298="","",$D295)</f>
        <v>229</v>
      </c>
      <c r="E298" t="s" s="250">
        <v>163</v>
      </c>
      <c r="F298" t="s" s="251"/>
      <c r="G298" s="252">
        <v>44945.878472222219</v>
      </c>
      <c r="H298" t="s" s="253">
        <v>267</v>
      </c>
      <c r="I298" t="s" s="254">
        <v>54</v>
      </c>
      <c r="J298" s="255">
        <v>2</v>
      </c>
      <c r="K298" t="s" s="256">
        <v>44</v>
      </c>
      <c r="L298" s="257">
        <v>2.43</v>
      </c>
      <c r="M298" s="258">
        <v>11.86</v>
      </c>
      <c r="N298" s="259">
        <v>0</v>
      </c>
      <c r="O298" s="260">
        <f>IF(OR(AE298="",AE299=""),"",ROUND(IF(L300&gt;0,IF(M298&gt;0,M298,IF(M299&gt;0,ROUND((M299*AE298)/AE299,IF(N298=0,2,IF(N298=0.1,1,0))),ROUND((M300*AE298)/AE300,IF(N298=0,2,IF(N298=0.1,1,0))))),IF(M298&gt;0,M298,ROUND((M299*AE298)/AE299,IF(N298=0,2,IF(N298=0.1,1,0))))),2))</f>
        <v>11.86</v>
      </c>
      <c r="P298" s="261">
        <f>IF(OR(L298="",O298=""),"",IF($C298="1/2W",O298/2+O298/2*L298,IF($C298="1/2L",O298/2,IF(I298="Lay",(O298*(L298/(L298-1))-O298)*(1-_xlfn.XLOOKUP(K298,'Janeiro 2023 - Valor Real'!A3:A15,'Janeiro 2023 - Valor Real'!C3:C15,0))+O298,(O298*L298-O298)*(1-_xlfn.XLOOKUP(K298,'Janeiro 2023 - Valor Real'!A3:A15,'Janeiro 2023 - Valor Real'!C3:C15,0))+O298))))</f>
        <v>28.8198</v>
      </c>
      <c r="Q298" s="262">
        <f>IF(K298="","",IF(_xlfn.XLOOKUP(K298,K$100:K107,DJ$100:DJ107,0,,-1)=DJ298,_xlfn.XLOOKUP(K298,K$100:K107,Q$100:Q107,1,,-1)+1,1))</f>
        <v>1</v>
      </c>
      <c r="R298" s="263">
        <f>IF(K298="","",_xlfn.XLOOKUP(K298,K$100:K107,R$100:R107,0,,-1)+IF($C298=" ",1,0))</f>
        <v>0</v>
      </c>
      <c r="S298" s="264">
        <f>IF($B298="Anulado",0,ROUND(IF(OR($B298="LOSS",$B298="OK"),IF(OR($C298="W",$C298="1/2W",$C298="1/2L"),P298-O298,IF($C298="L",-O298,0))+IF(OR($C299="W",$C299="1/2W",$C299="1/2L"),P299-O299,IF($C299="L",-O299,0))+IF(OR($C300="W",$C300="1/2W",$C300="1/2L"),P300-O300,IF($C300="L",-O300,0)),IF(AND(OR($C298="W",$C298="1/2W",$C298="1/2L"),C299="W"),P298+P299-SUM(O298:O300)+_xlfn.XLOOKUP("X",C298:C300,O298:O300,0),IF(AND(C298=TRUE,C300="W"),P298+P300-SUM(O298:O300),IF(AND(C299="W",C300="W"),P299+P300-SUM(O298:O300)+_xlfn.XLOOKUP("X",C298:C300,O298:O300,0),IF(L300&gt;0,IF(OR($C298="W",$C298="1/2W",$C298="1/2L"),P298-SUM(O298:O300)+_xlfn.XLOOKUP("X",C298:C300,O298:O300,0),IF(OR($C298="W",$C298="1/2W",$C298="1/2L"),P299-SUM(O298:O300)+_xlfn.XLOOKUP("X",C298:C300,O298:O300,0),IF(OR($C298="W",$C298="1/2W",$C298="1/2L"),P300-SUM(O298:O300)+_xlfn.XLOOKUP("X",C298:C300,O298:O300,0),IF(SUM(P298:P300)/3-SUM(O298:O300)+_xlfn.XLOOKUP("X",C298:C300,O298:O300,0)&gt;0,SUM(P298:P300)/3-SUM(O298:O300)+_xlfn.XLOOKUP("X",C298:C300,O298:O300,0),LARGE(P298:P300,1)-SUM(O298:O300))))),IF(OR($C298="W",$C298="1/2W",$C298="1/2L"),P298-SUM(O298:O299)+_xlfn.XLOOKUP("X",C298:C300,O298:O300,0),IF(OR($C298="W",$C298="1/2W",$C298="1/2L"),P299-SUM(O298:O299)+_xlfn.XLOOKUP("X",C298:C300,O298:O300,0),SUM(P298:P299)/2-SUM(O298:O299)+_xlfn.XLOOKUP("X",C298:C300,O298:O300,0)))))))),2))</f>
        <v>1.35</v>
      </c>
      <c r="T298" s="265">
        <f>IF(S298=0,0,S298/SUM(O298:O300))</f>
        <v>0.0492700729927007</v>
      </c>
      <c r="U298" s="266">
        <f>IF($D298=$D295,IF(OR($B298="LOSS",$B298="OK",$B298="Anulada"),S298,0)+U295,IF(OR($B298="LOSS",$B298="OK",$B298="Anulada"),S298,0))</f>
        <v>101.2</v>
      </c>
      <c r="V298" s="266">
        <f>IF($D298="",0,IF($D298=$D295,IF($B298=" ",IF(I300="",IF(OR(AND(I298="DNB1",I299="DNB2"),AND(OR(I298="DNB1",I298="DNB2"),J299=0),AND(OR(I299="DNB1",I299="DNB2"),J298=0),AND(I298="DNB2",I299="DNB1"),AND(IF(J298=0,(J298+1)/ROUND(J298+1,0),J298/ROUND(J298,0))=1,IF(J299=0,(J299+1)/ROUND(IF(J299="",0,J299)+1,0),IF(J299="",0,J299)/ROUND(IF(J299="",1,J299),0))=1,OR(J298&lt;&gt;""),J299&lt;&gt;"")),0,IF(S298&lt;0,IF(I300="",SMALL(P298:P299,1)-SUM(O298:O299),0),SMALL(P298:P299,1)-SUM(O298:O299))),IF(S298&lt;0,IF(I300="",SMALL(P298:P300,1)-SUM(O298:O300),0),LARGE(P298:P300,1)-SUM(O298:O300))),S298)+V295,IF(I300="",IF(OR(AND(I298="DNB1",I299="DNB2"),AND(OR(I298="DNB1",I298="DNB2"),J299=0),AND(OR(I299="DNB1",I299="DNB2"),J298=0),AND(I298="DNB2",I299="DNB1"),AND(IF(J298=0,(J298+1)/ROUND(J298+1,0),J298/ROUND(J298,0))=1,IF(J299=0,(IF(J299="",0,J299)+1)/ROUND(IF(J299="",0,J299)+1,0),IF(J299="",0,J299)/ROUND(IF(J299="",0,J299)+1,0))=1,OR(J298&lt;&gt;""),J299&lt;&gt;"")),0,IF(S298&lt;0,IF(I300="",SMALL(P298:P299,1)-SUM(O298:O299),0),SMALL(P298:P300,1)-SUM(O298:O300))),IF(S298&lt;0,IF(I300="",SMALL(P298:P300,1)-SUM(O298:O300),0),LARGE(P298:P300,1)-SUM(O298:O300)))))</f>
        <v>101.196</v>
      </c>
      <c r="W298" s="266">
        <f>IF($D298=$D295,IF(S298&lt;0,IF(I300="",S298,0),S298)+W295,S298)</f>
        <v>101.2</v>
      </c>
      <c r="X298" t="s" s="267">
        <f>IF(OR(SUM(R298:R300)=0,V298=W298),ROUND(IF(W298=0,0,W298/Y298)*100,2)&amp;"%",ROUND(IF(V298=0,0,V298/Y298)*100,2)&amp;"% a "&amp;ROUND(IF(W298=0,0,W298/Y298)*100,2)&amp;"%")</f>
        <v>268</v>
      </c>
      <c r="Y298" s="268">
        <f>IF($D298=$D295,Y295+SUM(O298:O300),SUM(O298:O300))</f>
        <v>804.66</v>
      </c>
      <c r="Z298" s="266">
        <f>IF($B298=" ",SUM(O298:O300),0)+Z295</f>
        <v>0</v>
      </c>
      <c r="AA298" s="266">
        <f>IF(G298="","",IF($B298="Anulado",LARGE(P298:P300,1)-SUM(O298:O300)+AA295,AA295))</f>
        <v>16.5099</v>
      </c>
      <c r="AB298" s="266">
        <f>IF($D298="","",AB295+S298)</f>
        <v>303.37</v>
      </c>
      <c r="AC298" s="269">
        <f>IF($D298="","",IF($B298=" ",IF(DAY(G298)=DAY(TODAY()),1+AC295,0+AC295),0+AC295))</f>
        <v>0</v>
      </c>
      <c r="AD298" s="270">
        <f>(1-_xlfn.XLOOKUP(K296,'Janeiro 2023 - Valor Real'!A3:A15,'Janeiro 2023 - Valor Real'!C3:C15,0))+1</f>
        <v>2</v>
      </c>
      <c r="AE298" s="271">
        <f>IF(L298="","",IF(L300&gt;0,(SUM(((L298-1)*(1-_xlfn.XLOOKUP(K298,'Janeiro 2023 - Valor Real'!A3:A15,'Janeiro 2023 - Valor Real'!C3:C15,0))+1),((L299-1)*(1-_xlfn.XLOOKUP(K299,'Janeiro 2023 - Valor Real'!A3:A15,'Janeiro 2023 - Valor Real'!C3:C15,0))+1),((L300-1)*(1-_xlfn.XLOOKUP(K300,'Janeiro 2023 - Valor Real'!A3:A15,'Janeiro 2023 - Valor Real'!C3:C15,0))+1))/((L298-1)*(1-_xlfn.XLOOKUP(K298,'Janeiro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Real'!C3:C15,0))+1))/((L298-1)*(1-_xlfn.XLOOKUP(K298,'Janeiro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Real'!C3:C15,0))+1))/((L299-1)*(1-_xlfn.XLOOKUP(K299,'Janeiro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Real'!C3:C15,0))+1))/((L300-1)*(1-_xlfn.XLOOKUP(K300,'Janeiro 2023 - Valor Real'!A3:A15,'Janeiro 2023 - Valor Real'!C3:C15,0))+1)),IF(I298="Lay",IF(I299="Lay",((L299/(L299-1)-1)*(1-_xlfn.XLOOKUP(K299,'Janeiro 2023 - Valor Real'!A3:A15,'Janeiro 2023 - Valor Real'!C3:C15,0))+1)/(((L299/(L299-1)-1)*(1-_xlfn.XLOOKUP(K299,'Janeiro 2023 - Valor Real'!A3:A15,'Janeiro 2023 - Valor Real'!C3:C15,0))+1)+((L298/(L298-1)-1)*(1-_xlfn.XLOOKUP(K298,'Janeiro 2023 - Valor Real'!A3:A15,'Janeiro 2023 - Valor Real'!C3:C15,0))+1)),((L299-1)*(1-_xlfn.XLOOKUP(K299,'Janeiro 2023 - Valor Real'!A3:A15,'Janeiro 2023 - Valor Real'!C3:C15,0))+1)/(((L299-1)*(1-_xlfn.XLOOKUP(K299,'Janeiro 2023 - Valor Real'!A3:A15,'Janeiro 2023 - Valor Real'!C3:C15,0))+1)+((L298/(L298-1)-1)*(1-_xlfn.XLOOKUP(K298,'Janeiro 2023 - Valor Real'!A3:A15,'Janeiro 2023 - Valor Real'!C3:C15,0))+1))),IF(I299="Lay",(((L299/(L299-1)-1)*(1-_xlfn.XLOOKUP(K299,'Janeiro 2023 - Valor Real'!A3:A15,'Janeiro 2023 - Valor Real'!C3:C15,0))+1))/(((L298-1)*(1-_xlfn.XLOOKUP(K298,'Janeiro 2023 - Valor Real'!A3:A15,'Janeiro 2023 - Valor Real'!C3:C15,0))+1)+((L299/(L299-1)-1)*(1-_xlfn.XLOOKUP(K299,'Janeiro 2023 - Valor Real'!A3:A15,'Janeiro 2023 - Valor Real'!C3:C15,0))+1)),((L299-1)*(1-_xlfn.XLOOKUP(K299,'Janeiro 2023 - Valor Real'!A3:A15,'Janeiro 2023 - Valor Real'!C3:C15,0))+1)/(((L299-1)*(1-_xlfn.XLOOKUP(K299,'Janeiro 2023 - Valor Real'!A3:A15,'Janeiro 2023 - Valor Real'!C3:C15,0))+1)+((L298-1)*(1-_xlfn.XLOOKUP(K298,'Janeiro 2023 - Valor Real'!A3:A15,'Janeiro 2023 - Valor Real'!C3:C15,0))+1))))))</f>
        <v>0.432242990654206</v>
      </c>
      <c r="AF298" s="132">
        <f>IF($K298=AF$3,ROUND(IF(OR($C298="W",$C298="1/2W",$C298="1/2L"),$P298-$O298,IF($C298="X",0,-$O298)),2),0)</f>
        <v>0</v>
      </c>
      <c r="AG298" s="133">
        <f>IF($K298=AG$3,ROUND(IF(OR($C298="W",$C298="1/2W",$C298="1/2L"),$P298-$O298,IF($C298="X",0,-$O298)),2),0)</f>
        <v>0</v>
      </c>
      <c r="AH298" s="133">
        <f>IF($K298=AH$3,ROUND(IF(OR($C298="W",$C298="1/2W",$C298="1/2L"),$P298-$O298,IF($C298="X",0,-$O298)),2),0)</f>
        <v>0</v>
      </c>
      <c r="AI298" s="133">
        <f>IF($K298=AI$3,ROUND(IF(OR($C298="W",$C298="1/2W",$C298="1/2L"),$P298-$O298,IF($C298="X",0,-$O298)),2),0)</f>
        <v>0</v>
      </c>
      <c r="AJ298" s="133">
        <f>IF($K298=AJ$3,ROUND(IF(OR($C298="W",$C298="1/2W",$C298="1/2L"),$P298-$O298,IF($C298="X",0,-$O298)),2),0)</f>
        <v>0</v>
      </c>
      <c r="AK298" s="133">
        <f>IF($K298=AK$3,ROUND(IF(OR($C298="W",$C298="1/2W",$C298="1/2L"),$P298-$O298,IF($C298="X",0,-$O298)),2),0)</f>
        <v>0</v>
      </c>
      <c r="AL298" s="133">
        <f>IF($K298=AL$3,ROUND(IF(OR($C298="W",$C298="1/2W",$C298="1/2L"),$P298-$O298,IF($C298="X",0,-$O298)),2),0)</f>
        <v>0</v>
      </c>
      <c r="AM298" s="133">
        <f>IF($K298=AM$3,ROUND(IF(OR($C298="W",$C298="1/2W",$C298="1/2L"),$P298-$O298,IF($C298="X",0,-$O298)),2),0)</f>
        <v>-11.86</v>
      </c>
      <c r="AN298" s="133">
        <f>IF($K298=AN$3,ROUND(IF(OR($C298="W",$C298="1/2W",$C298="1/2L"),$P298-$O298,IF($C298="X",0,-$O298)),2),0)</f>
        <v>0</v>
      </c>
      <c r="AO298" s="133">
        <f>IF($K298=AO$3,ROUND(IF(OR($C298="W",$C298="1/2W",$C298="1/2L"),$P298-$O298,IF($C298="X",0,-$O298)),2),0)</f>
        <v>0</v>
      </c>
      <c r="AP298" s="133">
        <f>IF($K298=AP$3,ROUND(IF(OR($C298="W",$C298="1/2W",$C298="1/2L"),$P298-$O298,IF($C298="X",0,-$O298)),2),0)</f>
        <v>0</v>
      </c>
      <c r="AQ298" s="133">
        <f>IF($K298=AQ$3,ROUND(IF(OR($C298="W",$C298="1/2W",$C298="1/2L"),$P298-$O298,IF($C298="X",0,-$O298)),2),0)</f>
        <v>0</v>
      </c>
      <c r="AR298" s="134">
        <f>IF($K298=AR$3,ROUND(IF(OR($C298="W",$C298="1/2W",$C298="1/2L"),$P298-$O298,IF($C298="X",0,-$O298)),2),0)</f>
        <v>0</v>
      </c>
      <c r="AS298" s="132">
        <f>IF(AND($B298=" ",$K298=AS$3),$O298,0)</f>
        <v>0</v>
      </c>
      <c r="AT298" s="133">
        <f>IF(AND($B298=" ",$K298=AT$3),$O298,0)</f>
        <v>0</v>
      </c>
      <c r="AU298" s="133">
        <f>IF(AND($B298=" ",$K298=AU$3),$O298,0)</f>
        <v>0</v>
      </c>
      <c r="AV298" s="133">
        <f>IF(AND($B298=" ",$K298=AV$3),$O298,0)</f>
        <v>0</v>
      </c>
      <c r="AW298" s="133">
        <f>IF(AND($B298=" ",$K298=AW$3),$O298,0)</f>
        <v>0</v>
      </c>
      <c r="AX298" s="133">
        <f>IF(AND($B298=" ",$K298=AX$3),$O298,0)</f>
        <v>0</v>
      </c>
      <c r="AY298" s="135">
        <f>IF(AND($B298=" ",$K298=AY$3),$O298,0)</f>
        <v>0</v>
      </c>
      <c r="AZ298" s="136">
        <f>IF(AND($B298=" ",$K298=AZ$3),$O298,0)</f>
        <v>0</v>
      </c>
      <c r="BA298" s="136">
        <f>IF(AND($B298=" ",$K298=BA$3),$O298,0)</f>
        <v>0</v>
      </c>
      <c r="BB298" s="136">
        <f>IF(AND($B298=" ",$K298=BB$3),$O298,0)</f>
        <v>0</v>
      </c>
      <c r="BC298" s="137">
        <f>IF(AND($B298=" ",$K298=BC$3),$O298,0)</f>
        <v>0</v>
      </c>
      <c r="BD298" s="133">
        <f>IF(AND($B298=" ",$K298=BD$3),$O298,0)</f>
        <v>0</v>
      </c>
      <c r="BE298" s="134">
        <f>IF(AND($B298=" ",$K298=BE$3),$O298,0)</f>
        <v>0</v>
      </c>
      <c r="BF298" s="132">
        <f>IF($K298=BF$3,IF($C298="X",0,$O298),0)</f>
        <v>0</v>
      </c>
      <c r="BG298" s="133">
        <f>IF($K298=BG$3,IF($C298="X",0,$O298),0)</f>
        <v>0</v>
      </c>
      <c r="BH298" s="133">
        <f>IF($K298=BH$3,IF($C298="X",0,$O298),0)</f>
        <v>0</v>
      </c>
      <c r="BI298" s="133">
        <f>IF($K298=BI$3,IF($C298="X",0,$O298),0)</f>
        <v>0</v>
      </c>
      <c r="BJ298" s="133">
        <f>IF($K298=BJ$3,IF($C298="X",0,$O298),0)</f>
        <v>0</v>
      </c>
      <c r="BK298" s="133">
        <f>IF($K298=BK$3,IF($C298="X",0,$O298),0)</f>
        <v>0</v>
      </c>
      <c r="BL298" s="133">
        <f>IF($K298=BL$3,IF($C298="X",0,$O298),0)</f>
        <v>0</v>
      </c>
      <c r="BM298" s="135">
        <f>IF($K298=BM$3,IF($C298="X",0,$O298),0)</f>
        <v>11.86</v>
      </c>
      <c r="BN298" s="136">
        <f>IF($K298=BN$3,IF($C298="X",0,$O298),0)</f>
        <v>0</v>
      </c>
      <c r="BO298" s="136">
        <f>IF($K298=BO$3,IF($C298="X",0,$O298),0)</f>
        <v>0</v>
      </c>
      <c r="BP298" s="136">
        <f>IF($K298=BP$3,IF($C298="X",0,$O298),0)</f>
        <v>0</v>
      </c>
      <c r="BQ298" s="137">
        <f>IF($K298=BQ$3,IF($C298="X",0,$O298),0)</f>
        <v>0</v>
      </c>
      <c r="BR298" s="134">
        <f>IF($K298=BR$3,IF($C298="X",0,$O298),0)</f>
        <v>0</v>
      </c>
      <c r="BS298" s="170">
        <f>IF($B298="LOSS",IF(AND($K298=BS$3,$C298="L"),-$O298,0)+IF(AND($K299=BS$3,$C299="L"),-$O299,0)+IF(AND($K300=BS$3,$C300="L"),-$O300,0),IF(OR(AND($K298=BS$3,OR($C298="W",$C298="1/2W")),AND($K299=BS$3,OR($C299="W",$C299="1/2W")),AND($K300=BS$3,OR($C300="W",$C300="1/2W"))),$S298,0))</f>
        <v>0</v>
      </c>
      <c r="BT298" s="272">
        <f>IF($B298="LOSS",IF(AND($K298=BT$3,$C298="L"),-$O298,0)+IF(AND($K299=BT$3,$C299="L"),-$O299,0)+IF(AND($K299=BT$3,$C300="L"),-$O300,0),IF(OR(AND($K299=BT$3,OR($C298="W",$C298="1/2W")),AND($K299=BT$3,OR($C299="W",$C299="1/2W")),AND($K299=BT$3,OR($C300="W",$C300="1/2W"))),$S298,0))</f>
        <v>0</v>
      </c>
      <c r="BU298" s="136">
        <f>IF($B298="LOSS",IF(AND($K298=BU$3,$C298="L"),-$O298,0)+IF(AND($K299=BU$3,$C299="L"),-$O299,0)+IF(AND($K299=BU$3,$C300="L"),-$O300,0),IF(OR(AND($K299=BU$3,OR($C298="W",$C298="1/2W")),AND($K299=BU$3,OR($C299="W",$C299="1/2W")),AND($K299=BU$3,OR($C300="W",$C300="1/2W"))),$S298,0))</f>
        <v>0</v>
      </c>
      <c r="BV298" s="136">
        <f>IF($B298="LOSS",IF(AND($K298=BV$3,$C298="L"),-$O298,0)+IF(AND($K299=BV$3,$C299="L"),-$O299,0)+IF(AND($K300=BV$3,$C300="L"),-$O300,0),IF(OR(AND($K298=BV$3,OR($C298="W",$C298="1/2W")),AND($K299=BV$3,OR($C299="W",$C299="1/2W")),AND($K300=BV$3,OR($C300="W",$C300="1/2W"))),$S298,0))</f>
        <v>0</v>
      </c>
      <c r="BW298" s="136">
        <f>IF($B298="LOSS",IF(AND($K298=BW$3,$C298="L"),-$O298,0)+IF(AND($K299=BW$3,$C299="L"),-$O299,0)+IF(AND($K300=BW$3,$C300="L"),-$O300,0),IF(OR(AND($K298=BW$3,OR($C298="W",$C298="1/2W")),AND($K299=BW$3,OR($C299="W",$C299="1/2W")),AND($K300=BW$3,OR($C300="W",$C300="1/2W"))),$S298,0))</f>
        <v>0</v>
      </c>
      <c r="BX298" s="136">
        <f>IF($B298="LOSS",IF(AND($K298=BX$3,$C298="L"),-$O298,0)+IF(AND($K299=BX$3,$C299="L"),-$O299,0)+IF(AND($K300=BX$3,$C300="L"),-$O300,0),IF(OR(AND($K298=BX$3,OR($C298="W",$C298="1/2W")),AND($K299=BX$3,OR($C299="W",$C299="1/2W")),AND($K300=BX$3,OR($C300="W",$C300="1/2W"))),$S298,0))</f>
        <v>0</v>
      </c>
      <c r="BY298" s="136">
        <f>IF($B298="LOSS",IF(AND($K298=BY$3,$C298="L"),-$O298,0)+IF(AND($K299=BY$3,$C299="L"),-$O299,0)+IF(AND($K300=BY$3,$C300="L"),-$O300,0),IF(OR(AND($K298=BY$3,OR($C298="W",$C298="1/2W")),AND($K299=BY$3,OR($C299="W",$C299="1/2W")),AND($K300=BY$3,OR($C300="W",$C300="1/2W"))),$S298,0))</f>
        <v>0</v>
      </c>
      <c r="BZ298" s="136">
        <f>IF($B298="LOSS",IF(AND($K298=BZ$3,$C298="L"),-$O298,0)+IF(AND($K299=BZ$3,$C299="L"),-$O299,0)+IF(AND($K300=BZ$3,$C300="L"),-$O300,0),IF(OR(AND($K298=BZ$3,OR($C298="W",$C298="1/2W")),AND($K299=BZ$3,OR($C299="W",$C299="1/2W")),AND($K300=BZ$3,OR($C300="W",$C300="1/2W"))),$S298,0))</f>
        <v>0</v>
      </c>
      <c r="CA298" s="136">
        <f>IF($B298="LOSS",IF(AND($K298=CA$3,$C298="L"),-$O298,0)+IF(AND($K299=CA$3,$C299="L"),-$O299,0)+IF(AND($K300=CA$3,$C300="L"),-$O300,0),IF(OR(AND($K298=CA$3,OR($C298="W",$C298="1/2W")),AND($K299=CA$3,OR($C299="W",$C299="1/2W")),AND($K300=CA$3,OR($C300="W",$C300="1/2W"))),$S298,0))</f>
        <v>0</v>
      </c>
      <c r="CB298" s="136">
        <f>IF($B298="LOSS",IF(AND($K298=CB$3,$C298="L"),-$O298,0)+IF(AND($K299=CB$3,$C299="L"),-$O299,0)+IF(AND($K300=CB$3,$C300="L"),-$O300,0),IF(OR(AND($K298=CB$3,OR($C298="W",$C298="1/2W")),AND($K299=CB$3,OR($C299="W",$C299="1/2W")),AND($K300=CB$3,OR($C300="W",$C300="1/2W"))),$S298,0))</f>
        <v>0</v>
      </c>
      <c r="CC298" s="136">
        <f>IF($B298="LOSS",IF(AND($K298=CC$3,$C298="L"),-$O298,0)+IF(AND($K299=CC$3,$C299="L"),-$O299,0)+IF(AND($K300=CC$3,$C300="L"),-$O300,0),IF(OR(AND($K298=CC$3,OR($C298="W",$C298="1/2W")),AND($K299=CC$3,OR($C299="W",$C299="1/2W")),AND($K300=CC$3,OR($C300="W",$C300="1/2W"))),$S298,0))</f>
        <v>0</v>
      </c>
      <c r="CD298" s="137">
        <f>IF($B298="LOSS",IF(AND($K298=CD$3,$C298="L"),-$O298,0)+IF(AND($K299=CD$3,$C299="L"),-$O299,0)+IF(AND($K300=CD$3,$C300="L"),-$O300,0),IF(OR(AND($K298=CD$3,OR($C298="W",$C298="1/2W")),AND($K299=CD$3,OR($C299="W",$C299="1/2W")),AND($K300=CD$3,OR($C300="W",$C300="1/2W"))),$S298,0))</f>
        <v>1.35</v>
      </c>
      <c r="CE298" s="134">
        <f>IF($B298="LOSS",IF(AND($K298=CE$3,$C298="L"),-$O298,0)+IF(AND($K299=CE$3,$C299="L"),-$O299,0)+IF(AND($K300=CE$3,$C300="L"),-$O300,0),IF(OR(AND($K298=CE$3,OR($C298="W",$C298="1/2W")),AND($K299=CE$3,OR($C299="W",$C299="1/2W")),AND($K300=CE$3,OR($C300="W",$C300="1/2W"))),$S298,0))</f>
        <v>0</v>
      </c>
      <c r="CF298" s="273">
        <f>IF(CF$3=$K298,IF($C298="W",1,IF($C298="1/2W",0.5,0)),0)</f>
        <v>0</v>
      </c>
      <c r="CG298" s="274">
        <f>IF(CF$3=$K298,IF($C298="L",1,IF($C298="1/2L",0.5,0)),0)</f>
        <v>0</v>
      </c>
      <c r="CH298" s="274">
        <f>IF(CH$3=$K298,IF($C298="W",1,IF($C298="1/2W",0.5,0)),0)</f>
        <v>0</v>
      </c>
      <c r="CI298" s="274">
        <f>IF(CH$3=$K298,IF($C298="L",1,IF($C298="1/2L",0.5,0)),0)</f>
        <v>0</v>
      </c>
      <c r="CJ298" s="274">
        <f>IF(CJ$3=$K298,IF($C298="W",1,IF($C298="1/2W",0.5,0)),0)</f>
        <v>0</v>
      </c>
      <c r="CK298" s="274">
        <f>IF(CJ$3=$K298,IF($C298="L",1,IF($C298="1/2L",0.5,0)),0)</f>
        <v>0</v>
      </c>
      <c r="CL298" s="274">
        <f>IF(CL$3=$K298,IF($C298="W",1,IF($C298="1/2W",0.5,0)),0)</f>
        <v>0</v>
      </c>
      <c r="CM298" s="274">
        <f>IF(CL$3=$K298,IF($C298="L",1,IF($C298="1/2L",0.5,0)),0)</f>
        <v>0</v>
      </c>
      <c r="CN298" s="274">
        <f>IF(CN$3=$K298,IF($C298="W",1,IF($C298="1/2W",0.5,0)),0)</f>
        <v>0</v>
      </c>
      <c r="CO298" s="274">
        <f>IF(CN$3=$K298,IF($C298="L",1,IF($C298="1/2L",0.5,0)),0)</f>
        <v>0</v>
      </c>
      <c r="CP298" s="274">
        <f>IF(CP$3=$K298,IF($C298="W",1,IF($C298="1/2W",0.5,0)),0)</f>
        <v>0</v>
      </c>
      <c r="CQ298" s="274">
        <f>IF(CP$3=$K298,IF($C298="L",1,IF($C298="1/2L",0.5,0)),0)</f>
        <v>0</v>
      </c>
      <c r="CR298" s="274">
        <f>IF(CR$3=$K298,IF($C298="W",1,IF($C298="1/2W",0.5,0)),0)</f>
        <v>0</v>
      </c>
      <c r="CS298" s="274">
        <f>IF(CR$3=$K298,IF($C298="L",1,IF($C298="1/2L",0.5,0)),0)</f>
        <v>0</v>
      </c>
      <c r="CT298" s="145">
        <f>IF(CT$3=$K298,IF($C298="W",1,IF($C298="1/2W",0.5,0)),0)</f>
        <v>0</v>
      </c>
      <c r="CU298" s="146">
        <f>IF(CT$3=$K298,IF($C298="L",1,IF($C298="1/2L",0.5,0)),0)</f>
        <v>1</v>
      </c>
      <c r="CV298" s="146">
        <f>IF(CV$3=$K298,IF($C298="W",1,IF($C298="1/2W",0.5,0)),0)</f>
        <v>0</v>
      </c>
      <c r="CW298" s="146">
        <f>IF(CV$3=$K298,IF($C298="L",1,IF($C298="1/2L",0.5,0)),0)</f>
        <v>0</v>
      </c>
      <c r="CX298" s="146">
        <f>IF(CX$3=$K298,IF($C298="W",1,IF($C298="1/2W",0.5,0)),0)</f>
        <v>0</v>
      </c>
      <c r="CY298" s="146">
        <f>IF(CX$3=$K298,IF($C298="L",1,IF($C298="1/2L",0.5,0)),0)</f>
        <v>0</v>
      </c>
      <c r="CZ298" s="146">
        <f>IF(CZ$3=$K298,IF($C298="W",1,IF($C298="1/2W",0.5,0)),0)</f>
        <v>0</v>
      </c>
      <c r="DA298" s="146">
        <f>IF(CZ$3=$K298,IF($C298="L",1,IF($C298="1/2L",0.5,0)),0)</f>
        <v>0</v>
      </c>
      <c r="DB298" s="146">
        <f>IF(DB$3=$K298,IF($C298="W",1,IF($C298="1/2W",0.5,0)),0)</f>
        <v>0</v>
      </c>
      <c r="DC298" s="146">
        <f>IF(DB$3=$K298,IF($C298="L",1,IF($C298="1/2L",0.5,0)),0)</f>
        <v>0</v>
      </c>
      <c r="DD298" s="146">
        <f>IF(DD$3=$K298,IF($C298="W",1,IF($C298="1/2W",0.5,0)),0)</f>
        <v>0</v>
      </c>
      <c r="DE298" s="147">
        <f>IF(DD$3=$K298,IF($C298="L",1,IF($C298="1/2L",0.5,0)),0)</f>
        <v>0</v>
      </c>
      <c r="DF298" s="143">
        <f>IF(AND(L298&lt;DF$3,$C298="W"),1+DF297,DF297)</f>
        <v>12</v>
      </c>
      <c r="DG298" s="133">
        <f>IF(DF298&gt;DF297,L298+DG297,DG297)</f>
        <v>15.718</v>
      </c>
      <c r="DH298" s="146">
        <f>IF(AND(L298&gt;DH$3,$C298="W"),1+DH297,0+DH297)</f>
        <v>7</v>
      </c>
      <c r="DI298" s="133">
        <f>IF(DH298&gt;DH297,L298+DI297,DI297)</f>
        <v>34.83</v>
      </c>
      <c r="DJ298" t="s" s="304">
        <f>IF($D298="","",$D298)</f>
        <v>229</v>
      </c>
      <c r="DK298" s="146">
        <f>IF(AND($B298=" ",$D298&lt;&gt;""),1,0)</f>
        <v>0</v>
      </c>
    </row>
    <row r="299" ht="14.55" customHeight="1">
      <c r="A299" s="107"/>
      <c r="B299" s="108"/>
      <c r="C299" t="s" s="109">
        <v>56</v>
      </c>
      <c r="D299" s="110"/>
      <c r="E299" s="111"/>
      <c r="F299" s="113"/>
      <c r="G299" s="252"/>
      <c r="H299" s="114"/>
      <c r="I299" t="s" s="275">
        <v>57</v>
      </c>
      <c r="J299" s="276">
        <f>IF(OR(I298="TO",I298="TU",I298="TO1",I298="TU1",I298="TO2",I298="TU2"),J298,IF(OR(I298="AH1",I298="AH2"),IF(OR(I299="AH1",I299="AH2"),-J298,IF(OR(I299="EH1",I299="EH2"),-J298+0.5,"")),IF(OR(I298="EH1",I298="EH2"),IF(OR(I299="AH1",I299="AH2"),-J298+0.5,IF(OR(I299="EH1",I299="EH2"),-J298+1,"")),IF(AND(OR(I298="DNB1",I298="DNB2"),OR(I299="AH1",I299="AH2")),0,IF(AND(I298="Not ScoreBoth",OR(I299="TO1",I299="TO2")),0.5,"")))))</f>
        <v>-2</v>
      </c>
      <c r="K299" t="s" s="117">
        <v>48</v>
      </c>
      <c r="L299" s="277">
        <v>1.85</v>
      </c>
      <c r="M299" s="278">
        <v>15.54</v>
      </c>
      <c r="N299" s="120"/>
      <c r="O299" s="121">
        <f>IF(OR(AE298="",AE299=""),"",ROUND(IF(L300&gt;0,IF(M299&gt;0,M299,IF(M298&gt;0,IF(N298=TRUE,ROUND((M298*AE299)/AE298,0),(M298*AE299)/AE298),IF(M299&gt;0,ROUND(M299,IF(N298=0,2,IF(N298=0.1,1,0))),IF(M300&gt;0,ROUND(O300*AE299/AE300,IF(N298=0,2,IF(N298=0.1,1,0))),0)))),IF(M299&gt;0,M299,ROUND((M298*AE299)/AE298,IF(N298=0,2,IF(N298=0.1,1,0))))),2))</f>
        <v>15.54</v>
      </c>
      <c r="P299" s="122">
        <f>IF(OR(L299="",O299=""),"",IF($C299="1/2W",O299/2+O299/2*L299,IF($C299="1/2L",O299/2,IF(I299="Lay",((O299*(L299/(L299-1)))-O299)*(1-_xlfn.XLOOKUP(K299,'Janeiro 2023 - Valor Real'!A3:A15,'Janeiro 2023 - Valor Real'!C3:C15,0))+O299,(O299*L299-O299)*(1-_xlfn.XLOOKUP(K299,'Janeiro 2023 - Valor Real'!A3:A15,'Janeiro 2023 - Valor Real'!C3:C15,0))+O299))))</f>
        <v>28.749</v>
      </c>
      <c r="Q299" s="279">
        <f>IF(K299="","",IF(_xlfn.XLOOKUP(K299,K$101:K108,DJ$101:DJ108,0,,-1)=DJ299,_xlfn.XLOOKUP(K299,K$101:K108,Q$101:Q108,1,,-1)+1,1))</f>
        <v>1</v>
      </c>
      <c r="R299" s="280">
        <f>IF(K299="","",_xlfn.XLOOKUP(K299,K$101:K108,R$101:R108,0,,-1)+IF($C299=" ",1,0))</f>
        <v>0</v>
      </c>
      <c r="S299" s="125"/>
      <c r="T299" s="126"/>
      <c r="U299" s="126"/>
      <c r="V299" s="224"/>
      <c r="W299" s="126"/>
      <c r="X299" s="127"/>
      <c r="Y299" s="128"/>
      <c r="Z299" s="129"/>
      <c r="AA299" s="129"/>
      <c r="AB299" s="129"/>
      <c r="AC299" s="129"/>
      <c r="AD299" s="130"/>
      <c r="AE299" s="131">
        <f>IF(L299="","",IF(L300&gt;0,(SUM(((L298-1)*(1-_xlfn.XLOOKUP(K298,'Janeiro 2023 - Valor Real'!A3:A15,'Janeiro 2023 - Valor Real'!C3:C15,0))+1),((L299-1)*(1-_xlfn.XLOOKUP(K299,'Janeiro 2023 - Valor Real'!A3:A15,'Janeiro 2023 - Valor Real'!C3:C15,0))+1),((L300-1)*(1-_xlfn.XLOOKUP(K300,'Janeiro 2023 - Valor Real'!A3:A15,'Janeiro 2023 - Valor Real'!C3:C15,0))+1))/((L299-1)*(1-_xlfn.XLOOKUP(K299,'Janeiro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Real'!C3:C15,0))+1))/((L298-1)*(1-_xlfn.XLOOKUP(K298,'Janeiro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Real'!C3:C15,0))+1))/((L299-1)*(1-_xlfn.XLOOKUP(K299,'Janeiro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Real'!C3:C15,0))+1))/((L300-1)*(1-_xlfn.XLOOKUP(K300,'Janeiro 2023 - Valor Real'!A3:A15,'Janeiro 2023 - Valor Real'!C3:C15,0))+1)),IF(I299="Lay",IF(I298="Lay",((L298/(L298-1)-1)*(1-_xlfn.XLOOKUP(K298,'Janeiro 2023 - Valor Real'!A3:A15,'Janeiro 2023 - Valor Real'!C3:C15,0))+1)/(((L298/(L298-1)-1)*(1-_xlfn.XLOOKUP(K298,'Janeiro 2023 - Valor Real'!A3:A15,'Janeiro 2023 - Valor Real'!C3:C15,0))+1)+((L299/(L299-1)-1)*(1-_xlfn.XLOOKUP(K299,'Janeiro 2023 - Valor Real'!A3:A15,'Janeiro 2023 - Valor Real'!C3:C15,0))+1)),((L298-1)*(1-_xlfn.XLOOKUP(K298,'Janeiro 2023 - Valor Real'!A3:A15,'Janeiro 2023 - Valor Real'!C3:C15,0))+1)/(((L298-1)*(1-_xlfn.XLOOKUP(K298,'Janeiro 2023 - Valor Real'!A3:A15,'Janeiro 2023 - Valor Real'!C3:C15,0))+1)+((L299/(L299-1)-1)*(1-_xlfn.XLOOKUP(K299,'Janeiro 2023 - Valor Real'!A3:A15,'Janeiro 2023 - Valor Real'!C3:C15,0))+1))),IF(I298="Lay",((L298/(L298-1)-1)*(1-_xlfn.XLOOKUP(K298,'Janeiro 2023 - Valor Real'!A3:A15,'Janeiro 2023 - Valor Real'!C3:C15,0))+1)/((((L298/(L298-1)-1)*(1-_xlfn.XLOOKUP(K298,'Janeiro 2023 - Valor Real'!A3:A15,'Janeiro 2023 - Valor Real'!C3:C15,0))+1))+((L299-1)*(1-_xlfn.XLOOKUP(K299,'Janeiro 2023 - Valor Real'!A3:A15,'Janeiro 2023 - Valor Real'!C3:C15,0))+1)),((L298-1)*(1-_xlfn.XLOOKUP(K298,'Janeiro 2023 - Valor Real'!A3:A15,'Janeiro 2023 - Valor Real'!C3:C15,0))+1)/(((L298-1)*(1-_xlfn.XLOOKUP(K298,'Janeiro 2023 - Valor Real'!A3:A15,'Janeiro 2023 - Valor Real'!C3:C15,0))+1)+((L299-1)*(1-_xlfn.XLOOKUP(K299,'Janeiro 2023 - Valor Real'!A3:A15,'Janeiro 2023 - Valor Real'!C3:C15,0))+1))))))</f>
        <v>0.567757009345794</v>
      </c>
      <c r="AF299" s="132">
        <f>IF($K299=AF$3,ROUND(IF(OR($C299="W",$C299="1/2W",$C299="1/2L"),$P299-$O299,IF($C299="X",0,-$O299)),2),0)</f>
        <v>0</v>
      </c>
      <c r="AG299" s="133">
        <f>IF($K299=AG$3,ROUND(IF(OR($C299="W",$C299="1/2W",$C299="1/2L"),$P299-$O299,IF($C299="X",0,-$O299)),2),0)</f>
        <v>0</v>
      </c>
      <c r="AH299" s="133">
        <f>IF($K299=AH$3,ROUND(IF(OR($C299="W",$C299="1/2W",$C299="1/2L"),$P299-$O299,IF($C299="X",0,-$O299)),2),0)</f>
        <v>0</v>
      </c>
      <c r="AI299" s="133">
        <f>IF($K299=AI$3,ROUND(IF(OR($C299="W",$C299="1/2W",$C299="1/2L"),$P299-$O299,IF($C299="X",0,-$O299)),2),0)</f>
        <v>0</v>
      </c>
      <c r="AJ299" s="133">
        <f>IF($K299=AJ$3,ROUND(IF(OR($C299="W",$C299="1/2W",$C299="1/2L"),$P299-$O299,IF($C299="X",0,-$O299)),2),0)</f>
        <v>0</v>
      </c>
      <c r="AK299" s="133">
        <f>IF($K299=AK$3,ROUND(IF(OR($C299="W",$C299="1/2W",$C299="1/2L"),$P299-$O299,IF($C299="X",0,-$O299)),2),0)</f>
        <v>0</v>
      </c>
      <c r="AL299" s="133">
        <f>IF($K299=AL$3,ROUND(IF(OR($C299="W",$C299="1/2W",$C299="1/2L"),$P299-$O299,IF($C299="X",0,-$O299)),2),0)</f>
        <v>0</v>
      </c>
      <c r="AM299" s="133">
        <f>IF($K299=AM$3,ROUND(IF(OR($C299="W",$C299="1/2W",$C299="1/2L"),$P299-$O299,IF($C299="X",0,-$O299)),2),0)</f>
        <v>0</v>
      </c>
      <c r="AN299" s="133">
        <f>IF($K299=AN$3,ROUND(IF(OR($C299="W",$C299="1/2W",$C299="1/2L"),$P299-$O299,IF($C299="X",0,-$O299)),2),0)</f>
        <v>0</v>
      </c>
      <c r="AO299" s="133">
        <f>IF($K299=AO$3,ROUND(IF(OR($C299="W",$C299="1/2W",$C299="1/2L"),$P299-$O299,IF($C299="X",0,-$O299)),2),0)</f>
        <v>0</v>
      </c>
      <c r="AP299" s="133">
        <f>IF($K299=AP$3,ROUND(IF(OR($C299="W",$C299="1/2W",$C299="1/2L"),$P299-$O299,IF($C299="X",0,-$O299)),2),0)</f>
        <v>0</v>
      </c>
      <c r="AQ299" s="133">
        <f>IF($K299=AQ$3,ROUND(IF(OR($C299="W",$C299="1/2W",$C299="1/2L"),$P299-$O299,IF($C299="X",0,-$O299)),2),0)</f>
        <v>13.21</v>
      </c>
      <c r="AR299" s="134">
        <f>IF($K299=AR$3,ROUND(IF(OR($C299="W",$C299="1/2W",$C299="1/2L"),$P299-$O299,IF($C299="X",0,-$O299)),2),0)</f>
        <v>0</v>
      </c>
      <c r="AS299" s="132">
        <f>IF(AND($B298=" ",$K299=AS$3),$O299,0)</f>
        <v>0</v>
      </c>
      <c r="AT299" s="133">
        <f>IF(AND($B298=" ",K299=AT$3),$O299,0)</f>
        <v>0</v>
      </c>
      <c r="AU299" s="133">
        <f>IF(AND($B298=" ",$K299=AU$3),$O299,0)</f>
        <v>0</v>
      </c>
      <c r="AV299" s="133">
        <f>IF(AND($B298=" ",$K299=AV$3),$O299,0)</f>
        <v>0</v>
      </c>
      <c r="AW299" s="133">
        <f>IF(AND($B298=" ",$K299=AW$3),$O299,0)</f>
        <v>0</v>
      </c>
      <c r="AX299" s="133">
        <f>IF(AND($B298=" ",$K299=AX$3),$O299,0)</f>
        <v>0</v>
      </c>
      <c r="AY299" s="135">
        <f>IF(AND($B298=" ",$K299=AY$3),$O299,0)</f>
        <v>0</v>
      </c>
      <c r="AZ299" s="136">
        <f>IF(AND($B298=" ",$K299=AZ$3),$O299,0)</f>
        <v>0</v>
      </c>
      <c r="BA299" s="136">
        <f>IF(AND($B298=" ",$K299=BA$3),$O299,0)</f>
        <v>0</v>
      </c>
      <c r="BB299" s="136">
        <f>IF(AND($B298=" ",$K299=BB$3),$O299,0)</f>
        <v>0</v>
      </c>
      <c r="BC299" s="137">
        <f>IF(AND($B298=" ",$K299=BC$3),$O299,0)</f>
        <v>0</v>
      </c>
      <c r="BD299" s="133">
        <f>IF(AND($B298=" ",$K299=BD$3),$O299,0)</f>
        <v>0</v>
      </c>
      <c r="BE299" s="134">
        <f>IF(AND($B298=" ",$K299=BE$3),$O299,0)</f>
        <v>0</v>
      </c>
      <c r="BF299" s="132">
        <f>IF($K299=BF$3,IF($C299="X",0,$O299),0)</f>
        <v>0</v>
      </c>
      <c r="BG299" s="281">
        <f>IF($K299=BG$3,IF($C299="X",0,$O299),0)</f>
        <v>0</v>
      </c>
      <c r="BH299" s="133">
        <f>IF($K299=BH$3,IF($C299="X",0,$O299),0)</f>
        <v>0</v>
      </c>
      <c r="BI299" s="133">
        <f>IF($K299=BI$3,IF($C299="X",0,$O299),0)</f>
        <v>0</v>
      </c>
      <c r="BJ299" s="133">
        <f>IF($K299=BJ$3,IF($C299="X",0,$O299),0)</f>
        <v>0</v>
      </c>
      <c r="BK299" s="133">
        <f>IF($K299=BK$3,IF($C299="X",0,$O299),0)</f>
        <v>0</v>
      </c>
      <c r="BL299" s="133">
        <f>IF($K299=BL$3,IF($C299="X",0,$O299),0)</f>
        <v>0</v>
      </c>
      <c r="BM299" s="135">
        <f>IF($K299=BM$3,IF($C299="X",0,$O299),0)</f>
        <v>0</v>
      </c>
      <c r="BN299" s="136">
        <f>IF($K299=BN$3,IF($C299="X",0,$O299),0)</f>
        <v>0</v>
      </c>
      <c r="BO299" s="136">
        <f>IF($K299=BO$3,IF($C299="X",0,$O299),0)</f>
        <v>0</v>
      </c>
      <c r="BP299" s="136">
        <f>IF($K299=BP$3,IF($C299="X",0,$O299),0)</f>
        <v>0</v>
      </c>
      <c r="BQ299" s="137">
        <f>IF($K299=BQ$3,IF($C299="X",0,$O299),0)</f>
        <v>15.54</v>
      </c>
      <c r="BR299" s="134">
        <f>IF($K299=BR$3,IF($C299="X",0,$O299),0)</f>
        <v>0</v>
      </c>
      <c r="BS299" s="282"/>
      <c r="BT299" s="283"/>
      <c r="BU299" s="140"/>
      <c r="BV299" s="283"/>
      <c r="BW299" s="140"/>
      <c r="BX299" s="140"/>
      <c r="BY299" s="140"/>
      <c r="BZ299" s="283"/>
      <c r="CA299" s="140"/>
      <c r="CB299" s="140"/>
      <c r="CC299" s="140"/>
      <c r="CD299" s="141"/>
      <c r="CE299" s="142"/>
      <c r="CF299" s="284">
        <f>IF(CF$3=$K299,IF($C299="W",1,IF($C299="1/2W",0.5,0)),0)</f>
        <v>0</v>
      </c>
      <c r="CG299" s="285">
        <f>IF(CF$3=$K299,IF($C299="L",1,IF($C299="1/2L",0.5,0)),0)</f>
        <v>0</v>
      </c>
      <c r="CH299" s="285">
        <f>IF(CH$3=$K299,IF($C299="W",1,IF($C299="1/2W",0.5,0)),0)</f>
        <v>0</v>
      </c>
      <c r="CI299" s="285">
        <f>IF(CH$3=$K299,IF($C299="L",1,IF($C299="1/2L",0.5,0)),0)</f>
        <v>0</v>
      </c>
      <c r="CJ299" s="285">
        <f>IF(CJ$3=$K299,IF($C299="W",1,IF($C299="1/2W",0.5,0)),0)</f>
        <v>0</v>
      </c>
      <c r="CK299" s="285">
        <f>IF(CJ$3=$K299,IF($C299="L",1,IF($C299="1/2L",0.5,0)),0)</f>
        <v>0</v>
      </c>
      <c r="CL299" s="285">
        <f>IF(CL$3=$K299,IF($C299="W",1,IF($C299="1/2W",0.5,0)),0)</f>
        <v>0</v>
      </c>
      <c r="CM299" s="285">
        <f>IF(CL$3=$K299,IF($C299="L",1,IF($C299="1/2L",0.5,0)),0)</f>
        <v>0</v>
      </c>
      <c r="CN299" s="285">
        <f>IF(CN$3=$K299,IF($C299="W",1,IF($C299="1/2W",0.5,0)),0)</f>
        <v>0</v>
      </c>
      <c r="CO299" s="285">
        <f>IF(CN$3=$K299,IF($C299="L",1,IF($C299="1/2L",0.5,0)),0)</f>
        <v>0</v>
      </c>
      <c r="CP299" s="285">
        <f>IF(CP$3=$K299,IF($C299="W",1,IF($C299="1/2W",0.5,0)),0)</f>
        <v>0</v>
      </c>
      <c r="CQ299" s="285">
        <f>IF(CP$3=$K299,IF($C299="L",1,IF($C299="1/2L",0.5,0)),0)</f>
        <v>0</v>
      </c>
      <c r="CR299" s="285">
        <f>IF(CR$3=$K299,IF($C299="W",1,IF($C299="1/2W",0.5,0)),0)</f>
        <v>0</v>
      </c>
      <c r="CS299" s="285">
        <f>IF(CR$3=$K299,IF($C299="L",1,IF($C299="1/2L",0.5,0)),0)</f>
        <v>0</v>
      </c>
      <c r="CT299" s="145">
        <f>IF(CT$3=$K299,IF($C299="W",1,IF($C299="1/2W",0.5,0)),0)</f>
        <v>0</v>
      </c>
      <c r="CU299" s="146">
        <f>IF(CT$3=$K299,IF($C299="L",1,IF($C299="1/2L",0.5,0)),0)</f>
        <v>0</v>
      </c>
      <c r="CV299" s="146">
        <f>IF(CV$3=$K299,IF($C299="W",1,IF($C299="1/2W",0.5,0)),0)</f>
        <v>0</v>
      </c>
      <c r="CW299" s="146">
        <f>IF(CV$3=$K299,IF($C299="L",1,IF($C299="1/2L",0.5,0)),0)</f>
        <v>0</v>
      </c>
      <c r="CX299" s="146">
        <f>IF(CX$3=$K299,IF($C299="W",1,IF($C299="1/2W",0.5,0)),0)</f>
        <v>0</v>
      </c>
      <c r="CY299" s="146">
        <f>IF(CX$3=$K299,IF($C299="L",1,IF($C299="1/2L",0.5,0)),0)</f>
        <v>0</v>
      </c>
      <c r="CZ299" s="146">
        <f>IF(CZ$3=$K299,IF($C299="W",1,IF($C299="1/2W",0.5,0)),0)</f>
        <v>0</v>
      </c>
      <c r="DA299" s="146">
        <f>IF(CZ$3=$K299,IF($C299="L",1,IF($C299="1/2L",0.5,0)),0)</f>
        <v>0</v>
      </c>
      <c r="DB299" s="146">
        <f>IF(DB$3=$K299,IF($C299="W",1,IF($C299="1/2W",0.5,0)),0)</f>
        <v>1</v>
      </c>
      <c r="DC299" s="146">
        <f>IF(DB$3=$K299,IF($C299="L",1,IF($C299="1/2L",0.5,0)),0)</f>
        <v>0</v>
      </c>
      <c r="DD299" s="146">
        <f>IF(DD$3=$K299,IF($C299="W",1,IF($C299="1/2W",0.5,0)),0)</f>
        <v>0</v>
      </c>
      <c r="DE299" s="147">
        <f>IF(DD$3=$K299,IF($C299="L",1,IF($C299="1/2L",0.5,0)),0)</f>
        <v>0</v>
      </c>
      <c r="DF299" s="143">
        <f>IF(AND(L299&lt;DF$3,$C299="W"),1+DF298,DF298)</f>
        <v>12</v>
      </c>
      <c r="DG299" s="133">
        <f>IF(DF299&gt;DF298,L299+DG298,DG298)</f>
        <v>15.718</v>
      </c>
      <c r="DH299" s="146">
        <f>IF(AND(L299&gt;DH$3,$C299="W"),1+DH298,0+DH298)</f>
        <v>7</v>
      </c>
      <c r="DI299" s="133">
        <f>IF(DH299&gt;DH298,L299+DI298,DI298)</f>
        <v>34.83</v>
      </c>
      <c r="DJ299" t="s" s="304">
        <f>IF($D298="","",$D298)</f>
        <v>229</v>
      </c>
      <c r="DK299" s="286"/>
    </row>
    <row r="300" ht="14.55" customHeight="1">
      <c r="A300" s="149"/>
      <c r="B300" s="150"/>
      <c r="C300" t="s" s="151">
        <v>58</v>
      </c>
      <c r="D300" s="152"/>
      <c r="E300" s="153"/>
      <c r="F300" s="155"/>
      <c r="G300" s="252"/>
      <c r="H300" s="156"/>
      <c r="I300" s="287"/>
      <c r="J300" s="288"/>
      <c r="K300" s="156"/>
      <c r="L300" s="289"/>
      <c r="M300" s="290"/>
      <c r="N300" s="161"/>
      <c r="O300" t="s" s="162">
        <f>IF(OR(AE298="",AE299=""),"",IF(L300&gt;0,ROUND(IF(M300&gt;0,M300,IF(M298&gt;0,ROUND((M298*AE300)/AE298,IF(N298=0,2,IF(N298=0.1,1,0))),IF(M299&gt;0,ROUND((M299*AE300)/AE299,IF(N298=0,2,IF(N298=0.1,1,0))),IF(M300&gt;0,M300,0)))),2),""))</f>
      </c>
      <c r="P300" t="s" s="163">
        <f>IF(I299="Lay",O299*(L299/(L299-1))-O299,IF(I298="Lay",O298*(L298/(L298-1))-O298,IF(OR(L300="",O300=""),"",IF($C300="1/2W",O300/2+O300/2*L300,IF($C300="1/2L",O300/2,(O300*L300-O300)*(1-_xlfn.XLOOKUP(K300,'Janeiro 2023 - Valor Real'!A3:A15,'Janeiro 2023 - Valor Real'!C3:C15,0))+O300)))))</f>
      </c>
      <c r="Q300" t="s" s="154">
        <f>IF(K300="","",IF(_xlfn.XLOOKUP(K300,K$102:K109,DJ$102:DJ109,0,,-1)=DJ300,_xlfn.XLOOKUP(K300,K$102:K109,Q$102:Q109,1,,-1)+1,1))</f>
      </c>
      <c r="R300" t="s" s="163">
        <f>IF(K300="","",_xlfn.XLOOKUP(K300,K$102:K109,R$102:R109,0,,-1)+IF($C300=" ",1,0))</f>
      </c>
      <c r="S300" s="166"/>
      <c r="T300" s="155"/>
      <c r="U300" s="155"/>
      <c r="V300" s="166"/>
      <c r="W300" s="155"/>
      <c r="X300" s="167"/>
      <c r="Y300" s="128"/>
      <c r="Z300" s="129"/>
      <c r="AA300" s="129"/>
      <c r="AB300" s="129"/>
      <c r="AC300" s="129"/>
      <c r="AD300" s="168"/>
      <c r="AE300" t="s" s="169">
        <f>IF(L300="","",(SUM(((L298-1)*(1-_xlfn.XLOOKUP(K298,'Janeiro 2023 - Valor Real'!A3:A15,'Janeiro 2023 - Valor Real'!C3:C15,0))+1),((L299-1)*(1-_xlfn.XLOOKUP(K299,'Janeiro 2023 - Valor Real'!A3:A15,'Janeiro 2023 - Valor Real'!C3:C15,0))+1),((L300-1)*(1-_xlfn.XLOOKUP(K300,'Janeiro 2023 - Valor Real'!A3:A15,'Janeiro 2023 - Valor Real'!C3:C15,0))+1))/((L300-1)*(1-_xlfn.XLOOKUP(K300,'Janeiro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Real'!C3:C15,0))+1))/((L298-1)*(1-_xlfn.XLOOKUP(K298,'Janeiro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Real'!C3:C15,0))+1))/((L299-1)*(1-_xlfn.XLOOKUP(K299,'Janeiro 2023 - Valor Real'!A3:A15,'Janeiro 2023 - Valor Real'!C3:C15,0))+1)+SUM(((L298-1)*(1-_xlfn.XLOOKUP(K298,'Janeiro 2023 - Valor Real'!A3:A15,'Janeiro 2023 - Valor Real'!C3:C15,0))+1),((L299-1)*(1-_xlfn.XLOOKUP(K299,'Janeiro 2023 - Valor Real'!A3:A15,'Janeiro 2023 - Valor Real'!C3:C15,0))+1),((L300-1)*(1-_xlfn.XLOOKUP(K300,'Janeiro 2023 - Valor Real'!A3:A15,'Janeiro 2023 - Valor Real'!C3:C15,0))+1))/((L300-1)*(1-_xlfn.XLOOKUP(K300,'Janeiro 2023 - Valor Real'!A3:A15,'Janeiro 2023 - Valor Real'!C3:C15,0))+1)))</f>
      </c>
      <c r="AF300" s="132">
        <f>IF($K300=AF$3,ROUND(IF(OR($C300="W",$C300="1/2W",$C300="1/2L"),$P300-$O300,IF($C300="X",0,-$O300)),2),0)</f>
        <v>0</v>
      </c>
      <c r="AG300" s="133">
        <f>IF($K300=AG$3,ROUND(IF(OR($C300="W",$C300="1/2W",$C300="1/2L"),$P300-$O300,IF($C300="X",0,-$O300)),2),0)</f>
        <v>0</v>
      </c>
      <c r="AH300" s="133">
        <f>IF($K300=AH$3,ROUND(IF(OR($C300="W",$C300="1/2W",$C300="1/2L"),$P300-$O300,IF($C300="X",0,-$O300)),2),0)</f>
        <v>0</v>
      </c>
      <c r="AI300" s="133">
        <f>IF($K300=AI$3,ROUND(IF(OR($C300="W",$C300="1/2W",$C300="1/2L"),$P300-$O300,IF($C300="X",0,-$O300)),2),0)</f>
        <v>0</v>
      </c>
      <c r="AJ300" s="133">
        <f>IF($K300=AJ$3,ROUND(IF(OR($C300="W",$C300="1/2W",$C300="1/2L"),$P300-$O300,IF($C300="X",0,-$O300)),2),0)</f>
        <v>0</v>
      </c>
      <c r="AK300" s="133">
        <f>IF($K300=AK$3,ROUND(IF(OR($C300="W",$C300="1/2W",$C300="1/2L"),$P300-$O300,IF($C300="X",0,-$O300)),2),0)</f>
        <v>0</v>
      </c>
      <c r="AL300" s="133">
        <f>IF($K300=AL$3,ROUND(IF(OR($C300="W",$C300="1/2W",$C300="1/2L"),$P300-$O300,IF($C300="X",0,-$O300)),2),0)</f>
        <v>0</v>
      </c>
      <c r="AM300" s="133">
        <f>IF($K300=AM$3,ROUND(IF(OR($C300="W",$C300="1/2W",$C300="1/2L"),$P300-$O300,IF($C300="X",0,-$O300)),2),0)</f>
        <v>0</v>
      </c>
      <c r="AN300" s="133">
        <f>IF($K300=AN$3,ROUND(IF(OR($C300="W",$C300="1/2W",$C300="1/2L"),$P300-$O300,IF($C300="X",0,-$O300)),2),0)</f>
        <v>0</v>
      </c>
      <c r="AO300" s="133">
        <f>IF($K300=AO$3,ROUND(IF(OR($C300="W",$C300="1/2W",$C300="1/2L"),$P300-$O300,IF($C300="X",0,-$O300)),2),0)</f>
        <v>0</v>
      </c>
      <c r="AP300" s="133">
        <f>IF($K300=AP$3,ROUND(IF(OR($C300="W",$C300="1/2W",$C300="1/2L"),$P300-$O300,IF($C300="X",0,-$O300)),2),0)</f>
        <v>0</v>
      </c>
      <c r="AQ300" s="133">
        <f>IF($K300=AQ$3,ROUND(IF(OR($C300="W",$C300="1/2W",$C300="1/2L"),$P300-$O300,IF($C300="X",0,-$O300)),2),0)</f>
        <v>0</v>
      </c>
      <c r="AR300" s="134">
        <f>IF($K300=AR$3,ROUND(IF(OR($C300="W",$C300="1/2W",$C300="1/2L"),$P300-$O300,IF($C300="X",0,-$O300)),2),0)</f>
        <v>0</v>
      </c>
      <c r="AS300" s="132">
        <f>IF(AND($B298=" ",$K300=AS$3),$O300,0)</f>
        <v>0</v>
      </c>
      <c r="AT300" s="133">
        <f>IF(AND($B298=" ",K300=AT$3),$O300,0)</f>
        <v>0</v>
      </c>
      <c r="AU300" s="133">
        <f>IF(AND($B298=" ",$K300=AU$3),$O300,0)</f>
        <v>0</v>
      </c>
      <c r="AV300" s="133">
        <f>IF(AND($B298=" ",$K300=AV$3),$O300,0)</f>
        <v>0</v>
      </c>
      <c r="AW300" s="133">
        <f>IF(AND($B298=" ",$K300=AW$3),$O300,0)</f>
        <v>0</v>
      </c>
      <c r="AX300" s="133">
        <f>IF(AND($B298=" ",$K300=AX$3),$O300,0)</f>
        <v>0</v>
      </c>
      <c r="AY300" s="135">
        <f>IF(AND($B298=" ",$K300=AY$3),$O300,0)</f>
        <v>0</v>
      </c>
      <c r="AZ300" s="136">
        <f>IF(AND($B298=" ",$K300=AZ$3),$O300,0)</f>
        <v>0</v>
      </c>
      <c r="BA300" s="136">
        <f>IF(AND($B298=" ",$K300=BA$3),$O300,0)</f>
        <v>0</v>
      </c>
      <c r="BB300" s="136">
        <f>IF(AND($B298=" ",$K300=BB$3),$O300,0)</f>
        <v>0</v>
      </c>
      <c r="BC300" s="137">
        <f>IF(AND($B298=" ",$K300=BC$3),$O300,0)</f>
        <v>0</v>
      </c>
      <c r="BD300" s="133">
        <f>IF(AND($B298=" ",$K300=BD$3),$O300,0)</f>
        <v>0</v>
      </c>
      <c r="BE300" s="134">
        <f>IF(AND($B298=" ",$K300=BE$3),$O300,0)</f>
        <v>0</v>
      </c>
      <c r="BF300" s="132">
        <f>IF($K300=BF$3,IF($C300="X",0,$O300),0)</f>
        <v>0</v>
      </c>
      <c r="BG300" s="281">
        <f>IF($K300=BG$3,IF($C300="X",0,$O300),0)</f>
        <v>0</v>
      </c>
      <c r="BH300" s="133">
        <f>IF($K300=BH$3,IF($C300="X",0,$O300),0)</f>
        <v>0</v>
      </c>
      <c r="BI300" s="133">
        <f>IF($K300=BI$3,IF($C300="X",0,$O300),0)</f>
        <v>0</v>
      </c>
      <c r="BJ300" s="133">
        <f>IF($K300=BJ$3,IF($C300="X",0,$O300),0)</f>
        <v>0</v>
      </c>
      <c r="BK300" s="133">
        <f>IF($K300=BK$3,IF($C300="X",0,$O300),0)</f>
        <v>0</v>
      </c>
      <c r="BL300" s="133">
        <f>IF($K300=BL$3,IF($C300="X",0,$O300),0)</f>
        <v>0</v>
      </c>
      <c r="BM300" s="135">
        <f>IF($K300=BM$3,IF($C300="X",0,$O300),0)</f>
        <v>0</v>
      </c>
      <c r="BN300" s="136">
        <f>IF($K300=BN$3,IF($C300="X",0,$O300),0)</f>
        <v>0</v>
      </c>
      <c r="BO300" s="136">
        <f>IF($K300=BO$3,IF($C300="X",0,$O300),0)</f>
        <v>0</v>
      </c>
      <c r="BP300" s="136">
        <f>IF($K300=BP$3,IF($C300="X",0,$O300),0)</f>
        <v>0</v>
      </c>
      <c r="BQ300" s="137">
        <f>IF($K300=BQ$3,IF($C300="X",0,$O300),0)</f>
        <v>0</v>
      </c>
      <c r="BR300" s="134">
        <f>IF($K300=BR$3,IF($C300="X",0,$O300),0)</f>
        <v>0</v>
      </c>
      <c r="BS300" s="282"/>
      <c r="BT300" s="283"/>
      <c r="BU300" s="140"/>
      <c r="BV300" s="283"/>
      <c r="BW300" s="140"/>
      <c r="BX300" s="140"/>
      <c r="BY300" s="140"/>
      <c r="BZ300" s="283"/>
      <c r="CA300" s="140"/>
      <c r="CB300" s="140"/>
      <c r="CC300" s="140"/>
      <c r="CD300" s="141"/>
      <c r="CE300" s="142"/>
      <c r="CF300" s="284">
        <f>IF(CF$3=$K300,IF($C300="W",1,IF($C300="1/2W",0.5,0)),0)</f>
        <v>0</v>
      </c>
      <c r="CG300" s="285">
        <f>IF(CF$3=$K300,IF($C300="L",1,IF($C300="1/2L",0.5,0)),0)</f>
        <v>0</v>
      </c>
      <c r="CH300" s="285">
        <f>IF(CH$3=$K300,IF($C300="W",1,IF($C300="1/2W",0.5,0)),0)</f>
        <v>0</v>
      </c>
      <c r="CI300" s="285">
        <f>IF(CH$3=$K300,IF($C300="L",1,IF($C300="1/2L",0.5,0)),0)</f>
        <v>0</v>
      </c>
      <c r="CJ300" s="285">
        <f>IF(CJ$3=$K300,IF($C300="W",1,IF($C300="1/2W",0.5,0)),0)</f>
        <v>0</v>
      </c>
      <c r="CK300" s="285">
        <f>IF(CJ$3=$K300,IF($C300="L",1,IF($C300="1/2L",0.5,0)),0)</f>
        <v>0</v>
      </c>
      <c r="CL300" s="285">
        <f>IF(CL$3=$K300,IF($C300="W",1,IF($C300="1/2W",0.5,0)),0)</f>
        <v>0</v>
      </c>
      <c r="CM300" s="285">
        <f>IF(CL$3=$K300,IF($C300="L",1,IF($C300="1/2L",0.5,0)),0)</f>
        <v>0</v>
      </c>
      <c r="CN300" s="285">
        <f>IF(CN$3=$K300,IF($C300="W",1,IF($C300="1/2W",0.5,0)),0)</f>
        <v>0</v>
      </c>
      <c r="CO300" s="285">
        <f>IF(CN$3=$K300,IF($C300="L",1,IF($C300="1/2L",0.5,0)),0)</f>
        <v>0</v>
      </c>
      <c r="CP300" s="285">
        <f>IF(CP$3=$K300,IF($C300="W",1,IF($C300="1/2W",0.5,0)),0)</f>
        <v>0</v>
      </c>
      <c r="CQ300" s="285">
        <f>IF(CP$3=$K300,IF($C300="L",1,IF($C300="1/2L",0.5,0)),0)</f>
        <v>0</v>
      </c>
      <c r="CR300" s="285">
        <f>IF(CR$3=$K300,IF($C300="W",1,IF($C300="1/2W",0.5,0)),0)</f>
        <v>0</v>
      </c>
      <c r="CS300" s="285">
        <f>IF(CR$3=$K300,IF($C300="L",1,IF($C300="1/2L",0.5,0)),0)</f>
        <v>0</v>
      </c>
      <c r="CT300" s="145">
        <f>IF(CT$3=$K300,IF($C300="W",1,IF($C300="1/2W",0.5,0)),0)</f>
        <v>0</v>
      </c>
      <c r="CU300" s="146">
        <f>IF(CT$3=$K300,IF($C300="L",1,IF($C300="1/2L",0.5,0)),0)</f>
        <v>0</v>
      </c>
      <c r="CV300" s="146">
        <f>IF(CV$3=$K300,IF($C300="W",1,IF($C300="1/2W",0.5,0)),0)</f>
        <v>0</v>
      </c>
      <c r="CW300" s="146">
        <f>IF(CV$3=$K300,IF($C300="L",1,IF($C300="1/2L",0.5,0)),0)</f>
        <v>0</v>
      </c>
      <c r="CX300" s="146">
        <f>IF(CX$3=$K300,IF($C300="W",1,IF($C300="1/2W",0.5,0)),0)</f>
        <v>0</v>
      </c>
      <c r="CY300" s="146">
        <f>IF(CX$3=$K300,IF($C300="L",1,IF($C300="1/2L",0.5,0)),0)</f>
        <v>0</v>
      </c>
      <c r="CZ300" s="146">
        <f>IF(CZ$3=$K300,IF($C300="W",1,IF($C300="1/2W",0.5,0)),0)</f>
        <v>0</v>
      </c>
      <c r="DA300" s="146">
        <f>IF(CZ$3=$K300,IF($C300="L",1,IF($C300="1/2L",0.5,0)),0)</f>
        <v>0</v>
      </c>
      <c r="DB300" s="146">
        <f>IF(DB$3=$K300,IF($C300="W",1,IF($C300="1/2W",0.5,0)),0)</f>
        <v>0</v>
      </c>
      <c r="DC300" s="146">
        <f>IF(DB$3=$K300,IF($C300="L",1,IF($C300="1/2L",0.5,0)),0)</f>
        <v>0</v>
      </c>
      <c r="DD300" s="146">
        <f>IF(DD$3=$K300,IF($C300="W",1,IF($C300="1/2W",0.5,0)),0)</f>
        <v>0</v>
      </c>
      <c r="DE300" s="147">
        <f>IF(DD$3=$K300,IF($C300="L",1,IF($C300="1/2L",0.5,0)),0)</f>
        <v>0</v>
      </c>
      <c r="DF300" s="143">
        <f>IF(AND(L300&lt;DF$3,$C300="W"),1+DF299,DF299)</f>
        <v>12</v>
      </c>
      <c r="DG300" s="133">
        <f>IF(DF300&gt;DF299,L300+DG299,DG299)</f>
        <v>15.718</v>
      </c>
      <c r="DH300" s="146">
        <f>IF(AND(L300&gt;DH$3,$C300="W"),1+DH299,0+DH299)</f>
        <v>7</v>
      </c>
      <c r="DI300" s="133">
        <f>IF(DH300&gt;DH299,L300+DI299,DI299)</f>
        <v>34.83</v>
      </c>
      <c r="DJ300" t="s" s="304">
        <f>IF($D298="","",$D298)</f>
        <v>229</v>
      </c>
      <c r="DK300" s="286"/>
    </row>
    <row r="301" ht="14.55" customHeight="1">
      <c r="A301" s="171">
        <f>$A298+1</f>
        <v>100</v>
      </c>
      <c r="B301" t="s" s="172">
        <f>IF(AND(_xlfn.XLOOKUP(H301,H$97:H110,G$97:G110,0)=G301,_xlfn.XLOOKUP("TempoBet",K301:K303,L301:L303,0)&gt;0),"X",IF(OR(C301="W",C302="W",C303="W",C301="1/2W",C302="1/2W",C303="1/2W",C301="1/2L",C302="1/2L",C303="1/2L"),"OK",IF(OR(C301="L",C302="L",C303="L"),"LOSS",IF(OR(C301="X",C302="X",C303="X"),"Anulado"," "))))</f>
        <v>50</v>
      </c>
      <c r="C301" t="s" s="173">
        <v>56</v>
      </c>
      <c r="D301" t="s" s="305">
        <v>269</v>
      </c>
      <c r="E301" t="s" s="175">
        <f>IF(G301=""," ","– "&amp;COUNTIF(D$4:D303,$D301))</f>
        <v>52</v>
      </c>
      <c r="F301" t="s" s="176"/>
      <c r="G301" s="177">
        <v>44946.583333333336</v>
      </c>
      <c r="H301" t="s" s="178">
        <v>270</v>
      </c>
      <c r="I301" t="s" s="179">
        <v>65</v>
      </c>
      <c r="J301" s="291">
        <v>3.5</v>
      </c>
      <c r="K301" t="s" s="181">
        <v>41</v>
      </c>
      <c r="L301" s="182">
        <v>1.77</v>
      </c>
      <c r="M301" s="183"/>
      <c r="N301" s="184">
        <v>0.1</v>
      </c>
      <c r="O301" s="185">
        <f>IF(OR(AE301="",AE302=""),"",ROUND(IF(L303&gt;0,IF(M301&gt;0,M301,IF(M302&gt;0,ROUND((M302*AE301)/AE302,IF(N301=0,2,IF(N301=0.1,1,0))),ROUND((M303*AE301)/AE303,IF(N301=0,2,IF(N301=0.1,1,0))))),IF(M301&gt;0,M301,ROUND((M302*AE301)/AE302,IF(N301=0,2,IF(N301=0.1,1,0))))),2))</f>
        <v>13.2</v>
      </c>
      <c r="P301" s="186">
        <f>IF(OR(L301="",O301=""),"",IF($C301="1/2W",O301/2+O301/2*L301,IF($C301="1/2L",O301/2,IF(I301="Lay",(O301*(L301/(L301-1))-O301)*(1-_xlfn.XLOOKUP(K301,'Janeiro 2023 - Valor Real'!A3:A15,'Janeiro 2023 - Valor Real'!C3:C15,0))+O301,(O301*L301-O301)*(1-_xlfn.XLOOKUP(K301,'Janeiro 2023 - Valor Real'!A3:A15,'Janeiro 2023 - Valor Real'!C3:C15,0))+O301))))</f>
        <v>23.364</v>
      </c>
      <c r="Q301" s="187">
        <f>IF(K301="","",IF(_xlfn.XLOOKUP(K301,K$97:K110,DJ$97:DJ110,0,,-1)=DJ301,_xlfn.XLOOKUP(K301,K$97:K110,Q$97:Q110,1,,-1)+1,1))</f>
        <v>1</v>
      </c>
      <c r="R301" s="188">
        <f>IF(K301="","",_xlfn.XLOOKUP(K301,K$97:K110,R$97:R110,0,,-1)+IF($C301=" ",1,0))</f>
        <v>0</v>
      </c>
      <c r="S301" s="189">
        <f>IF($B301="Anulado",0,ROUND(IF(OR($B301="LOSS",$B301="OK"),IF(OR($C301="W",$C301="1/2W",$C301="1/2L"),P301-O301,IF($C301="L",-O301,0))+IF(OR($C302="W",$C302="1/2W",$C302="1/2L"),P302-O302,IF($C302="L",-O302,0))+IF(OR($C303="W",$C303="1/2W",$C303="1/2L"),P303-O303,IF($C303="L",-O303,0)),IF(AND(OR($C301="W",$C301="1/2W",$C301="1/2L"),C302="W"),P301+P302-SUM(O301:O303)+_xlfn.XLOOKUP("X",C301:C303,O301:O303,0),IF(AND(C301=TRUE,C303="W"),P301+P303-SUM(O301:O303),IF(AND(C302="W",C303="W"),P302+P303-SUM(O301:O303)+_xlfn.XLOOKUP("X",C301:C303,O301:O303,0),IF(L303&gt;0,IF(OR($C301="W",$C301="1/2W",$C301="1/2L"),P301-SUM(O301:O303)+_xlfn.XLOOKUP("X",C301:C303,O301:O303,0),IF(OR($C301="W",$C301="1/2W",$C301="1/2L"),P302-SUM(O301:O303)+_xlfn.XLOOKUP("X",C301:C303,O301:O303,0),IF(OR($C301="W",$C301="1/2W",$C301="1/2L"),P303-SUM(O301:O303)+_xlfn.XLOOKUP("X",C301:C303,O301:O303,0),IF(SUM(P301:P303)/3-SUM(O301:O303)+_xlfn.XLOOKUP("X",C301:C303,O301:O303,0)&gt;0,SUM(P301:P303)/3-SUM(O301:O303)+_xlfn.XLOOKUP("X",C301:C303,O301:O303,0),LARGE(P301:P303,1)-SUM(O301:O303))))),IF(OR($C301="W",$C301="1/2W",$C301="1/2L"),P301-SUM(O301:O302)+_xlfn.XLOOKUP("X",C301:C303,O301:O303,0),IF(OR($C301="W",$C301="1/2W",$C301="1/2L"),P302-SUM(O301:O302)+_xlfn.XLOOKUP("X",C301:C303,O301:O303,0),SUM(P301:P302)/2-SUM(O301:O302)+_xlfn.XLOOKUP("X",C301:C303,O301:O303,0)))))))),2))</f>
        <v>0.83</v>
      </c>
      <c r="T301" s="190">
        <f>IF(S301=0,0,S301/SUM(O301:O303))</f>
        <v>0.0368397691966267</v>
      </c>
      <c r="U301" s="191">
        <f>IF($D301=$D298,IF(OR($B301="LOSS",$B301="OK",$B301="Anulada"),S301,0)+U298,IF(OR($B301="LOSS",$B301="OK",$B301="Anulada"),S301,0))</f>
        <v>0.83</v>
      </c>
      <c r="V301" s="191">
        <f>IF($D301="",0,IF($D301=$D298,IF($B301=" ",IF(I303="",IF(OR(AND(I301="DNB1",I302="DNB2"),AND(OR(I301="DNB1",I301="DNB2"),J302=0),AND(OR(I302="DNB1",I302="DNB2"),J301=0),AND(I301="DNB2",I302="DNB1"),AND(IF(J301=0,(J301+1)/ROUND(J301+1,0),J301/ROUND(J301,0))=1,IF(J302=0,(J302+1)/ROUND(IF(J302="",0,J302)+1,0),IF(J302="",0,J302)/ROUND(IF(J302="",1,J302),0))=1,OR(J301&lt;&gt;""),J302&lt;&gt;"")),0,IF(S301&lt;0,IF(I303="",SMALL(P301:P302,1)-SUM(O301:O302),0),SMALL(P301:P302,1)-SUM(O301:O302))),IF(S301&lt;0,IF(I303="",SMALL(P301:P303,1)-SUM(O301:O303),0),LARGE(P301:P303,1)-SUM(O301:O303))),S301)+V298,IF(I303="",IF(OR(AND(I301="DNB1",I302="DNB2"),AND(OR(I301="DNB1",I301="DNB2"),J302=0),AND(OR(I302="DNB1",I302="DNB2"),J301=0),AND(I301="DNB2",I302="DNB1"),AND(IF(J301=0,(J301+1)/ROUND(J301+1,0),J301/ROUND(J301,0))=1,IF(J302=0,(IF(J302="",0,J302)+1)/ROUND(IF(J302="",0,J302)+1,0),IF(J302="",0,J302)/ROUND(IF(J302="",0,J302)+1,0))=1,OR(J301&lt;&gt;""),J302&lt;&gt;"")),0,IF(S301&lt;0,IF(I303="",SMALL(P301:P302,1)-SUM(O301:O302),0),SMALL(P301:P303,1)-SUM(O301:O303))),IF(S301&lt;0,IF(I303="",SMALL(P301:P303,1)-SUM(O301:O303),0),LARGE(P301:P303,1)-SUM(O301:O303)))))</f>
        <v>0.795</v>
      </c>
      <c r="W301" s="191">
        <f>IF($D301=$D298,IF(S301&lt;0,IF(I303="",S301,0),S301)+W298,S301)</f>
        <v>0.83</v>
      </c>
      <c r="X301" t="s" s="192">
        <f>IF(OR(SUM(R301:R303)=0,V301=W301),ROUND(IF(W301=0,0,W301/Y301)*100,2)&amp;"%",ROUND(IF(V301=0,0,V301/Y301)*100,2)&amp;"% a "&amp;ROUND(IF(W301=0,0,W301/Y301)*100,2)&amp;"%")</f>
        <v>271</v>
      </c>
      <c r="Y301" s="193">
        <f>IF($D301=$D298,Y298+SUM(O301:O303),SUM(O301:O303))</f>
        <v>22.53</v>
      </c>
      <c r="Z301" s="191">
        <f>IF($B301=" ",SUM(O301:O303),0)+Z298</f>
        <v>0</v>
      </c>
      <c r="AA301" s="191">
        <f>IF(G301="","",IF($B301="Anulado",LARGE(P301:P303,1)-SUM(O301:O303)+AA298,AA298))</f>
        <v>16.5099</v>
      </c>
      <c r="AB301" s="191">
        <f>IF($D301="","",AB298+S301)</f>
        <v>304.2</v>
      </c>
      <c r="AC301" s="194">
        <f>IF($D301="","",IF($B301=" ",IF(DAY(G301)=DAY(TODAY()),1+AC298,0+AC298),0+AC298))</f>
        <v>0</v>
      </c>
      <c r="AD301" s="195">
        <f>(((L302/(L302-1)-1)*(1-_xlfn.XLOOKUP(K302,'Janeiro 2023 - Valor Real'!A3:A15,'Janeiro 2023 - Valor Real'!C3:C15,0))+1))/(((L301-1)*(1-_xlfn.XLOOKUP(K301,'Janeiro 2023 - Valor Real'!A3:A15,'Janeiro 2023 - Valor Real'!C3:C15,0))+1)+((L302/(L302-1)-1)*(1-_xlfn.XLOOKUP(K302,'Janeiro 2023 - Valor Real'!A3:A15,'Janeiro 2023 - Valor Real'!C3:C15,0))+1))</f>
        <v>0.484966052376334</v>
      </c>
      <c r="AE301" s="196">
        <f>IF(L301="","",IF(L303&gt;0,(SUM(((L301-1)*(1-_xlfn.XLOOKUP(K301,'Janeiro 2023 - Valor Real'!A3:A15,'Janeiro 2023 - Valor Real'!C3:C15,0))+1),((L302-1)*(1-_xlfn.XLOOKUP(K302,'Janeiro 2023 - Valor Real'!A3:A15,'Janeiro 2023 - Valor Real'!C3:C15,0))+1),((L303-1)*(1-_xlfn.XLOOKUP(K303,'Janeiro 2023 - Valor Real'!A3:A15,'Janeiro 2023 - Valor Real'!C3:C15,0))+1))/((L301-1)*(1-_xlfn.XLOOKUP(K301,'Janeiro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Real'!C3:C15,0))+1))/((L301-1)*(1-_xlfn.XLOOKUP(K301,'Janeiro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Real'!C3:C15,0))+1))/((L302-1)*(1-_xlfn.XLOOKUP(K302,'Janeiro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Real'!C3:C15,0))+1))/((L303-1)*(1-_xlfn.XLOOKUP(K303,'Janeiro 2023 - Valor Real'!A3:A15,'Janeiro 2023 - Valor Real'!C3:C15,0))+1)),IF(I301="Lay",IF(I302="Lay",((L302/(L302-1)-1)*(1-_xlfn.XLOOKUP(K302,'Janeiro 2023 - Valor Real'!A3:A15,'Janeiro 2023 - Valor Real'!C3:C15,0))+1)/(((L302/(L302-1)-1)*(1-_xlfn.XLOOKUP(K302,'Janeiro 2023 - Valor Real'!A3:A15,'Janeiro 2023 - Valor Real'!C3:C15,0))+1)+((L301/(L301-1)-1)*(1-_xlfn.XLOOKUP(K301,'Janeiro 2023 - Valor Real'!A3:A15,'Janeiro 2023 - Valor Real'!C3:C15,0))+1)),((L302-1)*(1-_xlfn.XLOOKUP(K302,'Janeiro 2023 - Valor Real'!A3:A15,'Janeiro 2023 - Valor Real'!C3:C15,0))+1)/(((L302-1)*(1-_xlfn.XLOOKUP(K302,'Janeiro 2023 - Valor Real'!A3:A15,'Janeiro 2023 - Valor Real'!C3:C15,0))+1)+((L301/(L301-1)-1)*(1-_xlfn.XLOOKUP(K301,'Janeiro 2023 - Valor Real'!A3:A15,'Janeiro 2023 - Valor Real'!C3:C15,0))+1))),IF(I302="Lay",(((L302/(L302-1)-1)*(1-_xlfn.XLOOKUP(K302,'Janeiro 2023 - Valor Real'!A3:A15,'Janeiro 2023 - Valor Real'!C3:C15,0))+1))/(((L301-1)*(1-_xlfn.XLOOKUP(K301,'Janeiro 2023 - Valor Real'!A3:A15,'Janeiro 2023 - Valor Real'!C3:C15,0))+1)+((L302/(L302-1)-1)*(1-_xlfn.XLOOKUP(K302,'Janeiro 2023 - Valor Real'!A3:A15,'Janeiro 2023 - Valor Real'!C3:C15,0))+1)),((L302-1)*(1-_xlfn.XLOOKUP(K302,'Janeiro 2023 - Valor Real'!A3:A15,'Janeiro 2023 - Valor Real'!C3:C15,0))+1)/(((L302-1)*(1-_xlfn.XLOOKUP(K302,'Janeiro 2023 - Valor Real'!A3:A15,'Janeiro 2023 - Valor Real'!C3:C15,0))+1)+((L301-1)*(1-_xlfn.XLOOKUP(K301,'Janeiro 2023 - Valor Real'!A3:A15,'Janeiro 2023 - Valor Real'!C3:C15,0))+1))))))</f>
        <v>0.585480093676815</v>
      </c>
      <c r="AF301" s="197">
        <f>IF($K301=AF$3,ROUND(IF(OR($C301="W",$C301="1/2W",$C301="1/2L"),$P301-$O301,IF($C301="X",0,-$O301)),2),0)</f>
        <v>0</v>
      </c>
      <c r="AG301" s="198">
        <f>IF($K301=AG$3,ROUND(IF(OR($C301="W",$C301="1/2W",$C301="1/2L"),$P301-$O301,IF($C301="X",0,-$O301)),2),0)</f>
        <v>0</v>
      </c>
      <c r="AH301" s="198">
        <f>IF($K301=AH$3,ROUND(IF(OR($C301="W",$C301="1/2W",$C301="1/2L"),$P301-$O301,IF($C301="X",0,-$O301)),2),0)</f>
        <v>0</v>
      </c>
      <c r="AI301" s="198">
        <f>IF($K301=AI$3,ROUND(IF(OR($C301="W",$C301="1/2W",$C301="1/2L"),$P301-$O301,IF($C301="X",0,-$O301)),2),0)</f>
        <v>0</v>
      </c>
      <c r="AJ301" s="198">
        <f>IF($K301=AJ$3,ROUND(IF(OR($C301="W",$C301="1/2W",$C301="1/2L"),$P301-$O301,IF($C301="X",0,-$O301)),2),0)</f>
        <v>10.16</v>
      </c>
      <c r="AK301" s="198">
        <f>IF($K301=AK$3,ROUND(IF(OR($C301="W",$C301="1/2W",$C301="1/2L"),$P301-$O301,IF($C301="X",0,-$O301)),2),0)</f>
        <v>0</v>
      </c>
      <c r="AL301" s="198">
        <f>IF($K301=AL$3,ROUND(IF(OR($C301="W",$C301="1/2W",$C301="1/2L"),$P301-$O301,IF($C301="X",0,-$O301)),2),0)</f>
        <v>0</v>
      </c>
      <c r="AM301" s="198">
        <f>IF($K301=AM$3,ROUND(IF(OR($C301="W",$C301="1/2W",$C301="1/2L"),$P301-$O301,IF($C301="X",0,-$O301)),2),0)</f>
        <v>0</v>
      </c>
      <c r="AN301" s="198">
        <f>IF($K301=AN$3,ROUND(IF(OR($C301="W",$C301="1/2W",$C301="1/2L"),$P301-$O301,IF($C301="X",0,-$O301)),2),0)</f>
        <v>0</v>
      </c>
      <c r="AO301" s="198">
        <f>IF($K301=AO$3,ROUND(IF(OR($C301="W",$C301="1/2W",$C301="1/2L"),$P301-$O301,IF($C301="X",0,-$O301)),2),0)</f>
        <v>0</v>
      </c>
      <c r="AP301" s="198">
        <f>IF($K301=AP$3,ROUND(IF(OR($C301="W",$C301="1/2W",$C301="1/2L"),$P301-$O301,IF($C301="X",0,-$O301)),2),0)</f>
        <v>0</v>
      </c>
      <c r="AQ301" s="198">
        <f>IF($K301=AQ$3,ROUND(IF(OR($C301="W",$C301="1/2W",$C301="1/2L"),$P301-$O301,IF($C301="X",0,-$O301)),2),0)</f>
        <v>0</v>
      </c>
      <c r="AR301" s="199">
        <f>IF($K301=AR$3,ROUND(IF(OR($C301="W",$C301="1/2W",$C301="1/2L"),$P301-$O301,IF($C301="X",0,-$O301)),2),0)</f>
        <v>0</v>
      </c>
      <c r="AS301" s="197">
        <f>IF(AND($B301=" ",$K301=AS$3),$O301,0)</f>
        <v>0</v>
      </c>
      <c r="AT301" s="198">
        <f>IF(AND($B301=" ",$K301=AT$3),$O301,0)</f>
        <v>0</v>
      </c>
      <c r="AU301" s="198">
        <f>IF(AND($B301=" ",$K301=AU$3),$O301,0)</f>
        <v>0</v>
      </c>
      <c r="AV301" s="198">
        <f>IF(AND($B301=" ",$K301=AV$3),$O301,0)</f>
        <v>0</v>
      </c>
      <c r="AW301" s="198">
        <f>IF(AND($B301=" ",$K301=AW$3),$O301,0)</f>
        <v>0</v>
      </c>
      <c r="AX301" s="198">
        <f>IF(AND($B301=" ",$K301=AX$3),$O301,0)</f>
        <v>0</v>
      </c>
      <c r="AY301" s="200">
        <f>IF(AND($B301=" ",$K301=AY$3),$O301,0)</f>
        <v>0</v>
      </c>
      <c r="AZ301" s="201">
        <f>IF(AND($B301=" ",$K301=AZ$3),$O301,0)</f>
        <v>0</v>
      </c>
      <c r="BA301" s="201">
        <f>IF(AND($B301=" ",$K301=BA$3),$O301,0)</f>
        <v>0</v>
      </c>
      <c r="BB301" s="201">
        <f>IF(AND($B301=" ",$K301=BB$3),$O301,0)</f>
        <v>0</v>
      </c>
      <c r="BC301" s="202">
        <f>IF(AND($B301=" ",$K301=BC$3),$O301,0)</f>
        <v>0</v>
      </c>
      <c r="BD301" s="198">
        <f>IF(AND($B301=" ",$K301=BD$3),$O301,0)</f>
        <v>0</v>
      </c>
      <c r="BE301" s="199">
        <f>IF(AND($B301=" ",$K301=BE$3),$O301,0)</f>
        <v>0</v>
      </c>
      <c r="BF301" s="203">
        <f>IF($K301=BF$3,IF($C301="X",0,$O301),0)</f>
        <v>0</v>
      </c>
      <c r="BG301" s="198">
        <f>IF($K301=BG$3,IF($C301="X",0,$O301),0)</f>
        <v>0</v>
      </c>
      <c r="BH301" s="198">
        <f>IF($K301=BH$3,IF($C301="X",0,$O301),0)</f>
        <v>0</v>
      </c>
      <c r="BI301" s="198">
        <f>IF($K301=BI$3,IF($C301="X",0,$O301),0)</f>
        <v>0</v>
      </c>
      <c r="BJ301" s="198">
        <f>IF($K301=BJ$3,IF($C301="X",0,$O301),0)</f>
        <v>13.2</v>
      </c>
      <c r="BK301" s="198">
        <f>IF($K301=BK$3,IF($C301="X",0,$O301),0)</f>
        <v>0</v>
      </c>
      <c r="BL301" s="198">
        <f>IF($K301=BL$3,IF($C301="X",0,$O301),0)</f>
        <v>0</v>
      </c>
      <c r="BM301" s="200">
        <f>IF($K301=BM$3,IF($C301="X",0,$O301),0)</f>
        <v>0</v>
      </c>
      <c r="BN301" s="201">
        <f>IF($K301=BN$3,IF($C301="X",0,$O301),0)</f>
        <v>0</v>
      </c>
      <c r="BO301" s="201">
        <f>IF($K301=BO$3,IF($C301="X",0,$O301),0)</f>
        <v>0</v>
      </c>
      <c r="BP301" s="201">
        <f>IF($K301=BP$3,IF($C301="X",0,$O301),0)</f>
        <v>0</v>
      </c>
      <c r="BQ301" s="202">
        <f>IF($K301=BQ$3,IF($C301="X",0,$O301),0)</f>
        <v>0</v>
      </c>
      <c r="BR301" s="199">
        <f>IF($K301=BR$3,IF($C301="X",0,$O301),0)</f>
        <v>0</v>
      </c>
      <c r="BS301" s="204">
        <f>IF($B301="LOSS",IF(AND($K301=BS$3,$C301="L"),-$O301,0)+IF(AND($K302=BS$3,$C302="L"),-$O302,0)+IF(AND($K303=BS$3,$C303="L"),-$O303,0),IF(OR(AND($K301=BS$3,OR($C301="W",$C301="1/2W")),AND($K302=BS$3,OR($C302="W",$C302="1/2W")),AND($K303=BS$3,OR($C303="W",$C303="1/2W"))),$S301,0))</f>
        <v>0</v>
      </c>
      <c r="BT301" s="201">
        <f>IF($B301="LOSS",IF(AND($K301=BT$3,$C301="L"),-$O301,0)+IF(AND($K302=BT$3,$C302="L"),-$O302,0)+IF(AND($K302=BT$3,$C303="L"),-$O303,0),IF(OR(AND($K302=BT$3,OR($C301="W",$C301="1/2W")),AND($K302=BT$3,OR($C302="W",$C302="1/2W")),AND($K302=BT$3,OR($C303="W",$C303="1/2W"))),$S301,0))</f>
        <v>0</v>
      </c>
      <c r="BU301" s="201">
        <f>IF($B301="LOSS",IF(AND($K301=BU$3,$C301="L"),-$O301,0)+IF(AND($K302=BU$3,$C302="L"),-$O302,0)+IF(AND($K302=BU$3,$C303="L"),-$O303,0),IF(OR(AND($K302=BU$3,OR($C301="W",$C301="1/2W")),AND($K302=BU$3,OR($C302="W",$C302="1/2W")),AND($K302=BU$3,OR($C303="W",$C303="1/2W"))),$S301,0))</f>
        <v>0</v>
      </c>
      <c r="BV301" s="201">
        <f>IF($B301="LOSS",IF(AND($K301=BV$3,$C301="L"),-$O301,0)+IF(AND($K302=BV$3,$C302="L"),-$O302,0)+IF(AND($K303=BV$3,$C303="L"),-$O303,0),IF(OR(AND($K301=BV$3,OR($C301="W",$C301="1/2W")),AND($K302=BV$3,OR($C302="W",$C302="1/2W")),AND($K303=BV$3,OR($C303="W",$C303="1/2W"))),$S301,0))</f>
        <v>0</v>
      </c>
      <c r="BW301" s="201">
        <f>IF($B301="LOSS",IF(AND($K301=BW$3,$C301="L"),-$O301,0)+IF(AND($K302=BW$3,$C302="L"),-$O302,0)+IF(AND($K303=BW$3,$C303="L"),-$O303,0),IF(OR(AND($K301=BW$3,OR($C301="W",$C301="1/2W")),AND($K302=BW$3,OR($C302="W",$C302="1/2W")),AND($K303=BW$3,OR($C303="W",$C303="1/2W"))),$S301,0))</f>
        <v>0.83</v>
      </c>
      <c r="BX301" s="201">
        <f>IF($B301="LOSS",IF(AND($K301=BX$3,$C301="L"),-$O301,0)+IF(AND($K302=BX$3,$C302="L"),-$O302,0)+IF(AND($K303=BX$3,$C303="L"),-$O303,0),IF(OR(AND($K301=BX$3,OR($C301="W",$C301="1/2W")),AND($K302=BX$3,OR($C302="W",$C302="1/2W")),AND($K303=BX$3,OR($C303="W",$C303="1/2W"))),$S301,0))</f>
        <v>0</v>
      </c>
      <c r="BY301" s="201">
        <f>IF($B301="LOSS",IF(AND($K301=BY$3,$C301="L"),-$O301,0)+IF(AND($K302=BY$3,$C302="L"),-$O302,0)+IF(AND($K303=BY$3,$C303="L"),-$O303,0),IF(OR(AND($K301=BY$3,OR($C301="W",$C301="1/2W")),AND($K302=BY$3,OR($C302="W",$C302="1/2W")),AND($K303=BY$3,OR($C303="W",$C303="1/2W"))),$S301,0))</f>
        <v>0</v>
      </c>
      <c r="BZ301" s="205">
        <f>IF($B301="LOSS",IF(AND($K301=BZ$3,$C301="L"),-$O301,0)+IF(AND($K302=BZ$3,$C302="L"),-$O302,0)+IF(AND($K303=BZ$3,$C303="L"),-$O303,0),IF(OR(AND($K301=BZ$3,OR($C301="W",$C301="1/2W")),AND($K302=BZ$3,OR($C302="W",$C302="1/2W")),AND($K303=BZ$3,OR($C303="W",$C303="1/2W"))),$S301,0))</f>
        <v>0</v>
      </c>
      <c r="CA301" s="205">
        <f>IF($B301="LOSS",IF(AND($K301=CA$3,$C301="L"),-$O301,0)+IF(AND($K302=CA$3,$C302="L"),-$O302,0)+IF(AND($K303=CA$3,$C303="L"),-$O303,0),IF(OR(AND($K301=CA$3,OR($C301="W",$C301="1/2W")),AND($K302=CA$3,OR($C302="W",$C302="1/2W")),AND($K303=CA$3,OR($C303="W",$C303="1/2W"))),$S301,0))</f>
        <v>0</v>
      </c>
      <c r="CB301" s="205">
        <f>IF($B301="LOSS",IF(AND($K301=CB$3,$C301="L"),-$O301,0)+IF(AND($K302=CB$3,$C302="L"),-$O302,0)+IF(AND($K303=CB$3,$C303="L"),-$O303,0),IF(OR(AND($K301=CB$3,OR($C301="W",$C301="1/2W")),AND($K302=CB$3,OR($C302="W",$C302="1/2W")),AND($K303=CB$3,OR($C303="W",$C303="1/2W"))),$S301,0))</f>
        <v>0</v>
      </c>
      <c r="CC301" s="205">
        <f>IF($B301="LOSS",IF(AND($K301=CC$3,$C301="L"),-$O301,0)+IF(AND($K302=CC$3,$C302="L"),-$O302,0)+IF(AND($K303=CC$3,$C303="L"),-$O303,0),IF(OR(AND($K301=CC$3,OR($C301="W",$C301="1/2W")),AND($K302=CC$3,OR($C302="W",$C302="1/2W")),AND($K303=CC$3,OR($C303="W",$C303="1/2W"))),$S301,0))</f>
        <v>0</v>
      </c>
      <c r="CD301" s="202">
        <f>IF($B301="LOSS",IF(AND($K301=CD$3,$C301="L"),-$O301,0)+IF(AND($K302=CD$3,$C302="L"),-$O302,0)+IF(AND($K303=CD$3,$C303="L"),-$O303,0),IF(OR(AND($K301=CD$3,OR($C301="W",$C301="1/2W")),AND($K302=CD$3,OR($C302="W",$C302="1/2W")),AND($K303=CD$3,OR($C303="W",$C303="1/2W"))),$S301,0))</f>
        <v>0</v>
      </c>
      <c r="CE301" s="199">
        <f>IF($B301="LOSS",IF(AND($K301=CE$3,$C301="L"),-$O301,0)+IF(AND($K302=CE$3,$C302="L"),-$O302,0)+IF(AND($K303=CE$3,$C303="L"),-$O303,0),IF(OR(AND($K301=CE$3,OR($C301="W",$C301="1/2W")),AND($K302=CE$3,OR($C302="W",$C302="1/2W")),AND($K303=CE$3,OR($C303="W",$C303="1/2W"))),$S301,0))</f>
        <v>0</v>
      </c>
      <c r="CF301" s="206">
        <f>IF(CF$3=$K301,IF($C301="W",1,IF($C301="1/2W",0.5,0)),0)</f>
        <v>0</v>
      </c>
      <c r="CG301" s="207">
        <f>IF(CF$3=$K301,IF($C301="L",1,IF($C301="1/2L",0.5,0)),0)</f>
        <v>0</v>
      </c>
      <c r="CH301" s="207">
        <f>IF(CH$3=$K301,IF($C301="W",1,IF($C301="1/2W",0.5,0)),0)</f>
        <v>0</v>
      </c>
      <c r="CI301" s="207">
        <f>IF(CH$3=$K301,IF($C301="L",1,IF($C301="1/2L",0.5,0)),0)</f>
        <v>0</v>
      </c>
      <c r="CJ301" s="207">
        <f>IF(CJ$3=$K301,IF($C301="W",1,IF($C301="1/2W",0.5,0)),0)</f>
        <v>0</v>
      </c>
      <c r="CK301" s="207">
        <f>IF(CJ$3=$K301,IF($C301="L",1,IF($C301="1/2L",0.5,0)),0)</f>
        <v>0</v>
      </c>
      <c r="CL301" s="207">
        <f>IF(CL$3=$K301,IF($C301="W",1,IF($C301="1/2W",0.5,0)),0)</f>
        <v>0</v>
      </c>
      <c r="CM301" s="207">
        <f>IF(CL$3=$K301,IF($C301="L",1,IF($C301="1/2L",0.5,0)),0)</f>
        <v>0</v>
      </c>
      <c r="CN301" s="207">
        <f>IF(CN$3=$K301,IF($C301="W",1,IF($C301="1/2W",0.5,0)),0)</f>
        <v>1</v>
      </c>
      <c r="CO301" s="207">
        <f>IF(CN$3=$K301,IF($C301="L",1,IF($C301="1/2L",0.5,0)),0)</f>
        <v>0</v>
      </c>
      <c r="CP301" s="207">
        <f>IF(CP$3=$K301,IF($C301="W",1,IF($C301="1/2W",0.5,0)),0)</f>
        <v>0</v>
      </c>
      <c r="CQ301" s="207">
        <f>IF(CP$3=$K301,IF($C301="L",1,IF($C301="1/2L",0.5,0)),0)</f>
        <v>0</v>
      </c>
      <c r="CR301" s="207">
        <f>IF(CR$3=$K301,IF($C301="W",1,IF($C301="1/2W",0.5,0)),0)</f>
        <v>0</v>
      </c>
      <c r="CS301" s="207">
        <f>IF(CR$3=$K301,IF($C301="L",1,IF($C301="1/2L",0.5,0)),0)</f>
        <v>0</v>
      </c>
      <c r="CT301" s="208">
        <f>IF(CT$3=$K301,IF($C301="W",1,IF($C301="1/2W",0.5,0)),0)</f>
        <v>0</v>
      </c>
      <c r="CU301" s="209">
        <f>IF(CT$3=$K301,IF($C301="L",1,IF($C301="1/2L",0.5,0)),0)</f>
        <v>0</v>
      </c>
      <c r="CV301" s="209">
        <f>IF(CV$3=$K301,IF($C301="W",1,IF($C301="1/2W",0.5,0)),0)</f>
        <v>0</v>
      </c>
      <c r="CW301" s="209">
        <f>IF(CV$3=$K301,IF($C301="L",1,IF($C301="1/2L",0.5,0)),0)</f>
        <v>0</v>
      </c>
      <c r="CX301" s="209">
        <f>IF(CX$3=$K301,IF($C301="W",1,IF($C301="1/2W",0.5,0)),0)</f>
        <v>0</v>
      </c>
      <c r="CY301" s="209">
        <f>IF(CX$3=$K301,IF($C301="L",1,IF($C301="1/2L",0.5,0)),0)</f>
        <v>0</v>
      </c>
      <c r="CZ301" s="209">
        <f>IF(CZ$3=$K301,IF($C301="W",1,IF($C301="1/2W",0.5,0)),0)</f>
        <v>0</v>
      </c>
      <c r="DA301" s="209">
        <f>IF(CZ$3=$K301,IF($C301="L",1,IF($C301="1/2L",0.5,0)),0)</f>
        <v>0</v>
      </c>
      <c r="DB301" s="209">
        <f>IF(DB$3=$K301,IF($C301="W",1,IF($C301="1/2W",0.5,0)),0)</f>
        <v>0</v>
      </c>
      <c r="DC301" s="209">
        <f>IF(DB$3=$K301,IF($C301="L",1,IF($C301="1/2L",0.5,0)),0)</f>
        <v>0</v>
      </c>
      <c r="DD301" s="209">
        <f>IF(DD$3=$K301,IF($C301="W",1,IF($C301="1/2W",0.5,0)),0)</f>
        <v>0</v>
      </c>
      <c r="DE301" s="210">
        <f>IF(DD$3=$K301,IF($C301="L",1,IF($C301="1/2L",0.5,0)),0)</f>
        <v>0</v>
      </c>
      <c r="DF301" s="211">
        <f>IF(AND(L301&lt;DF$3,$C301="W"),1+DF300,DF300)</f>
        <v>12</v>
      </c>
      <c r="DG301" s="198">
        <f>IF(DF301&gt;DF300,L301+DG300,DG300)</f>
        <v>15.718</v>
      </c>
      <c r="DH301" s="209">
        <f>IF(AND(L301&gt;DH$3,$C301="W"),1+DH300,0+DH300)</f>
        <v>7</v>
      </c>
      <c r="DI301" s="198">
        <f>IF(DH301&gt;DH300,L301+DI300,DI300)</f>
        <v>34.83</v>
      </c>
      <c r="DJ301" t="s" s="306">
        <f>IF($D301="","",$D301)</f>
        <v>272</v>
      </c>
      <c r="DK301" s="209">
        <f>IF(AND($B301=" ",$D301&lt;&gt;""),1,0)</f>
        <v>0</v>
      </c>
    </row>
    <row r="302" ht="14.55" customHeight="1">
      <c r="A302" s="107"/>
      <c r="B302" s="108"/>
      <c r="C302" t="s" s="213">
        <v>51</v>
      </c>
      <c r="D302" s="110"/>
      <c r="E302" s="111"/>
      <c r="F302" s="113"/>
      <c r="G302" s="214"/>
      <c r="H302" s="114"/>
      <c r="I302" t="s" s="215">
        <v>67</v>
      </c>
      <c r="J302" s="296">
        <f>IF(OR(I301="TO",I301="TU",I301="TO1",I301="TU1",I301="TO2",I301="TU2"),J301,IF(OR(I301="AH1",I301="AH2"),IF(OR(I302="AH1",I302="AH2"),-J301,IF(OR(I302="EH1",I302="EH2"),-J301+0.5,"")),IF(OR(I301="EH1",I301="EH2"),IF(OR(I302="AH1",I302="AH2"),-J301+0.5,IF(OR(I302="EH1",I302="EH2"),-J301+1,"")),IF(AND(OR(I301="DNB1",I301="DNB2"),OR(I302="AH1",I302="AH2")),0,IF(AND(I301="Not ScoreBoth",OR(I302="TO1",I302="TO2")),0.5,"")))))</f>
        <v>3.5</v>
      </c>
      <c r="K302" t="s" s="217">
        <v>37</v>
      </c>
      <c r="L302" s="218">
        <v>2.5</v>
      </c>
      <c r="M302" s="219">
        <v>9.33</v>
      </c>
      <c r="N302" s="120"/>
      <c r="O302" s="220">
        <f>IF(OR(AE301="",AE302=""),"",ROUND(IF(L303&gt;0,IF(M302&gt;0,M302,IF(M301&gt;0,IF(N301=TRUE,ROUND((M301*AE302)/AE301,0),(M301*AE302)/AE301),IF(M302&gt;0,ROUND(M302,IF(N301=0,2,IF(N301=0.1,1,0))),IF(M303&gt;0,ROUND(O303*AE302/AE303,IF(N301=0,2,IF(N301=0.1,1,0))),0)))),IF(M302&gt;0,M302,ROUND((M301*AE302)/AE301,IF(N301=0,2,IF(N301=0.1,1,0))))),2))</f>
        <v>9.33</v>
      </c>
      <c r="P302" s="221">
        <f>IF(OR(L302="",O302=""),"",IF($C302="1/2W",O302/2+O302/2*L302,IF($C302="1/2L",O302/2,IF(I302="Lay",((O302*(L302/(L302-1)))-O302)*(1-_xlfn.XLOOKUP(K302,'Janeiro 2023 - Valor Real'!A3:A15,'Janeiro 2023 - Valor Real'!C3:C15,0))+O302,(O302*L302-O302)*(1-_xlfn.XLOOKUP(K302,'Janeiro 2023 - Valor Real'!A3:A15,'Janeiro 2023 - Valor Real'!C3:C15,0))+O302))))</f>
        <v>23.325</v>
      </c>
      <c r="Q302" s="222">
        <f>IF(K302="","",IF(_xlfn.XLOOKUP(K302,K$98:K111,DJ$98:DJ111,0,,-1)=DJ302,_xlfn.XLOOKUP(K302,K$98:K111,Q$98:Q111,1,,-1)+1,1))</f>
        <v>1</v>
      </c>
      <c r="R302" s="223">
        <f>IF(K302="","",_xlfn.XLOOKUP(K302,K$98:K111,R$98:R111,0,,-1)+IF($C302=" ",1,0))</f>
        <v>0</v>
      </c>
      <c r="S302" s="125"/>
      <c r="T302" s="126"/>
      <c r="U302" s="126"/>
      <c r="V302" s="224"/>
      <c r="W302" s="126"/>
      <c r="X302" s="127"/>
      <c r="Y302" s="128"/>
      <c r="Z302" s="129"/>
      <c r="AA302" s="129"/>
      <c r="AB302" s="129"/>
      <c r="AC302" s="129"/>
      <c r="AD302" s="225">
        <f>(((L302/(L302-1)-1)*(1-_xlfn.XLOOKUP(K302,'Janeiro 2023 - Valor Real'!A3:A15,'Janeiro 2023 - Valor Real'!C3:C15,0))+1))</f>
        <v>1.66666666666667</v>
      </c>
      <c r="AE302" s="226">
        <f>IF(L302="","",IF(L303&gt;0,(SUM(((L301-1)*(1-_xlfn.XLOOKUP(K301,'Janeiro 2023 - Valor Real'!A3:A15,'Janeiro 2023 - Valor Real'!C3:C15,0))+1),((L302-1)*(1-_xlfn.XLOOKUP(K302,'Janeiro 2023 - Valor Real'!A3:A15,'Janeiro 2023 - Valor Real'!C3:C15,0))+1),((L303-1)*(1-_xlfn.XLOOKUP(K303,'Janeiro 2023 - Valor Real'!A3:A15,'Janeiro 2023 - Valor Real'!C3:C15,0))+1))/((L302-1)*(1-_xlfn.XLOOKUP(K302,'Janeiro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Real'!C3:C15,0))+1))/((L301-1)*(1-_xlfn.XLOOKUP(K301,'Janeiro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Real'!C3:C15,0))+1))/((L302-1)*(1-_xlfn.XLOOKUP(K302,'Janeiro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Real'!C3:C15,0))+1))/((L303-1)*(1-_xlfn.XLOOKUP(K303,'Janeiro 2023 - Valor Real'!A3:A15,'Janeiro 2023 - Valor Real'!C3:C15,0))+1)),IF(I302="Lay",IF(I301="Lay",((L301/(L301-1)-1)*(1-_xlfn.XLOOKUP(K301,'Janeiro 2023 - Valor Real'!A3:A15,'Janeiro 2023 - Valor Real'!C3:C15,0))+1)/(((L301/(L301-1)-1)*(1-_xlfn.XLOOKUP(K301,'Janeiro 2023 - Valor Real'!A3:A15,'Janeiro 2023 - Valor Real'!C3:C15,0))+1)+((L302/(L302-1)-1)*(1-_xlfn.XLOOKUP(K302,'Janeiro 2023 - Valor Real'!A3:A15,'Janeiro 2023 - Valor Real'!C3:C15,0))+1)),((L301-1)*(1-_xlfn.XLOOKUP(K301,'Janeiro 2023 - Valor Real'!A3:A15,'Janeiro 2023 - Valor Real'!C3:C15,0))+1)/(((L301-1)*(1-_xlfn.XLOOKUP(K301,'Janeiro 2023 - Valor Real'!A3:A15,'Janeiro 2023 - Valor Real'!C3:C15,0))+1)+((L302/(L302-1)-1)*(1-_xlfn.XLOOKUP(K302,'Janeiro 2023 - Valor Real'!A3:A15,'Janeiro 2023 - Valor Real'!C3:C15,0))+1))),IF(I301="Lay",((L301/(L301-1)-1)*(1-_xlfn.XLOOKUP(K301,'Janeiro 2023 - Valor Real'!A3:A15,'Janeiro 2023 - Valor Real'!C3:C15,0))+1)/((((L301/(L301-1)-1)*(1-_xlfn.XLOOKUP(K301,'Janeiro 2023 - Valor Real'!A3:A15,'Janeiro 2023 - Valor Real'!C3:C15,0))+1))+((L302-1)*(1-_xlfn.XLOOKUP(K302,'Janeiro 2023 - Valor Real'!A3:A15,'Janeiro 2023 - Valor Real'!C3:C15,0))+1)),((L301-1)*(1-_xlfn.XLOOKUP(K301,'Janeiro 2023 - Valor Real'!A3:A15,'Janeiro 2023 - Valor Real'!C3:C15,0))+1)/(((L301-1)*(1-_xlfn.XLOOKUP(K301,'Janeiro 2023 - Valor Real'!A3:A15,'Janeiro 2023 - Valor Real'!C3:C15,0))+1)+((L302-1)*(1-_xlfn.XLOOKUP(K302,'Janeiro 2023 - Valor Real'!A3:A15,'Janeiro 2023 - Valor Real'!C3:C15,0))+1))))))</f>
        <v>0.414519906323185</v>
      </c>
      <c r="AF302" s="197">
        <f>IF($K302=AF$3,ROUND(IF(OR($C302="W",$C302="1/2W",$C302="1/2L"),$P302-$O302,IF($C302="X",0,-$O302)),2),0)</f>
        <v>-9.33</v>
      </c>
      <c r="AG302" s="198">
        <f>IF($K302=AG$3,ROUND(IF(OR($C302="W",$C302="1/2W",$C302="1/2L"),$P302-$O302,IF($C302="X",0,-$O302)),2),0)</f>
        <v>0</v>
      </c>
      <c r="AH302" s="198">
        <f>IF($K302=AH$3,ROUND(IF(OR($C302="W",$C302="1/2W",$C302="1/2L"),$P302-$O302,IF($C302="X",0,-$O302)),2),0)</f>
        <v>0</v>
      </c>
      <c r="AI302" s="198">
        <f>IF($K302=AI$3,ROUND(IF(OR($C302="W",$C302="1/2W",$C302="1/2L"),$P302-$O302,IF($C302="X",0,-$O302)),2),0)</f>
        <v>0</v>
      </c>
      <c r="AJ302" s="198">
        <f>IF($K302=AJ$3,ROUND(IF(OR($C302="W",$C302="1/2W",$C302="1/2L"),$P302-$O302,IF($C302="X",0,-$O302)),2),0)</f>
        <v>0</v>
      </c>
      <c r="AK302" s="198">
        <f>IF($K302=AK$3,ROUND(IF(OR($C302="W",$C302="1/2W",$C302="1/2L"),$P302-$O302,IF($C302="X",0,-$O302)),2),0)</f>
        <v>0</v>
      </c>
      <c r="AL302" s="198">
        <f>IF($K302=AL$3,ROUND(IF(OR($C302="W",$C302="1/2W",$C302="1/2L"),$P302-$O302,IF($C302="X",0,-$O302)),2),0)</f>
        <v>0</v>
      </c>
      <c r="AM302" s="198">
        <f>IF($K302=AM$3,ROUND(IF(OR($C302="W",$C302="1/2W",$C302="1/2L"),$P302-$O302,IF($C302="X",0,-$O302)),2),0)</f>
        <v>0</v>
      </c>
      <c r="AN302" s="198">
        <f>IF($K302=AN$3,ROUND(IF(OR($C302="W",$C302="1/2W",$C302="1/2L"),$P302-$O302,IF($C302="X",0,-$O302)),2),0)</f>
        <v>0</v>
      </c>
      <c r="AO302" s="198">
        <f>IF($K302=AO$3,ROUND(IF(OR($C302="W",$C302="1/2W",$C302="1/2L"),$P302-$O302,IF($C302="X",0,-$O302)),2),0)</f>
        <v>0</v>
      </c>
      <c r="AP302" s="198">
        <f>IF($K302=AP$3,ROUND(IF(OR($C302="W",$C302="1/2W",$C302="1/2L"),$P302-$O302,IF($C302="X",0,-$O302)),2),0)</f>
        <v>0</v>
      </c>
      <c r="AQ302" s="198">
        <f>IF($K302=AQ$3,ROUND(IF(OR($C302="W",$C302="1/2W",$C302="1/2L"),$P302-$O302,IF($C302="X",0,-$O302)),2),0)</f>
        <v>0</v>
      </c>
      <c r="AR302" s="199">
        <f>IF($K302=AR$3,ROUND(IF(OR($C302="W",$C302="1/2W",$C302="1/2L"),$P302-$O302,IF($C302="X",0,-$O302)),2),0)</f>
        <v>0</v>
      </c>
      <c r="AS302" s="197">
        <f>IF(AND($B301=" ",$K302=AS$3),$O302,0)</f>
        <v>0</v>
      </c>
      <c r="AT302" s="198">
        <f>IF(AND($B301=" ",K302=AT$3),$O302,0)</f>
        <v>0</v>
      </c>
      <c r="AU302" s="198">
        <f>IF(AND($B301=" ",$K302=AU$3),$O302,0)</f>
        <v>0</v>
      </c>
      <c r="AV302" s="198">
        <f>IF(AND($B301=" ",$K302=AV$3),$O302,0)</f>
        <v>0</v>
      </c>
      <c r="AW302" s="198">
        <f>IF(AND($B301=" ",$K302=AW$3),$O302,0)</f>
        <v>0</v>
      </c>
      <c r="AX302" s="198">
        <f>IF(AND($B301=" ",$K302=AX$3),$O302,0)</f>
        <v>0</v>
      </c>
      <c r="AY302" s="200">
        <f>IF(AND($B301=" ",$K302=AY$3),$O302,0)</f>
        <v>0</v>
      </c>
      <c r="AZ302" s="201">
        <f>IF(AND($B301=" ",$K302=AZ$3),$O302,0)</f>
        <v>0</v>
      </c>
      <c r="BA302" s="201">
        <f>IF(AND($B301=" ",$K302=BA$3),$O302,0)</f>
        <v>0</v>
      </c>
      <c r="BB302" s="201">
        <f>IF(AND($B301=" ",$K302=BB$3),$O302,0)</f>
        <v>0</v>
      </c>
      <c r="BC302" s="202">
        <f>IF(AND($B301=" ",$K302=BC$3),$O302,0)</f>
        <v>0</v>
      </c>
      <c r="BD302" s="198">
        <f>IF(AND($B301=" ",$K302=BD$3),$O302,0)</f>
        <v>0</v>
      </c>
      <c r="BE302" s="199">
        <f>IF(AND($B301=" ",$K302=BE$3),$O302,0)</f>
        <v>0</v>
      </c>
      <c r="BF302" s="197">
        <f>IF($K302=BF$3,IF($C302="X",0,$O302),0)</f>
        <v>9.33</v>
      </c>
      <c r="BG302" s="198">
        <f>IF($K302=BG$3,IF($C302="X",0,$O302),0)</f>
        <v>0</v>
      </c>
      <c r="BH302" s="198">
        <f>IF($K302=BH$3,IF($C302="X",0,$O302),0)</f>
        <v>0</v>
      </c>
      <c r="BI302" s="198">
        <f>IF($K302=BI$3,IF($C302="X",0,$O302),0)</f>
        <v>0</v>
      </c>
      <c r="BJ302" s="198">
        <f>IF($K302=BJ$3,IF($C302="X",0,$O302),0)</f>
        <v>0</v>
      </c>
      <c r="BK302" s="198">
        <f>IF($K302=BK$3,IF($C302="X",0,$O302),0)</f>
        <v>0</v>
      </c>
      <c r="BL302" s="198">
        <f>IF($K302=BL$3,IF($C302="X",0,$O302),0)</f>
        <v>0</v>
      </c>
      <c r="BM302" s="227">
        <f>IF($K302=BM$3,IF($C302="X",0,$O302),0)</f>
        <v>0</v>
      </c>
      <c r="BN302" s="205">
        <f>IF($K302=BN$3,IF($C302="X",0,$O302),0)</f>
        <v>0</v>
      </c>
      <c r="BO302" s="205">
        <f>IF($K302=BO$3,IF($C302="X",0,$O302),0)</f>
        <v>0</v>
      </c>
      <c r="BP302" s="205">
        <f>IF($K302=BP$3,IF($C302="X",0,$O302),0)</f>
        <v>0</v>
      </c>
      <c r="BQ302" s="202">
        <f>IF($K302=BQ$3,IF($C302="X",0,$O302),0)</f>
        <v>0</v>
      </c>
      <c r="BR302" s="199">
        <f>IF($K302=BR$3,IF($C302="X",0,$O302),0)</f>
        <v>0</v>
      </c>
      <c r="BS302" s="228"/>
      <c r="BT302" s="229"/>
      <c r="BU302" s="140"/>
      <c r="BV302" s="229"/>
      <c r="BW302" s="140"/>
      <c r="BX302" s="140"/>
      <c r="BY302" s="140"/>
      <c r="BZ302" s="229"/>
      <c r="CA302" s="140"/>
      <c r="CB302" s="140"/>
      <c r="CC302" s="140"/>
      <c r="CD302" s="141"/>
      <c r="CE302" s="142"/>
      <c r="CF302" s="230">
        <f>IF(CF$3=$K302,IF($C302="W",1,IF($C302="1/2W",0.5,0)),0)</f>
        <v>0</v>
      </c>
      <c r="CG302" s="231">
        <f>IF(CF$3=$K302,IF($C302="L",1,IF($C302="1/2L",0.5,0)),0)</f>
        <v>1</v>
      </c>
      <c r="CH302" s="231">
        <f>IF(CH$3=$K302,IF($C302="W",1,IF($C302="1/2W",0.5,0)),0)</f>
        <v>0</v>
      </c>
      <c r="CI302" s="231">
        <f>IF(CH$3=$K302,IF($C302="L",1,IF($C302="1/2L",0.5,0)),0)</f>
        <v>0</v>
      </c>
      <c r="CJ302" s="231">
        <f>IF(CJ$3=$K302,IF($C302="W",1,IF($C302="1/2W",0.5,0)),0)</f>
        <v>0</v>
      </c>
      <c r="CK302" s="231">
        <f>IF(CJ$3=$K302,IF($C302="L",1,IF($C302="1/2L",0.5,0)),0)</f>
        <v>0</v>
      </c>
      <c r="CL302" s="231">
        <f>IF(CL$3=$K302,IF($C302="W",1,IF($C302="1/2W",0.5,0)),0)</f>
        <v>0</v>
      </c>
      <c r="CM302" s="231">
        <f>IF(CL$3=$K302,IF($C302="L",1,IF($C302="1/2L",0.5,0)),0)</f>
        <v>0</v>
      </c>
      <c r="CN302" s="231">
        <f>IF(CN$3=$K302,IF($C302="W",1,IF($C302="1/2W",0.5,0)),0)</f>
        <v>0</v>
      </c>
      <c r="CO302" s="231">
        <f>IF(CN$3=$K302,IF($C302="L",1,IF($C302="1/2L",0.5,0)),0)</f>
        <v>0</v>
      </c>
      <c r="CP302" s="231">
        <f>IF(CP$3=$K302,IF($C302="W",1,IF($C302="1/2W",0.5,0)),0)</f>
        <v>0</v>
      </c>
      <c r="CQ302" s="231">
        <f>IF(CP$3=$K302,IF($C302="L",1,IF($C302="1/2L",0.5,0)),0)</f>
        <v>0</v>
      </c>
      <c r="CR302" s="231">
        <f>IF(CR$3=$K302,IF($C302="W",1,IF($C302="1/2W",0.5,0)),0)</f>
        <v>0</v>
      </c>
      <c r="CS302" s="231">
        <f>IF(CR$3=$K302,IF($C302="L",1,IF($C302="1/2L",0.5,0)),0)</f>
        <v>0</v>
      </c>
      <c r="CT302" s="208">
        <f>IF(CT$3=$K302,IF($C302="W",1,IF($C302="1/2W",0.5,0)),0)</f>
        <v>0</v>
      </c>
      <c r="CU302" s="209">
        <f>IF(CT$3=$K302,IF($C302="L",1,IF($C302="1/2L",0.5,0)),0)</f>
        <v>0</v>
      </c>
      <c r="CV302" s="209">
        <f>IF(CV$3=$K302,IF($C302="W",1,IF($C302="1/2W",0.5,0)),0)</f>
        <v>0</v>
      </c>
      <c r="CW302" s="209">
        <f>IF(CV$3=$K302,IF($C302="L",1,IF($C302="1/2L",0.5,0)),0)</f>
        <v>0</v>
      </c>
      <c r="CX302" s="209">
        <f>IF(CX$3=$K302,IF($C302="W",1,IF($C302="1/2W",0.5,0)),0)</f>
        <v>0</v>
      </c>
      <c r="CY302" s="209">
        <f>IF(CX$3=$K302,IF($C302="L",1,IF($C302="1/2L",0.5,0)),0)</f>
        <v>0</v>
      </c>
      <c r="CZ302" s="209">
        <f>IF(CZ$3=$K302,IF($C302="W",1,IF($C302="1/2W",0.5,0)),0)</f>
        <v>0</v>
      </c>
      <c r="DA302" s="209">
        <f>IF(CZ$3=$K302,IF($C302="L",1,IF($C302="1/2L",0.5,0)),0)</f>
        <v>0</v>
      </c>
      <c r="DB302" s="209">
        <f>IF(DB$3=$K302,IF($C302="W",1,IF($C302="1/2W",0.5,0)),0)</f>
        <v>0</v>
      </c>
      <c r="DC302" s="209">
        <f>IF(DB$3=$K302,IF($C302="L",1,IF($C302="1/2L",0.5,0)),0)</f>
        <v>0</v>
      </c>
      <c r="DD302" s="209">
        <f>IF(DD$3=$K302,IF($C302="W",1,IF($C302="1/2W",0.5,0)),0)</f>
        <v>0</v>
      </c>
      <c r="DE302" s="210">
        <f>IF(DD$3=$K302,IF($C302="L",1,IF($C302="1/2L",0.5,0)),0)</f>
        <v>0</v>
      </c>
      <c r="DF302" s="211">
        <f>IF(AND(L302&lt;DF$3,$C302="W"),1+DF301,DF301)</f>
        <v>12</v>
      </c>
      <c r="DG302" s="198">
        <f>IF(DF302&gt;DF301,L302+DG301,DG301)</f>
        <v>15.718</v>
      </c>
      <c r="DH302" s="209">
        <f>IF(AND(L302&gt;DH$3,$C302="W"),1+DH301,0+DH301)</f>
        <v>7</v>
      </c>
      <c r="DI302" s="198">
        <f>IF(DH302&gt;DH301,L302+DI301,DI301)</f>
        <v>34.83</v>
      </c>
      <c r="DJ302" t="s" s="306">
        <f>IF($D301="","",$D301)</f>
        <v>272</v>
      </c>
      <c r="DK302" s="232"/>
    </row>
    <row r="303" ht="14.55" customHeight="1">
      <c r="A303" s="149"/>
      <c r="B303" s="150"/>
      <c r="C303" t="s" s="233">
        <v>58</v>
      </c>
      <c r="D303" s="152"/>
      <c r="E303" s="153"/>
      <c r="F303" s="155"/>
      <c r="G303" s="234"/>
      <c r="H303" s="156"/>
      <c r="I303" s="235"/>
      <c r="J303" s="236"/>
      <c r="K303" s="237"/>
      <c r="L303" s="238"/>
      <c r="M303" s="239"/>
      <c r="N303" s="161"/>
      <c r="O303" t="s" s="240">
        <f>IF(OR(AE301="",AE302=""),"",IF(L303&gt;0,ROUND(IF(M303&gt;0,M303,IF(M301&gt;0,ROUND((M301*AE303)/AE301,IF(N301=0,2,IF(N301=0.1,1,0))),IF(M302&gt;0,ROUND((M302*AE303)/AE302,IF(N301=0,2,IF(N301=0.1,1,0))),IF(M303&gt;0,M303,0)))),2),""))</f>
      </c>
      <c r="P303" t="s" s="241">
        <f>IF(I302="Lay",O302*(L302/(L302-1))-O302,IF(I301="Lay",O301*(L301/(L301-1))-O301,IF(OR(L303="",O303=""),"",IF($C303="1/2W",O303/2+O303/2*L303,IF($C303="1/2L",O303/2,(O303*L303-O303)*(1-_xlfn.XLOOKUP(K303,'Janeiro 2023 - Valor Real'!A3:A15,'Janeiro 2023 - Valor Real'!C3:C15,0))+O303)))))</f>
      </c>
      <c r="Q303" t="s" s="242">
        <f>IF(K303="","",IF(_xlfn.XLOOKUP(K303,K$99:K112,DJ$99:DJ112,0,,-1)=DJ303,_xlfn.XLOOKUP(K303,K$99:K112,Q$99:Q112,1,,-1)+1,1))</f>
      </c>
      <c r="R303" t="s" s="243">
        <f>IF(K303="","",_xlfn.XLOOKUP(K303,K$99:K112,R$99:R112,0,,-1)+IF($C303=" ",1,0))</f>
      </c>
      <c r="S303" s="166"/>
      <c r="T303" s="155"/>
      <c r="U303" s="155"/>
      <c r="V303" s="166"/>
      <c r="W303" s="155"/>
      <c r="X303" s="167"/>
      <c r="Y303" s="128"/>
      <c r="Z303" s="129"/>
      <c r="AA303" s="129"/>
      <c r="AB303" s="129"/>
      <c r="AC303" s="129"/>
      <c r="AD303" s="244">
        <f>((L302/(L302-1)-1))</f>
        <v>0.666666666666667</v>
      </c>
      <c r="AE303" t="s" s="245">
        <f>IF(L303="","",(SUM(((L301-1)*(1-_xlfn.XLOOKUP(K301,'Janeiro 2023 - Valor Real'!A3:A15,'Janeiro 2023 - Valor Real'!C3:C15,0))+1),((L302-1)*(1-_xlfn.XLOOKUP(K302,'Janeiro 2023 - Valor Real'!A3:A15,'Janeiro 2023 - Valor Real'!C3:C15,0))+1),((L303-1)*(1-_xlfn.XLOOKUP(K303,'Janeiro 2023 - Valor Real'!A3:A15,'Janeiro 2023 - Valor Real'!C3:C15,0))+1))/((L303-1)*(1-_xlfn.XLOOKUP(K303,'Janeiro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Real'!C3:C15,0))+1))/((L301-1)*(1-_xlfn.XLOOKUP(K301,'Janeiro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Real'!C3:C15,0))+1))/((L302-1)*(1-_xlfn.XLOOKUP(K302,'Janeiro 2023 - Valor Real'!A3:A15,'Janeiro 2023 - Valor Real'!C3:C15,0))+1)+SUM(((L301-1)*(1-_xlfn.XLOOKUP(K301,'Janeiro 2023 - Valor Real'!A3:A15,'Janeiro 2023 - Valor Real'!C3:C15,0))+1),((L302-1)*(1-_xlfn.XLOOKUP(K302,'Janeiro 2023 - Valor Real'!A3:A15,'Janeiro 2023 - Valor Real'!C3:C15,0))+1),((L303-1)*(1-_xlfn.XLOOKUP(K303,'Janeiro 2023 - Valor Real'!A3:A15,'Janeiro 2023 - Valor Real'!C3:C15,0))+1))/((L303-1)*(1-_xlfn.XLOOKUP(K303,'Janeiro 2023 - Valor Real'!A3:A15,'Janeiro 2023 - Valor Real'!C3:C15,0))+1)))</f>
      </c>
      <c r="AF303" s="197">
        <f>IF($K303=AF$3,ROUND(IF(OR($C303="W",$C303="1/2W",$C303="1/2L"),$P303-$O303,IF($C303="X",0,-$O303)),2),0)</f>
        <v>0</v>
      </c>
      <c r="AG303" s="198">
        <f>IF($K303=AG$3,ROUND(IF(OR($C303="W",$C303="1/2W",$C303="1/2L"),$P303-$O303,IF($C303="X",0,-$O303)),2),0)</f>
        <v>0</v>
      </c>
      <c r="AH303" s="198">
        <f>IF($K303=AH$3,ROUND(IF(OR($C303="W",$C303="1/2W",$C303="1/2L"),$P303-$O303,IF($C303="X",0,-$O303)),2),0)</f>
        <v>0</v>
      </c>
      <c r="AI303" s="198">
        <f>IF($K303=AI$3,ROUND(IF(OR($C303="W",$C303="1/2W",$C303="1/2L"),$P303-$O303,IF($C303="X",0,-$O303)),2),0)</f>
        <v>0</v>
      </c>
      <c r="AJ303" s="198">
        <f>IF($K303=AJ$3,ROUND(IF(OR($C303="W",$C303="1/2W",$C303="1/2L"),$P303-$O303,IF($C303="X",0,-$O303)),2),0)</f>
        <v>0</v>
      </c>
      <c r="AK303" s="198">
        <f>IF($K303=AK$3,ROUND(IF(OR($C303="W",$C303="1/2W",$C303="1/2L"),$P303-$O303,IF($C303="X",0,-$O303)),2),0)</f>
        <v>0</v>
      </c>
      <c r="AL303" s="198">
        <f>IF($K303=AL$3,ROUND(IF(OR($C303="W",$C303="1/2W",$C303="1/2L"),$P303-$O303,IF($C303="X",0,-$O303)),2),0)</f>
        <v>0</v>
      </c>
      <c r="AM303" s="198">
        <f>IF($K303=AM$3,ROUND(IF(OR($C303="W",$C303="1/2W",$C303="1/2L"),$P303-$O303,IF($C303="X",0,-$O303)),2),0)</f>
        <v>0</v>
      </c>
      <c r="AN303" s="198">
        <f>IF($K303=AN$3,ROUND(IF(OR($C303="W",$C303="1/2W",$C303="1/2L"),$P303-$O303,IF($C303="X",0,-$O303)),2),0)</f>
        <v>0</v>
      </c>
      <c r="AO303" s="198">
        <f>IF($K303=AO$3,ROUND(IF(OR($C303="W",$C303="1/2W",$C303="1/2L"),$P303-$O303,IF($C303="X",0,-$O303)),2),0)</f>
        <v>0</v>
      </c>
      <c r="AP303" s="198">
        <f>IF($K303=AP$3,ROUND(IF(OR($C303="W",$C303="1/2W",$C303="1/2L"),$P303-$O303,IF($C303="X",0,-$O303)),2),0)</f>
        <v>0</v>
      </c>
      <c r="AQ303" s="198">
        <f>IF($K303=AQ$3,ROUND(IF(OR($C303="W",$C303="1/2W",$C303="1/2L"),$P303-$O303,IF($C303="X",0,-$O303)),2),0)</f>
        <v>0</v>
      </c>
      <c r="AR303" s="199">
        <f>IF($K303=AR$3,ROUND(IF(OR($C303="W",$C303="1/2W",$C303="1/2L"),$P303-$O303,IF($C303="X",0,-$O303)),2),0)</f>
        <v>0</v>
      </c>
      <c r="AS303" s="197">
        <f>IF(AND($B301=" ",$K303=AS$3),$O303,0)</f>
        <v>0</v>
      </c>
      <c r="AT303" s="198">
        <f>IF(AND($B301=" ",K303=AT$3),$O303,0)</f>
        <v>0</v>
      </c>
      <c r="AU303" s="198">
        <f>IF(AND($B301=" ",$K303=AU$3),$O303,0)</f>
        <v>0</v>
      </c>
      <c r="AV303" s="198">
        <f>IF(AND($B301=" ",$K303=AV$3),$O303,0)</f>
        <v>0</v>
      </c>
      <c r="AW303" s="198">
        <f>IF(AND($B301=" ",$K303=AW$3),$O303,0)</f>
        <v>0</v>
      </c>
      <c r="AX303" s="198">
        <f>IF(AND($B301=" ",$K303=AX$3),$O303,0)</f>
        <v>0</v>
      </c>
      <c r="AY303" s="200">
        <f>IF(AND($B301=" ",$K303=AY$3),$O303,0)</f>
        <v>0</v>
      </c>
      <c r="AZ303" s="201">
        <f>IF(AND($B301=" ",$K303=AZ$3),$O303,0)</f>
        <v>0</v>
      </c>
      <c r="BA303" s="201">
        <f>IF(AND($B301=" ",$K303=BA$3),$O303,0)</f>
        <v>0</v>
      </c>
      <c r="BB303" s="201">
        <f>IF(AND($B301=" ",$K303=BB$3),$O303,0)</f>
        <v>0</v>
      </c>
      <c r="BC303" s="202">
        <f>IF(AND($B301=" ",$K303=BC$3),$O303,0)</f>
        <v>0</v>
      </c>
      <c r="BD303" s="198">
        <f>IF(AND($B301=" ",$K303=BD$3),$O303,0)</f>
        <v>0</v>
      </c>
      <c r="BE303" s="199">
        <f>IF(AND($B301=" ",$K303=BE$3),$O303,0)</f>
        <v>0</v>
      </c>
      <c r="BF303" s="197">
        <f>IF($K303=BF$3,IF($C303="X",0,$O303),0)</f>
        <v>0</v>
      </c>
      <c r="BG303" s="198">
        <f>IF($K303=BG$3,IF($C303="X",0,$O303),0)</f>
        <v>0</v>
      </c>
      <c r="BH303" s="198">
        <f>IF($K303=BH$3,IF($C303="X",0,$O303),0)</f>
        <v>0</v>
      </c>
      <c r="BI303" s="198">
        <f>IF($K303=BI$3,IF($C303="X",0,$O303),0)</f>
        <v>0</v>
      </c>
      <c r="BJ303" s="198">
        <f>IF($K303=BJ$3,IF($C303="X",0,$O303),0)</f>
        <v>0</v>
      </c>
      <c r="BK303" s="198">
        <f>IF($K303=BK$3,IF($C303="X",0,$O303),0)</f>
        <v>0</v>
      </c>
      <c r="BL303" s="198">
        <f>IF($K303=BL$3,IF($C303="X",0,$O303),0)</f>
        <v>0</v>
      </c>
      <c r="BM303" s="200">
        <f>IF($K303=BM$3,IF($C303="X",0,$O303),0)</f>
        <v>0</v>
      </c>
      <c r="BN303" s="201">
        <f>IF($K303=BN$3,IF($C303="X",0,$O303),0)</f>
        <v>0</v>
      </c>
      <c r="BO303" s="201">
        <f>IF($K303=BO$3,IF($C303="X",0,$O303),0)</f>
        <v>0</v>
      </c>
      <c r="BP303" s="201">
        <f>IF($K303=BP$3,IF($C303="X",0,$O303),0)</f>
        <v>0</v>
      </c>
      <c r="BQ303" s="202">
        <f>IF($K303=BQ$3,IF($C303="X",0,$O303),0)</f>
        <v>0</v>
      </c>
      <c r="BR303" s="199">
        <f>IF($K303=BR$3,IF($C303="X",0,$O303),0)</f>
        <v>0</v>
      </c>
      <c r="BS303" s="228"/>
      <c r="BT303" s="229"/>
      <c r="BU303" s="140"/>
      <c r="BV303" s="229"/>
      <c r="BW303" s="140"/>
      <c r="BX303" s="140"/>
      <c r="BY303" s="140"/>
      <c r="BZ303" s="229"/>
      <c r="CA303" s="140"/>
      <c r="CB303" s="140"/>
      <c r="CC303" s="140"/>
      <c r="CD303" s="141"/>
      <c r="CE303" s="142"/>
      <c r="CF303" s="230">
        <f>IF(CF$3=$K303,IF($C303="W",1,IF($C303="1/2W",0.5,0)),0)</f>
        <v>0</v>
      </c>
      <c r="CG303" s="231">
        <f>IF(CF$3=$K303,IF($C303="L",1,IF($C303="1/2L",0.5,0)),0)</f>
        <v>0</v>
      </c>
      <c r="CH303" s="231">
        <f>IF(CH$3=$K303,IF($C303="W",1,IF($C303="1/2W",0.5,0)),0)</f>
        <v>0</v>
      </c>
      <c r="CI303" s="231">
        <f>IF(CH$3=$K303,IF($C303="L",1,IF($C303="1/2L",0.5,0)),0)</f>
        <v>0</v>
      </c>
      <c r="CJ303" s="231">
        <f>IF(CJ$3=$K303,IF($C303="W",1,IF($C303="1/2W",0.5,0)),0)</f>
        <v>0</v>
      </c>
      <c r="CK303" s="231">
        <f>IF(CJ$3=$K303,IF($C303="L",1,IF($C303="1/2L",0.5,0)),0)</f>
        <v>0</v>
      </c>
      <c r="CL303" s="231">
        <f>IF(CL$3=$K303,IF($C303="W",1,IF($C303="1/2W",0.5,0)),0)</f>
        <v>0</v>
      </c>
      <c r="CM303" s="231">
        <f>IF(CL$3=$K303,IF($C303="L",1,IF($C303="1/2L",0.5,0)),0)</f>
        <v>0</v>
      </c>
      <c r="CN303" s="231">
        <f>IF(CN$3=$K303,IF($C303="W",1,IF($C303="1/2W",0.5,0)),0)</f>
        <v>0</v>
      </c>
      <c r="CO303" s="231">
        <f>IF(CN$3=$K303,IF($C303="L",1,IF($C303="1/2L",0.5,0)),0)</f>
        <v>0</v>
      </c>
      <c r="CP303" s="231">
        <f>IF(CP$3=$K303,IF($C303="W",1,IF($C303="1/2W",0.5,0)),0)</f>
        <v>0</v>
      </c>
      <c r="CQ303" s="231">
        <f>IF(CP$3=$K303,IF($C303="L",1,IF($C303="1/2L",0.5,0)),0)</f>
        <v>0</v>
      </c>
      <c r="CR303" s="231">
        <f>IF(CR$3=$K303,IF($C303="W",1,IF($C303="1/2W",0.5,0)),0)</f>
        <v>0</v>
      </c>
      <c r="CS303" s="231">
        <f>IF(CR$3=$K303,IF($C303="L",1,IF($C303="1/2L",0.5,0)),0)</f>
        <v>0</v>
      </c>
      <c r="CT303" s="208">
        <f>IF(CT$3=$K303,IF($C303="W",1,IF($C303="1/2W",0.5,0)),0)</f>
        <v>0</v>
      </c>
      <c r="CU303" s="209">
        <f>IF(CT$3=$K303,IF($C303="L",1,IF($C303="1/2L",0.5,0)),0)</f>
        <v>0</v>
      </c>
      <c r="CV303" s="209">
        <f>IF(CV$3=$K303,IF($C303="W",1,IF($C303="1/2W",0.5,0)),0)</f>
        <v>0</v>
      </c>
      <c r="CW303" s="209">
        <f>IF(CV$3=$K303,IF($C303="L",1,IF($C303="1/2L",0.5,0)),0)</f>
        <v>0</v>
      </c>
      <c r="CX303" s="209">
        <f>IF(CX$3=$K303,IF($C303="W",1,IF($C303="1/2W",0.5,0)),0)</f>
        <v>0</v>
      </c>
      <c r="CY303" s="209">
        <f>IF(CX$3=$K303,IF($C303="L",1,IF($C303="1/2L",0.5,0)),0)</f>
        <v>0</v>
      </c>
      <c r="CZ303" s="209">
        <f>IF(CZ$3=$K303,IF($C303="W",1,IF($C303="1/2W",0.5,0)),0)</f>
        <v>0</v>
      </c>
      <c r="DA303" s="209">
        <f>IF(CZ$3=$K303,IF($C303="L",1,IF($C303="1/2L",0.5,0)),0)</f>
        <v>0</v>
      </c>
      <c r="DB303" s="209">
        <f>IF(DB$3=$K303,IF($C303="W",1,IF($C303="1/2W",0.5,0)),0)</f>
        <v>0</v>
      </c>
      <c r="DC303" s="209">
        <f>IF(DB$3=$K303,IF($C303="L",1,IF($C303="1/2L",0.5,0)),0)</f>
        <v>0</v>
      </c>
      <c r="DD303" s="209">
        <f>IF(DD$3=$K303,IF($C303="W",1,IF($C303="1/2W",0.5,0)),0)</f>
        <v>0</v>
      </c>
      <c r="DE303" s="210">
        <f>IF(DD$3=$K303,IF($C303="L",1,IF($C303="1/2L",0.5,0)),0)</f>
        <v>0</v>
      </c>
      <c r="DF303" s="211">
        <f>IF(AND(L303&lt;DF$3,$C303="W"),1+DF302,DF302)</f>
        <v>12</v>
      </c>
      <c r="DG303" s="198">
        <f>IF(DF303&gt;DF302,L303+DG302,DG302)</f>
        <v>15.718</v>
      </c>
      <c r="DH303" s="209">
        <f>IF(AND(L303&gt;DH$3,$C303="W"),1+DH302,0+DH302)</f>
        <v>7</v>
      </c>
      <c r="DI303" s="198">
        <f>IF(DH303&gt;DH302,L303+DI302,DI302)</f>
        <v>34.83</v>
      </c>
      <c r="DJ303" t="s" s="306">
        <f>IF($D301="","",$D301)</f>
        <v>272</v>
      </c>
      <c r="DK303" s="232"/>
    </row>
    <row r="304" ht="14.55" customHeight="1">
      <c r="A304" s="246">
        <f>$A301+1</f>
        <v>101</v>
      </c>
      <c r="B304" t="s" s="247">
        <f>IF(AND(_xlfn.XLOOKUP(H304,H$106:H107,G$106:G107,0)=G304,_xlfn.XLOOKUP("TempoBet",K304:K306,L304:L306,0)&gt;0),"X",IF(OR(C304="W",C305="W",C306="W",C304="1/2W",C305="1/2W",C306="1/2W",C304="1/2L",C305="1/2L",C306="1/2L"),"OK",IF(OR(C304="L",C305="L",C306="L"),"LOSS",IF(OR(C304="X",C305="X",C306="X"),"Anulado"," "))))</f>
        <v>50</v>
      </c>
      <c r="C304" t="s" s="248">
        <v>51</v>
      </c>
      <c r="D304" t="s" s="303">
        <f>IF(G304="","",$D301)</f>
        <v>272</v>
      </c>
      <c r="E304" t="s" s="250">
        <v>59</v>
      </c>
      <c r="F304" t="s" s="251"/>
      <c r="G304" s="252">
        <v>44946.583333333336</v>
      </c>
      <c r="H304" t="s" s="253">
        <v>270</v>
      </c>
      <c r="I304" t="s" s="254">
        <v>65</v>
      </c>
      <c r="J304" s="255">
        <v>3.5</v>
      </c>
      <c r="K304" t="s" s="256">
        <v>41</v>
      </c>
      <c r="L304" s="257">
        <v>1.77</v>
      </c>
      <c r="M304" s="258"/>
      <c r="N304" s="259">
        <v>0.1</v>
      </c>
      <c r="O304" s="260">
        <f>IF(OR(AE304="",AE305=""),"",ROUND(IF(L306&gt;0,IF(M304&gt;0,M304,IF(M305&gt;0,ROUND((M305*AE304)/AE305,IF(N304=0,2,IF(N304=0.1,1,0))),ROUND((M306*AE304)/AE306,IF(N304=0,2,IF(N304=0.1,1,0))))),IF(M304&gt;0,M304,ROUND((M305*AE304)/AE305,IF(N304=0,2,IF(N304=0.1,1,0))))),2))</f>
        <v>13.2</v>
      </c>
      <c r="P304" s="261">
        <f>IF(OR(L304="",O304=""),"",IF($C304="1/2W",O304/2+O304/2*L304,IF($C304="1/2L",O304/2,IF(I304="Lay",(O304*(L304/(L304-1))-O304)*(1-_xlfn.XLOOKUP(K304,'Janeiro 2023 - Valor Real'!A3:A15,'Janeiro 2023 - Valor Real'!C3:C15,0))+O304,(O304*L304-O304)*(1-_xlfn.XLOOKUP(K304,'Janeiro 2023 - Valor Real'!A3:A15,'Janeiro 2023 - Valor Real'!C3:C15,0))+O304))))</f>
        <v>23.364</v>
      </c>
      <c r="Q304" s="262">
        <f>IF(K304="","",IF(_xlfn.XLOOKUP(K304,K$106:K107,DJ$106:DJ107,0,,-1)=DJ304,_xlfn.XLOOKUP(K304,K$106:K107,Q$106:Q107,1,,-1)+1,1))</f>
        <v>1</v>
      </c>
      <c r="R304" s="263">
        <f>IF(K304="","",_xlfn.XLOOKUP(K304,K$106:K107,R$106:R107,0,,-1)+IF($C304=" ",1,0))</f>
        <v>0</v>
      </c>
      <c r="S304" s="264">
        <f>IF($B304="Anulado",0,ROUND(IF(OR($B304="LOSS",$B304="OK"),IF(OR($C304="W",$C304="1/2W",$C304="1/2L"),P304-O304,IF($C304="L",-O304,0))+IF(OR($C305="W",$C305="1/2W",$C305="1/2L"),P305-O305,IF($C305="L",-O305,0))+IF(OR($C306="W",$C306="1/2W",$C306="1/2L"),P306-O306,IF($C306="L",-O306,0)),IF(AND(OR($C304="W",$C304="1/2W",$C304="1/2L"),C305="W"),P304+P305-SUM(O304:O306)+_xlfn.XLOOKUP("X",C304:C306,O304:O306,0),IF(AND(C304=TRUE,C306="W"),P304+P306-SUM(O304:O306),IF(AND(C305="W",C306="W"),P305+P306-SUM(O304:O306)+_xlfn.XLOOKUP("X",C304:C306,O304:O306,0),IF(L306&gt;0,IF(OR($C304="W",$C304="1/2W",$C304="1/2L"),P304-SUM(O304:O306)+_xlfn.XLOOKUP("X",C304:C306,O304:O306,0),IF(OR($C304="W",$C304="1/2W",$C304="1/2L"),P305-SUM(O304:O306)+_xlfn.XLOOKUP("X",C304:C306,O304:O306,0),IF(OR($C304="W",$C304="1/2W",$C304="1/2L"),P306-SUM(O304:O306)+_xlfn.XLOOKUP("X",C304:C306,O304:O306,0),IF(SUM(P304:P306)/3-SUM(O304:O306)+_xlfn.XLOOKUP("X",C304:C306,O304:O306,0)&gt;0,SUM(P304:P306)/3-SUM(O304:O306)+_xlfn.XLOOKUP("X",C304:C306,O304:O306,0),LARGE(P304:P306,1)-SUM(O304:O306))))),IF(OR($C304="W",$C304="1/2W",$C304="1/2L"),P304-SUM(O304:O305)+_xlfn.XLOOKUP("X",C304:C306,O304:O306,0),IF(OR($C304="W",$C304="1/2W",$C304="1/2L"),P305-SUM(O304:O305)+_xlfn.XLOOKUP("X",C304:C306,O304:O306,0),SUM(P304:P305)/2-SUM(O304:O305)+_xlfn.XLOOKUP("X",C304:C306,O304:O306,0)))))))),2))</f>
        <v>0.8</v>
      </c>
      <c r="T304" s="265">
        <f>IF(S304=0,0,S304/SUM(O304:O306))</f>
        <v>0.0355082112738571</v>
      </c>
      <c r="U304" s="266">
        <f>IF($D304=$D301,IF(OR($B304="LOSS",$B304="OK",$B304="Anulada"),S304,0)+U301,IF(OR($B304="LOSS",$B304="OK",$B304="Anulada"),S304,0))</f>
        <v>1.63</v>
      </c>
      <c r="V304" s="266">
        <f>IF($D304="",0,IF($D304=$D301,IF($B304=" ",IF(I306="",IF(OR(AND(I304="DNB1",I305="DNB2"),AND(OR(I304="DNB1",I304="DNB2"),J305=0),AND(OR(I305="DNB1",I305="DNB2"),J304=0),AND(I304="DNB2",I305="DNB1"),AND(IF(J304=0,(J304+1)/ROUND(J304+1,0),J304/ROUND(J304,0))=1,IF(J305=0,(J305+1)/ROUND(IF(J305="",0,J305)+1,0),IF(J305="",0,J305)/ROUND(IF(J305="",1,J305),0))=1,OR(J304&lt;&gt;""),J305&lt;&gt;"")),0,IF(S304&lt;0,IF(I306="",SMALL(P304:P305,1)-SUM(O304:O305),0),SMALL(P304:P305,1)-SUM(O304:O305))),IF(S304&lt;0,IF(I306="",SMALL(P304:P306,1)-SUM(O304:O306),0),LARGE(P304:P306,1)-SUM(O304:O306))),S304)+V301,IF(I306="",IF(OR(AND(I304="DNB1",I305="DNB2"),AND(OR(I304="DNB1",I304="DNB2"),J305=0),AND(OR(I305="DNB1",I305="DNB2"),J304=0),AND(I304="DNB2",I305="DNB1"),AND(IF(J304=0,(J304+1)/ROUND(J304+1,0),J304/ROUND(J304,0))=1,IF(J305=0,(IF(J305="",0,J305)+1)/ROUND(IF(J305="",0,J305)+1,0),IF(J305="",0,J305)/ROUND(IF(J305="",0,J305)+1,0))=1,OR(J304&lt;&gt;""),J305&lt;&gt;"")),0,IF(S304&lt;0,IF(I306="",SMALL(P304:P305,1)-SUM(O304:O305),0),SMALL(P304:P306,1)-SUM(O304:O306))),IF(S304&lt;0,IF(I306="",SMALL(P304:P306,1)-SUM(O304:O306),0),LARGE(P304:P306,1)-SUM(O304:O306)))))</f>
        <v>1.595</v>
      </c>
      <c r="W304" s="266">
        <f>IF($D304=$D301,IF(S304&lt;0,IF(I306="",S304,0),S304)+W301,S304)</f>
        <v>1.63</v>
      </c>
      <c r="X304" t="s" s="267">
        <f>IF(OR(SUM(R304:R306)=0,V304=W304),ROUND(IF(W304=0,0,W304/Y304)*100,2)&amp;"%",ROUND(IF(V304=0,0,V304/Y304)*100,2)&amp;"% a "&amp;ROUND(IF(W304=0,0,W304/Y304)*100,2)&amp;"%")</f>
        <v>154</v>
      </c>
      <c r="Y304" s="268">
        <f>IF($D304=$D301,Y301+SUM(O304:O306),SUM(O304:O306))</f>
        <v>45.06</v>
      </c>
      <c r="Z304" s="266">
        <f>IF($B304=" ",SUM(O304:O306),0)+Z301</f>
        <v>0</v>
      </c>
      <c r="AA304" s="266">
        <f>IF(G304="","",IF($B304="Anulado",LARGE(P304:P306,1)-SUM(O304:O306)+AA301,AA301))</f>
        <v>16.5099</v>
      </c>
      <c r="AB304" s="266">
        <f>IF($D304="","",AB301+S304)</f>
        <v>305</v>
      </c>
      <c r="AC304" s="269">
        <f>IF($D304="","",IF($B304=" ",IF(DAY(G304)=DAY(TODAY()),1+AC301,0+AC301),0+AC301))</f>
        <v>0</v>
      </c>
      <c r="AD304" s="270">
        <f>(1-_xlfn.XLOOKUP(K302,'Janeiro 2023 - Valor Real'!A3:A15,'Janeiro 2023 - Valor Real'!C3:C15,0))+1</f>
        <v>2</v>
      </c>
      <c r="AE304" s="271">
        <f>IF(L304="","",IF(L306&gt;0,(SUM(((L304-1)*(1-_xlfn.XLOOKUP(K304,'Janeiro 2023 - Valor Real'!A3:A15,'Janeiro 2023 - Valor Real'!C3:C15,0))+1),((L305-1)*(1-_xlfn.XLOOKUP(K305,'Janeiro 2023 - Valor Real'!A3:A15,'Janeiro 2023 - Valor Real'!C3:C15,0))+1),((L306-1)*(1-_xlfn.XLOOKUP(K306,'Janeiro 2023 - Valor Real'!A3:A15,'Janeiro 2023 - Valor Real'!C3:C15,0))+1))/((L304-1)*(1-_xlfn.XLOOKUP(K304,'Janeiro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Real'!C3:C15,0))+1))/((L304-1)*(1-_xlfn.XLOOKUP(K304,'Janeiro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Real'!C3:C15,0))+1))/((L305-1)*(1-_xlfn.XLOOKUP(K305,'Janeiro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Real'!C3:C15,0))+1))/((L306-1)*(1-_xlfn.XLOOKUP(K306,'Janeiro 2023 - Valor Real'!A3:A15,'Janeiro 2023 - Valor Real'!C3:C15,0))+1)),IF(I304="Lay",IF(I305="Lay",((L305/(L305-1)-1)*(1-_xlfn.XLOOKUP(K305,'Janeiro 2023 - Valor Real'!A3:A15,'Janeiro 2023 - Valor Real'!C3:C15,0))+1)/(((L305/(L305-1)-1)*(1-_xlfn.XLOOKUP(K305,'Janeiro 2023 - Valor Real'!A3:A15,'Janeiro 2023 - Valor Real'!C3:C15,0))+1)+((L304/(L304-1)-1)*(1-_xlfn.XLOOKUP(K304,'Janeiro 2023 - Valor Real'!A3:A15,'Janeiro 2023 - Valor Real'!C3:C15,0))+1)),((L305-1)*(1-_xlfn.XLOOKUP(K305,'Janeiro 2023 - Valor Real'!A3:A15,'Janeiro 2023 - Valor Real'!C3:C15,0))+1)/(((L305-1)*(1-_xlfn.XLOOKUP(K305,'Janeiro 2023 - Valor Real'!A3:A15,'Janeiro 2023 - Valor Real'!C3:C15,0))+1)+((L304/(L304-1)-1)*(1-_xlfn.XLOOKUP(K304,'Janeiro 2023 - Valor Real'!A3:A15,'Janeiro 2023 - Valor Real'!C3:C15,0))+1))),IF(I305="Lay",(((L305/(L305-1)-1)*(1-_xlfn.XLOOKUP(K305,'Janeiro 2023 - Valor Real'!A3:A15,'Janeiro 2023 - Valor Real'!C3:C15,0))+1))/(((L304-1)*(1-_xlfn.XLOOKUP(K304,'Janeiro 2023 - Valor Real'!A3:A15,'Janeiro 2023 - Valor Real'!C3:C15,0))+1)+((L305/(L305-1)-1)*(1-_xlfn.XLOOKUP(K305,'Janeiro 2023 - Valor Real'!A3:A15,'Janeiro 2023 - Valor Real'!C3:C15,0))+1)),((L305-1)*(1-_xlfn.XLOOKUP(K305,'Janeiro 2023 - Valor Real'!A3:A15,'Janeiro 2023 - Valor Real'!C3:C15,0))+1)/(((L305-1)*(1-_xlfn.XLOOKUP(K305,'Janeiro 2023 - Valor Real'!A3:A15,'Janeiro 2023 - Valor Real'!C3:C15,0))+1)+((L304-1)*(1-_xlfn.XLOOKUP(K304,'Janeiro 2023 - Valor Real'!A3:A15,'Janeiro 2023 - Valor Real'!C3:C15,0))+1))))))</f>
        <v>0.585480093676815</v>
      </c>
      <c r="AF304" s="132">
        <f>IF($K304=AF$3,ROUND(IF(OR($C304="W",$C304="1/2W",$C304="1/2L"),$P304-$O304,IF($C304="X",0,-$O304)),2),0)</f>
        <v>0</v>
      </c>
      <c r="AG304" s="133">
        <f>IF($K304=AG$3,ROUND(IF(OR($C304="W",$C304="1/2W",$C304="1/2L"),$P304-$O304,IF($C304="X",0,-$O304)),2),0)</f>
        <v>0</v>
      </c>
      <c r="AH304" s="133">
        <f>IF($K304=AH$3,ROUND(IF(OR($C304="W",$C304="1/2W",$C304="1/2L"),$P304-$O304,IF($C304="X",0,-$O304)),2),0)</f>
        <v>0</v>
      </c>
      <c r="AI304" s="133">
        <f>IF($K304=AI$3,ROUND(IF(OR($C304="W",$C304="1/2W",$C304="1/2L"),$P304-$O304,IF($C304="X",0,-$O304)),2),0)</f>
        <v>0</v>
      </c>
      <c r="AJ304" s="133">
        <f>IF($K304=AJ$3,ROUND(IF(OR($C304="W",$C304="1/2W",$C304="1/2L"),$P304-$O304,IF($C304="X",0,-$O304)),2),0)</f>
        <v>-13.2</v>
      </c>
      <c r="AK304" s="133">
        <f>IF($K304=AK$3,ROUND(IF(OR($C304="W",$C304="1/2W",$C304="1/2L"),$P304-$O304,IF($C304="X",0,-$O304)),2),0)</f>
        <v>0</v>
      </c>
      <c r="AL304" s="133">
        <f>IF($K304=AL$3,ROUND(IF(OR($C304="W",$C304="1/2W",$C304="1/2L"),$P304-$O304,IF($C304="X",0,-$O304)),2),0)</f>
        <v>0</v>
      </c>
      <c r="AM304" s="133">
        <f>IF($K304=AM$3,ROUND(IF(OR($C304="W",$C304="1/2W",$C304="1/2L"),$P304-$O304,IF($C304="X",0,-$O304)),2),0)</f>
        <v>0</v>
      </c>
      <c r="AN304" s="133">
        <f>IF($K304=AN$3,ROUND(IF(OR($C304="W",$C304="1/2W",$C304="1/2L"),$P304-$O304,IF($C304="X",0,-$O304)),2),0)</f>
        <v>0</v>
      </c>
      <c r="AO304" s="133">
        <f>IF($K304=AO$3,ROUND(IF(OR($C304="W",$C304="1/2W",$C304="1/2L"),$P304-$O304,IF($C304="X",0,-$O304)),2),0)</f>
        <v>0</v>
      </c>
      <c r="AP304" s="133">
        <f>IF($K304=AP$3,ROUND(IF(OR($C304="W",$C304="1/2W",$C304="1/2L"),$P304-$O304,IF($C304="X",0,-$O304)),2),0)</f>
        <v>0</v>
      </c>
      <c r="AQ304" s="133">
        <f>IF($K304=AQ$3,ROUND(IF(OR($C304="W",$C304="1/2W",$C304="1/2L"),$P304-$O304,IF($C304="X",0,-$O304)),2),0)</f>
        <v>0</v>
      </c>
      <c r="AR304" s="134">
        <f>IF($K304=AR$3,ROUND(IF(OR($C304="W",$C304="1/2W",$C304="1/2L"),$P304-$O304,IF($C304="X",0,-$O304)),2),0)</f>
        <v>0</v>
      </c>
      <c r="AS304" s="132">
        <f>IF(AND($B304=" ",$K304=AS$3),$O304,0)</f>
        <v>0</v>
      </c>
      <c r="AT304" s="133">
        <f>IF(AND($B304=" ",$K304=AT$3),$O304,0)</f>
        <v>0</v>
      </c>
      <c r="AU304" s="133">
        <f>IF(AND($B304=" ",$K304=AU$3),$O304,0)</f>
        <v>0</v>
      </c>
      <c r="AV304" s="133">
        <f>IF(AND($B304=" ",$K304=AV$3),$O304,0)</f>
        <v>0</v>
      </c>
      <c r="AW304" s="133">
        <f>IF(AND($B304=" ",$K304=AW$3),$O304,0)</f>
        <v>0</v>
      </c>
      <c r="AX304" s="133">
        <f>IF(AND($B304=" ",$K304=AX$3),$O304,0)</f>
        <v>0</v>
      </c>
      <c r="AY304" s="135">
        <f>IF(AND($B304=" ",$K304=AY$3),$O304,0)</f>
        <v>0</v>
      </c>
      <c r="AZ304" s="136">
        <f>IF(AND($B304=" ",$K304=AZ$3),$O304,0)</f>
        <v>0</v>
      </c>
      <c r="BA304" s="136">
        <f>IF(AND($B304=" ",$K304=BA$3),$O304,0)</f>
        <v>0</v>
      </c>
      <c r="BB304" s="136">
        <f>IF(AND($B304=" ",$K304=BB$3),$O304,0)</f>
        <v>0</v>
      </c>
      <c r="BC304" s="137">
        <f>IF(AND($B304=" ",$K304=BC$3),$O304,0)</f>
        <v>0</v>
      </c>
      <c r="BD304" s="133">
        <f>IF(AND($B304=" ",$K304=BD$3),$O304,0)</f>
        <v>0</v>
      </c>
      <c r="BE304" s="134">
        <f>IF(AND($B304=" ",$K304=BE$3),$O304,0)</f>
        <v>0</v>
      </c>
      <c r="BF304" s="132">
        <f>IF($K304=BF$3,IF($C304="X",0,$O304),0)</f>
        <v>0</v>
      </c>
      <c r="BG304" s="133">
        <f>IF($K304=BG$3,IF($C304="X",0,$O304),0)</f>
        <v>0</v>
      </c>
      <c r="BH304" s="133">
        <f>IF($K304=BH$3,IF($C304="X",0,$O304),0)</f>
        <v>0</v>
      </c>
      <c r="BI304" s="133">
        <f>IF($K304=BI$3,IF($C304="X",0,$O304),0)</f>
        <v>0</v>
      </c>
      <c r="BJ304" s="133">
        <f>IF($K304=BJ$3,IF($C304="X",0,$O304),0)</f>
        <v>13.2</v>
      </c>
      <c r="BK304" s="133">
        <f>IF($K304=BK$3,IF($C304="X",0,$O304),0)</f>
        <v>0</v>
      </c>
      <c r="BL304" s="133">
        <f>IF($K304=BL$3,IF($C304="X",0,$O304),0)</f>
        <v>0</v>
      </c>
      <c r="BM304" s="135">
        <f>IF($K304=BM$3,IF($C304="X",0,$O304),0)</f>
        <v>0</v>
      </c>
      <c r="BN304" s="136">
        <f>IF($K304=BN$3,IF($C304="X",0,$O304),0)</f>
        <v>0</v>
      </c>
      <c r="BO304" s="136">
        <f>IF($K304=BO$3,IF($C304="X",0,$O304),0)</f>
        <v>0</v>
      </c>
      <c r="BP304" s="136">
        <f>IF($K304=BP$3,IF($C304="X",0,$O304),0)</f>
        <v>0</v>
      </c>
      <c r="BQ304" s="137">
        <f>IF($K304=BQ$3,IF($C304="X",0,$O304),0)</f>
        <v>0</v>
      </c>
      <c r="BR304" s="134">
        <f>IF($K304=BR$3,IF($C304="X",0,$O304),0)</f>
        <v>0</v>
      </c>
      <c r="BS304" s="170">
        <f>IF($B304="LOSS",IF(AND($K304=BS$3,$C304="L"),-$O304,0)+IF(AND($K305=BS$3,$C305="L"),-$O305,0)+IF(AND($K306=BS$3,$C306="L"),-$O306,0),IF(OR(AND($K304=BS$3,OR($C304="W",$C304="1/2W")),AND($K305=BS$3,OR($C305="W",$C305="1/2W")),AND($K306=BS$3,OR($C306="W",$C306="1/2W"))),$S304,0))</f>
        <v>0.8</v>
      </c>
      <c r="BT304" s="272">
        <f>IF($B304="LOSS",IF(AND($K304=BT$3,$C304="L"),-$O304,0)+IF(AND($K305=BT$3,$C305="L"),-$O305,0)+IF(AND($K305=BT$3,$C306="L"),-$O306,0),IF(OR(AND($K305=BT$3,OR($C304="W",$C304="1/2W")),AND($K305=BT$3,OR($C305="W",$C305="1/2W")),AND($K305=BT$3,OR($C306="W",$C306="1/2W"))),$S304,0))</f>
        <v>0</v>
      </c>
      <c r="BU304" s="136">
        <f>IF($B304="LOSS",IF(AND($K304=BU$3,$C304="L"),-$O304,0)+IF(AND($K305=BU$3,$C305="L"),-$O305,0)+IF(AND($K305=BU$3,$C306="L"),-$O306,0),IF(OR(AND($K305=BU$3,OR($C304="W",$C304="1/2W")),AND($K305=BU$3,OR($C305="W",$C305="1/2W")),AND($K305=BU$3,OR($C306="W",$C306="1/2W"))),$S304,0))</f>
        <v>0</v>
      </c>
      <c r="BV304" s="136">
        <f>IF($B304="LOSS",IF(AND($K304=BV$3,$C304="L"),-$O304,0)+IF(AND($K305=BV$3,$C305="L"),-$O305,0)+IF(AND($K306=BV$3,$C306="L"),-$O306,0),IF(OR(AND($K304=BV$3,OR($C304="W",$C304="1/2W")),AND($K305=BV$3,OR($C305="W",$C305="1/2W")),AND($K306=BV$3,OR($C306="W",$C306="1/2W"))),$S304,0))</f>
        <v>0</v>
      </c>
      <c r="BW304" s="136">
        <f>IF($B304="LOSS",IF(AND($K304=BW$3,$C304="L"),-$O304,0)+IF(AND($K305=BW$3,$C305="L"),-$O305,0)+IF(AND($K306=BW$3,$C306="L"),-$O306,0),IF(OR(AND($K304=BW$3,OR($C304="W",$C304="1/2W")),AND($K305=BW$3,OR($C305="W",$C305="1/2W")),AND($K306=BW$3,OR($C306="W",$C306="1/2W"))),$S304,0))</f>
        <v>0</v>
      </c>
      <c r="BX304" s="136">
        <f>IF($B304="LOSS",IF(AND($K304=BX$3,$C304="L"),-$O304,0)+IF(AND($K305=BX$3,$C305="L"),-$O305,0)+IF(AND($K306=BX$3,$C306="L"),-$O306,0),IF(OR(AND($K304=BX$3,OR($C304="W",$C304="1/2W")),AND($K305=BX$3,OR($C305="W",$C305="1/2W")),AND($K306=BX$3,OR($C306="W",$C306="1/2W"))),$S304,0))</f>
        <v>0</v>
      </c>
      <c r="BY304" s="136">
        <f>IF($B304="LOSS",IF(AND($K304=BY$3,$C304="L"),-$O304,0)+IF(AND($K305=BY$3,$C305="L"),-$O305,0)+IF(AND($K306=BY$3,$C306="L"),-$O306,0),IF(OR(AND($K304=BY$3,OR($C304="W",$C304="1/2W")),AND($K305=BY$3,OR($C305="W",$C305="1/2W")),AND($K306=BY$3,OR($C306="W",$C306="1/2W"))),$S304,0))</f>
        <v>0</v>
      </c>
      <c r="BZ304" s="136">
        <f>IF($B304="LOSS",IF(AND($K304=BZ$3,$C304="L"),-$O304,0)+IF(AND($K305=BZ$3,$C305="L"),-$O305,0)+IF(AND($K306=BZ$3,$C306="L"),-$O306,0),IF(OR(AND($K304=BZ$3,OR($C304="W",$C304="1/2W")),AND($K305=BZ$3,OR($C305="W",$C305="1/2W")),AND($K306=BZ$3,OR($C306="W",$C306="1/2W"))),$S304,0))</f>
        <v>0</v>
      </c>
      <c r="CA304" s="136">
        <f>IF($B304="LOSS",IF(AND($K304=CA$3,$C304="L"),-$O304,0)+IF(AND($K305=CA$3,$C305="L"),-$O305,0)+IF(AND($K306=CA$3,$C306="L"),-$O306,0),IF(OR(AND($K304=CA$3,OR($C304="W",$C304="1/2W")),AND($K305=CA$3,OR($C305="W",$C305="1/2W")),AND($K306=CA$3,OR($C306="W",$C306="1/2W"))),$S304,0))</f>
        <v>0</v>
      </c>
      <c r="CB304" s="136">
        <f>IF($B304="LOSS",IF(AND($K304=CB$3,$C304="L"),-$O304,0)+IF(AND($K305=CB$3,$C305="L"),-$O305,0)+IF(AND($K306=CB$3,$C306="L"),-$O306,0),IF(OR(AND($K304=CB$3,OR($C304="W",$C304="1/2W")),AND($K305=CB$3,OR($C305="W",$C305="1/2W")),AND($K306=CB$3,OR($C306="W",$C306="1/2W"))),$S304,0))</f>
        <v>0</v>
      </c>
      <c r="CC304" s="136">
        <f>IF($B304="LOSS",IF(AND($K304=CC$3,$C304="L"),-$O304,0)+IF(AND($K305=CC$3,$C305="L"),-$O305,0)+IF(AND($K306=CC$3,$C306="L"),-$O306,0),IF(OR(AND($K304=CC$3,OR($C304="W",$C304="1/2W")),AND($K305=CC$3,OR($C305="W",$C305="1/2W")),AND($K306=CC$3,OR($C306="W",$C306="1/2W"))),$S304,0))</f>
        <v>0</v>
      </c>
      <c r="CD304" s="137">
        <f>IF($B304="LOSS",IF(AND($K304=CD$3,$C304="L"),-$O304,0)+IF(AND($K305=CD$3,$C305="L"),-$O305,0)+IF(AND($K306=CD$3,$C306="L"),-$O306,0),IF(OR(AND($K304=CD$3,OR($C304="W",$C304="1/2W")),AND($K305=CD$3,OR($C305="W",$C305="1/2W")),AND($K306=CD$3,OR($C306="W",$C306="1/2W"))),$S304,0))</f>
        <v>0</v>
      </c>
      <c r="CE304" s="134">
        <f>IF($B304="LOSS",IF(AND($K304=CE$3,$C304="L"),-$O304,0)+IF(AND($K305=CE$3,$C305="L"),-$O305,0)+IF(AND($K306=CE$3,$C306="L"),-$O306,0),IF(OR(AND($K304=CE$3,OR($C304="W",$C304="1/2W")),AND($K305=CE$3,OR($C305="W",$C305="1/2W")),AND($K306=CE$3,OR($C306="W",$C306="1/2W"))),$S304,0))</f>
        <v>0</v>
      </c>
      <c r="CF304" s="273">
        <f>IF(CF$3=$K304,IF($C304="W",1,IF($C304="1/2W",0.5,0)),0)</f>
        <v>0</v>
      </c>
      <c r="CG304" s="274">
        <f>IF(CF$3=$K304,IF($C304="L",1,IF($C304="1/2L",0.5,0)),0)</f>
        <v>0</v>
      </c>
      <c r="CH304" s="274">
        <f>IF(CH$3=$K304,IF($C304="W",1,IF($C304="1/2W",0.5,0)),0)</f>
        <v>0</v>
      </c>
      <c r="CI304" s="274">
        <f>IF(CH$3=$K304,IF($C304="L",1,IF($C304="1/2L",0.5,0)),0)</f>
        <v>0</v>
      </c>
      <c r="CJ304" s="274">
        <f>IF(CJ$3=$K304,IF($C304="W",1,IF($C304="1/2W",0.5,0)),0)</f>
        <v>0</v>
      </c>
      <c r="CK304" s="274">
        <f>IF(CJ$3=$K304,IF($C304="L",1,IF($C304="1/2L",0.5,0)),0)</f>
        <v>0</v>
      </c>
      <c r="CL304" s="274">
        <f>IF(CL$3=$K304,IF($C304="W",1,IF($C304="1/2W",0.5,0)),0)</f>
        <v>0</v>
      </c>
      <c r="CM304" s="274">
        <f>IF(CL$3=$K304,IF($C304="L",1,IF($C304="1/2L",0.5,0)),0)</f>
        <v>0</v>
      </c>
      <c r="CN304" s="274">
        <f>IF(CN$3=$K304,IF($C304="W",1,IF($C304="1/2W",0.5,0)),0)</f>
        <v>0</v>
      </c>
      <c r="CO304" s="274">
        <f>IF(CN$3=$K304,IF($C304="L",1,IF($C304="1/2L",0.5,0)),0)</f>
        <v>1</v>
      </c>
      <c r="CP304" s="274">
        <f>IF(CP$3=$K304,IF($C304="W",1,IF($C304="1/2W",0.5,0)),0)</f>
        <v>0</v>
      </c>
      <c r="CQ304" s="274">
        <f>IF(CP$3=$K304,IF($C304="L",1,IF($C304="1/2L",0.5,0)),0)</f>
        <v>0</v>
      </c>
      <c r="CR304" s="274">
        <f>IF(CR$3=$K304,IF($C304="W",1,IF($C304="1/2W",0.5,0)),0)</f>
        <v>0</v>
      </c>
      <c r="CS304" s="274">
        <f>IF(CR$3=$K304,IF($C304="L",1,IF($C304="1/2L",0.5,0)),0)</f>
        <v>0</v>
      </c>
      <c r="CT304" s="145">
        <f>IF(CT$3=$K304,IF($C304="W",1,IF($C304="1/2W",0.5,0)),0)</f>
        <v>0</v>
      </c>
      <c r="CU304" s="146">
        <f>IF(CT$3=$K304,IF($C304="L",1,IF($C304="1/2L",0.5,0)),0)</f>
        <v>0</v>
      </c>
      <c r="CV304" s="146">
        <f>IF(CV$3=$K304,IF($C304="W",1,IF($C304="1/2W",0.5,0)),0)</f>
        <v>0</v>
      </c>
      <c r="CW304" s="146">
        <f>IF(CV$3=$K304,IF($C304="L",1,IF($C304="1/2L",0.5,0)),0)</f>
        <v>0</v>
      </c>
      <c r="CX304" s="146">
        <f>IF(CX$3=$K304,IF($C304="W",1,IF($C304="1/2W",0.5,0)),0)</f>
        <v>0</v>
      </c>
      <c r="CY304" s="146">
        <f>IF(CX$3=$K304,IF($C304="L",1,IF($C304="1/2L",0.5,0)),0)</f>
        <v>0</v>
      </c>
      <c r="CZ304" s="146">
        <f>IF(CZ$3=$K304,IF($C304="W",1,IF($C304="1/2W",0.5,0)),0)</f>
        <v>0</v>
      </c>
      <c r="DA304" s="146">
        <f>IF(CZ$3=$K304,IF($C304="L",1,IF($C304="1/2L",0.5,0)),0)</f>
        <v>0</v>
      </c>
      <c r="DB304" s="146">
        <f>IF(DB$3=$K304,IF($C304="W",1,IF($C304="1/2W",0.5,0)),0)</f>
        <v>0</v>
      </c>
      <c r="DC304" s="146">
        <f>IF(DB$3=$K304,IF($C304="L",1,IF($C304="1/2L",0.5,0)),0)</f>
        <v>0</v>
      </c>
      <c r="DD304" s="146">
        <f>IF(DD$3=$K304,IF($C304="W",1,IF($C304="1/2W",0.5,0)),0)</f>
        <v>0</v>
      </c>
      <c r="DE304" s="147">
        <f>IF(DD$3=$K304,IF($C304="L",1,IF($C304="1/2L",0.5,0)),0)</f>
        <v>0</v>
      </c>
      <c r="DF304" s="143">
        <f>IF(AND(L304&lt;DF$3,$C304="W"),1+DF303,DF303)</f>
        <v>12</v>
      </c>
      <c r="DG304" s="133">
        <f>IF(DF304&gt;DF303,L304+DG303,DG303)</f>
        <v>15.718</v>
      </c>
      <c r="DH304" s="146">
        <f>IF(AND(L304&gt;DH$3,$C304="W"),1+DH303,0+DH303)</f>
        <v>7</v>
      </c>
      <c r="DI304" s="133">
        <f>IF(DH304&gt;DH303,L304+DI303,DI303)</f>
        <v>34.83</v>
      </c>
      <c r="DJ304" t="s" s="304">
        <f>IF($D304="","",$D304)</f>
        <v>272</v>
      </c>
      <c r="DK304" s="146">
        <f>IF(AND($B304=" ",$D304&lt;&gt;""),1,0)</f>
        <v>0</v>
      </c>
    </row>
    <row r="305" ht="14.55" customHeight="1">
      <c r="A305" s="107"/>
      <c r="B305" s="108"/>
      <c r="C305" t="s" s="109">
        <v>56</v>
      </c>
      <c r="D305" s="110"/>
      <c r="E305" s="111"/>
      <c r="F305" s="113"/>
      <c r="G305" s="252"/>
      <c r="H305" s="114"/>
      <c r="I305" t="s" s="275">
        <v>67</v>
      </c>
      <c r="J305" s="276">
        <f>IF(OR(I304="TO",I304="TU",I304="TO1",I304="TU1",I304="TO2",I304="TU2"),J304,IF(OR(I304="AH1",I304="AH2"),IF(OR(I305="AH1",I305="AH2"),-J304,IF(OR(I305="EH1",I305="EH2"),-J304+0.5,"")),IF(OR(I304="EH1",I304="EH2"),IF(OR(I305="AH1",I305="AH2"),-J304+0.5,IF(OR(I305="EH1",I305="EH2"),-J304+1,"")),IF(AND(OR(I304="DNB1",I304="DNB2"),OR(I305="AH1",I305="AH2")),0,IF(AND(I304="Not ScoreBoth",OR(I305="TO1",I305="TO2")),0.5,"")))))</f>
        <v>3.5</v>
      </c>
      <c r="K305" t="s" s="117">
        <v>37</v>
      </c>
      <c r="L305" s="277">
        <v>2.5</v>
      </c>
      <c r="M305" s="278">
        <v>9.33</v>
      </c>
      <c r="N305" s="120"/>
      <c r="O305" s="121">
        <f>IF(OR(AE304="",AE305=""),"",ROUND(IF(L306&gt;0,IF(M305&gt;0,M305,IF(M304&gt;0,IF(N304=TRUE,ROUND((M304*AE305)/AE304,0),(M304*AE305)/AE304),IF(M305&gt;0,ROUND(M305,IF(N304=0,2,IF(N304=0.1,1,0))),IF(M306&gt;0,ROUND(O306*AE305/AE306,IF(N304=0,2,IF(N304=0.1,1,0))),0)))),IF(M305&gt;0,M305,ROUND((M304*AE305)/AE304,IF(N304=0,2,IF(N304=0.1,1,0))))),2))</f>
        <v>9.33</v>
      </c>
      <c r="P305" s="122">
        <f>IF(OR(L305="",O305=""),"",IF($C305="1/2W",O305/2+O305/2*L305,IF($C305="1/2L",O305/2,IF(I305="Lay",((O305*(L305/(L305-1)))-O305)*(1-_xlfn.XLOOKUP(K305,'Janeiro 2023 - Valor Real'!A3:A15,'Janeiro 2023 - Valor Real'!C3:C15,0))+O305,(O305*L305-O305)*(1-_xlfn.XLOOKUP(K305,'Janeiro 2023 - Valor Real'!A3:A15,'Janeiro 2023 - Valor Real'!C3:C15,0))+O305))))</f>
        <v>23.325</v>
      </c>
      <c r="Q305" s="279">
        <f>IF(K305="","",IF(_xlfn.XLOOKUP(K305,K$107:K120,DJ$107:DJ120,0,,-1)=DJ305,_xlfn.XLOOKUP(K305,K$107:K120,Q$107:Q120,1,,-1)+1,1))</f>
        <v>1</v>
      </c>
      <c r="R305" s="280">
        <f>IF(K305="","",_xlfn.XLOOKUP(K305,K$107:K120,R$107:R120,0,,-1)+IF($C305=" ",1,0))</f>
        <v>0</v>
      </c>
      <c r="S305" s="125"/>
      <c r="T305" s="126"/>
      <c r="U305" s="126"/>
      <c r="V305" s="224"/>
      <c r="W305" s="126"/>
      <c r="X305" s="127"/>
      <c r="Y305" s="128"/>
      <c r="Z305" s="129"/>
      <c r="AA305" s="129"/>
      <c r="AB305" s="129"/>
      <c r="AC305" s="129"/>
      <c r="AD305" s="130"/>
      <c r="AE305" s="131">
        <f>IF(L305="","",IF(L306&gt;0,(SUM(((L304-1)*(1-_xlfn.XLOOKUP(K304,'Janeiro 2023 - Valor Real'!A3:A15,'Janeiro 2023 - Valor Real'!C3:C15,0))+1),((L305-1)*(1-_xlfn.XLOOKUP(K305,'Janeiro 2023 - Valor Real'!A3:A15,'Janeiro 2023 - Valor Real'!C3:C15,0))+1),((L306-1)*(1-_xlfn.XLOOKUP(K306,'Janeiro 2023 - Valor Real'!A3:A15,'Janeiro 2023 - Valor Real'!C3:C15,0))+1))/((L305-1)*(1-_xlfn.XLOOKUP(K305,'Janeiro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Real'!C3:C15,0))+1))/((L304-1)*(1-_xlfn.XLOOKUP(K304,'Janeiro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Real'!C3:C15,0))+1))/((L305-1)*(1-_xlfn.XLOOKUP(K305,'Janeiro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Real'!C3:C15,0))+1))/((L306-1)*(1-_xlfn.XLOOKUP(K306,'Janeiro 2023 - Valor Real'!A3:A15,'Janeiro 2023 - Valor Real'!C3:C15,0))+1)),IF(I305="Lay",IF(I304="Lay",((L304/(L304-1)-1)*(1-_xlfn.XLOOKUP(K304,'Janeiro 2023 - Valor Real'!A3:A15,'Janeiro 2023 - Valor Real'!C3:C15,0))+1)/(((L304/(L304-1)-1)*(1-_xlfn.XLOOKUP(K304,'Janeiro 2023 - Valor Real'!A3:A15,'Janeiro 2023 - Valor Real'!C3:C15,0))+1)+((L305/(L305-1)-1)*(1-_xlfn.XLOOKUP(K305,'Janeiro 2023 - Valor Real'!A3:A15,'Janeiro 2023 - Valor Real'!C3:C15,0))+1)),((L304-1)*(1-_xlfn.XLOOKUP(K304,'Janeiro 2023 - Valor Real'!A3:A15,'Janeiro 2023 - Valor Real'!C3:C15,0))+1)/(((L304-1)*(1-_xlfn.XLOOKUP(K304,'Janeiro 2023 - Valor Real'!A3:A15,'Janeiro 2023 - Valor Real'!C3:C15,0))+1)+((L305/(L305-1)-1)*(1-_xlfn.XLOOKUP(K305,'Janeiro 2023 - Valor Real'!A3:A15,'Janeiro 2023 - Valor Real'!C3:C15,0))+1))),IF(I304="Lay",((L304/(L304-1)-1)*(1-_xlfn.XLOOKUP(K304,'Janeiro 2023 - Valor Real'!A3:A15,'Janeiro 2023 - Valor Real'!C3:C15,0))+1)/((((L304/(L304-1)-1)*(1-_xlfn.XLOOKUP(K304,'Janeiro 2023 - Valor Real'!A3:A15,'Janeiro 2023 - Valor Real'!C3:C15,0))+1))+((L305-1)*(1-_xlfn.XLOOKUP(K305,'Janeiro 2023 - Valor Real'!A3:A15,'Janeiro 2023 - Valor Real'!C3:C15,0))+1)),((L304-1)*(1-_xlfn.XLOOKUP(K304,'Janeiro 2023 - Valor Real'!A3:A15,'Janeiro 2023 - Valor Real'!C3:C15,0))+1)/(((L304-1)*(1-_xlfn.XLOOKUP(K304,'Janeiro 2023 - Valor Real'!A3:A15,'Janeiro 2023 - Valor Real'!C3:C15,0))+1)+((L305-1)*(1-_xlfn.XLOOKUP(K305,'Janeiro 2023 - Valor Real'!A3:A15,'Janeiro 2023 - Valor Real'!C3:C15,0))+1))))))</f>
        <v>0.414519906323185</v>
      </c>
      <c r="AF305" s="132">
        <f>IF($K305=AF$3,ROUND(IF(OR($C305="W",$C305="1/2W",$C305="1/2L"),$P305-$O305,IF($C305="X",0,-$O305)),2),0)</f>
        <v>14</v>
      </c>
      <c r="AG305" s="133">
        <f>IF($K305=AG$3,ROUND(IF(OR($C305="W",$C305="1/2W",$C305="1/2L"),$P305-$O305,IF($C305="X",0,-$O305)),2),0)</f>
        <v>0</v>
      </c>
      <c r="AH305" s="133">
        <f>IF($K305=AH$3,ROUND(IF(OR($C305="W",$C305="1/2W",$C305="1/2L"),$P305-$O305,IF($C305="X",0,-$O305)),2),0)</f>
        <v>0</v>
      </c>
      <c r="AI305" s="133">
        <f>IF($K305=AI$3,ROUND(IF(OR($C305="W",$C305="1/2W",$C305="1/2L"),$P305-$O305,IF($C305="X",0,-$O305)),2),0)</f>
        <v>0</v>
      </c>
      <c r="AJ305" s="133">
        <f>IF($K305=AJ$3,ROUND(IF(OR($C305="W",$C305="1/2W",$C305="1/2L"),$P305-$O305,IF($C305="X",0,-$O305)),2),0)</f>
        <v>0</v>
      </c>
      <c r="AK305" s="133">
        <f>IF($K305=AK$3,ROUND(IF(OR($C305="W",$C305="1/2W",$C305="1/2L"),$P305-$O305,IF($C305="X",0,-$O305)),2),0)</f>
        <v>0</v>
      </c>
      <c r="AL305" s="133">
        <f>IF($K305=AL$3,ROUND(IF(OR($C305="W",$C305="1/2W",$C305="1/2L"),$P305-$O305,IF($C305="X",0,-$O305)),2),0)</f>
        <v>0</v>
      </c>
      <c r="AM305" s="133">
        <f>IF($K305=AM$3,ROUND(IF(OR($C305="W",$C305="1/2W",$C305="1/2L"),$P305-$O305,IF($C305="X",0,-$O305)),2),0)</f>
        <v>0</v>
      </c>
      <c r="AN305" s="133">
        <f>IF($K305=AN$3,ROUND(IF(OR($C305="W",$C305="1/2W",$C305="1/2L"),$P305-$O305,IF($C305="X",0,-$O305)),2),0)</f>
        <v>0</v>
      </c>
      <c r="AO305" s="133">
        <f>IF($K305=AO$3,ROUND(IF(OR($C305="W",$C305="1/2W",$C305="1/2L"),$P305-$O305,IF($C305="X",0,-$O305)),2),0)</f>
        <v>0</v>
      </c>
      <c r="AP305" s="133">
        <f>IF($K305=AP$3,ROUND(IF(OR($C305="W",$C305="1/2W",$C305="1/2L"),$P305-$O305,IF($C305="X",0,-$O305)),2),0)</f>
        <v>0</v>
      </c>
      <c r="AQ305" s="133">
        <f>IF($K305=AQ$3,ROUND(IF(OR($C305="W",$C305="1/2W",$C305="1/2L"),$P305-$O305,IF($C305="X",0,-$O305)),2),0)</f>
        <v>0</v>
      </c>
      <c r="AR305" s="134">
        <f>IF($K305=AR$3,ROUND(IF(OR($C305="W",$C305="1/2W",$C305="1/2L"),$P305-$O305,IF($C305="X",0,-$O305)),2),0)</f>
        <v>0</v>
      </c>
      <c r="AS305" s="132">
        <f>IF(AND($B304=" ",$K305=AS$3),$O305,0)</f>
        <v>0</v>
      </c>
      <c r="AT305" s="133">
        <f>IF(AND($B304=" ",K305=AT$3),$O305,0)</f>
        <v>0</v>
      </c>
      <c r="AU305" s="133">
        <f>IF(AND($B304=" ",$K305=AU$3),$O305,0)</f>
        <v>0</v>
      </c>
      <c r="AV305" s="133">
        <f>IF(AND($B304=" ",$K305=AV$3),$O305,0)</f>
        <v>0</v>
      </c>
      <c r="AW305" s="133">
        <f>IF(AND($B304=" ",$K305=AW$3),$O305,0)</f>
        <v>0</v>
      </c>
      <c r="AX305" s="133">
        <f>IF(AND($B304=" ",$K305=AX$3),$O305,0)</f>
        <v>0</v>
      </c>
      <c r="AY305" s="135">
        <f>IF(AND($B304=" ",$K305=AY$3),$O305,0)</f>
        <v>0</v>
      </c>
      <c r="AZ305" s="136">
        <f>IF(AND($B304=" ",$K305=AZ$3),$O305,0)</f>
        <v>0</v>
      </c>
      <c r="BA305" s="136">
        <f>IF(AND($B304=" ",$K305=BA$3),$O305,0)</f>
        <v>0</v>
      </c>
      <c r="BB305" s="136">
        <f>IF(AND($B304=" ",$K305=BB$3),$O305,0)</f>
        <v>0</v>
      </c>
      <c r="BC305" s="137">
        <f>IF(AND($B304=" ",$K305=BC$3),$O305,0)</f>
        <v>0</v>
      </c>
      <c r="BD305" s="133">
        <f>IF(AND($B304=" ",$K305=BD$3),$O305,0)</f>
        <v>0</v>
      </c>
      <c r="BE305" s="134">
        <f>IF(AND($B304=" ",$K305=BE$3),$O305,0)</f>
        <v>0</v>
      </c>
      <c r="BF305" s="132">
        <f>IF($K305=BF$3,IF($C305="X",0,$O305),0)</f>
        <v>9.33</v>
      </c>
      <c r="BG305" s="281">
        <f>IF($K305=BG$3,IF($C305="X",0,$O305),0)</f>
        <v>0</v>
      </c>
      <c r="BH305" s="133">
        <f>IF($K305=BH$3,IF($C305="X",0,$O305),0)</f>
        <v>0</v>
      </c>
      <c r="BI305" s="133">
        <f>IF($K305=BI$3,IF($C305="X",0,$O305),0)</f>
        <v>0</v>
      </c>
      <c r="BJ305" s="133">
        <f>IF($K305=BJ$3,IF($C305="X",0,$O305),0)</f>
        <v>0</v>
      </c>
      <c r="BK305" s="133">
        <f>IF($K305=BK$3,IF($C305="X",0,$O305),0)</f>
        <v>0</v>
      </c>
      <c r="BL305" s="133">
        <f>IF($K305=BL$3,IF($C305="X",0,$O305),0)</f>
        <v>0</v>
      </c>
      <c r="BM305" s="135">
        <f>IF($K305=BM$3,IF($C305="X",0,$O305),0)</f>
        <v>0</v>
      </c>
      <c r="BN305" s="136">
        <f>IF($K305=BN$3,IF($C305="X",0,$O305),0)</f>
        <v>0</v>
      </c>
      <c r="BO305" s="136">
        <f>IF($K305=BO$3,IF($C305="X",0,$O305),0)</f>
        <v>0</v>
      </c>
      <c r="BP305" s="136">
        <f>IF($K305=BP$3,IF($C305="X",0,$O305),0)</f>
        <v>0</v>
      </c>
      <c r="BQ305" s="137">
        <f>IF($K305=BQ$3,IF($C305="X",0,$O305),0)</f>
        <v>0</v>
      </c>
      <c r="BR305" s="134">
        <f>IF($K305=BR$3,IF($C305="X",0,$O305),0)</f>
        <v>0</v>
      </c>
      <c r="BS305" s="282"/>
      <c r="BT305" s="283"/>
      <c r="BU305" s="140"/>
      <c r="BV305" s="283"/>
      <c r="BW305" s="140"/>
      <c r="BX305" s="140"/>
      <c r="BY305" s="140"/>
      <c r="BZ305" s="283"/>
      <c r="CA305" s="140"/>
      <c r="CB305" s="140"/>
      <c r="CC305" s="140"/>
      <c r="CD305" s="141"/>
      <c r="CE305" s="142"/>
      <c r="CF305" s="284">
        <f>IF(CF$3=$K305,IF($C305="W",1,IF($C305="1/2W",0.5,0)),0)</f>
        <v>1</v>
      </c>
      <c r="CG305" s="285">
        <f>IF(CF$3=$K305,IF($C305="L",1,IF($C305="1/2L",0.5,0)),0)</f>
        <v>0</v>
      </c>
      <c r="CH305" s="285">
        <f>IF(CH$3=$K305,IF($C305="W",1,IF($C305="1/2W",0.5,0)),0)</f>
        <v>0</v>
      </c>
      <c r="CI305" s="285">
        <f>IF(CH$3=$K305,IF($C305="L",1,IF($C305="1/2L",0.5,0)),0)</f>
        <v>0</v>
      </c>
      <c r="CJ305" s="285">
        <f>IF(CJ$3=$K305,IF($C305="W",1,IF($C305="1/2W",0.5,0)),0)</f>
        <v>0</v>
      </c>
      <c r="CK305" s="285">
        <f>IF(CJ$3=$K305,IF($C305="L",1,IF($C305="1/2L",0.5,0)),0)</f>
        <v>0</v>
      </c>
      <c r="CL305" s="285">
        <f>IF(CL$3=$K305,IF($C305="W",1,IF($C305="1/2W",0.5,0)),0)</f>
        <v>0</v>
      </c>
      <c r="CM305" s="285">
        <f>IF(CL$3=$K305,IF($C305="L",1,IF($C305="1/2L",0.5,0)),0)</f>
        <v>0</v>
      </c>
      <c r="CN305" s="285">
        <f>IF(CN$3=$K305,IF($C305="W",1,IF($C305="1/2W",0.5,0)),0)</f>
        <v>0</v>
      </c>
      <c r="CO305" s="285">
        <f>IF(CN$3=$K305,IF($C305="L",1,IF($C305="1/2L",0.5,0)),0)</f>
        <v>0</v>
      </c>
      <c r="CP305" s="285">
        <f>IF(CP$3=$K305,IF($C305="W",1,IF($C305="1/2W",0.5,0)),0)</f>
        <v>0</v>
      </c>
      <c r="CQ305" s="285">
        <f>IF(CP$3=$K305,IF($C305="L",1,IF($C305="1/2L",0.5,0)),0)</f>
        <v>0</v>
      </c>
      <c r="CR305" s="285">
        <f>IF(CR$3=$K305,IF($C305="W",1,IF($C305="1/2W",0.5,0)),0)</f>
        <v>0</v>
      </c>
      <c r="CS305" s="285">
        <f>IF(CR$3=$K305,IF($C305="L",1,IF($C305="1/2L",0.5,0)),0)</f>
        <v>0</v>
      </c>
      <c r="CT305" s="145">
        <f>IF(CT$3=$K305,IF($C305="W",1,IF($C305="1/2W",0.5,0)),0)</f>
        <v>0</v>
      </c>
      <c r="CU305" s="146">
        <f>IF(CT$3=$K305,IF($C305="L",1,IF($C305="1/2L",0.5,0)),0)</f>
        <v>0</v>
      </c>
      <c r="CV305" s="146">
        <f>IF(CV$3=$K305,IF($C305="W",1,IF($C305="1/2W",0.5,0)),0)</f>
        <v>0</v>
      </c>
      <c r="CW305" s="146">
        <f>IF(CV$3=$K305,IF($C305="L",1,IF($C305="1/2L",0.5,0)),0)</f>
        <v>0</v>
      </c>
      <c r="CX305" s="146">
        <f>IF(CX$3=$K305,IF($C305="W",1,IF($C305="1/2W",0.5,0)),0)</f>
        <v>0</v>
      </c>
      <c r="CY305" s="146">
        <f>IF(CX$3=$K305,IF($C305="L",1,IF($C305="1/2L",0.5,0)),0)</f>
        <v>0</v>
      </c>
      <c r="CZ305" s="146">
        <f>IF(CZ$3=$K305,IF($C305="W",1,IF($C305="1/2W",0.5,0)),0)</f>
        <v>0</v>
      </c>
      <c r="DA305" s="146">
        <f>IF(CZ$3=$K305,IF($C305="L",1,IF($C305="1/2L",0.5,0)),0)</f>
        <v>0</v>
      </c>
      <c r="DB305" s="146">
        <f>IF(DB$3=$K305,IF($C305="W",1,IF($C305="1/2W",0.5,0)),0)</f>
        <v>0</v>
      </c>
      <c r="DC305" s="146">
        <f>IF(DB$3=$K305,IF($C305="L",1,IF($C305="1/2L",0.5,0)),0)</f>
        <v>0</v>
      </c>
      <c r="DD305" s="146">
        <f>IF(DD$3=$K305,IF($C305="W",1,IF($C305="1/2W",0.5,0)),0)</f>
        <v>0</v>
      </c>
      <c r="DE305" s="147">
        <f>IF(DD$3=$K305,IF($C305="L",1,IF($C305="1/2L",0.5,0)),0)</f>
        <v>0</v>
      </c>
      <c r="DF305" s="143">
        <f>IF(AND(L305&lt;DF$3,$C305="W"),1+DF304,DF304)</f>
        <v>12</v>
      </c>
      <c r="DG305" s="133">
        <f>IF(DF305&gt;DF304,L305+DG304,DG304)</f>
        <v>15.718</v>
      </c>
      <c r="DH305" s="146">
        <f>IF(AND(L305&gt;DH$3,$C305="W"),1+DH304,0+DH304)</f>
        <v>7</v>
      </c>
      <c r="DI305" s="133">
        <f>IF(DH305&gt;DH304,L305+DI304,DI304)</f>
        <v>34.83</v>
      </c>
      <c r="DJ305" t="s" s="304">
        <f>IF($D304="","",$D304)</f>
        <v>272</v>
      </c>
      <c r="DK305" s="286"/>
    </row>
    <row r="306" ht="14.55" customHeight="1">
      <c r="A306" s="149"/>
      <c r="B306" s="150"/>
      <c r="C306" t="s" s="151">
        <v>58</v>
      </c>
      <c r="D306" s="152"/>
      <c r="E306" s="153"/>
      <c r="F306" s="155"/>
      <c r="G306" s="252"/>
      <c r="H306" s="156"/>
      <c r="I306" s="287"/>
      <c r="J306" s="288"/>
      <c r="K306" s="156"/>
      <c r="L306" s="289"/>
      <c r="M306" s="290"/>
      <c r="N306" s="161"/>
      <c r="O306" t="s" s="162">
        <f>IF(OR(AE304="",AE305=""),"",IF(L306&gt;0,ROUND(IF(M306&gt;0,M306,IF(M304&gt;0,ROUND((M304*AE306)/AE304,IF(N304=0,2,IF(N304=0.1,1,0))),IF(M305&gt;0,ROUND((M305*AE306)/AE305,IF(N304=0,2,IF(N304=0.1,1,0))),IF(M306&gt;0,M306,0)))),2),""))</f>
      </c>
      <c r="P306" t="s" s="163">
        <f>IF(I305="Lay",O305*(L305/(L305-1))-O305,IF(I304="Lay",O304*(L304/(L304-1))-O304,IF(OR(L306="",O306=""),"",IF($C306="1/2W",O306/2+O306/2*L306,IF($C306="1/2L",O306/2,(O306*L306-O306)*(1-_xlfn.XLOOKUP(K306,'Janeiro 2023 - Valor Real'!A3:A15,'Janeiro 2023 - Valor Real'!C3:C15,0))+O306)))))</f>
      </c>
      <c r="Q306" t="s" s="154">
        <f>IF(K306="","",IF(_xlfn.XLOOKUP(K306,K$108:K121,DJ$108:DJ121,0,,-1)=DJ306,_xlfn.XLOOKUP(K306,K$108:K121,Q$108:Q121,1,,-1)+1,1))</f>
      </c>
      <c r="R306" t="s" s="163">
        <f>IF(K306="","",_xlfn.XLOOKUP(K306,K$108:K121,R$108:R121,0,,-1)+IF($C306=" ",1,0))</f>
      </c>
      <c r="S306" s="166"/>
      <c r="T306" s="155"/>
      <c r="U306" s="155"/>
      <c r="V306" s="166"/>
      <c r="W306" s="155"/>
      <c r="X306" s="167"/>
      <c r="Y306" s="128"/>
      <c r="Z306" s="129"/>
      <c r="AA306" s="129"/>
      <c r="AB306" s="129"/>
      <c r="AC306" s="129"/>
      <c r="AD306" s="168"/>
      <c r="AE306" t="s" s="169">
        <f>IF(L306="","",(SUM(((L304-1)*(1-_xlfn.XLOOKUP(K304,'Janeiro 2023 - Valor Real'!A3:A15,'Janeiro 2023 - Valor Real'!C3:C15,0))+1),((L305-1)*(1-_xlfn.XLOOKUP(K305,'Janeiro 2023 - Valor Real'!A3:A15,'Janeiro 2023 - Valor Real'!C3:C15,0))+1),((L306-1)*(1-_xlfn.XLOOKUP(K306,'Janeiro 2023 - Valor Real'!A3:A15,'Janeiro 2023 - Valor Real'!C3:C15,0))+1))/((L306-1)*(1-_xlfn.XLOOKUP(K306,'Janeiro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Real'!C3:C15,0))+1))/((L304-1)*(1-_xlfn.XLOOKUP(K304,'Janeiro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Real'!C3:C15,0))+1))/((L305-1)*(1-_xlfn.XLOOKUP(K305,'Janeiro 2023 - Valor Real'!A3:A15,'Janeiro 2023 - Valor Real'!C3:C15,0))+1)+SUM(((L304-1)*(1-_xlfn.XLOOKUP(K304,'Janeiro 2023 - Valor Real'!A3:A15,'Janeiro 2023 - Valor Real'!C3:C15,0))+1),((L305-1)*(1-_xlfn.XLOOKUP(K305,'Janeiro 2023 - Valor Real'!A3:A15,'Janeiro 2023 - Valor Real'!C3:C15,0))+1),((L306-1)*(1-_xlfn.XLOOKUP(K306,'Janeiro 2023 - Valor Real'!A3:A15,'Janeiro 2023 - Valor Real'!C3:C15,0))+1))/((L306-1)*(1-_xlfn.XLOOKUP(K306,'Janeiro 2023 - Valor Real'!A3:A15,'Janeiro 2023 - Valor Real'!C3:C15,0))+1)))</f>
      </c>
      <c r="AF306" s="132">
        <f>IF($K306=AF$3,ROUND(IF(OR($C306="W",$C306="1/2W",$C306="1/2L"),$P306-$O306,IF($C306="X",0,-$O306)),2),0)</f>
        <v>0</v>
      </c>
      <c r="AG306" s="133">
        <f>IF($K306=AG$3,ROUND(IF(OR($C306="W",$C306="1/2W",$C306="1/2L"),$P306-$O306,IF($C306="X",0,-$O306)),2),0)</f>
        <v>0</v>
      </c>
      <c r="AH306" s="133">
        <f>IF($K306=AH$3,ROUND(IF(OR($C306="W",$C306="1/2W",$C306="1/2L"),$P306-$O306,IF($C306="X",0,-$O306)),2),0)</f>
        <v>0</v>
      </c>
      <c r="AI306" s="133">
        <f>IF($K306=AI$3,ROUND(IF(OR($C306="W",$C306="1/2W",$C306="1/2L"),$P306-$O306,IF($C306="X",0,-$O306)),2),0)</f>
        <v>0</v>
      </c>
      <c r="AJ306" s="133">
        <f>IF($K306=AJ$3,ROUND(IF(OR($C306="W",$C306="1/2W",$C306="1/2L"),$P306-$O306,IF($C306="X",0,-$O306)),2),0)</f>
        <v>0</v>
      </c>
      <c r="AK306" s="133">
        <f>IF($K306=AK$3,ROUND(IF(OR($C306="W",$C306="1/2W",$C306="1/2L"),$P306-$O306,IF($C306="X",0,-$O306)),2),0)</f>
        <v>0</v>
      </c>
      <c r="AL306" s="133">
        <f>IF($K306=AL$3,ROUND(IF(OR($C306="W",$C306="1/2W",$C306="1/2L"),$P306-$O306,IF($C306="X",0,-$O306)),2),0)</f>
        <v>0</v>
      </c>
      <c r="AM306" s="133">
        <f>IF($K306=AM$3,ROUND(IF(OR($C306="W",$C306="1/2W",$C306="1/2L"),$P306-$O306,IF($C306="X",0,-$O306)),2),0)</f>
        <v>0</v>
      </c>
      <c r="AN306" s="133">
        <f>IF($K306=AN$3,ROUND(IF(OR($C306="W",$C306="1/2W",$C306="1/2L"),$P306-$O306,IF($C306="X",0,-$O306)),2),0)</f>
        <v>0</v>
      </c>
      <c r="AO306" s="133">
        <f>IF($K306=AO$3,ROUND(IF(OR($C306="W",$C306="1/2W",$C306="1/2L"),$P306-$O306,IF($C306="X",0,-$O306)),2),0)</f>
        <v>0</v>
      </c>
      <c r="AP306" s="133">
        <f>IF($K306=AP$3,ROUND(IF(OR($C306="W",$C306="1/2W",$C306="1/2L"),$P306-$O306,IF($C306="X",0,-$O306)),2),0)</f>
        <v>0</v>
      </c>
      <c r="AQ306" s="133">
        <f>IF($K306=AQ$3,ROUND(IF(OR($C306="W",$C306="1/2W",$C306="1/2L"),$P306-$O306,IF($C306="X",0,-$O306)),2),0)</f>
        <v>0</v>
      </c>
      <c r="AR306" s="134">
        <f>IF($K306=AR$3,ROUND(IF(OR($C306="W",$C306="1/2W",$C306="1/2L"),$P306-$O306,IF($C306="X",0,-$O306)),2),0)</f>
        <v>0</v>
      </c>
      <c r="AS306" s="132">
        <f>IF(AND($B304=" ",$K306=AS$3),$O306,0)</f>
        <v>0</v>
      </c>
      <c r="AT306" s="133">
        <f>IF(AND($B304=" ",K306=AT$3),$O306,0)</f>
        <v>0</v>
      </c>
      <c r="AU306" s="133">
        <f>IF(AND($B304=" ",$K306=AU$3),$O306,0)</f>
        <v>0</v>
      </c>
      <c r="AV306" s="133">
        <f>IF(AND($B304=" ",$K306=AV$3),$O306,0)</f>
        <v>0</v>
      </c>
      <c r="AW306" s="133">
        <f>IF(AND($B304=" ",$K306=AW$3),$O306,0)</f>
        <v>0</v>
      </c>
      <c r="AX306" s="133">
        <f>IF(AND($B304=" ",$K306=AX$3),$O306,0)</f>
        <v>0</v>
      </c>
      <c r="AY306" s="135">
        <f>IF(AND($B304=" ",$K306=AY$3),$O306,0)</f>
        <v>0</v>
      </c>
      <c r="AZ306" s="136">
        <f>IF(AND($B304=" ",$K306=AZ$3),$O306,0)</f>
        <v>0</v>
      </c>
      <c r="BA306" s="136">
        <f>IF(AND($B304=" ",$K306=BA$3),$O306,0)</f>
        <v>0</v>
      </c>
      <c r="BB306" s="136">
        <f>IF(AND($B304=" ",$K306=BB$3),$O306,0)</f>
        <v>0</v>
      </c>
      <c r="BC306" s="137">
        <f>IF(AND($B304=" ",$K306=BC$3),$O306,0)</f>
        <v>0</v>
      </c>
      <c r="BD306" s="133">
        <f>IF(AND($B304=" ",$K306=BD$3),$O306,0)</f>
        <v>0</v>
      </c>
      <c r="BE306" s="134">
        <f>IF(AND($B304=" ",$K306=BE$3),$O306,0)</f>
        <v>0</v>
      </c>
      <c r="BF306" s="132">
        <f>IF($K306=BF$3,IF($C306="X",0,$O306),0)</f>
        <v>0</v>
      </c>
      <c r="BG306" s="281">
        <f>IF($K306=BG$3,IF($C306="X",0,$O306),0)</f>
        <v>0</v>
      </c>
      <c r="BH306" s="133">
        <f>IF($K306=BH$3,IF($C306="X",0,$O306),0)</f>
        <v>0</v>
      </c>
      <c r="BI306" s="133">
        <f>IF($K306=BI$3,IF($C306="X",0,$O306),0)</f>
        <v>0</v>
      </c>
      <c r="BJ306" s="133">
        <f>IF($K306=BJ$3,IF($C306="X",0,$O306),0)</f>
        <v>0</v>
      </c>
      <c r="BK306" s="133">
        <f>IF($K306=BK$3,IF($C306="X",0,$O306),0)</f>
        <v>0</v>
      </c>
      <c r="BL306" s="133">
        <f>IF($K306=BL$3,IF($C306="X",0,$O306),0)</f>
        <v>0</v>
      </c>
      <c r="BM306" s="135">
        <f>IF($K306=BM$3,IF($C306="X",0,$O306),0)</f>
        <v>0</v>
      </c>
      <c r="BN306" s="136">
        <f>IF($K306=BN$3,IF($C306="X",0,$O306),0)</f>
        <v>0</v>
      </c>
      <c r="BO306" s="136">
        <f>IF($K306=BO$3,IF($C306="X",0,$O306),0)</f>
        <v>0</v>
      </c>
      <c r="BP306" s="136">
        <f>IF($K306=BP$3,IF($C306="X",0,$O306),0)</f>
        <v>0</v>
      </c>
      <c r="BQ306" s="137">
        <f>IF($K306=BQ$3,IF($C306="X",0,$O306),0)</f>
        <v>0</v>
      </c>
      <c r="BR306" s="134">
        <f>IF($K306=BR$3,IF($C306="X",0,$O306),0)</f>
        <v>0</v>
      </c>
      <c r="BS306" s="282"/>
      <c r="BT306" s="283"/>
      <c r="BU306" s="140"/>
      <c r="BV306" s="283"/>
      <c r="BW306" s="140"/>
      <c r="BX306" s="140"/>
      <c r="BY306" s="140"/>
      <c r="BZ306" s="283"/>
      <c r="CA306" s="140"/>
      <c r="CB306" s="140"/>
      <c r="CC306" s="140"/>
      <c r="CD306" s="141"/>
      <c r="CE306" s="142"/>
      <c r="CF306" s="284">
        <f>IF(CF$3=$K306,IF($C306="W",1,IF($C306="1/2W",0.5,0)),0)</f>
        <v>0</v>
      </c>
      <c r="CG306" s="285">
        <f>IF(CF$3=$K306,IF($C306="L",1,IF($C306="1/2L",0.5,0)),0)</f>
        <v>0</v>
      </c>
      <c r="CH306" s="285">
        <f>IF(CH$3=$K306,IF($C306="W",1,IF($C306="1/2W",0.5,0)),0)</f>
        <v>0</v>
      </c>
      <c r="CI306" s="285">
        <f>IF(CH$3=$K306,IF($C306="L",1,IF($C306="1/2L",0.5,0)),0)</f>
        <v>0</v>
      </c>
      <c r="CJ306" s="285">
        <f>IF(CJ$3=$K306,IF($C306="W",1,IF($C306="1/2W",0.5,0)),0)</f>
        <v>0</v>
      </c>
      <c r="CK306" s="285">
        <f>IF(CJ$3=$K306,IF($C306="L",1,IF($C306="1/2L",0.5,0)),0)</f>
        <v>0</v>
      </c>
      <c r="CL306" s="285">
        <f>IF(CL$3=$K306,IF($C306="W",1,IF($C306="1/2W",0.5,0)),0)</f>
        <v>0</v>
      </c>
      <c r="CM306" s="285">
        <f>IF(CL$3=$K306,IF($C306="L",1,IF($C306="1/2L",0.5,0)),0)</f>
        <v>0</v>
      </c>
      <c r="CN306" s="285">
        <f>IF(CN$3=$K306,IF($C306="W",1,IF($C306="1/2W",0.5,0)),0)</f>
        <v>0</v>
      </c>
      <c r="CO306" s="285">
        <f>IF(CN$3=$K306,IF($C306="L",1,IF($C306="1/2L",0.5,0)),0)</f>
        <v>0</v>
      </c>
      <c r="CP306" s="285">
        <f>IF(CP$3=$K306,IF($C306="W",1,IF($C306="1/2W",0.5,0)),0)</f>
        <v>0</v>
      </c>
      <c r="CQ306" s="285">
        <f>IF(CP$3=$K306,IF($C306="L",1,IF($C306="1/2L",0.5,0)),0)</f>
        <v>0</v>
      </c>
      <c r="CR306" s="285">
        <f>IF(CR$3=$K306,IF($C306="W",1,IF($C306="1/2W",0.5,0)),0)</f>
        <v>0</v>
      </c>
      <c r="CS306" s="285">
        <f>IF(CR$3=$K306,IF($C306="L",1,IF($C306="1/2L",0.5,0)),0)</f>
        <v>0</v>
      </c>
      <c r="CT306" s="145">
        <f>IF(CT$3=$K306,IF($C306="W",1,IF($C306="1/2W",0.5,0)),0)</f>
        <v>0</v>
      </c>
      <c r="CU306" s="146">
        <f>IF(CT$3=$K306,IF($C306="L",1,IF($C306="1/2L",0.5,0)),0)</f>
        <v>0</v>
      </c>
      <c r="CV306" s="146">
        <f>IF(CV$3=$K306,IF($C306="W",1,IF($C306="1/2W",0.5,0)),0)</f>
        <v>0</v>
      </c>
      <c r="CW306" s="146">
        <f>IF(CV$3=$K306,IF($C306="L",1,IF($C306="1/2L",0.5,0)),0)</f>
        <v>0</v>
      </c>
      <c r="CX306" s="146">
        <f>IF(CX$3=$K306,IF($C306="W",1,IF($C306="1/2W",0.5,0)),0)</f>
        <v>0</v>
      </c>
      <c r="CY306" s="146">
        <f>IF(CX$3=$K306,IF($C306="L",1,IF($C306="1/2L",0.5,0)),0)</f>
        <v>0</v>
      </c>
      <c r="CZ306" s="146">
        <f>IF(CZ$3=$K306,IF($C306="W",1,IF($C306="1/2W",0.5,0)),0)</f>
        <v>0</v>
      </c>
      <c r="DA306" s="146">
        <f>IF(CZ$3=$K306,IF($C306="L",1,IF($C306="1/2L",0.5,0)),0)</f>
        <v>0</v>
      </c>
      <c r="DB306" s="146">
        <f>IF(DB$3=$K306,IF($C306="W",1,IF($C306="1/2W",0.5,0)),0)</f>
        <v>0</v>
      </c>
      <c r="DC306" s="146">
        <f>IF(DB$3=$K306,IF($C306="L",1,IF($C306="1/2L",0.5,0)),0)</f>
        <v>0</v>
      </c>
      <c r="DD306" s="146">
        <f>IF(DD$3=$K306,IF($C306="W",1,IF($C306="1/2W",0.5,0)),0)</f>
        <v>0</v>
      </c>
      <c r="DE306" s="147">
        <f>IF(DD$3=$K306,IF($C306="L",1,IF($C306="1/2L",0.5,0)),0)</f>
        <v>0</v>
      </c>
      <c r="DF306" s="143">
        <f>IF(AND(L306&lt;DF$3,$C306="W"),1+DF305,DF305)</f>
        <v>12</v>
      </c>
      <c r="DG306" s="133">
        <f>IF(DF306&gt;DF305,L306+DG305,DG305)</f>
        <v>15.718</v>
      </c>
      <c r="DH306" s="146">
        <f>IF(AND(L306&gt;DH$3,$C306="W"),1+DH305,0+DH305)</f>
        <v>7</v>
      </c>
      <c r="DI306" s="133">
        <f>IF(DH306&gt;DH305,L306+DI305,DI305)</f>
        <v>34.83</v>
      </c>
      <c r="DJ306" t="s" s="304">
        <f>IF($D304="","",$D304)</f>
        <v>272</v>
      </c>
      <c r="DK306" s="286"/>
    </row>
    <row r="307" ht="14.55" customHeight="1">
      <c r="A307" s="171">
        <f>$A304+1</f>
        <v>102</v>
      </c>
      <c r="B307" t="s" s="172">
        <f>IF(AND(_xlfn.XLOOKUP(H307,H$103:H122,G$103:G122,0)=G307,_xlfn.XLOOKUP("TempoBet",K307:K309,L307:L309,0)&gt;0),"X",IF(OR(C307="W",C308="W",C309="W",C307="1/2W",C308="1/2W",C309="1/2W",C307="1/2L",C308="1/2L",C309="1/2L"),"OK",IF(OR(C307="L",C308="L",C309="L"),"LOSS",IF(OR(C307="X",C308="X",C309="X"),"Anulado"," "))))</f>
        <v>50</v>
      </c>
      <c r="C307" t="s" s="173">
        <v>56</v>
      </c>
      <c r="D307" t="s" s="305">
        <f>IF(G307="","",$D304)</f>
        <v>272</v>
      </c>
      <c r="E307" t="s" s="175">
        <f>IF(G307=""," ","– "&amp;COUNTIF(D$4:D309,$D307))</f>
        <v>63</v>
      </c>
      <c r="F307" t="s" s="176"/>
      <c r="G307" s="177">
        <v>44947.583333333336</v>
      </c>
      <c r="H307" t="s" s="178">
        <v>273</v>
      </c>
      <c r="I307" t="s" s="179">
        <v>65</v>
      </c>
      <c r="J307" s="291">
        <v>9</v>
      </c>
      <c r="K307" t="s" s="181">
        <v>44</v>
      </c>
      <c r="L307" s="182">
        <v>2.22</v>
      </c>
      <c r="M307" s="183"/>
      <c r="N307" s="184">
        <v>0</v>
      </c>
      <c r="O307" s="185">
        <f>IF(OR(AE307="",AE308=""),"",ROUND(IF(L309&gt;0,IF(M307&gt;0,M307,IF(M308&gt;0,ROUND((M308*AE307)/AE308,IF(N307=0,2,IF(N307=0.1,1,0))),ROUND((M309*AE307)/AE309,IF(N307=0,2,IF(N307=0.1,1,0))))),IF(M307&gt;0,M307,ROUND((M308*AE307)/AE308,IF(N307=0,2,IF(N307=0.1,1,0))))),2))</f>
        <v>16.41</v>
      </c>
      <c r="P307" s="186">
        <f>IF(OR(L307="",O307=""),"",IF($C307="1/2W",O307/2+O307/2*L307,IF($C307="1/2L",O307/2,IF(I307="Lay",(O307*(L307/(L307-1))-O307)*(1-_xlfn.XLOOKUP(K307,'Janeiro 2023 - Valor Real'!A3:A15,'Janeiro 2023 - Valor Real'!C3:C15,0))+O307,(O307*L307-O307)*(1-_xlfn.XLOOKUP(K307,'Janeiro 2023 - Valor Real'!A3:A15,'Janeiro 2023 - Valor Real'!C3:C15,0))+O307))))</f>
        <v>36.4302</v>
      </c>
      <c r="Q307" s="187">
        <f>IF(K307="","",IF(_xlfn.XLOOKUP(K307,K$103:K122,DJ$103:DJ122,0,,-1)=DJ307,_xlfn.XLOOKUP(K307,K$103:K122,Q$103:Q122,1,,-1)+1,1))</f>
        <v>1</v>
      </c>
      <c r="R307" s="188">
        <f>IF(K307="","",_xlfn.XLOOKUP(K307,K$103:K122,R$103:R122,0,,-1)+IF($C307=" ",1,0))</f>
        <v>0</v>
      </c>
      <c r="S307" s="189">
        <f>IF($B307="Anulado",0,ROUND(IF(OR($B307="LOSS",$B307="OK"),IF(OR($C307="W",$C307="1/2W",$C307="1/2L"),P307-O307,IF($C307="L",-O307,0))+IF(OR($C308="W",$C308="1/2W",$C308="1/2L"),P308-O308,IF($C308="L",-O308,0))+IF(OR($C309="W",$C309="1/2W",$C309="1/2L"),P309-O309,IF($C309="L",-O309,0)),IF(AND(OR($C307="W",$C307="1/2W",$C307="1/2L"),C308="W"),P307+P308-SUM(O307:O309)+_xlfn.XLOOKUP("X",C307:C309,O307:O309,0),IF(AND(C307=TRUE,C309="W"),P307+P309-SUM(O307:O309),IF(AND(C308="W",C309="W"),P308+P309-SUM(O307:O309)+_xlfn.XLOOKUP("X",C307:C309,O307:O309,0),IF(L309&gt;0,IF(OR($C307="W",$C307="1/2W",$C307="1/2L"),P307-SUM(O307:O309)+_xlfn.XLOOKUP("X",C307:C309,O307:O309,0),IF(OR($C307="W",$C307="1/2W",$C307="1/2L"),P308-SUM(O307:O309)+_xlfn.XLOOKUP("X",C307:C309,O307:O309,0),IF(OR($C307="W",$C307="1/2W",$C307="1/2L"),P309-SUM(O307:O309)+_xlfn.XLOOKUP("X",C307:C309,O307:O309,0),IF(SUM(P307:P309)/3-SUM(O307:O309)+_xlfn.XLOOKUP("X",C307:C309,O307:O309,0)&gt;0,SUM(P307:P309)/3-SUM(O307:O309)+_xlfn.XLOOKUP("X",C307:C309,O307:O309,0),LARGE(P307:P309,1)-SUM(O307:O309))))),IF(OR($C307="W",$C307="1/2W",$C307="1/2L"),P307-SUM(O307:O308)+_xlfn.XLOOKUP("X",C307:C309,O307:O309,0),IF(OR($C307="W",$C307="1/2W",$C307="1/2L"),P308-SUM(O307:O308)+_xlfn.XLOOKUP("X",C307:C309,O307:O309,0),SUM(P307:P308)/2-SUM(O307:O308)+_xlfn.XLOOKUP("X",C307:C309,O307:O309,0)))))))),2))</f>
        <v>1.1</v>
      </c>
      <c r="T307" s="190">
        <f>IF(S307=0,0,S307/SUM(O307:O309))</f>
        <v>0.0311350127370507</v>
      </c>
      <c r="U307" s="191">
        <f>IF($D307=$D304,IF(OR($B307="LOSS",$B307="OK",$B307="Anulada"),S307,0)+U304,IF(OR($B307="LOSS",$B307="OK",$B307="Anulada"),S307,0))</f>
        <v>2.73</v>
      </c>
      <c r="V307" s="191">
        <f>IF($D307="",0,IF($D307=$D304,IF($B307=" ",IF(I309="",IF(OR(AND(I307="DNB1",I308="DNB2"),AND(OR(I307="DNB1",I307="DNB2"),J308=0),AND(OR(I308="DNB1",I308="DNB2"),J307=0),AND(I307="DNB2",I308="DNB1"),AND(IF(J307=0,(J307+1)/ROUND(J307+1,0),J307/ROUND(J307,0))=1,IF(J308=0,(J308+1)/ROUND(IF(J308="",0,J308)+1,0),IF(J308="",0,J308)/ROUND(IF(J308="",1,J308),0))=1,OR(J307&lt;&gt;""),J308&lt;&gt;"")),0,IF(S307&lt;0,IF(I309="",SMALL(P307:P308,1)-SUM(O307:O308),0),SMALL(P307:P308,1)-SUM(O307:O308))),IF(S307&lt;0,IF(I309="",SMALL(P307:P309,1)-SUM(O307:O309),0),LARGE(P307:P309,1)-SUM(O307:O309))),S307)+V304,IF(I309="",IF(OR(AND(I307="DNB1",I308="DNB2"),AND(OR(I307="DNB1",I307="DNB2"),J308=0),AND(OR(I308="DNB1",I308="DNB2"),J307=0),AND(I307="DNB2",I308="DNB1"),AND(IF(J307=0,(J307+1)/ROUND(J307+1,0),J307/ROUND(J307,0))=1,IF(J308=0,(IF(J308="",0,J308)+1)/ROUND(IF(J308="",0,J308)+1,0),IF(J308="",0,J308)/ROUND(IF(J308="",0,J308)+1,0))=1,OR(J307&lt;&gt;""),J308&lt;&gt;"")),0,IF(S307&lt;0,IF(I309="",SMALL(P307:P308,1)-SUM(O307:O308),0),SMALL(P307:P309,1)-SUM(O307:O309))),IF(S307&lt;0,IF(I309="",SMALL(P307:P309,1)-SUM(O307:O309),0),LARGE(P307:P309,1)-SUM(O307:O309)))))</f>
        <v>2.695</v>
      </c>
      <c r="W307" s="191">
        <f>IF($D307=$D304,IF(S307&lt;0,IF(I309="",S307,0),S307)+W304,S307)</f>
        <v>2.73</v>
      </c>
      <c r="X307" t="s" s="192">
        <f>IF(OR(SUM(R307:R309)=0,V307=W307),ROUND(IF(W307=0,0,W307/Y307)*100,2)&amp;"%",ROUND(IF(V307=0,0,V307/Y307)*100,2)&amp;"% a "&amp;ROUND(IF(W307=0,0,W307/Y307)*100,2)&amp;"%")</f>
        <v>213</v>
      </c>
      <c r="Y307" s="193">
        <f>IF($D307=$D304,Y304+SUM(O307:O309),SUM(O307:O309))</f>
        <v>80.39</v>
      </c>
      <c r="Z307" s="191">
        <f>IF($B307=" ",SUM(O307:O309),0)+Z304</f>
        <v>0</v>
      </c>
      <c r="AA307" s="191">
        <f>IF(G307="","",IF($B307="Anulado",LARGE(P307:P309,1)-SUM(O307:O309)+AA304,AA304))</f>
        <v>16.5099</v>
      </c>
      <c r="AB307" s="191">
        <f>IF($D307="","",AB304+S307)</f>
        <v>306.1</v>
      </c>
      <c r="AC307" s="194">
        <f>IF($D307="","",IF($B307=" ",IF(DAY(G307)=DAY(TODAY()),1+AC304,0+AC304),0+AC304))</f>
        <v>0</v>
      </c>
      <c r="AD307" s="195">
        <f>(((L308/(L308-1)-1)*(1-_xlfn.XLOOKUP(K308,'Janeiro 2023 - Valor Real'!A3:A15,'Janeiro 2023 - Valor Real'!C3:C15,0))+1))/(((L307-1)*(1-_xlfn.XLOOKUP(K307,'Janeiro 2023 - Valor Real'!A3:A15,'Janeiro 2023 - Valor Real'!C3:C15,0))+1)+((L308/(L308-1)-1)*(1-_xlfn.XLOOKUP(K308,'Janeiro 2023 - Valor Real'!A3:A15,'Janeiro 2023 - Valor Real'!C3:C15,0))+1))</f>
        <v>0.483850697499057</v>
      </c>
      <c r="AE307" s="196">
        <f>IF(L307="","",IF(L309&gt;0,(SUM(((L307-1)*(1-_xlfn.XLOOKUP(K307,'Janeiro 2023 - Valor Real'!A3:A15,'Janeiro 2023 - Valor Real'!C3:C15,0))+1),((L308-1)*(1-_xlfn.XLOOKUP(K308,'Janeiro 2023 - Valor Real'!A3:A15,'Janeiro 2023 - Valor Real'!C3:C15,0))+1),((L309-1)*(1-_xlfn.XLOOKUP(K309,'Janeiro 2023 - Valor Real'!A3:A15,'Janeiro 2023 - Valor Real'!C3:C15,0))+1))/((L307-1)*(1-_xlfn.XLOOKUP(K307,'Janeiro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Real'!C3:C15,0))+1))/((L307-1)*(1-_xlfn.XLOOKUP(K307,'Janeiro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Real'!C3:C15,0))+1))/((L308-1)*(1-_xlfn.XLOOKUP(K308,'Janeiro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Real'!C3:C15,0))+1))/((L309-1)*(1-_xlfn.XLOOKUP(K309,'Janeiro 2023 - Valor Real'!A3:A15,'Janeiro 2023 - Valor Real'!C3:C15,0))+1)),IF(I307="Lay",IF(I308="Lay",((L308/(L308-1)-1)*(1-_xlfn.XLOOKUP(K308,'Janeiro 2023 - Valor Real'!A3:A15,'Janeiro 2023 - Valor Real'!C3:C15,0))+1)/(((L308/(L308-1)-1)*(1-_xlfn.XLOOKUP(K308,'Janeiro 2023 - Valor Real'!A3:A15,'Janeiro 2023 - Valor Real'!C3:C15,0))+1)+((L307/(L307-1)-1)*(1-_xlfn.XLOOKUP(K307,'Janeiro 2023 - Valor Real'!A3:A15,'Janeiro 2023 - Valor Real'!C3:C15,0))+1)),((L308-1)*(1-_xlfn.XLOOKUP(K308,'Janeiro 2023 - Valor Real'!A3:A15,'Janeiro 2023 - Valor Real'!C3:C15,0))+1)/(((L308-1)*(1-_xlfn.XLOOKUP(K308,'Janeiro 2023 - Valor Real'!A3:A15,'Janeiro 2023 - Valor Real'!C3:C15,0))+1)+((L307/(L307-1)-1)*(1-_xlfn.XLOOKUP(K307,'Janeiro 2023 - Valor Real'!A3:A15,'Janeiro 2023 - Valor Real'!C3:C15,0))+1))),IF(I308="Lay",(((L308/(L308-1)-1)*(1-_xlfn.XLOOKUP(K308,'Janeiro 2023 - Valor Real'!A3:A15,'Janeiro 2023 - Valor Real'!C3:C15,0))+1))/(((L307-1)*(1-_xlfn.XLOOKUP(K307,'Janeiro 2023 - Valor Real'!A3:A15,'Janeiro 2023 - Valor Real'!C3:C15,0))+1)+((L308/(L308-1)-1)*(1-_xlfn.XLOOKUP(K308,'Janeiro 2023 - Valor Real'!A3:A15,'Janeiro 2023 - Valor Real'!C3:C15,0))+1)),((L308-1)*(1-_xlfn.XLOOKUP(K308,'Janeiro 2023 - Valor Real'!A3:A15,'Janeiro 2023 - Valor Real'!C3:C15,0))+1)/(((L308-1)*(1-_xlfn.XLOOKUP(K308,'Janeiro 2023 - Valor Real'!A3:A15,'Janeiro 2023 - Valor Real'!C3:C15,0))+1)+((L307-1)*(1-_xlfn.XLOOKUP(K307,'Janeiro 2023 - Valor Real'!A3:A15,'Janeiro 2023 - Valor Real'!C3:C15,0))+1))))))</f>
        <v>0.464414957780458</v>
      </c>
      <c r="AF307" s="197">
        <f>IF($K307=AF$3,ROUND(IF(OR($C307="W",$C307="1/2W",$C307="1/2L"),$P307-$O307,IF($C307="X",0,-$O307)),2),0)</f>
        <v>0</v>
      </c>
      <c r="AG307" s="198">
        <f>IF($K307=AG$3,ROUND(IF(OR($C307="W",$C307="1/2W",$C307="1/2L"),$P307-$O307,IF($C307="X",0,-$O307)),2),0)</f>
        <v>0</v>
      </c>
      <c r="AH307" s="198">
        <f>IF($K307=AH$3,ROUND(IF(OR($C307="W",$C307="1/2W",$C307="1/2L"),$P307-$O307,IF($C307="X",0,-$O307)),2),0)</f>
        <v>0</v>
      </c>
      <c r="AI307" s="198">
        <f>IF($K307=AI$3,ROUND(IF(OR($C307="W",$C307="1/2W",$C307="1/2L"),$P307-$O307,IF($C307="X",0,-$O307)),2),0)</f>
        <v>0</v>
      </c>
      <c r="AJ307" s="198">
        <f>IF($K307=AJ$3,ROUND(IF(OR($C307="W",$C307="1/2W",$C307="1/2L"),$P307-$O307,IF($C307="X",0,-$O307)),2),0)</f>
        <v>0</v>
      </c>
      <c r="AK307" s="198">
        <f>IF($K307=AK$3,ROUND(IF(OR($C307="W",$C307="1/2W",$C307="1/2L"),$P307-$O307,IF($C307="X",0,-$O307)),2),0)</f>
        <v>0</v>
      </c>
      <c r="AL307" s="198">
        <f>IF($K307=AL$3,ROUND(IF(OR($C307="W",$C307="1/2W",$C307="1/2L"),$P307-$O307,IF($C307="X",0,-$O307)),2),0)</f>
        <v>0</v>
      </c>
      <c r="AM307" s="198">
        <f>IF($K307=AM$3,ROUND(IF(OR($C307="W",$C307="1/2W",$C307="1/2L"),$P307-$O307,IF($C307="X",0,-$O307)),2),0)</f>
        <v>20.02</v>
      </c>
      <c r="AN307" s="198">
        <f>IF($K307=AN$3,ROUND(IF(OR($C307="W",$C307="1/2W",$C307="1/2L"),$P307-$O307,IF($C307="X",0,-$O307)),2),0)</f>
        <v>0</v>
      </c>
      <c r="AO307" s="198">
        <f>IF($K307=AO$3,ROUND(IF(OR($C307="W",$C307="1/2W",$C307="1/2L"),$P307-$O307,IF($C307="X",0,-$O307)),2),0)</f>
        <v>0</v>
      </c>
      <c r="AP307" s="198">
        <f>IF($K307=AP$3,ROUND(IF(OR($C307="W",$C307="1/2W",$C307="1/2L"),$P307-$O307,IF($C307="X",0,-$O307)),2),0)</f>
        <v>0</v>
      </c>
      <c r="AQ307" s="198">
        <f>IF($K307=AQ$3,ROUND(IF(OR($C307="W",$C307="1/2W",$C307="1/2L"),$P307-$O307,IF($C307="X",0,-$O307)),2),0)</f>
        <v>0</v>
      </c>
      <c r="AR307" s="199">
        <f>IF($K307=AR$3,ROUND(IF(OR($C307="W",$C307="1/2W",$C307="1/2L"),$P307-$O307,IF($C307="X",0,-$O307)),2),0)</f>
        <v>0</v>
      </c>
      <c r="AS307" s="197">
        <f>IF(AND($B307=" ",$K307=AS$3),$O307,0)</f>
        <v>0</v>
      </c>
      <c r="AT307" s="198">
        <f>IF(AND($B307=" ",$K307=AT$3),$O307,0)</f>
        <v>0</v>
      </c>
      <c r="AU307" s="198">
        <f>IF(AND($B307=" ",$K307=AU$3),$O307,0)</f>
        <v>0</v>
      </c>
      <c r="AV307" s="198">
        <f>IF(AND($B307=" ",$K307=AV$3),$O307,0)</f>
        <v>0</v>
      </c>
      <c r="AW307" s="198">
        <f>IF(AND($B307=" ",$K307=AW$3),$O307,0)</f>
        <v>0</v>
      </c>
      <c r="AX307" s="198">
        <f>IF(AND($B307=" ",$K307=AX$3),$O307,0)</f>
        <v>0</v>
      </c>
      <c r="AY307" s="200">
        <f>IF(AND($B307=" ",$K307=AY$3),$O307,0)</f>
        <v>0</v>
      </c>
      <c r="AZ307" s="201">
        <f>IF(AND($B307=" ",$K307=AZ$3),$O307,0)</f>
        <v>0</v>
      </c>
      <c r="BA307" s="201">
        <f>IF(AND($B307=" ",$K307=BA$3),$O307,0)</f>
        <v>0</v>
      </c>
      <c r="BB307" s="201">
        <f>IF(AND($B307=" ",$K307=BB$3),$O307,0)</f>
        <v>0</v>
      </c>
      <c r="BC307" s="202">
        <f>IF(AND($B307=" ",$K307=BC$3),$O307,0)</f>
        <v>0</v>
      </c>
      <c r="BD307" s="198">
        <f>IF(AND($B307=" ",$K307=BD$3),$O307,0)</f>
        <v>0</v>
      </c>
      <c r="BE307" s="199">
        <f>IF(AND($B307=" ",$K307=BE$3),$O307,0)</f>
        <v>0</v>
      </c>
      <c r="BF307" s="203">
        <f>IF($K307=BF$3,IF($C307="X",0,$O307),0)</f>
        <v>0</v>
      </c>
      <c r="BG307" s="198">
        <f>IF($K307=BG$3,IF($C307="X",0,$O307),0)</f>
        <v>0</v>
      </c>
      <c r="BH307" s="198">
        <f>IF($K307=BH$3,IF($C307="X",0,$O307),0)</f>
        <v>0</v>
      </c>
      <c r="BI307" s="198">
        <f>IF($K307=BI$3,IF($C307="X",0,$O307),0)</f>
        <v>0</v>
      </c>
      <c r="BJ307" s="198">
        <f>IF($K307=BJ$3,IF($C307="X",0,$O307),0)</f>
        <v>0</v>
      </c>
      <c r="BK307" s="198">
        <f>IF($K307=BK$3,IF($C307="X",0,$O307),0)</f>
        <v>0</v>
      </c>
      <c r="BL307" s="198">
        <f>IF($K307=BL$3,IF($C307="X",0,$O307),0)</f>
        <v>0</v>
      </c>
      <c r="BM307" s="200">
        <f>IF($K307=BM$3,IF($C307="X",0,$O307),0)</f>
        <v>16.41</v>
      </c>
      <c r="BN307" s="201">
        <f>IF($K307=BN$3,IF($C307="X",0,$O307),0)</f>
        <v>0</v>
      </c>
      <c r="BO307" s="201">
        <f>IF($K307=BO$3,IF($C307="X",0,$O307),0)</f>
        <v>0</v>
      </c>
      <c r="BP307" s="201">
        <f>IF($K307=BP$3,IF($C307="X",0,$O307),0)</f>
        <v>0</v>
      </c>
      <c r="BQ307" s="202">
        <f>IF($K307=BQ$3,IF($C307="X",0,$O307),0)</f>
        <v>0</v>
      </c>
      <c r="BR307" s="199">
        <f>IF($K307=BR$3,IF($C307="X",0,$O307),0)</f>
        <v>0</v>
      </c>
      <c r="BS307" s="204">
        <f>IF($B307="LOSS",IF(AND($K307=BS$3,$C307="L"),-$O307,0)+IF(AND($K308=BS$3,$C308="L"),-$O308,0)+IF(AND($K309=BS$3,$C309="L"),-$O309,0),IF(OR(AND($K307=BS$3,OR($C307="W",$C307="1/2W")),AND($K308=BS$3,OR($C308="W",$C308="1/2W")),AND($K309=BS$3,OR($C309="W",$C309="1/2W"))),$S307,0))</f>
        <v>0</v>
      </c>
      <c r="BT307" s="201">
        <f>IF($B307="LOSS",IF(AND($K307=BT$3,$C307="L"),-$O307,0)+IF(AND($K308=BT$3,$C308="L"),-$O308,0)+IF(AND($K308=BT$3,$C309="L"),-$O309,0),IF(OR(AND($K308=BT$3,OR($C307="W",$C307="1/2W")),AND($K308=BT$3,OR($C308="W",$C308="1/2W")),AND($K308=BT$3,OR($C309="W",$C309="1/2W"))),$S307,0))</f>
        <v>0</v>
      </c>
      <c r="BU307" s="201">
        <f>IF($B307="LOSS",IF(AND($K307=BU$3,$C307="L"),-$O307,0)+IF(AND($K308=BU$3,$C308="L"),-$O308,0)+IF(AND($K308=BU$3,$C309="L"),-$O309,0),IF(OR(AND($K308=BU$3,OR($C307="W",$C307="1/2W")),AND($K308=BU$3,OR($C308="W",$C308="1/2W")),AND($K308=BU$3,OR($C309="W",$C309="1/2W"))),$S307,0))</f>
        <v>0</v>
      </c>
      <c r="BV307" s="201">
        <f>IF($B307="LOSS",IF(AND($K307=BV$3,$C307="L"),-$O307,0)+IF(AND($K308=BV$3,$C308="L"),-$O308,0)+IF(AND($K309=BV$3,$C309="L"),-$O309,0),IF(OR(AND($K307=BV$3,OR($C307="W",$C307="1/2W")),AND($K308=BV$3,OR($C308="W",$C308="1/2W")),AND($K309=BV$3,OR($C309="W",$C309="1/2W"))),$S307,0))</f>
        <v>0</v>
      </c>
      <c r="BW307" s="201">
        <f>IF($B307="LOSS",IF(AND($K307=BW$3,$C307="L"),-$O307,0)+IF(AND($K308=BW$3,$C308="L"),-$O308,0)+IF(AND($K309=BW$3,$C309="L"),-$O309,0),IF(OR(AND($K307=BW$3,OR($C307="W",$C307="1/2W")),AND($K308=BW$3,OR($C308="W",$C308="1/2W")),AND($K309=BW$3,OR($C309="W",$C309="1/2W"))),$S307,0))</f>
        <v>0</v>
      </c>
      <c r="BX307" s="201">
        <f>IF($B307="LOSS",IF(AND($K307=BX$3,$C307="L"),-$O307,0)+IF(AND($K308=BX$3,$C308="L"),-$O308,0)+IF(AND($K309=BX$3,$C309="L"),-$O309,0),IF(OR(AND($K307=BX$3,OR($C307="W",$C307="1/2W")),AND($K308=BX$3,OR($C308="W",$C308="1/2W")),AND($K309=BX$3,OR($C309="W",$C309="1/2W"))),$S307,0))</f>
        <v>0</v>
      </c>
      <c r="BY307" s="201">
        <f>IF($B307="LOSS",IF(AND($K307=BY$3,$C307="L"),-$O307,0)+IF(AND($K308=BY$3,$C308="L"),-$O308,0)+IF(AND($K309=BY$3,$C309="L"),-$O309,0),IF(OR(AND($K307=BY$3,OR($C307="W",$C307="1/2W")),AND($K308=BY$3,OR($C308="W",$C308="1/2W")),AND($K309=BY$3,OR($C309="W",$C309="1/2W"))),$S307,0))</f>
        <v>0</v>
      </c>
      <c r="BZ307" s="205">
        <f>IF($B307="LOSS",IF(AND($K307=BZ$3,$C307="L"),-$O307,0)+IF(AND($K308=BZ$3,$C308="L"),-$O308,0)+IF(AND($K309=BZ$3,$C309="L"),-$O309,0),IF(OR(AND($K307=BZ$3,OR($C307="W",$C307="1/2W")),AND($K308=BZ$3,OR($C308="W",$C308="1/2W")),AND($K309=BZ$3,OR($C309="W",$C309="1/2W"))),$S307,0))</f>
        <v>1.1</v>
      </c>
      <c r="CA307" s="205">
        <f>IF($B307="LOSS",IF(AND($K307=CA$3,$C307="L"),-$O307,0)+IF(AND($K308=CA$3,$C308="L"),-$O308,0)+IF(AND($K309=CA$3,$C309="L"),-$O309,0),IF(OR(AND($K307=CA$3,OR($C307="W",$C307="1/2W")),AND($K308=CA$3,OR($C308="W",$C308="1/2W")),AND($K309=CA$3,OR($C309="W",$C309="1/2W"))),$S307,0))</f>
        <v>0</v>
      </c>
      <c r="CB307" s="205">
        <f>IF($B307="LOSS",IF(AND($K307=CB$3,$C307="L"),-$O307,0)+IF(AND($K308=CB$3,$C308="L"),-$O308,0)+IF(AND($K309=CB$3,$C309="L"),-$O309,0),IF(OR(AND($K307=CB$3,OR($C307="W",$C307="1/2W")),AND($K308=CB$3,OR($C308="W",$C308="1/2W")),AND($K309=CB$3,OR($C309="W",$C309="1/2W"))),$S307,0))</f>
        <v>0</v>
      </c>
      <c r="CC307" s="205">
        <f>IF($B307="LOSS",IF(AND($K307=CC$3,$C307="L"),-$O307,0)+IF(AND($K308=CC$3,$C308="L"),-$O308,0)+IF(AND($K309=CC$3,$C309="L"),-$O309,0),IF(OR(AND($K307=CC$3,OR($C307="W",$C307="1/2W")),AND($K308=CC$3,OR($C308="W",$C308="1/2W")),AND($K309=CC$3,OR($C309="W",$C309="1/2W"))),$S307,0))</f>
        <v>0</v>
      </c>
      <c r="CD307" s="202">
        <f>IF($B307="LOSS",IF(AND($K307=CD$3,$C307="L"),-$O307,0)+IF(AND($K308=CD$3,$C308="L"),-$O308,0)+IF(AND($K309=CD$3,$C309="L"),-$O309,0),IF(OR(AND($K307=CD$3,OR($C307="W",$C307="1/2W")),AND($K308=CD$3,OR($C308="W",$C308="1/2W")),AND($K309=CD$3,OR($C309="W",$C309="1/2W"))),$S307,0))</f>
        <v>0</v>
      </c>
      <c r="CE307" s="199">
        <f>IF($B307="LOSS",IF(AND($K307=CE$3,$C307="L"),-$O307,0)+IF(AND($K308=CE$3,$C308="L"),-$O308,0)+IF(AND($K309=CE$3,$C309="L"),-$O309,0),IF(OR(AND($K307=CE$3,OR($C307="W",$C307="1/2W")),AND($K308=CE$3,OR($C308="W",$C308="1/2W")),AND($K309=CE$3,OR($C309="W",$C309="1/2W"))),$S307,0))</f>
        <v>0</v>
      </c>
      <c r="CF307" s="206">
        <f>IF(CF$3=$K307,IF($C307="W",1,IF($C307="1/2W",0.5,0)),0)</f>
        <v>0</v>
      </c>
      <c r="CG307" s="207">
        <f>IF(CF$3=$K307,IF($C307="L",1,IF($C307="1/2L",0.5,0)),0)</f>
        <v>0</v>
      </c>
      <c r="CH307" s="207">
        <f>IF(CH$3=$K307,IF($C307="W",1,IF($C307="1/2W",0.5,0)),0)</f>
        <v>0</v>
      </c>
      <c r="CI307" s="207">
        <f>IF(CH$3=$K307,IF($C307="L",1,IF($C307="1/2L",0.5,0)),0)</f>
        <v>0</v>
      </c>
      <c r="CJ307" s="207">
        <f>IF(CJ$3=$K307,IF($C307="W",1,IF($C307="1/2W",0.5,0)),0)</f>
        <v>0</v>
      </c>
      <c r="CK307" s="207">
        <f>IF(CJ$3=$K307,IF($C307="L",1,IF($C307="1/2L",0.5,0)),0)</f>
        <v>0</v>
      </c>
      <c r="CL307" s="207">
        <f>IF(CL$3=$K307,IF($C307="W",1,IF($C307="1/2W",0.5,0)),0)</f>
        <v>0</v>
      </c>
      <c r="CM307" s="207">
        <f>IF(CL$3=$K307,IF($C307="L",1,IF($C307="1/2L",0.5,0)),0)</f>
        <v>0</v>
      </c>
      <c r="CN307" s="207">
        <f>IF(CN$3=$K307,IF($C307="W",1,IF($C307="1/2W",0.5,0)),0)</f>
        <v>0</v>
      </c>
      <c r="CO307" s="207">
        <f>IF(CN$3=$K307,IF($C307="L",1,IF($C307="1/2L",0.5,0)),0)</f>
        <v>0</v>
      </c>
      <c r="CP307" s="207">
        <f>IF(CP$3=$K307,IF($C307="W",1,IF($C307="1/2W",0.5,0)),0)</f>
        <v>0</v>
      </c>
      <c r="CQ307" s="207">
        <f>IF(CP$3=$K307,IF($C307="L",1,IF($C307="1/2L",0.5,0)),0)</f>
        <v>0</v>
      </c>
      <c r="CR307" s="207">
        <f>IF(CR$3=$K307,IF($C307="W",1,IF($C307="1/2W",0.5,0)),0)</f>
        <v>0</v>
      </c>
      <c r="CS307" s="207">
        <f>IF(CR$3=$K307,IF($C307="L",1,IF($C307="1/2L",0.5,0)),0)</f>
        <v>0</v>
      </c>
      <c r="CT307" s="208">
        <f>IF(CT$3=$K307,IF($C307="W",1,IF($C307="1/2W",0.5,0)),0)</f>
        <v>1</v>
      </c>
      <c r="CU307" s="209">
        <f>IF(CT$3=$K307,IF($C307="L",1,IF($C307="1/2L",0.5,0)),0)</f>
        <v>0</v>
      </c>
      <c r="CV307" s="209">
        <f>IF(CV$3=$K307,IF($C307="W",1,IF($C307="1/2W",0.5,0)),0)</f>
        <v>0</v>
      </c>
      <c r="CW307" s="209">
        <f>IF(CV$3=$K307,IF($C307="L",1,IF($C307="1/2L",0.5,0)),0)</f>
        <v>0</v>
      </c>
      <c r="CX307" s="209">
        <f>IF(CX$3=$K307,IF($C307="W",1,IF($C307="1/2W",0.5,0)),0)</f>
        <v>0</v>
      </c>
      <c r="CY307" s="209">
        <f>IF(CX$3=$K307,IF($C307="L",1,IF($C307="1/2L",0.5,0)),0)</f>
        <v>0</v>
      </c>
      <c r="CZ307" s="209">
        <f>IF(CZ$3=$K307,IF($C307="W",1,IF($C307="1/2W",0.5,0)),0)</f>
        <v>0</v>
      </c>
      <c r="DA307" s="209">
        <f>IF(CZ$3=$K307,IF($C307="L",1,IF($C307="1/2L",0.5,0)),0)</f>
        <v>0</v>
      </c>
      <c r="DB307" s="209">
        <f>IF(DB$3=$K307,IF($C307="W",1,IF($C307="1/2W",0.5,0)),0)</f>
        <v>0</v>
      </c>
      <c r="DC307" s="209">
        <f>IF(DB$3=$K307,IF($C307="L",1,IF($C307="1/2L",0.5,0)),0)</f>
        <v>0</v>
      </c>
      <c r="DD307" s="209">
        <f>IF(DD$3=$K307,IF($C307="W",1,IF($C307="1/2W",0.5,0)),0)</f>
        <v>0</v>
      </c>
      <c r="DE307" s="210">
        <f>IF(DD$3=$K307,IF($C307="L",1,IF($C307="1/2L",0.5,0)),0)</f>
        <v>0</v>
      </c>
      <c r="DF307" s="211">
        <f>IF(AND(L307&lt;DF$3,$C307="W"),1+DF306,DF306)</f>
        <v>12</v>
      </c>
      <c r="DG307" s="198">
        <f>IF(DF307&gt;DF306,L307+DG306,DG306)</f>
        <v>15.718</v>
      </c>
      <c r="DH307" s="209">
        <f>IF(AND(L307&gt;DH$3,$C307="W"),1+DH306,0+DH306)</f>
        <v>7</v>
      </c>
      <c r="DI307" s="198">
        <f>IF(DH307&gt;DH306,L307+DI306,DI306)</f>
        <v>34.83</v>
      </c>
      <c r="DJ307" t="s" s="306">
        <f>IF($D307="","",$D307)</f>
        <v>272</v>
      </c>
      <c r="DK307" s="209">
        <f>IF(AND($B307=" ",$D307&lt;&gt;""),1,0)</f>
        <v>0</v>
      </c>
    </row>
    <row r="308" ht="14.55" customHeight="1">
      <c r="A308" s="107"/>
      <c r="B308" s="108"/>
      <c r="C308" t="s" s="213">
        <v>51</v>
      </c>
      <c r="D308" s="110"/>
      <c r="E308" s="111"/>
      <c r="F308" s="113"/>
      <c r="G308" s="214"/>
      <c r="H308" s="114"/>
      <c r="I308" t="s" s="215">
        <v>67</v>
      </c>
      <c r="J308" s="296">
        <f>IF(OR(I307="TO",I307="TU",I307="TO1",I307="TU1",I307="TO2",I307="TU2"),J307,IF(OR(I307="AH1",I307="AH2"),IF(OR(I308="AH1",I308="AH2"),-J307,IF(OR(I308="EH1",I308="EH2"),-J307+0.5,"")),IF(OR(I307="EH1",I307="EH2"),IF(OR(I308="AH1",I308="AH2"),-J307+0.5,IF(OR(I308="EH1",I308="EH2"),-J307+1,"")),IF(AND(OR(I307="DNB1",I307="DNB2"),OR(I308="AH1",I308="AH2")),0,IF(AND(I307="Not ScoreBoth",OR(I308="TO1",I308="TO2")),0.5,"")))))</f>
        <v>9</v>
      </c>
      <c r="K308" t="s" s="217">
        <v>37</v>
      </c>
      <c r="L308" s="218">
        <v>1.925</v>
      </c>
      <c r="M308" s="219">
        <v>18.92</v>
      </c>
      <c r="N308" s="120"/>
      <c r="O308" s="220">
        <f>IF(OR(AE307="",AE308=""),"",ROUND(IF(L309&gt;0,IF(M308&gt;0,M308,IF(M307&gt;0,IF(N307=TRUE,ROUND((M307*AE308)/AE307,0),(M307*AE308)/AE307),IF(M308&gt;0,ROUND(M308,IF(N307=0,2,IF(N307=0.1,1,0))),IF(M309&gt;0,ROUND(O309*AE308/AE309,IF(N307=0,2,IF(N307=0.1,1,0))),0)))),IF(M308&gt;0,M308,ROUND((M307*AE308)/AE307,IF(N307=0,2,IF(N307=0.1,1,0))))),2))</f>
        <v>18.92</v>
      </c>
      <c r="P308" s="221">
        <f>IF(OR(L308="",O308=""),"",IF($C308="1/2W",O308/2+O308/2*L308,IF($C308="1/2L",O308/2,IF(I308="Lay",((O308*(L308/(L308-1)))-O308)*(1-_xlfn.XLOOKUP(K308,'Janeiro 2023 - Valor Real'!A3:A15,'Janeiro 2023 - Valor Real'!C3:C15,0))+O308,(O308*L308-O308)*(1-_xlfn.XLOOKUP(K308,'Janeiro 2023 - Valor Real'!A3:A15,'Janeiro 2023 - Valor Real'!C3:C15,0))+O308))))</f>
        <v>36.421</v>
      </c>
      <c r="Q308" s="222">
        <f>IF(K308="","",IF(_xlfn.XLOOKUP(K308,K$104:K123,DJ$104:DJ123,0,,-1)=DJ308,_xlfn.XLOOKUP(K308,K$104:K123,Q$104:Q123,1,,-1)+1,1))</f>
        <v>1</v>
      </c>
      <c r="R308" s="223">
        <f>IF(K308="","",_xlfn.XLOOKUP(K308,K$104:K123,R$104:R123,0,,-1)+IF($C308=" ",1,0))</f>
        <v>0</v>
      </c>
      <c r="S308" s="125"/>
      <c r="T308" s="126"/>
      <c r="U308" s="126"/>
      <c r="V308" s="224"/>
      <c r="W308" s="126"/>
      <c r="X308" s="127"/>
      <c r="Y308" s="128"/>
      <c r="Z308" s="129"/>
      <c r="AA308" s="129"/>
      <c r="AB308" s="129"/>
      <c r="AC308" s="129"/>
      <c r="AD308" s="225">
        <f>(((L308/(L308-1)-1)*(1-_xlfn.XLOOKUP(K308,'Janeiro 2023 - Valor Real'!A3:A15,'Janeiro 2023 - Valor Real'!C3:C15,0))+1))</f>
        <v>2.08108108108108</v>
      </c>
      <c r="AE308" s="226">
        <f>IF(L308="","",IF(L309&gt;0,(SUM(((L307-1)*(1-_xlfn.XLOOKUP(K307,'Janeiro 2023 - Valor Real'!A3:A15,'Janeiro 2023 - Valor Real'!C3:C15,0))+1),((L308-1)*(1-_xlfn.XLOOKUP(K308,'Janeiro 2023 - Valor Real'!A3:A15,'Janeiro 2023 - Valor Real'!C3:C15,0))+1),((L309-1)*(1-_xlfn.XLOOKUP(K309,'Janeiro 2023 - Valor Real'!A3:A15,'Janeiro 2023 - Valor Real'!C3:C15,0))+1))/((L308-1)*(1-_xlfn.XLOOKUP(K308,'Janeiro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Real'!C3:C15,0))+1))/((L307-1)*(1-_xlfn.XLOOKUP(K307,'Janeiro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Real'!C3:C15,0))+1))/((L308-1)*(1-_xlfn.XLOOKUP(K308,'Janeiro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Real'!C3:C15,0))+1))/((L309-1)*(1-_xlfn.XLOOKUP(K309,'Janeiro 2023 - Valor Real'!A3:A15,'Janeiro 2023 - Valor Real'!C3:C15,0))+1)),IF(I308="Lay",IF(I307="Lay",((L307/(L307-1)-1)*(1-_xlfn.XLOOKUP(K307,'Janeiro 2023 - Valor Real'!A3:A15,'Janeiro 2023 - Valor Real'!C3:C15,0))+1)/(((L307/(L307-1)-1)*(1-_xlfn.XLOOKUP(K307,'Janeiro 2023 - Valor Real'!A3:A15,'Janeiro 2023 - Valor Real'!C3:C15,0))+1)+((L308/(L308-1)-1)*(1-_xlfn.XLOOKUP(K308,'Janeiro 2023 - Valor Real'!A3:A15,'Janeiro 2023 - Valor Real'!C3:C15,0))+1)),((L307-1)*(1-_xlfn.XLOOKUP(K307,'Janeiro 2023 - Valor Real'!A3:A15,'Janeiro 2023 - Valor Real'!C3:C15,0))+1)/(((L307-1)*(1-_xlfn.XLOOKUP(K307,'Janeiro 2023 - Valor Real'!A3:A15,'Janeiro 2023 - Valor Real'!C3:C15,0))+1)+((L308/(L308-1)-1)*(1-_xlfn.XLOOKUP(K308,'Janeiro 2023 - Valor Real'!A3:A15,'Janeiro 2023 - Valor Real'!C3:C15,0))+1))),IF(I307="Lay",((L307/(L307-1)-1)*(1-_xlfn.XLOOKUP(K307,'Janeiro 2023 - Valor Real'!A3:A15,'Janeiro 2023 - Valor Real'!C3:C15,0))+1)/((((L307/(L307-1)-1)*(1-_xlfn.XLOOKUP(K307,'Janeiro 2023 - Valor Real'!A3:A15,'Janeiro 2023 - Valor Real'!C3:C15,0))+1))+((L308-1)*(1-_xlfn.XLOOKUP(K308,'Janeiro 2023 - Valor Real'!A3:A15,'Janeiro 2023 - Valor Real'!C3:C15,0))+1)),((L307-1)*(1-_xlfn.XLOOKUP(K307,'Janeiro 2023 - Valor Real'!A3:A15,'Janeiro 2023 - Valor Real'!C3:C15,0))+1)/(((L307-1)*(1-_xlfn.XLOOKUP(K307,'Janeiro 2023 - Valor Real'!A3:A15,'Janeiro 2023 - Valor Real'!C3:C15,0))+1)+((L308-1)*(1-_xlfn.XLOOKUP(K308,'Janeiro 2023 - Valor Real'!A3:A15,'Janeiro 2023 - Valor Real'!C3:C15,0))+1))))))</f>
        <v>0.535585042219542</v>
      </c>
      <c r="AF308" s="197">
        <f>IF($K308=AF$3,ROUND(IF(OR($C308="W",$C308="1/2W",$C308="1/2L"),$P308-$O308,IF($C308="X",0,-$O308)),2),0)</f>
        <v>-18.92</v>
      </c>
      <c r="AG308" s="198">
        <f>IF($K308=AG$3,ROUND(IF(OR($C308="W",$C308="1/2W",$C308="1/2L"),$P308-$O308,IF($C308="X",0,-$O308)),2),0)</f>
        <v>0</v>
      </c>
      <c r="AH308" s="198">
        <f>IF($K308=AH$3,ROUND(IF(OR($C308="W",$C308="1/2W",$C308="1/2L"),$P308-$O308,IF($C308="X",0,-$O308)),2),0)</f>
        <v>0</v>
      </c>
      <c r="AI308" s="198">
        <f>IF($K308=AI$3,ROUND(IF(OR($C308="W",$C308="1/2W",$C308="1/2L"),$P308-$O308,IF($C308="X",0,-$O308)),2),0)</f>
        <v>0</v>
      </c>
      <c r="AJ308" s="198">
        <f>IF($K308=AJ$3,ROUND(IF(OR($C308="W",$C308="1/2W",$C308="1/2L"),$P308-$O308,IF($C308="X",0,-$O308)),2),0)</f>
        <v>0</v>
      </c>
      <c r="AK308" s="198">
        <f>IF($K308=AK$3,ROUND(IF(OR($C308="W",$C308="1/2W",$C308="1/2L"),$P308-$O308,IF($C308="X",0,-$O308)),2),0)</f>
        <v>0</v>
      </c>
      <c r="AL308" s="198">
        <f>IF($K308=AL$3,ROUND(IF(OR($C308="W",$C308="1/2W",$C308="1/2L"),$P308-$O308,IF($C308="X",0,-$O308)),2),0)</f>
        <v>0</v>
      </c>
      <c r="AM308" s="198">
        <f>IF($K308=AM$3,ROUND(IF(OR($C308="W",$C308="1/2W",$C308="1/2L"),$P308-$O308,IF($C308="X",0,-$O308)),2),0)</f>
        <v>0</v>
      </c>
      <c r="AN308" s="198">
        <f>IF($K308=AN$3,ROUND(IF(OR($C308="W",$C308="1/2W",$C308="1/2L"),$P308-$O308,IF($C308="X",0,-$O308)),2),0)</f>
        <v>0</v>
      </c>
      <c r="AO308" s="198">
        <f>IF($K308=AO$3,ROUND(IF(OR($C308="W",$C308="1/2W",$C308="1/2L"),$P308-$O308,IF($C308="X",0,-$O308)),2),0)</f>
        <v>0</v>
      </c>
      <c r="AP308" s="198">
        <f>IF($K308=AP$3,ROUND(IF(OR($C308="W",$C308="1/2W",$C308="1/2L"),$P308-$O308,IF($C308="X",0,-$O308)),2),0)</f>
        <v>0</v>
      </c>
      <c r="AQ308" s="198">
        <f>IF($K308=AQ$3,ROUND(IF(OR($C308="W",$C308="1/2W",$C308="1/2L"),$P308-$O308,IF($C308="X",0,-$O308)),2),0)</f>
        <v>0</v>
      </c>
      <c r="AR308" s="199">
        <f>IF($K308=AR$3,ROUND(IF(OR($C308="W",$C308="1/2W",$C308="1/2L"),$P308-$O308,IF($C308="X",0,-$O308)),2),0)</f>
        <v>0</v>
      </c>
      <c r="AS308" s="197">
        <f>IF(AND($B307=" ",$K308=AS$3),$O308,0)</f>
        <v>0</v>
      </c>
      <c r="AT308" s="198">
        <f>IF(AND($B307=" ",K308=AT$3),$O308,0)</f>
        <v>0</v>
      </c>
      <c r="AU308" s="198">
        <f>IF(AND($B307=" ",$K308=AU$3),$O308,0)</f>
        <v>0</v>
      </c>
      <c r="AV308" s="198">
        <f>IF(AND($B307=" ",$K308=AV$3),$O308,0)</f>
        <v>0</v>
      </c>
      <c r="AW308" s="198">
        <f>IF(AND($B307=" ",$K308=AW$3),$O308,0)</f>
        <v>0</v>
      </c>
      <c r="AX308" s="198">
        <f>IF(AND($B307=" ",$K308=AX$3),$O308,0)</f>
        <v>0</v>
      </c>
      <c r="AY308" s="200">
        <f>IF(AND($B307=" ",$K308=AY$3),$O308,0)</f>
        <v>0</v>
      </c>
      <c r="AZ308" s="201">
        <f>IF(AND($B307=" ",$K308=AZ$3),$O308,0)</f>
        <v>0</v>
      </c>
      <c r="BA308" s="201">
        <f>IF(AND($B307=" ",$K308=BA$3),$O308,0)</f>
        <v>0</v>
      </c>
      <c r="BB308" s="201">
        <f>IF(AND($B307=" ",$K308=BB$3),$O308,0)</f>
        <v>0</v>
      </c>
      <c r="BC308" s="202">
        <f>IF(AND($B307=" ",$K308=BC$3),$O308,0)</f>
        <v>0</v>
      </c>
      <c r="BD308" s="198">
        <f>IF(AND($B307=" ",$K308=BD$3),$O308,0)</f>
        <v>0</v>
      </c>
      <c r="BE308" s="199">
        <f>IF(AND($B307=" ",$K308=BE$3),$O308,0)</f>
        <v>0</v>
      </c>
      <c r="BF308" s="197">
        <f>IF($K308=BF$3,IF($C308="X",0,$O308),0)</f>
        <v>18.92</v>
      </c>
      <c r="BG308" s="198">
        <f>IF($K308=BG$3,IF($C308="X",0,$O308),0)</f>
        <v>0</v>
      </c>
      <c r="BH308" s="198">
        <f>IF($K308=BH$3,IF($C308="X",0,$O308),0)</f>
        <v>0</v>
      </c>
      <c r="BI308" s="198">
        <f>IF($K308=BI$3,IF($C308="X",0,$O308),0)</f>
        <v>0</v>
      </c>
      <c r="BJ308" s="198">
        <f>IF($K308=BJ$3,IF($C308="X",0,$O308),0)</f>
        <v>0</v>
      </c>
      <c r="BK308" s="198">
        <f>IF($K308=BK$3,IF($C308="X",0,$O308),0)</f>
        <v>0</v>
      </c>
      <c r="BL308" s="198">
        <f>IF($K308=BL$3,IF($C308="X",0,$O308),0)</f>
        <v>0</v>
      </c>
      <c r="BM308" s="227">
        <f>IF($K308=BM$3,IF($C308="X",0,$O308),0)</f>
        <v>0</v>
      </c>
      <c r="BN308" s="205">
        <f>IF($K308=BN$3,IF($C308="X",0,$O308),0)</f>
        <v>0</v>
      </c>
      <c r="BO308" s="205">
        <f>IF($K308=BO$3,IF($C308="X",0,$O308),0)</f>
        <v>0</v>
      </c>
      <c r="BP308" s="205">
        <f>IF($K308=BP$3,IF($C308="X",0,$O308),0)</f>
        <v>0</v>
      </c>
      <c r="BQ308" s="202">
        <f>IF($K308=BQ$3,IF($C308="X",0,$O308),0)</f>
        <v>0</v>
      </c>
      <c r="BR308" s="199">
        <f>IF($K308=BR$3,IF($C308="X",0,$O308),0)</f>
        <v>0</v>
      </c>
      <c r="BS308" s="228"/>
      <c r="BT308" s="229"/>
      <c r="BU308" s="140"/>
      <c r="BV308" s="229"/>
      <c r="BW308" s="140"/>
      <c r="BX308" s="140"/>
      <c r="BY308" s="140"/>
      <c r="BZ308" s="229"/>
      <c r="CA308" s="140"/>
      <c r="CB308" s="140"/>
      <c r="CC308" s="140"/>
      <c r="CD308" s="141"/>
      <c r="CE308" s="142"/>
      <c r="CF308" s="230">
        <f>IF(CF$3=$K308,IF($C308="W",1,IF($C308="1/2W",0.5,0)),0)</f>
        <v>0</v>
      </c>
      <c r="CG308" s="231">
        <f>IF(CF$3=$K308,IF($C308="L",1,IF($C308="1/2L",0.5,0)),0)</f>
        <v>1</v>
      </c>
      <c r="CH308" s="231">
        <f>IF(CH$3=$K308,IF($C308="W",1,IF($C308="1/2W",0.5,0)),0)</f>
        <v>0</v>
      </c>
      <c r="CI308" s="231">
        <f>IF(CH$3=$K308,IF($C308="L",1,IF($C308="1/2L",0.5,0)),0)</f>
        <v>0</v>
      </c>
      <c r="CJ308" s="231">
        <f>IF(CJ$3=$K308,IF($C308="W",1,IF($C308="1/2W",0.5,0)),0)</f>
        <v>0</v>
      </c>
      <c r="CK308" s="231">
        <f>IF(CJ$3=$K308,IF($C308="L",1,IF($C308="1/2L",0.5,0)),0)</f>
        <v>0</v>
      </c>
      <c r="CL308" s="231">
        <f>IF(CL$3=$K308,IF($C308="W",1,IF($C308="1/2W",0.5,0)),0)</f>
        <v>0</v>
      </c>
      <c r="CM308" s="231">
        <f>IF(CL$3=$K308,IF($C308="L",1,IF($C308="1/2L",0.5,0)),0)</f>
        <v>0</v>
      </c>
      <c r="CN308" s="231">
        <f>IF(CN$3=$K308,IF($C308="W",1,IF($C308="1/2W",0.5,0)),0)</f>
        <v>0</v>
      </c>
      <c r="CO308" s="231">
        <f>IF(CN$3=$K308,IF($C308="L",1,IF($C308="1/2L",0.5,0)),0)</f>
        <v>0</v>
      </c>
      <c r="CP308" s="231">
        <f>IF(CP$3=$K308,IF($C308="W",1,IF($C308="1/2W",0.5,0)),0)</f>
        <v>0</v>
      </c>
      <c r="CQ308" s="231">
        <f>IF(CP$3=$K308,IF($C308="L",1,IF($C308="1/2L",0.5,0)),0)</f>
        <v>0</v>
      </c>
      <c r="CR308" s="231">
        <f>IF(CR$3=$K308,IF($C308="W",1,IF($C308="1/2W",0.5,0)),0)</f>
        <v>0</v>
      </c>
      <c r="CS308" s="231">
        <f>IF(CR$3=$K308,IF($C308="L",1,IF($C308="1/2L",0.5,0)),0)</f>
        <v>0</v>
      </c>
      <c r="CT308" s="208">
        <f>IF(CT$3=$K308,IF($C308="W",1,IF($C308="1/2W",0.5,0)),0)</f>
        <v>0</v>
      </c>
      <c r="CU308" s="209">
        <f>IF(CT$3=$K308,IF($C308="L",1,IF($C308="1/2L",0.5,0)),0)</f>
        <v>0</v>
      </c>
      <c r="CV308" s="209">
        <f>IF(CV$3=$K308,IF($C308="W",1,IF($C308="1/2W",0.5,0)),0)</f>
        <v>0</v>
      </c>
      <c r="CW308" s="209">
        <f>IF(CV$3=$K308,IF($C308="L",1,IF($C308="1/2L",0.5,0)),0)</f>
        <v>0</v>
      </c>
      <c r="CX308" s="209">
        <f>IF(CX$3=$K308,IF($C308="W",1,IF($C308="1/2W",0.5,0)),0)</f>
        <v>0</v>
      </c>
      <c r="CY308" s="209">
        <f>IF(CX$3=$K308,IF($C308="L",1,IF($C308="1/2L",0.5,0)),0)</f>
        <v>0</v>
      </c>
      <c r="CZ308" s="209">
        <f>IF(CZ$3=$K308,IF($C308="W",1,IF($C308="1/2W",0.5,0)),0)</f>
        <v>0</v>
      </c>
      <c r="DA308" s="209">
        <f>IF(CZ$3=$K308,IF($C308="L",1,IF($C308="1/2L",0.5,0)),0)</f>
        <v>0</v>
      </c>
      <c r="DB308" s="209">
        <f>IF(DB$3=$K308,IF($C308="W",1,IF($C308="1/2W",0.5,0)),0)</f>
        <v>0</v>
      </c>
      <c r="DC308" s="209">
        <f>IF(DB$3=$K308,IF($C308="L",1,IF($C308="1/2L",0.5,0)),0)</f>
        <v>0</v>
      </c>
      <c r="DD308" s="209">
        <f>IF(DD$3=$K308,IF($C308="W",1,IF($C308="1/2W",0.5,0)),0)</f>
        <v>0</v>
      </c>
      <c r="DE308" s="210">
        <f>IF(DD$3=$K308,IF($C308="L",1,IF($C308="1/2L",0.5,0)),0)</f>
        <v>0</v>
      </c>
      <c r="DF308" s="211">
        <f>IF(AND(L308&lt;DF$3,$C308="W"),1+DF307,DF307)</f>
        <v>12</v>
      </c>
      <c r="DG308" s="198">
        <f>IF(DF308&gt;DF307,L308+DG307,DG307)</f>
        <v>15.718</v>
      </c>
      <c r="DH308" s="209">
        <f>IF(AND(L308&gt;DH$3,$C308="W"),1+DH307,0+DH307)</f>
        <v>7</v>
      </c>
      <c r="DI308" s="198">
        <f>IF(DH308&gt;DH307,L308+DI307,DI307)</f>
        <v>34.83</v>
      </c>
      <c r="DJ308" t="s" s="306">
        <f>IF($D307="","",$D307)</f>
        <v>272</v>
      </c>
      <c r="DK308" s="232"/>
    </row>
    <row r="309" ht="14.55" customHeight="1">
      <c r="A309" s="149"/>
      <c r="B309" s="150"/>
      <c r="C309" t="s" s="313">
        <v>58</v>
      </c>
      <c r="D309" s="314"/>
      <c r="E309" s="315"/>
      <c r="F309" s="155"/>
      <c r="G309" s="311"/>
      <c r="H309" s="307"/>
      <c r="I309" s="316"/>
      <c r="J309" s="317"/>
      <c r="K309" s="318"/>
      <c r="L309" s="319"/>
      <c r="M309" s="320"/>
      <c r="N309" s="161"/>
      <c r="O309" t="s" s="240">
        <f>IF(OR(AE307="",AE308=""),"",IF(L309&gt;0,ROUND(IF(M309&gt;0,M309,IF(M307&gt;0,ROUND((M307*AE309)/AE307,IF(N307=0,2,IF(N307=0.1,1,0))),IF(M308&gt;0,ROUND((M308*AE309)/AE308,IF(N307=0,2,IF(N307=0.1,1,0))),IF(M309&gt;0,M309,0)))),2),""))</f>
      </c>
      <c r="P309" t="s" s="241">
        <f>IF(I308="Lay",O308*(L308/(L308-1))-O308,IF(I307="Lay",O307*(L307/(L307-1))-O307,IF(OR(L309="",O309=""),"",IF($C309="1/2W",O309/2+O309/2*L309,IF($C309="1/2L",O309/2,(O309*L309-O309)*(1-_xlfn.XLOOKUP(K309,'Janeiro 2023 - Valor Real'!A3:A15,'Janeiro 2023 - Valor Real'!C3:C15,0))+O309)))))</f>
      </c>
      <c r="Q309" t="s" s="242">
        <f>IF(K309="","",IF(_xlfn.XLOOKUP(K309,K$105:K124,DJ$105:DJ124,0,,-1)=DJ309,_xlfn.XLOOKUP(K309,K$105:K124,Q$105:Q124,1,,-1)+1,1))</f>
      </c>
      <c r="R309" t="s" s="243">
        <f>IF(K309="","",_xlfn.XLOOKUP(K309,K$105:K124,R$105:R124,0,,-1)+IF($C309=" ",1,0))</f>
      </c>
      <c r="S309" s="166"/>
      <c r="T309" s="155"/>
      <c r="U309" s="155"/>
      <c r="V309" s="166"/>
      <c r="W309" s="155"/>
      <c r="X309" s="167"/>
      <c r="Y309" s="128"/>
      <c r="Z309" s="129"/>
      <c r="AA309" s="129"/>
      <c r="AB309" s="129"/>
      <c r="AC309" s="129"/>
      <c r="AD309" s="244">
        <f>((L308/(L308-1)-1))</f>
        <v>1.08108108108108</v>
      </c>
      <c r="AE309" t="s" s="245">
        <f>IF(L309="","",(SUM(((L307-1)*(1-_xlfn.XLOOKUP(K307,'Janeiro 2023 - Valor Real'!A3:A15,'Janeiro 2023 - Valor Real'!C3:C15,0))+1),((L308-1)*(1-_xlfn.XLOOKUP(K308,'Janeiro 2023 - Valor Real'!A3:A15,'Janeiro 2023 - Valor Real'!C3:C15,0))+1),((L309-1)*(1-_xlfn.XLOOKUP(K309,'Janeiro 2023 - Valor Real'!A3:A15,'Janeiro 2023 - Valor Real'!C3:C15,0))+1))/((L309-1)*(1-_xlfn.XLOOKUP(K309,'Janeiro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Real'!C3:C15,0))+1))/((L307-1)*(1-_xlfn.XLOOKUP(K307,'Janeiro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Real'!C3:C15,0))+1))/((L308-1)*(1-_xlfn.XLOOKUP(K308,'Janeiro 2023 - Valor Real'!A3:A15,'Janeiro 2023 - Valor Real'!C3:C15,0))+1)+SUM(((L307-1)*(1-_xlfn.XLOOKUP(K307,'Janeiro 2023 - Valor Real'!A3:A15,'Janeiro 2023 - Valor Real'!C3:C15,0))+1),((L308-1)*(1-_xlfn.XLOOKUP(K308,'Janeiro 2023 - Valor Real'!A3:A15,'Janeiro 2023 - Valor Real'!C3:C15,0))+1),((L309-1)*(1-_xlfn.XLOOKUP(K309,'Janeiro 2023 - Valor Real'!A3:A15,'Janeiro 2023 - Valor Real'!C3:C15,0))+1))/((L309-1)*(1-_xlfn.XLOOKUP(K309,'Janeiro 2023 - Valor Real'!A3:A15,'Janeiro 2023 - Valor Real'!C3:C15,0))+1)))</f>
      </c>
      <c r="AF309" s="197">
        <f>IF($K309=AF$3,ROUND(IF(OR($C309="W",$C309="1/2W",$C309="1/2L"),$P309-$O309,IF($C309="X",0,-$O309)),2),0)</f>
        <v>0</v>
      </c>
      <c r="AG309" s="198">
        <f>IF($K309=AG$3,ROUND(IF(OR($C309="W",$C309="1/2W",$C309="1/2L"),$P309-$O309,IF($C309="X",0,-$O309)),2),0)</f>
        <v>0</v>
      </c>
      <c r="AH309" s="198">
        <f>IF($K309=AH$3,ROUND(IF(OR($C309="W",$C309="1/2W",$C309="1/2L"),$P309-$O309,IF($C309="X",0,-$O309)),2),0)</f>
        <v>0</v>
      </c>
      <c r="AI309" s="198">
        <f>IF($K309=AI$3,ROUND(IF(OR($C309="W",$C309="1/2W",$C309="1/2L"),$P309-$O309,IF($C309="X",0,-$O309)),2),0)</f>
        <v>0</v>
      </c>
      <c r="AJ309" s="198">
        <f>IF($K309=AJ$3,ROUND(IF(OR($C309="W",$C309="1/2W",$C309="1/2L"),$P309-$O309,IF($C309="X",0,-$O309)),2),0)</f>
        <v>0</v>
      </c>
      <c r="AK309" s="198">
        <f>IF($K309=AK$3,ROUND(IF(OR($C309="W",$C309="1/2W",$C309="1/2L"),$P309-$O309,IF($C309="X",0,-$O309)),2),0)</f>
        <v>0</v>
      </c>
      <c r="AL309" s="198">
        <f>IF($K309=AL$3,ROUND(IF(OR($C309="W",$C309="1/2W",$C309="1/2L"),$P309-$O309,IF($C309="X",0,-$O309)),2),0)</f>
        <v>0</v>
      </c>
      <c r="AM309" s="198">
        <f>IF($K309=AM$3,ROUND(IF(OR($C309="W",$C309="1/2W",$C309="1/2L"),$P309-$O309,IF($C309="X",0,-$O309)),2),0)</f>
        <v>0</v>
      </c>
      <c r="AN309" s="198">
        <f>IF($K309=AN$3,ROUND(IF(OR($C309="W",$C309="1/2W",$C309="1/2L"),$P309-$O309,IF($C309="X",0,-$O309)),2),0)</f>
        <v>0</v>
      </c>
      <c r="AO309" s="198">
        <f>IF($K309=AO$3,ROUND(IF(OR($C309="W",$C309="1/2W",$C309="1/2L"),$P309-$O309,IF($C309="X",0,-$O309)),2),0)</f>
        <v>0</v>
      </c>
      <c r="AP309" s="198">
        <f>IF($K309=AP$3,ROUND(IF(OR($C309="W",$C309="1/2W",$C309="1/2L"),$P309-$O309,IF($C309="X",0,-$O309)),2),0)</f>
        <v>0</v>
      </c>
      <c r="AQ309" s="198">
        <f>IF($K309=AQ$3,ROUND(IF(OR($C309="W",$C309="1/2W",$C309="1/2L"),$P309-$O309,IF($C309="X",0,-$O309)),2),0)</f>
        <v>0</v>
      </c>
      <c r="AR309" s="199">
        <f>IF($K309=AR$3,ROUND(IF(OR($C309="W",$C309="1/2W",$C309="1/2L"),$P309-$O309,IF($C309="X",0,-$O309)),2),0)</f>
        <v>0</v>
      </c>
      <c r="AS309" s="197">
        <f>IF(AND($B307=" ",$K309=AS$3),$O309,0)</f>
        <v>0</v>
      </c>
      <c r="AT309" s="198">
        <f>IF(AND($B307=" ",K309=AT$3),$O309,0)</f>
        <v>0</v>
      </c>
      <c r="AU309" s="198">
        <f>IF(AND($B307=" ",$K309=AU$3),$O309,0)</f>
        <v>0</v>
      </c>
      <c r="AV309" s="198">
        <f>IF(AND($B307=" ",$K309=AV$3),$O309,0)</f>
        <v>0</v>
      </c>
      <c r="AW309" s="198">
        <f>IF(AND($B307=" ",$K309=AW$3),$O309,0)</f>
        <v>0</v>
      </c>
      <c r="AX309" s="198">
        <f>IF(AND($B307=" ",$K309=AX$3),$O309,0)</f>
        <v>0</v>
      </c>
      <c r="AY309" s="200">
        <f>IF(AND($B307=" ",$K309=AY$3),$O309,0)</f>
        <v>0</v>
      </c>
      <c r="AZ309" s="201">
        <f>IF(AND($B307=" ",$K309=AZ$3),$O309,0)</f>
        <v>0</v>
      </c>
      <c r="BA309" s="201">
        <f>IF(AND($B307=" ",$K309=BA$3),$O309,0)</f>
        <v>0</v>
      </c>
      <c r="BB309" s="201">
        <f>IF(AND($B307=" ",$K309=BB$3),$O309,0)</f>
        <v>0</v>
      </c>
      <c r="BC309" s="202">
        <f>IF(AND($B307=" ",$K309=BC$3),$O309,0)</f>
        <v>0</v>
      </c>
      <c r="BD309" s="198">
        <f>IF(AND($B307=" ",$K309=BD$3),$O309,0)</f>
        <v>0</v>
      </c>
      <c r="BE309" s="199">
        <f>IF(AND($B307=" ",$K309=BE$3),$O309,0)</f>
        <v>0</v>
      </c>
      <c r="BF309" s="197">
        <f>IF($K309=BF$3,IF($C309="X",0,$O309),0)</f>
        <v>0</v>
      </c>
      <c r="BG309" s="198">
        <f>IF($K309=BG$3,IF($C309="X",0,$O309),0)</f>
        <v>0</v>
      </c>
      <c r="BH309" s="198">
        <f>IF($K309=BH$3,IF($C309="X",0,$O309),0)</f>
        <v>0</v>
      </c>
      <c r="BI309" s="198">
        <f>IF($K309=BI$3,IF($C309="X",0,$O309),0)</f>
        <v>0</v>
      </c>
      <c r="BJ309" s="198">
        <f>IF($K309=BJ$3,IF($C309="X",0,$O309),0)</f>
        <v>0</v>
      </c>
      <c r="BK309" s="198">
        <f>IF($K309=BK$3,IF($C309="X",0,$O309),0)</f>
        <v>0</v>
      </c>
      <c r="BL309" s="198">
        <f>IF($K309=BL$3,IF($C309="X",0,$O309),0)</f>
        <v>0</v>
      </c>
      <c r="BM309" s="200">
        <f>IF($K309=BM$3,IF($C309="X",0,$O309),0)</f>
        <v>0</v>
      </c>
      <c r="BN309" s="201">
        <f>IF($K309=BN$3,IF($C309="X",0,$O309),0)</f>
        <v>0</v>
      </c>
      <c r="BO309" s="201">
        <f>IF($K309=BO$3,IF($C309="X",0,$O309),0)</f>
        <v>0</v>
      </c>
      <c r="BP309" s="201">
        <f>IF($K309=BP$3,IF($C309="X",0,$O309),0)</f>
        <v>0</v>
      </c>
      <c r="BQ309" s="202">
        <f>IF($K309=BQ$3,IF($C309="X",0,$O309),0)</f>
        <v>0</v>
      </c>
      <c r="BR309" s="199">
        <f>IF($K309=BR$3,IF($C309="X",0,$O309),0)</f>
        <v>0</v>
      </c>
      <c r="BS309" s="228"/>
      <c r="BT309" s="229"/>
      <c r="BU309" s="140"/>
      <c r="BV309" s="229"/>
      <c r="BW309" s="140"/>
      <c r="BX309" s="140"/>
      <c r="BY309" s="140"/>
      <c r="BZ309" s="229"/>
      <c r="CA309" s="140"/>
      <c r="CB309" s="140"/>
      <c r="CC309" s="140"/>
      <c r="CD309" s="141"/>
      <c r="CE309" s="142"/>
      <c r="CF309" s="230">
        <f>IF(CF$3=$K309,IF($C309="W",1,IF($C309="1/2W",0.5,0)),0)</f>
        <v>0</v>
      </c>
      <c r="CG309" s="231">
        <f>IF(CF$3=$K309,IF($C309="L",1,IF($C309="1/2L",0.5,0)),0)</f>
        <v>0</v>
      </c>
      <c r="CH309" s="231">
        <f>IF(CH$3=$K309,IF($C309="W",1,IF($C309="1/2W",0.5,0)),0)</f>
        <v>0</v>
      </c>
      <c r="CI309" s="231">
        <f>IF(CH$3=$K309,IF($C309="L",1,IF($C309="1/2L",0.5,0)),0)</f>
        <v>0</v>
      </c>
      <c r="CJ309" s="231">
        <f>IF(CJ$3=$K309,IF($C309="W",1,IF($C309="1/2W",0.5,0)),0)</f>
        <v>0</v>
      </c>
      <c r="CK309" s="231">
        <f>IF(CJ$3=$K309,IF($C309="L",1,IF($C309="1/2L",0.5,0)),0)</f>
        <v>0</v>
      </c>
      <c r="CL309" s="231">
        <f>IF(CL$3=$K309,IF($C309="W",1,IF($C309="1/2W",0.5,0)),0)</f>
        <v>0</v>
      </c>
      <c r="CM309" s="231">
        <f>IF(CL$3=$K309,IF($C309="L",1,IF($C309="1/2L",0.5,0)),0)</f>
        <v>0</v>
      </c>
      <c r="CN309" s="231">
        <f>IF(CN$3=$K309,IF($C309="W",1,IF($C309="1/2W",0.5,0)),0)</f>
        <v>0</v>
      </c>
      <c r="CO309" s="231">
        <f>IF(CN$3=$K309,IF($C309="L",1,IF($C309="1/2L",0.5,0)),0)</f>
        <v>0</v>
      </c>
      <c r="CP309" s="231">
        <f>IF(CP$3=$K309,IF($C309="W",1,IF($C309="1/2W",0.5,0)),0)</f>
        <v>0</v>
      </c>
      <c r="CQ309" s="231">
        <f>IF(CP$3=$K309,IF($C309="L",1,IF($C309="1/2L",0.5,0)),0)</f>
        <v>0</v>
      </c>
      <c r="CR309" s="231">
        <f>IF(CR$3=$K309,IF($C309="W",1,IF($C309="1/2W",0.5,0)),0)</f>
        <v>0</v>
      </c>
      <c r="CS309" s="231">
        <f>IF(CR$3=$K309,IF($C309="L",1,IF($C309="1/2L",0.5,0)),0)</f>
        <v>0</v>
      </c>
      <c r="CT309" s="208">
        <f>IF(CT$3=$K309,IF($C309="W",1,IF($C309="1/2W",0.5,0)),0)</f>
        <v>0</v>
      </c>
      <c r="CU309" s="209">
        <f>IF(CT$3=$K309,IF($C309="L",1,IF($C309="1/2L",0.5,0)),0)</f>
        <v>0</v>
      </c>
      <c r="CV309" s="209">
        <f>IF(CV$3=$K309,IF($C309="W",1,IF($C309="1/2W",0.5,0)),0)</f>
        <v>0</v>
      </c>
      <c r="CW309" s="209">
        <f>IF(CV$3=$K309,IF($C309="L",1,IF($C309="1/2L",0.5,0)),0)</f>
        <v>0</v>
      </c>
      <c r="CX309" s="209">
        <f>IF(CX$3=$K309,IF($C309="W",1,IF($C309="1/2W",0.5,0)),0)</f>
        <v>0</v>
      </c>
      <c r="CY309" s="209">
        <f>IF(CX$3=$K309,IF($C309="L",1,IF($C309="1/2L",0.5,0)),0)</f>
        <v>0</v>
      </c>
      <c r="CZ309" s="209">
        <f>IF(CZ$3=$K309,IF($C309="W",1,IF($C309="1/2W",0.5,0)),0)</f>
        <v>0</v>
      </c>
      <c r="DA309" s="209">
        <f>IF(CZ$3=$K309,IF($C309="L",1,IF($C309="1/2L",0.5,0)),0)</f>
        <v>0</v>
      </c>
      <c r="DB309" s="209">
        <f>IF(DB$3=$K309,IF($C309="W",1,IF($C309="1/2W",0.5,0)),0)</f>
        <v>0</v>
      </c>
      <c r="DC309" s="209">
        <f>IF(DB$3=$K309,IF($C309="L",1,IF($C309="1/2L",0.5,0)),0)</f>
        <v>0</v>
      </c>
      <c r="DD309" s="209">
        <f>IF(DD$3=$K309,IF($C309="W",1,IF($C309="1/2W",0.5,0)),0)</f>
        <v>0</v>
      </c>
      <c r="DE309" s="210">
        <f>IF(DD$3=$K309,IF($C309="L",1,IF($C309="1/2L",0.5,0)),0)</f>
        <v>0</v>
      </c>
      <c r="DF309" s="211">
        <f>IF(AND(L309&lt;DF$3,$C309="W"),1+DF308,DF308)</f>
        <v>12</v>
      </c>
      <c r="DG309" s="198">
        <f>IF(DF309&gt;DF308,L309+DG308,DG308)</f>
        <v>15.718</v>
      </c>
      <c r="DH309" s="209">
        <f>IF(AND(L309&gt;DH$3,$C309="W"),1+DH308,0+DH308)</f>
        <v>7</v>
      </c>
      <c r="DI309" s="198">
        <f>IF(DH309&gt;DH308,L309+DI308,DI308)</f>
        <v>34.83</v>
      </c>
      <c r="DJ309" t="s" s="306">
        <f>IF($D307="","",$D307)</f>
        <v>272</v>
      </c>
      <c r="DK309" s="232"/>
    </row>
    <row r="310" ht="14.55" customHeight="1">
      <c r="A310" s="246">
        <f>$A307+1</f>
        <v>103</v>
      </c>
      <c r="B310" t="s" s="247">
        <f>IF(AND(_xlfn.XLOOKUP(H310,H$100:H119,G$100:G119,0)=G310,_xlfn.XLOOKUP("TempoBet",K310:K312,L310:L312,0)&gt;0),"X",IF(OR(C310="W",C311="W",C312="W",C310="1/2W",C311="1/2W",C312="1/2W",C310="1/2L",C311="1/2L",C312="1/2L"),"OK",IF(OR(C310="L",C311="L",C312="L"),"LOSS",IF(OR(C310="X",C311="X",C312="X"),"Anulado"," "))))</f>
        <v>50</v>
      </c>
      <c r="C310" t="s" s="321">
        <v>51</v>
      </c>
      <c r="D310" t="s" s="322">
        <f>IF(G310="","",$D307)</f>
        <v>272</v>
      </c>
      <c r="E310" t="s" s="323">
        <v>106</v>
      </c>
      <c r="F310" t="s" s="251"/>
      <c r="G310" s="312">
        <v>44946.875</v>
      </c>
      <c r="H310" t="s" s="308">
        <v>274</v>
      </c>
      <c r="I310" t="s" s="329">
        <v>54</v>
      </c>
      <c r="J310" s="330">
        <v>2.5</v>
      </c>
      <c r="K310" t="s" s="326">
        <v>48</v>
      </c>
      <c r="L310" s="327">
        <v>1.5</v>
      </c>
      <c r="M310" s="328"/>
      <c r="N310" s="259">
        <v>0</v>
      </c>
      <c r="O310" s="260">
        <f>IF(OR(AE310="",AE311=""),"",ROUND(IF(L312&gt;0,IF(M310&gt;0,M310,IF(M311&gt;0,ROUND((M311*AE310)/AE311,IF(N310=0,2,IF(N310=0.1,1,0))),ROUND((M312*AE310)/AE312,IF(N310=0,2,IF(N310=0.1,1,0))))),IF(M310&gt;0,M310,ROUND((M311*AE310)/AE311,IF(N310=0,2,IF(N310=0.1,1,0))))),2))</f>
        <v>22.75</v>
      </c>
      <c r="P310" s="261">
        <f>IF(OR(L310="",O310=""),"",IF($C310="1/2W",O310/2+O310/2*L310,IF($C310="1/2L",O310/2,IF(I310="Lay",(O310*(L310/(L310-1))-O310)*(1-_xlfn.XLOOKUP(K310,'Janeiro 2023 - Valor Real'!A3:A15,'Janeiro 2023 - Valor Real'!C3:C15,0))+O310,(O310*L310-O310)*(1-_xlfn.XLOOKUP(K310,'Janeiro 2023 - Valor Real'!A3:A15,'Janeiro 2023 - Valor Real'!C3:C15,0))+O310))))</f>
        <v>34.125</v>
      </c>
      <c r="Q310" s="262">
        <f>IF(K310="","",IF(_xlfn.XLOOKUP(K310,K$100:K119,DJ$100:DJ119,0,,-1)=DJ310,_xlfn.XLOOKUP(K310,K$100:K119,Q$100:Q119,1,,-1)+1,1))</f>
        <v>1</v>
      </c>
      <c r="R310" s="263">
        <f>IF(K310="","",_xlfn.XLOOKUP(K310,K$100:K119,R$100:R119,0,,-1)+IF($C310=" ",1,0))</f>
        <v>0</v>
      </c>
      <c r="S310" s="264">
        <f>IF($B310="Anulado",0,ROUND(IF(OR($B310="LOSS",$B310="OK"),IF(OR($C310="W",$C310="1/2W",$C310="1/2L"),P310-O310,IF($C310="L",-O310,0))+IF(OR($C311="W",$C311="1/2W",$C311="1/2L"),P311-O311,IF($C311="L",-O311,0))+IF(OR($C312="W",$C312="1/2W",$C312="1/2L"),P312-O312,IF($C312="L",-O312,0)),IF(AND(OR($C310="W",$C310="1/2W",$C310="1/2L"),C311="W"),P310+P311-SUM(O310:O312)+_xlfn.XLOOKUP("X",C310:C312,O310:O312,0),IF(AND(C310=TRUE,C312="W"),P310+P312-SUM(O310:O312),IF(AND(C311="W",C312="W"),P311+P312-SUM(O310:O312)+_xlfn.XLOOKUP("X",C310:C312,O310:O312,0),IF(L312&gt;0,IF(OR($C310="W",$C310="1/2W",$C310="1/2L"),P310-SUM(O310:O312)+_xlfn.XLOOKUP("X",C310:C312,O310:O312,0),IF(OR($C310="W",$C310="1/2W",$C310="1/2L"),P311-SUM(O310:O312)+_xlfn.XLOOKUP("X",C310:C312,O310:O312,0),IF(OR($C310="W",$C310="1/2W",$C310="1/2L"),P312-SUM(O310:O312)+_xlfn.XLOOKUP("X",C310:C312,O310:O312,0),IF(SUM(P310:P312)/3-SUM(O310:O312)+_xlfn.XLOOKUP("X",C310:C312,O310:O312,0)&gt;0,SUM(P310:P312)/3-SUM(O310:O312)+_xlfn.XLOOKUP("X",C310:C312,O310:O312,0),LARGE(P310:P312,1)-SUM(O310:O312))))),IF(OR($C310="W",$C310="1/2W",$C310="1/2L"),P310-SUM(O310:O311)+_xlfn.XLOOKUP("X",C310:C312,O310:O312,0),IF(OR($C310="W",$C310="1/2W",$C310="1/2L"),P311-SUM(O310:O311)+_xlfn.XLOOKUP("X",C310:C312,O310:O312,0),SUM(P310:P311)/2-SUM(O310:O311)+_xlfn.XLOOKUP("X",C310:C312,O310:O312,0)))))))),2))</f>
        <v>0.88</v>
      </c>
      <c r="T310" s="265">
        <f>IF(S310=0,0,S310/SUM(O310:O312))</f>
        <v>0.0264661654135338</v>
      </c>
      <c r="U310" s="266">
        <f>IF($D310=$D307,IF(OR($B310="LOSS",$B310="OK",$B310="Anulada"),S310,0)+U307,IF(OR($B310="LOSS",$B310="OK",$B310="Anulada"),S310,0))</f>
        <v>3.61</v>
      </c>
      <c r="V310" s="266">
        <f>IF($D310="",0,IF($D310=$D307,IF($B310=" ",IF(I312="",IF(OR(AND(I310="DNB1",I311="DNB2"),AND(OR(I310="DNB1",I310="DNB2"),J311=0),AND(OR(I311="DNB1",I311="DNB2"),J310=0),AND(I310="DNB2",I311="DNB1"),AND(IF(J310=0,(J310+1)/ROUND(J310+1,0),J310/ROUND(J310,0))=1,IF(J311=0,(J311+1)/ROUND(IF(J311="",0,J311)+1,0),IF(J311="",0,J311)/ROUND(IF(J311="",1,J311),0))=1,OR(J310&lt;&gt;""),J311&lt;&gt;"")),0,IF(S310&lt;0,IF(I312="",SMALL(P310:P311,1)-SUM(O310:O311),0),SMALL(P310:P311,1)-SUM(O310:O311))),IF(S310&lt;0,IF(I312="",SMALL(P310:P312,1)-SUM(O310:O312),0),LARGE(P310:P312,1)-SUM(O310:O312))),S310)+V307,IF(I312="",IF(OR(AND(I310="DNB1",I311="DNB2"),AND(OR(I310="DNB1",I310="DNB2"),J311=0),AND(OR(I311="DNB1",I311="DNB2"),J310=0),AND(I310="DNB2",I311="DNB1"),AND(IF(J310=0,(J310+1)/ROUND(J310+1,0),J310/ROUND(J310,0))=1,IF(J311=0,(IF(J311="",0,J311)+1)/ROUND(IF(J311="",0,J311)+1,0),IF(J311="",0,J311)/ROUND(IF(J311="",0,J311)+1,0))=1,OR(J310&lt;&gt;""),J311&lt;&gt;"")),0,IF(S310&lt;0,IF(I312="",SMALL(P310:P311,1)-SUM(O310:O311),0),SMALL(P310:P312,1)-SUM(O310:O312))),IF(S310&lt;0,IF(I312="",SMALL(P310:P312,1)-SUM(O310:O312),0),LARGE(P310:P312,1)-SUM(O310:O312)))))</f>
        <v>3.575</v>
      </c>
      <c r="W310" s="266">
        <f>IF($D310=$D307,IF(S310&lt;0,IF(I312="",S310,0),S310)+W307,S310)</f>
        <v>3.61</v>
      </c>
      <c r="X310" t="s" s="267">
        <f>IF(OR(SUM(R310:R312)=0,V310=W310),ROUND(IF(W310=0,0,W310/Y310)*100,2)&amp;"%",ROUND(IF(V310=0,0,V310/Y310)*100,2)&amp;"% a "&amp;ROUND(IF(W310=0,0,W310/Y310)*100,2)&amp;"%")</f>
        <v>275</v>
      </c>
      <c r="Y310" s="268">
        <f>IF($D310=$D307,Y307+SUM(O310:O312),SUM(O310:O312))</f>
        <v>113.64</v>
      </c>
      <c r="Z310" s="266">
        <f>IF($B310=" ",SUM(O310:O312),0)+Z307</f>
        <v>0</v>
      </c>
      <c r="AA310" s="266">
        <f>IF(G310="","",IF($B310="Anulado",LARGE(P310:P312,1)-SUM(O310:O312)+AA307,AA307))</f>
        <v>16.5099</v>
      </c>
      <c r="AB310" s="266">
        <f>IF($D310="","",AB307+S310)</f>
        <v>306.98</v>
      </c>
      <c r="AC310" s="269">
        <f>IF($D310="","",IF($B310=" ",IF(DAY(G310)=DAY(TODAY()),1+AC307,0+AC307),0+AC307))</f>
        <v>0</v>
      </c>
      <c r="AD310" s="270">
        <f>(1-_xlfn.XLOOKUP(K308,'Janeiro 2023 - Valor Real'!A3:A15,'Janeiro 2023 - Valor Real'!C3:C15,0))+1</f>
        <v>2</v>
      </c>
      <c r="AE310" s="271">
        <f>IF(L310="","",IF(L312&gt;0,(SUM(((L310-1)*(1-_xlfn.XLOOKUP(K310,'Janeiro 2023 - Valor Real'!A3:A15,'Janeiro 2023 - Valor Real'!C3:C15,0))+1),((L311-1)*(1-_xlfn.XLOOKUP(K311,'Janeiro 2023 - Valor Real'!A3:A15,'Janeiro 2023 - Valor Real'!C3:C15,0))+1),((L312-1)*(1-_xlfn.XLOOKUP(K312,'Janeiro 2023 - Valor Real'!A3:A15,'Janeiro 2023 - Valor Real'!C3:C15,0))+1))/((L310-1)*(1-_xlfn.XLOOKUP(K310,'Janeiro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Real'!C3:C15,0))+1))/((L310-1)*(1-_xlfn.XLOOKUP(K310,'Janeiro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Real'!C3:C15,0))+1))/((L311-1)*(1-_xlfn.XLOOKUP(K311,'Janeiro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Real'!C3:C15,0))+1))/((L312-1)*(1-_xlfn.XLOOKUP(K312,'Janeiro 2023 - Valor Real'!A3:A15,'Janeiro 2023 - Valor Real'!C3:C15,0))+1)),IF(I310="Lay",IF(I311="Lay",((L311/(L311-1)-1)*(1-_xlfn.XLOOKUP(K311,'Janeiro 2023 - Valor Real'!A3:A15,'Janeiro 2023 - Valor Real'!C3:C15,0))+1)/(((L311/(L311-1)-1)*(1-_xlfn.XLOOKUP(K311,'Janeiro 2023 - Valor Real'!A3:A15,'Janeiro 2023 - Valor Real'!C3:C15,0))+1)+((L310/(L310-1)-1)*(1-_xlfn.XLOOKUP(K310,'Janeiro 2023 - Valor Real'!A3:A15,'Janeiro 2023 - Valor Real'!C3:C15,0))+1)),((L311-1)*(1-_xlfn.XLOOKUP(K311,'Janeiro 2023 - Valor Real'!A3:A15,'Janeiro 2023 - Valor Real'!C3:C15,0))+1)/(((L311-1)*(1-_xlfn.XLOOKUP(K311,'Janeiro 2023 - Valor Real'!A3:A15,'Janeiro 2023 - Valor Real'!C3:C15,0))+1)+((L310/(L310-1)-1)*(1-_xlfn.XLOOKUP(K310,'Janeiro 2023 - Valor Real'!A3:A15,'Janeiro 2023 - Valor Real'!C3:C15,0))+1))),IF(I311="Lay",(((L311/(L311-1)-1)*(1-_xlfn.XLOOKUP(K311,'Janeiro 2023 - Valor Real'!A3:A15,'Janeiro 2023 - Valor Real'!C3:C15,0))+1))/(((L310-1)*(1-_xlfn.XLOOKUP(K310,'Janeiro 2023 - Valor Real'!A3:A15,'Janeiro 2023 - Valor Real'!C3:C15,0))+1)+((L311/(L311-1)-1)*(1-_xlfn.XLOOKUP(K311,'Janeiro 2023 - Valor Real'!A3:A15,'Janeiro 2023 - Valor Real'!C3:C15,0))+1)),((L311-1)*(1-_xlfn.XLOOKUP(K311,'Janeiro 2023 - Valor Real'!A3:A15,'Janeiro 2023 - Valor Real'!C3:C15,0))+1)/(((L311-1)*(1-_xlfn.XLOOKUP(K311,'Janeiro 2023 - Valor Real'!A3:A15,'Janeiro 2023 - Valor Real'!C3:C15,0))+1)+((L310-1)*(1-_xlfn.XLOOKUP(K310,'Janeiro 2023 - Valor Real'!A3:A15,'Janeiro 2023 - Valor Real'!C3:C15,0))+1))))))</f>
        <v>0.684210526315789</v>
      </c>
      <c r="AF310" s="132">
        <f>IF($K310=AF$3,ROUND(IF(OR($C310="W",$C310="1/2W",$C310="1/2L"),$P310-$O310,IF($C310="X",0,-$O310)),2),0)</f>
        <v>0</v>
      </c>
      <c r="AG310" s="133">
        <f>IF($K310=AG$3,ROUND(IF(OR($C310="W",$C310="1/2W",$C310="1/2L"),$P310-$O310,IF($C310="X",0,-$O310)),2),0)</f>
        <v>0</v>
      </c>
      <c r="AH310" s="133">
        <f>IF($K310=AH$3,ROUND(IF(OR($C310="W",$C310="1/2W",$C310="1/2L"),$P310-$O310,IF($C310="X",0,-$O310)),2),0)</f>
        <v>0</v>
      </c>
      <c r="AI310" s="133">
        <f>IF($K310=AI$3,ROUND(IF(OR($C310="W",$C310="1/2W",$C310="1/2L"),$P310-$O310,IF($C310="X",0,-$O310)),2),0)</f>
        <v>0</v>
      </c>
      <c r="AJ310" s="133">
        <f>IF($K310=AJ$3,ROUND(IF(OR($C310="W",$C310="1/2W",$C310="1/2L"),$P310-$O310,IF($C310="X",0,-$O310)),2),0)</f>
        <v>0</v>
      </c>
      <c r="AK310" s="133">
        <f>IF($K310=AK$3,ROUND(IF(OR($C310="W",$C310="1/2W",$C310="1/2L"),$P310-$O310,IF($C310="X",0,-$O310)),2),0)</f>
        <v>0</v>
      </c>
      <c r="AL310" s="133">
        <f>IF($K310=AL$3,ROUND(IF(OR($C310="W",$C310="1/2W",$C310="1/2L"),$P310-$O310,IF($C310="X",0,-$O310)),2),0)</f>
        <v>0</v>
      </c>
      <c r="AM310" s="133">
        <f>IF($K310=AM$3,ROUND(IF(OR($C310="W",$C310="1/2W",$C310="1/2L"),$P310-$O310,IF($C310="X",0,-$O310)),2),0)</f>
        <v>0</v>
      </c>
      <c r="AN310" s="133">
        <f>IF($K310=AN$3,ROUND(IF(OR($C310="W",$C310="1/2W",$C310="1/2L"),$P310-$O310,IF($C310="X",0,-$O310)),2),0)</f>
        <v>0</v>
      </c>
      <c r="AO310" s="133">
        <f>IF($K310=AO$3,ROUND(IF(OR($C310="W",$C310="1/2W",$C310="1/2L"),$P310-$O310,IF($C310="X",0,-$O310)),2),0)</f>
        <v>0</v>
      </c>
      <c r="AP310" s="133">
        <f>IF($K310=AP$3,ROUND(IF(OR($C310="W",$C310="1/2W",$C310="1/2L"),$P310-$O310,IF($C310="X",0,-$O310)),2),0)</f>
        <v>0</v>
      </c>
      <c r="AQ310" s="133">
        <f>IF($K310=AQ$3,ROUND(IF(OR($C310="W",$C310="1/2W",$C310="1/2L"),$P310-$O310,IF($C310="X",0,-$O310)),2),0)</f>
        <v>-22.75</v>
      </c>
      <c r="AR310" s="134">
        <f>IF($K310=AR$3,ROUND(IF(OR($C310="W",$C310="1/2W",$C310="1/2L"),$P310-$O310,IF($C310="X",0,-$O310)),2),0)</f>
        <v>0</v>
      </c>
      <c r="AS310" s="132">
        <f>IF(AND($B310=" ",$K310=AS$3),$O310,0)</f>
        <v>0</v>
      </c>
      <c r="AT310" s="133">
        <f>IF(AND($B310=" ",$K310=AT$3),$O310,0)</f>
        <v>0</v>
      </c>
      <c r="AU310" s="133">
        <f>IF(AND($B310=" ",$K310=AU$3),$O310,0)</f>
        <v>0</v>
      </c>
      <c r="AV310" s="133">
        <f>IF(AND($B310=" ",$K310=AV$3),$O310,0)</f>
        <v>0</v>
      </c>
      <c r="AW310" s="133">
        <f>IF(AND($B310=" ",$K310=AW$3),$O310,0)</f>
        <v>0</v>
      </c>
      <c r="AX310" s="133">
        <f>IF(AND($B310=" ",$K310=AX$3),$O310,0)</f>
        <v>0</v>
      </c>
      <c r="AY310" s="135">
        <f>IF(AND($B310=" ",$K310=AY$3),$O310,0)</f>
        <v>0</v>
      </c>
      <c r="AZ310" s="136">
        <f>IF(AND($B310=" ",$K310=AZ$3),$O310,0)</f>
        <v>0</v>
      </c>
      <c r="BA310" s="136">
        <f>IF(AND($B310=" ",$K310=BA$3),$O310,0)</f>
        <v>0</v>
      </c>
      <c r="BB310" s="136">
        <f>IF(AND($B310=" ",$K310=BB$3),$O310,0)</f>
        <v>0</v>
      </c>
      <c r="BC310" s="137">
        <f>IF(AND($B310=" ",$K310=BC$3),$O310,0)</f>
        <v>0</v>
      </c>
      <c r="BD310" s="133">
        <f>IF(AND($B310=" ",$K310=BD$3),$O310,0)</f>
        <v>0</v>
      </c>
      <c r="BE310" s="134">
        <f>IF(AND($B310=" ",$K310=BE$3),$O310,0)</f>
        <v>0</v>
      </c>
      <c r="BF310" s="132">
        <f>IF($K310=BF$3,IF($C310="X",0,$O310),0)</f>
        <v>0</v>
      </c>
      <c r="BG310" s="133">
        <f>IF($K310=BG$3,IF($C310="X",0,$O310),0)</f>
        <v>0</v>
      </c>
      <c r="BH310" s="133">
        <f>IF($K310=BH$3,IF($C310="X",0,$O310),0)</f>
        <v>0</v>
      </c>
      <c r="BI310" s="133">
        <f>IF($K310=BI$3,IF($C310="X",0,$O310),0)</f>
        <v>0</v>
      </c>
      <c r="BJ310" s="133">
        <f>IF($K310=BJ$3,IF($C310="X",0,$O310),0)</f>
        <v>0</v>
      </c>
      <c r="BK310" s="133">
        <f>IF($K310=BK$3,IF($C310="X",0,$O310),0)</f>
        <v>0</v>
      </c>
      <c r="BL310" s="133">
        <f>IF($K310=BL$3,IF($C310="X",0,$O310),0)</f>
        <v>0</v>
      </c>
      <c r="BM310" s="135">
        <f>IF($K310=BM$3,IF($C310="X",0,$O310),0)</f>
        <v>0</v>
      </c>
      <c r="BN310" s="136">
        <f>IF($K310=BN$3,IF($C310="X",0,$O310),0)</f>
        <v>0</v>
      </c>
      <c r="BO310" s="136">
        <f>IF($K310=BO$3,IF($C310="X",0,$O310),0)</f>
        <v>0</v>
      </c>
      <c r="BP310" s="136">
        <f>IF($K310=BP$3,IF($C310="X",0,$O310),0)</f>
        <v>0</v>
      </c>
      <c r="BQ310" s="137">
        <f>IF($K310=BQ$3,IF($C310="X",0,$O310),0)</f>
        <v>22.75</v>
      </c>
      <c r="BR310" s="134">
        <f>IF($K310=BR$3,IF($C310="X",0,$O310),0)</f>
        <v>0</v>
      </c>
      <c r="BS310" s="170">
        <f>IF($B310="LOSS",IF(AND($K310=BS$3,$C310="L"),-$O310,0)+IF(AND($K311=BS$3,$C311="L"),-$O311,0)+IF(AND($K312=BS$3,$C312="L"),-$O312,0),IF(OR(AND($K310=BS$3,OR($C310="W",$C310="1/2W")),AND($K311=BS$3,OR($C311="W",$C311="1/2W")),AND($K312=BS$3,OR($C312="W",$C312="1/2W"))),$S310,0))</f>
        <v>0</v>
      </c>
      <c r="BT310" s="272">
        <f>IF($B310="LOSS",IF(AND($K310=BT$3,$C310="L"),-$O310,0)+IF(AND($K311=BT$3,$C311="L"),-$O311,0)+IF(AND($K311=BT$3,$C312="L"),-$O312,0),IF(OR(AND($K311=BT$3,OR($C310="W",$C310="1/2W")),AND($K311=BT$3,OR($C311="W",$C311="1/2W")),AND($K311=BT$3,OR($C312="W",$C312="1/2W"))),$S310,0))</f>
        <v>0</v>
      </c>
      <c r="BU310" s="136">
        <f>IF($B310="LOSS",IF(AND($K310=BU$3,$C310="L"),-$O310,0)+IF(AND($K311=BU$3,$C311="L"),-$O311,0)+IF(AND($K311=BU$3,$C312="L"),-$O312,0),IF(OR(AND($K311=BU$3,OR($C310="W",$C310="1/2W")),AND($K311=BU$3,OR($C311="W",$C311="1/2W")),AND($K311=BU$3,OR($C312="W",$C312="1/2W"))),$S310,0))</f>
        <v>0</v>
      </c>
      <c r="BV310" s="136">
        <f>IF($B310="LOSS",IF(AND($K310=BV$3,$C310="L"),-$O310,0)+IF(AND($K311=BV$3,$C311="L"),-$O311,0)+IF(AND($K312=BV$3,$C312="L"),-$O312,0),IF(OR(AND($K310=BV$3,OR($C310="W",$C310="1/2W")),AND($K311=BV$3,OR($C311="W",$C311="1/2W")),AND($K312=BV$3,OR($C312="W",$C312="1/2W"))),$S310,0))</f>
        <v>0</v>
      </c>
      <c r="BW310" s="136">
        <f>IF($B310="LOSS",IF(AND($K310=BW$3,$C310="L"),-$O310,0)+IF(AND($K311=BW$3,$C311="L"),-$O311,0)+IF(AND($K312=BW$3,$C312="L"),-$O312,0),IF(OR(AND($K310=BW$3,OR($C310="W",$C310="1/2W")),AND($K311=BW$3,OR($C311="W",$C311="1/2W")),AND($K312=BW$3,OR($C312="W",$C312="1/2W"))),$S310,0))</f>
        <v>0.88</v>
      </c>
      <c r="BX310" s="136">
        <f>IF($B310="LOSS",IF(AND($K310=BX$3,$C310="L"),-$O310,0)+IF(AND($K311=BX$3,$C311="L"),-$O311,0)+IF(AND($K312=BX$3,$C312="L"),-$O312,0),IF(OR(AND($K310=BX$3,OR($C310="W",$C310="1/2W")),AND($K311=BX$3,OR($C311="W",$C311="1/2W")),AND($K312=BX$3,OR($C312="W",$C312="1/2W"))),$S310,0))</f>
        <v>0</v>
      </c>
      <c r="BY310" s="136">
        <f>IF($B310="LOSS",IF(AND($K310=BY$3,$C310="L"),-$O310,0)+IF(AND($K311=BY$3,$C311="L"),-$O311,0)+IF(AND($K312=BY$3,$C312="L"),-$O312,0),IF(OR(AND($K310=BY$3,OR($C310="W",$C310="1/2W")),AND($K311=BY$3,OR($C311="W",$C311="1/2W")),AND($K312=BY$3,OR($C312="W",$C312="1/2W"))),$S310,0))</f>
        <v>0</v>
      </c>
      <c r="BZ310" s="136">
        <f>IF($B310="LOSS",IF(AND($K310=BZ$3,$C310="L"),-$O310,0)+IF(AND($K311=BZ$3,$C311="L"),-$O311,0)+IF(AND($K312=BZ$3,$C312="L"),-$O312,0),IF(OR(AND($K310=BZ$3,OR($C310="W",$C310="1/2W")),AND($K311=BZ$3,OR($C311="W",$C311="1/2W")),AND($K312=BZ$3,OR($C312="W",$C312="1/2W"))),$S310,0))</f>
        <v>0</v>
      </c>
      <c r="CA310" s="136">
        <f>IF($B310="LOSS",IF(AND($K310=CA$3,$C310="L"),-$O310,0)+IF(AND($K311=CA$3,$C311="L"),-$O311,0)+IF(AND($K312=CA$3,$C312="L"),-$O312,0),IF(OR(AND($K310=CA$3,OR($C310="W",$C310="1/2W")),AND($K311=CA$3,OR($C311="W",$C311="1/2W")),AND($K312=CA$3,OR($C312="W",$C312="1/2W"))),$S310,0))</f>
        <v>0</v>
      </c>
      <c r="CB310" s="136">
        <f>IF($B310="LOSS",IF(AND($K310=CB$3,$C310="L"),-$O310,0)+IF(AND($K311=CB$3,$C311="L"),-$O311,0)+IF(AND($K312=CB$3,$C312="L"),-$O312,0),IF(OR(AND($K310=CB$3,OR($C310="W",$C310="1/2W")),AND($K311=CB$3,OR($C311="W",$C311="1/2W")),AND($K312=CB$3,OR($C312="W",$C312="1/2W"))),$S310,0))</f>
        <v>0</v>
      </c>
      <c r="CC310" s="136">
        <f>IF($B310="LOSS",IF(AND($K310=CC$3,$C310="L"),-$O310,0)+IF(AND($K311=CC$3,$C311="L"),-$O311,0)+IF(AND($K312=CC$3,$C312="L"),-$O312,0),IF(OR(AND($K310=CC$3,OR($C310="W",$C310="1/2W")),AND($K311=CC$3,OR($C311="W",$C311="1/2W")),AND($K312=CC$3,OR($C312="W",$C312="1/2W"))),$S310,0))</f>
        <v>0</v>
      </c>
      <c r="CD310" s="137">
        <f>IF($B310="LOSS",IF(AND($K310=CD$3,$C310="L"),-$O310,0)+IF(AND($K311=CD$3,$C311="L"),-$O311,0)+IF(AND($K312=CD$3,$C312="L"),-$O312,0),IF(OR(AND($K310=CD$3,OR($C310="W",$C310="1/2W")),AND($K311=CD$3,OR($C311="W",$C311="1/2W")),AND($K312=CD$3,OR($C312="W",$C312="1/2W"))),$S310,0))</f>
        <v>0</v>
      </c>
      <c r="CE310" s="134">
        <f>IF($B310="LOSS",IF(AND($K310=CE$3,$C310="L"),-$O310,0)+IF(AND($K311=CE$3,$C311="L"),-$O311,0)+IF(AND($K312=CE$3,$C312="L"),-$O312,0),IF(OR(AND($K310=CE$3,OR($C310="W",$C310="1/2W")),AND($K311=CE$3,OR($C311="W",$C311="1/2W")),AND($K312=CE$3,OR($C312="W",$C312="1/2W"))),$S310,0))</f>
        <v>0</v>
      </c>
      <c r="CF310" s="273">
        <f>IF(CF$3=$K310,IF($C310="W",1,IF($C310="1/2W",0.5,0)),0)</f>
        <v>0</v>
      </c>
      <c r="CG310" s="274">
        <f>IF(CF$3=$K310,IF($C310="L",1,IF($C310="1/2L",0.5,0)),0)</f>
        <v>0</v>
      </c>
      <c r="CH310" s="274">
        <f>IF(CH$3=$K310,IF($C310="W",1,IF($C310="1/2W",0.5,0)),0)</f>
        <v>0</v>
      </c>
      <c r="CI310" s="274">
        <f>IF(CH$3=$K310,IF($C310="L",1,IF($C310="1/2L",0.5,0)),0)</f>
        <v>0</v>
      </c>
      <c r="CJ310" s="274">
        <f>IF(CJ$3=$K310,IF($C310="W",1,IF($C310="1/2W",0.5,0)),0)</f>
        <v>0</v>
      </c>
      <c r="CK310" s="274">
        <f>IF(CJ$3=$K310,IF($C310="L",1,IF($C310="1/2L",0.5,0)),0)</f>
        <v>0</v>
      </c>
      <c r="CL310" s="274">
        <f>IF(CL$3=$K310,IF($C310="W",1,IF($C310="1/2W",0.5,0)),0)</f>
        <v>0</v>
      </c>
      <c r="CM310" s="274">
        <f>IF(CL$3=$K310,IF($C310="L",1,IF($C310="1/2L",0.5,0)),0)</f>
        <v>0</v>
      </c>
      <c r="CN310" s="274">
        <f>IF(CN$3=$K310,IF($C310="W",1,IF($C310="1/2W",0.5,0)),0)</f>
        <v>0</v>
      </c>
      <c r="CO310" s="274">
        <f>IF(CN$3=$K310,IF($C310="L",1,IF($C310="1/2L",0.5,0)),0)</f>
        <v>0</v>
      </c>
      <c r="CP310" s="274">
        <f>IF(CP$3=$K310,IF($C310="W",1,IF($C310="1/2W",0.5,0)),0)</f>
        <v>0</v>
      </c>
      <c r="CQ310" s="274">
        <f>IF(CP$3=$K310,IF($C310="L",1,IF($C310="1/2L",0.5,0)),0)</f>
        <v>0</v>
      </c>
      <c r="CR310" s="274">
        <f>IF(CR$3=$K310,IF($C310="W",1,IF($C310="1/2W",0.5,0)),0)</f>
        <v>0</v>
      </c>
      <c r="CS310" s="274">
        <f>IF(CR$3=$K310,IF($C310="L",1,IF($C310="1/2L",0.5,0)),0)</f>
        <v>0</v>
      </c>
      <c r="CT310" s="145">
        <f>IF(CT$3=$K310,IF($C310="W",1,IF($C310="1/2W",0.5,0)),0)</f>
        <v>0</v>
      </c>
      <c r="CU310" s="146">
        <f>IF(CT$3=$K310,IF($C310="L",1,IF($C310="1/2L",0.5,0)),0)</f>
        <v>0</v>
      </c>
      <c r="CV310" s="146">
        <f>IF(CV$3=$K310,IF($C310="W",1,IF($C310="1/2W",0.5,0)),0)</f>
        <v>0</v>
      </c>
      <c r="CW310" s="146">
        <f>IF(CV$3=$K310,IF($C310="L",1,IF($C310="1/2L",0.5,0)),0)</f>
        <v>0</v>
      </c>
      <c r="CX310" s="146">
        <f>IF(CX$3=$K310,IF($C310="W",1,IF($C310="1/2W",0.5,0)),0)</f>
        <v>0</v>
      </c>
      <c r="CY310" s="146">
        <f>IF(CX$3=$K310,IF($C310="L",1,IF($C310="1/2L",0.5,0)),0)</f>
        <v>0</v>
      </c>
      <c r="CZ310" s="146">
        <f>IF(CZ$3=$K310,IF($C310="W",1,IF($C310="1/2W",0.5,0)),0)</f>
        <v>0</v>
      </c>
      <c r="DA310" s="146">
        <f>IF(CZ$3=$K310,IF($C310="L",1,IF($C310="1/2L",0.5,0)),0)</f>
        <v>0</v>
      </c>
      <c r="DB310" s="146">
        <f>IF(DB$3=$K310,IF($C310="W",1,IF($C310="1/2W",0.5,0)),0)</f>
        <v>0</v>
      </c>
      <c r="DC310" s="146">
        <f>IF(DB$3=$K310,IF($C310="L",1,IF($C310="1/2L",0.5,0)),0)</f>
        <v>1</v>
      </c>
      <c r="DD310" s="146">
        <f>IF(DD$3=$K310,IF($C310="W",1,IF($C310="1/2W",0.5,0)),0)</f>
        <v>0</v>
      </c>
      <c r="DE310" s="147">
        <f>IF(DD$3=$K310,IF($C310="L",1,IF($C310="1/2L",0.5,0)),0)</f>
        <v>0</v>
      </c>
      <c r="DF310" s="143">
        <f>IF(AND(L310&lt;DF$3,$C310="W"),1+DF309,DF309)</f>
        <v>12</v>
      </c>
      <c r="DG310" s="133">
        <f>IF(DF310&gt;DF309,L310+DG309,DG309)</f>
        <v>15.718</v>
      </c>
      <c r="DH310" s="146">
        <f>IF(AND(L310&gt;DH$3,$C310="W"),1+DH309,0+DH309)</f>
        <v>7</v>
      </c>
      <c r="DI310" s="133">
        <f>IF(DH310&gt;DH309,L310+DI309,DI309)</f>
        <v>34.83</v>
      </c>
      <c r="DJ310" t="s" s="304">
        <f>IF($D310="","",$D310)</f>
        <v>272</v>
      </c>
      <c r="DK310" s="146">
        <f>IF(AND($B310=" ",$D310&lt;&gt;""),1,0)</f>
        <v>0</v>
      </c>
    </row>
    <row r="311" ht="14.55" customHeight="1">
      <c r="A311" s="107"/>
      <c r="B311" s="108"/>
      <c r="C311" t="s" s="109">
        <v>56</v>
      </c>
      <c r="D311" s="110"/>
      <c r="E311" s="111"/>
      <c r="F311" s="113"/>
      <c r="G311" s="252"/>
      <c r="H311" s="114"/>
      <c r="I311" t="s" s="275">
        <v>57</v>
      </c>
      <c r="J311" s="276">
        <f>IF(OR(I310="TO",I310="TU",I310="TO1",I310="TU1",I310="TO2",I310="TU2"),J310,IF(OR(I310="AH1",I310="AH2"),IF(OR(I311="AH1",I311="AH2"),-J310,IF(OR(I311="EH1",I311="EH2"),-J310+0.5,"")),IF(OR(I310="EH1",I310="EH2"),IF(OR(I311="AH1",I311="AH2"),-J310+0.5,IF(OR(I311="EH1",I311="EH2"),-J310+1,"")),IF(AND(OR(I310="DNB1",I310="DNB2"),OR(I311="AH1",I311="AH2")),0,IF(AND(I310="Not ScoreBoth",OR(I311="TO1",I311="TO2")),0.5,"")))))</f>
        <v>-2.5</v>
      </c>
      <c r="K311" t="s" s="117">
        <v>41</v>
      </c>
      <c r="L311" s="277">
        <v>3.25</v>
      </c>
      <c r="M311" s="278">
        <v>10.5</v>
      </c>
      <c r="N311" s="120"/>
      <c r="O311" s="121">
        <f>IF(OR(AE310="",AE311=""),"",ROUND(IF(L312&gt;0,IF(M311&gt;0,M311,IF(M310&gt;0,IF(N310=TRUE,ROUND((M310*AE311)/AE310,0),(M310*AE311)/AE310),IF(M311&gt;0,ROUND(M311,IF(N310=0,2,IF(N310=0.1,1,0))),IF(M312&gt;0,ROUND(O312*AE311/AE312,IF(N310=0,2,IF(N310=0.1,1,0))),0)))),IF(M311&gt;0,M311,ROUND((M310*AE311)/AE310,IF(N310=0,2,IF(N310=0.1,1,0))))),2))</f>
        <v>10.5</v>
      </c>
      <c r="P311" s="122">
        <f>IF(OR(L311="",O311=""),"",IF($C311="1/2W",O311/2+O311/2*L311,IF($C311="1/2L",O311/2,IF(I311="Lay",((O311*(L311/(L311-1)))-O311)*(1-_xlfn.XLOOKUP(K311,'Janeiro 2023 - Valor Real'!A3:A15,'Janeiro 2023 - Valor Real'!C3:C15,0))+O311,(O311*L311-O311)*(1-_xlfn.XLOOKUP(K311,'Janeiro 2023 - Valor Real'!A3:A15,'Janeiro 2023 - Valor Real'!C3:C15,0))+O311))))</f>
        <v>34.125</v>
      </c>
      <c r="Q311" s="279">
        <f>IF(K311="","",IF(_xlfn.XLOOKUP(K311,K$101:K120,DJ$101:DJ120,0,,-1)=DJ311,_xlfn.XLOOKUP(K311,K$101:K120,Q$101:Q120,1,,-1)+1,1))</f>
        <v>1</v>
      </c>
      <c r="R311" s="280">
        <f>IF(K311="","",_xlfn.XLOOKUP(K311,K$101:K120,R$101:R120,0,,-1)+IF($C311=" ",1,0))</f>
        <v>0</v>
      </c>
      <c r="S311" s="125"/>
      <c r="T311" s="126"/>
      <c r="U311" s="126"/>
      <c r="V311" s="224"/>
      <c r="W311" s="126"/>
      <c r="X311" s="127"/>
      <c r="Y311" s="128"/>
      <c r="Z311" s="129"/>
      <c r="AA311" s="129"/>
      <c r="AB311" s="129"/>
      <c r="AC311" s="129"/>
      <c r="AD311" s="130"/>
      <c r="AE311" s="131">
        <f>IF(L311="","",IF(L312&gt;0,(SUM(((L310-1)*(1-_xlfn.XLOOKUP(K310,'Janeiro 2023 - Valor Real'!A3:A15,'Janeiro 2023 - Valor Real'!C3:C15,0))+1),((L311-1)*(1-_xlfn.XLOOKUP(K311,'Janeiro 2023 - Valor Real'!A3:A15,'Janeiro 2023 - Valor Real'!C3:C15,0))+1),((L312-1)*(1-_xlfn.XLOOKUP(K312,'Janeiro 2023 - Valor Real'!A3:A15,'Janeiro 2023 - Valor Real'!C3:C15,0))+1))/((L311-1)*(1-_xlfn.XLOOKUP(K311,'Janeiro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Real'!C3:C15,0))+1))/((L310-1)*(1-_xlfn.XLOOKUP(K310,'Janeiro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Real'!C3:C15,0))+1))/((L311-1)*(1-_xlfn.XLOOKUP(K311,'Janeiro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Real'!C3:C15,0))+1))/((L312-1)*(1-_xlfn.XLOOKUP(K312,'Janeiro 2023 - Valor Real'!A3:A15,'Janeiro 2023 - Valor Real'!C3:C15,0))+1)),IF(I311="Lay",IF(I310="Lay",((L310/(L310-1)-1)*(1-_xlfn.XLOOKUP(K310,'Janeiro 2023 - Valor Real'!A3:A15,'Janeiro 2023 - Valor Real'!C3:C15,0))+1)/(((L310/(L310-1)-1)*(1-_xlfn.XLOOKUP(K310,'Janeiro 2023 - Valor Real'!A3:A15,'Janeiro 2023 - Valor Real'!C3:C15,0))+1)+((L311/(L311-1)-1)*(1-_xlfn.XLOOKUP(K311,'Janeiro 2023 - Valor Real'!A3:A15,'Janeiro 2023 - Valor Real'!C3:C15,0))+1)),((L310-1)*(1-_xlfn.XLOOKUP(K310,'Janeiro 2023 - Valor Real'!A3:A15,'Janeiro 2023 - Valor Real'!C3:C15,0))+1)/(((L310-1)*(1-_xlfn.XLOOKUP(K310,'Janeiro 2023 - Valor Real'!A3:A15,'Janeiro 2023 - Valor Real'!C3:C15,0))+1)+((L311/(L311-1)-1)*(1-_xlfn.XLOOKUP(K311,'Janeiro 2023 - Valor Real'!A3:A15,'Janeiro 2023 - Valor Real'!C3:C15,0))+1))),IF(I310="Lay",((L310/(L310-1)-1)*(1-_xlfn.XLOOKUP(K310,'Janeiro 2023 - Valor Real'!A3:A15,'Janeiro 2023 - Valor Real'!C3:C15,0))+1)/((((L310/(L310-1)-1)*(1-_xlfn.XLOOKUP(K310,'Janeiro 2023 - Valor Real'!A3:A15,'Janeiro 2023 - Valor Real'!C3:C15,0))+1))+((L311-1)*(1-_xlfn.XLOOKUP(K311,'Janeiro 2023 - Valor Real'!A3:A15,'Janeiro 2023 - Valor Real'!C3:C15,0))+1)),((L310-1)*(1-_xlfn.XLOOKUP(K310,'Janeiro 2023 - Valor Real'!A3:A15,'Janeiro 2023 - Valor Real'!C3:C15,0))+1)/(((L310-1)*(1-_xlfn.XLOOKUP(K310,'Janeiro 2023 - Valor Real'!A3:A15,'Janeiro 2023 - Valor Real'!C3:C15,0))+1)+((L311-1)*(1-_xlfn.XLOOKUP(K311,'Janeiro 2023 - Valor Real'!A3:A15,'Janeiro 2023 - Valor Real'!C3:C15,0))+1))))))</f>
        <v>0.315789473684211</v>
      </c>
      <c r="AF311" s="132">
        <f>IF($K311=AF$3,ROUND(IF(OR($C311="W",$C311="1/2W",$C311="1/2L"),$P311-$O311,IF($C311="X",0,-$O311)),2),0)</f>
        <v>0</v>
      </c>
      <c r="AG311" s="133">
        <f>IF($K311=AG$3,ROUND(IF(OR($C311="W",$C311="1/2W",$C311="1/2L"),$P311-$O311,IF($C311="X",0,-$O311)),2),0)</f>
        <v>0</v>
      </c>
      <c r="AH311" s="133">
        <f>IF($K311=AH$3,ROUND(IF(OR($C311="W",$C311="1/2W",$C311="1/2L"),$P311-$O311,IF($C311="X",0,-$O311)),2),0)</f>
        <v>0</v>
      </c>
      <c r="AI311" s="133">
        <f>IF($K311=AI$3,ROUND(IF(OR($C311="W",$C311="1/2W",$C311="1/2L"),$P311-$O311,IF($C311="X",0,-$O311)),2),0)</f>
        <v>0</v>
      </c>
      <c r="AJ311" s="133">
        <f>IF($K311=AJ$3,ROUND(IF(OR($C311="W",$C311="1/2W",$C311="1/2L"),$P311-$O311,IF($C311="X",0,-$O311)),2),0)</f>
        <v>23.63</v>
      </c>
      <c r="AK311" s="133">
        <f>IF($K311=AK$3,ROUND(IF(OR($C311="W",$C311="1/2W",$C311="1/2L"),$P311-$O311,IF($C311="X",0,-$O311)),2),0)</f>
        <v>0</v>
      </c>
      <c r="AL311" s="133">
        <f>IF($K311=AL$3,ROUND(IF(OR($C311="W",$C311="1/2W",$C311="1/2L"),$P311-$O311,IF($C311="X",0,-$O311)),2),0)</f>
        <v>0</v>
      </c>
      <c r="AM311" s="133">
        <f>IF($K311=AM$3,ROUND(IF(OR($C311="W",$C311="1/2W",$C311="1/2L"),$P311-$O311,IF($C311="X",0,-$O311)),2),0)</f>
        <v>0</v>
      </c>
      <c r="AN311" s="133">
        <f>IF($K311=AN$3,ROUND(IF(OR($C311="W",$C311="1/2W",$C311="1/2L"),$P311-$O311,IF($C311="X",0,-$O311)),2),0)</f>
        <v>0</v>
      </c>
      <c r="AO311" s="133">
        <f>IF($K311=AO$3,ROUND(IF(OR($C311="W",$C311="1/2W",$C311="1/2L"),$P311-$O311,IF($C311="X",0,-$O311)),2),0)</f>
        <v>0</v>
      </c>
      <c r="AP311" s="133">
        <f>IF($K311=AP$3,ROUND(IF(OR($C311="W",$C311="1/2W",$C311="1/2L"),$P311-$O311,IF($C311="X",0,-$O311)),2),0)</f>
        <v>0</v>
      </c>
      <c r="AQ311" s="133">
        <f>IF($K311=AQ$3,ROUND(IF(OR($C311="W",$C311="1/2W",$C311="1/2L"),$P311-$O311,IF($C311="X",0,-$O311)),2),0)</f>
        <v>0</v>
      </c>
      <c r="AR311" s="134">
        <f>IF($K311=AR$3,ROUND(IF(OR($C311="W",$C311="1/2W",$C311="1/2L"),$P311-$O311,IF($C311="X",0,-$O311)),2),0)</f>
        <v>0</v>
      </c>
      <c r="AS311" s="132">
        <f>IF(AND($B310=" ",$K311=AS$3),$O311,0)</f>
        <v>0</v>
      </c>
      <c r="AT311" s="133">
        <f>IF(AND($B310=" ",K311=AT$3),$O311,0)</f>
        <v>0</v>
      </c>
      <c r="AU311" s="133">
        <f>IF(AND($B310=" ",$K311=AU$3),$O311,0)</f>
        <v>0</v>
      </c>
      <c r="AV311" s="133">
        <f>IF(AND($B310=" ",$K311=AV$3),$O311,0)</f>
        <v>0</v>
      </c>
      <c r="AW311" s="133">
        <f>IF(AND($B310=" ",$K311=AW$3),$O311,0)</f>
        <v>0</v>
      </c>
      <c r="AX311" s="133">
        <f>IF(AND($B310=" ",$K311=AX$3),$O311,0)</f>
        <v>0</v>
      </c>
      <c r="AY311" s="135">
        <f>IF(AND($B310=" ",$K311=AY$3),$O311,0)</f>
        <v>0</v>
      </c>
      <c r="AZ311" s="136">
        <f>IF(AND($B310=" ",$K311=AZ$3),$O311,0)</f>
        <v>0</v>
      </c>
      <c r="BA311" s="136">
        <f>IF(AND($B310=" ",$K311=BA$3),$O311,0)</f>
        <v>0</v>
      </c>
      <c r="BB311" s="136">
        <f>IF(AND($B310=" ",$K311=BB$3),$O311,0)</f>
        <v>0</v>
      </c>
      <c r="BC311" s="137">
        <f>IF(AND($B310=" ",$K311=BC$3),$O311,0)</f>
        <v>0</v>
      </c>
      <c r="BD311" s="133">
        <f>IF(AND($B310=" ",$K311=BD$3),$O311,0)</f>
        <v>0</v>
      </c>
      <c r="BE311" s="134">
        <f>IF(AND($B310=" ",$K311=BE$3),$O311,0)</f>
        <v>0</v>
      </c>
      <c r="BF311" s="132">
        <f>IF($K311=BF$3,IF($C311="X",0,$O311),0)</f>
        <v>0</v>
      </c>
      <c r="BG311" s="281">
        <f>IF($K311=BG$3,IF($C311="X",0,$O311),0)</f>
        <v>0</v>
      </c>
      <c r="BH311" s="133">
        <f>IF($K311=BH$3,IF($C311="X",0,$O311),0)</f>
        <v>0</v>
      </c>
      <c r="BI311" s="133">
        <f>IF($K311=BI$3,IF($C311="X",0,$O311),0)</f>
        <v>0</v>
      </c>
      <c r="BJ311" s="133">
        <f>IF($K311=BJ$3,IF($C311="X",0,$O311),0)</f>
        <v>10.5</v>
      </c>
      <c r="BK311" s="133">
        <f>IF($K311=BK$3,IF($C311="X",0,$O311),0)</f>
        <v>0</v>
      </c>
      <c r="BL311" s="133">
        <f>IF($K311=BL$3,IF($C311="X",0,$O311),0)</f>
        <v>0</v>
      </c>
      <c r="BM311" s="135">
        <f>IF($K311=BM$3,IF($C311="X",0,$O311),0)</f>
        <v>0</v>
      </c>
      <c r="BN311" s="136">
        <f>IF($K311=BN$3,IF($C311="X",0,$O311),0)</f>
        <v>0</v>
      </c>
      <c r="BO311" s="136">
        <f>IF($K311=BO$3,IF($C311="X",0,$O311),0)</f>
        <v>0</v>
      </c>
      <c r="BP311" s="136">
        <f>IF($K311=BP$3,IF($C311="X",0,$O311),0)</f>
        <v>0</v>
      </c>
      <c r="BQ311" s="137">
        <f>IF($K311=BQ$3,IF($C311="X",0,$O311),0)</f>
        <v>0</v>
      </c>
      <c r="BR311" s="134">
        <f>IF($K311=BR$3,IF($C311="X",0,$O311),0)</f>
        <v>0</v>
      </c>
      <c r="BS311" s="282"/>
      <c r="BT311" s="283"/>
      <c r="BU311" s="140"/>
      <c r="BV311" s="283"/>
      <c r="BW311" s="140"/>
      <c r="BX311" s="140"/>
      <c r="BY311" s="140"/>
      <c r="BZ311" s="283"/>
      <c r="CA311" s="140"/>
      <c r="CB311" s="140"/>
      <c r="CC311" s="140"/>
      <c r="CD311" s="141"/>
      <c r="CE311" s="142"/>
      <c r="CF311" s="284">
        <f>IF(CF$3=$K311,IF($C311="W",1,IF($C311="1/2W",0.5,0)),0)</f>
        <v>0</v>
      </c>
      <c r="CG311" s="285">
        <f>IF(CF$3=$K311,IF($C311="L",1,IF($C311="1/2L",0.5,0)),0)</f>
        <v>0</v>
      </c>
      <c r="CH311" s="285">
        <f>IF(CH$3=$K311,IF($C311="W",1,IF($C311="1/2W",0.5,0)),0)</f>
        <v>0</v>
      </c>
      <c r="CI311" s="285">
        <f>IF(CH$3=$K311,IF($C311="L",1,IF($C311="1/2L",0.5,0)),0)</f>
        <v>0</v>
      </c>
      <c r="CJ311" s="285">
        <f>IF(CJ$3=$K311,IF($C311="W",1,IF($C311="1/2W",0.5,0)),0)</f>
        <v>0</v>
      </c>
      <c r="CK311" s="285">
        <f>IF(CJ$3=$K311,IF($C311="L",1,IF($C311="1/2L",0.5,0)),0)</f>
        <v>0</v>
      </c>
      <c r="CL311" s="285">
        <f>IF(CL$3=$K311,IF($C311="W",1,IF($C311="1/2W",0.5,0)),0)</f>
        <v>0</v>
      </c>
      <c r="CM311" s="285">
        <f>IF(CL$3=$K311,IF($C311="L",1,IF($C311="1/2L",0.5,0)),0)</f>
        <v>0</v>
      </c>
      <c r="CN311" s="285">
        <f>IF(CN$3=$K311,IF($C311="W",1,IF($C311="1/2W",0.5,0)),0)</f>
        <v>1</v>
      </c>
      <c r="CO311" s="285">
        <f>IF(CN$3=$K311,IF($C311="L",1,IF($C311="1/2L",0.5,0)),0)</f>
        <v>0</v>
      </c>
      <c r="CP311" s="285">
        <f>IF(CP$3=$K311,IF($C311="W",1,IF($C311="1/2W",0.5,0)),0)</f>
        <v>0</v>
      </c>
      <c r="CQ311" s="285">
        <f>IF(CP$3=$K311,IF($C311="L",1,IF($C311="1/2L",0.5,0)),0)</f>
        <v>0</v>
      </c>
      <c r="CR311" s="285">
        <f>IF(CR$3=$K311,IF($C311="W",1,IF($C311="1/2W",0.5,0)),0)</f>
        <v>0</v>
      </c>
      <c r="CS311" s="285">
        <f>IF(CR$3=$K311,IF($C311="L",1,IF($C311="1/2L",0.5,0)),0)</f>
        <v>0</v>
      </c>
      <c r="CT311" s="145">
        <f>IF(CT$3=$K311,IF($C311="W",1,IF($C311="1/2W",0.5,0)),0)</f>
        <v>0</v>
      </c>
      <c r="CU311" s="146">
        <f>IF(CT$3=$K311,IF($C311="L",1,IF($C311="1/2L",0.5,0)),0)</f>
        <v>0</v>
      </c>
      <c r="CV311" s="146">
        <f>IF(CV$3=$K311,IF($C311="W",1,IF($C311="1/2W",0.5,0)),0)</f>
        <v>0</v>
      </c>
      <c r="CW311" s="146">
        <f>IF(CV$3=$K311,IF($C311="L",1,IF($C311="1/2L",0.5,0)),0)</f>
        <v>0</v>
      </c>
      <c r="CX311" s="146">
        <f>IF(CX$3=$K311,IF($C311="W",1,IF($C311="1/2W",0.5,0)),0)</f>
        <v>0</v>
      </c>
      <c r="CY311" s="146">
        <f>IF(CX$3=$K311,IF($C311="L",1,IF($C311="1/2L",0.5,0)),0)</f>
        <v>0</v>
      </c>
      <c r="CZ311" s="146">
        <f>IF(CZ$3=$K311,IF($C311="W",1,IF($C311="1/2W",0.5,0)),0)</f>
        <v>0</v>
      </c>
      <c r="DA311" s="146">
        <f>IF(CZ$3=$K311,IF($C311="L",1,IF($C311="1/2L",0.5,0)),0)</f>
        <v>0</v>
      </c>
      <c r="DB311" s="146">
        <f>IF(DB$3=$K311,IF($C311="W",1,IF($C311="1/2W",0.5,0)),0)</f>
        <v>0</v>
      </c>
      <c r="DC311" s="146">
        <f>IF(DB$3=$K311,IF($C311="L",1,IF($C311="1/2L",0.5,0)),0)</f>
        <v>0</v>
      </c>
      <c r="DD311" s="146">
        <f>IF(DD$3=$K311,IF($C311="W",1,IF($C311="1/2W",0.5,0)),0)</f>
        <v>0</v>
      </c>
      <c r="DE311" s="147">
        <f>IF(DD$3=$K311,IF($C311="L",1,IF($C311="1/2L",0.5,0)),0)</f>
        <v>0</v>
      </c>
      <c r="DF311" s="143">
        <f>IF(AND(L311&lt;DF$3,$C311="W"),1+DF310,DF310)</f>
        <v>12</v>
      </c>
      <c r="DG311" s="133">
        <f>IF(DF311&gt;DF310,L311+DG310,DG310)</f>
        <v>15.718</v>
      </c>
      <c r="DH311" s="146">
        <f>IF(AND(L311&gt;DH$3,$C311="W"),1+DH310,0+DH310)</f>
        <v>7</v>
      </c>
      <c r="DI311" s="133">
        <f>IF(DH311&gt;DH310,L311+DI310,DI310)</f>
        <v>34.83</v>
      </c>
      <c r="DJ311" t="s" s="304">
        <f>IF($D310="","",$D310)</f>
        <v>272</v>
      </c>
      <c r="DK311" s="286"/>
    </row>
    <row r="312" ht="14.55" customHeight="1">
      <c r="A312" s="149"/>
      <c r="B312" s="150"/>
      <c r="C312" t="s" s="151">
        <v>58</v>
      </c>
      <c r="D312" s="152"/>
      <c r="E312" s="153"/>
      <c r="F312" s="155"/>
      <c r="G312" s="252"/>
      <c r="H312" s="156"/>
      <c r="I312" s="287"/>
      <c r="J312" s="288"/>
      <c r="K312" s="156"/>
      <c r="L312" s="289"/>
      <c r="M312" s="290"/>
      <c r="N312" s="161"/>
      <c r="O312" t="s" s="162">
        <f>IF(OR(AE310="",AE311=""),"",IF(L312&gt;0,ROUND(IF(M312&gt;0,M312,IF(M310&gt;0,ROUND((M310*AE312)/AE310,IF(N310=0,2,IF(N310=0.1,1,0))),IF(M311&gt;0,ROUND((M311*AE312)/AE311,IF(N310=0,2,IF(N310=0.1,1,0))),IF(M312&gt;0,M312,0)))),2),""))</f>
      </c>
      <c r="P312" t="s" s="163">
        <f>IF(I311="Lay",O311*(L311/(L311-1))-O311,IF(I310="Lay",O310*(L310/(L310-1))-O310,IF(OR(L312="",O312=""),"",IF($C312="1/2W",O312/2+O312/2*L312,IF($C312="1/2L",O312/2,(O312*L312-O312)*(1-_xlfn.XLOOKUP(K312,'Janeiro 2023 - Valor Real'!A3:A15,'Janeiro 2023 - Valor Real'!C3:C15,0))+O312)))))</f>
      </c>
      <c r="Q312" t="s" s="154">
        <f>IF(K312="","",IF(_xlfn.XLOOKUP(K312,K$102:K121,DJ$102:DJ121,0,,-1)=DJ312,_xlfn.XLOOKUP(K312,K$102:K121,Q$102:Q121,1,,-1)+1,1))</f>
      </c>
      <c r="R312" t="s" s="163">
        <f>IF(K312="","",_xlfn.XLOOKUP(K312,K$102:K121,R$102:R121,0,,-1)+IF($C312=" ",1,0))</f>
      </c>
      <c r="S312" s="166"/>
      <c r="T312" s="155"/>
      <c r="U312" s="155"/>
      <c r="V312" s="166"/>
      <c r="W312" s="155"/>
      <c r="X312" s="167"/>
      <c r="Y312" s="128"/>
      <c r="Z312" s="129"/>
      <c r="AA312" s="129"/>
      <c r="AB312" s="129"/>
      <c r="AC312" s="129"/>
      <c r="AD312" s="168"/>
      <c r="AE312" t="s" s="169">
        <f>IF(L312="","",(SUM(((L310-1)*(1-_xlfn.XLOOKUP(K310,'Janeiro 2023 - Valor Real'!A3:A15,'Janeiro 2023 - Valor Real'!C3:C15,0))+1),((L311-1)*(1-_xlfn.XLOOKUP(K311,'Janeiro 2023 - Valor Real'!A3:A15,'Janeiro 2023 - Valor Real'!C3:C15,0))+1),((L312-1)*(1-_xlfn.XLOOKUP(K312,'Janeiro 2023 - Valor Real'!A3:A15,'Janeiro 2023 - Valor Real'!C3:C15,0))+1))/((L312-1)*(1-_xlfn.XLOOKUP(K312,'Janeiro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Real'!C3:C15,0))+1))/((L310-1)*(1-_xlfn.XLOOKUP(K310,'Janeiro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Real'!C3:C15,0))+1))/((L311-1)*(1-_xlfn.XLOOKUP(K311,'Janeiro 2023 - Valor Real'!A3:A15,'Janeiro 2023 - Valor Real'!C3:C15,0))+1)+SUM(((L310-1)*(1-_xlfn.XLOOKUP(K310,'Janeiro 2023 - Valor Real'!A3:A15,'Janeiro 2023 - Valor Real'!C3:C15,0))+1),((L311-1)*(1-_xlfn.XLOOKUP(K311,'Janeiro 2023 - Valor Real'!A3:A15,'Janeiro 2023 - Valor Real'!C3:C15,0))+1),((L312-1)*(1-_xlfn.XLOOKUP(K312,'Janeiro 2023 - Valor Real'!A3:A15,'Janeiro 2023 - Valor Real'!C3:C15,0))+1))/((L312-1)*(1-_xlfn.XLOOKUP(K312,'Janeiro 2023 - Valor Real'!A3:A15,'Janeiro 2023 - Valor Real'!C3:C15,0))+1)))</f>
      </c>
      <c r="AF312" s="132">
        <f>IF($K312=AF$3,ROUND(IF(OR($C312="W",$C312="1/2W",$C312="1/2L"),$P312-$O312,IF($C312="X",0,-$O312)),2),0)</f>
        <v>0</v>
      </c>
      <c r="AG312" s="133">
        <f>IF($K312=AG$3,ROUND(IF(OR($C312="W",$C312="1/2W",$C312="1/2L"),$P312-$O312,IF($C312="X",0,-$O312)),2),0)</f>
        <v>0</v>
      </c>
      <c r="AH312" s="133">
        <f>IF($K312=AH$3,ROUND(IF(OR($C312="W",$C312="1/2W",$C312="1/2L"),$P312-$O312,IF($C312="X",0,-$O312)),2),0)</f>
        <v>0</v>
      </c>
      <c r="AI312" s="133">
        <f>IF($K312=AI$3,ROUND(IF(OR($C312="W",$C312="1/2W",$C312="1/2L"),$P312-$O312,IF($C312="X",0,-$O312)),2),0)</f>
        <v>0</v>
      </c>
      <c r="AJ312" s="133">
        <f>IF($K312=AJ$3,ROUND(IF(OR($C312="W",$C312="1/2W",$C312="1/2L"),$P312-$O312,IF($C312="X",0,-$O312)),2),0)</f>
        <v>0</v>
      </c>
      <c r="AK312" s="133">
        <f>IF($K312=AK$3,ROUND(IF(OR($C312="W",$C312="1/2W",$C312="1/2L"),$P312-$O312,IF($C312="X",0,-$O312)),2),0)</f>
        <v>0</v>
      </c>
      <c r="AL312" s="133">
        <f>IF($K312=AL$3,ROUND(IF(OR($C312="W",$C312="1/2W",$C312="1/2L"),$P312-$O312,IF($C312="X",0,-$O312)),2),0)</f>
        <v>0</v>
      </c>
      <c r="AM312" s="133">
        <f>IF($K312=AM$3,ROUND(IF(OR($C312="W",$C312="1/2W",$C312="1/2L"),$P312-$O312,IF($C312="X",0,-$O312)),2),0)</f>
        <v>0</v>
      </c>
      <c r="AN312" s="133">
        <f>IF($K312=AN$3,ROUND(IF(OR($C312="W",$C312="1/2W",$C312="1/2L"),$P312-$O312,IF($C312="X",0,-$O312)),2),0)</f>
        <v>0</v>
      </c>
      <c r="AO312" s="133">
        <f>IF($K312=AO$3,ROUND(IF(OR($C312="W",$C312="1/2W",$C312="1/2L"),$P312-$O312,IF($C312="X",0,-$O312)),2),0)</f>
        <v>0</v>
      </c>
      <c r="AP312" s="133">
        <f>IF($K312=AP$3,ROUND(IF(OR($C312="W",$C312="1/2W",$C312="1/2L"),$P312-$O312,IF($C312="X",0,-$O312)),2),0)</f>
        <v>0</v>
      </c>
      <c r="AQ312" s="133">
        <f>IF($K312=AQ$3,ROUND(IF(OR($C312="W",$C312="1/2W",$C312="1/2L"),$P312-$O312,IF($C312="X",0,-$O312)),2),0)</f>
        <v>0</v>
      </c>
      <c r="AR312" s="134">
        <f>IF($K312=AR$3,ROUND(IF(OR($C312="W",$C312="1/2W",$C312="1/2L"),$P312-$O312,IF($C312="X",0,-$O312)),2),0)</f>
        <v>0</v>
      </c>
      <c r="AS312" s="132">
        <f>IF(AND($B310=" ",$K312=AS$3),$O312,0)</f>
        <v>0</v>
      </c>
      <c r="AT312" s="133">
        <f>IF(AND($B310=" ",K312=AT$3),$O312,0)</f>
        <v>0</v>
      </c>
      <c r="AU312" s="133">
        <f>IF(AND($B310=" ",$K312=AU$3),$O312,0)</f>
        <v>0</v>
      </c>
      <c r="AV312" s="133">
        <f>IF(AND($B310=" ",$K312=AV$3),$O312,0)</f>
        <v>0</v>
      </c>
      <c r="AW312" s="133">
        <f>IF(AND($B310=" ",$K312=AW$3),$O312,0)</f>
        <v>0</v>
      </c>
      <c r="AX312" s="133">
        <f>IF(AND($B310=" ",$K312=AX$3),$O312,0)</f>
        <v>0</v>
      </c>
      <c r="AY312" s="135">
        <f>IF(AND($B310=" ",$K312=AY$3),$O312,0)</f>
        <v>0</v>
      </c>
      <c r="AZ312" s="136">
        <f>IF(AND($B310=" ",$K312=AZ$3),$O312,0)</f>
        <v>0</v>
      </c>
      <c r="BA312" s="136">
        <f>IF(AND($B310=" ",$K312=BA$3),$O312,0)</f>
        <v>0</v>
      </c>
      <c r="BB312" s="136">
        <f>IF(AND($B310=" ",$K312=BB$3),$O312,0)</f>
        <v>0</v>
      </c>
      <c r="BC312" s="137">
        <f>IF(AND($B310=" ",$K312=BC$3),$O312,0)</f>
        <v>0</v>
      </c>
      <c r="BD312" s="133">
        <f>IF(AND($B310=" ",$K312=BD$3),$O312,0)</f>
        <v>0</v>
      </c>
      <c r="BE312" s="134">
        <f>IF(AND($B310=" ",$K312=BE$3),$O312,0)</f>
        <v>0</v>
      </c>
      <c r="BF312" s="132">
        <f>IF($K312=BF$3,IF($C312="X",0,$O312),0)</f>
        <v>0</v>
      </c>
      <c r="BG312" s="281">
        <f>IF($K312=BG$3,IF($C312="X",0,$O312),0)</f>
        <v>0</v>
      </c>
      <c r="BH312" s="133">
        <f>IF($K312=BH$3,IF($C312="X",0,$O312),0)</f>
        <v>0</v>
      </c>
      <c r="BI312" s="133">
        <f>IF($K312=BI$3,IF($C312="X",0,$O312),0)</f>
        <v>0</v>
      </c>
      <c r="BJ312" s="133">
        <f>IF($K312=BJ$3,IF($C312="X",0,$O312),0)</f>
        <v>0</v>
      </c>
      <c r="BK312" s="133">
        <f>IF($K312=BK$3,IF($C312="X",0,$O312),0)</f>
        <v>0</v>
      </c>
      <c r="BL312" s="133">
        <f>IF($K312=BL$3,IF($C312="X",0,$O312),0)</f>
        <v>0</v>
      </c>
      <c r="BM312" s="135">
        <f>IF($K312=BM$3,IF($C312="X",0,$O312),0)</f>
        <v>0</v>
      </c>
      <c r="BN312" s="136">
        <f>IF($K312=BN$3,IF($C312="X",0,$O312),0)</f>
        <v>0</v>
      </c>
      <c r="BO312" s="136">
        <f>IF($K312=BO$3,IF($C312="X",0,$O312),0)</f>
        <v>0</v>
      </c>
      <c r="BP312" s="136">
        <f>IF($K312=BP$3,IF($C312="X",0,$O312),0)</f>
        <v>0</v>
      </c>
      <c r="BQ312" s="137">
        <f>IF($K312=BQ$3,IF($C312="X",0,$O312),0)</f>
        <v>0</v>
      </c>
      <c r="BR312" s="134">
        <f>IF($K312=BR$3,IF($C312="X",0,$O312),0)</f>
        <v>0</v>
      </c>
      <c r="BS312" s="282"/>
      <c r="BT312" s="283"/>
      <c r="BU312" s="140"/>
      <c r="BV312" s="283"/>
      <c r="BW312" s="140"/>
      <c r="BX312" s="140"/>
      <c r="BY312" s="140"/>
      <c r="BZ312" s="283"/>
      <c r="CA312" s="140"/>
      <c r="CB312" s="140"/>
      <c r="CC312" s="140"/>
      <c r="CD312" s="141"/>
      <c r="CE312" s="142"/>
      <c r="CF312" s="284">
        <f>IF(CF$3=$K312,IF($C312="W",1,IF($C312="1/2W",0.5,0)),0)</f>
        <v>0</v>
      </c>
      <c r="CG312" s="285">
        <f>IF(CF$3=$K312,IF($C312="L",1,IF($C312="1/2L",0.5,0)),0)</f>
        <v>0</v>
      </c>
      <c r="CH312" s="285">
        <f>IF(CH$3=$K312,IF($C312="W",1,IF($C312="1/2W",0.5,0)),0)</f>
        <v>0</v>
      </c>
      <c r="CI312" s="285">
        <f>IF(CH$3=$K312,IF($C312="L",1,IF($C312="1/2L",0.5,0)),0)</f>
        <v>0</v>
      </c>
      <c r="CJ312" s="285">
        <f>IF(CJ$3=$K312,IF($C312="W",1,IF($C312="1/2W",0.5,0)),0)</f>
        <v>0</v>
      </c>
      <c r="CK312" s="285">
        <f>IF(CJ$3=$K312,IF($C312="L",1,IF($C312="1/2L",0.5,0)),0)</f>
        <v>0</v>
      </c>
      <c r="CL312" s="285">
        <f>IF(CL$3=$K312,IF($C312="W",1,IF($C312="1/2W",0.5,0)),0)</f>
        <v>0</v>
      </c>
      <c r="CM312" s="285">
        <f>IF(CL$3=$K312,IF($C312="L",1,IF($C312="1/2L",0.5,0)),0)</f>
        <v>0</v>
      </c>
      <c r="CN312" s="285">
        <f>IF(CN$3=$K312,IF($C312="W",1,IF($C312="1/2W",0.5,0)),0)</f>
        <v>0</v>
      </c>
      <c r="CO312" s="285">
        <f>IF(CN$3=$K312,IF($C312="L",1,IF($C312="1/2L",0.5,0)),0)</f>
        <v>0</v>
      </c>
      <c r="CP312" s="285">
        <f>IF(CP$3=$K312,IF($C312="W",1,IF($C312="1/2W",0.5,0)),0)</f>
        <v>0</v>
      </c>
      <c r="CQ312" s="285">
        <f>IF(CP$3=$K312,IF($C312="L",1,IF($C312="1/2L",0.5,0)),0)</f>
        <v>0</v>
      </c>
      <c r="CR312" s="285">
        <f>IF(CR$3=$K312,IF($C312="W",1,IF($C312="1/2W",0.5,0)),0)</f>
        <v>0</v>
      </c>
      <c r="CS312" s="285">
        <f>IF(CR$3=$K312,IF($C312="L",1,IF($C312="1/2L",0.5,0)),0)</f>
        <v>0</v>
      </c>
      <c r="CT312" s="145">
        <f>IF(CT$3=$K312,IF($C312="W",1,IF($C312="1/2W",0.5,0)),0)</f>
        <v>0</v>
      </c>
      <c r="CU312" s="146">
        <f>IF(CT$3=$K312,IF($C312="L",1,IF($C312="1/2L",0.5,0)),0)</f>
        <v>0</v>
      </c>
      <c r="CV312" s="146">
        <f>IF(CV$3=$K312,IF($C312="W",1,IF($C312="1/2W",0.5,0)),0)</f>
        <v>0</v>
      </c>
      <c r="CW312" s="146">
        <f>IF(CV$3=$K312,IF($C312="L",1,IF($C312="1/2L",0.5,0)),0)</f>
        <v>0</v>
      </c>
      <c r="CX312" s="146">
        <f>IF(CX$3=$K312,IF($C312="W",1,IF($C312="1/2W",0.5,0)),0)</f>
        <v>0</v>
      </c>
      <c r="CY312" s="146">
        <f>IF(CX$3=$K312,IF($C312="L",1,IF($C312="1/2L",0.5,0)),0)</f>
        <v>0</v>
      </c>
      <c r="CZ312" s="146">
        <f>IF(CZ$3=$K312,IF($C312="W",1,IF($C312="1/2W",0.5,0)),0)</f>
        <v>0</v>
      </c>
      <c r="DA312" s="146">
        <f>IF(CZ$3=$K312,IF($C312="L",1,IF($C312="1/2L",0.5,0)),0)</f>
        <v>0</v>
      </c>
      <c r="DB312" s="146">
        <f>IF(DB$3=$K312,IF($C312="W",1,IF($C312="1/2W",0.5,0)),0)</f>
        <v>0</v>
      </c>
      <c r="DC312" s="146">
        <f>IF(DB$3=$K312,IF($C312="L",1,IF($C312="1/2L",0.5,0)),0)</f>
        <v>0</v>
      </c>
      <c r="DD312" s="146">
        <f>IF(DD$3=$K312,IF($C312="W",1,IF($C312="1/2W",0.5,0)),0)</f>
        <v>0</v>
      </c>
      <c r="DE312" s="147">
        <f>IF(DD$3=$K312,IF($C312="L",1,IF($C312="1/2L",0.5,0)),0)</f>
        <v>0</v>
      </c>
      <c r="DF312" s="143">
        <f>IF(AND(L312&lt;DF$3,$C312="W"),1+DF311,DF311)</f>
        <v>12</v>
      </c>
      <c r="DG312" s="133">
        <f>IF(DF312&gt;DF311,L312+DG311,DG311)</f>
        <v>15.718</v>
      </c>
      <c r="DH312" s="146">
        <f>IF(AND(L312&gt;DH$3,$C312="W"),1+DH311,0+DH311)</f>
        <v>7</v>
      </c>
      <c r="DI312" s="133">
        <f>IF(DH312&gt;DH311,L312+DI311,DI311)</f>
        <v>34.83</v>
      </c>
      <c r="DJ312" t="s" s="304">
        <f>IF($D310="","",$D310)</f>
        <v>272</v>
      </c>
      <c r="DK312" s="286"/>
    </row>
    <row r="313" ht="14.55" customHeight="1">
      <c r="A313" s="171">
        <f>$A310+1</f>
        <v>104</v>
      </c>
      <c r="B313" t="s" s="172">
        <f>IF(AND(_xlfn.XLOOKUP(H313,H$97:H122,G$97:G122,0)=G313,_xlfn.XLOOKUP("TempoBet",K313:K315,L313:L315,0)&gt;0),"X",IF(OR(C313="W",C314="W",C315="W",C313="1/2W",C314="1/2W",C315="1/2W",C313="1/2L",C314="1/2L",C315="1/2L"),"OK",IF(OR(C313="L",C314="L",C315="L"),"LOSS",IF(OR(C313="X",C314="X",C315="X"),"Anulado"," "))))</f>
        <v>50</v>
      </c>
      <c r="C313" t="s" s="173">
        <v>56</v>
      </c>
      <c r="D313" t="s" s="305">
        <f>IF(G313="","",$D310)</f>
        <v>272</v>
      </c>
      <c r="E313" t="s" s="175">
        <f>IF(G313=""," ","– "&amp;COUNTIF(D$4:D315,$D313))</f>
        <v>108</v>
      </c>
      <c r="F313" t="s" s="176"/>
      <c r="G313" s="177">
        <v>44946.208333333336</v>
      </c>
      <c r="H313" t="s" s="178">
        <v>276</v>
      </c>
      <c r="I313" t="s" s="179">
        <v>65</v>
      </c>
      <c r="J313" s="291">
        <v>13.5</v>
      </c>
      <c r="K313" t="s" s="181">
        <v>41</v>
      </c>
      <c r="L313" s="182">
        <v>2</v>
      </c>
      <c r="M313" s="183">
        <v>6.15</v>
      </c>
      <c r="N313" s="184">
        <v>0</v>
      </c>
      <c r="O313" s="185">
        <f>IF(OR(AE313="",AE314=""),"",ROUND(IF(L315&gt;0,IF(M313&gt;0,M313,IF(M314&gt;0,ROUND((M314*AE313)/AE314,IF(N313=0,2,IF(N313=0.1,1,0))),ROUND((M315*AE313)/AE315,IF(N313=0,2,IF(N313=0.1,1,0))))),IF(M313&gt;0,M313,ROUND((M314*AE313)/AE314,IF(N313=0,2,IF(N313=0.1,1,0))))),2))</f>
        <v>6.15</v>
      </c>
      <c r="P313" s="186">
        <f>IF(OR(L313="",O313=""),"",IF($C313="1/2W",O313/2+O313/2*L313,IF($C313="1/2L",O313/2,IF(I313="Lay",(O313*(L313/(L313-1))-O313)*(1-_xlfn.XLOOKUP(K313,'Janeiro 2023 - Valor Real'!A3:A15,'Janeiro 2023 - Valor Real'!C3:C15,0))+O313,(O313*L313-O313)*(1-_xlfn.XLOOKUP(K313,'Janeiro 2023 - Valor Real'!A3:A15,'Janeiro 2023 - Valor Real'!C3:C15,0))+O313))))</f>
        <v>12.3</v>
      </c>
      <c r="Q313" s="187">
        <f>IF(K313="","",IF(_xlfn.XLOOKUP(K313,K$97:K122,DJ$97:DJ122,0,,-1)=DJ313,_xlfn.XLOOKUP(K313,K$97:K122,Q$97:Q122,1,,-1)+1,1))</f>
        <v>1</v>
      </c>
      <c r="R313" s="188">
        <f>IF(K313="","",_xlfn.XLOOKUP(K313,K$97:K122,R$97:R122,0,,-1)+IF($C313=" ",1,0))</f>
        <v>0</v>
      </c>
      <c r="S313" s="189">
        <f>IF($B313="Anulado",0,ROUND(IF(OR($B313="LOSS",$B313="OK"),IF(OR($C313="W",$C313="1/2W",$C313="1/2L"),P313-O313,IF($C313="L",-O313,0))+IF(OR($C314="W",$C314="1/2W",$C314="1/2L"),P314-O314,IF($C314="L",-O314,0))+IF(OR($C315="W",$C315="1/2W",$C315="1/2L"),P315-O315,IF($C315="L",-O315,0)),IF(AND(OR($C313="W",$C313="1/2W",$C313="1/2L"),C314="W"),P313+P314-SUM(O313:O315)+_xlfn.XLOOKUP("X",C313:C315,O313:O315,0),IF(AND(C313=TRUE,C315="W"),P313+P315-SUM(O313:O315),IF(AND(C314="W",C315="W"),P314+P315-SUM(O313:O315)+_xlfn.XLOOKUP("X",C313:C315,O313:O315,0),IF(L315&gt;0,IF(OR($C313="W",$C313="1/2W",$C313="1/2L"),P313-SUM(O313:O315)+_xlfn.XLOOKUP("X",C313:C315,O313:O315,0),IF(OR($C313="W",$C313="1/2W",$C313="1/2L"),P314-SUM(O313:O315)+_xlfn.XLOOKUP("X",C313:C315,O313:O315,0),IF(OR($C313="W",$C313="1/2W",$C313="1/2L"),P315-SUM(O313:O315)+_xlfn.XLOOKUP("X",C313:C315,O313:O315,0),IF(SUM(P313:P315)/3-SUM(O313:O315)+_xlfn.XLOOKUP("X",C313:C315,O313:O315,0)&gt;0,SUM(P313:P315)/3-SUM(O313:O315)+_xlfn.XLOOKUP("X",C313:C315,O313:O315,0),LARGE(P313:P315,1)-SUM(O313:O315))))),IF(OR($C313="W",$C313="1/2W",$C313="1/2L"),P313-SUM(O313:O314)+_xlfn.XLOOKUP("X",C313:C315,O313:O315,0),IF(OR($C313="W",$C313="1/2W",$C313="1/2L"),P314-SUM(O313:O314)+_xlfn.XLOOKUP("X",C313:C315,O313:O315,0),SUM(P313:P314)/2-SUM(O313:O314)+_xlfn.XLOOKUP("X",C313:C315,O313:O315,0)))))))),2))</f>
        <v>0.55</v>
      </c>
      <c r="T313" s="190">
        <f>IF(S313=0,0,S313/SUM(O313:O315))</f>
        <v>0.0468085106382979</v>
      </c>
      <c r="U313" s="191">
        <f>IF($D313=$D310,IF(OR($B313="LOSS",$B313="OK",$B313="Anulada"),S313,0)+U310,IF(OR($B313="LOSS",$B313="OK",$B313="Anulada"),S313,0))</f>
        <v>4.16</v>
      </c>
      <c r="V313" s="191">
        <f>IF($D313="",0,IF($D313=$D310,IF($B313=" ",IF(I315="",IF(OR(AND(I313="DNB1",I314="DNB2"),AND(OR(I313="DNB1",I313="DNB2"),J314=0),AND(OR(I314="DNB1",I314="DNB2"),J313=0),AND(I313="DNB2",I314="DNB1"),AND(IF(J313=0,(J313+1)/ROUND(J313+1,0),J313/ROUND(J313,0))=1,IF(J314=0,(J314+1)/ROUND(IF(J314="",0,J314)+1,0),IF(J314="",0,J314)/ROUND(IF(J314="",1,J314),0))=1,OR(J313&lt;&gt;""),J314&lt;&gt;"")),0,IF(S313&lt;0,IF(I315="",SMALL(P313:P314,1)-SUM(O313:O314),0),SMALL(P313:P314,1)-SUM(O313:O314))),IF(S313&lt;0,IF(I315="",SMALL(P313:P315,1)-SUM(O313:O315),0),LARGE(P313:P315,1)-SUM(O313:O315))),S313)+V310,IF(I315="",IF(OR(AND(I313="DNB1",I314="DNB2"),AND(OR(I313="DNB1",I313="DNB2"),J314=0),AND(OR(I314="DNB1",I314="DNB2"),J313=0),AND(I313="DNB2",I314="DNB1"),AND(IF(J313=0,(J313+1)/ROUND(J313+1,0),J313/ROUND(J313,0))=1,IF(J314=0,(IF(J314="",0,J314)+1)/ROUND(IF(J314="",0,J314)+1,0),IF(J314="",0,J314)/ROUND(IF(J314="",0,J314)+1,0))=1,OR(J313&lt;&gt;""),J314&lt;&gt;"")),0,IF(S313&lt;0,IF(I315="",SMALL(P313:P314,1)-SUM(O313:O314),0),SMALL(P313:P315,1)-SUM(O313:O315))),IF(S313&lt;0,IF(I315="",SMALL(P313:P315,1)-SUM(O313:O315),0),LARGE(P313:P315,1)-SUM(O313:O315)))))</f>
        <v>4.125</v>
      </c>
      <c r="W313" s="191">
        <f>IF($D313=$D310,IF(S313&lt;0,IF(I315="",S313,0),S313)+W310,S313)</f>
        <v>4.16</v>
      </c>
      <c r="X313" t="s" s="192">
        <f>IF(OR(SUM(R313:R315)=0,V313=W313),ROUND(IF(W313=0,0,W313/Y313)*100,2)&amp;"%",ROUND(IF(V313=0,0,V313/Y313)*100,2)&amp;"% a "&amp;ROUND(IF(W313=0,0,W313/Y313)*100,2)&amp;"%")</f>
        <v>277</v>
      </c>
      <c r="Y313" s="193">
        <f>IF($D313=$D310,Y310+SUM(O313:O315),SUM(O313:O315))</f>
        <v>125.39</v>
      </c>
      <c r="Z313" s="191">
        <f>IF($B313=" ",SUM(O313:O315),0)+Z310</f>
        <v>0</v>
      </c>
      <c r="AA313" s="191">
        <f>IF(G313="","",IF($B313="Anulado",LARGE(P313:P315,1)-SUM(O313:O315)+AA310,AA310))</f>
        <v>16.5099</v>
      </c>
      <c r="AB313" s="191">
        <f>IF($D313="","",AB310+S313)</f>
        <v>307.53</v>
      </c>
      <c r="AC313" s="194">
        <f>IF($D313="","",IF($B313=" ",IF(DAY(G313)=DAY(TODAY()),1+AC310,0+AC310),0+AC310))</f>
        <v>0</v>
      </c>
      <c r="AD313" s="195">
        <f>(((L314/(L314-1)-1)*(1-_xlfn.XLOOKUP(K314,'Janeiro 2023 - Valor Real'!A3:A15,'Janeiro 2023 - Valor Real'!C3:C15,0))+1))/(((L313-1)*(1-_xlfn.XLOOKUP(K313,'Janeiro 2023 - Valor Real'!A3:A15,'Janeiro 2023 - Valor Real'!C3:C15,0))+1)+((L314/(L314-1)-1)*(1-_xlfn.XLOOKUP(K314,'Janeiro 2023 - Valor Real'!A3:A15,'Janeiro 2023 - Valor Real'!C3:C15,0))+1))</f>
        <v>0.478260869565217</v>
      </c>
      <c r="AE313" s="196">
        <f>IF(L313="","",IF(L315&gt;0,(SUM(((L313-1)*(1-_xlfn.XLOOKUP(K313,'Janeiro 2023 - Valor Real'!A3:A15,'Janeiro 2023 - Valor Real'!C3:C15,0))+1),((L314-1)*(1-_xlfn.XLOOKUP(K314,'Janeiro 2023 - Valor Real'!A3:A15,'Janeiro 2023 - Valor Real'!C3:C15,0))+1),((L315-1)*(1-_xlfn.XLOOKUP(K315,'Janeiro 2023 - Valor Real'!A3:A15,'Janeiro 2023 - Valor Real'!C3:C15,0))+1))/((L313-1)*(1-_xlfn.XLOOKUP(K313,'Janeiro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Real'!C3:C15,0))+1))/((L313-1)*(1-_xlfn.XLOOKUP(K313,'Janeiro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Real'!C3:C15,0))+1))/((L314-1)*(1-_xlfn.XLOOKUP(K314,'Janeiro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Real'!C3:C15,0))+1))/((L315-1)*(1-_xlfn.XLOOKUP(K315,'Janeiro 2023 - Valor Real'!A3:A15,'Janeiro 2023 - Valor Real'!C3:C15,0))+1)),IF(I313="Lay",IF(I314="Lay",((L314/(L314-1)-1)*(1-_xlfn.XLOOKUP(K314,'Janeiro 2023 - Valor Real'!A3:A15,'Janeiro 2023 - Valor Real'!C3:C15,0))+1)/(((L314/(L314-1)-1)*(1-_xlfn.XLOOKUP(K314,'Janeiro 2023 - Valor Real'!A3:A15,'Janeiro 2023 - Valor Real'!C3:C15,0))+1)+((L313/(L313-1)-1)*(1-_xlfn.XLOOKUP(K313,'Janeiro 2023 - Valor Real'!A3:A15,'Janeiro 2023 - Valor Real'!C3:C15,0))+1)),((L314-1)*(1-_xlfn.XLOOKUP(K314,'Janeiro 2023 - Valor Real'!A3:A15,'Janeiro 2023 - Valor Real'!C3:C15,0))+1)/(((L314-1)*(1-_xlfn.XLOOKUP(K314,'Janeiro 2023 - Valor Real'!A3:A15,'Janeiro 2023 - Valor Real'!C3:C15,0))+1)+((L313/(L313-1)-1)*(1-_xlfn.XLOOKUP(K313,'Janeiro 2023 - Valor Real'!A3:A15,'Janeiro 2023 - Valor Real'!C3:C15,0))+1))),IF(I314="Lay",(((L314/(L314-1)-1)*(1-_xlfn.XLOOKUP(K314,'Janeiro 2023 - Valor Real'!A3:A15,'Janeiro 2023 - Valor Real'!C3:C15,0))+1))/(((L313-1)*(1-_xlfn.XLOOKUP(K313,'Janeiro 2023 - Valor Real'!A3:A15,'Janeiro 2023 - Valor Real'!C3:C15,0))+1)+((L314/(L314-1)-1)*(1-_xlfn.XLOOKUP(K314,'Janeiro 2023 - Valor Real'!A3:A15,'Janeiro 2023 - Valor Real'!C3:C15,0))+1)),((L314-1)*(1-_xlfn.XLOOKUP(K314,'Janeiro 2023 - Valor Real'!A3:A15,'Janeiro 2023 - Valor Real'!C3:C15,0))+1)/(((L314-1)*(1-_xlfn.XLOOKUP(K314,'Janeiro 2023 - Valor Real'!A3:A15,'Janeiro 2023 - Valor Real'!C3:C15,0))+1)+((L313-1)*(1-_xlfn.XLOOKUP(K313,'Janeiro 2023 - Valor Real'!A3:A15,'Janeiro 2023 - Valor Real'!C3:C15,0))+1))))))</f>
        <v>0.5238095238095239</v>
      </c>
      <c r="AF313" s="197">
        <f>IF($K313=AF$3,ROUND(IF(OR($C313="W",$C313="1/2W",$C313="1/2L"),$P313-$O313,IF($C313="X",0,-$O313)),2),0)</f>
        <v>0</v>
      </c>
      <c r="AG313" s="198">
        <f>IF($K313=AG$3,ROUND(IF(OR($C313="W",$C313="1/2W",$C313="1/2L"),$P313-$O313,IF($C313="X",0,-$O313)),2),0)</f>
        <v>0</v>
      </c>
      <c r="AH313" s="198">
        <f>IF($K313=AH$3,ROUND(IF(OR($C313="W",$C313="1/2W",$C313="1/2L"),$P313-$O313,IF($C313="X",0,-$O313)),2),0)</f>
        <v>0</v>
      </c>
      <c r="AI313" s="198">
        <f>IF($K313=AI$3,ROUND(IF(OR($C313="W",$C313="1/2W",$C313="1/2L"),$P313-$O313,IF($C313="X",0,-$O313)),2),0)</f>
        <v>0</v>
      </c>
      <c r="AJ313" s="198">
        <f>IF($K313=AJ$3,ROUND(IF(OR($C313="W",$C313="1/2W",$C313="1/2L"),$P313-$O313,IF($C313="X",0,-$O313)),2),0)</f>
        <v>6.15</v>
      </c>
      <c r="AK313" s="198">
        <f>IF($K313=AK$3,ROUND(IF(OR($C313="W",$C313="1/2W",$C313="1/2L"),$P313-$O313,IF($C313="X",0,-$O313)),2),0)</f>
        <v>0</v>
      </c>
      <c r="AL313" s="198">
        <f>IF($K313=AL$3,ROUND(IF(OR($C313="W",$C313="1/2W",$C313="1/2L"),$P313-$O313,IF($C313="X",0,-$O313)),2),0)</f>
        <v>0</v>
      </c>
      <c r="AM313" s="198">
        <f>IF($K313=AM$3,ROUND(IF(OR($C313="W",$C313="1/2W",$C313="1/2L"),$P313-$O313,IF($C313="X",0,-$O313)),2),0)</f>
        <v>0</v>
      </c>
      <c r="AN313" s="198">
        <f>IF($K313=AN$3,ROUND(IF(OR($C313="W",$C313="1/2W",$C313="1/2L"),$P313-$O313,IF($C313="X",0,-$O313)),2),0)</f>
        <v>0</v>
      </c>
      <c r="AO313" s="198">
        <f>IF($K313=AO$3,ROUND(IF(OR($C313="W",$C313="1/2W",$C313="1/2L"),$P313-$O313,IF($C313="X",0,-$O313)),2),0)</f>
        <v>0</v>
      </c>
      <c r="AP313" s="198">
        <f>IF($K313=AP$3,ROUND(IF(OR($C313="W",$C313="1/2W",$C313="1/2L"),$P313-$O313,IF($C313="X",0,-$O313)),2),0)</f>
        <v>0</v>
      </c>
      <c r="AQ313" s="198">
        <f>IF($K313=AQ$3,ROUND(IF(OR($C313="W",$C313="1/2W",$C313="1/2L"),$P313-$O313,IF($C313="X",0,-$O313)),2),0)</f>
        <v>0</v>
      </c>
      <c r="AR313" s="199">
        <f>IF($K313=AR$3,ROUND(IF(OR($C313="W",$C313="1/2W",$C313="1/2L"),$P313-$O313,IF($C313="X",0,-$O313)),2),0)</f>
        <v>0</v>
      </c>
      <c r="AS313" s="197">
        <f>IF(AND($B313=" ",$K313=AS$3),$O313,0)</f>
        <v>0</v>
      </c>
      <c r="AT313" s="198">
        <f>IF(AND($B313=" ",$K313=AT$3),$O313,0)</f>
        <v>0</v>
      </c>
      <c r="AU313" s="198">
        <f>IF(AND($B313=" ",$K313=AU$3),$O313,0)</f>
        <v>0</v>
      </c>
      <c r="AV313" s="198">
        <f>IF(AND($B313=" ",$K313=AV$3),$O313,0)</f>
        <v>0</v>
      </c>
      <c r="AW313" s="198">
        <f>IF(AND($B313=" ",$K313=AW$3),$O313,0)</f>
        <v>0</v>
      </c>
      <c r="AX313" s="198">
        <f>IF(AND($B313=" ",$K313=AX$3),$O313,0)</f>
        <v>0</v>
      </c>
      <c r="AY313" s="200">
        <f>IF(AND($B313=" ",$K313=AY$3),$O313,0)</f>
        <v>0</v>
      </c>
      <c r="AZ313" s="201">
        <f>IF(AND($B313=" ",$K313=AZ$3),$O313,0)</f>
        <v>0</v>
      </c>
      <c r="BA313" s="201">
        <f>IF(AND($B313=" ",$K313=BA$3),$O313,0)</f>
        <v>0</v>
      </c>
      <c r="BB313" s="201">
        <f>IF(AND($B313=" ",$K313=BB$3),$O313,0)</f>
        <v>0</v>
      </c>
      <c r="BC313" s="202">
        <f>IF(AND($B313=" ",$K313=BC$3),$O313,0)</f>
        <v>0</v>
      </c>
      <c r="BD313" s="198">
        <f>IF(AND($B313=" ",$K313=BD$3),$O313,0)</f>
        <v>0</v>
      </c>
      <c r="BE313" s="199">
        <f>IF(AND($B313=" ",$K313=BE$3),$O313,0)</f>
        <v>0</v>
      </c>
      <c r="BF313" s="203">
        <f>IF($K313=BF$3,IF($C313="X",0,$O313),0)</f>
        <v>0</v>
      </c>
      <c r="BG313" s="198">
        <f>IF($K313=BG$3,IF($C313="X",0,$O313),0)</f>
        <v>0</v>
      </c>
      <c r="BH313" s="198">
        <f>IF($K313=BH$3,IF($C313="X",0,$O313),0)</f>
        <v>0</v>
      </c>
      <c r="BI313" s="198">
        <f>IF($K313=BI$3,IF($C313="X",0,$O313),0)</f>
        <v>0</v>
      </c>
      <c r="BJ313" s="198">
        <f>IF($K313=BJ$3,IF($C313="X",0,$O313),0)</f>
        <v>6.15</v>
      </c>
      <c r="BK313" s="198">
        <f>IF($K313=BK$3,IF($C313="X",0,$O313),0)</f>
        <v>0</v>
      </c>
      <c r="BL313" s="198">
        <f>IF($K313=BL$3,IF($C313="X",0,$O313),0)</f>
        <v>0</v>
      </c>
      <c r="BM313" s="200">
        <f>IF($K313=BM$3,IF($C313="X",0,$O313),0)</f>
        <v>0</v>
      </c>
      <c r="BN313" s="201">
        <f>IF($K313=BN$3,IF($C313="X",0,$O313),0)</f>
        <v>0</v>
      </c>
      <c r="BO313" s="201">
        <f>IF($K313=BO$3,IF($C313="X",0,$O313),0)</f>
        <v>0</v>
      </c>
      <c r="BP313" s="201">
        <f>IF($K313=BP$3,IF($C313="X",0,$O313),0)</f>
        <v>0</v>
      </c>
      <c r="BQ313" s="202">
        <f>IF($K313=BQ$3,IF($C313="X",0,$O313),0)</f>
        <v>0</v>
      </c>
      <c r="BR313" s="199">
        <f>IF($K313=BR$3,IF($C313="X",0,$O313),0)</f>
        <v>0</v>
      </c>
      <c r="BS313" s="204">
        <f>IF($B313="LOSS",IF(AND($K313=BS$3,$C313="L"),-$O313,0)+IF(AND($K314=BS$3,$C314="L"),-$O314,0)+IF(AND($K315=BS$3,$C315="L"),-$O315,0),IF(OR(AND($K313=BS$3,OR($C313="W",$C313="1/2W")),AND($K314=BS$3,OR($C314="W",$C314="1/2W")),AND($K315=BS$3,OR($C315="W",$C315="1/2W"))),$S313,0))</f>
        <v>0</v>
      </c>
      <c r="BT313" s="201">
        <f>IF($B313="LOSS",IF(AND($K313=BT$3,$C313="L"),-$O313,0)+IF(AND($K314=BT$3,$C314="L"),-$O314,0)+IF(AND($K314=BT$3,$C315="L"),-$O315,0),IF(OR(AND($K314=BT$3,OR($C313="W",$C313="1/2W")),AND($K314=BT$3,OR($C314="W",$C314="1/2W")),AND($K314=BT$3,OR($C315="W",$C315="1/2W"))),$S313,0))</f>
        <v>0</v>
      </c>
      <c r="BU313" s="201">
        <f>IF($B313="LOSS",IF(AND($K313=BU$3,$C313="L"),-$O313,0)+IF(AND($K314=BU$3,$C314="L"),-$O314,0)+IF(AND($K314=BU$3,$C315="L"),-$O315,0),IF(OR(AND($K314=BU$3,OR($C313="W",$C313="1/2W")),AND($K314=BU$3,OR($C314="W",$C314="1/2W")),AND($K314=BU$3,OR($C315="W",$C315="1/2W"))),$S313,0))</f>
        <v>0</v>
      </c>
      <c r="BV313" s="201">
        <f>IF($B313="LOSS",IF(AND($K313=BV$3,$C313="L"),-$O313,0)+IF(AND($K314=BV$3,$C314="L"),-$O314,0)+IF(AND($K315=BV$3,$C315="L"),-$O315,0),IF(OR(AND($K313=BV$3,OR($C313="W",$C313="1/2W")),AND($K314=BV$3,OR($C314="W",$C314="1/2W")),AND($K315=BV$3,OR($C315="W",$C315="1/2W"))),$S313,0))</f>
        <v>0</v>
      </c>
      <c r="BW313" s="201">
        <f>IF($B313="LOSS",IF(AND($K313=BW$3,$C313="L"),-$O313,0)+IF(AND($K314=BW$3,$C314="L"),-$O314,0)+IF(AND($K315=BW$3,$C315="L"),-$O315,0),IF(OR(AND($K313=BW$3,OR($C313="W",$C313="1/2W")),AND($K314=BW$3,OR($C314="W",$C314="1/2W")),AND($K315=BW$3,OR($C315="W",$C315="1/2W"))),$S313,0))</f>
        <v>0.55</v>
      </c>
      <c r="BX313" s="201">
        <f>IF($B313="LOSS",IF(AND($K313=BX$3,$C313="L"),-$O313,0)+IF(AND($K314=BX$3,$C314="L"),-$O314,0)+IF(AND($K315=BX$3,$C315="L"),-$O315,0),IF(OR(AND($K313=BX$3,OR($C313="W",$C313="1/2W")),AND($K314=BX$3,OR($C314="W",$C314="1/2W")),AND($K315=BX$3,OR($C315="W",$C315="1/2W"))),$S313,0))</f>
        <v>0</v>
      </c>
      <c r="BY313" s="201">
        <f>IF($B313="LOSS",IF(AND($K313=BY$3,$C313="L"),-$O313,0)+IF(AND($K314=BY$3,$C314="L"),-$O314,0)+IF(AND($K315=BY$3,$C315="L"),-$O315,0),IF(OR(AND($K313=BY$3,OR($C313="W",$C313="1/2W")),AND($K314=BY$3,OR($C314="W",$C314="1/2W")),AND($K315=BY$3,OR($C315="W",$C315="1/2W"))),$S313,0))</f>
        <v>0</v>
      </c>
      <c r="BZ313" s="205">
        <f>IF($B313="LOSS",IF(AND($K313=BZ$3,$C313="L"),-$O313,0)+IF(AND($K314=BZ$3,$C314="L"),-$O314,0)+IF(AND($K315=BZ$3,$C315="L"),-$O315,0),IF(OR(AND($K313=BZ$3,OR($C313="W",$C313="1/2W")),AND($K314=BZ$3,OR($C314="W",$C314="1/2W")),AND($K315=BZ$3,OR($C315="W",$C315="1/2W"))),$S313,0))</f>
        <v>0</v>
      </c>
      <c r="CA313" s="205">
        <f>IF($B313="LOSS",IF(AND($K313=CA$3,$C313="L"),-$O313,0)+IF(AND($K314=CA$3,$C314="L"),-$O314,0)+IF(AND($K315=CA$3,$C315="L"),-$O315,0),IF(OR(AND($K313=CA$3,OR($C313="W",$C313="1/2W")),AND($K314=CA$3,OR($C314="W",$C314="1/2W")),AND($K315=CA$3,OR($C315="W",$C315="1/2W"))),$S313,0))</f>
        <v>0</v>
      </c>
      <c r="CB313" s="205">
        <f>IF($B313="LOSS",IF(AND($K313=CB$3,$C313="L"),-$O313,0)+IF(AND($K314=CB$3,$C314="L"),-$O314,0)+IF(AND($K315=CB$3,$C315="L"),-$O315,0),IF(OR(AND($K313=CB$3,OR($C313="W",$C313="1/2W")),AND($K314=CB$3,OR($C314="W",$C314="1/2W")),AND($K315=CB$3,OR($C315="W",$C315="1/2W"))),$S313,0))</f>
        <v>0</v>
      </c>
      <c r="CC313" s="205">
        <f>IF($B313="LOSS",IF(AND($K313=CC$3,$C313="L"),-$O313,0)+IF(AND($K314=CC$3,$C314="L"),-$O314,0)+IF(AND($K315=CC$3,$C315="L"),-$O315,0),IF(OR(AND($K313=CC$3,OR($C313="W",$C313="1/2W")),AND($K314=CC$3,OR($C314="W",$C314="1/2W")),AND($K315=CC$3,OR($C315="W",$C315="1/2W"))),$S313,0))</f>
        <v>0</v>
      </c>
      <c r="CD313" s="202">
        <f>IF($B313="LOSS",IF(AND($K313=CD$3,$C313="L"),-$O313,0)+IF(AND($K314=CD$3,$C314="L"),-$O314,0)+IF(AND($K315=CD$3,$C315="L"),-$O315,0),IF(OR(AND($K313=CD$3,OR($C313="W",$C313="1/2W")),AND($K314=CD$3,OR($C314="W",$C314="1/2W")),AND($K315=CD$3,OR($C315="W",$C315="1/2W"))),$S313,0))</f>
        <v>0</v>
      </c>
      <c r="CE313" s="199">
        <f>IF($B313="LOSS",IF(AND($K313=CE$3,$C313="L"),-$O313,0)+IF(AND($K314=CE$3,$C314="L"),-$O314,0)+IF(AND($K315=CE$3,$C315="L"),-$O315,0),IF(OR(AND($K313=CE$3,OR($C313="W",$C313="1/2W")),AND($K314=CE$3,OR($C314="W",$C314="1/2W")),AND($K315=CE$3,OR($C315="W",$C315="1/2W"))),$S313,0))</f>
        <v>0</v>
      </c>
      <c r="CF313" s="206">
        <f>IF(CF$3=$K313,IF($C313="W",1,IF($C313="1/2W",0.5,0)),0)</f>
        <v>0</v>
      </c>
      <c r="CG313" s="207">
        <f>IF(CF$3=$K313,IF($C313="L",1,IF($C313="1/2L",0.5,0)),0)</f>
        <v>0</v>
      </c>
      <c r="CH313" s="207">
        <f>IF(CH$3=$K313,IF($C313="W",1,IF($C313="1/2W",0.5,0)),0)</f>
        <v>0</v>
      </c>
      <c r="CI313" s="207">
        <f>IF(CH$3=$K313,IF($C313="L",1,IF($C313="1/2L",0.5,0)),0)</f>
        <v>0</v>
      </c>
      <c r="CJ313" s="207">
        <f>IF(CJ$3=$K313,IF($C313="W",1,IF($C313="1/2W",0.5,0)),0)</f>
        <v>0</v>
      </c>
      <c r="CK313" s="207">
        <f>IF(CJ$3=$K313,IF($C313="L",1,IF($C313="1/2L",0.5,0)),0)</f>
        <v>0</v>
      </c>
      <c r="CL313" s="207">
        <f>IF(CL$3=$K313,IF($C313="W",1,IF($C313="1/2W",0.5,0)),0)</f>
        <v>0</v>
      </c>
      <c r="CM313" s="207">
        <f>IF(CL$3=$K313,IF($C313="L",1,IF($C313="1/2L",0.5,0)),0)</f>
        <v>0</v>
      </c>
      <c r="CN313" s="207">
        <f>IF(CN$3=$K313,IF($C313="W",1,IF($C313="1/2W",0.5,0)),0)</f>
        <v>1</v>
      </c>
      <c r="CO313" s="207">
        <f>IF(CN$3=$K313,IF($C313="L",1,IF($C313="1/2L",0.5,0)),0)</f>
        <v>0</v>
      </c>
      <c r="CP313" s="207">
        <f>IF(CP$3=$K313,IF($C313="W",1,IF($C313="1/2W",0.5,0)),0)</f>
        <v>0</v>
      </c>
      <c r="CQ313" s="207">
        <f>IF(CP$3=$K313,IF($C313="L",1,IF($C313="1/2L",0.5,0)),0)</f>
        <v>0</v>
      </c>
      <c r="CR313" s="207">
        <f>IF(CR$3=$K313,IF($C313="W",1,IF($C313="1/2W",0.5,0)),0)</f>
        <v>0</v>
      </c>
      <c r="CS313" s="207">
        <f>IF(CR$3=$K313,IF($C313="L",1,IF($C313="1/2L",0.5,0)),0)</f>
        <v>0</v>
      </c>
      <c r="CT313" s="208">
        <f>IF(CT$3=$K313,IF($C313="W",1,IF($C313="1/2W",0.5,0)),0)</f>
        <v>0</v>
      </c>
      <c r="CU313" s="209">
        <f>IF(CT$3=$K313,IF($C313="L",1,IF($C313="1/2L",0.5,0)),0)</f>
        <v>0</v>
      </c>
      <c r="CV313" s="209">
        <f>IF(CV$3=$K313,IF($C313="W",1,IF($C313="1/2W",0.5,0)),0)</f>
        <v>0</v>
      </c>
      <c r="CW313" s="209">
        <f>IF(CV$3=$K313,IF($C313="L",1,IF($C313="1/2L",0.5,0)),0)</f>
        <v>0</v>
      </c>
      <c r="CX313" s="209">
        <f>IF(CX$3=$K313,IF($C313="W",1,IF($C313="1/2W",0.5,0)),0)</f>
        <v>0</v>
      </c>
      <c r="CY313" s="209">
        <f>IF(CX$3=$K313,IF($C313="L",1,IF($C313="1/2L",0.5,0)),0)</f>
        <v>0</v>
      </c>
      <c r="CZ313" s="209">
        <f>IF(CZ$3=$K313,IF($C313="W",1,IF($C313="1/2W",0.5,0)),0)</f>
        <v>0</v>
      </c>
      <c r="DA313" s="209">
        <f>IF(CZ$3=$K313,IF($C313="L",1,IF($C313="1/2L",0.5,0)),0)</f>
        <v>0</v>
      </c>
      <c r="DB313" s="209">
        <f>IF(DB$3=$K313,IF($C313="W",1,IF($C313="1/2W",0.5,0)),0)</f>
        <v>0</v>
      </c>
      <c r="DC313" s="209">
        <f>IF(DB$3=$K313,IF($C313="L",1,IF($C313="1/2L",0.5,0)),0)</f>
        <v>0</v>
      </c>
      <c r="DD313" s="209">
        <f>IF(DD$3=$K313,IF($C313="W",1,IF($C313="1/2W",0.5,0)),0)</f>
        <v>0</v>
      </c>
      <c r="DE313" s="210">
        <f>IF(DD$3=$K313,IF($C313="L",1,IF($C313="1/2L",0.5,0)),0)</f>
        <v>0</v>
      </c>
      <c r="DF313" s="211">
        <f>IF(AND(L313&lt;DF$3,$C313="W"),1+DF312,DF312)</f>
        <v>12</v>
      </c>
      <c r="DG313" s="198">
        <f>IF(DF313&gt;DF312,L313+DG312,DG312)</f>
        <v>15.718</v>
      </c>
      <c r="DH313" s="209">
        <f>IF(AND(L313&gt;DH$3,$C313="W"),1+DH312,0+DH312)</f>
        <v>7</v>
      </c>
      <c r="DI313" s="198">
        <f>IF(DH313&gt;DH312,L313+DI312,DI312)</f>
        <v>34.83</v>
      </c>
      <c r="DJ313" t="s" s="306">
        <f>IF($D313="","",$D313)</f>
        <v>272</v>
      </c>
      <c r="DK313" s="209">
        <f>IF(AND($B313=" ",$D313&lt;&gt;""),1,0)</f>
        <v>0</v>
      </c>
    </row>
    <row r="314" ht="14.55" customHeight="1">
      <c r="A314" s="107"/>
      <c r="B314" s="108"/>
      <c r="C314" t="s" s="213">
        <v>51</v>
      </c>
      <c r="D314" s="110"/>
      <c r="E314" s="111"/>
      <c r="F314" s="112"/>
      <c r="G314" s="214"/>
      <c r="H314" s="114"/>
      <c r="I314" t="s" s="215">
        <v>67</v>
      </c>
      <c r="J314" s="296">
        <v>14.5</v>
      </c>
      <c r="K314" t="s" s="217">
        <v>40</v>
      </c>
      <c r="L314" s="218">
        <v>2.2</v>
      </c>
      <c r="M314" s="219">
        <v>5.6</v>
      </c>
      <c r="N314" s="120"/>
      <c r="O314" s="220">
        <f>IF(OR(AE313="",AE314=""),"",ROUND(IF(L315&gt;0,IF(M314&gt;0,M314,IF(M313&gt;0,IF(N313=TRUE,ROUND((M313*AE314)/AE313,0),(M313*AE314)/AE313),IF(M314&gt;0,ROUND(M314,IF(N313=0,2,IF(N313=0.1,1,0))),IF(M315&gt;0,ROUND(O315*AE314/AE315,IF(N313=0,2,IF(N313=0.1,1,0))),0)))),IF(M314&gt;0,M314,ROUND((M313*AE314)/AE313,IF(N313=0,2,IF(N313=0.1,1,0))))),2))</f>
        <v>5.6</v>
      </c>
      <c r="P314" s="221">
        <f>IF(OR(L314="",O314=""),"",IF($C314="1/2W",O314/2+O314/2*L314,IF($C314="1/2L",O314/2,IF(I314="Lay",((O314*(L314/(L314-1)))-O314)*(1-_xlfn.XLOOKUP(K314,'Janeiro 2023 - Valor Real'!A3:A15,'Janeiro 2023 - Valor Real'!C3:C15,0))+O314,(O314*L314-O314)*(1-_xlfn.XLOOKUP(K314,'Janeiro 2023 - Valor Real'!A3:A15,'Janeiro 2023 - Valor Real'!C3:C15,0))+O314))))</f>
        <v>12.32</v>
      </c>
      <c r="Q314" s="222">
        <f>IF(K314="","",IF(_xlfn.XLOOKUP(K314,K$98:K123,DJ$98:DJ123,0,,-1)=DJ314,_xlfn.XLOOKUP(K314,K$98:K123,Q$98:Q123,1,,-1)+1,1))</f>
        <v>1</v>
      </c>
      <c r="R314" s="223">
        <f>IF(K314="","",_xlfn.XLOOKUP(K314,K$98:K123,R$98:R123,0,,-1)+IF($C314=" ",1,0))</f>
        <v>0</v>
      </c>
      <c r="S314" s="125"/>
      <c r="T314" s="126"/>
      <c r="U314" s="126"/>
      <c r="V314" s="224"/>
      <c r="W314" s="126"/>
      <c r="X314" s="127"/>
      <c r="Y314" s="128"/>
      <c r="Z314" s="129"/>
      <c r="AA314" s="129"/>
      <c r="AB314" s="129"/>
      <c r="AC314" s="129"/>
      <c r="AD314" s="225">
        <f>(((L314/(L314-1)-1)*(1-_xlfn.XLOOKUP(K314,'Janeiro 2023 - Valor Real'!A3:A15,'Janeiro 2023 - Valor Real'!C3:C15,0))+1))</f>
        <v>1.83333333333333</v>
      </c>
      <c r="AE314" s="226">
        <f>IF(L314="","",IF(L315&gt;0,(SUM(((L313-1)*(1-_xlfn.XLOOKUP(K313,'Janeiro 2023 - Valor Real'!A3:A15,'Janeiro 2023 - Valor Real'!C3:C15,0))+1),((L314-1)*(1-_xlfn.XLOOKUP(K314,'Janeiro 2023 - Valor Real'!A3:A15,'Janeiro 2023 - Valor Real'!C3:C15,0))+1),((L315-1)*(1-_xlfn.XLOOKUP(K315,'Janeiro 2023 - Valor Real'!A3:A15,'Janeiro 2023 - Valor Real'!C3:C15,0))+1))/((L314-1)*(1-_xlfn.XLOOKUP(K314,'Janeiro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Real'!C3:C15,0))+1))/((L313-1)*(1-_xlfn.XLOOKUP(K313,'Janeiro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Real'!C3:C15,0))+1))/((L314-1)*(1-_xlfn.XLOOKUP(K314,'Janeiro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Real'!C3:C15,0))+1))/((L315-1)*(1-_xlfn.XLOOKUP(K315,'Janeiro 2023 - Valor Real'!A3:A15,'Janeiro 2023 - Valor Real'!C3:C15,0))+1)),IF(I314="Lay",IF(I313="Lay",((L313/(L313-1)-1)*(1-_xlfn.XLOOKUP(K313,'Janeiro 2023 - Valor Real'!A3:A15,'Janeiro 2023 - Valor Real'!C3:C15,0))+1)/(((L313/(L313-1)-1)*(1-_xlfn.XLOOKUP(K313,'Janeiro 2023 - Valor Real'!A3:A15,'Janeiro 2023 - Valor Real'!C3:C15,0))+1)+((L314/(L314-1)-1)*(1-_xlfn.XLOOKUP(K314,'Janeiro 2023 - Valor Real'!A3:A15,'Janeiro 2023 - Valor Real'!C3:C15,0))+1)),((L313-1)*(1-_xlfn.XLOOKUP(K313,'Janeiro 2023 - Valor Real'!A3:A15,'Janeiro 2023 - Valor Real'!C3:C15,0))+1)/(((L313-1)*(1-_xlfn.XLOOKUP(K313,'Janeiro 2023 - Valor Real'!A3:A15,'Janeiro 2023 - Valor Real'!C3:C15,0))+1)+((L314/(L314-1)-1)*(1-_xlfn.XLOOKUP(K314,'Janeiro 2023 - Valor Real'!A3:A15,'Janeiro 2023 - Valor Real'!C3:C15,0))+1))),IF(I313="Lay",((L313/(L313-1)-1)*(1-_xlfn.XLOOKUP(K313,'Janeiro 2023 - Valor Real'!A3:A15,'Janeiro 2023 - Valor Real'!C3:C15,0))+1)/((((L313/(L313-1)-1)*(1-_xlfn.XLOOKUP(K313,'Janeiro 2023 - Valor Real'!A3:A15,'Janeiro 2023 - Valor Real'!C3:C15,0))+1))+((L314-1)*(1-_xlfn.XLOOKUP(K314,'Janeiro 2023 - Valor Real'!A3:A15,'Janeiro 2023 - Valor Real'!C3:C15,0))+1)),((L313-1)*(1-_xlfn.XLOOKUP(K313,'Janeiro 2023 - Valor Real'!A3:A15,'Janeiro 2023 - Valor Real'!C3:C15,0))+1)/(((L313-1)*(1-_xlfn.XLOOKUP(K313,'Janeiro 2023 - Valor Real'!A3:A15,'Janeiro 2023 - Valor Real'!C3:C15,0))+1)+((L314-1)*(1-_xlfn.XLOOKUP(K314,'Janeiro 2023 - Valor Real'!A3:A15,'Janeiro 2023 - Valor Real'!C3:C15,0))+1))))))</f>
        <v>0.476190476190476</v>
      </c>
      <c r="AF314" s="197">
        <f>IF($K314=AF$3,ROUND(IF(OR($C314="W",$C314="1/2W",$C314="1/2L"),$P314-$O314,IF($C314="X",0,-$O314)),2),0)</f>
        <v>0</v>
      </c>
      <c r="AG314" s="198">
        <f>IF($K314=AG$3,ROUND(IF(OR($C314="W",$C314="1/2W",$C314="1/2L"),$P314-$O314,IF($C314="X",0,-$O314)),2),0)</f>
        <v>0</v>
      </c>
      <c r="AH314" s="198">
        <f>IF($K314=AH$3,ROUND(IF(OR($C314="W",$C314="1/2W",$C314="1/2L"),$P314-$O314,IF($C314="X",0,-$O314)),2),0)</f>
        <v>0</v>
      </c>
      <c r="AI314" s="198">
        <f>IF($K314=AI$3,ROUND(IF(OR($C314="W",$C314="1/2W",$C314="1/2L"),$P314-$O314,IF($C314="X",0,-$O314)),2),0)</f>
        <v>-5.6</v>
      </c>
      <c r="AJ314" s="198">
        <f>IF($K314=AJ$3,ROUND(IF(OR($C314="W",$C314="1/2W",$C314="1/2L"),$P314-$O314,IF($C314="X",0,-$O314)),2),0)</f>
        <v>0</v>
      </c>
      <c r="AK314" s="198">
        <f>IF($K314=AK$3,ROUND(IF(OR($C314="W",$C314="1/2W",$C314="1/2L"),$P314-$O314,IF($C314="X",0,-$O314)),2),0)</f>
        <v>0</v>
      </c>
      <c r="AL314" s="198">
        <f>IF($K314=AL$3,ROUND(IF(OR($C314="W",$C314="1/2W",$C314="1/2L"),$P314-$O314,IF($C314="X",0,-$O314)),2),0)</f>
        <v>0</v>
      </c>
      <c r="AM314" s="198">
        <f>IF($K314=AM$3,ROUND(IF(OR($C314="W",$C314="1/2W",$C314="1/2L"),$P314-$O314,IF($C314="X",0,-$O314)),2),0)</f>
        <v>0</v>
      </c>
      <c r="AN314" s="198">
        <f>IF($K314=AN$3,ROUND(IF(OR($C314="W",$C314="1/2W",$C314="1/2L"),$P314-$O314,IF($C314="X",0,-$O314)),2),0)</f>
        <v>0</v>
      </c>
      <c r="AO314" s="198">
        <f>IF($K314=AO$3,ROUND(IF(OR($C314="W",$C314="1/2W",$C314="1/2L"),$P314-$O314,IF($C314="X",0,-$O314)),2),0)</f>
        <v>0</v>
      </c>
      <c r="AP314" s="198">
        <f>IF($K314=AP$3,ROUND(IF(OR($C314="W",$C314="1/2W",$C314="1/2L"),$P314-$O314,IF($C314="X",0,-$O314)),2),0)</f>
        <v>0</v>
      </c>
      <c r="AQ314" s="198">
        <f>IF($K314=AQ$3,ROUND(IF(OR($C314="W",$C314="1/2W",$C314="1/2L"),$P314-$O314,IF($C314="X",0,-$O314)),2),0)</f>
        <v>0</v>
      </c>
      <c r="AR314" s="199">
        <f>IF($K314=AR$3,ROUND(IF(OR($C314="W",$C314="1/2W",$C314="1/2L"),$P314-$O314,IF($C314="X",0,-$O314)),2),0)</f>
        <v>0</v>
      </c>
      <c r="AS314" s="197">
        <f>IF(AND($B313=" ",$K314=AS$3),$O314,0)</f>
        <v>0</v>
      </c>
      <c r="AT314" s="198">
        <f>IF(AND($B313=" ",K314=AT$3),$O314,0)</f>
        <v>0</v>
      </c>
      <c r="AU314" s="198">
        <f>IF(AND($B313=" ",$K314=AU$3),$O314,0)</f>
        <v>0</v>
      </c>
      <c r="AV314" s="198">
        <f>IF(AND($B313=" ",$K314=AV$3),$O314,0)</f>
        <v>0</v>
      </c>
      <c r="AW314" s="198">
        <f>IF(AND($B313=" ",$K314=AW$3),$O314,0)</f>
        <v>0</v>
      </c>
      <c r="AX314" s="198">
        <f>IF(AND($B313=" ",$K314=AX$3),$O314,0)</f>
        <v>0</v>
      </c>
      <c r="AY314" s="200">
        <f>IF(AND($B313=" ",$K314=AY$3),$O314,0)</f>
        <v>0</v>
      </c>
      <c r="AZ314" s="201">
        <f>IF(AND($B313=" ",$K314=AZ$3),$O314,0)</f>
        <v>0</v>
      </c>
      <c r="BA314" s="201">
        <f>IF(AND($B313=" ",$K314=BA$3),$O314,0)</f>
        <v>0</v>
      </c>
      <c r="BB314" s="201">
        <f>IF(AND($B313=" ",$K314=BB$3),$O314,0)</f>
        <v>0</v>
      </c>
      <c r="BC314" s="202">
        <f>IF(AND($B313=" ",$K314=BC$3),$O314,0)</f>
        <v>0</v>
      </c>
      <c r="BD314" s="198">
        <f>IF(AND($B313=" ",$K314=BD$3),$O314,0)</f>
        <v>0</v>
      </c>
      <c r="BE314" s="199">
        <f>IF(AND($B313=" ",$K314=BE$3),$O314,0)</f>
        <v>0</v>
      </c>
      <c r="BF314" s="197">
        <f>IF($K314=BF$3,IF($C314="X",0,$O314),0)</f>
        <v>0</v>
      </c>
      <c r="BG314" s="198">
        <f>IF($K314=BG$3,IF($C314="X",0,$O314),0)</f>
        <v>0</v>
      </c>
      <c r="BH314" s="198">
        <f>IF($K314=BH$3,IF($C314="X",0,$O314),0)</f>
        <v>0</v>
      </c>
      <c r="BI314" s="198">
        <f>IF($K314=BI$3,IF($C314="X",0,$O314),0)</f>
        <v>5.6</v>
      </c>
      <c r="BJ314" s="198">
        <f>IF($K314=BJ$3,IF($C314="X",0,$O314),0)</f>
        <v>0</v>
      </c>
      <c r="BK314" s="198">
        <f>IF($K314=BK$3,IF($C314="X",0,$O314),0)</f>
        <v>0</v>
      </c>
      <c r="BL314" s="198">
        <f>IF($K314=BL$3,IF($C314="X",0,$O314),0)</f>
        <v>0</v>
      </c>
      <c r="BM314" s="227">
        <f>IF($K314=BM$3,IF($C314="X",0,$O314),0)</f>
        <v>0</v>
      </c>
      <c r="BN314" s="205">
        <f>IF($K314=BN$3,IF($C314="X",0,$O314),0)</f>
        <v>0</v>
      </c>
      <c r="BO314" s="205">
        <f>IF($K314=BO$3,IF($C314="X",0,$O314),0)</f>
        <v>0</v>
      </c>
      <c r="BP314" s="205">
        <f>IF($K314=BP$3,IF($C314="X",0,$O314),0)</f>
        <v>0</v>
      </c>
      <c r="BQ314" s="202">
        <f>IF($K314=BQ$3,IF($C314="X",0,$O314),0)</f>
        <v>0</v>
      </c>
      <c r="BR314" s="199">
        <f>IF($K314=BR$3,IF($C314="X",0,$O314),0)</f>
        <v>0</v>
      </c>
      <c r="BS314" s="228"/>
      <c r="BT314" s="229"/>
      <c r="BU314" s="140"/>
      <c r="BV314" s="229"/>
      <c r="BW314" s="140"/>
      <c r="BX314" s="140"/>
      <c r="BY314" s="140"/>
      <c r="BZ314" s="229"/>
      <c r="CA314" s="140"/>
      <c r="CB314" s="140"/>
      <c r="CC314" s="140"/>
      <c r="CD314" s="141"/>
      <c r="CE314" s="142"/>
      <c r="CF314" s="230">
        <f>IF(CF$3=$K314,IF($C314="W",1,IF($C314="1/2W",0.5,0)),0)</f>
        <v>0</v>
      </c>
      <c r="CG314" s="231">
        <f>IF(CF$3=$K314,IF($C314="L",1,IF($C314="1/2L",0.5,0)),0)</f>
        <v>0</v>
      </c>
      <c r="CH314" s="231">
        <f>IF(CH$3=$K314,IF($C314="W",1,IF($C314="1/2W",0.5,0)),0)</f>
        <v>0</v>
      </c>
      <c r="CI314" s="231">
        <f>IF(CH$3=$K314,IF($C314="L",1,IF($C314="1/2L",0.5,0)),0)</f>
        <v>0</v>
      </c>
      <c r="CJ314" s="231">
        <f>IF(CJ$3=$K314,IF($C314="W",1,IF($C314="1/2W",0.5,0)),0)</f>
        <v>0</v>
      </c>
      <c r="CK314" s="231">
        <f>IF(CJ$3=$K314,IF($C314="L",1,IF($C314="1/2L",0.5,0)),0)</f>
        <v>0</v>
      </c>
      <c r="CL314" s="231">
        <f>IF(CL$3=$K314,IF($C314="W",1,IF($C314="1/2W",0.5,0)),0)</f>
        <v>0</v>
      </c>
      <c r="CM314" s="231">
        <f>IF(CL$3=$K314,IF($C314="L",1,IF($C314="1/2L",0.5,0)),0)</f>
        <v>1</v>
      </c>
      <c r="CN314" s="231">
        <f>IF(CN$3=$K314,IF($C314="W",1,IF($C314="1/2W",0.5,0)),0)</f>
        <v>0</v>
      </c>
      <c r="CO314" s="231">
        <f>IF(CN$3=$K314,IF($C314="L",1,IF($C314="1/2L",0.5,0)),0)</f>
        <v>0</v>
      </c>
      <c r="CP314" s="231">
        <f>IF(CP$3=$K314,IF($C314="W",1,IF($C314="1/2W",0.5,0)),0)</f>
        <v>0</v>
      </c>
      <c r="CQ314" s="231">
        <f>IF(CP$3=$K314,IF($C314="L",1,IF($C314="1/2L",0.5,0)),0)</f>
        <v>0</v>
      </c>
      <c r="CR314" s="231">
        <f>IF(CR$3=$K314,IF($C314="W",1,IF($C314="1/2W",0.5,0)),0)</f>
        <v>0</v>
      </c>
      <c r="CS314" s="231">
        <f>IF(CR$3=$K314,IF($C314="L",1,IF($C314="1/2L",0.5,0)),0)</f>
        <v>0</v>
      </c>
      <c r="CT314" s="208">
        <f>IF(CT$3=$K314,IF($C314="W",1,IF($C314="1/2W",0.5,0)),0)</f>
        <v>0</v>
      </c>
      <c r="CU314" s="209">
        <f>IF(CT$3=$K314,IF($C314="L",1,IF($C314="1/2L",0.5,0)),0)</f>
        <v>0</v>
      </c>
      <c r="CV314" s="209">
        <f>IF(CV$3=$K314,IF($C314="W",1,IF($C314="1/2W",0.5,0)),0)</f>
        <v>0</v>
      </c>
      <c r="CW314" s="209">
        <f>IF(CV$3=$K314,IF($C314="L",1,IF($C314="1/2L",0.5,0)),0)</f>
        <v>0</v>
      </c>
      <c r="CX314" s="209">
        <f>IF(CX$3=$K314,IF($C314="W",1,IF($C314="1/2W",0.5,0)),0)</f>
        <v>0</v>
      </c>
      <c r="CY314" s="209">
        <f>IF(CX$3=$K314,IF($C314="L",1,IF($C314="1/2L",0.5,0)),0)</f>
        <v>0</v>
      </c>
      <c r="CZ314" s="209">
        <f>IF(CZ$3=$K314,IF($C314="W",1,IF($C314="1/2W",0.5,0)),0)</f>
        <v>0</v>
      </c>
      <c r="DA314" s="209">
        <f>IF(CZ$3=$K314,IF($C314="L",1,IF($C314="1/2L",0.5,0)),0)</f>
        <v>0</v>
      </c>
      <c r="DB314" s="209">
        <f>IF(DB$3=$K314,IF($C314="W",1,IF($C314="1/2W",0.5,0)),0)</f>
        <v>0</v>
      </c>
      <c r="DC314" s="209">
        <f>IF(DB$3=$K314,IF($C314="L",1,IF($C314="1/2L",0.5,0)),0)</f>
        <v>0</v>
      </c>
      <c r="DD314" s="209">
        <f>IF(DD$3=$K314,IF($C314="W",1,IF($C314="1/2W",0.5,0)),0)</f>
        <v>0</v>
      </c>
      <c r="DE314" s="210">
        <f>IF(DD$3=$K314,IF($C314="L",1,IF($C314="1/2L",0.5,0)),0)</f>
        <v>0</v>
      </c>
      <c r="DF314" s="211">
        <f>IF(AND(L314&lt;DF$3,$C314="W"),1+DF313,DF313)</f>
        <v>12</v>
      </c>
      <c r="DG314" s="198">
        <f>IF(DF314&gt;DF313,L314+DG313,DG313)</f>
        <v>15.718</v>
      </c>
      <c r="DH314" s="209">
        <f>IF(AND(L314&gt;DH$3,$C314="W"),1+DH313,0+DH313)</f>
        <v>7</v>
      </c>
      <c r="DI314" s="198">
        <f>IF(DH314&gt;DH313,L314+DI313,DI313)</f>
        <v>34.83</v>
      </c>
      <c r="DJ314" t="s" s="306">
        <f>IF($D313="","",$D313)</f>
        <v>272</v>
      </c>
      <c r="DK314" s="232"/>
    </row>
    <row r="315" ht="14.55" customHeight="1">
      <c r="A315" s="149"/>
      <c r="B315" s="150"/>
      <c r="C315" t="s" s="233">
        <v>58</v>
      </c>
      <c r="D315" s="152"/>
      <c r="E315" s="153"/>
      <c r="F315" s="300"/>
      <c r="G315" s="234"/>
      <c r="H315" s="156"/>
      <c r="I315" s="235"/>
      <c r="J315" s="236"/>
      <c r="K315" s="237"/>
      <c r="L315" s="238"/>
      <c r="M315" s="239"/>
      <c r="N315" s="161"/>
      <c r="O315" t="s" s="240">
        <f>IF(OR(AE313="",AE314=""),"",IF(L315&gt;0,ROUND(IF(M315&gt;0,M315,IF(M313&gt;0,ROUND((M313*AE315)/AE313,IF(N313=0,2,IF(N313=0.1,1,0))),IF(M314&gt;0,ROUND((M314*AE315)/AE314,IF(N313=0,2,IF(N313=0.1,1,0))),IF(M315&gt;0,M315,0)))),2),""))</f>
      </c>
      <c r="P315" t="s" s="241">
        <f>IF(I314="Lay",O314*(L314/(L314-1))-O314,IF(I313="Lay",O313*(L313/(L313-1))-O313,IF(OR(L315="",O315=""),"",IF($C315="1/2W",O315/2+O315/2*L315,IF($C315="1/2L",O315/2,(O315*L315-O315)*(1-_xlfn.XLOOKUP(K315,'Janeiro 2023 - Valor Real'!A3:A15,'Janeiro 2023 - Valor Real'!C3:C15,0))+O315)))))</f>
      </c>
      <c r="Q315" t="s" s="242">
        <f>IF(K315="","",IF(_xlfn.XLOOKUP(K315,K$99:K124,DJ$99:DJ124,0,,-1)=DJ315,_xlfn.XLOOKUP(K315,K$99:K124,Q$99:Q124,1,,-1)+1,1))</f>
      </c>
      <c r="R315" t="s" s="243">
        <f>IF(K315="","",_xlfn.XLOOKUP(K315,K$99:K124,R$99:R124,0,,-1)+IF($C315=" ",1,0))</f>
      </c>
      <c r="S315" s="166"/>
      <c r="T315" s="155"/>
      <c r="U315" s="155"/>
      <c r="V315" s="166"/>
      <c r="W315" s="155"/>
      <c r="X315" s="167"/>
      <c r="Y315" s="128"/>
      <c r="Z315" s="129"/>
      <c r="AA315" s="129"/>
      <c r="AB315" s="129"/>
      <c r="AC315" s="129"/>
      <c r="AD315" s="244">
        <f>((L314/(L314-1)-1))</f>
        <v>0.833333333333333</v>
      </c>
      <c r="AE315" t="s" s="245">
        <f>IF(L315="","",(SUM(((L313-1)*(1-_xlfn.XLOOKUP(K313,'Janeiro 2023 - Valor Real'!A3:A15,'Janeiro 2023 - Valor Real'!C3:C15,0))+1),((L314-1)*(1-_xlfn.XLOOKUP(K314,'Janeiro 2023 - Valor Real'!A3:A15,'Janeiro 2023 - Valor Real'!C3:C15,0))+1),((L315-1)*(1-_xlfn.XLOOKUP(K315,'Janeiro 2023 - Valor Real'!A3:A15,'Janeiro 2023 - Valor Real'!C3:C15,0))+1))/((L315-1)*(1-_xlfn.XLOOKUP(K315,'Janeiro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Real'!C3:C15,0))+1))/((L313-1)*(1-_xlfn.XLOOKUP(K313,'Janeiro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Real'!C3:C15,0))+1))/((L314-1)*(1-_xlfn.XLOOKUP(K314,'Janeiro 2023 - Valor Real'!A3:A15,'Janeiro 2023 - Valor Real'!C3:C15,0))+1)+SUM(((L313-1)*(1-_xlfn.XLOOKUP(K313,'Janeiro 2023 - Valor Real'!A3:A15,'Janeiro 2023 - Valor Real'!C3:C15,0))+1),((L314-1)*(1-_xlfn.XLOOKUP(K314,'Janeiro 2023 - Valor Real'!A3:A15,'Janeiro 2023 - Valor Real'!C3:C15,0))+1),((L315-1)*(1-_xlfn.XLOOKUP(K315,'Janeiro 2023 - Valor Real'!A3:A15,'Janeiro 2023 - Valor Real'!C3:C15,0))+1))/((L315-1)*(1-_xlfn.XLOOKUP(K315,'Janeiro 2023 - Valor Real'!A3:A15,'Janeiro 2023 - Valor Real'!C3:C15,0))+1)))</f>
      </c>
      <c r="AF315" s="197">
        <f>IF($K315=AF$3,ROUND(IF(OR($C315="W",$C315="1/2W",$C315="1/2L"),$P315-$O315,IF($C315="X",0,-$O315)),2),0)</f>
        <v>0</v>
      </c>
      <c r="AG315" s="198">
        <f>IF($K315=AG$3,ROUND(IF(OR($C315="W",$C315="1/2W",$C315="1/2L"),$P315-$O315,IF($C315="X",0,-$O315)),2),0)</f>
        <v>0</v>
      </c>
      <c r="AH315" s="198">
        <f>IF($K315=AH$3,ROUND(IF(OR($C315="W",$C315="1/2W",$C315="1/2L"),$P315-$O315,IF($C315="X",0,-$O315)),2),0)</f>
        <v>0</v>
      </c>
      <c r="AI315" s="198">
        <f>IF($K315=AI$3,ROUND(IF(OR($C315="W",$C315="1/2W",$C315="1/2L"),$P315-$O315,IF($C315="X",0,-$O315)),2),0)</f>
        <v>0</v>
      </c>
      <c r="AJ315" s="198">
        <f>IF($K315=AJ$3,ROUND(IF(OR($C315="W",$C315="1/2W",$C315="1/2L"),$P315-$O315,IF($C315="X",0,-$O315)),2),0)</f>
        <v>0</v>
      </c>
      <c r="AK315" s="198">
        <f>IF($K315=AK$3,ROUND(IF(OR($C315="W",$C315="1/2W",$C315="1/2L"),$P315-$O315,IF($C315="X",0,-$O315)),2),0)</f>
        <v>0</v>
      </c>
      <c r="AL315" s="198">
        <f>IF($K315=AL$3,ROUND(IF(OR($C315="W",$C315="1/2W",$C315="1/2L"),$P315-$O315,IF($C315="X",0,-$O315)),2),0)</f>
        <v>0</v>
      </c>
      <c r="AM315" s="198">
        <f>IF($K315=AM$3,ROUND(IF(OR($C315="W",$C315="1/2W",$C315="1/2L"),$P315-$O315,IF($C315="X",0,-$O315)),2),0)</f>
        <v>0</v>
      </c>
      <c r="AN315" s="198">
        <f>IF($K315=AN$3,ROUND(IF(OR($C315="W",$C315="1/2W",$C315="1/2L"),$P315-$O315,IF($C315="X",0,-$O315)),2),0)</f>
        <v>0</v>
      </c>
      <c r="AO315" s="198">
        <f>IF($K315=AO$3,ROUND(IF(OR($C315="W",$C315="1/2W",$C315="1/2L"),$P315-$O315,IF($C315="X",0,-$O315)),2),0)</f>
        <v>0</v>
      </c>
      <c r="AP315" s="198">
        <f>IF($K315=AP$3,ROUND(IF(OR($C315="W",$C315="1/2W",$C315="1/2L"),$P315-$O315,IF($C315="X",0,-$O315)),2),0)</f>
        <v>0</v>
      </c>
      <c r="AQ315" s="198">
        <f>IF($K315=AQ$3,ROUND(IF(OR($C315="W",$C315="1/2W",$C315="1/2L"),$P315-$O315,IF($C315="X",0,-$O315)),2),0)</f>
        <v>0</v>
      </c>
      <c r="AR315" s="199">
        <f>IF($K315=AR$3,ROUND(IF(OR($C315="W",$C315="1/2W",$C315="1/2L"),$P315-$O315,IF($C315="X",0,-$O315)),2),0)</f>
        <v>0</v>
      </c>
      <c r="AS315" s="197">
        <f>IF(AND($B313=" ",$K315=AS$3),$O315,0)</f>
        <v>0</v>
      </c>
      <c r="AT315" s="198">
        <f>IF(AND($B313=" ",K315=AT$3),$O315,0)</f>
        <v>0</v>
      </c>
      <c r="AU315" s="198">
        <f>IF(AND($B313=" ",$K315=AU$3),$O315,0)</f>
        <v>0</v>
      </c>
      <c r="AV315" s="198">
        <f>IF(AND($B313=" ",$K315=AV$3),$O315,0)</f>
        <v>0</v>
      </c>
      <c r="AW315" s="198">
        <f>IF(AND($B313=" ",$K315=AW$3),$O315,0)</f>
        <v>0</v>
      </c>
      <c r="AX315" s="198">
        <f>IF(AND($B313=" ",$K315=AX$3),$O315,0)</f>
        <v>0</v>
      </c>
      <c r="AY315" s="200">
        <f>IF(AND($B313=" ",$K315=AY$3),$O315,0)</f>
        <v>0</v>
      </c>
      <c r="AZ315" s="201">
        <f>IF(AND($B313=" ",$K315=AZ$3),$O315,0)</f>
        <v>0</v>
      </c>
      <c r="BA315" s="201">
        <f>IF(AND($B313=" ",$K315=BA$3),$O315,0)</f>
        <v>0</v>
      </c>
      <c r="BB315" s="201">
        <f>IF(AND($B313=" ",$K315=BB$3),$O315,0)</f>
        <v>0</v>
      </c>
      <c r="BC315" s="202">
        <f>IF(AND($B313=" ",$K315=BC$3),$O315,0)</f>
        <v>0</v>
      </c>
      <c r="BD315" s="198">
        <f>IF(AND($B313=" ",$K315=BD$3),$O315,0)</f>
        <v>0</v>
      </c>
      <c r="BE315" s="199">
        <f>IF(AND($B313=" ",$K315=BE$3),$O315,0)</f>
        <v>0</v>
      </c>
      <c r="BF315" s="197">
        <f>IF($K315=BF$3,IF($C315="X",0,$O315),0)</f>
        <v>0</v>
      </c>
      <c r="BG315" s="198">
        <f>IF($K315=BG$3,IF($C315="X",0,$O315),0)</f>
        <v>0</v>
      </c>
      <c r="BH315" s="198">
        <f>IF($K315=BH$3,IF($C315="X",0,$O315),0)</f>
        <v>0</v>
      </c>
      <c r="BI315" s="198">
        <f>IF($K315=BI$3,IF($C315="X",0,$O315),0)</f>
        <v>0</v>
      </c>
      <c r="BJ315" s="198">
        <f>IF($K315=BJ$3,IF($C315="X",0,$O315),0)</f>
        <v>0</v>
      </c>
      <c r="BK315" s="198">
        <f>IF($K315=BK$3,IF($C315="X",0,$O315),0)</f>
        <v>0</v>
      </c>
      <c r="BL315" s="198">
        <f>IF($K315=BL$3,IF($C315="X",0,$O315),0)</f>
        <v>0</v>
      </c>
      <c r="BM315" s="200">
        <f>IF($K315=BM$3,IF($C315="X",0,$O315),0)</f>
        <v>0</v>
      </c>
      <c r="BN315" s="201">
        <f>IF($K315=BN$3,IF($C315="X",0,$O315),0)</f>
        <v>0</v>
      </c>
      <c r="BO315" s="201">
        <f>IF($K315=BO$3,IF($C315="X",0,$O315),0)</f>
        <v>0</v>
      </c>
      <c r="BP315" s="201">
        <f>IF($K315=BP$3,IF($C315="X",0,$O315),0)</f>
        <v>0</v>
      </c>
      <c r="BQ315" s="202">
        <f>IF($K315=BQ$3,IF($C315="X",0,$O315),0)</f>
        <v>0</v>
      </c>
      <c r="BR315" s="199">
        <f>IF($K315=BR$3,IF($C315="X",0,$O315),0)</f>
        <v>0</v>
      </c>
      <c r="BS315" s="228"/>
      <c r="BT315" s="229"/>
      <c r="BU315" s="140"/>
      <c r="BV315" s="229"/>
      <c r="BW315" s="140"/>
      <c r="BX315" s="140"/>
      <c r="BY315" s="140"/>
      <c r="BZ315" s="229"/>
      <c r="CA315" s="140"/>
      <c r="CB315" s="140"/>
      <c r="CC315" s="140"/>
      <c r="CD315" s="141"/>
      <c r="CE315" s="142"/>
      <c r="CF315" s="230">
        <f>IF(CF$3=$K315,IF($C315="W",1,IF($C315="1/2W",0.5,0)),0)</f>
        <v>0</v>
      </c>
      <c r="CG315" s="231">
        <f>IF(CF$3=$K315,IF($C315="L",1,IF($C315="1/2L",0.5,0)),0)</f>
        <v>0</v>
      </c>
      <c r="CH315" s="231">
        <f>IF(CH$3=$K315,IF($C315="W",1,IF($C315="1/2W",0.5,0)),0)</f>
        <v>0</v>
      </c>
      <c r="CI315" s="231">
        <f>IF(CH$3=$K315,IF($C315="L",1,IF($C315="1/2L",0.5,0)),0)</f>
        <v>0</v>
      </c>
      <c r="CJ315" s="231">
        <f>IF(CJ$3=$K315,IF($C315="W",1,IF($C315="1/2W",0.5,0)),0)</f>
        <v>0</v>
      </c>
      <c r="CK315" s="231">
        <f>IF(CJ$3=$K315,IF($C315="L",1,IF($C315="1/2L",0.5,0)),0)</f>
        <v>0</v>
      </c>
      <c r="CL315" s="231">
        <f>IF(CL$3=$K315,IF($C315="W",1,IF($C315="1/2W",0.5,0)),0)</f>
        <v>0</v>
      </c>
      <c r="CM315" s="231">
        <f>IF(CL$3=$K315,IF($C315="L",1,IF($C315="1/2L",0.5,0)),0)</f>
        <v>0</v>
      </c>
      <c r="CN315" s="231">
        <f>IF(CN$3=$K315,IF($C315="W",1,IF($C315="1/2W",0.5,0)),0)</f>
        <v>0</v>
      </c>
      <c r="CO315" s="231">
        <f>IF(CN$3=$K315,IF($C315="L",1,IF($C315="1/2L",0.5,0)),0)</f>
        <v>0</v>
      </c>
      <c r="CP315" s="231">
        <f>IF(CP$3=$K315,IF($C315="W",1,IF($C315="1/2W",0.5,0)),0)</f>
        <v>0</v>
      </c>
      <c r="CQ315" s="231">
        <f>IF(CP$3=$K315,IF($C315="L",1,IF($C315="1/2L",0.5,0)),0)</f>
        <v>0</v>
      </c>
      <c r="CR315" s="231">
        <f>IF(CR$3=$K315,IF($C315="W",1,IF($C315="1/2W",0.5,0)),0)</f>
        <v>0</v>
      </c>
      <c r="CS315" s="231">
        <f>IF(CR$3=$K315,IF($C315="L",1,IF($C315="1/2L",0.5,0)),0)</f>
        <v>0</v>
      </c>
      <c r="CT315" s="208">
        <f>IF(CT$3=$K315,IF($C315="W",1,IF($C315="1/2W",0.5,0)),0)</f>
        <v>0</v>
      </c>
      <c r="CU315" s="209">
        <f>IF(CT$3=$K315,IF($C315="L",1,IF($C315="1/2L",0.5,0)),0)</f>
        <v>0</v>
      </c>
      <c r="CV315" s="209">
        <f>IF(CV$3=$K315,IF($C315="W",1,IF($C315="1/2W",0.5,0)),0)</f>
        <v>0</v>
      </c>
      <c r="CW315" s="209">
        <f>IF(CV$3=$K315,IF($C315="L",1,IF($C315="1/2L",0.5,0)),0)</f>
        <v>0</v>
      </c>
      <c r="CX315" s="209">
        <f>IF(CX$3=$K315,IF($C315="W",1,IF($C315="1/2W",0.5,0)),0)</f>
        <v>0</v>
      </c>
      <c r="CY315" s="209">
        <f>IF(CX$3=$K315,IF($C315="L",1,IF($C315="1/2L",0.5,0)),0)</f>
        <v>0</v>
      </c>
      <c r="CZ315" s="209">
        <f>IF(CZ$3=$K315,IF($C315="W",1,IF($C315="1/2W",0.5,0)),0)</f>
        <v>0</v>
      </c>
      <c r="DA315" s="209">
        <f>IF(CZ$3=$K315,IF($C315="L",1,IF($C315="1/2L",0.5,0)),0)</f>
        <v>0</v>
      </c>
      <c r="DB315" s="209">
        <f>IF(DB$3=$K315,IF($C315="W",1,IF($C315="1/2W",0.5,0)),0)</f>
        <v>0</v>
      </c>
      <c r="DC315" s="209">
        <f>IF(DB$3=$K315,IF($C315="L",1,IF($C315="1/2L",0.5,0)),0)</f>
        <v>0</v>
      </c>
      <c r="DD315" s="209">
        <f>IF(DD$3=$K315,IF($C315="W",1,IF($C315="1/2W",0.5,0)),0)</f>
        <v>0</v>
      </c>
      <c r="DE315" s="210">
        <f>IF(DD$3=$K315,IF($C315="L",1,IF($C315="1/2L",0.5,0)),0)</f>
        <v>0</v>
      </c>
      <c r="DF315" s="211">
        <f>IF(AND(L315&lt;DF$3,$C315="W"),1+DF314,DF314)</f>
        <v>12</v>
      </c>
      <c r="DG315" s="198">
        <f>IF(DF315&gt;DF314,L315+DG314,DG314)</f>
        <v>15.718</v>
      </c>
      <c r="DH315" s="209">
        <f>IF(AND(L315&gt;DH$3,$C315="W"),1+DH314,0+DH314)</f>
        <v>7</v>
      </c>
      <c r="DI315" s="198">
        <f>IF(DH315&gt;DH314,L315+DI314,DI314)</f>
        <v>34.83</v>
      </c>
      <c r="DJ315" t="s" s="306">
        <f>IF($D313="","",$D313)</f>
        <v>272</v>
      </c>
      <c r="DK315" s="232"/>
    </row>
    <row r="316" ht="14.55" customHeight="1">
      <c r="A316" s="246">
        <f>$A313+1</f>
        <v>105</v>
      </c>
      <c r="B316" t="s" s="247">
        <f>IF(AND(_xlfn.XLOOKUP(H316,H$106:H119,G$106:G119,0)=G316,_xlfn.XLOOKUP("TempoBet",K316:K318,L316:L318,0)&gt;0),"X",IF(OR(C316="W",C317="W",C318="W",C316="1/2W",C317="1/2W",C318="1/2W",C316="1/2L",C317="1/2L",C318="1/2L"),"OK",IF(OR(C316="L",C317="L",C318="L"),"LOSS",IF(OR(C316="X",C317="X",C318="X"),"Anulado"," "))))</f>
        <v>211</v>
      </c>
      <c r="C316" t="s" s="248">
        <v>114</v>
      </c>
      <c r="D316" t="s" s="303">
        <f>IF(G316="","",$D313)</f>
        <v>272</v>
      </c>
      <c r="E316" t="s" s="250">
        <v>111</v>
      </c>
      <c r="F316" t="s" s="302"/>
      <c r="G316" s="252">
        <v>44946.878472222219</v>
      </c>
      <c r="H316" t="s" s="253">
        <v>278</v>
      </c>
      <c r="I316" t="s" s="254">
        <v>57</v>
      </c>
      <c r="J316" s="255">
        <v>1</v>
      </c>
      <c r="K316" t="s" s="256">
        <v>48</v>
      </c>
      <c r="L316" s="257">
        <v>1.65</v>
      </c>
      <c r="M316" s="258">
        <v>20.32</v>
      </c>
      <c r="N316" s="259">
        <v>1</v>
      </c>
      <c r="O316" s="260">
        <f>IF(OR(AE316="",AE317=""),"",ROUND(IF(L318&gt;0,IF(M316&gt;0,M316,IF(M317&gt;0,ROUND((M317*AE316)/AE317,IF(N316=0,2,IF(N316=0.1,1,0))),ROUND((M318*AE316)/AE318,IF(N316=0,2,IF(N316=0.1,1,0))))),IF(M316&gt;0,M316,ROUND((M317*AE316)/AE317,IF(N316=0,2,IF(N316=0.1,1,0))))),2))</f>
        <v>20.32</v>
      </c>
      <c r="P316" s="261">
        <f>IF(OR(L316="",O316=""),"",IF($C316="1/2W",O316/2+O316/2*L316,IF($C316="1/2L",O316/2,IF(I316="Lay",(O316*(L316/(L316-1))-O316)*(1-_xlfn.XLOOKUP(K316,'Janeiro 2023 - Valor Real'!A3:A15,'Janeiro 2023 - Valor Real'!C3:C15,0))+O316,(O316*L316-O316)*(1-_xlfn.XLOOKUP(K316,'Janeiro 2023 - Valor Real'!A3:A15,'Janeiro 2023 - Valor Real'!C3:C15,0))+O316))))</f>
        <v>33.528</v>
      </c>
      <c r="Q316" s="262">
        <f>IF(K316="","",IF(_xlfn.XLOOKUP(K316,K$106:K119,DJ$106:DJ119,0,,-1)=DJ316,_xlfn.XLOOKUP(K316,K$106:K119,Q$106:Q119,1,,-1)+1,1))</f>
        <v>1</v>
      </c>
      <c r="R316" s="263">
        <f>IF(K316="","",_xlfn.XLOOKUP(K316,K$106:K119,R$106:R119,0,,-1)+IF($C316=" ",1,0))</f>
        <v>0</v>
      </c>
      <c r="S316" s="264">
        <f>IF($B316="Anulado",0,ROUND(IF(OR($B316="LOSS",$B316="OK"),IF(OR($C316="W",$C316="1/2W",$C316="1/2L"),P316-O316,IF($C316="L",-O316,0))+IF(OR($C317="W",$C317="1/2W",$C317="1/2L"),P317-O317,IF($C317="L",-O317,0))+IF(OR($C318="W",$C318="1/2W",$C318="1/2L"),P318-O318,IF($C318="L",-O318,0)),IF(AND(OR($C316="W",$C316="1/2W",$C316="1/2L"),C317="W"),P316+P317-SUM(O316:O318)+_xlfn.XLOOKUP("X",C316:C318,O316:O318,0),IF(AND(C316=TRUE,C318="W"),P316+P318-SUM(O316:O318),IF(AND(C317="W",C318="W"),P317+P318-SUM(O316:O318)+_xlfn.XLOOKUP("X",C316:C318,O316:O318,0),IF(L318&gt;0,IF(OR($C316="W",$C316="1/2W",$C316="1/2L"),P316-SUM(O316:O318)+_xlfn.XLOOKUP("X",C316:C318,O316:O318,0),IF(OR($C316="W",$C316="1/2W",$C316="1/2L"),P317-SUM(O316:O318)+_xlfn.XLOOKUP("X",C316:C318,O316:O318,0),IF(OR($C316="W",$C316="1/2W",$C316="1/2L"),P318-SUM(O316:O318)+_xlfn.XLOOKUP("X",C316:C318,O316:O318,0),IF(SUM(P316:P318)/3-SUM(O316:O318)+_xlfn.XLOOKUP("X",C316:C318,O316:O318,0)&gt;0,SUM(P316:P318)/3-SUM(O316:O318)+_xlfn.XLOOKUP("X",C316:C318,O316:O318,0),LARGE(P316:P318,1)-SUM(O316:O318))))),IF(OR($C316="W",$C316="1/2W",$C316="1/2L"),P316-SUM(O316:O317)+_xlfn.XLOOKUP("X",C316:C318,O316:O318,0),IF(OR($C316="W",$C316="1/2W",$C316="1/2L"),P317-SUM(O316:O317)+_xlfn.XLOOKUP("X",C316:C318,O316:O318,0),SUM(P316:P317)/2-SUM(O316:O317)+_xlfn.XLOOKUP("X",C316:C318,O316:O318,0)))))))),2))</f>
        <v>-12</v>
      </c>
      <c r="T316" s="265">
        <f>IF(S316=0,0,S316/SUM(O316:O318))</f>
        <v>-0.371287128712871</v>
      </c>
      <c r="U316" s="266">
        <f>IF($D316=$D313,IF(OR($B316="LOSS",$B316="OK",$B316="Anulada"),S316,0)+U313,IF(OR($B316="LOSS",$B316="OK",$B316="Anulada"),S316,0))</f>
        <v>-7.84</v>
      </c>
      <c r="V316" s="266">
        <f>IF($D316="",0,IF($D316=$D313,IF($B316=" ",IF(I318="",IF(OR(AND(I316="DNB1",I317="DNB2"),AND(OR(I316="DNB1",I316="DNB2"),J317=0),AND(OR(I317="DNB1",I317="DNB2"),J316=0),AND(I316="DNB2",I317="DNB1"),AND(IF(J316=0,(J316+1)/ROUND(J316+1,0),J316/ROUND(J316,0))=1,IF(J317=0,(J317+1)/ROUND(IF(J317="",0,J317)+1,0),IF(J317="",0,J317)/ROUND(IF(J317="",1,J317),0))=1,OR(J316&lt;&gt;""),J317&lt;&gt;"")),0,IF(S316&lt;0,IF(I318="",SMALL(P316:P317,1)-SUM(O316:O317),0),SMALL(P316:P317,1)-SUM(O316:O317))),IF(S316&lt;0,IF(I318="",SMALL(P316:P318,1)-SUM(O316:O318),0),LARGE(P316:P318,1)-SUM(O316:O318))),S316)+V313,IF(I318="",IF(OR(AND(I316="DNB1",I317="DNB2"),AND(OR(I316="DNB1",I316="DNB2"),J317=0),AND(OR(I317="DNB1",I317="DNB2"),J316=0),AND(I316="DNB2",I317="DNB1"),AND(IF(J316=0,(J316+1)/ROUND(J316+1,0),J316/ROUND(J316,0))=1,IF(J317=0,(IF(J317="",0,J317)+1)/ROUND(IF(J317="",0,J317)+1,0),IF(J317="",0,J317)/ROUND(IF(J317="",0,J317)+1,0))=1,OR(J316&lt;&gt;""),J317&lt;&gt;"")),0,IF(S316&lt;0,IF(I318="",SMALL(P316:P317,1)-SUM(O316:O317),0),SMALL(P316:P318,1)-SUM(O316:O318))),IF(S316&lt;0,IF(I318="",SMALL(P316:P318,1)-SUM(O316:O318),0),LARGE(P316:P318,1)-SUM(O316:O318)))))</f>
        <v>-7.875</v>
      </c>
      <c r="W316" s="266">
        <f>IF($D316=$D313,IF(S316&lt;0,IF(I318="",S316,0),S316)+W313,S316)</f>
        <v>-7.84</v>
      </c>
      <c r="X316" t="s" s="267">
        <f>IF(OR(SUM(R316:R318)=0,V316=W316),ROUND(IF(W316=0,0,W316/Y316)*100,2)&amp;"%",ROUND(IF(V316=0,0,V316/Y316)*100,2)&amp;"% a "&amp;ROUND(IF(W316=0,0,W316/Y316)*100,2)&amp;"%")</f>
        <v>279</v>
      </c>
      <c r="Y316" s="268">
        <f>IF($D316=$D313,Y313+SUM(O316:O318),SUM(O316:O318))</f>
        <v>157.71</v>
      </c>
      <c r="Z316" s="266">
        <f>IF($B316=" ",SUM(O316:O318),0)+Z313</f>
        <v>0</v>
      </c>
      <c r="AA316" s="266">
        <f>IF(G316="","",IF($B316="Anulado",LARGE(P316:P318,1)-SUM(O316:O318)+AA313,AA313))</f>
        <v>16.5099</v>
      </c>
      <c r="AB316" s="266">
        <f>IF($D316="","",AB313+S316)</f>
        <v>295.53</v>
      </c>
      <c r="AC316" s="269">
        <f>IF($D316="","",IF($B316=" ",IF(DAY(G316)=DAY(TODAY()),1+AC313,0+AC313),0+AC313))</f>
        <v>0</v>
      </c>
      <c r="AD316" s="270">
        <f>(1-_xlfn.XLOOKUP(K314,'Janeiro 2023 - Valor Real'!A3:A15,'Janeiro 2023 - Valor Real'!C3:C15,0))+1</f>
        <v>2</v>
      </c>
      <c r="AE316" s="271">
        <f>IF(L316="","",IF(L318&gt;0,(SUM(((L316-1)*(1-_xlfn.XLOOKUP(K316,'Janeiro 2023 - Valor Real'!A3:A15,'Janeiro 2023 - Valor Real'!C3:C15,0))+1),((L317-1)*(1-_xlfn.XLOOKUP(K317,'Janeiro 2023 - Valor Real'!A3:A15,'Janeiro 2023 - Valor Real'!C3:C15,0))+1),((L318-1)*(1-_xlfn.XLOOKUP(K318,'Janeiro 2023 - Valor Real'!A3:A15,'Janeiro 2023 - Valor Real'!C3:C15,0))+1))/((L316-1)*(1-_xlfn.XLOOKUP(K316,'Janeiro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Real'!C3:C15,0))+1))/((L316-1)*(1-_xlfn.XLOOKUP(K316,'Janeiro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Real'!C3:C15,0))+1))/((L317-1)*(1-_xlfn.XLOOKUP(K317,'Janeiro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Real'!C3:C15,0))+1))/((L318-1)*(1-_xlfn.XLOOKUP(K318,'Janeiro 2023 - Valor Real'!A3:A15,'Janeiro 2023 - Valor Real'!C3:C15,0))+1)),IF(I316="Lay",IF(I317="Lay",((L317/(L317-1)-1)*(1-_xlfn.XLOOKUP(K317,'Janeiro 2023 - Valor Real'!A3:A15,'Janeiro 2023 - Valor Real'!C3:C15,0))+1)/(((L317/(L317-1)-1)*(1-_xlfn.XLOOKUP(K317,'Janeiro 2023 - Valor Real'!A3:A15,'Janeiro 2023 - Valor Real'!C3:C15,0))+1)+((L316/(L316-1)-1)*(1-_xlfn.XLOOKUP(K316,'Janeiro 2023 - Valor Real'!A3:A15,'Janeiro 2023 - Valor Real'!C3:C15,0))+1)),((L317-1)*(1-_xlfn.XLOOKUP(K317,'Janeiro 2023 - Valor Real'!A3:A15,'Janeiro 2023 - Valor Real'!C3:C15,0))+1)/(((L317-1)*(1-_xlfn.XLOOKUP(K317,'Janeiro 2023 - Valor Real'!A3:A15,'Janeiro 2023 - Valor Real'!C3:C15,0))+1)+((L316/(L316-1)-1)*(1-_xlfn.XLOOKUP(K316,'Janeiro 2023 - Valor Real'!A3:A15,'Janeiro 2023 - Valor Real'!C3:C15,0))+1))),IF(I317="Lay",(((L317/(L317-1)-1)*(1-_xlfn.XLOOKUP(K317,'Janeiro 2023 - Valor Real'!A3:A15,'Janeiro 2023 - Valor Real'!C3:C15,0))+1))/(((L316-1)*(1-_xlfn.XLOOKUP(K316,'Janeiro 2023 - Valor Real'!A3:A15,'Janeiro 2023 - Valor Real'!C3:C15,0))+1)+((L317/(L317-1)-1)*(1-_xlfn.XLOOKUP(K317,'Janeiro 2023 - Valor Real'!A3:A15,'Janeiro 2023 - Valor Real'!C3:C15,0))+1)),((L317-1)*(1-_xlfn.XLOOKUP(K317,'Janeiro 2023 - Valor Real'!A3:A15,'Janeiro 2023 - Valor Real'!C3:C15,0))+1)/(((L317-1)*(1-_xlfn.XLOOKUP(K317,'Janeiro 2023 - Valor Real'!A3:A15,'Janeiro 2023 - Valor Real'!C3:C15,0))+1)+((L316-1)*(1-_xlfn.XLOOKUP(K316,'Janeiro 2023 - Valor Real'!A3:A15,'Janeiro 2023 - Valor Real'!C3:C15,0))+1))))))</f>
        <v>0.6275395033860049</v>
      </c>
      <c r="AF316" s="132">
        <f>IF($K316=AF$3,ROUND(IF(OR($C316="W",$C316="1/2W",$C316="1/2L"),$P316-$O316,IF($C316="X",0,-$O316)),2),0)</f>
        <v>0</v>
      </c>
      <c r="AG316" s="133">
        <f>IF($K316=AG$3,ROUND(IF(OR($C316="W",$C316="1/2W",$C316="1/2L"),$P316-$O316,IF($C316="X",0,-$O316)),2),0)</f>
        <v>0</v>
      </c>
      <c r="AH316" s="133">
        <f>IF($K316=AH$3,ROUND(IF(OR($C316="W",$C316="1/2W",$C316="1/2L"),$P316-$O316,IF($C316="X",0,-$O316)),2),0)</f>
        <v>0</v>
      </c>
      <c r="AI316" s="133">
        <f>IF($K316=AI$3,ROUND(IF(OR($C316="W",$C316="1/2W",$C316="1/2L"),$P316-$O316,IF($C316="X",0,-$O316)),2),0)</f>
        <v>0</v>
      </c>
      <c r="AJ316" s="133">
        <f>IF($K316=AJ$3,ROUND(IF(OR($C316="W",$C316="1/2W",$C316="1/2L"),$P316-$O316,IF($C316="X",0,-$O316)),2),0)</f>
        <v>0</v>
      </c>
      <c r="AK316" s="133">
        <f>IF($K316=AK$3,ROUND(IF(OR($C316="W",$C316="1/2W",$C316="1/2L"),$P316-$O316,IF($C316="X",0,-$O316)),2),0)</f>
        <v>0</v>
      </c>
      <c r="AL316" s="133">
        <f>IF($K316=AL$3,ROUND(IF(OR($C316="W",$C316="1/2W",$C316="1/2L"),$P316-$O316,IF($C316="X",0,-$O316)),2),0)</f>
        <v>0</v>
      </c>
      <c r="AM316" s="133">
        <f>IF($K316=AM$3,ROUND(IF(OR($C316="W",$C316="1/2W",$C316="1/2L"),$P316-$O316,IF($C316="X",0,-$O316)),2),0)</f>
        <v>0</v>
      </c>
      <c r="AN316" s="133">
        <f>IF($K316=AN$3,ROUND(IF(OR($C316="W",$C316="1/2W",$C316="1/2L"),$P316-$O316,IF($C316="X",0,-$O316)),2),0)</f>
        <v>0</v>
      </c>
      <c r="AO316" s="133">
        <f>IF($K316=AO$3,ROUND(IF(OR($C316="W",$C316="1/2W",$C316="1/2L"),$P316-$O316,IF($C316="X",0,-$O316)),2),0)</f>
        <v>0</v>
      </c>
      <c r="AP316" s="133">
        <f>IF($K316=AP$3,ROUND(IF(OR($C316="W",$C316="1/2W",$C316="1/2L"),$P316-$O316,IF($C316="X",0,-$O316)),2),0)</f>
        <v>0</v>
      </c>
      <c r="AQ316" s="133">
        <f>IF($K316=AQ$3,ROUND(IF(OR($C316="W",$C316="1/2W",$C316="1/2L"),$P316-$O316,IF($C316="X",0,-$O316)),2),0)</f>
        <v>0</v>
      </c>
      <c r="AR316" s="134">
        <f>IF($K316=AR$3,ROUND(IF(OR($C316="W",$C316="1/2W",$C316="1/2L"),$P316-$O316,IF($C316="X",0,-$O316)),2),0)</f>
        <v>0</v>
      </c>
      <c r="AS316" s="132">
        <f>IF(AND($B316=" ",$K316=AS$3),$O316,0)</f>
        <v>0</v>
      </c>
      <c r="AT316" s="133">
        <f>IF(AND($B316=" ",$K316=AT$3),$O316,0)</f>
        <v>0</v>
      </c>
      <c r="AU316" s="133">
        <f>IF(AND($B316=" ",$K316=AU$3),$O316,0)</f>
        <v>0</v>
      </c>
      <c r="AV316" s="133">
        <f>IF(AND($B316=" ",$K316=AV$3),$O316,0)</f>
        <v>0</v>
      </c>
      <c r="AW316" s="133">
        <f>IF(AND($B316=" ",$K316=AW$3),$O316,0)</f>
        <v>0</v>
      </c>
      <c r="AX316" s="133">
        <f>IF(AND($B316=" ",$K316=AX$3),$O316,0)</f>
        <v>0</v>
      </c>
      <c r="AY316" s="135">
        <f>IF(AND($B316=" ",$K316=AY$3),$O316,0)</f>
        <v>0</v>
      </c>
      <c r="AZ316" s="136">
        <f>IF(AND($B316=" ",$K316=AZ$3),$O316,0)</f>
        <v>0</v>
      </c>
      <c r="BA316" s="136">
        <f>IF(AND($B316=" ",$K316=BA$3),$O316,0)</f>
        <v>0</v>
      </c>
      <c r="BB316" s="136">
        <f>IF(AND($B316=" ",$K316=BB$3),$O316,0)</f>
        <v>0</v>
      </c>
      <c r="BC316" s="137">
        <f>IF(AND($B316=" ",$K316=BC$3),$O316,0)</f>
        <v>0</v>
      </c>
      <c r="BD316" s="133">
        <f>IF(AND($B316=" ",$K316=BD$3),$O316,0)</f>
        <v>0</v>
      </c>
      <c r="BE316" s="134">
        <f>IF(AND($B316=" ",$K316=BE$3),$O316,0)</f>
        <v>0</v>
      </c>
      <c r="BF316" s="132">
        <f>IF($K316=BF$3,IF($C316="X",0,$O316),0)</f>
        <v>0</v>
      </c>
      <c r="BG316" s="133">
        <f>IF($K316=BG$3,IF($C316="X",0,$O316),0)</f>
        <v>0</v>
      </c>
      <c r="BH316" s="133">
        <f>IF($K316=BH$3,IF($C316="X",0,$O316),0)</f>
        <v>0</v>
      </c>
      <c r="BI316" s="133">
        <f>IF($K316=BI$3,IF($C316="X",0,$O316),0)</f>
        <v>0</v>
      </c>
      <c r="BJ316" s="133">
        <f>IF($K316=BJ$3,IF($C316="X",0,$O316),0)</f>
        <v>0</v>
      </c>
      <c r="BK316" s="133">
        <f>IF($K316=BK$3,IF($C316="X",0,$O316),0)</f>
        <v>0</v>
      </c>
      <c r="BL316" s="133">
        <f>IF($K316=BL$3,IF($C316="X",0,$O316),0)</f>
        <v>0</v>
      </c>
      <c r="BM316" s="135">
        <f>IF($K316=BM$3,IF($C316="X",0,$O316),0)</f>
        <v>0</v>
      </c>
      <c r="BN316" s="136">
        <f>IF($K316=BN$3,IF($C316="X",0,$O316),0)</f>
        <v>0</v>
      </c>
      <c r="BO316" s="136">
        <f>IF($K316=BO$3,IF($C316="X",0,$O316),0)</f>
        <v>0</v>
      </c>
      <c r="BP316" s="136">
        <f>IF($K316=BP$3,IF($C316="X",0,$O316),0)</f>
        <v>0</v>
      </c>
      <c r="BQ316" s="137">
        <f>IF($K316=BQ$3,IF($C316="X",0,$O316),0)</f>
        <v>0</v>
      </c>
      <c r="BR316" s="134">
        <f>IF($K316=BR$3,IF($C316="X",0,$O316),0)</f>
        <v>0</v>
      </c>
      <c r="BS316" s="170">
        <f>IF($B316="LOSS",IF(AND($K316=BS$3,$C316="L"),-$O316,0)+IF(AND($K317=BS$3,$C317="L"),-$O317,0)+IF(AND($K318=BS$3,$C318="L"),-$O318,0),IF(OR(AND($K316=BS$3,OR($C316="W",$C316="1/2W")),AND($K317=BS$3,OR($C317="W",$C317="1/2W")),AND($K318=BS$3,OR($C318="W",$C318="1/2W"))),$S316,0))</f>
        <v>0</v>
      </c>
      <c r="BT316" s="272">
        <f>IF($B316="LOSS",IF(AND($K316=BT$3,$C316="L"),-$O316,0)+IF(AND($K317=BT$3,$C317="L"),-$O317,0)+IF(AND($K317=BT$3,$C318="L"),-$O318,0),IF(OR(AND($K317=BT$3,OR($C316="W",$C316="1/2W")),AND($K317=BT$3,OR($C317="W",$C317="1/2W")),AND($K317=BT$3,OR($C318="W",$C318="1/2W"))),$S316,0))</f>
        <v>0</v>
      </c>
      <c r="BU316" s="136">
        <f>IF($B316="LOSS",IF(AND($K316=BU$3,$C316="L"),-$O316,0)+IF(AND($K317=BU$3,$C317="L"),-$O317,0)+IF(AND($K317=BU$3,$C318="L"),-$O318,0),IF(OR(AND($K317=BU$3,OR($C316="W",$C316="1/2W")),AND($K317=BU$3,OR($C317="W",$C317="1/2W")),AND($K317=BU$3,OR($C318="W",$C318="1/2W"))),$S316,0))</f>
        <v>0</v>
      </c>
      <c r="BV316" s="136">
        <f>IF($B316="LOSS",IF(AND($K316=BV$3,$C316="L"),-$O316,0)+IF(AND($K317=BV$3,$C317="L"),-$O317,0)+IF(AND($K318=BV$3,$C318="L"),-$O318,0),IF(OR(AND($K316=BV$3,OR($C316="W",$C316="1/2W")),AND($K317=BV$3,OR($C317="W",$C317="1/2W")),AND($K318=BV$3,OR($C318="W",$C318="1/2W"))),$S316,0))</f>
        <v>0</v>
      </c>
      <c r="BW316" s="136">
        <f>IF($B316="LOSS",IF(AND($K316=BW$3,$C316="L"),-$O316,0)+IF(AND($K317=BW$3,$C317="L"),-$O317,0)+IF(AND($K318=BW$3,$C318="L"),-$O318,0),IF(OR(AND($K316=BW$3,OR($C316="W",$C316="1/2W")),AND($K317=BW$3,OR($C317="W",$C317="1/2W")),AND($K318=BW$3,OR($C318="W",$C318="1/2W"))),$S316,0))</f>
        <v>-12</v>
      </c>
      <c r="BX316" s="136">
        <f>IF($B316="LOSS",IF(AND($K316=BX$3,$C316="L"),-$O316,0)+IF(AND($K317=BX$3,$C317="L"),-$O317,0)+IF(AND($K318=BX$3,$C318="L"),-$O318,0),IF(OR(AND($K316=BX$3,OR($C316="W",$C316="1/2W")),AND($K317=BX$3,OR($C317="W",$C317="1/2W")),AND($K318=BX$3,OR($C318="W",$C318="1/2W"))),$S316,0))</f>
        <v>0</v>
      </c>
      <c r="BY316" s="136">
        <f>IF($B316="LOSS",IF(AND($K316=BY$3,$C316="L"),-$O316,0)+IF(AND($K317=BY$3,$C317="L"),-$O317,0)+IF(AND($K318=BY$3,$C318="L"),-$O318,0),IF(OR(AND($K316=BY$3,OR($C316="W",$C316="1/2W")),AND($K317=BY$3,OR($C317="W",$C317="1/2W")),AND($K318=BY$3,OR($C318="W",$C318="1/2W"))),$S316,0))</f>
        <v>0</v>
      </c>
      <c r="BZ316" s="136">
        <f>IF($B316="LOSS",IF(AND($K316=BZ$3,$C316="L"),-$O316,0)+IF(AND($K317=BZ$3,$C317="L"),-$O317,0)+IF(AND($K318=BZ$3,$C318="L"),-$O318,0),IF(OR(AND($K316=BZ$3,OR($C316="W",$C316="1/2W")),AND($K317=BZ$3,OR($C317="W",$C317="1/2W")),AND($K318=BZ$3,OR($C318="W",$C318="1/2W"))),$S316,0))</f>
        <v>0</v>
      </c>
      <c r="CA316" s="136">
        <f>IF($B316="LOSS",IF(AND($K316=CA$3,$C316="L"),-$O316,0)+IF(AND($K317=CA$3,$C317="L"),-$O317,0)+IF(AND($K318=CA$3,$C318="L"),-$O318,0),IF(OR(AND($K316=CA$3,OR($C316="W",$C316="1/2W")),AND($K317=CA$3,OR($C317="W",$C317="1/2W")),AND($K318=CA$3,OR($C318="W",$C318="1/2W"))),$S316,0))</f>
        <v>0</v>
      </c>
      <c r="CB316" s="136">
        <f>IF($B316="LOSS",IF(AND($K316=CB$3,$C316="L"),-$O316,0)+IF(AND($K317=CB$3,$C317="L"),-$O317,0)+IF(AND($K318=CB$3,$C318="L"),-$O318,0),IF(OR(AND($K316=CB$3,OR($C316="W",$C316="1/2W")),AND($K317=CB$3,OR($C317="W",$C317="1/2W")),AND($K318=CB$3,OR($C318="W",$C318="1/2W"))),$S316,0))</f>
        <v>0</v>
      </c>
      <c r="CC316" s="136">
        <f>IF($B316="LOSS",IF(AND($K316=CC$3,$C316="L"),-$O316,0)+IF(AND($K317=CC$3,$C317="L"),-$O317,0)+IF(AND($K318=CC$3,$C318="L"),-$O318,0),IF(OR(AND($K316=CC$3,OR($C316="W",$C316="1/2W")),AND($K317=CC$3,OR($C317="W",$C317="1/2W")),AND($K318=CC$3,OR($C318="W",$C318="1/2W"))),$S316,0))</f>
        <v>0</v>
      </c>
      <c r="CD316" s="137">
        <f>IF($B316="LOSS",IF(AND($K316=CD$3,$C316="L"),-$O316,0)+IF(AND($K317=CD$3,$C317="L"),-$O317,0)+IF(AND($K318=CD$3,$C318="L"),-$O318,0),IF(OR(AND($K316=CD$3,OR($C316="W",$C316="1/2W")),AND($K317=CD$3,OR($C317="W",$C317="1/2W")),AND($K318=CD$3,OR($C318="W",$C318="1/2W"))),$S316,0))</f>
        <v>0</v>
      </c>
      <c r="CE316" s="134">
        <f>IF($B316="LOSS",IF(AND($K316=CE$3,$C316="L"),-$O316,0)+IF(AND($K317=CE$3,$C317="L"),-$O317,0)+IF(AND($K318=CE$3,$C318="L"),-$O318,0),IF(OR(AND($K316=CE$3,OR($C316="W",$C316="1/2W")),AND($K317=CE$3,OR($C317="W",$C317="1/2W")),AND($K318=CE$3,OR($C318="W",$C318="1/2W"))),$S316,0))</f>
        <v>0</v>
      </c>
      <c r="CF316" s="273">
        <f>IF(CF$3=$K316,IF($C316="W",1,IF($C316="1/2W",0.5,0)),0)</f>
        <v>0</v>
      </c>
      <c r="CG316" s="274">
        <f>IF(CF$3=$K316,IF($C316="L",1,IF($C316="1/2L",0.5,0)),0)</f>
        <v>0</v>
      </c>
      <c r="CH316" s="274">
        <f>IF(CH$3=$K316,IF($C316="W",1,IF($C316="1/2W",0.5,0)),0)</f>
        <v>0</v>
      </c>
      <c r="CI316" s="274">
        <f>IF(CH$3=$K316,IF($C316="L",1,IF($C316="1/2L",0.5,0)),0)</f>
        <v>0</v>
      </c>
      <c r="CJ316" s="274">
        <f>IF(CJ$3=$K316,IF($C316="W",1,IF($C316="1/2W",0.5,0)),0)</f>
        <v>0</v>
      </c>
      <c r="CK316" s="274">
        <f>IF(CJ$3=$K316,IF($C316="L",1,IF($C316="1/2L",0.5,0)),0)</f>
        <v>0</v>
      </c>
      <c r="CL316" s="274">
        <f>IF(CL$3=$K316,IF($C316="W",1,IF($C316="1/2W",0.5,0)),0)</f>
        <v>0</v>
      </c>
      <c r="CM316" s="274">
        <f>IF(CL$3=$K316,IF($C316="L",1,IF($C316="1/2L",0.5,0)),0)</f>
        <v>0</v>
      </c>
      <c r="CN316" s="274">
        <f>IF(CN$3=$K316,IF($C316="W",1,IF($C316="1/2W",0.5,0)),0)</f>
        <v>0</v>
      </c>
      <c r="CO316" s="274">
        <f>IF(CN$3=$K316,IF($C316="L",1,IF($C316="1/2L",0.5,0)),0)</f>
        <v>0</v>
      </c>
      <c r="CP316" s="274">
        <f>IF(CP$3=$K316,IF($C316="W",1,IF($C316="1/2W",0.5,0)),0)</f>
        <v>0</v>
      </c>
      <c r="CQ316" s="274">
        <f>IF(CP$3=$K316,IF($C316="L",1,IF($C316="1/2L",0.5,0)),0)</f>
        <v>0</v>
      </c>
      <c r="CR316" s="274">
        <f>IF(CR$3=$K316,IF($C316="W",1,IF($C316="1/2W",0.5,0)),0)</f>
        <v>0</v>
      </c>
      <c r="CS316" s="274">
        <f>IF(CR$3=$K316,IF($C316="L",1,IF($C316="1/2L",0.5,0)),0)</f>
        <v>0</v>
      </c>
      <c r="CT316" s="145">
        <f>IF(CT$3=$K316,IF($C316="W",1,IF($C316="1/2W",0.5,0)),0)</f>
        <v>0</v>
      </c>
      <c r="CU316" s="146">
        <f>IF(CT$3=$K316,IF($C316="L",1,IF($C316="1/2L",0.5,0)),0)</f>
        <v>0</v>
      </c>
      <c r="CV316" s="146">
        <f>IF(CV$3=$K316,IF($C316="W",1,IF($C316="1/2W",0.5,0)),0)</f>
        <v>0</v>
      </c>
      <c r="CW316" s="146">
        <f>IF(CV$3=$K316,IF($C316="L",1,IF($C316="1/2L",0.5,0)),0)</f>
        <v>0</v>
      </c>
      <c r="CX316" s="146">
        <f>IF(CX$3=$K316,IF($C316="W",1,IF($C316="1/2W",0.5,0)),0)</f>
        <v>0</v>
      </c>
      <c r="CY316" s="146">
        <f>IF(CX$3=$K316,IF($C316="L",1,IF($C316="1/2L",0.5,0)),0)</f>
        <v>0</v>
      </c>
      <c r="CZ316" s="146">
        <f>IF(CZ$3=$K316,IF($C316="W",1,IF($C316="1/2W",0.5,0)),0)</f>
        <v>0</v>
      </c>
      <c r="DA316" s="146">
        <f>IF(CZ$3=$K316,IF($C316="L",1,IF($C316="1/2L",0.5,0)),0)</f>
        <v>0</v>
      </c>
      <c r="DB316" s="146">
        <f>IF(DB$3=$K316,IF($C316="W",1,IF($C316="1/2W",0.5,0)),0)</f>
        <v>0</v>
      </c>
      <c r="DC316" s="146">
        <f>IF(DB$3=$K316,IF($C316="L",1,IF($C316="1/2L",0.5,0)),0)</f>
        <v>0</v>
      </c>
      <c r="DD316" s="146">
        <f>IF(DD$3=$K316,IF($C316="W",1,IF($C316="1/2W",0.5,0)),0)</f>
        <v>0</v>
      </c>
      <c r="DE316" s="147">
        <f>IF(DD$3=$K316,IF($C316="L",1,IF($C316="1/2L",0.5,0)),0)</f>
        <v>0</v>
      </c>
      <c r="DF316" s="143">
        <f>IF(AND(L316&lt;DF$3,$C316="W"),1+DF315,DF315)</f>
        <v>12</v>
      </c>
      <c r="DG316" s="133">
        <f>IF(DF316&gt;DF315,L316+DG315,DG315)</f>
        <v>15.718</v>
      </c>
      <c r="DH316" s="146">
        <f>IF(AND(L316&gt;DH$3,$C316="W"),1+DH315,0+DH315)</f>
        <v>7</v>
      </c>
      <c r="DI316" s="133">
        <f>IF(DH316&gt;DH315,L316+DI315,DI315)</f>
        <v>34.83</v>
      </c>
      <c r="DJ316" t="s" s="304">
        <f>IF($D316="","",$D316)</f>
        <v>272</v>
      </c>
      <c r="DK316" s="146">
        <f>IF(AND($B316=" ",$D316&lt;&gt;""),1,0)</f>
        <v>0</v>
      </c>
    </row>
    <row r="317" ht="14.55" customHeight="1">
      <c r="A317" s="107"/>
      <c r="B317" s="108"/>
      <c r="C317" t="s" s="109">
        <v>51</v>
      </c>
      <c r="D317" s="110"/>
      <c r="E317" s="111"/>
      <c r="F317" s="113"/>
      <c r="G317" s="252"/>
      <c r="H317" s="114"/>
      <c r="I317" t="s" s="275">
        <v>57</v>
      </c>
      <c r="J317" s="276">
        <f>IF(OR(I316="TO",I316="TU",I316="TO1",I316="TU1",I316="TO2",I316="TU2"),J316,IF(OR(I316="AH1",I316="AH2"),IF(OR(I317="AH1",I317="AH2"),-J316,IF(OR(I317="EH1",I317="EH2"),-J316+0.5,"")),IF(OR(I316="EH1",I316="EH2"),IF(OR(I317="AH1",I317="AH2"),-J316+0.5,IF(OR(I317="EH1",I317="EH2"),-J316+1,"")),IF(AND(OR(I316="DNB1",I316="DNB2"),OR(I317="AH1",I317="AH2")),0,IF(AND(I316="Not ScoreBoth",OR(I317="TO1",I317="TO2")),0.5,"")))))</f>
        <v>-1</v>
      </c>
      <c r="K317" t="s" s="117">
        <v>41</v>
      </c>
      <c r="L317" s="277">
        <v>2.78</v>
      </c>
      <c r="M317" s="278"/>
      <c r="N317" s="120"/>
      <c r="O317" s="121">
        <f>IF(OR(AE316="",AE317=""),"",ROUND(IF(L318&gt;0,IF(M317&gt;0,M317,IF(M316&gt;0,IF(N316=TRUE,ROUND((M316*AE317)/AE316,0),(M316*AE317)/AE316),IF(M317&gt;0,ROUND(M317,IF(N316=0,2,IF(N316=0.1,1,0))),IF(M318&gt;0,ROUND(O318*AE317/AE318,IF(N316=0,2,IF(N316=0.1,1,0))),0)))),IF(M317&gt;0,M317,ROUND((M316*AE317)/AE316,IF(N316=0,2,IF(N316=0.1,1,0))))),2))</f>
        <v>12</v>
      </c>
      <c r="P317" s="122">
        <f>IF(OR(L317="",O317=""),"",IF($C317="1/2W",O317/2+O317/2*L317,IF($C317="1/2L",O317/2,IF(I317="Lay",((O317*(L317/(L317-1)))-O317)*(1-_xlfn.XLOOKUP(K317,'Janeiro 2023 - Valor Real'!A3:A15,'Janeiro 2023 - Valor Real'!C3:C15,0))+O317,(O317*L317-O317)*(1-_xlfn.XLOOKUP(K317,'Janeiro 2023 - Valor Real'!A3:A15,'Janeiro 2023 - Valor Real'!C3:C15,0))+O317))))</f>
        <v>33.36</v>
      </c>
      <c r="Q317" s="279">
        <f>IF(K317="","",IF(_xlfn.XLOOKUP(K317,K$107:K132,DJ$107:DJ132,0,,-1)=DJ317,_xlfn.XLOOKUP(K317,K$107:K132,Q$107:Q132,1,,-1)+1,1))</f>
        <v>1</v>
      </c>
      <c r="R317" s="280">
        <f>IF(K317="","",_xlfn.XLOOKUP(K317,K$107:K132,R$107:R132,0,,-1)+IF($C317=" ",1,0))</f>
        <v>0</v>
      </c>
      <c r="S317" s="125"/>
      <c r="T317" s="126"/>
      <c r="U317" s="126"/>
      <c r="V317" s="224"/>
      <c r="W317" s="126"/>
      <c r="X317" s="127"/>
      <c r="Y317" s="128"/>
      <c r="Z317" s="129"/>
      <c r="AA317" s="129"/>
      <c r="AB317" s="129"/>
      <c r="AC317" s="129"/>
      <c r="AD317" s="130"/>
      <c r="AE317" s="131">
        <f>IF(L317="","",IF(L318&gt;0,(SUM(((L316-1)*(1-_xlfn.XLOOKUP(K316,'Janeiro 2023 - Valor Real'!A3:A15,'Janeiro 2023 - Valor Real'!C3:C15,0))+1),((L317-1)*(1-_xlfn.XLOOKUP(K317,'Janeiro 2023 - Valor Real'!A3:A15,'Janeiro 2023 - Valor Real'!C3:C15,0))+1),((L318-1)*(1-_xlfn.XLOOKUP(K318,'Janeiro 2023 - Valor Real'!A3:A15,'Janeiro 2023 - Valor Real'!C3:C15,0))+1))/((L317-1)*(1-_xlfn.XLOOKUP(K317,'Janeiro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Real'!C3:C15,0))+1))/((L316-1)*(1-_xlfn.XLOOKUP(K316,'Janeiro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Real'!C3:C15,0))+1))/((L317-1)*(1-_xlfn.XLOOKUP(K317,'Janeiro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Real'!C3:C15,0))+1))/((L318-1)*(1-_xlfn.XLOOKUP(K318,'Janeiro 2023 - Valor Real'!A3:A15,'Janeiro 2023 - Valor Real'!C3:C15,0))+1)),IF(I317="Lay",IF(I316="Lay",((L316/(L316-1)-1)*(1-_xlfn.XLOOKUP(K316,'Janeiro 2023 - Valor Real'!A3:A15,'Janeiro 2023 - Valor Real'!C3:C15,0))+1)/(((L316/(L316-1)-1)*(1-_xlfn.XLOOKUP(K316,'Janeiro 2023 - Valor Real'!A3:A15,'Janeiro 2023 - Valor Real'!C3:C15,0))+1)+((L317/(L317-1)-1)*(1-_xlfn.XLOOKUP(K317,'Janeiro 2023 - Valor Real'!A3:A15,'Janeiro 2023 - Valor Real'!C3:C15,0))+1)),((L316-1)*(1-_xlfn.XLOOKUP(K316,'Janeiro 2023 - Valor Real'!A3:A15,'Janeiro 2023 - Valor Real'!C3:C15,0))+1)/(((L316-1)*(1-_xlfn.XLOOKUP(K316,'Janeiro 2023 - Valor Real'!A3:A15,'Janeiro 2023 - Valor Real'!C3:C15,0))+1)+((L317/(L317-1)-1)*(1-_xlfn.XLOOKUP(K317,'Janeiro 2023 - Valor Real'!A3:A15,'Janeiro 2023 - Valor Real'!C3:C15,0))+1))),IF(I316="Lay",((L316/(L316-1)-1)*(1-_xlfn.XLOOKUP(K316,'Janeiro 2023 - Valor Real'!A3:A15,'Janeiro 2023 - Valor Real'!C3:C15,0))+1)/((((L316/(L316-1)-1)*(1-_xlfn.XLOOKUP(K316,'Janeiro 2023 - Valor Real'!A3:A15,'Janeiro 2023 - Valor Real'!C3:C15,0))+1))+((L317-1)*(1-_xlfn.XLOOKUP(K317,'Janeiro 2023 - Valor Real'!A3:A15,'Janeiro 2023 - Valor Real'!C3:C15,0))+1)),((L316-1)*(1-_xlfn.XLOOKUP(K316,'Janeiro 2023 - Valor Real'!A3:A15,'Janeiro 2023 - Valor Real'!C3:C15,0))+1)/(((L316-1)*(1-_xlfn.XLOOKUP(K316,'Janeiro 2023 - Valor Real'!A3:A15,'Janeiro 2023 - Valor Real'!C3:C15,0))+1)+((L317-1)*(1-_xlfn.XLOOKUP(K317,'Janeiro 2023 - Valor Real'!A3:A15,'Janeiro 2023 - Valor Real'!C3:C15,0))+1))))))</f>
        <v>0.372460496613995</v>
      </c>
      <c r="AF317" s="132">
        <f>IF($K317=AF$3,ROUND(IF(OR($C317="W",$C317="1/2W",$C317="1/2L"),$P317-$O317,IF($C317="X",0,-$O317)),2),0)</f>
        <v>0</v>
      </c>
      <c r="AG317" s="133">
        <f>IF($K317=AG$3,ROUND(IF(OR($C317="W",$C317="1/2W",$C317="1/2L"),$P317-$O317,IF($C317="X",0,-$O317)),2),0)</f>
        <v>0</v>
      </c>
      <c r="AH317" s="133">
        <f>IF($K317=AH$3,ROUND(IF(OR($C317="W",$C317="1/2W",$C317="1/2L"),$P317-$O317,IF($C317="X",0,-$O317)),2),0)</f>
        <v>0</v>
      </c>
      <c r="AI317" s="133">
        <f>IF($K317=AI$3,ROUND(IF(OR($C317="W",$C317="1/2W",$C317="1/2L"),$P317-$O317,IF($C317="X",0,-$O317)),2),0)</f>
        <v>0</v>
      </c>
      <c r="AJ317" s="133">
        <f>IF($K317=AJ$3,ROUND(IF(OR($C317="W",$C317="1/2W",$C317="1/2L"),$P317-$O317,IF($C317="X",0,-$O317)),2),0)</f>
        <v>-12</v>
      </c>
      <c r="AK317" s="133">
        <f>IF($K317=AK$3,ROUND(IF(OR($C317="W",$C317="1/2W",$C317="1/2L"),$P317-$O317,IF($C317="X",0,-$O317)),2),0)</f>
        <v>0</v>
      </c>
      <c r="AL317" s="133">
        <f>IF($K317=AL$3,ROUND(IF(OR($C317="W",$C317="1/2W",$C317="1/2L"),$P317-$O317,IF($C317="X",0,-$O317)),2),0)</f>
        <v>0</v>
      </c>
      <c r="AM317" s="133">
        <f>IF($K317=AM$3,ROUND(IF(OR($C317="W",$C317="1/2W",$C317="1/2L"),$P317-$O317,IF($C317="X",0,-$O317)),2),0)</f>
        <v>0</v>
      </c>
      <c r="AN317" s="133">
        <f>IF($K317=AN$3,ROUND(IF(OR($C317="W",$C317="1/2W",$C317="1/2L"),$P317-$O317,IF($C317="X",0,-$O317)),2),0)</f>
        <v>0</v>
      </c>
      <c r="AO317" s="133">
        <f>IF($K317=AO$3,ROUND(IF(OR($C317="W",$C317="1/2W",$C317="1/2L"),$P317-$O317,IF($C317="X",0,-$O317)),2),0)</f>
        <v>0</v>
      </c>
      <c r="AP317" s="133">
        <f>IF($K317=AP$3,ROUND(IF(OR($C317="W",$C317="1/2W",$C317="1/2L"),$P317-$O317,IF($C317="X",0,-$O317)),2),0)</f>
        <v>0</v>
      </c>
      <c r="AQ317" s="133">
        <f>IF($K317=AQ$3,ROUND(IF(OR($C317="W",$C317="1/2W",$C317="1/2L"),$P317-$O317,IF($C317="X",0,-$O317)),2),0)</f>
        <v>0</v>
      </c>
      <c r="AR317" s="134">
        <f>IF($K317=AR$3,ROUND(IF(OR($C317="W",$C317="1/2W",$C317="1/2L"),$P317-$O317,IF($C317="X",0,-$O317)),2),0)</f>
        <v>0</v>
      </c>
      <c r="AS317" s="132">
        <f>IF(AND($B316=" ",$K317=AS$3),$O317,0)</f>
        <v>0</v>
      </c>
      <c r="AT317" s="133">
        <f>IF(AND($B316=" ",K317=AT$3),$O317,0)</f>
        <v>0</v>
      </c>
      <c r="AU317" s="133">
        <f>IF(AND($B316=" ",$K317=AU$3),$O317,0)</f>
        <v>0</v>
      </c>
      <c r="AV317" s="133">
        <f>IF(AND($B316=" ",$K317=AV$3),$O317,0)</f>
        <v>0</v>
      </c>
      <c r="AW317" s="133">
        <f>IF(AND($B316=" ",$K317=AW$3),$O317,0)</f>
        <v>0</v>
      </c>
      <c r="AX317" s="133">
        <f>IF(AND($B316=" ",$K317=AX$3),$O317,0)</f>
        <v>0</v>
      </c>
      <c r="AY317" s="135">
        <f>IF(AND($B316=" ",$K317=AY$3),$O317,0)</f>
        <v>0</v>
      </c>
      <c r="AZ317" s="136">
        <f>IF(AND($B316=" ",$K317=AZ$3),$O317,0)</f>
        <v>0</v>
      </c>
      <c r="BA317" s="136">
        <f>IF(AND($B316=" ",$K317=BA$3),$O317,0)</f>
        <v>0</v>
      </c>
      <c r="BB317" s="136">
        <f>IF(AND($B316=" ",$K317=BB$3),$O317,0)</f>
        <v>0</v>
      </c>
      <c r="BC317" s="137">
        <f>IF(AND($B316=" ",$K317=BC$3),$O317,0)</f>
        <v>0</v>
      </c>
      <c r="BD317" s="133">
        <f>IF(AND($B316=" ",$K317=BD$3),$O317,0)</f>
        <v>0</v>
      </c>
      <c r="BE317" s="134">
        <f>IF(AND($B316=" ",$K317=BE$3),$O317,0)</f>
        <v>0</v>
      </c>
      <c r="BF317" s="132">
        <f>IF($K317=BF$3,IF($C317="X",0,$O317),0)</f>
        <v>0</v>
      </c>
      <c r="BG317" s="281">
        <f>IF($K317=BG$3,IF($C317="X",0,$O317),0)</f>
        <v>0</v>
      </c>
      <c r="BH317" s="133">
        <f>IF($K317=BH$3,IF($C317="X",0,$O317),0)</f>
        <v>0</v>
      </c>
      <c r="BI317" s="133">
        <f>IF($K317=BI$3,IF($C317="X",0,$O317),0)</f>
        <v>0</v>
      </c>
      <c r="BJ317" s="133">
        <f>IF($K317=BJ$3,IF($C317="X",0,$O317),0)</f>
        <v>12</v>
      </c>
      <c r="BK317" s="133">
        <f>IF($K317=BK$3,IF($C317="X",0,$O317),0)</f>
        <v>0</v>
      </c>
      <c r="BL317" s="133">
        <f>IF($K317=BL$3,IF($C317="X",0,$O317),0)</f>
        <v>0</v>
      </c>
      <c r="BM317" s="135">
        <f>IF($K317=BM$3,IF($C317="X",0,$O317),0)</f>
        <v>0</v>
      </c>
      <c r="BN317" s="136">
        <f>IF($K317=BN$3,IF($C317="X",0,$O317),0)</f>
        <v>0</v>
      </c>
      <c r="BO317" s="136">
        <f>IF($K317=BO$3,IF($C317="X",0,$O317),0)</f>
        <v>0</v>
      </c>
      <c r="BP317" s="136">
        <f>IF($K317=BP$3,IF($C317="X",0,$O317),0)</f>
        <v>0</v>
      </c>
      <c r="BQ317" s="137">
        <f>IF($K317=BQ$3,IF($C317="X",0,$O317),0)</f>
        <v>0</v>
      </c>
      <c r="BR317" s="134">
        <f>IF($K317=BR$3,IF($C317="X",0,$O317),0)</f>
        <v>0</v>
      </c>
      <c r="BS317" s="282"/>
      <c r="BT317" s="283"/>
      <c r="BU317" s="140"/>
      <c r="BV317" s="283"/>
      <c r="BW317" s="140"/>
      <c r="BX317" s="140"/>
      <c r="BY317" s="140"/>
      <c r="BZ317" s="283"/>
      <c r="CA317" s="140"/>
      <c r="CB317" s="140"/>
      <c r="CC317" s="140"/>
      <c r="CD317" s="141"/>
      <c r="CE317" s="142"/>
      <c r="CF317" s="284">
        <f>IF(CF$3=$K317,IF($C317="W",1,IF($C317="1/2W",0.5,0)),0)</f>
        <v>0</v>
      </c>
      <c r="CG317" s="285">
        <f>IF(CF$3=$K317,IF($C317="L",1,IF($C317="1/2L",0.5,0)),0)</f>
        <v>0</v>
      </c>
      <c r="CH317" s="285">
        <f>IF(CH$3=$K317,IF($C317="W",1,IF($C317="1/2W",0.5,0)),0)</f>
        <v>0</v>
      </c>
      <c r="CI317" s="285">
        <f>IF(CH$3=$K317,IF($C317="L",1,IF($C317="1/2L",0.5,0)),0)</f>
        <v>0</v>
      </c>
      <c r="CJ317" s="285">
        <f>IF(CJ$3=$K317,IF($C317="W",1,IF($C317="1/2W",0.5,0)),0)</f>
        <v>0</v>
      </c>
      <c r="CK317" s="285">
        <f>IF(CJ$3=$K317,IF($C317="L",1,IF($C317="1/2L",0.5,0)),0)</f>
        <v>0</v>
      </c>
      <c r="CL317" s="285">
        <f>IF(CL$3=$K317,IF($C317="W",1,IF($C317="1/2W",0.5,0)),0)</f>
        <v>0</v>
      </c>
      <c r="CM317" s="285">
        <f>IF(CL$3=$K317,IF($C317="L",1,IF($C317="1/2L",0.5,0)),0)</f>
        <v>0</v>
      </c>
      <c r="CN317" s="285">
        <f>IF(CN$3=$K317,IF($C317="W",1,IF($C317="1/2W",0.5,0)),0)</f>
        <v>0</v>
      </c>
      <c r="CO317" s="285">
        <f>IF(CN$3=$K317,IF($C317="L",1,IF($C317="1/2L",0.5,0)),0)</f>
        <v>1</v>
      </c>
      <c r="CP317" s="285">
        <f>IF(CP$3=$K317,IF($C317="W",1,IF($C317="1/2W",0.5,0)),0)</f>
        <v>0</v>
      </c>
      <c r="CQ317" s="285">
        <f>IF(CP$3=$K317,IF($C317="L",1,IF($C317="1/2L",0.5,0)),0)</f>
        <v>0</v>
      </c>
      <c r="CR317" s="285">
        <f>IF(CR$3=$K317,IF($C317="W",1,IF($C317="1/2W",0.5,0)),0)</f>
        <v>0</v>
      </c>
      <c r="CS317" s="285">
        <f>IF(CR$3=$K317,IF($C317="L",1,IF($C317="1/2L",0.5,0)),0)</f>
        <v>0</v>
      </c>
      <c r="CT317" s="145">
        <f>IF(CT$3=$K317,IF($C317="W",1,IF($C317="1/2W",0.5,0)),0)</f>
        <v>0</v>
      </c>
      <c r="CU317" s="146">
        <f>IF(CT$3=$K317,IF($C317="L",1,IF($C317="1/2L",0.5,0)),0)</f>
        <v>0</v>
      </c>
      <c r="CV317" s="146">
        <f>IF(CV$3=$K317,IF($C317="W",1,IF($C317="1/2W",0.5,0)),0)</f>
        <v>0</v>
      </c>
      <c r="CW317" s="146">
        <f>IF(CV$3=$K317,IF($C317="L",1,IF($C317="1/2L",0.5,0)),0)</f>
        <v>0</v>
      </c>
      <c r="CX317" s="146">
        <f>IF(CX$3=$K317,IF($C317="W",1,IF($C317="1/2W",0.5,0)),0)</f>
        <v>0</v>
      </c>
      <c r="CY317" s="146">
        <f>IF(CX$3=$K317,IF($C317="L",1,IF($C317="1/2L",0.5,0)),0)</f>
        <v>0</v>
      </c>
      <c r="CZ317" s="146">
        <f>IF(CZ$3=$K317,IF($C317="W",1,IF($C317="1/2W",0.5,0)),0)</f>
        <v>0</v>
      </c>
      <c r="DA317" s="146">
        <f>IF(CZ$3=$K317,IF($C317="L",1,IF($C317="1/2L",0.5,0)),0)</f>
        <v>0</v>
      </c>
      <c r="DB317" s="146">
        <f>IF(DB$3=$K317,IF($C317="W",1,IF($C317="1/2W",0.5,0)),0)</f>
        <v>0</v>
      </c>
      <c r="DC317" s="146">
        <f>IF(DB$3=$K317,IF($C317="L",1,IF($C317="1/2L",0.5,0)),0)</f>
        <v>0</v>
      </c>
      <c r="DD317" s="146">
        <f>IF(DD$3=$K317,IF($C317="W",1,IF($C317="1/2W",0.5,0)),0)</f>
        <v>0</v>
      </c>
      <c r="DE317" s="147">
        <f>IF(DD$3=$K317,IF($C317="L",1,IF($C317="1/2L",0.5,0)),0)</f>
        <v>0</v>
      </c>
      <c r="DF317" s="143">
        <f>IF(AND(L317&lt;DF$3,$C317="W"),1+DF316,DF316)</f>
        <v>12</v>
      </c>
      <c r="DG317" s="133">
        <f>IF(DF317&gt;DF316,L317+DG316,DG316)</f>
        <v>15.718</v>
      </c>
      <c r="DH317" s="146">
        <f>IF(AND(L317&gt;DH$3,$C317="W"),1+DH316,0+DH316)</f>
        <v>7</v>
      </c>
      <c r="DI317" s="133">
        <f>IF(DH317&gt;DH316,L317+DI316,DI316)</f>
        <v>34.83</v>
      </c>
      <c r="DJ317" t="s" s="304">
        <f>IF($D316="","",$D316)</f>
        <v>272</v>
      </c>
      <c r="DK317" s="286"/>
    </row>
    <row r="318" ht="14.55" customHeight="1">
      <c r="A318" s="149"/>
      <c r="B318" s="150"/>
      <c r="C318" t="s" s="151">
        <v>58</v>
      </c>
      <c r="D318" s="152"/>
      <c r="E318" s="153"/>
      <c r="F318" s="155"/>
      <c r="G318" s="252"/>
      <c r="H318" s="156"/>
      <c r="I318" s="287"/>
      <c r="J318" s="288"/>
      <c r="K318" s="156"/>
      <c r="L318" s="289"/>
      <c r="M318" s="290"/>
      <c r="N318" s="161"/>
      <c r="O318" t="s" s="162">
        <f>IF(OR(AE316="",AE317=""),"",IF(L318&gt;0,ROUND(IF(M318&gt;0,M318,IF(M316&gt;0,ROUND((M316*AE318)/AE316,IF(N316=0,2,IF(N316=0.1,1,0))),IF(M317&gt;0,ROUND((M317*AE318)/AE317,IF(N316=0,2,IF(N316=0.1,1,0))),IF(M318&gt;0,M318,0)))),2),""))</f>
      </c>
      <c r="P318" t="s" s="163">
        <f>IF(I317="Lay",O317*(L317/(L317-1))-O317,IF(I316="Lay",O316*(L316/(L316-1))-O316,IF(OR(L318="",O318=""),"",IF($C318="1/2W",O318/2+O318/2*L318,IF($C318="1/2L",O318/2,(O318*L318-O318)*(1-_xlfn.XLOOKUP(K318,'Janeiro 2023 - Valor Real'!A3:A15,'Janeiro 2023 - Valor Real'!C3:C15,0))+O318)))))</f>
      </c>
      <c r="Q318" t="s" s="154">
        <f>IF(K318="","",IF(_xlfn.XLOOKUP(K318,K$108:K133,DJ$108:DJ133,0,,-1)=DJ318,_xlfn.XLOOKUP(K318,K$108:K133,Q$108:Q133,1,,-1)+1,1))</f>
      </c>
      <c r="R318" t="s" s="163">
        <f>IF(K318="","",_xlfn.XLOOKUP(K318,K$108:K133,R$108:R133,0,,-1)+IF($C318=" ",1,0))</f>
      </c>
      <c r="S318" s="166"/>
      <c r="T318" s="155"/>
      <c r="U318" s="155"/>
      <c r="V318" s="166"/>
      <c r="W318" s="155"/>
      <c r="X318" s="167"/>
      <c r="Y318" s="128"/>
      <c r="Z318" s="129"/>
      <c r="AA318" s="129"/>
      <c r="AB318" s="129"/>
      <c r="AC318" s="129"/>
      <c r="AD318" s="168"/>
      <c r="AE318" t="s" s="169">
        <f>IF(L318="","",(SUM(((L316-1)*(1-_xlfn.XLOOKUP(K316,'Janeiro 2023 - Valor Real'!A3:A15,'Janeiro 2023 - Valor Real'!C3:C15,0))+1),((L317-1)*(1-_xlfn.XLOOKUP(K317,'Janeiro 2023 - Valor Real'!A3:A15,'Janeiro 2023 - Valor Real'!C3:C15,0))+1),((L318-1)*(1-_xlfn.XLOOKUP(K318,'Janeiro 2023 - Valor Real'!A3:A15,'Janeiro 2023 - Valor Real'!C3:C15,0))+1))/((L318-1)*(1-_xlfn.XLOOKUP(K318,'Janeiro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Real'!C3:C15,0))+1))/((L316-1)*(1-_xlfn.XLOOKUP(K316,'Janeiro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Real'!C3:C15,0))+1))/((L317-1)*(1-_xlfn.XLOOKUP(K317,'Janeiro 2023 - Valor Real'!A3:A15,'Janeiro 2023 - Valor Real'!C3:C15,0))+1)+SUM(((L316-1)*(1-_xlfn.XLOOKUP(K316,'Janeiro 2023 - Valor Real'!A3:A15,'Janeiro 2023 - Valor Real'!C3:C15,0))+1),((L317-1)*(1-_xlfn.XLOOKUP(K317,'Janeiro 2023 - Valor Real'!A3:A15,'Janeiro 2023 - Valor Real'!C3:C15,0))+1),((L318-1)*(1-_xlfn.XLOOKUP(K318,'Janeiro 2023 - Valor Real'!A3:A15,'Janeiro 2023 - Valor Real'!C3:C15,0))+1))/((L318-1)*(1-_xlfn.XLOOKUP(K318,'Janeiro 2023 - Valor Real'!A3:A15,'Janeiro 2023 - Valor Real'!C3:C15,0))+1)))</f>
      </c>
      <c r="AF318" s="132">
        <f>IF($K318=AF$3,ROUND(IF(OR($C318="W",$C318="1/2W",$C318="1/2L"),$P318-$O318,IF($C318="X",0,-$O318)),2),0)</f>
        <v>0</v>
      </c>
      <c r="AG318" s="133">
        <f>IF($K318=AG$3,ROUND(IF(OR($C318="W",$C318="1/2W",$C318="1/2L"),$P318-$O318,IF($C318="X",0,-$O318)),2),0)</f>
        <v>0</v>
      </c>
      <c r="AH318" s="133">
        <f>IF($K318=AH$3,ROUND(IF(OR($C318="W",$C318="1/2W",$C318="1/2L"),$P318-$O318,IF($C318="X",0,-$O318)),2),0)</f>
        <v>0</v>
      </c>
      <c r="AI318" s="133">
        <f>IF($K318=AI$3,ROUND(IF(OR($C318="W",$C318="1/2W",$C318="1/2L"),$P318-$O318,IF($C318="X",0,-$O318)),2),0)</f>
        <v>0</v>
      </c>
      <c r="AJ318" s="133">
        <f>IF($K318=AJ$3,ROUND(IF(OR($C318="W",$C318="1/2W",$C318="1/2L"),$P318-$O318,IF($C318="X",0,-$O318)),2),0)</f>
        <v>0</v>
      </c>
      <c r="AK318" s="133">
        <f>IF($K318=AK$3,ROUND(IF(OR($C318="W",$C318="1/2W",$C318="1/2L"),$P318-$O318,IF($C318="X",0,-$O318)),2),0)</f>
        <v>0</v>
      </c>
      <c r="AL318" s="133">
        <f>IF($K318=AL$3,ROUND(IF(OR($C318="W",$C318="1/2W",$C318="1/2L"),$P318-$O318,IF($C318="X",0,-$O318)),2),0)</f>
        <v>0</v>
      </c>
      <c r="AM318" s="133">
        <f>IF($K318=AM$3,ROUND(IF(OR($C318="W",$C318="1/2W",$C318="1/2L"),$P318-$O318,IF($C318="X",0,-$O318)),2),0)</f>
        <v>0</v>
      </c>
      <c r="AN318" s="133">
        <f>IF($K318=AN$3,ROUND(IF(OR($C318="W",$C318="1/2W",$C318="1/2L"),$P318-$O318,IF($C318="X",0,-$O318)),2),0)</f>
        <v>0</v>
      </c>
      <c r="AO318" s="133">
        <f>IF($K318=AO$3,ROUND(IF(OR($C318="W",$C318="1/2W",$C318="1/2L"),$P318-$O318,IF($C318="X",0,-$O318)),2),0)</f>
        <v>0</v>
      </c>
      <c r="AP318" s="133">
        <f>IF($K318=AP$3,ROUND(IF(OR($C318="W",$C318="1/2W",$C318="1/2L"),$P318-$O318,IF($C318="X",0,-$O318)),2),0)</f>
        <v>0</v>
      </c>
      <c r="AQ318" s="133">
        <f>IF($K318=AQ$3,ROUND(IF(OR($C318="W",$C318="1/2W",$C318="1/2L"),$P318-$O318,IF($C318="X",0,-$O318)),2),0)</f>
        <v>0</v>
      </c>
      <c r="AR318" s="134">
        <f>IF($K318=AR$3,ROUND(IF(OR($C318="W",$C318="1/2W",$C318="1/2L"),$P318-$O318,IF($C318="X",0,-$O318)),2),0)</f>
        <v>0</v>
      </c>
      <c r="AS318" s="132">
        <f>IF(AND($B316=" ",$K318=AS$3),$O318,0)</f>
        <v>0</v>
      </c>
      <c r="AT318" s="133">
        <f>IF(AND($B316=" ",K318=AT$3),$O318,0)</f>
        <v>0</v>
      </c>
      <c r="AU318" s="133">
        <f>IF(AND($B316=" ",$K318=AU$3),$O318,0)</f>
        <v>0</v>
      </c>
      <c r="AV318" s="133">
        <f>IF(AND($B316=" ",$K318=AV$3),$O318,0)</f>
        <v>0</v>
      </c>
      <c r="AW318" s="133">
        <f>IF(AND($B316=" ",$K318=AW$3),$O318,0)</f>
        <v>0</v>
      </c>
      <c r="AX318" s="133">
        <f>IF(AND($B316=" ",$K318=AX$3),$O318,0)</f>
        <v>0</v>
      </c>
      <c r="AY318" s="135">
        <f>IF(AND($B316=" ",$K318=AY$3),$O318,0)</f>
        <v>0</v>
      </c>
      <c r="AZ318" s="136">
        <f>IF(AND($B316=" ",$K318=AZ$3),$O318,0)</f>
        <v>0</v>
      </c>
      <c r="BA318" s="136">
        <f>IF(AND($B316=" ",$K318=BA$3),$O318,0)</f>
        <v>0</v>
      </c>
      <c r="BB318" s="136">
        <f>IF(AND($B316=" ",$K318=BB$3),$O318,0)</f>
        <v>0</v>
      </c>
      <c r="BC318" s="137">
        <f>IF(AND($B316=" ",$K318=BC$3),$O318,0)</f>
        <v>0</v>
      </c>
      <c r="BD318" s="133">
        <f>IF(AND($B316=" ",$K318=BD$3),$O318,0)</f>
        <v>0</v>
      </c>
      <c r="BE318" s="134">
        <f>IF(AND($B316=" ",$K318=BE$3),$O318,0)</f>
        <v>0</v>
      </c>
      <c r="BF318" s="132">
        <f>IF($K318=BF$3,IF($C318="X",0,$O318),0)</f>
        <v>0</v>
      </c>
      <c r="BG318" s="281">
        <f>IF($K318=BG$3,IF($C318="X",0,$O318),0)</f>
        <v>0</v>
      </c>
      <c r="BH318" s="133">
        <f>IF($K318=BH$3,IF($C318="X",0,$O318),0)</f>
        <v>0</v>
      </c>
      <c r="BI318" s="133">
        <f>IF($K318=BI$3,IF($C318="X",0,$O318),0)</f>
        <v>0</v>
      </c>
      <c r="BJ318" s="133">
        <f>IF($K318=BJ$3,IF($C318="X",0,$O318),0)</f>
        <v>0</v>
      </c>
      <c r="BK318" s="133">
        <f>IF($K318=BK$3,IF($C318="X",0,$O318),0)</f>
        <v>0</v>
      </c>
      <c r="BL318" s="133">
        <f>IF($K318=BL$3,IF($C318="X",0,$O318),0)</f>
        <v>0</v>
      </c>
      <c r="BM318" s="135">
        <f>IF($K318=BM$3,IF($C318="X",0,$O318),0)</f>
        <v>0</v>
      </c>
      <c r="BN318" s="136">
        <f>IF($K318=BN$3,IF($C318="X",0,$O318),0)</f>
        <v>0</v>
      </c>
      <c r="BO318" s="136">
        <f>IF($K318=BO$3,IF($C318="X",0,$O318),0)</f>
        <v>0</v>
      </c>
      <c r="BP318" s="136">
        <f>IF($K318=BP$3,IF($C318="X",0,$O318),0)</f>
        <v>0</v>
      </c>
      <c r="BQ318" s="137">
        <f>IF($K318=BQ$3,IF($C318="X",0,$O318),0)</f>
        <v>0</v>
      </c>
      <c r="BR318" s="134">
        <f>IF($K318=BR$3,IF($C318="X",0,$O318),0)</f>
        <v>0</v>
      </c>
      <c r="BS318" s="282"/>
      <c r="BT318" s="283"/>
      <c r="BU318" s="140"/>
      <c r="BV318" s="283"/>
      <c r="BW318" s="140"/>
      <c r="BX318" s="140"/>
      <c r="BY318" s="140"/>
      <c r="BZ318" s="283"/>
      <c r="CA318" s="140"/>
      <c r="CB318" s="140"/>
      <c r="CC318" s="140"/>
      <c r="CD318" s="141"/>
      <c r="CE318" s="142"/>
      <c r="CF318" s="284">
        <f>IF(CF$3=$K318,IF($C318="W",1,IF($C318="1/2W",0.5,0)),0)</f>
        <v>0</v>
      </c>
      <c r="CG318" s="285">
        <f>IF(CF$3=$K318,IF($C318="L",1,IF($C318="1/2L",0.5,0)),0)</f>
        <v>0</v>
      </c>
      <c r="CH318" s="285">
        <f>IF(CH$3=$K318,IF($C318="W",1,IF($C318="1/2W",0.5,0)),0)</f>
        <v>0</v>
      </c>
      <c r="CI318" s="285">
        <f>IF(CH$3=$K318,IF($C318="L",1,IF($C318="1/2L",0.5,0)),0)</f>
        <v>0</v>
      </c>
      <c r="CJ318" s="285">
        <f>IF(CJ$3=$K318,IF($C318="W",1,IF($C318="1/2W",0.5,0)),0)</f>
        <v>0</v>
      </c>
      <c r="CK318" s="285">
        <f>IF(CJ$3=$K318,IF($C318="L",1,IF($C318="1/2L",0.5,0)),0)</f>
        <v>0</v>
      </c>
      <c r="CL318" s="285">
        <f>IF(CL$3=$K318,IF($C318="W",1,IF($C318="1/2W",0.5,0)),0)</f>
        <v>0</v>
      </c>
      <c r="CM318" s="285">
        <f>IF(CL$3=$K318,IF($C318="L",1,IF($C318="1/2L",0.5,0)),0)</f>
        <v>0</v>
      </c>
      <c r="CN318" s="285">
        <f>IF(CN$3=$K318,IF($C318="W",1,IF($C318="1/2W",0.5,0)),0)</f>
        <v>0</v>
      </c>
      <c r="CO318" s="285">
        <f>IF(CN$3=$K318,IF($C318="L",1,IF($C318="1/2L",0.5,0)),0)</f>
        <v>0</v>
      </c>
      <c r="CP318" s="285">
        <f>IF(CP$3=$K318,IF($C318="W",1,IF($C318="1/2W",0.5,0)),0)</f>
        <v>0</v>
      </c>
      <c r="CQ318" s="285">
        <f>IF(CP$3=$K318,IF($C318="L",1,IF($C318="1/2L",0.5,0)),0)</f>
        <v>0</v>
      </c>
      <c r="CR318" s="285">
        <f>IF(CR$3=$K318,IF($C318="W",1,IF($C318="1/2W",0.5,0)),0)</f>
        <v>0</v>
      </c>
      <c r="CS318" s="285">
        <f>IF(CR$3=$K318,IF($C318="L",1,IF($C318="1/2L",0.5,0)),0)</f>
        <v>0</v>
      </c>
      <c r="CT318" s="145">
        <f>IF(CT$3=$K318,IF($C318="W",1,IF($C318="1/2W",0.5,0)),0)</f>
        <v>0</v>
      </c>
      <c r="CU318" s="146">
        <f>IF(CT$3=$K318,IF($C318="L",1,IF($C318="1/2L",0.5,0)),0)</f>
        <v>0</v>
      </c>
      <c r="CV318" s="146">
        <f>IF(CV$3=$K318,IF($C318="W",1,IF($C318="1/2W",0.5,0)),0)</f>
        <v>0</v>
      </c>
      <c r="CW318" s="146">
        <f>IF(CV$3=$K318,IF($C318="L",1,IF($C318="1/2L",0.5,0)),0)</f>
        <v>0</v>
      </c>
      <c r="CX318" s="146">
        <f>IF(CX$3=$K318,IF($C318="W",1,IF($C318="1/2W",0.5,0)),0)</f>
        <v>0</v>
      </c>
      <c r="CY318" s="146">
        <f>IF(CX$3=$K318,IF($C318="L",1,IF($C318="1/2L",0.5,0)),0)</f>
        <v>0</v>
      </c>
      <c r="CZ318" s="146">
        <f>IF(CZ$3=$K318,IF($C318="W",1,IF($C318="1/2W",0.5,0)),0)</f>
        <v>0</v>
      </c>
      <c r="DA318" s="146">
        <f>IF(CZ$3=$K318,IF($C318="L",1,IF($C318="1/2L",0.5,0)),0)</f>
        <v>0</v>
      </c>
      <c r="DB318" s="146">
        <f>IF(DB$3=$K318,IF($C318="W",1,IF($C318="1/2W",0.5,0)),0)</f>
        <v>0</v>
      </c>
      <c r="DC318" s="146">
        <f>IF(DB$3=$K318,IF($C318="L",1,IF($C318="1/2L",0.5,0)),0)</f>
        <v>0</v>
      </c>
      <c r="DD318" s="146">
        <f>IF(DD$3=$K318,IF($C318="W",1,IF($C318="1/2W",0.5,0)),0)</f>
        <v>0</v>
      </c>
      <c r="DE318" s="147">
        <f>IF(DD$3=$K318,IF($C318="L",1,IF($C318="1/2L",0.5,0)),0)</f>
        <v>0</v>
      </c>
      <c r="DF318" s="143">
        <f>IF(AND(L318&lt;DF$3,$C318="W"),1+DF317,DF317)</f>
        <v>12</v>
      </c>
      <c r="DG318" s="133">
        <f>IF(DF318&gt;DF317,L318+DG317,DG317)</f>
        <v>15.718</v>
      </c>
      <c r="DH318" s="146">
        <f>IF(AND(L318&gt;DH$3,$C318="W"),1+DH317,0+DH317)</f>
        <v>7</v>
      </c>
      <c r="DI318" s="133">
        <f>IF(DH318&gt;DH317,L318+DI317,DI317)</f>
        <v>34.83</v>
      </c>
      <c r="DJ318" t="s" s="304">
        <f>IF($D316="","",$D316)</f>
        <v>272</v>
      </c>
      <c r="DK318" s="286"/>
    </row>
    <row r="319" ht="14.55" customHeight="1">
      <c r="A319" s="171">
        <f>$A316+1</f>
        <v>106</v>
      </c>
      <c r="B319" t="s" s="172">
        <f>IF(AND(_xlfn.XLOOKUP(H319,H$103:H134,G$103:G134,0)=G319,_xlfn.XLOOKUP("TempoBet",K319:K321,L319:L321,0)&gt;0),"X",IF(OR(C319="W",C320="W",C321="W",C319="1/2W",C320="1/2W",C321="1/2W",C319="1/2L",C320="1/2L",C321="1/2L"),"OK",IF(OR(C319="L",C320="L",C321="L"),"LOSS",IF(OR(C319="X",C320="X",C321="X"),"Anulado"," "))))</f>
        <v>50</v>
      </c>
      <c r="C319" t="s" s="173">
        <v>51</v>
      </c>
      <c r="D319" t="s" s="305">
        <f>IF(G319="","",$D316)</f>
        <v>272</v>
      </c>
      <c r="E319" t="s" s="175">
        <f>IF(G319=""," ","– "&amp;COUNTIF(D$4:D321,$D319))</f>
        <v>115</v>
      </c>
      <c r="F319" t="s" s="176"/>
      <c r="G319" s="177">
        <v>44946.208333333336</v>
      </c>
      <c r="H319" t="s" s="178">
        <v>276</v>
      </c>
      <c r="I319" t="s" s="179">
        <v>65</v>
      </c>
      <c r="J319" s="291">
        <v>13.5</v>
      </c>
      <c r="K319" t="s" s="181">
        <v>41</v>
      </c>
      <c r="L319" s="182">
        <v>2</v>
      </c>
      <c r="M319" s="183">
        <v>6.15</v>
      </c>
      <c r="N319" s="184">
        <v>0</v>
      </c>
      <c r="O319" s="185">
        <f>IF(OR(AE319="",AE320=""),"",ROUND(IF(L321&gt;0,IF(M319&gt;0,M319,IF(M320&gt;0,ROUND((M320*AE319)/AE320,IF(N319=0,2,IF(N319=0.1,1,0))),ROUND((M321*AE319)/AE321,IF(N319=0,2,IF(N319=0.1,1,0))))),IF(M319&gt;0,M319,ROUND((M320*AE319)/AE320,IF(N319=0,2,IF(N319=0.1,1,0))))),2))</f>
        <v>6.15</v>
      </c>
      <c r="P319" s="186">
        <f>IF(OR(L319="",O319=""),"",IF($C319="1/2W",O319/2+O319/2*L319,IF($C319="1/2L",O319/2,IF(I319="Lay",(O319*(L319/(L319-1))-O319)*(1-_xlfn.XLOOKUP(K319,'Janeiro 2023 - Valor Real'!A3:A15,'Janeiro 2023 - Valor Real'!C3:C15,0))+O319,(O319*L319-O319)*(1-_xlfn.XLOOKUP(K319,'Janeiro 2023 - Valor Real'!A3:A15,'Janeiro 2023 - Valor Real'!C3:C15,0))+O319))))</f>
        <v>12.3</v>
      </c>
      <c r="Q319" s="187">
        <f>IF(K319="","",IF(_xlfn.XLOOKUP(K319,K$103:K134,DJ$103:DJ134,0,,-1)=DJ319,_xlfn.XLOOKUP(K319,K$103:K134,Q$103:Q134,1,,-1)+1,1))</f>
        <v>1</v>
      </c>
      <c r="R319" s="188">
        <f>IF(K319="","",_xlfn.XLOOKUP(K319,K$103:K134,R$103:R134,0,,-1)+IF($C319=" ",1,0))</f>
        <v>0</v>
      </c>
      <c r="S319" s="189">
        <f>IF($B319="Anulado",0,ROUND(IF(OR($B319="LOSS",$B319="OK"),IF(OR($C319="W",$C319="1/2W",$C319="1/2L"),P319-O319,IF($C319="L",-O319,0))+IF(OR($C320="W",$C320="1/2W",$C320="1/2L"),P320-O320,IF($C320="L",-O320,0))+IF(OR($C321="W",$C321="1/2W",$C321="1/2L"),P321-O321,IF($C321="L",-O321,0)),IF(AND(OR($C319="W",$C319="1/2W",$C319="1/2L"),C320="W"),P319+P320-SUM(O319:O321)+_xlfn.XLOOKUP("X",C319:C321,O319:O321,0),IF(AND(C319=TRUE,C321="W"),P319+P321-SUM(O319:O321),IF(AND(C320="W",C321="W"),P320+P321-SUM(O319:O321)+_xlfn.XLOOKUP("X",C319:C321,O319:O321,0),IF(L321&gt;0,IF(OR($C319="W",$C319="1/2W",$C319="1/2L"),P319-SUM(O319:O321)+_xlfn.XLOOKUP("X",C319:C321,O319:O321,0),IF(OR($C319="W",$C319="1/2W",$C319="1/2L"),P320-SUM(O319:O321)+_xlfn.XLOOKUP("X",C319:C321,O319:O321,0),IF(OR($C319="W",$C319="1/2W",$C319="1/2L"),P321-SUM(O319:O321)+_xlfn.XLOOKUP("X",C319:C321,O319:O321,0),IF(SUM(P319:P321)/3-SUM(O319:O321)+_xlfn.XLOOKUP("X",C319:C321,O319:O321,0)&gt;0,SUM(P319:P321)/3-SUM(O319:O321)+_xlfn.XLOOKUP("X",C319:C321,O319:O321,0),LARGE(P319:P321,1)-SUM(O319:O321))))),IF(OR($C319="W",$C319="1/2W",$C319="1/2L"),P319-SUM(O319:O320)+_xlfn.XLOOKUP("X",C319:C321,O319:O321,0),IF(OR($C319="W",$C319="1/2W",$C319="1/2L"),P320-SUM(O319:O320)+_xlfn.XLOOKUP("X",C319:C321,O319:O321,0),SUM(P319:P320)/2-SUM(O319:O320)+_xlfn.XLOOKUP("X",C319:C321,O319:O321,0)))))))),2))</f>
        <v>0.57</v>
      </c>
      <c r="T319" s="190">
        <f>IF(S319=0,0,S319/SUM(O319:O321))</f>
        <v>0.0485106382978723</v>
      </c>
      <c r="U319" s="191">
        <f>IF($D319=$D316,IF(OR($B319="LOSS",$B319="OK",$B319="Anulada"),S319,0)+U316,IF(OR($B319="LOSS",$B319="OK",$B319="Anulada"),S319,0))</f>
        <v>-7.27</v>
      </c>
      <c r="V319" s="191">
        <f>IF($D319="",0,IF($D319=$D316,IF($B319=" ",IF(I321="",IF(OR(AND(I319="DNB1",I320="DNB2"),AND(OR(I319="DNB1",I319="DNB2"),J320=0),AND(OR(I320="DNB1",I320="DNB2"),J319=0),AND(I319="DNB2",I320="DNB1"),AND(IF(J319=0,(J319+1)/ROUND(J319+1,0),J319/ROUND(J319,0))=1,IF(J320=0,(J320+1)/ROUND(IF(J320="",0,J320)+1,0),IF(J320="",0,J320)/ROUND(IF(J320="",1,J320),0))=1,OR(J319&lt;&gt;""),J320&lt;&gt;"")),0,IF(S319&lt;0,IF(I321="",SMALL(P319:P320,1)-SUM(O319:O320),0),SMALL(P319:P320,1)-SUM(O319:O320))),IF(S319&lt;0,IF(I321="",SMALL(P319:P321,1)-SUM(O319:O321),0),LARGE(P319:P321,1)-SUM(O319:O321))),S319)+V316,IF(I321="",IF(OR(AND(I319="DNB1",I320="DNB2"),AND(OR(I319="DNB1",I319="DNB2"),J320=0),AND(OR(I320="DNB1",I320="DNB2"),J319=0),AND(I319="DNB2",I320="DNB1"),AND(IF(J319=0,(J319+1)/ROUND(J319+1,0),J319/ROUND(J319,0))=1,IF(J320=0,(IF(J320="",0,J320)+1)/ROUND(IF(J320="",0,J320)+1,0),IF(J320="",0,J320)/ROUND(IF(J320="",0,J320)+1,0))=1,OR(J319&lt;&gt;""),J320&lt;&gt;"")),0,IF(S319&lt;0,IF(I321="",SMALL(P319:P320,1)-SUM(O319:O320),0),SMALL(P319:P321,1)-SUM(O319:O321))),IF(S319&lt;0,IF(I321="",SMALL(P319:P321,1)-SUM(O319:O321),0),LARGE(P319:P321,1)-SUM(O319:O321)))))</f>
        <v>-7.305</v>
      </c>
      <c r="W319" s="191">
        <f>IF($D319=$D316,IF(S319&lt;0,IF(I321="",S319,0),S319)+W316,S319)</f>
        <v>-7.27</v>
      </c>
      <c r="X319" t="s" s="192">
        <f>IF(OR(SUM(R319:R321)=0,V319=W319),ROUND(IF(W319=0,0,W319/Y319)*100,2)&amp;"%",ROUND(IF(V319=0,0,V319/Y319)*100,2)&amp;"% a "&amp;ROUND(IF(W319=0,0,W319/Y319)*100,2)&amp;"%")</f>
        <v>280</v>
      </c>
      <c r="Y319" s="193">
        <f>IF($D319=$D316,Y316+SUM(O319:O321),SUM(O319:O321))</f>
        <v>169.46</v>
      </c>
      <c r="Z319" s="191">
        <f>IF($B319=" ",SUM(O319:O321),0)+Z316</f>
        <v>0</v>
      </c>
      <c r="AA319" s="191">
        <f>IF(G319="","",IF($B319="Anulado",LARGE(P319:P321,1)-SUM(O319:O321)+AA316,AA316))</f>
        <v>16.5099</v>
      </c>
      <c r="AB319" s="191">
        <f>IF($D319="","",AB316+S319)</f>
        <v>296.1</v>
      </c>
      <c r="AC319" s="194">
        <f>IF($D319="","",IF($B319=" ",IF(DAY(G319)=DAY(TODAY()),1+AC316,0+AC316),0+AC316))</f>
        <v>0</v>
      </c>
      <c r="AD319" s="195">
        <f>(((L320/(L320-1)-1)*(1-_xlfn.XLOOKUP(K320,'Janeiro 2023 - Valor Real'!A3:A15,'Janeiro 2023 - Valor Real'!C3:C15,0))+1))/(((L319-1)*(1-_xlfn.XLOOKUP(K319,'Janeiro 2023 - Valor Real'!A3:A15,'Janeiro 2023 - Valor Real'!C3:C15,0))+1)+((L320/(L320-1)-1)*(1-_xlfn.XLOOKUP(K320,'Janeiro 2023 - Valor Real'!A3:A15,'Janeiro 2023 - Valor Real'!C3:C15,0))+1))</f>
        <v>0.478260869565217</v>
      </c>
      <c r="AE319" s="196">
        <f>IF(L319="","",IF(L321&gt;0,(SUM(((L319-1)*(1-_xlfn.XLOOKUP(K319,'Janeiro 2023 - Valor Real'!A3:A15,'Janeiro 2023 - Valor Real'!C3:C15,0))+1),((L320-1)*(1-_xlfn.XLOOKUP(K320,'Janeiro 2023 - Valor Real'!A3:A15,'Janeiro 2023 - Valor Real'!C3:C15,0))+1),((L321-1)*(1-_xlfn.XLOOKUP(K321,'Janeiro 2023 - Valor Real'!A3:A15,'Janeiro 2023 - Valor Real'!C3:C15,0))+1))/((L319-1)*(1-_xlfn.XLOOKUP(K319,'Janeiro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Real'!C3:C15,0))+1))/((L319-1)*(1-_xlfn.XLOOKUP(K319,'Janeiro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Real'!C3:C15,0))+1))/((L320-1)*(1-_xlfn.XLOOKUP(K320,'Janeiro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Real'!C3:C15,0))+1))/((L321-1)*(1-_xlfn.XLOOKUP(K321,'Janeiro 2023 - Valor Real'!A3:A15,'Janeiro 2023 - Valor Real'!C3:C15,0))+1)),IF(I319="Lay",IF(I320="Lay",((L320/(L320-1)-1)*(1-_xlfn.XLOOKUP(K320,'Janeiro 2023 - Valor Real'!A3:A15,'Janeiro 2023 - Valor Real'!C3:C15,0))+1)/(((L320/(L320-1)-1)*(1-_xlfn.XLOOKUP(K320,'Janeiro 2023 - Valor Real'!A3:A15,'Janeiro 2023 - Valor Real'!C3:C15,0))+1)+((L319/(L319-1)-1)*(1-_xlfn.XLOOKUP(K319,'Janeiro 2023 - Valor Real'!A3:A15,'Janeiro 2023 - Valor Real'!C3:C15,0))+1)),((L320-1)*(1-_xlfn.XLOOKUP(K320,'Janeiro 2023 - Valor Real'!A3:A15,'Janeiro 2023 - Valor Real'!C3:C15,0))+1)/(((L320-1)*(1-_xlfn.XLOOKUP(K320,'Janeiro 2023 - Valor Real'!A3:A15,'Janeiro 2023 - Valor Real'!C3:C15,0))+1)+((L319/(L319-1)-1)*(1-_xlfn.XLOOKUP(K319,'Janeiro 2023 - Valor Real'!A3:A15,'Janeiro 2023 - Valor Real'!C3:C15,0))+1))),IF(I320="Lay",(((L320/(L320-1)-1)*(1-_xlfn.XLOOKUP(K320,'Janeiro 2023 - Valor Real'!A3:A15,'Janeiro 2023 - Valor Real'!C3:C15,0))+1))/(((L319-1)*(1-_xlfn.XLOOKUP(K319,'Janeiro 2023 - Valor Real'!A3:A15,'Janeiro 2023 - Valor Real'!C3:C15,0))+1)+((L320/(L320-1)-1)*(1-_xlfn.XLOOKUP(K320,'Janeiro 2023 - Valor Real'!A3:A15,'Janeiro 2023 - Valor Real'!C3:C15,0))+1)),((L320-1)*(1-_xlfn.XLOOKUP(K320,'Janeiro 2023 - Valor Real'!A3:A15,'Janeiro 2023 - Valor Real'!C3:C15,0))+1)/(((L320-1)*(1-_xlfn.XLOOKUP(K320,'Janeiro 2023 - Valor Real'!A3:A15,'Janeiro 2023 - Valor Real'!C3:C15,0))+1)+((L319-1)*(1-_xlfn.XLOOKUP(K319,'Janeiro 2023 - Valor Real'!A3:A15,'Janeiro 2023 - Valor Real'!C3:C15,0))+1))))))</f>
        <v>0.5238095238095239</v>
      </c>
      <c r="AF319" s="197">
        <f>IF($K319=AF$3,ROUND(IF(OR($C319="W",$C319="1/2W",$C319="1/2L"),$P319-$O319,IF($C319="X",0,-$O319)),2),0)</f>
        <v>0</v>
      </c>
      <c r="AG319" s="198">
        <f>IF($K319=AG$3,ROUND(IF(OR($C319="W",$C319="1/2W",$C319="1/2L"),$P319-$O319,IF($C319="X",0,-$O319)),2),0)</f>
        <v>0</v>
      </c>
      <c r="AH319" s="198">
        <f>IF($K319=AH$3,ROUND(IF(OR($C319="W",$C319="1/2W",$C319="1/2L"),$P319-$O319,IF($C319="X",0,-$O319)),2),0)</f>
        <v>0</v>
      </c>
      <c r="AI319" s="198">
        <f>IF($K319=AI$3,ROUND(IF(OR($C319="W",$C319="1/2W",$C319="1/2L"),$P319-$O319,IF($C319="X",0,-$O319)),2),0)</f>
        <v>0</v>
      </c>
      <c r="AJ319" s="198">
        <f>IF($K319=AJ$3,ROUND(IF(OR($C319="W",$C319="1/2W",$C319="1/2L"),$P319-$O319,IF($C319="X",0,-$O319)),2),0)</f>
        <v>-6.15</v>
      </c>
      <c r="AK319" s="198">
        <f>IF($K319=AK$3,ROUND(IF(OR($C319="W",$C319="1/2W",$C319="1/2L"),$P319-$O319,IF($C319="X",0,-$O319)),2),0)</f>
        <v>0</v>
      </c>
      <c r="AL319" s="198">
        <f>IF($K319=AL$3,ROUND(IF(OR($C319="W",$C319="1/2W",$C319="1/2L"),$P319-$O319,IF($C319="X",0,-$O319)),2),0)</f>
        <v>0</v>
      </c>
      <c r="AM319" s="198">
        <f>IF($K319=AM$3,ROUND(IF(OR($C319="W",$C319="1/2W",$C319="1/2L"),$P319-$O319,IF($C319="X",0,-$O319)),2),0)</f>
        <v>0</v>
      </c>
      <c r="AN319" s="198">
        <f>IF($K319=AN$3,ROUND(IF(OR($C319="W",$C319="1/2W",$C319="1/2L"),$P319-$O319,IF($C319="X",0,-$O319)),2),0)</f>
        <v>0</v>
      </c>
      <c r="AO319" s="198">
        <f>IF($K319=AO$3,ROUND(IF(OR($C319="W",$C319="1/2W",$C319="1/2L"),$P319-$O319,IF($C319="X",0,-$O319)),2),0)</f>
        <v>0</v>
      </c>
      <c r="AP319" s="198">
        <f>IF($K319=AP$3,ROUND(IF(OR($C319="W",$C319="1/2W",$C319="1/2L"),$P319-$O319,IF($C319="X",0,-$O319)),2),0)</f>
        <v>0</v>
      </c>
      <c r="AQ319" s="198">
        <f>IF($K319=AQ$3,ROUND(IF(OR($C319="W",$C319="1/2W",$C319="1/2L"),$P319-$O319,IF($C319="X",0,-$O319)),2),0)</f>
        <v>0</v>
      </c>
      <c r="AR319" s="199">
        <f>IF($K319=AR$3,ROUND(IF(OR($C319="W",$C319="1/2W",$C319="1/2L"),$P319-$O319,IF($C319="X",0,-$O319)),2),0)</f>
        <v>0</v>
      </c>
      <c r="AS319" s="197">
        <f>IF(AND($B319=" ",$K319=AS$3),$O319,0)</f>
        <v>0</v>
      </c>
      <c r="AT319" s="198">
        <f>IF(AND($B319=" ",$K319=AT$3),$O319,0)</f>
        <v>0</v>
      </c>
      <c r="AU319" s="198">
        <f>IF(AND($B319=" ",$K319=AU$3),$O319,0)</f>
        <v>0</v>
      </c>
      <c r="AV319" s="198">
        <f>IF(AND($B319=" ",$K319=AV$3),$O319,0)</f>
        <v>0</v>
      </c>
      <c r="AW319" s="198">
        <f>IF(AND($B319=" ",$K319=AW$3),$O319,0)</f>
        <v>0</v>
      </c>
      <c r="AX319" s="198">
        <f>IF(AND($B319=" ",$K319=AX$3),$O319,0)</f>
        <v>0</v>
      </c>
      <c r="AY319" s="200">
        <f>IF(AND($B319=" ",$K319=AY$3),$O319,0)</f>
        <v>0</v>
      </c>
      <c r="AZ319" s="201">
        <f>IF(AND($B319=" ",$K319=AZ$3),$O319,0)</f>
        <v>0</v>
      </c>
      <c r="BA319" s="201">
        <f>IF(AND($B319=" ",$K319=BA$3),$O319,0)</f>
        <v>0</v>
      </c>
      <c r="BB319" s="201">
        <f>IF(AND($B319=" ",$K319=BB$3),$O319,0)</f>
        <v>0</v>
      </c>
      <c r="BC319" s="202">
        <f>IF(AND($B319=" ",$K319=BC$3),$O319,0)</f>
        <v>0</v>
      </c>
      <c r="BD319" s="198">
        <f>IF(AND($B319=" ",$K319=BD$3),$O319,0)</f>
        <v>0</v>
      </c>
      <c r="BE319" s="199">
        <f>IF(AND($B319=" ",$K319=BE$3),$O319,0)</f>
        <v>0</v>
      </c>
      <c r="BF319" s="203">
        <f>IF($K319=BF$3,IF($C319="X",0,$O319),0)</f>
        <v>0</v>
      </c>
      <c r="BG319" s="198">
        <f>IF($K319=BG$3,IF($C319="X",0,$O319),0)</f>
        <v>0</v>
      </c>
      <c r="BH319" s="198">
        <f>IF($K319=BH$3,IF($C319="X",0,$O319),0)</f>
        <v>0</v>
      </c>
      <c r="BI319" s="198">
        <f>IF($K319=BI$3,IF($C319="X",0,$O319),0)</f>
        <v>0</v>
      </c>
      <c r="BJ319" s="198">
        <f>IF($K319=BJ$3,IF($C319="X",0,$O319),0)</f>
        <v>6.15</v>
      </c>
      <c r="BK319" s="198">
        <f>IF($K319=BK$3,IF($C319="X",0,$O319),0)</f>
        <v>0</v>
      </c>
      <c r="BL319" s="198">
        <f>IF($K319=BL$3,IF($C319="X",0,$O319),0)</f>
        <v>0</v>
      </c>
      <c r="BM319" s="200">
        <f>IF($K319=BM$3,IF($C319="X",0,$O319),0)</f>
        <v>0</v>
      </c>
      <c r="BN319" s="201">
        <f>IF($K319=BN$3,IF($C319="X",0,$O319),0)</f>
        <v>0</v>
      </c>
      <c r="BO319" s="201">
        <f>IF($K319=BO$3,IF($C319="X",0,$O319),0)</f>
        <v>0</v>
      </c>
      <c r="BP319" s="201">
        <f>IF($K319=BP$3,IF($C319="X",0,$O319),0)</f>
        <v>0</v>
      </c>
      <c r="BQ319" s="202">
        <f>IF($K319=BQ$3,IF($C319="X",0,$O319),0)</f>
        <v>0</v>
      </c>
      <c r="BR319" s="199">
        <f>IF($K319=BR$3,IF($C319="X",0,$O319),0)</f>
        <v>0</v>
      </c>
      <c r="BS319" s="204">
        <f>IF($B319="LOSS",IF(AND($K319=BS$3,$C319="L"),-$O319,0)+IF(AND($K320=BS$3,$C320="L"),-$O320,0)+IF(AND($K321=BS$3,$C321="L"),-$O321,0),IF(OR(AND($K319=BS$3,OR($C319="W",$C319="1/2W")),AND($K320=BS$3,OR($C320="W",$C320="1/2W")),AND($K321=BS$3,OR($C321="W",$C321="1/2W"))),$S319,0))</f>
        <v>0</v>
      </c>
      <c r="BT319" s="201">
        <f>IF($B319="LOSS",IF(AND($K319=BT$3,$C319="L"),-$O319,0)+IF(AND($K320=BT$3,$C320="L"),-$O320,0)+IF(AND($K320=BT$3,$C321="L"),-$O321,0),IF(OR(AND($K320=BT$3,OR($C319="W",$C319="1/2W")),AND($K320=BT$3,OR($C320="W",$C320="1/2W")),AND($K320=BT$3,OR($C321="W",$C321="1/2W"))),$S319,0))</f>
        <v>0</v>
      </c>
      <c r="BU319" s="201">
        <f>IF($B319="LOSS",IF(AND($K319=BU$3,$C319="L"),-$O319,0)+IF(AND($K320=BU$3,$C320="L"),-$O320,0)+IF(AND($K320=BU$3,$C321="L"),-$O321,0),IF(OR(AND($K320=BU$3,OR($C319="W",$C319="1/2W")),AND($K320=BU$3,OR($C320="W",$C320="1/2W")),AND($K320=BU$3,OR($C321="W",$C321="1/2W"))),$S319,0))</f>
        <v>0</v>
      </c>
      <c r="BV319" s="201">
        <f>IF($B319="LOSS",IF(AND($K319=BV$3,$C319="L"),-$O319,0)+IF(AND($K320=BV$3,$C320="L"),-$O320,0)+IF(AND($K321=BV$3,$C321="L"),-$O321,0),IF(OR(AND($K319=BV$3,OR($C319="W",$C319="1/2W")),AND($K320=BV$3,OR($C320="W",$C320="1/2W")),AND($K321=BV$3,OR($C321="W",$C321="1/2W"))),$S319,0))</f>
        <v>0.57</v>
      </c>
      <c r="BW319" s="201">
        <f>IF($B319="LOSS",IF(AND($K319=BW$3,$C319="L"),-$O319,0)+IF(AND($K320=BW$3,$C320="L"),-$O320,0)+IF(AND($K321=BW$3,$C321="L"),-$O321,0),IF(OR(AND($K319=BW$3,OR($C319="W",$C319="1/2W")),AND($K320=BW$3,OR($C320="W",$C320="1/2W")),AND($K321=BW$3,OR($C321="W",$C321="1/2W"))),$S319,0))</f>
        <v>0</v>
      </c>
      <c r="BX319" s="201">
        <f>IF($B319="LOSS",IF(AND($K319=BX$3,$C319="L"),-$O319,0)+IF(AND($K320=BX$3,$C320="L"),-$O320,0)+IF(AND($K321=BX$3,$C321="L"),-$O321,0),IF(OR(AND($K319=BX$3,OR($C319="W",$C319="1/2W")),AND($K320=BX$3,OR($C320="W",$C320="1/2W")),AND($K321=BX$3,OR($C321="W",$C321="1/2W"))),$S319,0))</f>
        <v>0</v>
      </c>
      <c r="BY319" s="201">
        <f>IF($B319="LOSS",IF(AND($K319=BY$3,$C319="L"),-$O319,0)+IF(AND($K320=BY$3,$C320="L"),-$O320,0)+IF(AND($K321=BY$3,$C321="L"),-$O321,0),IF(OR(AND($K319=BY$3,OR($C319="W",$C319="1/2W")),AND($K320=BY$3,OR($C320="W",$C320="1/2W")),AND($K321=BY$3,OR($C321="W",$C321="1/2W"))),$S319,0))</f>
        <v>0</v>
      </c>
      <c r="BZ319" s="205">
        <f>IF($B319="LOSS",IF(AND($K319=BZ$3,$C319="L"),-$O319,0)+IF(AND($K320=BZ$3,$C320="L"),-$O320,0)+IF(AND($K321=BZ$3,$C321="L"),-$O321,0),IF(OR(AND($K319=BZ$3,OR($C319="W",$C319="1/2W")),AND($K320=BZ$3,OR($C320="W",$C320="1/2W")),AND($K321=BZ$3,OR($C321="W",$C321="1/2W"))),$S319,0))</f>
        <v>0</v>
      </c>
      <c r="CA319" s="205">
        <f>IF($B319="LOSS",IF(AND($K319=CA$3,$C319="L"),-$O319,0)+IF(AND($K320=CA$3,$C320="L"),-$O320,0)+IF(AND($K321=CA$3,$C321="L"),-$O321,0),IF(OR(AND($K319=CA$3,OR($C319="W",$C319="1/2W")),AND($K320=CA$3,OR($C320="W",$C320="1/2W")),AND($K321=CA$3,OR($C321="W",$C321="1/2W"))),$S319,0))</f>
        <v>0</v>
      </c>
      <c r="CB319" s="205">
        <f>IF($B319="LOSS",IF(AND($K319=CB$3,$C319="L"),-$O319,0)+IF(AND($K320=CB$3,$C320="L"),-$O320,0)+IF(AND($K321=CB$3,$C321="L"),-$O321,0),IF(OR(AND($K319=CB$3,OR($C319="W",$C319="1/2W")),AND($K320=CB$3,OR($C320="W",$C320="1/2W")),AND($K321=CB$3,OR($C321="W",$C321="1/2W"))),$S319,0))</f>
        <v>0</v>
      </c>
      <c r="CC319" s="205">
        <f>IF($B319="LOSS",IF(AND($K319=CC$3,$C319="L"),-$O319,0)+IF(AND($K320=CC$3,$C320="L"),-$O320,0)+IF(AND($K321=CC$3,$C321="L"),-$O321,0),IF(OR(AND($K319=CC$3,OR($C319="W",$C319="1/2W")),AND($K320=CC$3,OR($C320="W",$C320="1/2W")),AND($K321=CC$3,OR($C321="W",$C321="1/2W"))),$S319,0))</f>
        <v>0</v>
      </c>
      <c r="CD319" s="202">
        <f>IF($B319="LOSS",IF(AND($K319=CD$3,$C319="L"),-$O319,0)+IF(AND($K320=CD$3,$C320="L"),-$O320,0)+IF(AND($K321=CD$3,$C321="L"),-$O321,0),IF(OR(AND($K319=CD$3,OR($C319="W",$C319="1/2W")),AND($K320=CD$3,OR($C320="W",$C320="1/2W")),AND($K321=CD$3,OR($C321="W",$C321="1/2W"))),$S319,0))</f>
        <v>0</v>
      </c>
      <c r="CE319" s="199">
        <f>IF($B319="LOSS",IF(AND($K319=CE$3,$C319="L"),-$O319,0)+IF(AND($K320=CE$3,$C320="L"),-$O320,0)+IF(AND($K321=CE$3,$C321="L"),-$O321,0),IF(OR(AND($K319=CE$3,OR($C319="W",$C319="1/2W")),AND($K320=CE$3,OR($C320="W",$C320="1/2W")),AND($K321=CE$3,OR($C321="W",$C321="1/2W"))),$S319,0))</f>
        <v>0</v>
      </c>
      <c r="CF319" s="206">
        <f>IF(CF$3=$K319,IF($C319="W",1,IF($C319="1/2W",0.5,0)),0)</f>
        <v>0</v>
      </c>
      <c r="CG319" s="207">
        <f>IF(CF$3=$K319,IF($C319="L",1,IF($C319="1/2L",0.5,0)),0)</f>
        <v>0</v>
      </c>
      <c r="CH319" s="207">
        <f>IF(CH$3=$K319,IF($C319="W",1,IF($C319="1/2W",0.5,0)),0)</f>
        <v>0</v>
      </c>
      <c r="CI319" s="207">
        <f>IF(CH$3=$K319,IF($C319="L",1,IF($C319="1/2L",0.5,0)),0)</f>
        <v>0</v>
      </c>
      <c r="CJ319" s="207">
        <f>IF(CJ$3=$K319,IF($C319="W",1,IF($C319="1/2W",0.5,0)),0)</f>
        <v>0</v>
      </c>
      <c r="CK319" s="207">
        <f>IF(CJ$3=$K319,IF($C319="L",1,IF($C319="1/2L",0.5,0)),0)</f>
        <v>0</v>
      </c>
      <c r="CL319" s="207">
        <f>IF(CL$3=$K319,IF($C319="W",1,IF($C319="1/2W",0.5,0)),0)</f>
        <v>0</v>
      </c>
      <c r="CM319" s="207">
        <f>IF(CL$3=$K319,IF($C319="L",1,IF($C319="1/2L",0.5,0)),0)</f>
        <v>0</v>
      </c>
      <c r="CN319" s="207">
        <f>IF(CN$3=$K319,IF($C319="W",1,IF($C319="1/2W",0.5,0)),0)</f>
        <v>0</v>
      </c>
      <c r="CO319" s="207">
        <f>IF(CN$3=$K319,IF($C319="L",1,IF($C319="1/2L",0.5,0)),0)</f>
        <v>1</v>
      </c>
      <c r="CP319" s="207">
        <f>IF(CP$3=$K319,IF($C319="W",1,IF($C319="1/2W",0.5,0)),0)</f>
        <v>0</v>
      </c>
      <c r="CQ319" s="207">
        <f>IF(CP$3=$K319,IF($C319="L",1,IF($C319="1/2L",0.5,0)),0)</f>
        <v>0</v>
      </c>
      <c r="CR319" s="207">
        <f>IF(CR$3=$K319,IF($C319="W",1,IF($C319="1/2W",0.5,0)),0)</f>
        <v>0</v>
      </c>
      <c r="CS319" s="207">
        <f>IF(CR$3=$K319,IF($C319="L",1,IF($C319="1/2L",0.5,0)),0)</f>
        <v>0</v>
      </c>
      <c r="CT319" s="208">
        <f>IF(CT$3=$K319,IF($C319="W",1,IF($C319="1/2W",0.5,0)),0)</f>
        <v>0</v>
      </c>
      <c r="CU319" s="209">
        <f>IF(CT$3=$K319,IF($C319="L",1,IF($C319="1/2L",0.5,0)),0)</f>
        <v>0</v>
      </c>
      <c r="CV319" s="209">
        <f>IF(CV$3=$K319,IF($C319="W",1,IF($C319="1/2W",0.5,0)),0)</f>
        <v>0</v>
      </c>
      <c r="CW319" s="209">
        <f>IF(CV$3=$K319,IF($C319="L",1,IF($C319="1/2L",0.5,0)),0)</f>
        <v>0</v>
      </c>
      <c r="CX319" s="209">
        <f>IF(CX$3=$K319,IF($C319="W",1,IF($C319="1/2W",0.5,0)),0)</f>
        <v>0</v>
      </c>
      <c r="CY319" s="209">
        <f>IF(CX$3=$K319,IF($C319="L",1,IF($C319="1/2L",0.5,0)),0)</f>
        <v>0</v>
      </c>
      <c r="CZ319" s="209">
        <f>IF(CZ$3=$K319,IF($C319="W",1,IF($C319="1/2W",0.5,0)),0)</f>
        <v>0</v>
      </c>
      <c r="DA319" s="209">
        <f>IF(CZ$3=$K319,IF($C319="L",1,IF($C319="1/2L",0.5,0)),0)</f>
        <v>0</v>
      </c>
      <c r="DB319" s="209">
        <f>IF(DB$3=$K319,IF($C319="W",1,IF($C319="1/2W",0.5,0)),0)</f>
        <v>0</v>
      </c>
      <c r="DC319" s="209">
        <f>IF(DB$3=$K319,IF($C319="L",1,IF($C319="1/2L",0.5,0)),0)</f>
        <v>0</v>
      </c>
      <c r="DD319" s="209">
        <f>IF(DD$3=$K319,IF($C319="W",1,IF($C319="1/2W",0.5,0)),0)</f>
        <v>0</v>
      </c>
      <c r="DE319" s="210">
        <f>IF(DD$3=$K319,IF($C319="L",1,IF($C319="1/2L",0.5,0)),0)</f>
        <v>0</v>
      </c>
      <c r="DF319" s="211">
        <f>IF(AND(L319&lt;DF$3,$C319="W"),1+DF318,DF318)</f>
        <v>12</v>
      </c>
      <c r="DG319" s="198">
        <f>IF(DF319&gt;DF318,L319+DG318,DG318)</f>
        <v>15.718</v>
      </c>
      <c r="DH319" s="209">
        <f>IF(AND(L319&gt;DH$3,$C319="W"),1+DH318,0+DH318)</f>
        <v>7</v>
      </c>
      <c r="DI319" s="198">
        <f>IF(DH319&gt;DH318,L319+DI318,DI318)</f>
        <v>34.83</v>
      </c>
      <c r="DJ319" t="s" s="306">
        <f>IF($D319="","",$D319)</f>
        <v>272</v>
      </c>
      <c r="DK319" s="209">
        <f>IF(AND($B319=" ",$D319&lt;&gt;""),1,0)</f>
        <v>0</v>
      </c>
    </row>
    <row r="320" ht="14.55" customHeight="1">
      <c r="A320" s="107"/>
      <c r="B320" s="108"/>
      <c r="C320" t="s" s="213">
        <v>56</v>
      </c>
      <c r="D320" s="110"/>
      <c r="E320" s="111"/>
      <c r="F320" s="113"/>
      <c r="G320" s="214"/>
      <c r="H320" s="114"/>
      <c r="I320" t="s" s="215">
        <v>67</v>
      </c>
      <c r="J320" s="296">
        <v>14.5</v>
      </c>
      <c r="K320" t="s" s="217">
        <v>40</v>
      </c>
      <c r="L320" s="218">
        <v>2.2</v>
      </c>
      <c r="M320" s="219">
        <v>5.6</v>
      </c>
      <c r="N320" s="120"/>
      <c r="O320" s="220">
        <f>IF(OR(AE319="",AE320=""),"",ROUND(IF(L321&gt;0,IF(M320&gt;0,M320,IF(M319&gt;0,IF(N319=TRUE,ROUND((M319*AE320)/AE319,0),(M319*AE320)/AE319),IF(M320&gt;0,ROUND(M320,IF(N319=0,2,IF(N319=0.1,1,0))),IF(M321&gt;0,ROUND(O321*AE320/AE321,IF(N319=0,2,IF(N319=0.1,1,0))),0)))),IF(M320&gt;0,M320,ROUND((M319*AE320)/AE319,IF(N319=0,2,IF(N319=0.1,1,0))))),2))</f>
        <v>5.6</v>
      </c>
      <c r="P320" s="221">
        <f>IF(OR(L320="",O320=""),"",IF($C320="1/2W",O320/2+O320/2*L320,IF($C320="1/2L",O320/2,IF(I320="Lay",((O320*(L320/(L320-1)))-O320)*(1-_xlfn.XLOOKUP(K320,'Janeiro 2023 - Valor Real'!A3:A15,'Janeiro 2023 - Valor Real'!C3:C15,0))+O320,(O320*L320-O320)*(1-_xlfn.XLOOKUP(K320,'Janeiro 2023 - Valor Real'!A3:A15,'Janeiro 2023 - Valor Real'!C3:C15,0))+O320))))</f>
        <v>12.32</v>
      </c>
      <c r="Q320" s="222">
        <f>IF(K320="","",IF(_xlfn.XLOOKUP(K320,K$104:K135,DJ$104:DJ135,0,,-1)=DJ320,_xlfn.XLOOKUP(K320,K$104:K135,Q$104:Q135,1,,-1)+1,1))</f>
        <v>1</v>
      </c>
      <c r="R320" s="223">
        <f>IF(K320="","",_xlfn.XLOOKUP(K320,K$104:K135,R$104:R135,0,,-1)+IF($C320=" ",1,0))</f>
        <v>0</v>
      </c>
      <c r="S320" s="125"/>
      <c r="T320" s="126"/>
      <c r="U320" s="126"/>
      <c r="V320" s="224"/>
      <c r="W320" s="126"/>
      <c r="X320" s="127"/>
      <c r="Y320" s="128"/>
      <c r="Z320" s="129"/>
      <c r="AA320" s="129"/>
      <c r="AB320" s="129"/>
      <c r="AC320" s="129"/>
      <c r="AD320" s="225">
        <f>(((L320/(L320-1)-1)*(1-_xlfn.XLOOKUP(K320,'Janeiro 2023 - Valor Real'!A3:A15,'Janeiro 2023 - Valor Real'!C3:C15,0))+1))</f>
        <v>1.83333333333333</v>
      </c>
      <c r="AE320" s="226">
        <f>IF(L320="","",IF(L321&gt;0,(SUM(((L319-1)*(1-_xlfn.XLOOKUP(K319,'Janeiro 2023 - Valor Real'!A3:A15,'Janeiro 2023 - Valor Real'!C3:C15,0))+1),((L320-1)*(1-_xlfn.XLOOKUP(K320,'Janeiro 2023 - Valor Real'!A3:A15,'Janeiro 2023 - Valor Real'!C3:C15,0))+1),((L321-1)*(1-_xlfn.XLOOKUP(K321,'Janeiro 2023 - Valor Real'!A3:A15,'Janeiro 2023 - Valor Real'!C3:C15,0))+1))/((L320-1)*(1-_xlfn.XLOOKUP(K320,'Janeiro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Real'!C3:C15,0))+1))/((L319-1)*(1-_xlfn.XLOOKUP(K319,'Janeiro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Real'!C3:C15,0))+1))/((L320-1)*(1-_xlfn.XLOOKUP(K320,'Janeiro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Real'!C3:C15,0))+1))/((L321-1)*(1-_xlfn.XLOOKUP(K321,'Janeiro 2023 - Valor Real'!A3:A15,'Janeiro 2023 - Valor Real'!C3:C15,0))+1)),IF(I320="Lay",IF(I319="Lay",((L319/(L319-1)-1)*(1-_xlfn.XLOOKUP(K319,'Janeiro 2023 - Valor Real'!A3:A15,'Janeiro 2023 - Valor Real'!C3:C15,0))+1)/(((L319/(L319-1)-1)*(1-_xlfn.XLOOKUP(K319,'Janeiro 2023 - Valor Real'!A3:A15,'Janeiro 2023 - Valor Real'!C3:C15,0))+1)+((L320/(L320-1)-1)*(1-_xlfn.XLOOKUP(K320,'Janeiro 2023 - Valor Real'!A3:A15,'Janeiro 2023 - Valor Real'!C3:C15,0))+1)),((L319-1)*(1-_xlfn.XLOOKUP(K319,'Janeiro 2023 - Valor Real'!A3:A15,'Janeiro 2023 - Valor Real'!C3:C15,0))+1)/(((L319-1)*(1-_xlfn.XLOOKUP(K319,'Janeiro 2023 - Valor Real'!A3:A15,'Janeiro 2023 - Valor Real'!C3:C15,0))+1)+((L320/(L320-1)-1)*(1-_xlfn.XLOOKUP(K320,'Janeiro 2023 - Valor Real'!A3:A15,'Janeiro 2023 - Valor Real'!C3:C15,0))+1))),IF(I319="Lay",((L319/(L319-1)-1)*(1-_xlfn.XLOOKUP(K319,'Janeiro 2023 - Valor Real'!A3:A15,'Janeiro 2023 - Valor Real'!C3:C15,0))+1)/((((L319/(L319-1)-1)*(1-_xlfn.XLOOKUP(K319,'Janeiro 2023 - Valor Real'!A3:A15,'Janeiro 2023 - Valor Real'!C3:C15,0))+1))+((L320-1)*(1-_xlfn.XLOOKUP(K320,'Janeiro 2023 - Valor Real'!A3:A15,'Janeiro 2023 - Valor Real'!C3:C15,0))+1)),((L319-1)*(1-_xlfn.XLOOKUP(K319,'Janeiro 2023 - Valor Real'!A3:A15,'Janeiro 2023 - Valor Real'!C3:C15,0))+1)/(((L319-1)*(1-_xlfn.XLOOKUP(K319,'Janeiro 2023 - Valor Real'!A3:A15,'Janeiro 2023 - Valor Real'!C3:C15,0))+1)+((L320-1)*(1-_xlfn.XLOOKUP(K320,'Janeiro 2023 - Valor Real'!A3:A15,'Janeiro 2023 - Valor Real'!C3:C15,0))+1))))))</f>
        <v>0.476190476190476</v>
      </c>
      <c r="AF320" s="197">
        <f>IF($K320=AF$3,ROUND(IF(OR($C320="W",$C320="1/2W",$C320="1/2L"),$P320-$O320,IF($C320="X",0,-$O320)),2),0)</f>
        <v>0</v>
      </c>
      <c r="AG320" s="198">
        <f>IF($K320=AG$3,ROUND(IF(OR($C320="W",$C320="1/2W",$C320="1/2L"),$P320-$O320,IF($C320="X",0,-$O320)),2),0)</f>
        <v>0</v>
      </c>
      <c r="AH320" s="198">
        <f>IF($K320=AH$3,ROUND(IF(OR($C320="W",$C320="1/2W",$C320="1/2L"),$P320-$O320,IF($C320="X",0,-$O320)),2),0)</f>
        <v>0</v>
      </c>
      <c r="AI320" s="198">
        <f>IF($K320=AI$3,ROUND(IF(OR($C320="W",$C320="1/2W",$C320="1/2L"),$P320-$O320,IF($C320="X",0,-$O320)),2),0)</f>
        <v>6.72</v>
      </c>
      <c r="AJ320" s="198">
        <f>IF($K320=AJ$3,ROUND(IF(OR($C320="W",$C320="1/2W",$C320="1/2L"),$P320-$O320,IF($C320="X",0,-$O320)),2),0)</f>
        <v>0</v>
      </c>
      <c r="AK320" s="198">
        <f>IF($K320=AK$3,ROUND(IF(OR($C320="W",$C320="1/2W",$C320="1/2L"),$P320-$O320,IF($C320="X",0,-$O320)),2),0)</f>
        <v>0</v>
      </c>
      <c r="AL320" s="198">
        <f>IF($K320=AL$3,ROUND(IF(OR($C320="W",$C320="1/2W",$C320="1/2L"),$P320-$O320,IF($C320="X",0,-$O320)),2),0)</f>
        <v>0</v>
      </c>
      <c r="AM320" s="198">
        <f>IF($K320=AM$3,ROUND(IF(OR($C320="W",$C320="1/2W",$C320="1/2L"),$P320-$O320,IF($C320="X",0,-$O320)),2),0)</f>
        <v>0</v>
      </c>
      <c r="AN320" s="198">
        <f>IF($K320=AN$3,ROUND(IF(OR($C320="W",$C320="1/2W",$C320="1/2L"),$P320-$O320,IF($C320="X",0,-$O320)),2),0)</f>
        <v>0</v>
      </c>
      <c r="AO320" s="198">
        <f>IF($K320=AO$3,ROUND(IF(OR($C320="W",$C320="1/2W",$C320="1/2L"),$P320-$O320,IF($C320="X",0,-$O320)),2),0)</f>
        <v>0</v>
      </c>
      <c r="AP320" s="198">
        <f>IF($K320=AP$3,ROUND(IF(OR($C320="W",$C320="1/2W",$C320="1/2L"),$P320-$O320,IF($C320="X",0,-$O320)),2),0)</f>
        <v>0</v>
      </c>
      <c r="AQ320" s="198">
        <f>IF($K320=AQ$3,ROUND(IF(OR($C320="W",$C320="1/2W",$C320="1/2L"),$P320-$O320,IF($C320="X",0,-$O320)),2),0)</f>
        <v>0</v>
      </c>
      <c r="AR320" s="199">
        <f>IF($K320=AR$3,ROUND(IF(OR($C320="W",$C320="1/2W",$C320="1/2L"),$P320-$O320,IF($C320="X",0,-$O320)),2),0)</f>
        <v>0</v>
      </c>
      <c r="AS320" s="197">
        <f>IF(AND($B319=" ",$K320=AS$3),$O320,0)</f>
        <v>0</v>
      </c>
      <c r="AT320" s="198">
        <f>IF(AND($B319=" ",K320=AT$3),$O320,0)</f>
        <v>0</v>
      </c>
      <c r="AU320" s="198">
        <f>IF(AND($B319=" ",$K320=AU$3),$O320,0)</f>
        <v>0</v>
      </c>
      <c r="AV320" s="198">
        <f>IF(AND($B319=" ",$K320=AV$3),$O320,0)</f>
        <v>0</v>
      </c>
      <c r="AW320" s="198">
        <f>IF(AND($B319=" ",$K320=AW$3),$O320,0)</f>
        <v>0</v>
      </c>
      <c r="AX320" s="198">
        <f>IF(AND($B319=" ",$K320=AX$3),$O320,0)</f>
        <v>0</v>
      </c>
      <c r="AY320" s="200">
        <f>IF(AND($B319=" ",$K320=AY$3),$O320,0)</f>
        <v>0</v>
      </c>
      <c r="AZ320" s="201">
        <f>IF(AND($B319=" ",$K320=AZ$3),$O320,0)</f>
        <v>0</v>
      </c>
      <c r="BA320" s="201">
        <f>IF(AND($B319=" ",$K320=BA$3),$O320,0)</f>
        <v>0</v>
      </c>
      <c r="BB320" s="201">
        <f>IF(AND($B319=" ",$K320=BB$3),$O320,0)</f>
        <v>0</v>
      </c>
      <c r="BC320" s="202">
        <f>IF(AND($B319=" ",$K320=BC$3),$O320,0)</f>
        <v>0</v>
      </c>
      <c r="BD320" s="198">
        <f>IF(AND($B319=" ",$K320=BD$3),$O320,0)</f>
        <v>0</v>
      </c>
      <c r="BE320" s="199">
        <f>IF(AND($B319=" ",$K320=BE$3),$O320,0)</f>
        <v>0</v>
      </c>
      <c r="BF320" s="197">
        <f>IF($K320=BF$3,IF($C320="X",0,$O320),0)</f>
        <v>0</v>
      </c>
      <c r="BG320" s="198">
        <f>IF($K320=BG$3,IF($C320="X",0,$O320),0)</f>
        <v>0</v>
      </c>
      <c r="BH320" s="198">
        <f>IF($K320=BH$3,IF($C320="X",0,$O320),0)</f>
        <v>0</v>
      </c>
      <c r="BI320" s="198">
        <f>IF($K320=BI$3,IF($C320="X",0,$O320),0)</f>
        <v>5.6</v>
      </c>
      <c r="BJ320" s="198">
        <f>IF($K320=BJ$3,IF($C320="X",0,$O320),0)</f>
        <v>0</v>
      </c>
      <c r="BK320" s="198">
        <f>IF($K320=BK$3,IF($C320="X",0,$O320),0)</f>
        <v>0</v>
      </c>
      <c r="BL320" s="198">
        <f>IF($K320=BL$3,IF($C320="X",0,$O320),0)</f>
        <v>0</v>
      </c>
      <c r="BM320" s="227">
        <f>IF($K320=BM$3,IF($C320="X",0,$O320),0)</f>
        <v>0</v>
      </c>
      <c r="BN320" s="205">
        <f>IF($K320=BN$3,IF($C320="X",0,$O320),0)</f>
        <v>0</v>
      </c>
      <c r="BO320" s="205">
        <f>IF($K320=BO$3,IF($C320="X",0,$O320),0)</f>
        <v>0</v>
      </c>
      <c r="BP320" s="205">
        <f>IF($K320=BP$3,IF($C320="X",0,$O320),0)</f>
        <v>0</v>
      </c>
      <c r="BQ320" s="202">
        <f>IF($K320=BQ$3,IF($C320="X",0,$O320),0)</f>
        <v>0</v>
      </c>
      <c r="BR320" s="199">
        <f>IF($K320=BR$3,IF($C320="X",0,$O320),0)</f>
        <v>0</v>
      </c>
      <c r="BS320" s="228"/>
      <c r="BT320" s="229"/>
      <c r="BU320" s="140"/>
      <c r="BV320" s="229"/>
      <c r="BW320" s="140"/>
      <c r="BX320" s="140"/>
      <c r="BY320" s="140"/>
      <c r="BZ320" s="229"/>
      <c r="CA320" s="140"/>
      <c r="CB320" s="140"/>
      <c r="CC320" s="140"/>
      <c r="CD320" s="141"/>
      <c r="CE320" s="142"/>
      <c r="CF320" s="230">
        <f>IF(CF$3=$K320,IF($C320="W",1,IF($C320="1/2W",0.5,0)),0)</f>
        <v>0</v>
      </c>
      <c r="CG320" s="231">
        <f>IF(CF$3=$K320,IF($C320="L",1,IF($C320="1/2L",0.5,0)),0)</f>
        <v>0</v>
      </c>
      <c r="CH320" s="231">
        <f>IF(CH$3=$K320,IF($C320="W",1,IF($C320="1/2W",0.5,0)),0)</f>
        <v>0</v>
      </c>
      <c r="CI320" s="231">
        <f>IF(CH$3=$K320,IF($C320="L",1,IF($C320="1/2L",0.5,0)),0)</f>
        <v>0</v>
      </c>
      <c r="CJ320" s="231">
        <f>IF(CJ$3=$K320,IF($C320="W",1,IF($C320="1/2W",0.5,0)),0)</f>
        <v>0</v>
      </c>
      <c r="CK320" s="231">
        <f>IF(CJ$3=$K320,IF($C320="L",1,IF($C320="1/2L",0.5,0)),0)</f>
        <v>0</v>
      </c>
      <c r="CL320" s="231">
        <f>IF(CL$3=$K320,IF($C320="W",1,IF($C320="1/2W",0.5,0)),0)</f>
        <v>1</v>
      </c>
      <c r="CM320" s="231">
        <f>IF(CL$3=$K320,IF($C320="L",1,IF($C320="1/2L",0.5,0)),0)</f>
        <v>0</v>
      </c>
      <c r="CN320" s="231">
        <f>IF(CN$3=$K320,IF($C320="W",1,IF($C320="1/2W",0.5,0)),0)</f>
        <v>0</v>
      </c>
      <c r="CO320" s="231">
        <f>IF(CN$3=$K320,IF($C320="L",1,IF($C320="1/2L",0.5,0)),0)</f>
        <v>0</v>
      </c>
      <c r="CP320" s="231">
        <f>IF(CP$3=$K320,IF($C320="W",1,IF($C320="1/2W",0.5,0)),0)</f>
        <v>0</v>
      </c>
      <c r="CQ320" s="231">
        <f>IF(CP$3=$K320,IF($C320="L",1,IF($C320="1/2L",0.5,0)),0)</f>
        <v>0</v>
      </c>
      <c r="CR320" s="231">
        <f>IF(CR$3=$K320,IF($C320="W",1,IF($C320="1/2W",0.5,0)),0)</f>
        <v>0</v>
      </c>
      <c r="CS320" s="231">
        <f>IF(CR$3=$K320,IF($C320="L",1,IF($C320="1/2L",0.5,0)),0)</f>
        <v>0</v>
      </c>
      <c r="CT320" s="208">
        <f>IF(CT$3=$K320,IF($C320="W",1,IF($C320="1/2W",0.5,0)),0)</f>
        <v>0</v>
      </c>
      <c r="CU320" s="209">
        <f>IF(CT$3=$K320,IF($C320="L",1,IF($C320="1/2L",0.5,0)),0)</f>
        <v>0</v>
      </c>
      <c r="CV320" s="209">
        <f>IF(CV$3=$K320,IF($C320="W",1,IF($C320="1/2W",0.5,0)),0)</f>
        <v>0</v>
      </c>
      <c r="CW320" s="209">
        <f>IF(CV$3=$K320,IF($C320="L",1,IF($C320="1/2L",0.5,0)),0)</f>
        <v>0</v>
      </c>
      <c r="CX320" s="209">
        <f>IF(CX$3=$K320,IF($C320="W",1,IF($C320="1/2W",0.5,0)),0)</f>
        <v>0</v>
      </c>
      <c r="CY320" s="209">
        <f>IF(CX$3=$K320,IF($C320="L",1,IF($C320="1/2L",0.5,0)),0)</f>
        <v>0</v>
      </c>
      <c r="CZ320" s="209">
        <f>IF(CZ$3=$K320,IF($C320="W",1,IF($C320="1/2W",0.5,0)),0)</f>
        <v>0</v>
      </c>
      <c r="DA320" s="209">
        <f>IF(CZ$3=$K320,IF($C320="L",1,IF($C320="1/2L",0.5,0)),0)</f>
        <v>0</v>
      </c>
      <c r="DB320" s="209">
        <f>IF(DB$3=$K320,IF($C320="W",1,IF($C320="1/2W",0.5,0)),0)</f>
        <v>0</v>
      </c>
      <c r="DC320" s="209">
        <f>IF(DB$3=$K320,IF($C320="L",1,IF($C320="1/2L",0.5,0)),0)</f>
        <v>0</v>
      </c>
      <c r="DD320" s="209">
        <f>IF(DD$3=$K320,IF($C320="W",1,IF($C320="1/2W",0.5,0)),0)</f>
        <v>0</v>
      </c>
      <c r="DE320" s="210">
        <f>IF(DD$3=$K320,IF($C320="L",1,IF($C320="1/2L",0.5,0)),0)</f>
        <v>0</v>
      </c>
      <c r="DF320" s="211">
        <f>IF(AND(L320&lt;DF$3,$C320="W"),1+DF319,DF319)</f>
        <v>12</v>
      </c>
      <c r="DG320" s="198">
        <f>IF(DF320&gt;DF319,L320+DG319,DG319)</f>
        <v>15.718</v>
      </c>
      <c r="DH320" s="209">
        <f>IF(AND(L320&gt;DH$3,$C320="W"),1+DH319,0+DH319)</f>
        <v>7</v>
      </c>
      <c r="DI320" s="198">
        <f>IF(DH320&gt;DH319,L320+DI319,DI319)</f>
        <v>34.83</v>
      </c>
      <c r="DJ320" t="s" s="306">
        <f>IF($D319="","",$D319)</f>
        <v>272</v>
      </c>
      <c r="DK320" s="232"/>
    </row>
    <row r="321" ht="14.55" customHeight="1">
      <c r="A321" s="149"/>
      <c r="B321" s="150"/>
      <c r="C321" t="s" s="233">
        <v>58</v>
      </c>
      <c r="D321" s="152"/>
      <c r="E321" s="153"/>
      <c r="F321" s="155"/>
      <c r="G321" s="311"/>
      <c r="H321" s="307"/>
      <c r="I321" s="316"/>
      <c r="J321" s="317"/>
      <c r="K321" s="318"/>
      <c r="L321" s="319"/>
      <c r="M321" s="320"/>
      <c r="N321" s="161"/>
      <c r="O321" t="s" s="240">
        <f>IF(OR(AE319="",AE320=""),"",IF(L321&gt;0,ROUND(IF(M321&gt;0,M321,IF(M319&gt;0,ROUND((M319*AE321)/AE319,IF(N319=0,2,IF(N319=0.1,1,0))),IF(M320&gt;0,ROUND((M320*AE321)/AE320,IF(N319=0,2,IF(N319=0.1,1,0))),IF(M321&gt;0,M321,0)))),2),""))</f>
      </c>
      <c r="P321" t="s" s="241">
        <f>IF(I320="Lay",O320*(L320/(L320-1))-O320,IF(I319="Lay",O319*(L319/(L319-1))-O319,IF(OR(L321="",O321=""),"",IF($C321="1/2W",O321/2+O321/2*L321,IF($C321="1/2L",O321/2,(O321*L321-O321)*(1-_xlfn.XLOOKUP(K321,'Janeiro 2023 - Valor Real'!A3:A15,'Janeiro 2023 - Valor Real'!C3:C15,0))+O321)))))</f>
      </c>
      <c r="Q321" t="s" s="242">
        <f>IF(K321="","",IF(_xlfn.XLOOKUP(K321,K$105:K136,DJ$105:DJ136,0,,-1)=DJ321,_xlfn.XLOOKUP(K321,K$105:K136,Q$105:Q136,1,,-1)+1,1))</f>
      </c>
      <c r="R321" t="s" s="243">
        <f>IF(K321="","",_xlfn.XLOOKUP(K321,K$105:K136,R$105:R136,0,,-1)+IF($C321=" ",1,0))</f>
      </c>
      <c r="S321" s="166"/>
      <c r="T321" s="155"/>
      <c r="U321" s="155"/>
      <c r="V321" s="166"/>
      <c r="W321" s="155"/>
      <c r="X321" s="167"/>
      <c r="Y321" s="128"/>
      <c r="Z321" s="129"/>
      <c r="AA321" s="129"/>
      <c r="AB321" s="129"/>
      <c r="AC321" s="129"/>
      <c r="AD321" s="244">
        <f>((L320/(L320-1)-1))</f>
        <v>0.833333333333333</v>
      </c>
      <c r="AE321" t="s" s="245">
        <f>IF(L321="","",(SUM(((L319-1)*(1-_xlfn.XLOOKUP(K319,'Janeiro 2023 - Valor Real'!A3:A15,'Janeiro 2023 - Valor Real'!C3:C15,0))+1),((L320-1)*(1-_xlfn.XLOOKUP(K320,'Janeiro 2023 - Valor Real'!A3:A15,'Janeiro 2023 - Valor Real'!C3:C15,0))+1),((L321-1)*(1-_xlfn.XLOOKUP(K321,'Janeiro 2023 - Valor Real'!A3:A15,'Janeiro 2023 - Valor Real'!C3:C15,0))+1))/((L321-1)*(1-_xlfn.XLOOKUP(K321,'Janeiro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Real'!C3:C15,0))+1))/((L319-1)*(1-_xlfn.XLOOKUP(K319,'Janeiro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Real'!C3:C15,0))+1))/((L320-1)*(1-_xlfn.XLOOKUP(K320,'Janeiro 2023 - Valor Real'!A3:A15,'Janeiro 2023 - Valor Real'!C3:C15,0))+1)+SUM(((L319-1)*(1-_xlfn.XLOOKUP(K319,'Janeiro 2023 - Valor Real'!A3:A15,'Janeiro 2023 - Valor Real'!C3:C15,0))+1),((L320-1)*(1-_xlfn.XLOOKUP(K320,'Janeiro 2023 - Valor Real'!A3:A15,'Janeiro 2023 - Valor Real'!C3:C15,0))+1),((L321-1)*(1-_xlfn.XLOOKUP(K321,'Janeiro 2023 - Valor Real'!A3:A15,'Janeiro 2023 - Valor Real'!C3:C15,0))+1))/((L321-1)*(1-_xlfn.XLOOKUP(K321,'Janeiro 2023 - Valor Real'!A3:A15,'Janeiro 2023 - Valor Real'!C3:C15,0))+1)))</f>
      </c>
      <c r="AF321" s="197">
        <f>IF($K321=AF$3,ROUND(IF(OR($C321="W",$C321="1/2W",$C321="1/2L"),$P321-$O321,IF($C321="X",0,-$O321)),2),0)</f>
        <v>0</v>
      </c>
      <c r="AG321" s="198">
        <f>IF($K321=AG$3,ROUND(IF(OR($C321="W",$C321="1/2W",$C321="1/2L"),$P321-$O321,IF($C321="X",0,-$O321)),2),0)</f>
        <v>0</v>
      </c>
      <c r="AH321" s="198">
        <f>IF($K321=AH$3,ROUND(IF(OR($C321="W",$C321="1/2W",$C321="1/2L"),$P321-$O321,IF($C321="X",0,-$O321)),2),0)</f>
        <v>0</v>
      </c>
      <c r="AI321" s="198">
        <f>IF($K321=AI$3,ROUND(IF(OR($C321="W",$C321="1/2W",$C321="1/2L"),$P321-$O321,IF($C321="X",0,-$O321)),2),0)</f>
        <v>0</v>
      </c>
      <c r="AJ321" s="198">
        <f>IF($K321=AJ$3,ROUND(IF(OR($C321="W",$C321="1/2W",$C321="1/2L"),$P321-$O321,IF($C321="X",0,-$O321)),2),0)</f>
        <v>0</v>
      </c>
      <c r="AK321" s="198">
        <f>IF($K321=AK$3,ROUND(IF(OR($C321="W",$C321="1/2W",$C321="1/2L"),$P321-$O321,IF($C321="X",0,-$O321)),2),0)</f>
        <v>0</v>
      </c>
      <c r="AL321" s="198">
        <f>IF($K321=AL$3,ROUND(IF(OR($C321="W",$C321="1/2W",$C321="1/2L"),$P321-$O321,IF($C321="X",0,-$O321)),2),0)</f>
        <v>0</v>
      </c>
      <c r="AM321" s="198">
        <f>IF($K321=AM$3,ROUND(IF(OR($C321="W",$C321="1/2W",$C321="1/2L"),$P321-$O321,IF($C321="X",0,-$O321)),2),0)</f>
        <v>0</v>
      </c>
      <c r="AN321" s="198">
        <f>IF($K321=AN$3,ROUND(IF(OR($C321="W",$C321="1/2W",$C321="1/2L"),$P321-$O321,IF($C321="X",0,-$O321)),2),0)</f>
        <v>0</v>
      </c>
      <c r="AO321" s="198">
        <f>IF($K321=AO$3,ROUND(IF(OR($C321="W",$C321="1/2W",$C321="1/2L"),$P321-$O321,IF($C321="X",0,-$O321)),2),0)</f>
        <v>0</v>
      </c>
      <c r="AP321" s="198">
        <f>IF($K321=AP$3,ROUND(IF(OR($C321="W",$C321="1/2W",$C321="1/2L"),$P321-$O321,IF($C321="X",0,-$O321)),2),0)</f>
        <v>0</v>
      </c>
      <c r="AQ321" s="198">
        <f>IF($K321=AQ$3,ROUND(IF(OR($C321="W",$C321="1/2W",$C321="1/2L"),$P321-$O321,IF($C321="X",0,-$O321)),2),0)</f>
        <v>0</v>
      </c>
      <c r="AR321" s="199">
        <f>IF($K321=AR$3,ROUND(IF(OR($C321="W",$C321="1/2W",$C321="1/2L"),$P321-$O321,IF($C321="X",0,-$O321)),2),0)</f>
        <v>0</v>
      </c>
      <c r="AS321" s="197">
        <f>IF(AND($B319=" ",$K321=AS$3),$O321,0)</f>
        <v>0</v>
      </c>
      <c r="AT321" s="198">
        <f>IF(AND($B319=" ",K321=AT$3),$O321,0)</f>
        <v>0</v>
      </c>
      <c r="AU321" s="198">
        <f>IF(AND($B319=" ",$K321=AU$3),$O321,0)</f>
        <v>0</v>
      </c>
      <c r="AV321" s="198">
        <f>IF(AND($B319=" ",$K321=AV$3),$O321,0)</f>
        <v>0</v>
      </c>
      <c r="AW321" s="198">
        <f>IF(AND($B319=" ",$K321=AW$3),$O321,0)</f>
        <v>0</v>
      </c>
      <c r="AX321" s="198">
        <f>IF(AND($B319=" ",$K321=AX$3),$O321,0)</f>
        <v>0</v>
      </c>
      <c r="AY321" s="200">
        <f>IF(AND($B319=" ",$K321=AY$3),$O321,0)</f>
        <v>0</v>
      </c>
      <c r="AZ321" s="201">
        <f>IF(AND($B319=" ",$K321=AZ$3),$O321,0)</f>
        <v>0</v>
      </c>
      <c r="BA321" s="201">
        <f>IF(AND($B319=" ",$K321=BA$3),$O321,0)</f>
        <v>0</v>
      </c>
      <c r="BB321" s="201">
        <f>IF(AND($B319=" ",$K321=BB$3),$O321,0)</f>
        <v>0</v>
      </c>
      <c r="BC321" s="202">
        <f>IF(AND($B319=" ",$K321=BC$3),$O321,0)</f>
        <v>0</v>
      </c>
      <c r="BD321" s="198">
        <f>IF(AND($B319=" ",$K321=BD$3),$O321,0)</f>
        <v>0</v>
      </c>
      <c r="BE321" s="199">
        <f>IF(AND($B319=" ",$K321=BE$3),$O321,0)</f>
        <v>0</v>
      </c>
      <c r="BF321" s="197">
        <f>IF($K321=BF$3,IF($C321="X",0,$O321),0)</f>
        <v>0</v>
      </c>
      <c r="BG321" s="198">
        <f>IF($K321=BG$3,IF($C321="X",0,$O321),0)</f>
        <v>0</v>
      </c>
      <c r="BH321" s="198">
        <f>IF($K321=BH$3,IF($C321="X",0,$O321),0)</f>
        <v>0</v>
      </c>
      <c r="BI321" s="198">
        <f>IF($K321=BI$3,IF($C321="X",0,$O321),0)</f>
        <v>0</v>
      </c>
      <c r="BJ321" s="198">
        <f>IF($K321=BJ$3,IF($C321="X",0,$O321),0)</f>
        <v>0</v>
      </c>
      <c r="BK321" s="198">
        <f>IF($K321=BK$3,IF($C321="X",0,$O321),0)</f>
        <v>0</v>
      </c>
      <c r="BL321" s="198">
        <f>IF($K321=BL$3,IF($C321="X",0,$O321),0)</f>
        <v>0</v>
      </c>
      <c r="BM321" s="200">
        <f>IF($K321=BM$3,IF($C321="X",0,$O321),0)</f>
        <v>0</v>
      </c>
      <c r="BN321" s="201">
        <f>IF($K321=BN$3,IF($C321="X",0,$O321),0)</f>
        <v>0</v>
      </c>
      <c r="BO321" s="201">
        <f>IF($K321=BO$3,IF($C321="X",0,$O321),0)</f>
        <v>0</v>
      </c>
      <c r="BP321" s="201">
        <f>IF($K321=BP$3,IF($C321="X",0,$O321),0)</f>
        <v>0</v>
      </c>
      <c r="BQ321" s="202">
        <f>IF($K321=BQ$3,IF($C321="X",0,$O321),0)</f>
        <v>0</v>
      </c>
      <c r="BR321" s="199">
        <f>IF($K321=BR$3,IF($C321="X",0,$O321),0)</f>
        <v>0</v>
      </c>
      <c r="BS321" s="228"/>
      <c r="BT321" s="229"/>
      <c r="BU321" s="140"/>
      <c r="BV321" s="229"/>
      <c r="BW321" s="140"/>
      <c r="BX321" s="140"/>
      <c r="BY321" s="140"/>
      <c r="BZ321" s="229"/>
      <c r="CA321" s="140"/>
      <c r="CB321" s="140"/>
      <c r="CC321" s="140"/>
      <c r="CD321" s="141"/>
      <c r="CE321" s="142"/>
      <c r="CF321" s="230">
        <f>IF(CF$3=$K321,IF($C321="W",1,IF($C321="1/2W",0.5,0)),0)</f>
        <v>0</v>
      </c>
      <c r="CG321" s="231">
        <f>IF(CF$3=$K321,IF($C321="L",1,IF($C321="1/2L",0.5,0)),0)</f>
        <v>0</v>
      </c>
      <c r="CH321" s="231">
        <f>IF(CH$3=$K321,IF($C321="W",1,IF($C321="1/2W",0.5,0)),0)</f>
        <v>0</v>
      </c>
      <c r="CI321" s="231">
        <f>IF(CH$3=$K321,IF($C321="L",1,IF($C321="1/2L",0.5,0)),0)</f>
        <v>0</v>
      </c>
      <c r="CJ321" s="231">
        <f>IF(CJ$3=$K321,IF($C321="W",1,IF($C321="1/2W",0.5,0)),0)</f>
        <v>0</v>
      </c>
      <c r="CK321" s="231">
        <f>IF(CJ$3=$K321,IF($C321="L",1,IF($C321="1/2L",0.5,0)),0)</f>
        <v>0</v>
      </c>
      <c r="CL321" s="231">
        <f>IF(CL$3=$K321,IF($C321="W",1,IF($C321="1/2W",0.5,0)),0)</f>
        <v>0</v>
      </c>
      <c r="CM321" s="231">
        <f>IF(CL$3=$K321,IF($C321="L",1,IF($C321="1/2L",0.5,0)),0)</f>
        <v>0</v>
      </c>
      <c r="CN321" s="231">
        <f>IF(CN$3=$K321,IF($C321="W",1,IF($C321="1/2W",0.5,0)),0)</f>
        <v>0</v>
      </c>
      <c r="CO321" s="231">
        <f>IF(CN$3=$K321,IF($C321="L",1,IF($C321="1/2L",0.5,0)),0)</f>
        <v>0</v>
      </c>
      <c r="CP321" s="231">
        <f>IF(CP$3=$K321,IF($C321="W",1,IF($C321="1/2W",0.5,0)),0)</f>
        <v>0</v>
      </c>
      <c r="CQ321" s="231">
        <f>IF(CP$3=$K321,IF($C321="L",1,IF($C321="1/2L",0.5,0)),0)</f>
        <v>0</v>
      </c>
      <c r="CR321" s="231">
        <f>IF(CR$3=$K321,IF($C321="W",1,IF($C321="1/2W",0.5,0)),0)</f>
        <v>0</v>
      </c>
      <c r="CS321" s="231">
        <f>IF(CR$3=$K321,IF($C321="L",1,IF($C321="1/2L",0.5,0)),0)</f>
        <v>0</v>
      </c>
      <c r="CT321" s="208">
        <f>IF(CT$3=$K321,IF($C321="W",1,IF($C321="1/2W",0.5,0)),0)</f>
        <v>0</v>
      </c>
      <c r="CU321" s="209">
        <f>IF(CT$3=$K321,IF($C321="L",1,IF($C321="1/2L",0.5,0)),0)</f>
        <v>0</v>
      </c>
      <c r="CV321" s="209">
        <f>IF(CV$3=$K321,IF($C321="W",1,IF($C321="1/2W",0.5,0)),0)</f>
        <v>0</v>
      </c>
      <c r="CW321" s="209">
        <f>IF(CV$3=$K321,IF($C321="L",1,IF($C321="1/2L",0.5,0)),0)</f>
        <v>0</v>
      </c>
      <c r="CX321" s="209">
        <f>IF(CX$3=$K321,IF($C321="W",1,IF($C321="1/2W",0.5,0)),0)</f>
        <v>0</v>
      </c>
      <c r="CY321" s="209">
        <f>IF(CX$3=$K321,IF($C321="L",1,IF($C321="1/2L",0.5,0)),0)</f>
        <v>0</v>
      </c>
      <c r="CZ321" s="209">
        <f>IF(CZ$3=$K321,IF($C321="W",1,IF($C321="1/2W",0.5,0)),0)</f>
        <v>0</v>
      </c>
      <c r="DA321" s="209">
        <f>IF(CZ$3=$K321,IF($C321="L",1,IF($C321="1/2L",0.5,0)),0)</f>
        <v>0</v>
      </c>
      <c r="DB321" s="209">
        <f>IF(DB$3=$K321,IF($C321="W",1,IF($C321="1/2W",0.5,0)),0)</f>
        <v>0</v>
      </c>
      <c r="DC321" s="209">
        <f>IF(DB$3=$K321,IF($C321="L",1,IF($C321="1/2L",0.5,0)),0)</f>
        <v>0</v>
      </c>
      <c r="DD321" s="209">
        <f>IF(DD$3=$K321,IF($C321="W",1,IF($C321="1/2W",0.5,0)),0)</f>
        <v>0</v>
      </c>
      <c r="DE321" s="210">
        <f>IF(DD$3=$K321,IF($C321="L",1,IF($C321="1/2L",0.5,0)),0)</f>
        <v>0</v>
      </c>
      <c r="DF321" s="211">
        <f>IF(AND(L321&lt;DF$3,$C321="W"),1+DF320,DF320)</f>
        <v>12</v>
      </c>
      <c r="DG321" s="198">
        <f>IF(DF321&gt;DF320,L321+DG320,DG320)</f>
        <v>15.718</v>
      </c>
      <c r="DH321" s="209">
        <f>IF(AND(L321&gt;DH$3,$C321="W"),1+DH320,0+DH320)</f>
        <v>7</v>
      </c>
      <c r="DI321" s="198">
        <f>IF(DH321&gt;DH320,L321+DI320,DI320)</f>
        <v>34.83</v>
      </c>
      <c r="DJ321" t="s" s="306">
        <f>IF($D319="","",$D319)</f>
        <v>272</v>
      </c>
      <c r="DK321" s="232"/>
    </row>
    <row r="322" ht="14.55" customHeight="1">
      <c r="A322" s="246">
        <f>$A319+1</f>
        <v>107</v>
      </c>
      <c r="B322" t="s" s="247">
        <f>IF(AND(_xlfn.XLOOKUP(H322,H$100:H131,G$100:G131,0)=G322,_xlfn.XLOOKUP("TempoBet",K322:K324,L322:L324,0)&gt;0),"X",IF(OR(C322="W",C323="W",C324="W",C322="1/2W",C323="1/2W",C324="1/2W",C322="1/2L",C323="1/2L",C324="1/2L"),"OK",IF(OR(C322="L",C323="L",C324="L"),"LOSS",IF(OR(C322="X",C323="X",C324="X"),"Anulado"," "))))</f>
        <v>50</v>
      </c>
      <c r="C322" t="s" s="248">
        <v>281</v>
      </c>
      <c r="D322" t="s" s="303">
        <f>IF(G322="","",$D319)</f>
        <v>272</v>
      </c>
      <c r="E322" t="s" s="250">
        <v>118</v>
      </c>
      <c r="F322" t="s" s="251"/>
      <c r="G322" s="312">
        <v>44947.458333333336</v>
      </c>
      <c r="H322" t="s" s="308">
        <v>282</v>
      </c>
      <c r="I322" t="s" s="329">
        <v>54</v>
      </c>
      <c r="J322" s="330">
        <v>0.75</v>
      </c>
      <c r="K322" t="s" s="326">
        <v>44</v>
      </c>
      <c r="L322" s="327">
        <v>1.934</v>
      </c>
      <c r="M322" s="328"/>
      <c r="N322" s="259">
        <v>0</v>
      </c>
      <c r="O322" s="260">
        <f>IF(OR(AE322="",AE323=""),"",ROUND(IF(L324&gt;0,IF(M322&gt;0,M322,IF(M323&gt;0,ROUND((M323*AE322)/AE323,IF(N322=0,2,IF(N322=0.1,1,0))),ROUND((M324*AE322)/AE324,IF(N322=0,2,IF(N322=0.1,1,0))))),IF(M322&gt;0,M322,ROUND((M323*AE322)/AE323,IF(N322=0,2,IF(N322=0.1,1,0))))),2))</f>
        <v>24.77</v>
      </c>
      <c r="P322" s="261">
        <f>IF(OR(L322="",O322=""),"",IF($C322="1/2W",O322/2+O322/2*L322,IF($C322="1/2L",O322/2,IF(I322="Lay",(O322*(L322/(L322-1))-O322)*(1-_xlfn.XLOOKUP(K322,'Janeiro 2023 - Valor Real'!A3:A15,'Janeiro 2023 - Valor Real'!C3:C15,0))+O322,(O322*L322-O322)*(1-_xlfn.XLOOKUP(K322,'Janeiro 2023 - Valor Real'!A3:A15,'Janeiro 2023 - Valor Real'!C3:C15,0))+O322))))</f>
        <v>12.385</v>
      </c>
      <c r="Q322" s="262">
        <f>IF(K322="","",IF(_xlfn.XLOOKUP(K322,K$100:K131,DJ$100:DJ131,0,,-1)=DJ322,_xlfn.XLOOKUP(K322,K$100:K131,Q$100:Q131,1,,-1)+1,1))</f>
        <v>1</v>
      </c>
      <c r="R322" s="263">
        <f>IF(K322="","",_xlfn.XLOOKUP(K322,K$100:K131,R$100:R131,0,,-1)+IF($C322=" ",1,0))</f>
        <v>0</v>
      </c>
      <c r="S322" s="264">
        <f>IF($B322="Anulado",0,ROUND(IF(OR($B322="LOSS",$B322="OK"),IF(OR($C322="W",$C322="1/2W",$C322="1/2L"),P322-O322,IF($C322="L",-O322,0))+IF(OR($C323="W",$C323="1/2W",$C323="1/2L"),P323-O323,IF($C323="L",-O323,0))+IF(OR($C324="W",$C324="1/2W",$C324="1/2L"),P324-O324,IF($C324="L",-O324,0)),IF(AND(OR($C322="W",$C322="1/2W",$C322="1/2L"),C323="W"),P322+P323-SUM(O322:O324)+_xlfn.XLOOKUP("X",C322:C324,O322:O324,0),IF(AND(C322=TRUE,C324="W"),P322+P324-SUM(O322:O324),IF(AND(C323="W",C324="W"),P323+P324-SUM(O322:O324)+_xlfn.XLOOKUP("X",C322:C324,O322:O324,0),IF(L324&gt;0,IF(OR($C322="W",$C322="1/2W",$C322="1/2L"),P322-SUM(O322:O324)+_xlfn.XLOOKUP("X",C322:C324,O322:O324,0),IF(OR($C322="W",$C322="1/2W",$C322="1/2L"),P323-SUM(O322:O324)+_xlfn.XLOOKUP("X",C322:C324,O322:O324,0),IF(OR($C322="W",$C322="1/2W",$C322="1/2L"),P324-SUM(O322:O324)+_xlfn.XLOOKUP("X",C322:C324,O322:O324,0),IF(SUM(P322:P324)/3-SUM(O322:O324)+_xlfn.XLOOKUP("X",C322:C324,O322:O324,0)&gt;0,SUM(P322:P324)/3-SUM(O322:O324)+_xlfn.XLOOKUP("X",C322:C324,O322:O324,0),LARGE(P322:P324,1)-SUM(O322:O324))))),IF(OR($C322="W",$C322="1/2W",$C322="1/2L"),P322-SUM(O322:O323)+_xlfn.XLOOKUP("X",C322:C324,O322:O324,0),IF(OR($C322="W",$C322="1/2W",$C322="1/2L"),P323-SUM(O322:O323)+_xlfn.XLOOKUP("X",C322:C324,O322:O324,0),SUM(P322:P323)/2-SUM(O322:O323)+_xlfn.XLOOKUP("X",C322:C324,O322:O324,0)))))))),2))</f>
        <v>0.83</v>
      </c>
      <c r="T322" s="265">
        <f>IF(S322=0,0,S322/SUM(O322:O324))</f>
        <v>0.0179459459459459</v>
      </c>
      <c r="U322" s="266">
        <f>IF($D322=$D319,IF(OR($B322="LOSS",$B322="OK",$B322="Anulada"),S322,0)+U319,IF(OR($B322="LOSS",$B322="OK",$B322="Anulada"),S322,0))</f>
        <v>-6.44</v>
      </c>
      <c r="V322" s="266">
        <f>IF($D322="",0,IF($D322=$D319,IF($B322=" ",IF(I324="",IF(OR(AND(I322="DNB1",I323="DNB2"),AND(OR(I322="DNB1",I322="DNB2"),J323=0),AND(OR(I323="DNB1",I323="DNB2"),J322=0),AND(I322="DNB2",I323="DNB1"),AND(IF(J322=0,(J322+1)/ROUND(J322+1,0),J322/ROUND(J322,0))=1,IF(J323=0,(J323+1)/ROUND(IF(J323="",0,J323)+1,0),IF(J323="",0,J323)/ROUND(IF(J323="",1,J323),0))=1,OR(J322&lt;&gt;""),J323&lt;&gt;"")),0,IF(S322&lt;0,IF(I324="",SMALL(P322:P323,1)-SUM(O322:O323),0),SMALL(P322:P323,1)-SUM(O322:O323))),IF(S322&lt;0,IF(I324="",SMALL(P322:P324,1)-SUM(O322:O324),0),LARGE(P322:P324,1)-SUM(O322:O324))),S322)+V319,IF(I324="",IF(OR(AND(I322="DNB1",I323="DNB2"),AND(OR(I322="DNB1",I322="DNB2"),J323=0),AND(OR(I323="DNB1",I323="DNB2"),J322=0),AND(I322="DNB2",I323="DNB1"),AND(IF(J322=0,(J322+1)/ROUND(J322+1,0),J322/ROUND(J322,0))=1,IF(J323=0,(IF(J323="",0,J323)+1)/ROUND(IF(J323="",0,J323)+1,0),IF(J323="",0,J323)/ROUND(IF(J323="",0,J323)+1,0))=1,OR(J322&lt;&gt;""),J323&lt;&gt;"")),0,IF(S322&lt;0,IF(I324="",SMALL(P322:P323,1)-SUM(O322:O323),0),SMALL(P322:P324,1)-SUM(O322:O324))),IF(S322&lt;0,IF(I324="",SMALL(P322:P324,1)-SUM(O322:O324),0),LARGE(P322:P324,1)-SUM(O322:O324)))))</f>
        <v>-6.475</v>
      </c>
      <c r="W322" s="266">
        <f>IF($D322=$D319,IF(S322&lt;0,IF(I324="",S322,0),S322)+W319,S322)</f>
        <v>-6.44</v>
      </c>
      <c r="X322" t="s" s="267">
        <f>IF(OR(SUM(R322:R324)=0,V322=W322),ROUND(IF(W322=0,0,W322/Y322)*100,2)&amp;"%",ROUND(IF(V322=0,0,V322/Y322)*100,2)&amp;"% a "&amp;ROUND(IF(W322=0,0,W322/Y322)*100,2)&amp;"%")</f>
        <v>283</v>
      </c>
      <c r="Y322" s="268">
        <f>IF($D322=$D319,Y319+SUM(O322:O324),SUM(O322:O324))</f>
        <v>215.71</v>
      </c>
      <c r="Z322" s="266">
        <f>IF($B322=" ",SUM(O322:O324),0)+Z319</f>
        <v>0</v>
      </c>
      <c r="AA322" s="266">
        <f>IF(G322="","",IF($B322="Anulado",LARGE(P322:P324,1)-SUM(O322:O324)+AA319,AA319))</f>
        <v>16.5099</v>
      </c>
      <c r="AB322" s="266">
        <f>IF($D322="","",AB319+S322)</f>
        <v>296.93</v>
      </c>
      <c r="AC322" s="269">
        <f>IF($D322="","",IF($B322=" ",IF(DAY(G322)=DAY(TODAY()),1+AC319,0+AC319),0+AC319))</f>
        <v>0</v>
      </c>
      <c r="AD322" s="270">
        <f>(1-_xlfn.XLOOKUP(K320,'Janeiro 2023 - Valor Real'!A3:A15,'Janeiro 2023 - Valor Real'!C3:C15,0))+1</f>
        <v>2</v>
      </c>
      <c r="AE322" s="271">
        <f>IF(L322="","",IF(L324&gt;0,(SUM(((L322-1)*(1-_xlfn.XLOOKUP(K322,'Janeiro 2023 - Valor Real'!A3:A15,'Janeiro 2023 - Valor Real'!C3:C15,0))+1),((L323-1)*(1-_xlfn.XLOOKUP(K323,'Janeiro 2023 - Valor Real'!A3:A15,'Janeiro 2023 - Valor Real'!C3:C15,0))+1),((L324-1)*(1-_xlfn.XLOOKUP(K324,'Janeiro 2023 - Valor Real'!A3:A15,'Janeiro 2023 - Valor Real'!C3:C15,0))+1))/((L322-1)*(1-_xlfn.XLOOKUP(K322,'Janeiro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Real'!C3:C15,0))+1))/((L322-1)*(1-_xlfn.XLOOKUP(K322,'Janeiro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Real'!C3:C15,0))+1))/((L323-1)*(1-_xlfn.XLOOKUP(K323,'Janeiro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Real'!C3:C15,0))+1))/((L324-1)*(1-_xlfn.XLOOKUP(K324,'Janeiro 2023 - Valor Real'!A3:A15,'Janeiro 2023 - Valor Real'!C3:C15,0))+1)),IF(I322="Lay",IF(I323="Lay",((L323/(L323-1)-1)*(1-_xlfn.XLOOKUP(K323,'Janeiro 2023 - Valor Real'!A3:A15,'Janeiro 2023 - Valor Real'!C3:C15,0))+1)/(((L323/(L323-1)-1)*(1-_xlfn.XLOOKUP(K323,'Janeiro 2023 - Valor Real'!A3:A15,'Janeiro 2023 - Valor Real'!C3:C15,0))+1)+((L322/(L322-1)-1)*(1-_xlfn.XLOOKUP(K322,'Janeiro 2023 - Valor Real'!A3:A15,'Janeiro 2023 - Valor Real'!C3:C15,0))+1)),((L323-1)*(1-_xlfn.XLOOKUP(K323,'Janeiro 2023 - Valor Real'!A3:A15,'Janeiro 2023 - Valor Real'!C3:C15,0))+1)/(((L323-1)*(1-_xlfn.XLOOKUP(K323,'Janeiro 2023 - Valor Real'!A3:A15,'Janeiro 2023 - Valor Real'!C3:C15,0))+1)+((L322/(L322-1)-1)*(1-_xlfn.XLOOKUP(K322,'Janeiro 2023 - Valor Real'!A3:A15,'Janeiro 2023 - Valor Real'!C3:C15,0))+1))),IF(I323="Lay",(((L323/(L323-1)-1)*(1-_xlfn.XLOOKUP(K323,'Janeiro 2023 - Valor Real'!A3:A15,'Janeiro 2023 - Valor Real'!C3:C15,0))+1))/(((L322-1)*(1-_xlfn.XLOOKUP(K322,'Janeiro 2023 - Valor Real'!A3:A15,'Janeiro 2023 - Valor Real'!C3:C15,0))+1)+((L323/(L323-1)-1)*(1-_xlfn.XLOOKUP(K323,'Janeiro 2023 - Valor Real'!A3:A15,'Janeiro 2023 - Valor Real'!C3:C15,0))+1)),((L323-1)*(1-_xlfn.XLOOKUP(K323,'Janeiro 2023 - Valor Real'!A3:A15,'Janeiro 2023 - Valor Real'!C3:C15,0))+1)/(((L323-1)*(1-_xlfn.XLOOKUP(K323,'Janeiro 2023 - Valor Real'!A3:A15,'Janeiro 2023 - Valor Real'!C3:C15,0))+1)+((L322-1)*(1-_xlfn.XLOOKUP(K322,'Janeiro 2023 - Valor Real'!A3:A15,'Janeiro 2023 - Valor Real'!C3:C15,0))+1))))))</f>
        <v>0.535542747358309</v>
      </c>
      <c r="AF322" s="132">
        <f>IF($K322=AF$3,ROUND(IF(OR($C322="W",$C322="1/2W",$C322="1/2L"),$P322-$O322,IF($C322="X",0,-$O322)),2),0)</f>
        <v>0</v>
      </c>
      <c r="AG322" s="133">
        <f>IF($K322=AG$3,ROUND(IF(OR($C322="W",$C322="1/2W",$C322="1/2L"),$P322-$O322,IF($C322="X",0,-$O322)),2),0)</f>
        <v>0</v>
      </c>
      <c r="AH322" s="133">
        <f>IF($K322=AH$3,ROUND(IF(OR($C322="W",$C322="1/2W",$C322="1/2L"),$P322-$O322,IF($C322="X",0,-$O322)),2),0)</f>
        <v>0</v>
      </c>
      <c r="AI322" s="133">
        <f>IF($K322=AI$3,ROUND(IF(OR($C322="W",$C322="1/2W",$C322="1/2L"),$P322-$O322,IF($C322="X",0,-$O322)),2),0)</f>
        <v>0</v>
      </c>
      <c r="AJ322" s="133">
        <f>IF($K322=AJ$3,ROUND(IF(OR($C322="W",$C322="1/2W",$C322="1/2L"),$P322-$O322,IF($C322="X",0,-$O322)),2),0)</f>
        <v>0</v>
      </c>
      <c r="AK322" s="133">
        <f>IF($K322=AK$3,ROUND(IF(OR($C322="W",$C322="1/2W",$C322="1/2L"),$P322-$O322,IF($C322="X",0,-$O322)),2),0)</f>
        <v>0</v>
      </c>
      <c r="AL322" s="133">
        <f>IF($K322=AL$3,ROUND(IF(OR($C322="W",$C322="1/2W",$C322="1/2L"),$P322-$O322,IF($C322="X",0,-$O322)),2),0)</f>
        <v>0</v>
      </c>
      <c r="AM322" s="133">
        <f>IF($K322=AM$3,ROUND(IF(OR($C322="W",$C322="1/2W",$C322="1/2L"),$P322-$O322,IF($C322="X",0,-$O322)),2),0)</f>
        <v>-12.39</v>
      </c>
      <c r="AN322" s="133">
        <f>IF($K322=AN$3,ROUND(IF(OR($C322="W",$C322="1/2W",$C322="1/2L"),$P322-$O322,IF($C322="X",0,-$O322)),2),0)</f>
        <v>0</v>
      </c>
      <c r="AO322" s="133">
        <f>IF($K322=AO$3,ROUND(IF(OR($C322="W",$C322="1/2W",$C322="1/2L"),$P322-$O322,IF($C322="X",0,-$O322)),2),0)</f>
        <v>0</v>
      </c>
      <c r="AP322" s="133">
        <f>IF($K322=AP$3,ROUND(IF(OR($C322="W",$C322="1/2W",$C322="1/2L"),$P322-$O322,IF($C322="X",0,-$O322)),2),0)</f>
        <v>0</v>
      </c>
      <c r="AQ322" s="133">
        <f>IF($K322=AQ$3,ROUND(IF(OR($C322="W",$C322="1/2W",$C322="1/2L"),$P322-$O322,IF($C322="X",0,-$O322)),2),0)</f>
        <v>0</v>
      </c>
      <c r="AR322" s="134">
        <f>IF($K322=AR$3,ROUND(IF(OR($C322="W",$C322="1/2W",$C322="1/2L"),$P322-$O322,IF($C322="X",0,-$O322)),2),0)</f>
        <v>0</v>
      </c>
      <c r="AS322" s="132">
        <f>IF(AND($B322=" ",$K322=AS$3),$O322,0)</f>
        <v>0</v>
      </c>
      <c r="AT322" s="133">
        <f>IF(AND($B322=" ",$K322=AT$3),$O322,0)</f>
        <v>0</v>
      </c>
      <c r="AU322" s="133">
        <f>IF(AND($B322=" ",$K322=AU$3),$O322,0)</f>
        <v>0</v>
      </c>
      <c r="AV322" s="133">
        <f>IF(AND($B322=" ",$K322=AV$3),$O322,0)</f>
        <v>0</v>
      </c>
      <c r="AW322" s="133">
        <f>IF(AND($B322=" ",$K322=AW$3),$O322,0)</f>
        <v>0</v>
      </c>
      <c r="AX322" s="133">
        <f>IF(AND($B322=" ",$K322=AX$3),$O322,0)</f>
        <v>0</v>
      </c>
      <c r="AY322" s="135">
        <f>IF(AND($B322=" ",$K322=AY$3),$O322,0)</f>
        <v>0</v>
      </c>
      <c r="AZ322" s="136">
        <f>IF(AND($B322=" ",$K322=AZ$3),$O322,0)</f>
        <v>0</v>
      </c>
      <c r="BA322" s="136">
        <f>IF(AND($B322=" ",$K322=BA$3),$O322,0)</f>
        <v>0</v>
      </c>
      <c r="BB322" s="136">
        <f>IF(AND($B322=" ",$K322=BB$3),$O322,0)</f>
        <v>0</v>
      </c>
      <c r="BC322" s="137">
        <f>IF(AND($B322=" ",$K322=BC$3),$O322,0)</f>
        <v>0</v>
      </c>
      <c r="BD322" s="133">
        <f>IF(AND($B322=" ",$K322=BD$3),$O322,0)</f>
        <v>0</v>
      </c>
      <c r="BE322" s="134">
        <f>IF(AND($B322=" ",$K322=BE$3),$O322,0)</f>
        <v>0</v>
      </c>
      <c r="BF322" s="132">
        <f>IF($K322=BF$3,IF($C322="X",0,$O322),0)</f>
        <v>0</v>
      </c>
      <c r="BG322" s="133">
        <f>IF($K322=BG$3,IF($C322="X",0,$O322),0)</f>
        <v>0</v>
      </c>
      <c r="BH322" s="133">
        <f>IF($K322=BH$3,IF($C322="X",0,$O322),0)</f>
        <v>0</v>
      </c>
      <c r="BI322" s="133">
        <f>IF($K322=BI$3,IF($C322="X",0,$O322),0)</f>
        <v>0</v>
      </c>
      <c r="BJ322" s="133">
        <f>IF($K322=BJ$3,IF($C322="X",0,$O322),0)</f>
        <v>0</v>
      </c>
      <c r="BK322" s="133">
        <f>IF($K322=BK$3,IF($C322="X",0,$O322),0)</f>
        <v>0</v>
      </c>
      <c r="BL322" s="133">
        <f>IF($K322=BL$3,IF($C322="X",0,$O322),0)</f>
        <v>0</v>
      </c>
      <c r="BM322" s="135">
        <f>IF($K322=BM$3,IF($C322="X",0,$O322),0)</f>
        <v>24.77</v>
      </c>
      <c r="BN322" s="136">
        <f>IF($K322=BN$3,IF($C322="X",0,$O322),0)</f>
        <v>0</v>
      </c>
      <c r="BO322" s="136">
        <f>IF($K322=BO$3,IF($C322="X",0,$O322),0)</f>
        <v>0</v>
      </c>
      <c r="BP322" s="136">
        <f>IF($K322=BP$3,IF($C322="X",0,$O322),0)</f>
        <v>0</v>
      </c>
      <c r="BQ322" s="137">
        <f>IF($K322=BQ$3,IF($C322="X",0,$O322),0)</f>
        <v>0</v>
      </c>
      <c r="BR322" s="134">
        <f>IF($K322=BR$3,IF($C322="X",0,$O322),0)</f>
        <v>0</v>
      </c>
      <c r="BS322" s="170">
        <f>IF($B322="LOSS",IF(AND($K322=BS$3,$C322="L"),-$O322,0)+IF(AND($K323=BS$3,$C323="L"),-$O323,0)+IF(AND($K324=BS$3,$C324="L"),-$O324,0),IF(OR(AND($K322=BS$3,OR($C322="W",$C322="1/2W")),AND($K323=BS$3,OR($C323="W",$C323="1/2W")),AND($K324=BS$3,OR($C324="W",$C324="1/2W"))),$S322,0))</f>
        <v>0</v>
      </c>
      <c r="BT322" s="272">
        <f>IF($B322="LOSS",IF(AND($K322=BT$3,$C322="L"),-$O322,0)+IF(AND($K323=BT$3,$C323="L"),-$O323,0)+IF(AND($K323=BT$3,$C324="L"),-$O324,0),IF(OR(AND($K323=BT$3,OR($C322="W",$C322="1/2W")),AND($K323=BT$3,OR($C323="W",$C323="1/2W")),AND($K323=BT$3,OR($C324="W",$C324="1/2W"))),$S322,0))</f>
        <v>0</v>
      </c>
      <c r="BU322" s="136">
        <f>IF($B322="LOSS",IF(AND($K322=BU$3,$C322="L"),-$O322,0)+IF(AND($K323=BU$3,$C323="L"),-$O323,0)+IF(AND($K323=BU$3,$C324="L"),-$O324,0),IF(OR(AND($K323=BU$3,OR($C322="W",$C322="1/2W")),AND($K323=BU$3,OR($C323="W",$C323="1/2W")),AND($K323=BU$3,OR($C324="W",$C324="1/2W"))),$S322,0))</f>
        <v>0</v>
      </c>
      <c r="BV322" s="136">
        <f>IF($B322="LOSS",IF(AND($K322=BV$3,$C322="L"),-$O322,0)+IF(AND($K323=BV$3,$C323="L"),-$O323,0)+IF(AND($K324=BV$3,$C324="L"),-$O324,0),IF(OR(AND($K322=BV$3,OR($C322="W",$C322="1/2W")),AND($K323=BV$3,OR($C323="W",$C323="1/2W")),AND($K324=BV$3,OR($C324="W",$C324="1/2W"))),$S322,0))</f>
        <v>0</v>
      </c>
      <c r="BW322" s="136">
        <f>IF($B322="LOSS",IF(AND($K322=BW$3,$C322="L"),-$O322,0)+IF(AND($K323=BW$3,$C323="L"),-$O323,0)+IF(AND($K324=BW$3,$C324="L"),-$O324,0),IF(OR(AND($K322=BW$3,OR($C322="W",$C322="1/2W")),AND($K323=BW$3,OR($C323="W",$C323="1/2W")),AND($K324=BW$3,OR($C324="W",$C324="1/2W"))),$S322,0))</f>
        <v>0</v>
      </c>
      <c r="BX322" s="136">
        <f>IF($B322="LOSS",IF(AND($K322=BX$3,$C322="L"),-$O322,0)+IF(AND($K323=BX$3,$C323="L"),-$O323,0)+IF(AND($K324=BX$3,$C324="L"),-$O324,0),IF(OR(AND($K322=BX$3,OR($C322="W",$C322="1/2W")),AND($K323=BX$3,OR($C323="W",$C323="1/2W")),AND($K324=BX$3,OR($C324="W",$C324="1/2W"))),$S322,0))</f>
        <v>0</v>
      </c>
      <c r="BY322" s="136">
        <f>IF($B322="LOSS",IF(AND($K322=BY$3,$C322="L"),-$O322,0)+IF(AND($K323=BY$3,$C323="L"),-$O323,0)+IF(AND($K324=BY$3,$C324="L"),-$O324,0),IF(OR(AND($K322=BY$3,OR($C322="W",$C322="1/2W")),AND($K323=BY$3,OR($C323="W",$C323="1/2W")),AND($K324=BY$3,OR($C324="W",$C324="1/2W"))),$S322,0))</f>
        <v>0</v>
      </c>
      <c r="BZ322" s="136">
        <f>IF($B322="LOSS",IF(AND($K322=BZ$3,$C322="L"),-$O322,0)+IF(AND($K323=BZ$3,$C323="L"),-$O323,0)+IF(AND($K324=BZ$3,$C324="L"),-$O324,0),IF(OR(AND($K322=BZ$3,OR($C322="W",$C322="1/2W")),AND($K323=BZ$3,OR($C323="W",$C323="1/2W")),AND($K324=BZ$3,OR($C324="W",$C324="1/2W"))),$S322,0))</f>
        <v>0</v>
      </c>
      <c r="CA322" s="136">
        <f>IF($B322="LOSS",IF(AND($K322=CA$3,$C322="L"),-$O322,0)+IF(AND($K323=CA$3,$C323="L"),-$O323,0)+IF(AND($K324=CA$3,$C324="L"),-$O324,0),IF(OR(AND($K322=CA$3,OR($C322="W",$C322="1/2W")),AND($K323=CA$3,OR($C323="W",$C323="1/2W")),AND($K324=CA$3,OR($C324="W",$C324="1/2W"))),$S322,0))</f>
        <v>0</v>
      </c>
      <c r="CB322" s="136">
        <f>IF($B322="LOSS",IF(AND($K322=CB$3,$C322="L"),-$O322,0)+IF(AND($K323=CB$3,$C323="L"),-$O323,0)+IF(AND($K324=CB$3,$C324="L"),-$O324,0),IF(OR(AND($K322=CB$3,OR($C322="W",$C322="1/2W")),AND($K323=CB$3,OR($C323="W",$C323="1/2W")),AND($K324=CB$3,OR($C324="W",$C324="1/2W"))),$S322,0))</f>
        <v>0</v>
      </c>
      <c r="CC322" s="136">
        <f>IF($B322="LOSS",IF(AND($K322=CC$3,$C322="L"),-$O322,0)+IF(AND($K323=CC$3,$C323="L"),-$O323,0)+IF(AND($K324=CC$3,$C324="L"),-$O324,0),IF(OR(AND($K322=CC$3,OR($C322="W",$C322="1/2W")),AND($K323=CC$3,OR($C323="W",$C323="1/2W")),AND($K324=CC$3,OR($C324="W",$C324="1/2W"))),$S322,0))</f>
        <v>0</v>
      </c>
      <c r="CD322" s="137">
        <f>IF($B322="LOSS",IF(AND($K322=CD$3,$C322="L"),-$O322,0)+IF(AND($K323=CD$3,$C323="L"),-$O323,0)+IF(AND($K324=CD$3,$C324="L"),-$O324,0),IF(OR(AND($K322=CD$3,OR($C322="W",$C322="1/2W")),AND($K323=CD$3,OR($C323="W",$C323="1/2W")),AND($K324=CD$3,OR($C324="W",$C324="1/2W"))),$S322,0))</f>
        <v>0.83</v>
      </c>
      <c r="CE322" s="134">
        <f>IF($B322="LOSS",IF(AND($K322=CE$3,$C322="L"),-$O322,0)+IF(AND($K323=CE$3,$C323="L"),-$O323,0)+IF(AND($K324=CE$3,$C324="L"),-$O324,0),IF(OR(AND($K322=CE$3,OR($C322="W",$C322="1/2W")),AND($K323=CE$3,OR($C323="W",$C323="1/2W")),AND($K324=CE$3,OR($C324="W",$C324="1/2W"))),$S322,0))</f>
        <v>0</v>
      </c>
      <c r="CF322" s="273">
        <f>IF(CF$3=$K322,IF($C322="W",1,IF($C322="1/2W",0.5,0)),0)</f>
        <v>0</v>
      </c>
      <c r="CG322" s="274">
        <f>IF(CF$3=$K322,IF($C322="L",1,IF($C322="1/2L",0.5,0)),0)</f>
        <v>0</v>
      </c>
      <c r="CH322" s="274">
        <f>IF(CH$3=$K322,IF($C322="W",1,IF($C322="1/2W",0.5,0)),0)</f>
        <v>0</v>
      </c>
      <c r="CI322" s="274">
        <f>IF(CH$3=$K322,IF($C322="L",1,IF($C322="1/2L",0.5,0)),0)</f>
        <v>0</v>
      </c>
      <c r="CJ322" s="274">
        <f>IF(CJ$3=$K322,IF($C322="W",1,IF($C322="1/2W",0.5,0)),0)</f>
        <v>0</v>
      </c>
      <c r="CK322" s="274">
        <f>IF(CJ$3=$K322,IF($C322="L",1,IF($C322="1/2L",0.5,0)),0)</f>
        <v>0</v>
      </c>
      <c r="CL322" s="274">
        <f>IF(CL$3=$K322,IF($C322="W",1,IF($C322="1/2W",0.5,0)),0)</f>
        <v>0</v>
      </c>
      <c r="CM322" s="274">
        <f>IF(CL$3=$K322,IF($C322="L",1,IF($C322="1/2L",0.5,0)),0)</f>
        <v>0</v>
      </c>
      <c r="CN322" s="274">
        <f>IF(CN$3=$K322,IF($C322="W",1,IF($C322="1/2W",0.5,0)),0)</f>
        <v>0</v>
      </c>
      <c r="CO322" s="274">
        <f>IF(CN$3=$K322,IF($C322="L",1,IF($C322="1/2L",0.5,0)),0)</f>
        <v>0</v>
      </c>
      <c r="CP322" s="274">
        <f>IF(CP$3=$K322,IF($C322="W",1,IF($C322="1/2W",0.5,0)),0)</f>
        <v>0</v>
      </c>
      <c r="CQ322" s="274">
        <f>IF(CP$3=$K322,IF($C322="L",1,IF($C322="1/2L",0.5,0)),0)</f>
        <v>0</v>
      </c>
      <c r="CR322" s="274">
        <f>IF(CR$3=$K322,IF($C322="W",1,IF($C322="1/2W",0.5,0)),0)</f>
        <v>0</v>
      </c>
      <c r="CS322" s="274">
        <f>IF(CR$3=$K322,IF($C322="L",1,IF($C322="1/2L",0.5,0)),0)</f>
        <v>0</v>
      </c>
      <c r="CT322" s="145">
        <f>IF(CT$3=$K322,IF($C322="W",1,IF($C322="1/2W",0.5,0)),0)</f>
        <v>0</v>
      </c>
      <c r="CU322" s="146">
        <f>IF(CT$3=$K322,IF($C322="L",1,IF($C322="1/2L",0.5,0)),0)</f>
        <v>0.5</v>
      </c>
      <c r="CV322" s="146">
        <f>IF(CV$3=$K322,IF($C322="W",1,IF($C322="1/2W",0.5,0)),0)</f>
        <v>0</v>
      </c>
      <c r="CW322" s="146">
        <f>IF(CV$3=$K322,IF($C322="L",1,IF($C322="1/2L",0.5,0)),0)</f>
        <v>0</v>
      </c>
      <c r="CX322" s="146">
        <f>IF(CX$3=$K322,IF($C322="W",1,IF($C322="1/2W",0.5,0)),0)</f>
        <v>0</v>
      </c>
      <c r="CY322" s="146">
        <f>IF(CX$3=$K322,IF($C322="L",1,IF($C322="1/2L",0.5,0)),0)</f>
        <v>0</v>
      </c>
      <c r="CZ322" s="146">
        <f>IF(CZ$3=$K322,IF($C322="W",1,IF($C322="1/2W",0.5,0)),0)</f>
        <v>0</v>
      </c>
      <c r="DA322" s="146">
        <f>IF(CZ$3=$K322,IF($C322="L",1,IF($C322="1/2L",0.5,0)),0)</f>
        <v>0</v>
      </c>
      <c r="DB322" s="146">
        <f>IF(DB$3=$K322,IF($C322="W",1,IF($C322="1/2W",0.5,0)),0)</f>
        <v>0</v>
      </c>
      <c r="DC322" s="146">
        <f>IF(DB$3=$K322,IF($C322="L",1,IF($C322="1/2L",0.5,0)),0)</f>
        <v>0</v>
      </c>
      <c r="DD322" s="146">
        <f>IF(DD$3=$K322,IF($C322="W",1,IF($C322="1/2W",0.5,0)),0)</f>
        <v>0</v>
      </c>
      <c r="DE322" s="147">
        <f>IF(DD$3=$K322,IF($C322="L",1,IF($C322="1/2L",0.5,0)),0)</f>
        <v>0</v>
      </c>
      <c r="DF322" s="143">
        <f>IF(AND(L322&lt;DF$3,$C322="W"),1+DF321,DF321)</f>
        <v>12</v>
      </c>
      <c r="DG322" s="133">
        <f>IF(DF322&gt;DF321,L322+DG321,DG321)</f>
        <v>15.718</v>
      </c>
      <c r="DH322" s="146">
        <f>IF(AND(L322&gt;DH$3,$C322="W"),1+DH321,0+DH321)</f>
        <v>7</v>
      </c>
      <c r="DI322" s="133">
        <f>IF(DH322&gt;DH321,L322+DI321,DI321)</f>
        <v>34.83</v>
      </c>
      <c r="DJ322" t="s" s="304">
        <f>IF($D322="","",$D322)</f>
        <v>272</v>
      </c>
      <c r="DK322" s="146">
        <f>IF(AND($B322=" ",$D322&lt;&gt;""),1,0)</f>
        <v>0</v>
      </c>
    </row>
    <row r="323" ht="14.55" customHeight="1">
      <c r="A323" s="107"/>
      <c r="B323" s="108"/>
      <c r="C323" t="s" s="109">
        <v>284</v>
      </c>
      <c r="D323" s="110"/>
      <c r="E323" s="111"/>
      <c r="F323" s="113"/>
      <c r="G323" s="252"/>
      <c r="H323" s="114"/>
      <c r="I323" t="s" s="275">
        <v>57</v>
      </c>
      <c r="J323" s="276">
        <f>IF(OR(I322="TO",I322="TU",I322="TO1",I322="TU1",I322="TO2",I322="TU2"),J322,IF(OR(I322="AH1",I322="AH2"),IF(OR(I323="AH1",I323="AH2"),-J322,IF(OR(I323="EH1",I323="EH2"),-J322+0.5,"")),IF(OR(I322="EH1",I322="EH2"),IF(OR(I323="AH1",I323="AH2"),-J322+0.5,IF(OR(I323="EH1",I323="EH2"),-J322+1,"")),IF(AND(OR(I322="DNB1",I322="DNB2"),OR(I323="AH1",I323="AH2")),0,IF(AND(I322="Not ScoreBoth",OR(I323="TO1",I323="TO2")),0.5,"")))))</f>
        <v>-0.75</v>
      </c>
      <c r="K323" t="s" s="117">
        <v>48</v>
      </c>
      <c r="L323" s="277">
        <v>2.23</v>
      </c>
      <c r="M323" s="278">
        <v>21.48</v>
      </c>
      <c r="N323" s="120"/>
      <c r="O323" s="121">
        <f>IF(OR(AE322="",AE323=""),"",ROUND(IF(L324&gt;0,IF(M323&gt;0,M323,IF(M322&gt;0,IF(N322=TRUE,ROUND((M322*AE323)/AE322,0),(M322*AE323)/AE322),IF(M323&gt;0,ROUND(M323,IF(N322=0,2,IF(N322=0.1,1,0))),IF(M324&gt;0,ROUND(O324*AE323/AE324,IF(N322=0,2,IF(N322=0.1,1,0))),0)))),IF(M323&gt;0,M323,ROUND((M322*AE323)/AE322,IF(N322=0,2,IF(N322=0.1,1,0))))),2))</f>
        <v>21.48</v>
      </c>
      <c r="P323" s="122">
        <f>IF(OR(L323="",O323=""),"",IF($C323="1/2W",O323/2+O323/2*L323,IF($C323="1/2L",O323/2,IF(I323="Lay",((O323*(L323/(L323-1)))-O323)*(1-_xlfn.XLOOKUP(K323,'Janeiro 2023 - Valor Real'!A3:A15,'Janeiro 2023 - Valor Real'!C3:C15,0))+O323,(O323*L323-O323)*(1-_xlfn.XLOOKUP(K323,'Janeiro 2023 - Valor Real'!A3:A15,'Janeiro 2023 - Valor Real'!C3:C15,0))+O323))))</f>
        <v>34.6902</v>
      </c>
      <c r="Q323" s="279">
        <f>IF(K323="","",IF(_xlfn.XLOOKUP(K323,K$101:K132,DJ$101:DJ132,0,,-1)=DJ323,_xlfn.XLOOKUP(K323,K$101:K132,Q$101:Q132,1,,-1)+1,1))</f>
        <v>1</v>
      </c>
      <c r="R323" s="280">
        <f>IF(K323="","",_xlfn.XLOOKUP(K323,K$101:K132,R$101:R132,0,,-1)+IF($C323=" ",1,0))</f>
        <v>0</v>
      </c>
      <c r="S323" s="125"/>
      <c r="T323" s="126"/>
      <c r="U323" s="126"/>
      <c r="V323" s="224"/>
      <c r="W323" s="126"/>
      <c r="X323" s="127"/>
      <c r="Y323" s="128"/>
      <c r="Z323" s="129"/>
      <c r="AA323" s="129"/>
      <c r="AB323" s="129"/>
      <c r="AC323" s="129"/>
      <c r="AD323" s="130"/>
      <c r="AE323" s="131">
        <f>IF(L323="","",IF(L324&gt;0,(SUM(((L322-1)*(1-_xlfn.XLOOKUP(K322,'Janeiro 2023 - Valor Real'!A3:A15,'Janeiro 2023 - Valor Real'!C3:C15,0))+1),((L323-1)*(1-_xlfn.XLOOKUP(K323,'Janeiro 2023 - Valor Real'!A3:A15,'Janeiro 2023 - Valor Real'!C3:C15,0))+1),((L324-1)*(1-_xlfn.XLOOKUP(K324,'Janeiro 2023 - Valor Real'!A3:A15,'Janeiro 2023 - Valor Real'!C3:C15,0))+1))/((L323-1)*(1-_xlfn.XLOOKUP(K323,'Janeiro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Real'!C3:C15,0))+1))/((L322-1)*(1-_xlfn.XLOOKUP(K322,'Janeiro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Real'!C3:C15,0))+1))/((L323-1)*(1-_xlfn.XLOOKUP(K323,'Janeiro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Real'!C3:C15,0))+1))/((L324-1)*(1-_xlfn.XLOOKUP(K324,'Janeiro 2023 - Valor Real'!A3:A15,'Janeiro 2023 - Valor Real'!C3:C15,0))+1)),IF(I323="Lay",IF(I322="Lay",((L322/(L322-1)-1)*(1-_xlfn.XLOOKUP(K322,'Janeiro 2023 - Valor Real'!A3:A15,'Janeiro 2023 - Valor Real'!C3:C15,0))+1)/(((L322/(L322-1)-1)*(1-_xlfn.XLOOKUP(K322,'Janeiro 2023 - Valor Real'!A3:A15,'Janeiro 2023 - Valor Real'!C3:C15,0))+1)+((L323/(L323-1)-1)*(1-_xlfn.XLOOKUP(K323,'Janeiro 2023 - Valor Real'!A3:A15,'Janeiro 2023 - Valor Real'!C3:C15,0))+1)),((L322-1)*(1-_xlfn.XLOOKUP(K322,'Janeiro 2023 - Valor Real'!A3:A15,'Janeiro 2023 - Valor Real'!C3:C15,0))+1)/(((L322-1)*(1-_xlfn.XLOOKUP(K322,'Janeiro 2023 - Valor Real'!A3:A15,'Janeiro 2023 - Valor Real'!C3:C15,0))+1)+((L323/(L323-1)-1)*(1-_xlfn.XLOOKUP(K323,'Janeiro 2023 - Valor Real'!A3:A15,'Janeiro 2023 - Valor Real'!C3:C15,0))+1))),IF(I322="Lay",((L322/(L322-1)-1)*(1-_xlfn.XLOOKUP(K322,'Janeiro 2023 - Valor Real'!A3:A15,'Janeiro 2023 - Valor Real'!C3:C15,0))+1)/((((L322/(L322-1)-1)*(1-_xlfn.XLOOKUP(K322,'Janeiro 2023 - Valor Real'!A3:A15,'Janeiro 2023 - Valor Real'!C3:C15,0))+1))+((L323-1)*(1-_xlfn.XLOOKUP(K323,'Janeiro 2023 - Valor Real'!A3:A15,'Janeiro 2023 - Valor Real'!C3:C15,0))+1)),((L322-1)*(1-_xlfn.XLOOKUP(K322,'Janeiro 2023 - Valor Real'!A3:A15,'Janeiro 2023 - Valor Real'!C3:C15,0))+1)/(((L322-1)*(1-_xlfn.XLOOKUP(K322,'Janeiro 2023 - Valor Real'!A3:A15,'Janeiro 2023 - Valor Real'!C3:C15,0))+1)+((L323-1)*(1-_xlfn.XLOOKUP(K323,'Janeiro 2023 - Valor Real'!A3:A15,'Janeiro 2023 - Valor Real'!C3:C15,0))+1))))))</f>
        <v>0.464457252641691</v>
      </c>
      <c r="AF323" s="132">
        <f>IF($K323=AF$3,ROUND(IF(OR($C323="W",$C323="1/2W",$C323="1/2L"),$P323-$O323,IF($C323="X",0,-$O323)),2),0)</f>
        <v>0</v>
      </c>
      <c r="AG323" s="133">
        <f>IF($K323=AG$3,ROUND(IF(OR($C323="W",$C323="1/2W",$C323="1/2L"),$P323-$O323,IF($C323="X",0,-$O323)),2),0)</f>
        <v>0</v>
      </c>
      <c r="AH323" s="133">
        <f>IF($K323=AH$3,ROUND(IF(OR($C323="W",$C323="1/2W",$C323="1/2L"),$P323-$O323,IF($C323="X",0,-$O323)),2),0)</f>
        <v>0</v>
      </c>
      <c r="AI323" s="133">
        <f>IF($K323=AI$3,ROUND(IF(OR($C323="W",$C323="1/2W",$C323="1/2L"),$P323-$O323,IF($C323="X",0,-$O323)),2),0)</f>
        <v>0</v>
      </c>
      <c r="AJ323" s="133">
        <f>IF($K323=AJ$3,ROUND(IF(OR($C323="W",$C323="1/2W",$C323="1/2L"),$P323-$O323,IF($C323="X",0,-$O323)),2),0)</f>
        <v>0</v>
      </c>
      <c r="AK323" s="133">
        <f>IF($K323=AK$3,ROUND(IF(OR($C323="W",$C323="1/2W",$C323="1/2L"),$P323-$O323,IF($C323="X",0,-$O323)),2),0)</f>
        <v>0</v>
      </c>
      <c r="AL323" s="133">
        <f>IF($K323=AL$3,ROUND(IF(OR($C323="W",$C323="1/2W",$C323="1/2L"),$P323-$O323,IF($C323="X",0,-$O323)),2),0)</f>
        <v>0</v>
      </c>
      <c r="AM323" s="133">
        <f>IF($K323=AM$3,ROUND(IF(OR($C323="W",$C323="1/2W",$C323="1/2L"),$P323-$O323,IF($C323="X",0,-$O323)),2),0)</f>
        <v>0</v>
      </c>
      <c r="AN323" s="133">
        <f>IF($K323=AN$3,ROUND(IF(OR($C323="W",$C323="1/2W",$C323="1/2L"),$P323-$O323,IF($C323="X",0,-$O323)),2),0)</f>
        <v>0</v>
      </c>
      <c r="AO323" s="133">
        <f>IF($K323=AO$3,ROUND(IF(OR($C323="W",$C323="1/2W",$C323="1/2L"),$P323-$O323,IF($C323="X",0,-$O323)),2),0)</f>
        <v>0</v>
      </c>
      <c r="AP323" s="133">
        <f>IF($K323=AP$3,ROUND(IF(OR($C323="W",$C323="1/2W",$C323="1/2L"),$P323-$O323,IF($C323="X",0,-$O323)),2),0)</f>
        <v>0</v>
      </c>
      <c r="AQ323" s="133">
        <f>IF($K323=AQ$3,ROUND(IF(OR($C323="W",$C323="1/2W",$C323="1/2L"),$P323-$O323,IF($C323="X",0,-$O323)),2),0)</f>
        <v>13.21</v>
      </c>
      <c r="AR323" s="134">
        <f>IF($K323=AR$3,ROUND(IF(OR($C323="W",$C323="1/2W",$C323="1/2L"),$P323-$O323,IF($C323="X",0,-$O323)),2),0)</f>
        <v>0</v>
      </c>
      <c r="AS323" s="132">
        <f>IF(AND($B322=" ",$K323=AS$3),$O323,0)</f>
        <v>0</v>
      </c>
      <c r="AT323" s="133">
        <f>IF(AND($B322=" ",K323=AT$3),$O323,0)</f>
        <v>0</v>
      </c>
      <c r="AU323" s="133">
        <f>IF(AND($B322=" ",$K323=AU$3),$O323,0)</f>
        <v>0</v>
      </c>
      <c r="AV323" s="133">
        <f>IF(AND($B322=" ",$K323=AV$3),$O323,0)</f>
        <v>0</v>
      </c>
      <c r="AW323" s="133">
        <f>IF(AND($B322=" ",$K323=AW$3),$O323,0)</f>
        <v>0</v>
      </c>
      <c r="AX323" s="133">
        <f>IF(AND($B322=" ",$K323=AX$3),$O323,0)</f>
        <v>0</v>
      </c>
      <c r="AY323" s="135">
        <f>IF(AND($B322=" ",$K323=AY$3),$O323,0)</f>
        <v>0</v>
      </c>
      <c r="AZ323" s="136">
        <f>IF(AND($B322=" ",$K323=AZ$3),$O323,0)</f>
        <v>0</v>
      </c>
      <c r="BA323" s="136">
        <f>IF(AND($B322=" ",$K323=BA$3),$O323,0)</f>
        <v>0</v>
      </c>
      <c r="BB323" s="136">
        <f>IF(AND($B322=" ",$K323=BB$3),$O323,0)</f>
        <v>0</v>
      </c>
      <c r="BC323" s="137">
        <f>IF(AND($B322=" ",$K323=BC$3),$O323,0)</f>
        <v>0</v>
      </c>
      <c r="BD323" s="133">
        <f>IF(AND($B322=" ",$K323=BD$3),$O323,0)</f>
        <v>0</v>
      </c>
      <c r="BE323" s="134">
        <f>IF(AND($B322=" ",$K323=BE$3),$O323,0)</f>
        <v>0</v>
      </c>
      <c r="BF323" s="132">
        <f>IF($K323=BF$3,IF($C323="X",0,$O323),0)</f>
        <v>0</v>
      </c>
      <c r="BG323" s="281">
        <f>IF($K323=BG$3,IF($C323="X",0,$O323),0)</f>
        <v>0</v>
      </c>
      <c r="BH323" s="133">
        <f>IF($K323=BH$3,IF($C323="X",0,$O323),0)</f>
        <v>0</v>
      </c>
      <c r="BI323" s="133">
        <f>IF($K323=BI$3,IF($C323="X",0,$O323),0)</f>
        <v>0</v>
      </c>
      <c r="BJ323" s="133">
        <f>IF($K323=BJ$3,IF($C323="X",0,$O323),0)</f>
        <v>0</v>
      </c>
      <c r="BK323" s="133">
        <f>IF($K323=BK$3,IF($C323="X",0,$O323),0)</f>
        <v>0</v>
      </c>
      <c r="BL323" s="133">
        <f>IF($K323=BL$3,IF($C323="X",0,$O323),0)</f>
        <v>0</v>
      </c>
      <c r="BM323" s="135">
        <f>IF($K323=BM$3,IF($C323="X",0,$O323),0)</f>
        <v>0</v>
      </c>
      <c r="BN323" s="136">
        <f>IF($K323=BN$3,IF($C323="X",0,$O323),0)</f>
        <v>0</v>
      </c>
      <c r="BO323" s="136">
        <f>IF($K323=BO$3,IF($C323="X",0,$O323),0)</f>
        <v>0</v>
      </c>
      <c r="BP323" s="136">
        <f>IF($K323=BP$3,IF($C323="X",0,$O323),0)</f>
        <v>0</v>
      </c>
      <c r="BQ323" s="137">
        <f>IF($K323=BQ$3,IF($C323="X",0,$O323),0)</f>
        <v>21.48</v>
      </c>
      <c r="BR323" s="134">
        <f>IF($K323=BR$3,IF($C323="X",0,$O323),0)</f>
        <v>0</v>
      </c>
      <c r="BS323" s="282"/>
      <c r="BT323" s="283"/>
      <c r="BU323" s="140"/>
      <c r="BV323" s="283"/>
      <c r="BW323" s="140"/>
      <c r="BX323" s="140"/>
      <c r="BY323" s="140"/>
      <c r="BZ323" s="283"/>
      <c r="CA323" s="140"/>
      <c r="CB323" s="140"/>
      <c r="CC323" s="140"/>
      <c r="CD323" s="141"/>
      <c r="CE323" s="142"/>
      <c r="CF323" s="284">
        <f>IF(CF$3=$K323,IF($C323="W",1,IF($C323="1/2W",0.5,0)),0)</f>
        <v>0</v>
      </c>
      <c r="CG323" s="285">
        <f>IF(CF$3=$K323,IF($C323="L",1,IF($C323="1/2L",0.5,0)),0)</f>
        <v>0</v>
      </c>
      <c r="CH323" s="285">
        <f>IF(CH$3=$K323,IF($C323="W",1,IF($C323="1/2W",0.5,0)),0)</f>
        <v>0</v>
      </c>
      <c r="CI323" s="285">
        <f>IF(CH$3=$K323,IF($C323="L",1,IF($C323="1/2L",0.5,0)),0)</f>
        <v>0</v>
      </c>
      <c r="CJ323" s="285">
        <f>IF(CJ$3=$K323,IF($C323="W",1,IF($C323="1/2W",0.5,0)),0)</f>
        <v>0</v>
      </c>
      <c r="CK323" s="285">
        <f>IF(CJ$3=$K323,IF($C323="L",1,IF($C323="1/2L",0.5,0)),0)</f>
        <v>0</v>
      </c>
      <c r="CL323" s="285">
        <f>IF(CL$3=$K323,IF($C323="W",1,IF($C323="1/2W",0.5,0)),0)</f>
        <v>0</v>
      </c>
      <c r="CM323" s="285">
        <f>IF(CL$3=$K323,IF($C323="L",1,IF($C323="1/2L",0.5,0)),0)</f>
        <v>0</v>
      </c>
      <c r="CN323" s="285">
        <f>IF(CN$3=$K323,IF($C323="W",1,IF($C323="1/2W",0.5,0)),0)</f>
        <v>0</v>
      </c>
      <c r="CO323" s="285">
        <f>IF(CN$3=$K323,IF($C323="L",1,IF($C323="1/2L",0.5,0)),0)</f>
        <v>0</v>
      </c>
      <c r="CP323" s="285">
        <f>IF(CP$3=$K323,IF($C323="W",1,IF($C323="1/2W",0.5,0)),0)</f>
        <v>0</v>
      </c>
      <c r="CQ323" s="285">
        <f>IF(CP$3=$K323,IF($C323="L",1,IF($C323="1/2L",0.5,0)),0)</f>
        <v>0</v>
      </c>
      <c r="CR323" s="285">
        <f>IF(CR$3=$K323,IF($C323="W",1,IF($C323="1/2W",0.5,0)),0)</f>
        <v>0</v>
      </c>
      <c r="CS323" s="285">
        <f>IF(CR$3=$K323,IF($C323="L",1,IF($C323="1/2L",0.5,0)),0)</f>
        <v>0</v>
      </c>
      <c r="CT323" s="145">
        <f>IF(CT$3=$K323,IF($C323="W",1,IF($C323="1/2W",0.5,0)),0)</f>
        <v>0</v>
      </c>
      <c r="CU323" s="146">
        <f>IF(CT$3=$K323,IF($C323="L",1,IF($C323="1/2L",0.5,0)),0)</f>
        <v>0</v>
      </c>
      <c r="CV323" s="146">
        <f>IF(CV$3=$K323,IF($C323="W",1,IF($C323="1/2W",0.5,0)),0)</f>
        <v>0</v>
      </c>
      <c r="CW323" s="146">
        <f>IF(CV$3=$K323,IF($C323="L",1,IF($C323="1/2L",0.5,0)),0)</f>
        <v>0</v>
      </c>
      <c r="CX323" s="146">
        <f>IF(CX$3=$K323,IF($C323="W",1,IF($C323="1/2W",0.5,0)),0)</f>
        <v>0</v>
      </c>
      <c r="CY323" s="146">
        <f>IF(CX$3=$K323,IF($C323="L",1,IF($C323="1/2L",0.5,0)),0)</f>
        <v>0</v>
      </c>
      <c r="CZ323" s="146">
        <f>IF(CZ$3=$K323,IF($C323="W",1,IF($C323="1/2W",0.5,0)),0)</f>
        <v>0</v>
      </c>
      <c r="DA323" s="146">
        <f>IF(CZ$3=$K323,IF($C323="L",1,IF($C323="1/2L",0.5,0)),0)</f>
        <v>0</v>
      </c>
      <c r="DB323" s="146">
        <f>IF(DB$3=$K323,IF($C323="W",1,IF($C323="1/2W",0.5,0)),0)</f>
        <v>0.5</v>
      </c>
      <c r="DC323" s="146">
        <f>IF(DB$3=$K323,IF($C323="L",1,IF($C323="1/2L",0.5,0)),0)</f>
        <v>0</v>
      </c>
      <c r="DD323" s="146">
        <f>IF(DD$3=$K323,IF($C323="W",1,IF($C323="1/2W",0.5,0)),0)</f>
        <v>0</v>
      </c>
      <c r="DE323" s="147">
        <f>IF(DD$3=$K323,IF($C323="L",1,IF($C323="1/2L",0.5,0)),0)</f>
        <v>0</v>
      </c>
      <c r="DF323" s="143">
        <f>IF(AND(L323&lt;DF$3,$C323="W"),1+DF322,DF322)</f>
        <v>12</v>
      </c>
      <c r="DG323" s="133">
        <f>IF(DF323&gt;DF322,L323+DG322,DG322)</f>
        <v>15.718</v>
      </c>
      <c r="DH323" s="146">
        <f>IF(AND(L323&gt;DH$3,$C323="W"),1+DH322,0+DH322)</f>
        <v>7</v>
      </c>
      <c r="DI323" s="133">
        <f>IF(DH323&gt;DH322,L323+DI322,DI322)</f>
        <v>34.83</v>
      </c>
      <c r="DJ323" t="s" s="304">
        <f>IF($D322="","",$D322)</f>
        <v>272</v>
      </c>
      <c r="DK323" s="286"/>
    </row>
    <row r="324" ht="14.55" customHeight="1">
      <c r="A324" s="149"/>
      <c r="B324" s="150"/>
      <c r="C324" t="s" s="151">
        <v>58</v>
      </c>
      <c r="D324" s="152"/>
      <c r="E324" s="153"/>
      <c r="F324" s="155"/>
      <c r="G324" s="252"/>
      <c r="H324" s="156"/>
      <c r="I324" s="287"/>
      <c r="J324" s="288"/>
      <c r="K324" s="156"/>
      <c r="L324" s="289"/>
      <c r="M324" s="290"/>
      <c r="N324" s="161"/>
      <c r="O324" t="s" s="162">
        <f>IF(OR(AE322="",AE323=""),"",IF(L324&gt;0,ROUND(IF(M324&gt;0,M324,IF(M322&gt;0,ROUND((M322*AE324)/AE322,IF(N322=0,2,IF(N322=0.1,1,0))),IF(M323&gt;0,ROUND((M323*AE324)/AE323,IF(N322=0,2,IF(N322=0.1,1,0))),IF(M324&gt;0,M324,0)))),2),""))</f>
      </c>
      <c r="P324" t="s" s="163">
        <f>IF(I323="Lay",O323*(L323/(L323-1))-O323,IF(I322="Lay",O322*(L322/(L322-1))-O322,IF(OR(L324="",O324=""),"",IF($C324="1/2W",O324/2+O324/2*L324,IF($C324="1/2L",O324/2,(O324*L324-O324)*(1-_xlfn.XLOOKUP(K324,'Janeiro 2023 - Valor Real'!A3:A15,'Janeiro 2023 - Valor Real'!C3:C15,0))+O324)))))</f>
      </c>
      <c r="Q324" t="s" s="154">
        <f>IF(K324="","",IF(_xlfn.XLOOKUP(K324,K$102:K133,DJ$102:DJ133,0,,-1)=DJ324,_xlfn.XLOOKUP(K324,K$102:K133,Q$102:Q133,1,,-1)+1,1))</f>
      </c>
      <c r="R324" t="s" s="163">
        <f>IF(K324="","",_xlfn.XLOOKUP(K324,K$102:K133,R$102:R133,0,,-1)+IF($C324=" ",1,0))</f>
      </c>
      <c r="S324" s="166"/>
      <c r="T324" s="155"/>
      <c r="U324" s="155"/>
      <c r="V324" s="166"/>
      <c r="W324" s="155"/>
      <c r="X324" s="167"/>
      <c r="Y324" s="128"/>
      <c r="Z324" s="129"/>
      <c r="AA324" s="129"/>
      <c r="AB324" s="129"/>
      <c r="AC324" s="129"/>
      <c r="AD324" s="168"/>
      <c r="AE324" t="s" s="169">
        <f>IF(L324="","",(SUM(((L322-1)*(1-_xlfn.XLOOKUP(K322,'Janeiro 2023 - Valor Real'!A3:A15,'Janeiro 2023 - Valor Real'!C3:C15,0))+1),((L323-1)*(1-_xlfn.XLOOKUP(K323,'Janeiro 2023 - Valor Real'!A3:A15,'Janeiro 2023 - Valor Real'!C3:C15,0))+1),((L324-1)*(1-_xlfn.XLOOKUP(K324,'Janeiro 2023 - Valor Real'!A3:A15,'Janeiro 2023 - Valor Real'!C3:C15,0))+1))/((L324-1)*(1-_xlfn.XLOOKUP(K324,'Janeiro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Real'!C3:C15,0))+1))/((L322-1)*(1-_xlfn.XLOOKUP(K322,'Janeiro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Real'!C3:C15,0))+1))/((L323-1)*(1-_xlfn.XLOOKUP(K323,'Janeiro 2023 - Valor Real'!A3:A15,'Janeiro 2023 - Valor Real'!C3:C15,0))+1)+SUM(((L322-1)*(1-_xlfn.XLOOKUP(K322,'Janeiro 2023 - Valor Real'!A3:A15,'Janeiro 2023 - Valor Real'!C3:C15,0))+1),((L323-1)*(1-_xlfn.XLOOKUP(K323,'Janeiro 2023 - Valor Real'!A3:A15,'Janeiro 2023 - Valor Real'!C3:C15,0))+1),((L324-1)*(1-_xlfn.XLOOKUP(K324,'Janeiro 2023 - Valor Real'!A3:A15,'Janeiro 2023 - Valor Real'!C3:C15,0))+1))/((L324-1)*(1-_xlfn.XLOOKUP(K324,'Janeiro 2023 - Valor Real'!A3:A15,'Janeiro 2023 - Valor Real'!C3:C15,0))+1)))</f>
      </c>
      <c r="AF324" s="132">
        <f>IF($K324=AF$3,ROUND(IF(OR($C324="W",$C324="1/2W",$C324="1/2L"),$P324-$O324,IF($C324="X",0,-$O324)),2),0)</f>
        <v>0</v>
      </c>
      <c r="AG324" s="133">
        <f>IF($K324=AG$3,ROUND(IF(OR($C324="W",$C324="1/2W",$C324="1/2L"),$P324-$O324,IF($C324="X",0,-$O324)),2),0)</f>
        <v>0</v>
      </c>
      <c r="AH324" s="133">
        <f>IF($K324=AH$3,ROUND(IF(OR($C324="W",$C324="1/2W",$C324="1/2L"),$P324-$O324,IF($C324="X",0,-$O324)),2),0)</f>
        <v>0</v>
      </c>
      <c r="AI324" s="133">
        <f>IF($K324=AI$3,ROUND(IF(OR($C324="W",$C324="1/2W",$C324="1/2L"),$P324-$O324,IF($C324="X",0,-$O324)),2),0)</f>
        <v>0</v>
      </c>
      <c r="AJ324" s="133">
        <f>IF($K324=AJ$3,ROUND(IF(OR($C324="W",$C324="1/2W",$C324="1/2L"),$P324-$O324,IF($C324="X",0,-$O324)),2),0)</f>
        <v>0</v>
      </c>
      <c r="AK324" s="133">
        <f>IF($K324=AK$3,ROUND(IF(OR($C324="W",$C324="1/2W",$C324="1/2L"),$P324-$O324,IF($C324="X",0,-$O324)),2),0)</f>
        <v>0</v>
      </c>
      <c r="AL324" s="133">
        <f>IF($K324=AL$3,ROUND(IF(OR($C324="W",$C324="1/2W",$C324="1/2L"),$P324-$O324,IF($C324="X",0,-$O324)),2),0)</f>
        <v>0</v>
      </c>
      <c r="AM324" s="133">
        <f>IF($K324=AM$3,ROUND(IF(OR($C324="W",$C324="1/2W",$C324="1/2L"),$P324-$O324,IF($C324="X",0,-$O324)),2),0)</f>
        <v>0</v>
      </c>
      <c r="AN324" s="133">
        <f>IF($K324=AN$3,ROUND(IF(OR($C324="W",$C324="1/2W",$C324="1/2L"),$P324-$O324,IF($C324="X",0,-$O324)),2),0)</f>
        <v>0</v>
      </c>
      <c r="AO324" s="133">
        <f>IF($K324=AO$3,ROUND(IF(OR($C324="W",$C324="1/2W",$C324="1/2L"),$P324-$O324,IF($C324="X",0,-$O324)),2),0)</f>
        <v>0</v>
      </c>
      <c r="AP324" s="133">
        <f>IF($K324=AP$3,ROUND(IF(OR($C324="W",$C324="1/2W",$C324="1/2L"),$P324-$O324,IF($C324="X",0,-$O324)),2),0)</f>
        <v>0</v>
      </c>
      <c r="AQ324" s="133">
        <f>IF($K324=AQ$3,ROUND(IF(OR($C324="W",$C324="1/2W",$C324="1/2L"),$P324-$O324,IF($C324="X",0,-$O324)),2),0)</f>
        <v>0</v>
      </c>
      <c r="AR324" s="134">
        <f>IF($K324=AR$3,ROUND(IF(OR($C324="W",$C324="1/2W",$C324="1/2L"),$P324-$O324,IF($C324="X",0,-$O324)),2),0)</f>
        <v>0</v>
      </c>
      <c r="AS324" s="132">
        <f>IF(AND($B322=" ",$K324=AS$3),$O324,0)</f>
        <v>0</v>
      </c>
      <c r="AT324" s="133">
        <f>IF(AND($B322=" ",K324=AT$3),$O324,0)</f>
        <v>0</v>
      </c>
      <c r="AU324" s="133">
        <f>IF(AND($B322=" ",$K324=AU$3),$O324,0)</f>
        <v>0</v>
      </c>
      <c r="AV324" s="133">
        <f>IF(AND($B322=" ",$K324=AV$3),$O324,0)</f>
        <v>0</v>
      </c>
      <c r="AW324" s="133">
        <f>IF(AND($B322=" ",$K324=AW$3),$O324,0)</f>
        <v>0</v>
      </c>
      <c r="AX324" s="133">
        <f>IF(AND($B322=" ",$K324=AX$3),$O324,0)</f>
        <v>0</v>
      </c>
      <c r="AY324" s="135">
        <f>IF(AND($B322=" ",$K324=AY$3),$O324,0)</f>
        <v>0</v>
      </c>
      <c r="AZ324" s="136">
        <f>IF(AND($B322=" ",$K324=AZ$3),$O324,0)</f>
        <v>0</v>
      </c>
      <c r="BA324" s="136">
        <f>IF(AND($B322=" ",$K324=BA$3),$O324,0)</f>
        <v>0</v>
      </c>
      <c r="BB324" s="136">
        <f>IF(AND($B322=" ",$K324=BB$3),$O324,0)</f>
        <v>0</v>
      </c>
      <c r="BC324" s="137">
        <f>IF(AND($B322=" ",$K324=BC$3),$O324,0)</f>
        <v>0</v>
      </c>
      <c r="BD324" s="133">
        <f>IF(AND($B322=" ",$K324=BD$3),$O324,0)</f>
        <v>0</v>
      </c>
      <c r="BE324" s="134">
        <f>IF(AND($B322=" ",$K324=BE$3),$O324,0)</f>
        <v>0</v>
      </c>
      <c r="BF324" s="132">
        <f>IF($K324=BF$3,IF($C324="X",0,$O324),0)</f>
        <v>0</v>
      </c>
      <c r="BG324" s="281">
        <f>IF($K324=BG$3,IF($C324="X",0,$O324),0)</f>
        <v>0</v>
      </c>
      <c r="BH324" s="133">
        <f>IF($K324=BH$3,IF($C324="X",0,$O324),0)</f>
        <v>0</v>
      </c>
      <c r="BI324" s="133">
        <f>IF($K324=BI$3,IF($C324="X",0,$O324),0)</f>
        <v>0</v>
      </c>
      <c r="BJ324" s="133">
        <f>IF($K324=BJ$3,IF($C324="X",0,$O324),0)</f>
        <v>0</v>
      </c>
      <c r="BK324" s="133">
        <f>IF($K324=BK$3,IF($C324="X",0,$O324),0)</f>
        <v>0</v>
      </c>
      <c r="BL324" s="133">
        <f>IF($K324=BL$3,IF($C324="X",0,$O324),0)</f>
        <v>0</v>
      </c>
      <c r="BM324" s="135">
        <f>IF($K324=BM$3,IF($C324="X",0,$O324),0)</f>
        <v>0</v>
      </c>
      <c r="BN324" s="136">
        <f>IF($K324=BN$3,IF($C324="X",0,$O324),0)</f>
        <v>0</v>
      </c>
      <c r="BO324" s="136">
        <f>IF($K324=BO$3,IF($C324="X",0,$O324),0)</f>
        <v>0</v>
      </c>
      <c r="BP324" s="136">
        <f>IF($K324=BP$3,IF($C324="X",0,$O324),0)</f>
        <v>0</v>
      </c>
      <c r="BQ324" s="137">
        <f>IF($K324=BQ$3,IF($C324="X",0,$O324),0)</f>
        <v>0</v>
      </c>
      <c r="BR324" s="134">
        <f>IF($K324=BR$3,IF($C324="X",0,$O324),0)</f>
        <v>0</v>
      </c>
      <c r="BS324" s="282"/>
      <c r="BT324" s="283"/>
      <c r="BU324" s="140"/>
      <c r="BV324" s="283"/>
      <c r="BW324" s="140"/>
      <c r="BX324" s="140"/>
      <c r="BY324" s="140"/>
      <c r="BZ324" s="283"/>
      <c r="CA324" s="140"/>
      <c r="CB324" s="140"/>
      <c r="CC324" s="140"/>
      <c r="CD324" s="141"/>
      <c r="CE324" s="142"/>
      <c r="CF324" s="284">
        <f>IF(CF$3=$K324,IF($C324="W",1,IF($C324="1/2W",0.5,0)),0)</f>
        <v>0</v>
      </c>
      <c r="CG324" s="285">
        <f>IF(CF$3=$K324,IF($C324="L",1,IF($C324="1/2L",0.5,0)),0)</f>
        <v>0</v>
      </c>
      <c r="CH324" s="285">
        <f>IF(CH$3=$K324,IF($C324="W",1,IF($C324="1/2W",0.5,0)),0)</f>
        <v>0</v>
      </c>
      <c r="CI324" s="285">
        <f>IF(CH$3=$K324,IF($C324="L",1,IF($C324="1/2L",0.5,0)),0)</f>
        <v>0</v>
      </c>
      <c r="CJ324" s="285">
        <f>IF(CJ$3=$K324,IF($C324="W",1,IF($C324="1/2W",0.5,0)),0)</f>
        <v>0</v>
      </c>
      <c r="CK324" s="285">
        <f>IF(CJ$3=$K324,IF($C324="L",1,IF($C324="1/2L",0.5,0)),0)</f>
        <v>0</v>
      </c>
      <c r="CL324" s="285">
        <f>IF(CL$3=$K324,IF($C324="W",1,IF($C324="1/2W",0.5,0)),0)</f>
        <v>0</v>
      </c>
      <c r="CM324" s="285">
        <f>IF(CL$3=$K324,IF($C324="L",1,IF($C324="1/2L",0.5,0)),0)</f>
        <v>0</v>
      </c>
      <c r="CN324" s="285">
        <f>IF(CN$3=$K324,IF($C324="W",1,IF($C324="1/2W",0.5,0)),0)</f>
        <v>0</v>
      </c>
      <c r="CO324" s="285">
        <f>IF(CN$3=$K324,IF($C324="L",1,IF($C324="1/2L",0.5,0)),0)</f>
        <v>0</v>
      </c>
      <c r="CP324" s="285">
        <f>IF(CP$3=$K324,IF($C324="W",1,IF($C324="1/2W",0.5,0)),0)</f>
        <v>0</v>
      </c>
      <c r="CQ324" s="285">
        <f>IF(CP$3=$K324,IF($C324="L",1,IF($C324="1/2L",0.5,0)),0)</f>
        <v>0</v>
      </c>
      <c r="CR324" s="285">
        <f>IF(CR$3=$K324,IF($C324="W",1,IF($C324="1/2W",0.5,0)),0)</f>
        <v>0</v>
      </c>
      <c r="CS324" s="285">
        <f>IF(CR$3=$K324,IF($C324="L",1,IF($C324="1/2L",0.5,0)),0)</f>
        <v>0</v>
      </c>
      <c r="CT324" s="145">
        <f>IF(CT$3=$K324,IF($C324="W",1,IF($C324="1/2W",0.5,0)),0)</f>
        <v>0</v>
      </c>
      <c r="CU324" s="146">
        <f>IF(CT$3=$K324,IF($C324="L",1,IF($C324="1/2L",0.5,0)),0)</f>
        <v>0</v>
      </c>
      <c r="CV324" s="146">
        <f>IF(CV$3=$K324,IF($C324="W",1,IF($C324="1/2W",0.5,0)),0)</f>
        <v>0</v>
      </c>
      <c r="CW324" s="146">
        <f>IF(CV$3=$K324,IF($C324="L",1,IF($C324="1/2L",0.5,0)),0)</f>
        <v>0</v>
      </c>
      <c r="CX324" s="146">
        <f>IF(CX$3=$K324,IF($C324="W",1,IF($C324="1/2W",0.5,0)),0)</f>
        <v>0</v>
      </c>
      <c r="CY324" s="146">
        <f>IF(CX$3=$K324,IF($C324="L",1,IF($C324="1/2L",0.5,0)),0)</f>
        <v>0</v>
      </c>
      <c r="CZ324" s="146">
        <f>IF(CZ$3=$K324,IF($C324="W",1,IF($C324="1/2W",0.5,0)),0)</f>
        <v>0</v>
      </c>
      <c r="DA324" s="146">
        <f>IF(CZ$3=$K324,IF($C324="L",1,IF($C324="1/2L",0.5,0)),0)</f>
        <v>0</v>
      </c>
      <c r="DB324" s="146">
        <f>IF(DB$3=$K324,IF($C324="W",1,IF($C324="1/2W",0.5,0)),0)</f>
        <v>0</v>
      </c>
      <c r="DC324" s="146">
        <f>IF(DB$3=$K324,IF($C324="L",1,IF($C324="1/2L",0.5,0)),0)</f>
        <v>0</v>
      </c>
      <c r="DD324" s="146">
        <f>IF(DD$3=$K324,IF($C324="W",1,IF($C324="1/2W",0.5,0)),0)</f>
        <v>0</v>
      </c>
      <c r="DE324" s="147">
        <f>IF(DD$3=$K324,IF($C324="L",1,IF($C324="1/2L",0.5,0)),0)</f>
        <v>0</v>
      </c>
      <c r="DF324" s="143">
        <f>IF(AND(L324&lt;DF$3,$C324="W"),1+DF323,DF323)</f>
        <v>12</v>
      </c>
      <c r="DG324" s="133">
        <f>IF(DF324&gt;DF323,L324+DG323,DG323)</f>
        <v>15.718</v>
      </c>
      <c r="DH324" s="146">
        <f>IF(AND(L324&gt;DH$3,$C324="W"),1+DH323,0+DH323)</f>
        <v>7</v>
      </c>
      <c r="DI324" s="133">
        <f>IF(DH324&gt;DH323,L324+DI323,DI323)</f>
        <v>34.83</v>
      </c>
      <c r="DJ324" t="s" s="304">
        <f>IF($D322="","",$D322)</f>
        <v>272</v>
      </c>
      <c r="DK324" s="286"/>
    </row>
    <row r="325" ht="14.55" customHeight="1">
      <c r="A325" s="171">
        <f>$A322+1</f>
        <v>108</v>
      </c>
      <c r="B325" t="s" s="172">
        <f>IF(AND(_xlfn.XLOOKUP(H325,H$97:H134,G$97:G134,0)=G325,_xlfn.XLOOKUP("TempoBet",K325:K327,L325:L327,0)&gt;0),"X",IF(OR(C325="W",C326="W",C327="W",C325="1/2W",C326="1/2W",C327="1/2W",C325="1/2L",C326="1/2L",C327="1/2L"),"OK",IF(OR(C325="L",C326="L",C327="L"),"LOSS",IF(OR(C325="X",C326="X",C327="X"),"Anulado"," "))))</f>
        <v>50</v>
      </c>
      <c r="C325" t="s" s="173">
        <v>51</v>
      </c>
      <c r="D325" t="s" s="305">
        <f>IF(G325="","",$D322)</f>
        <v>272</v>
      </c>
      <c r="E325" t="s" s="175">
        <f>IF(G325=""," ","– "&amp;COUNTIF(D$4:D327,$D325))</f>
        <v>121</v>
      </c>
      <c r="F325" t="s" s="176"/>
      <c r="G325" s="177">
        <v>44946.666666666664</v>
      </c>
      <c r="H325" t="s" s="178">
        <v>261</v>
      </c>
      <c r="I325" t="s" s="179">
        <v>54</v>
      </c>
      <c r="J325" s="291">
        <v>-1</v>
      </c>
      <c r="K325" t="s" s="181">
        <v>41</v>
      </c>
      <c r="L325" s="182">
        <v>2.05</v>
      </c>
      <c r="M325" s="183">
        <v>10.71</v>
      </c>
      <c r="N325" s="184">
        <v>0</v>
      </c>
      <c r="O325" s="185">
        <f>IF(OR(AE325="",AE326=""),"",ROUND(IF(L327&gt;0,IF(M325&gt;0,M325,IF(M326&gt;0,ROUND((M326*AE325)/AE326,IF(N325=0,2,IF(N325=0.1,1,0))),ROUND((M327*AE325)/AE327,IF(N325=0,2,IF(N325=0.1,1,0))))),IF(M325&gt;0,M325,ROUND((M326*AE325)/AE326,IF(N325=0,2,IF(N325=0.1,1,0))))),2))</f>
        <v>10.71</v>
      </c>
      <c r="P325" s="186">
        <f>IF(OR(L325="",O325=""),"",IF($C325="1/2W",O325/2+O325/2*L325,IF($C325="1/2L",O325/2,IF(I325="Lay",(O325*(L325/(L325-1))-O325)*(1-_xlfn.XLOOKUP(K325,'Janeiro 2023 - Valor Real'!A3:A15,'Janeiro 2023 - Valor Real'!C3:C15,0))+O325,(O325*L325-O325)*(1-_xlfn.XLOOKUP(K325,'Janeiro 2023 - Valor Real'!A3:A15,'Janeiro 2023 - Valor Real'!C3:C15,0))+O325))))</f>
        <v>21.9555</v>
      </c>
      <c r="Q325" s="187">
        <f>IF(K325="","",IF(_xlfn.XLOOKUP(K325,K$97:K134,DJ$97:DJ134,0,,-1)=DJ325,_xlfn.XLOOKUP(K325,K$97:K134,Q$97:Q134,1,,-1)+1,1))</f>
        <v>1</v>
      </c>
      <c r="R325" s="188">
        <f>IF(K325="","",_xlfn.XLOOKUP(K325,K$97:K134,R$97:R134,0,,-1)+IF($C325=" ",1,0))</f>
        <v>0</v>
      </c>
      <c r="S325" s="189">
        <f>IF($B325="Anulado",0,ROUND(IF(OR($B325="LOSS",$B325="OK"),IF(OR($C325="W",$C325="1/2W",$C325="1/2L"),P325-O325,IF($C325="L",-O325,0))+IF(OR($C326="W",$C326="1/2W",$C326="1/2L"),P326-O326,IF($C326="L",-O326,0))+IF(OR($C327="W",$C327="1/2W",$C327="1/2L"),P327-O327,IF($C327="L",-O327,0)),IF(AND(OR($C325="W",$C325="1/2W",$C325="1/2L"),C326="W"),P325+P326-SUM(O325:O327)+_xlfn.XLOOKUP("X",C325:C327,O325:O327,0),IF(AND(C325=TRUE,C327="W"),P325+P327-SUM(O325:O327),IF(AND(C326="W",C327="W"),P326+P327-SUM(O325:O327)+_xlfn.XLOOKUP("X",C325:C327,O325:O327,0),IF(L327&gt;0,IF(OR($C325="W",$C325="1/2W",$C325="1/2L"),P325-SUM(O325:O327)+_xlfn.XLOOKUP("X",C325:C327,O325:O327,0),IF(OR($C325="W",$C325="1/2W",$C325="1/2L"),P326-SUM(O325:O327)+_xlfn.XLOOKUP("X",C325:C327,O325:O327,0),IF(OR($C325="W",$C325="1/2W",$C325="1/2L"),P327-SUM(O325:O327)+_xlfn.XLOOKUP("X",C325:C327,O325:O327,0),IF(SUM(P325:P327)/3-SUM(O325:O327)+_xlfn.XLOOKUP("X",C325:C327,O325:O327,0)&gt;0,SUM(P325:P327)/3-SUM(O325:O327)+_xlfn.XLOOKUP("X",C325:C327,O325:O327,0),LARGE(P325:P327,1)-SUM(O325:O327))))),IF(OR($C325="W",$C325="1/2W",$C325="1/2L"),P325-SUM(O325:O326)+_xlfn.XLOOKUP("X",C325:C327,O325:O327,0),IF(OR($C325="W",$C325="1/2W",$C325="1/2L"),P326-SUM(O325:O326)+_xlfn.XLOOKUP("X",C325:C327,O325:O327,0),SUM(P325:P326)/2-SUM(O325:O326)+_xlfn.XLOOKUP("X",C325:C327,O325:O327,0)))))))),2))</f>
        <v>0.89</v>
      </c>
      <c r="T325" s="190">
        <f>IF(S325=0,0,S325/SUM(O325:O327))</f>
        <v>0.0422401518747034</v>
      </c>
      <c r="U325" s="191">
        <f>IF($D325=$D322,IF(OR($B325="LOSS",$B325="OK",$B325="Anulada"),S325,0)+U322,IF(OR($B325="LOSS",$B325="OK",$B325="Anulada"),S325,0))</f>
        <v>-5.55</v>
      </c>
      <c r="V325" s="191">
        <f>IF($D325="",0,IF($D325=$D322,IF($B325=" ",IF(I327="",IF(OR(AND(I325="DNB1",I326="DNB2"),AND(OR(I325="DNB1",I325="DNB2"),J326=0),AND(OR(I326="DNB1",I326="DNB2"),J325=0),AND(I325="DNB2",I326="DNB1"),AND(IF(J325=0,(J325+1)/ROUND(J325+1,0),J325/ROUND(J325,0))=1,IF(J326=0,(J326+1)/ROUND(IF(J326="",0,J326)+1,0),IF(J326="",0,J326)/ROUND(IF(J326="",1,J326),0))=1,OR(J325&lt;&gt;""),J326&lt;&gt;"")),0,IF(S325&lt;0,IF(I327="",SMALL(P325:P326,1)-SUM(O325:O326),0),SMALL(P325:P326,1)-SUM(O325:O326))),IF(S325&lt;0,IF(I327="",SMALL(P325:P327,1)-SUM(O325:O327),0),LARGE(P325:P327,1)-SUM(O325:O327))),S325)+V322,IF(I327="",IF(OR(AND(I325="DNB1",I326="DNB2"),AND(OR(I325="DNB1",I325="DNB2"),J326=0),AND(OR(I326="DNB1",I326="DNB2"),J325=0),AND(I325="DNB2",I326="DNB1"),AND(IF(J325=0,(J325+1)/ROUND(J325+1,0),J325/ROUND(J325,0))=1,IF(J326=0,(IF(J326="",0,J326)+1)/ROUND(IF(J326="",0,J326)+1,0),IF(J326="",0,J326)/ROUND(IF(J326="",0,J326)+1,0))=1,OR(J325&lt;&gt;""),J326&lt;&gt;"")),0,IF(S325&lt;0,IF(I327="",SMALL(P325:P326,1)-SUM(O325:O326),0),SMALL(P325:P327,1)-SUM(O325:O327))),IF(S325&lt;0,IF(I327="",SMALL(P325:P327,1)-SUM(O325:O327),0),LARGE(P325:P327,1)-SUM(O325:O327)))))</f>
        <v>-5.585</v>
      </c>
      <c r="W325" s="191">
        <f>IF($D325=$D322,IF(S325&lt;0,IF(I327="",S325,0),S325)+W322,S325)</f>
        <v>-5.55</v>
      </c>
      <c r="X325" t="s" s="192">
        <f>IF(OR(SUM(R325:R327)=0,V325=W325),ROUND(IF(W325=0,0,W325/Y325)*100,2)&amp;"%",ROUND(IF(V325=0,0,V325/Y325)*100,2)&amp;"% a "&amp;ROUND(IF(W325=0,0,W325/Y325)*100,2)&amp;"%")</f>
        <v>285</v>
      </c>
      <c r="Y325" s="193">
        <f>IF($D325=$D322,Y322+SUM(O325:O327),SUM(O325:O327))</f>
        <v>236.78</v>
      </c>
      <c r="Z325" s="191">
        <f>IF($B325=" ",SUM(O325:O327),0)+Z322</f>
        <v>0</v>
      </c>
      <c r="AA325" s="191">
        <f>IF(G325="","",IF($B325="Anulado",LARGE(P325:P327,1)-SUM(O325:O327)+AA322,AA322))</f>
        <v>16.5099</v>
      </c>
      <c r="AB325" s="191">
        <f>IF($D325="","",AB322+S325)</f>
        <v>297.82</v>
      </c>
      <c r="AC325" s="194">
        <f>IF($D325="","",IF($B325=" ",IF(DAY(G325)=DAY(TODAY()),1+AC322,0+AC322),0+AC322))</f>
        <v>0</v>
      </c>
      <c r="AD325" s="195">
        <f>(((L326/(L326-1)-1)*(1-_xlfn.XLOOKUP(K326,'Janeiro 2023 - Valor Real'!A3:A15,'Janeiro 2023 - Valor Real'!C3:C15,0))+1))/(((L325-1)*(1-_xlfn.XLOOKUP(K325,'Janeiro 2023 - Valor Real'!A3:A15,'Janeiro 2023 - Valor Real'!C3:C15,0))+1)+((L326/(L326-1)-1)*(1-_xlfn.XLOOKUP(K326,'Janeiro 2023 - Valor Real'!A3:A15,'Janeiro 2023 - Valor Real'!C3:C15,0))+1))</f>
        <v>0.480072463768116</v>
      </c>
      <c r="AE325" s="196">
        <f>IF(L325="","",IF(L327&gt;0,(SUM(((L325-1)*(1-_xlfn.XLOOKUP(K325,'Janeiro 2023 - Valor Real'!A3:A15,'Janeiro 2023 - Valor Real'!C3:C15,0))+1),((L326-1)*(1-_xlfn.XLOOKUP(K326,'Janeiro 2023 - Valor Real'!A3:A15,'Janeiro 2023 - Valor Real'!C3:C15,0))+1),((L327-1)*(1-_xlfn.XLOOKUP(K327,'Janeiro 2023 - Valor Real'!A3:A15,'Janeiro 2023 - Valor Real'!C3:C15,0))+1))/((L325-1)*(1-_xlfn.XLOOKUP(K325,'Janeiro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Real'!C3:C15,0))+1))/((L325-1)*(1-_xlfn.XLOOKUP(K325,'Janeiro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Real'!C3:C15,0))+1))/((L326-1)*(1-_xlfn.XLOOKUP(K326,'Janeiro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Real'!C3:C15,0))+1))/((L327-1)*(1-_xlfn.XLOOKUP(K327,'Janeiro 2023 - Valor Real'!A3:A15,'Janeiro 2023 - Valor Real'!C3:C15,0))+1)),IF(I325="Lay",IF(I326="Lay",((L326/(L326-1)-1)*(1-_xlfn.XLOOKUP(K326,'Janeiro 2023 - Valor Real'!A3:A15,'Janeiro 2023 - Valor Real'!C3:C15,0))+1)/(((L326/(L326-1)-1)*(1-_xlfn.XLOOKUP(K326,'Janeiro 2023 - Valor Real'!A3:A15,'Janeiro 2023 - Valor Real'!C3:C15,0))+1)+((L325/(L325-1)-1)*(1-_xlfn.XLOOKUP(K325,'Janeiro 2023 - Valor Real'!A3:A15,'Janeiro 2023 - Valor Real'!C3:C15,0))+1)),((L326-1)*(1-_xlfn.XLOOKUP(K326,'Janeiro 2023 - Valor Real'!A3:A15,'Janeiro 2023 - Valor Real'!C3:C15,0))+1)/(((L326-1)*(1-_xlfn.XLOOKUP(K326,'Janeiro 2023 - Valor Real'!A3:A15,'Janeiro 2023 - Valor Real'!C3:C15,0))+1)+((L325/(L325-1)-1)*(1-_xlfn.XLOOKUP(K325,'Janeiro 2023 - Valor Real'!A3:A15,'Janeiro 2023 - Valor Real'!C3:C15,0))+1))),IF(I326="Lay",(((L326/(L326-1)-1)*(1-_xlfn.XLOOKUP(K326,'Janeiro 2023 - Valor Real'!A3:A15,'Janeiro 2023 - Valor Real'!C3:C15,0))+1))/(((L325-1)*(1-_xlfn.XLOOKUP(K325,'Janeiro 2023 - Valor Real'!A3:A15,'Janeiro 2023 - Valor Real'!C3:C15,0))+1)+((L326/(L326-1)-1)*(1-_xlfn.XLOOKUP(K326,'Janeiro 2023 - Valor Real'!A3:A15,'Janeiro 2023 - Valor Real'!C3:C15,0))+1)),((L326-1)*(1-_xlfn.XLOOKUP(K326,'Janeiro 2023 - Valor Real'!A3:A15,'Janeiro 2023 - Valor Real'!C3:C15,0))+1)/(((L326-1)*(1-_xlfn.XLOOKUP(K326,'Janeiro 2023 - Valor Real'!A3:A15,'Janeiro 2023 - Valor Real'!C3:C15,0))+1)+((L325-1)*(1-_xlfn.XLOOKUP(K325,'Janeiro 2023 - Valor Real'!A3:A15,'Janeiro 2023 - Valor Real'!C3:C15,0))+1))))))</f>
        <v>0.508393285371703</v>
      </c>
      <c r="AF325" s="197">
        <f>IF($K325=AF$3,ROUND(IF(OR($C325="W",$C325="1/2W",$C325="1/2L"),$P325-$O325,IF($C325="X",0,-$O325)),2),0)</f>
        <v>0</v>
      </c>
      <c r="AG325" s="198">
        <f>IF($K325=AG$3,ROUND(IF(OR($C325="W",$C325="1/2W",$C325="1/2L"),$P325-$O325,IF($C325="X",0,-$O325)),2),0)</f>
        <v>0</v>
      </c>
      <c r="AH325" s="198">
        <f>IF($K325=AH$3,ROUND(IF(OR($C325="W",$C325="1/2W",$C325="1/2L"),$P325-$O325,IF($C325="X",0,-$O325)),2),0)</f>
        <v>0</v>
      </c>
      <c r="AI325" s="198">
        <f>IF($K325=AI$3,ROUND(IF(OR($C325="W",$C325="1/2W",$C325="1/2L"),$P325-$O325,IF($C325="X",0,-$O325)),2),0)</f>
        <v>0</v>
      </c>
      <c r="AJ325" s="198">
        <f>IF($K325=AJ$3,ROUND(IF(OR($C325="W",$C325="1/2W",$C325="1/2L"),$P325-$O325,IF($C325="X",0,-$O325)),2),0)</f>
        <v>-10.71</v>
      </c>
      <c r="AK325" s="198">
        <f>IF($K325=AK$3,ROUND(IF(OR($C325="W",$C325="1/2W",$C325="1/2L"),$P325-$O325,IF($C325="X",0,-$O325)),2),0)</f>
        <v>0</v>
      </c>
      <c r="AL325" s="198">
        <f>IF($K325=AL$3,ROUND(IF(OR($C325="W",$C325="1/2W",$C325="1/2L"),$P325-$O325,IF($C325="X",0,-$O325)),2),0)</f>
        <v>0</v>
      </c>
      <c r="AM325" s="198">
        <f>IF($K325=AM$3,ROUND(IF(OR($C325="W",$C325="1/2W",$C325="1/2L"),$P325-$O325,IF($C325="X",0,-$O325)),2),0)</f>
        <v>0</v>
      </c>
      <c r="AN325" s="198">
        <f>IF($K325=AN$3,ROUND(IF(OR($C325="W",$C325="1/2W",$C325="1/2L"),$P325-$O325,IF($C325="X",0,-$O325)),2),0)</f>
        <v>0</v>
      </c>
      <c r="AO325" s="198">
        <f>IF($K325=AO$3,ROUND(IF(OR($C325="W",$C325="1/2W",$C325="1/2L"),$P325-$O325,IF($C325="X",0,-$O325)),2),0)</f>
        <v>0</v>
      </c>
      <c r="AP325" s="198">
        <f>IF($K325=AP$3,ROUND(IF(OR($C325="W",$C325="1/2W",$C325="1/2L"),$P325-$O325,IF($C325="X",0,-$O325)),2),0)</f>
        <v>0</v>
      </c>
      <c r="AQ325" s="198">
        <f>IF($K325=AQ$3,ROUND(IF(OR($C325="W",$C325="1/2W",$C325="1/2L"),$P325-$O325,IF($C325="X",0,-$O325)),2),0)</f>
        <v>0</v>
      </c>
      <c r="AR325" s="199">
        <f>IF($K325=AR$3,ROUND(IF(OR($C325="W",$C325="1/2W",$C325="1/2L"),$P325-$O325,IF($C325="X",0,-$O325)),2),0)</f>
        <v>0</v>
      </c>
      <c r="AS325" s="197">
        <f>IF(AND($B325=" ",$K325=AS$3),$O325,0)</f>
        <v>0</v>
      </c>
      <c r="AT325" s="198">
        <f>IF(AND($B325=" ",$K325=AT$3),$O325,0)</f>
        <v>0</v>
      </c>
      <c r="AU325" s="198">
        <f>IF(AND($B325=" ",$K325=AU$3),$O325,0)</f>
        <v>0</v>
      </c>
      <c r="AV325" s="198">
        <f>IF(AND($B325=" ",$K325=AV$3),$O325,0)</f>
        <v>0</v>
      </c>
      <c r="AW325" s="198">
        <f>IF(AND($B325=" ",$K325=AW$3),$O325,0)</f>
        <v>0</v>
      </c>
      <c r="AX325" s="198">
        <f>IF(AND($B325=" ",$K325=AX$3),$O325,0)</f>
        <v>0</v>
      </c>
      <c r="AY325" s="200">
        <f>IF(AND($B325=" ",$K325=AY$3),$O325,0)</f>
        <v>0</v>
      </c>
      <c r="AZ325" s="201">
        <f>IF(AND($B325=" ",$K325=AZ$3),$O325,0)</f>
        <v>0</v>
      </c>
      <c r="BA325" s="201">
        <f>IF(AND($B325=" ",$K325=BA$3),$O325,0)</f>
        <v>0</v>
      </c>
      <c r="BB325" s="201">
        <f>IF(AND($B325=" ",$K325=BB$3),$O325,0)</f>
        <v>0</v>
      </c>
      <c r="BC325" s="202">
        <f>IF(AND($B325=" ",$K325=BC$3),$O325,0)</f>
        <v>0</v>
      </c>
      <c r="BD325" s="198">
        <f>IF(AND($B325=" ",$K325=BD$3),$O325,0)</f>
        <v>0</v>
      </c>
      <c r="BE325" s="199">
        <f>IF(AND($B325=" ",$K325=BE$3),$O325,0)</f>
        <v>0</v>
      </c>
      <c r="BF325" s="203">
        <f>IF($K325=BF$3,IF($C325="X",0,$O325),0)</f>
        <v>0</v>
      </c>
      <c r="BG325" s="198">
        <f>IF($K325=BG$3,IF($C325="X",0,$O325),0)</f>
        <v>0</v>
      </c>
      <c r="BH325" s="198">
        <f>IF($K325=BH$3,IF($C325="X",0,$O325),0)</f>
        <v>0</v>
      </c>
      <c r="BI325" s="198">
        <f>IF($K325=BI$3,IF($C325="X",0,$O325),0)</f>
        <v>0</v>
      </c>
      <c r="BJ325" s="198">
        <f>IF($K325=BJ$3,IF($C325="X",0,$O325),0)</f>
        <v>10.71</v>
      </c>
      <c r="BK325" s="198">
        <f>IF($K325=BK$3,IF($C325="X",0,$O325),0)</f>
        <v>0</v>
      </c>
      <c r="BL325" s="198">
        <f>IF($K325=BL$3,IF($C325="X",0,$O325),0)</f>
        <v>0</v>
      </c>
      <c r="BM325" s="200">
        <f>IF($K325=BM$3,IF($C325="X",0,$O325),0)</f>
        <v>0</v>
      </c>
      <c r="BN325" s="201">
        <f>IF($K325=BN$3,IF($C325="X",0,$O325),0)</f>
        <v>0</v>
      </c>
      <c r="BO325" s="201">
        <f>IF($K325=BO$3,IF($C325="X",0,$O325),0)</f>
        <v>0</v>
      </c>
      <c r="BP325" s="201">
        <f>IF($K325=BP$3,IF($C325="X",0,$O325),0)</f>
        <v>0</v>
      </c>
      <c r="BQ325" s="202">
        <f>IF($K325=BQ$3,IF($C325="X",0,$O325),0)</f>
        <v>0</v>
      </c>
      <c r="BR325" s="199">
        <f>IF($K325=BR$3,IF($C325="X",0,$O325),0)</f>
        <v>0</v>
      </c>
      <c r="BS325" s="204">
        <f>IF($B325="LOSS",IF(AND($K325=BS$3,$C325="L"),-$O325,0)+IF(AND($K326=BS$3,$C326="L"),-$O326,0)+IF(AND($K327=BS$3,$C327="L"),-$O327,0),IF(OR(AND($K325=BS$3,OR($C325="W",$C325="1/2W")),AND($K326=BS$3,OR($C326="W",$C326="1/2W")),AND($K327=BS$3,OR($C327="W",$C327="1/2W"))),$S325,0))</f>
        <v>0</v>
      </c>
      <c r="BT325" s="201">
        <f>IF($B325="LOSS",IF(AND($K325=BT$3,$C325="L"),-$O325,0)+IF(AND($K326=BT$3,$C326="L"),-$O326,0)+IF(AND($K326=BT$3,$C327="L"),-$O327,0),IF(OR(AND($K326=BT$3,OR($C325="W",$C325="1/2W")),AND($K326=BT$3,OR($C326="W",$C326="1/2W")),AND($K326=BT$3,OR($C327="W",$C327="1/2W"))),$S325,0))</f>
        <v>0</v>
      </c>
      <c r="BU325" s="201">
        <f>IF($B325="LOSS",IF(AND($K325=BU$3,$C325="L"),-$O325,0)+IF(AND($K326=BU$3,$C326="L"),-$O326,0)+IF(AND($K326=BU$3,$C327="L"),-$O327,0),IF(OR(AND($K326=BU$3,OR($C325="W",$C325="1/2W")),AND($K326=BU$3,OR($C326="W",$C326="1/2W")),AND($K326=BU$3,OR($C327="W",$C327="1/2W"))),$S325,0))</f>
        <v>0</v>
      </c>
      <c r="BV325" s="201">
        <f>IF($B325="LOSS",IF(AND($K325=BV$3,$C325="L"),-$O325,0)+IF(AND($K326=BV$3,$C326="L"),-$O326,0)+IF(AND($K327=BV$3,$C327="L"),-$O327,0),IF(OR(AND($K325=BV$3,OR($C325="W",$C325="1/2W")),AND($K326=BV$3,OR($C326="W",$C326="1/2W")),AND($K327=BV$3,OR($C327="W",$C327="1/2W"))),$S325,0))</f>
        <v>0</v>
      </c>
      <c r="BW325" s="201">
        <f>IF($B325="LOSS",IF(AND($K325=BW$3,$C325="L"),-$O325,0)+IF(AND($K326=BW$3,$C326="L"),-$O326,0)+IF(AND($K327=BW$3,$C327="L"),-$O327,0),IF(OR(AND($K325=BW$3,OR($C325="W",$C325="1/2W")),AND($K326=BW$3,OR($C326="W",$C326="1/2W")),AND($K327=BW$3,OR($C327="W",$C327="1/2W"))),$S325,0))</f>
        <v>0</v>
      </c>
      <c r="BX325" s="201">
        <f>IF($B325="LOSS",IF(AND($K325=BX$3,$C325="L"),-$O325,0)+IF(AND($K326=BX$3,$C326="L"),-$O326,0)+IF(AND($K327=BX$3,$C327="L"),-$O327,0),IF(OR(AND($K325=BX$3,OR($C325="W",$C325="1/2W")),AND($K326=BX$3,OR($C326="W",$C326="1/2W")),AND($K327=BX$3,OR($C327="W",$C327="1/2W"))),$S325,0))</f>
        <v>0</v>
      </c>
      <c r="BY325" s="201">
        <f>IF($B325="LOSS",IF(AND($K325=BY$3,$C325="L"),-$O325,0)+IF(AND($K326=BY$3,$C326="L"),-$O326,0)+IF(AND($K327=BY$3,$C327="L"),-$O327,0),IF(OR(AND($K325=BY$3,OR($C325="W",$C325="1/2W")),AND($K326=BY$3,OR($C326="W",$C326="1/2W")),AND($K327=BY$3,OR($C327="W",$C327="1/2W"))),$S325,0))</f>
        <v>0</v>
      </c>
      <c r="BZ325" s="205">
        <f>IF($B325="LOSS",IF(AND($K325=BZ$3,$C325="L"),-$O325,0)+IF(AND($K326=BZ$3,$C326="L"),-$O326,0)+IF(AND($K327=BZ$3,$C327="L"),-$O327,0),IF(OR(AND($K325=BZ$3,OR($C325="W",$C325="1/2W")),AND($K326=BZ$3,OR($C326="W",$C326="1/2W")),AND($K327=BZ$3,OR($C327="W",$C327="1/2W"))),$S325,0))</f>
        <v>0.89</v>
      </c>
      <c r="CA325" s="205">
        <f>IF($B325="LOSS",IF(AND($K325=CA$3,$C325="L"),-$O325,0)+IF(AND($K326=CA$3,$C326="L"),-$O326,0)+IF(AND($K327=CA$3,$C327="L"),-$O327,0),IF(OR(AND($K325=CA$3,OR($C325="W",$C325="1/2W")),AND($K326=CA$3,OR($C326="W",$C326="1/2W")),AND($K327=CA$3,OR($C327="W",$C327="1/2W"))),$S325,0))</f>
        <v>0</v>
      </c>
      <c r="CB325" s="205">
        <f>IF($B325="LOSS",IF(AND($K325=CB$3,$C325="L"),-$O325,0)+IF(AND($K326=CB$3,$C326="L"),-$O326,0)+IF(AND($K327=CB$3,$C327="L"),-$O327,0),IF(OR(AND($K325=CB$3,OR($C325="W",$C325="1/2W")),AND($K326=CB$3,OR($C326="W",$C326="1/2W")),AND($K327=CB$3,OR($C327="W",$C327="1/2W"))),$S325,0))</f>
        <v>0</v>
      </c>
      <c r="CC325" s="205">
        <f>IF($B325="LOSS",IF(AND($K325=CC$3,$C325="L"),-$O325,0)+IF(AND($K326=CC$3,$C326="L"),-$O326,0)+IF(AND($K327=CC$3,$C327="L"),-$O327,0),IF(OR(AND($K325=CC$3,OR($C325="W",$C325="1/2W")),AND($K326=CC$3,OR($C326="W",$C326="1/2W")),AND($K327=CC$3,OR($C327="W",$C327="1/2W"))),$S325,0))</f>
        <v>0</v>
      </c>
      <c r="CD325" s="202">
        <f>IF($B325="LOSS",IF(AND($K325=CD$3,$C325="L"),-$O325,0)+IF(AND($K326=CD$3,$C326="L"),-$O326,0)+IF(AND($K327=CD$3,$C327="L"),-$O327,0),IF(OR(AND($K325=CD$3,OR($C325="W",$C325="1/2W")),AND($K326=CD$3,OR($C326="W",$C326="1/2W")),AND($K327=CD$3,OR($C327="W",$C327="1/2W"))),$S325,0))</f>
        <v>0</v>
      </c>
      <c r="CE325" s="199">
        <f>IF($B325="LOSS",IF(AND($K325=CE$3,$C325="L"),-$O325,0)+IF(AND($K326=CE$3,$C326="L"),-$O326,0)+IF(AND($K327=CE$3,$C327="L"),-$O327,0),IF(OR(AND($K325=CE$3,OR($C325="W",$C325="1/2W")),AND($K326=CE$3,OR($C326="W",$C326="1/2W")),AND($K327=CE$3,OR($C327="W",$C327="1/2W"))),$S325,0))</f>
        <v>0</v>
      </c>
      <c r="CF325" s="206">
        <f>IF(CF$3=$K325,IF($C325="W",1,IF($C325="1/2W",0.5,0)),0)</f>
        <v>0</v>
      </c>
      <c r="CG325" s="207">
        <f>IF(CF$3=$K325,IF($C325="L",1,IF($C325="1/2L",0.5,0)),0)</f>
        <v>0</v>
      </c>
      <c r="CH325" s="207">
        <f>IF(CH$3=$K325,IF($C325="W",1,IF($C325="1/2W",0.5,0)),0)</f>
        <v>0</v>
      </c>
      <c r="CI325" s="207">
        <f>IF(CH$3=$K325,IF($C325="L",1,IF($C325="1/2L",0.5,0)),0)</f>
        <v>0</v>
      </c>
      <c r="CJ325" s="207">
        <f>IF(CJ$3=$K325,IF($C325="W",1,IF($C325="1/2W",0.5,0)),0)</f>
        <v>0</v>
      </c>
      <c r="CK325" s="207">
        <f>IF(CJ$3=$K325,IF($C325="L",1,IF($C325="1/2L",0.5,0)),0)</f>
        <v>0</v>
      </c>
      <c r="CL325" s="207">
        <f>IF(CL$3=$K325,IF($C325="W",1,IF($C325="1/2W",0.5,0)),0)</f>
        <v>0</v>
      </c>
      <c r="CM325" s="207">
        <f>IF(CL$3=$K325,IF($C325="L",1,IF($C325="1/2L",0.5,0)),0)</f>
        <v>0</v>
      </c>
      <c r="CN325" s="207">
        <f>IF(CN$3=$K325,IF($C325="W",1,IF($C325="1/2W",0.5,0)),0)</f>
        <v>0</v>
      </c>
      <c r="CO325" s="207">
        <f>IF(CN$3=$K325,IF($C325="L",1,IF($C325="1/2L",0.5,0)),0)</f>
        <v>1</v>
      </c>
      <c r="CP325" s="207">
        <f>IF(CP$3=$K325,IF($C325="W",1,IF($C325="1/2W",0.5,0)),0)</f>
        <v>0</v>
      </c>
      <c r="CQ325" s="207">
        <f>IF(CP$3=$K325,IF($C325="L",1,IF($C325="1/2L",0.5,0)),0)</f>
        <v>0</v>
      </c>
      <c r="CR325" s="207">
        <f>IF(CR$3=$K325,IF($C325="W",1,IF($C325="1/2W",0.5,0)),0)</f>
        <v>0</v>
      </c>
      <c r="CS325" s="207">
        <f>IF(CR$3=$K325,IF($C325="L",1,IF($C325="1/2L",0.5,0)),0)</f>
        <v>0</v>
      </c>
      <c r="CT325" s="208">
        <f>IF(CT$3=$K325,IF($C325="W",1,IF($C325="1/2W",0.5,0)),0)</f>
        <v>0</v>
      </c>
      <c r="CU325" s="209">
        <f>IF(CT$3=$K325,IF($C325="L",1,IF($C325="1/2L",0.5,0)),0)</f>
        <v>0</v>
      </c>
      <c r="CV325" s="209">
        <f>IF(CV$3=$K325,IF($C325="W",1,IF($C325="1/2W",0.5,0)),0)</f>
        <v>0</v>
      </c>
      <c r="CW325" s="209">
        <f>IF(CV$3=$K325,IF($C325="L",1,IF($C325="1/2L",0.5,0)),0)</f>
        <v>0</v>
      </c>
      <c r="CX325" s="209">
        <f>IF(CX$3=$K325,IF($C325="W",1,IF($C325="1/2W",0.5,0)),0)</f>
        <v>0</v>
      </c>
      <c r="CY325" s="209">
        <f>IF(CX$3=$K325,IF($C325="L",1,IF($C325="1/2L",0.5,0)),0)</f>
        <v>0</v>
      </c>
      <c r="CZ325" s="209">
        <f>IF(CZ$3=$K325,IF($C325="W",1,IF($C325="1/2W",0.5,0)),0)</f>
        <v>0</v>
      </c>
      <c r="DA325" s="209">
        <f>IF(CZ$3=$K325,IF($C325="L",1,IF($C325="1/2L",0.5,0)),0)</f>
        <v>0</v>
      </c>
      <c r="DB325" s="209">
        <f>IF(DB$3=$K325,IF($C325="W",1,IF($C325="1/2W",0.5,0)),0)</f>
        <v>0</v>
      </c>
      <c r="DC325" s="209">
        <f>IF(DB$3=$K325,IF($C325="L",1,IF($C325="1/2L",0.5,0)),0)</f>
        <v>0</v>
      </c>
      <c r="DD325" s="209">
        <f>IF(DD$3=$K325,IF($C325="W",1,IF($C325="1/2W",0.5,0)),0)</f>
        <v>0</v>
      </c>
      <c r="DE325" s="210">
        <f>IF(DD$3=$K325,IF($C325="L",1,IF($C325="1/2L",0.5,0)),0)</f>
        <v>0</v>
      </c>
      <c r="DF325" s="211">
        <f>IF(AND(L325&lt;DF$3,$C325="W"),1+DF324,DF324)</f>
        <v>12</v>
      </c>
      <c r="DG325" s="198">
        <f>IF(DF325&gt;DF324,L325+DG324,DG324)</f>
        <v>15.718</v>
      </c>
      <c r="DH325" s="209">
        <f>IF(AND(L325&gt;DH$3,$C325="W"),1+DH324,0+DH324)</f>
        <v>7</v>
      </c>
      <c r="DI325" s="198">
        <f>IF(DH325&gt;DH324,L325+DI324,DI324)</f>
        <v>34.83</v>
      </c>
      <c r="DJ325" t="s" s="306">
        <f>IF($D325="","",$D325)</f>
        <v>272</v>
      </c>
      <c r="DK325" s="209">
        <f>IF(AND($B325=" ",$D325&lt;&gt;""),1,0)</f>
        <v>0</v>
      </c>
    </row>
    <row r="326" ht="14.55" customHeight="1">
      <c r="A326" s="107"/>
      <c r="B326" s="108"/>
      <c r="C326" t="s" s="213">
        <v>56</v>
      </c>
      <c r="D326" s="110"/>
      <c r="E326" s="111"/>
      <c r="F326" s="113"/>
      <c r="G326" s="214"/>
      <c r="H326" s="114"/>
      <c r="I326" t="s" s="215">
        <v>57</v>
      </c>
      <c r="J326" s="296">
        <f>IF(OR(I325="TO",I325="TU",I325="TO1",I325="TU1",I325="TO2",I325="TU2"),J325,IF(OR(I325="AH1",I325="AH2"),IF(OR(I326="AH1",I326="AH2"),-J325,IF(OR(I326="EH1",I326="EH2"),-J325+0.5,"")),IF(OR(I325="EH1",I325="EH2"),IF(OR(I326="AH1",I326="AH2"),-J325+0.5,IF(OR(I326="EH1",I326="EH2"),-J325+1,"")),IF(AND(OR(I325="DNB1",I325="DNB2"),OR(I326="AH1",I326="AH2")),0,IF(AND(I325="Not ScoreBoth",OR(I326="TO1",I326="TO2")),0.5,"")))))</f>
        <v>1</v>
      </c>
      <c r="K326" t="s" s="217">
        <v>44</v>
      </c>
      <c r="L326" s="218">
        <v>2.12</v>
      </c>
      <c r="M326" s="219"/>
      <c r="N326" s="120"/>
      <c r="O326" s="220">
        <f>IF(OR(AE325="",AE326=""),"",ROUND(IF(L327&gt;0,IF(M326&gt;0,M326,IF(M325&gt;0,IF(N325=TRUE,ROUND((M325*AE326)/AE325,0),(M325*AE326)/AE325),IF(M326&gt;0,ROUND(M326,IF(N325=0,2,IF(N325=0.1,1,0))),IF(M327&gt;0,ROUND(O327*AE326/AE327,IF(N325=0,2,IF(N325=0.1,1,0))),0)))),IF(M326&gt;0,M326,ROUND((M325*AE326)/AE325,IF(N325=0,2,IF(N325=0.1,1,0))))),2))</f>
        <v>10.36</v>
      </c>
      <c r="P326" s="221">
        <f>IF(OR(L326="",O326=""),"",IF($C326="1/2W",O326/2+O326/2*L326,IF($C326="1/2L",O326/2,IF(I326="Lay",((O326*(L326/(L326-1)))-O326)*(1-_xlfn.XLOOKUP(K326,'Janeiro 2023 - Valor Real'!A3:A15,'Janeiro 2023 - Valor Real'!C3:C15,0))+O326,(O326*L326-O326)*(1-_xlfn.XLOOKUP(K326,'Janeiro 2023 - Valor Real'!A3:A15,'Janeiro 2023 - Valor Real'!C3:C15,0))+O326))))</f>
        <v>21.9632</v>
      </c>
      <c r="Q326" s="222">
        <f>IF(K326="","",IF(_xlfn.XLOOKUP(K326,K$98:K135,DJ$98:DJ135,0,,-1)=DJ326,_xlfn.XLOOKUP(K326,K$98:K135,Q$98:Q135,1,,-1)+1,1))</f>
        <v>1</v>
      </c>
      <c r="R326" s="223">
        <f>IF(K326="","",_xlfn.XLOOKUP(K326,K$98:K135,R$98:R135,0,,-1)+IF($C326=" ",1,0))</f>
        <v>0</v>
      </c>
      <c r="S326" s="125"/>
      <c r="T326" s="126"/>
      <c r="U326" s="126"/>
      <c r="V326" s="224"/>
      <c r="W326" s="126"/>
      <c r="X326" s="127"/>
      <c r="Y326" s="128"/>
      <c r="Z326" s="129"/>
      <c r="AA326" s="129"/>
      <c r="AB326" s="129"/>
      <c r="AC326" s="129"/>
      <c r="AD326" s="225">
        <f>(((L326/(L326-1)-1)*(1-_xlfn.XLOOKUP(K326,'Janeiro 2023 - Valor Real'!A3:A15,'Janeiro 2023 - Valor Real'!C3:C15,0))+1))</f>
        <v>1.89285714285714</v>
      </c>
      <c r="AE326" s="226">
        <f>IF(L326="","",IF(L327&gt;0,(SUM(((L325-1)*(1-_xlfn.XLOOKUP(K325,'Janeiro 2023 - Valor Real'!A3:A15,'Janeiro 2023 - Valor Real'!C3:C15,0))+1),((L326-1)*(1-_xlfn.XLOOKUP(K326,'Janeiro 2023 - Valor Real'!A3:A15,'Janeiro 2023 - Valor Real'!C3:C15,0))+1),((L327-1)*(1-_xlfn.XLOOKUP(K327,'Janeiro 2023 - Valor Real'!A3:A15,'Janeiro 2023 - Valor Real'!C3:C15,0))+1))/((L326-1)*(1-_xlfn.XLOOKUP(K326,'Janeiro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Real'!C3:C15,0))+1))/((L325-1)*(1-_xlfn.XLOOKUP(K325,'Janeiro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Real'!C3:C15,0))+1))/((L326-1)*(1-_xlfn.XLOOKUP(K326,'Janeiro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Real'!C3:C15,0))+1))/((L327-1)*(1-_xlfn.XLOOKUP(K327,'Janeiro 2023 - Valor Real'!A3:A15,'Janeiro 2023 - Valor Real'!C3:C15,0))+1)),IF(I326="Lay",IF(I325="Lay",((L325/(L325-1)-1)*(1-_xlfn.XLOOKUP(K325,'Janeiro 2023 - Valor Real'!A3:A15,'Janeiro 2023 - Valor Real'!C3:C15,0))+1)/(((L325/(L325-1)-1)*(1-_xlfn.XLOOKUP(K325,'Janeiro 2023 - Valor Real'!A3:A15,'Janeiro 2023 - Valor Real'!C3:C15,0))+1)+((L326/(L326-1)-1)*(1-_xlfn.XLOOKUP(K326,'Janeiro 2023 - Valor Real'!A3:A15,'Janeiro 2023 - Valor Real'!C3:C15,0))+1)),((L325-1)*(1-_xlfn.XLOOKUP(K325,'Janeiro 2023 - Valor Real'!A3:A15,'Janeiro 2023 - Valor Real'!C3:C15,0))+1)/(((L325-1)*(1-_xlfn.XLOOKUP(K325,'Janeiro 2023 - Valor Real'!A3:A15,'Janeiro 2023 - Valor Real'!C3:C15,0))+1)+((L326/(L326-1)-1)*(1-_xlfn.XLOOKUP(K326,'Janeiro 2023 - Valor Real'!A3:A15,'Janeiro 2023 - Valor Real'!C3:C15,0))+1))),IF(I325="Lay",((L325/(L325-1)-1)*(1-_xlfn.XLOOKUP(K325,'Janeiro 2023 - Valor Real'!A3:A15,'Janeiro 2023 - Valor Real'!C3:C15,0))+1)/((((L325/(L325-1)-1)*(1-_xlfn.XLOOKUP(K325,'Janeiro 2023 - Valor Real'!A3:A15,'Janeiro 2023 - Valor Real'!C3:C15,0))+1))+((L326-1)*(1-_xlfn.XLOOKUP(K326,'Janeiro 2023 - Valor Real'!A3:A15,'Janeiro 2023 - Valor Real'!C3:C15,0))+1)),((L325-1)*(1-_xlfn.XLOOKUP(K325,'Janeiro 2023 - Valor Real'!A3:A15,'Janeiro 2023 - Valor Real'!C3:C15,0))+1)/(((L325-1)*(1-_xlfn.XLOOKUP(K325,'Janeiro 2023 - Valor Real'!A3:A15,'Janeiro 2023 - Valor Real'!C3:C15,0))+1)+((L326-1)*(1-_xlfn.XLOOKUP(K326,'Janeiro 2023 - Valor Real'!A3:A15,'Janeiro 2023 - Valor Real'!C3:C15,0))+1))))))</f>
        <v>0.491606714628297</v>
      </c>
      <c r="AF326" s="197">
        <f>IF($K326=AF$3,ROUND(IF(OR($C326="W",$C326="1/2W",$C326="1/2L"),$P326-$O326,IF($C326="X",0,-$O326)),2),0)</f>
        <v>0</v>
      </c>
      <c r="AG326" s="198">
        <f>IF($K326=AG$3,ROUND(IF(OR($C326="W",$C326="1/2W",$C326="1/2L"),$P326-$O326,IF($C326="X",0,-$O326)),2),0)</f>
        <v>0</v>
      </c>
      <c r="AH326" s="198">
        <f>IF($K326=AH$3,ROUND(IF(OR($C326="W",$C326="1/2W",$C326="1/2L"),$P326-$O326,IF($C326="X",0,-$O326)),2),0)</f>
        <v>0</v>
      </c>
      <c r="AI326" s="198">
        <f>IF($K326=AI$3,ROUND(IF(OR($C326="W",$C326="1/2W",$C326="1/2L"),$P326-$O326,IF($C326="X",0,-$O326)),2),0)</f>
        <v>0</v>
      </c>
      <c r="AJ326" s="198">
        <f>IF($K326=AJ$3,ROUND(IF(OR($C326="W",$C326="1/2W",$C326="1/2L"),$P326-$O326,IF($C326="X",0,-$O326)),2),0)</f>
        <v>0</v>
      </c>
      <c r="AK326" s="198">
        <f>IF($K326=AK$3,ROUND(IF(OR($C326="W",$C326="1/2W",$C326="1/2L"),$P326-$O326,IF($C326="X",0,-$O326)),2),0)</f>
        <v>0</v>
      </c>
      <c r="AL326" s="198">
        <f>IF($K326=AL$3,ROUND(IF(OR($C326="W",$C326="1/2W",$C326="1/2L"),$P326-$O326,IF($C326="X",0,-$O326)),2),0)</f>
        <v>0</v>
      </c>
      <c r="AM326" s="198">
        <f>IF($K326=AM$3,ROUND(IF(OR($C326="W",$C326="1/2W",$C326="1/2L"),$P326-$O326,IF($C326="X",0,-$O326)),2),0)</f>
        <v>11.6</v>
      </c>
      <c r="AN326" s="198">
        <f>IF($K326=AN$3,ROUND(IF(OR($C326="W",$C326="1/2W",$C326="1/2L"),$P326-$O326,IF($C326="X",0,-$O326)),2),0)</f>
        <v>0</v>
      </c>
      <c r="AO326" s="198">
        <f>IF($K326=AO$3,ROUND(IF(OR($C326="W",$C326="1/2W",$C326="1/2L"),$P326-$O326,IF($C326="X",0,-$O326)),2),0)</f>
        <v>0</v>
      </c>
      <c r="AP326" s="198">
        <f>IF($K326=AP$3,ROUND(IF(OR($C326="W",$C326="1/2W",$C326="1/2L"),$P326-$O326,IF($C326="X",0,-$O326)),2),0)</f>
        <v>0</v>
      </c>
      <c r="AQ326" s="198">
        <f>IF($K326=AQ$3,ROUND(IF(OR($C326="W",$C326="1/2W",$C326="1/2L"),$P326-$O326,IF($C326="X",0,-$O326)),2),0)</f>
        <v>0</v>
      </c>
      <c r="AR326" s="199">
        <f>IF($K326=AR$3,ROUND(IF(OR($C326="W",$C326="1/2W",$C326="1/2L"),$P326-$O326,IF($C326="X",0,-$O326)),2),0)</f>
        <v>0</v>
      </c>
      <c r="AS326" s="197">
        <f>IF(AND($B325=" ",$K326=AS$3),$O326,0)</f>
        <v>0</v>
      </c>
      <c r="AT326" s="198">
        <f>IF(AND($B325=" ",K326=AT$3),$O326,0)</f>
        <v>0</v>
      </c>
      <c r="AU326" s="198">
        <f>IF(AND($B325=" ",$K326=AU$3),$O326,0)</f>
        <v>0</v>
      </c>
      <c r="AV326" s="198">
        <f>IF(AND($B325=" ",$K326=AV$3),$O326,0)</f>
        <v>0</v>
      </c>
      <c r="AW326" s="198">
        <f>IF(AND($B325=" ",$K326=AW$3),$O326,0)</f>
        <v>0</v>
      </c>
      <c r="AX326" s="198">
        <f>IF(AND($B325=" ",$K326=AX$3),$O326,0)</f>
        <v>0</v>
      </c>
      <c r="AY326" s="200">
        <f>IF(AND($B325=" ",$K326=AY$3),$O326,0)</f>
        <v>0</v>
      </c>
      <c r="AZ326" s="201">
        <f>IF(AND($B325=" ",$K326=AZ$3),$O326,0)</f>
        <v>0</v>
      </c>
      <c r="BA326" s="201">
        <f>IF(AND($B325=" ",$K326=BA$3),$O326,0)</f>
        <v>0</v>
      </c>
      <c r="BB326" s="201">
        <f>IF(AND($B325=" ",$K326=BB$3),$O326,0)</f>
        <v>0</v>
      </c>
      <c r="BC326" s="202">
        <f>IF(AND($B325=" ",$K326=BC$3),$O326,0)</f>
        <v>0</v>
      </c>
      <c r="BD326" s="198">
        <f>IF(AND($B325=" ",$K326=BD$3),$O326,0)</f>
        <v>0</v>
      </c>
      <c r="BE326" s="199">
        <f>IF(AND($B325=" ",$K326=BE$3),$O326,0)</f>
        <v>0</v>
      </c>
      <c r="BF326" s="197">
        <f>IF($K326=BF$3,IF($C326="X",0,$O326),0)</f>
        <v>0</v>
      </c>
      <c r="BG326" s="198">
        <f>IF($K326=BG$3,IF($C326="X",0,$O326),0)</f>
        <v>0</v>
      </c>
      <c r="BH326" s="198">
        <f>IF($K326=BH$3,IF($C326="X",0,$O326),0)</f>
        <v>0</v>
      </c>
      <c r="BI326" s="198">
        <f>IF($K326=BI$3,IF($C326="X",0,$O326),0)</f>
        <v>0</v>
      </c>
      <c r="BJ326" s="198">
        <f>IF($K326=BJ$3,IF($C326="X",0,$O326),0)</f>
        <v>0</v>
      </c>
      <c r="BK326" s="198">
        <f>IF($K326=BK$3,IF($C326="X",0,$O326),0)</f>
        <v>0</v>
      </c>
      <c r="BL326" s="198">
        <f>IF($K326=BL$3,IF($C326="X",0,$O326),0)</f>
        <v>0</v>
      </c>
      <c r="BM326" s="227">
        <f>IF($K326=BM$3,IF($C326="X",0,$O326),0)</f>
        <v>10.36</v>
      </c>
      <c r="BN326" s="205">
        <f>IF($K326=BN$3,IF($C326="X",0,$O326),0)</f>
        <v>0</v>
      </c>
      <c r="BO326" s="205">
        <f>IF($K326=BO$3,IF($C326="X",0,$O326),0)</f>
        <v>0</v>
      </c>
      <c r="BP326" s="205">
        <f>IF($K326=BP$3,IF($C326="X",0,$O326),0)</f>
        <v>0</v>
      </c>
      <c r="BQ326" s="202">
        <f>IF($K326=BQ$3,IF($C326="X",0,$O326),0)</f>
        <v>0</v>
      </c>
      <c r="BR326" s="199">
        <f>IF($K326=BR$3,IF($C326="X",0,$O326),0)</f>
        <v>0</v>
      </c>
      <c r="BS326" s="228"/>
      <c r="BT326" s="229"/>
      <c r="BU326" s="140"/>
      <c r="BV326" s="229"/>
      <c r="BW326" s="140"/>
      <c r="BX326" s="140"/>
      <c r="BY326" s="140"/>
      <c r="BZ326" s="229"/>
      <c r="CA326" s="140"/>
      <c r="CB326" s="140"/>
      <c r="CC326" s="140"/>
      <c r="CD326" s="141"/>
      <c r="CE326" s="142"/>
      <c r="CF326" s="230">
        <f>IF(CF$3=$K326,IF($C326="W",1,IF($C326="1/2W",0.5,0)),0)</f>
        <v>0</v>
      </c>
      <c r="CG326" s="231">
        <f>IF(CF$3=$K326,IF($C326="L",1,IF($C326="1/2L",0.5,0)),0)</f>
        <v>0</v>
      </c>
      <c r="CH326" s="231">
        <f>IF(CH$3=$K326,IF($C326="W",1,IF($C326="1/2W",0.5,0)),0)</f>
        <v>0</v>
      </c>
      <c r="CI326" s="231">
        <f>IF(CH$3=$K326,IF($C326="L",1,IF($C326="1/2L",0.5,0)),0)</f>
        <v>0</v>
      </c>
      <c r="CJ326" s="231">
        <f>IF(CJ$3=$K326,IF($C326="W",1,IF($C326="1/2W",0.5,0)),0)</f>
        <v>0</v>
      </c>
      <c r="CK326" s="231">
        <f>IF(CJ$3=$K326,IF($C326="L",1,IF($C326="1/2L",0.5,0)),0)</f>
        <v>0</v>
      </c>
      <c r="CL326" s="231">
        <f>IF(CL$3=$K326,IF($C326="W",1,IF($C326="1/2W",0.5,0)),0)</f>
        <v>0</v>
      </c>
      <c r="CM326" s="231">
        <f>IF(CL$3=$K326,IF($C326="L",1,IF($C326="1/2L",0.5,0)),0)</f>
        <v>0</v>
      </c>
      <c r="CN326" s="231">
        <f>IF(CN$3=$K326,IF($C326="W",1,IF($C326="1/2W",0.5,0)),0)</f>
        <v>0</v>
      </c>
      <c r="CO326" s="231">
        <f>IF(CN$3=$K326,IF($C326="L",1,IF($C326="1/2L",0.5,0)),0)</f>
        <v>0</v>
      </c>
      <c r="CP326" s="231">
        <f>IF(CP$3=$K326,IF($C326="W",1,IF($C326="1/2W",0.5,0)),0)</f>
        <v>0</v>
      </c>
      <c r="CQ326" s="231">
        <f>IF(CP$3=$K326,IF($C326="L",1,IF($C326="1/2L",0.5,0)),0)</f>
        <v>0</v>
      </c>
      <c r="CR326" s="231">
        <f>IF(CR$3=$K326,IF($C326="W",1,IF($C326="1/2W",0.5,0)),0)</f>
        <v>0</v>
      </c>
      <c r="CS326" s="231">
        <f>IF(CR$3=$K326,IF($C326="L",1,IF($C326="1/2L",0.5,0)),0)</f>
        <v>0</v>
      </c>
      <c r="CT326" s="208">
        <f>IF(CT$3=$K326,IF($C326="W",1,IF($C326="1/2W",0.5,0)),0)</f>
        <v>1</v>
      </c>
      <c r="CU326" s="209">
        <f>IF(CT$3=$K326,IF($C326="L",1,IF($C326="1/2L",0.5,0)),0)</f>
        <v>0</v>
      </c>
      <c r="CV326" s="209">
        <f>IF(CV$3=$K326,IF($C326="W",1,IF($C326="1/2W",0.5,0)),0)</f>
        <v>0</v>
      </c>
      <c r="CW326" s="209">
        <f>IF(CV$3=$K326,IF($C326="L",1,IF($C326="1/2L",0.5,0)),0)</f>
        <v>0</v>
      </c>
      <c r="CX326" s="209">
        <f>IF(CX$3=$K326,IF($C326="W",1,IF($C326="1/2W",0.5,0)),0)</f>
        <v>0</v>
      </c>
      <c r="CY326" s="209">
        <f>IF(CX$3=$K326,IF($C326="L",1,IF($C326="1/2L",0.5,0)),0)</f>
        <v>0</v>
      </c>
      <c r="CZ326" s="209">
        <f>IF(CZ$3=$K326,IF($C326="W",1,IF($C326="1/2W",0.5,0)),0)</f>
        <v>0</v>
      </c>
      <c r="DA326" s="209">
        <f>IF(CZ$3=$K326,IF($C326="L",1,IF($C326="1/2L",0.5,0)),0)</f>
        <v>0</v>
      </c>
      <c r="DB326" s="209">
        <f>IF(DB$3=$K326,IF($C326="W",1,IF($C326="1/2W",0.5,0)),0)</f>
        <v>0</v>
      </c>
      <c r="DC326" s="209">
        <f>IF(DB$3=$K326,IF($C326="L",1,IF($C326="1/2L",0.5,0)),0)</f>
        <v>0</v>
      </c>
      <c r="DD326" s="209">
        <f>IF(DD$3=$K326,IF($C326="W",1,IF($C326="1/2W",0.5,0)),0)</f>
        <v>0</v>
      </c>
      <c r="DE326" s="210">
        <f>IF(DD$3=$K326,IF($C326="L",1,IF($C326="1/2L",0.5,0)),0)</f>
        <v>0</v>
      </c>
      <c r="DF326" s="211">
        <f>IF(AND(L326&lt;DF$3,$C326="W"),1+DF325,DF325)</f>
        <v>12</v>
      </c>
      <c r="DG326" s="198">
        <f>IF(DF326&gt;DF325,L326+DG325,DG325)</f>
        <v>15.718</v>
      </c>
      <c r="DH326" s="209">
        <f>IF(AND(L326&gt;DH$3,$C326="W"),1+DH325,0+DH325)</f>
        <v>7</v>
      </c>
      <c r="DI326" s="198">
        <f>IF(DH326&gt;DH325,L326+DI325,DI325)</f>
        <v>34.83</v>
      </c>
      <c r="DJ326" t="s" s="306">
        <f>IF($D325="","",$D325)</f>
        <v>272</v>
      </c>
      <c r="DK326" s="232"/>
    </row>
    <row r="327" ht="14.55" customHeight="1">
      <c r="A327" s="149"/>
      <c r="B327" s="150"/>
      <c r="C327" t="s" s="233">
        <v>58</v>
      </c>
      <c r="D327" s="152"/>
      <c r="E327" s="153"/>
      <c r="F327" s="155"/>
      <c r="G327" s="234"/>
      <c r="H327" s="156"/>
      <c r="I327" s="235"/>
      <c r="J327" s="236"/>
      <c r="K327" s="237"/>
      <c r="L327" s="238"/>
      <c r="M327" s="239"/>
      <c r="N327" s="161"/>
      <c r="O327" t="s" s="240">
        <f>IF(OR(AE325="",AE326=""),"",IF(L327&gt;0,ROUND(IF(M327&gt;0,M327,IF(M325&gt;0,ROUND((M325*AE327)/AE325,IF(N325=0,2,IF(N325=0.1,1,0))),IF(M326&gt;0,ROUND((M326*AE327)/AE326,IF(N325=0,2,IF(N325=0.1,1,0))),IF(M327&gt;0,M327,0)))),2),""))</f>
      </c>
      <c r="P327" t="s" s="241">
        <f>IF(I326="Lay",O326*(L326/(L326-1))-O326,IF(I325="Lay",O325*(L325/(L325-1))-O325,IF(OR(L327="",O327=""),"",IF($C327="1/2W",O327/2+O327/2*L327,IF($C327="1/2L",O327/2,(O327*L327-O327)*(1-_xlfn.XLOOKUP(K327,'Janeiro 2023 - Valor Real'!A3:A15,'Janeiro 2023 - Valor Real'!C3:C15,0))+O327)))))</f>
      </c>
      <c r="Q327" t="s" s="242">
        <f>IF(K327="","",IF(_xlfn.XLOOKUP(K327,K$99:K136,DJ$99:DJ136,0,,-1)=DJ327,_xlfn.XLOOKUP(K327,K$99:K136,Q$99:Q136,1,,-1)+1,1))</f>
      </c>
      <c r="R327" t="s" s="243">
        <f>IF(K327="","",_xlfn.XLOOKUP(K327,K$99:K136,R$99:R136,0,,-1)+IF($C327=" ",1,0))</f>
      </c>
      <c r="S327" s="166"/>
      <c r="T327" s="155"/>
      <c r="U327" s="155"/>
      <c r="V327" s="166"/>
      <c r="W327" s="155"/>
      <c r="X327" s="167"/>
      <c r="Y327" s="128"/>
      <c r="Z327" s="129"/>
      <c r="AA327" s="129"/>
      <c r="AB327" s="129"/>
      <c r="AC327" s="129"/>
      <c r="AD327" s="244">
        <f>((L326/(L326-1)-1))</f>
        <v>0.892857142857143</v>
      </c>
      <c r="AE327" t="s" s="245">
        <f>IF(L327="","",(SUM(((L325-1)*(1-_xlfn.XLOOKUP(K325,'Janeiro 2023 - Valor Real'!A3:A15,'Janeiro 2023 - Valor Real'!C3:C15,0))+1),((L326-1)*(1-_xlfn.XLOOKUP(K326,'Janeiro 2023 - Valor Real'!A3:A15,'Janeiro 2023 - Valor Real'!C3:C15,0))+1),((L327-1)*(1-_xlfn.XLOOKUP(K327,'Janeiro 2023 - Valor Real'!A3:A15,'Janeiro 2023 - Valor Real'!C3:C15,0))+1))/((L327-1)*(1-_xlfn.XLOOKUP(K327,'Janeiro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Real'!C3:C15,0))+1))/((L325-1)*(1-_xlfn.XLOOKUP(K325,'Janeiro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Real'!C3:C15,0))+1))/((L326-1)*(1-_xlfn.XLOOKUP(K326,'Janeiro 2023 - Valor Real'!A3:A15,'Janeiro 2023 - Valor Real'!C3:C15,0))+1)+SUM(((L325-1)*(1-_xlfn.XLOOKUP(K325,'Janeiro 2023 - Valor Real'!A3:A15,'Janeiro 2023 - Valor Real'!C3:C15,0))+1),((L326-1)*(1-_xlfn.XLOOKUP(K326,'Janeiro 2023 - Valor Real'!A3:A15,'Janeiro 2023 - Valor Real'!C3:C15,0))+1),((L327-1)*(1-_xlfn.XLOOKUP(K327,'Janeiro 2023 - Valor Real'!A3:A15,'Janeiro 2023 - Valor Real'!C3:C15,0))+1))/((L327-1)*(1-_xlfn.XLOOKUP(K327,'Janeiro 2023 - Valor Real'!A3:A15,'Janeiro 2023 - Valor Real'!C3:C15,0))+1)))</f>
      </c>
      <c r="AF327" s="197">
        <f>IF($K327=AF$3,ROUND(IF(OR($C327="W",$C327="1/2W",$C327="1/2L"),$P327-$O327,IF($C327="X",0,-$O327)),2),0)</f>
        <v>0</v>
      </c>
      <c r="AG327" s="198">
        <f>IF($K327=AG$3,ROUND(IF(OR($C327="W",$C327="1/2W",$C327="1/2L"),$P327-$O327,IF($C327="X",0,-$O327)),2),0)</f>
        <v>0</v>
      </c>
      <c r="AH327" s="198">
        <f>IF($K327=AH$3,ROUND(IF(OR($C327="W",$C327="1/2W",$C327="1/2L"),$P327-$O327,IF($C327="X",0,-$O327)),2),0)</f>
        <v>0</v>
      </c>
      <c r="AI327" s="198">
        <f>IF($K327=AI$3,ROUND(IF(OR($C327="W",$C327="1/2W",$C327="1/2L"),$P327-$O327,IF($C327="X",0,-$O327)),2),0)</f>
        <v>0</v>
      </c>
      <c r="AJ327" s="198">
        <f>IF($K327=AJ$3,ROUND(IF(OR($C327="W",$C327="1/2W",$C327="1/2L"),$P327-$O327,IF($C327="X",0,-$O327)),2),0)</f>
        <v>0</v>
      </c>
      <c r="AK327" s="198">
        <f>IF($K327=AK$3,ROUND(IF(OR($C327="W",$C327="1/2W",$C327="1/2L"),$P327-$O327,IF($C327="X",0,-$O327)),2),0)</f>
        <v>0</v>
      </c>
      <c r="AL327" s="198">
        <f>IF($K327=AL$3,ROUND(IF(OR($C327="W",$C327="1/2W",$C327="1/2L"),$P327-$O327,IF($C327="X",0,-$O327)),2),0)</f>
        <v>0</v>
      </c>
      <c r="AM327" s="198">
        <f>IF($K327=AM$3,ROUND(IF(OR($C327="W",$C327="1/2W",$C327="1/2L"),$P327-$O327,IF($C327="X",0,-$O327)),2),0)</f>
        <v>0</v>
      </c>
      <c r="AN327" s="198">
        <f>IF($K327=AN$3,ROUND(IF(OR($C327="W",$C327="1/2W",$C327="1/2L"),$P327-$O327,IF($C327="X",0,-$O327)),2),0)</f>
        <v>0</v>
      </c>
      <c r="AO327" s="198">
        <f>IF($K327=AO$3,ROUND(IF(OR($C327="W",$C327="1/2W",$C327="1/2L"),$P327-$O327,IF($C327="X",0,-$O327)),2),0)</f>
        <v>0</v>
      </c>
      <c r="AP327" s="198">
        <f>IF($K327=AP$3,ROUND(IF(OR($C327="W",$C327="1/2W",$C327="1/2L"),$P327-$O327,IF($C327="X",0,-$O327)),2),0)</f>
        <v>0</v>
      </c>
      <c r="AQ327" s="198">
        <f>IF($K327=AQ$3,ROUND(IF(OR($C327="W",$C327="1/2W",$C327="1/2L"),$P327-$O327,IF($C327="X",0,-$O327)),2),0)</f>
        <v>0</v>
      </c>
      <c r="AR327" s="199">
        <f>IF($K327=AR$3,ROUND(IF(OR($C327="W",$C327="1/2W",$C327="1/2L"),$P327-$O327,IF($C327="X",0,-$O327)),2),0)</f>
        <v>0</v>
      </c>
      <c r="AS327" s="197">
        <f>IF(AND($B325=" ",$K327=AS$3),$O327,0)</f>
        <v>0</v>
      </c>
      <c r="AT327" s="198">
        <f>IF(AND($B325=" ",K327=AT$3),$O327,0)</f>
        <v>0</v>
      </c>
      <c r="AU327" s="198">
        <f>IF(AND($B325=" ",$K327=AU$3),$O327,0)</f>
        <v>0</v>
      </c>
      <c r="AV327" s="198">
        <f>IF(AND($B325=" ",$K327=AV$3),$O327,0)</f>
        <v>0</v>
      </c>
      <c r="AW327" s="198">
        <f>IF(AND($B325=" ",$K327=AW$3),$O327,0)</f>
        <v>0</v>
      </c>
      <c r="AX327" s="198">
        <f>IF(AND($B325=" ",$K327=AX$3),$O327,0)</f>
        <v>0</v>
      </c>
      <c r="AY327" s="200">
        <f>IF(AND($B325=" ",$K327=AY$3),$O327,0)</f>
        <v>0</v>
      </c>
      <c r="AZ327" s="201">
        <f>IF(AND($B325=" ",$K327=AZ$3),$O327,0)</f>
        <v>0</v>
      </c>
      <c r="BA327" s="201">
        <f>IF(AND($B325=" ",$K327=BA$3),$O327,0)</f>
        <v>0</v>
      </c>
      <c r="BB327" s="201">
        <f>IF(AND($B325=" ",$K327=BB$3),$O327,0)</f>
        <v>0</v>
      </c>
      <c r="BC327" s="202">
        <f>IF(AND($B325=" ",$K327=BC$3),$O327,0)</f>
        <v>0</v>
      </c>
      <c r="BD327" s="198">
        <f>IF(AND($B325=" ",$K327=BD$3),$O327,0)</f>
        <v>0</v>
      </c>
      <c r="BE327" s="199">
        <f>IF(AND($B325=" ",$K327=BE$3),$O327,0)</f>
        <v>0</v>
      </c>
      <c r="BF327" s="197">
        <f>IF($K327=BF$3,IF($C327="X",0,$O327),0)</f>
        <v>0</v>
      </c>
      <c r="BG327" s="198">
        <f>IF($K327=BG$3,IF($C327="X",0,$O327),0)</f>
        <v>0</v>
      </c>
      <c r="BH327" s="198">
        <f>IF($K327=BH$3,IF($C327="X",0,$O327),0)</f>
        <v>0</v>
      </c>
      <c r="BI327" s="198">
        <f>IF($K327=BI$3,IF($C327="X",0,$O327),0)</f>
        <v>0</v>
      </c>
      <c r="BJ327" s="198">
        <f>IF($K327=BJ$3,IF($C327="X",0,$O327),0)</f>
        <v>0</v>
      </c>
      <c r="BK327" s="198">
        <f>IF($K327=BK$3,IF($C327="X",0,$O327),0)</f>
        <v>0</v>
      </c>
      <c r="BL327" s="198">
        <f>IF($K327=BL$3,IF($C327="X",0,$O327),0)</f>
        <v>0</v>
      </c>
      <c r="BM327" s="200">
        <f>IF($K327=BM$3,IF($C327="X",0,$O327),0)</f>
        <v>0</v>
      </c>
      <c r="BN327" s="201">
        <f>IF($K327=BN$3,IF($C327="X",0,$O327),0)</f>
        <v>0</v>
      </c>
      <c r="BO327" s="201">
        <f>IF($K327=BO$3,IF($C327="X",0,$O327),0)</f>
        <v>0</v>
      </c>
      <c r="BP327" s="201">
        <f>IF($K327=BP$3,IF($C327="X",0,$O327),0)</f>
        <v>0</v>
      </c>
      <c r="BQ327" s="202">
        <f>IF($K327=BQ$3,IF($C327="X",0,$O327),0)</f>
        <v>0</v>
      </c>
      <c r="BR327" s="199">
        <f>IF($K327=BR$3,IF($C327="X",0,$O327),0)</f>
        <v>0</v>
      </c>
      <c r="BS327" s="228"/>
      <c r="BT327" s="229"/>
      <c r="BU327" s="140"/>
      <c r="BV327" s="229"/>
      <c r="BW327" s="140"/>
      <c r="BX327" s="140"/>
      <c r="BY327" s="140"/>
      <c r="BZ327" s="229"/>
      <c r="CA327" s="140"/>
      <c r="CB327" s="140"/>
      <c r="CC327" s="140"/>
      <c r="CD327" s="141"/>
      <c r="CE327" s="142"/>
      <c r="CF327" s="230">
        <f>IF(CF$3=$K327,IF($C327="W",1,IF($C327="1/2W",0.5,0)),0)</f>
        <v>0</v>
      </c>
      <c r="CG327" s="231">
        <f>IF(CF$3=$K327,IF($C327="L",1,IF($C327="1/2L",0.5,0)),0)</f>
        <v>0</v>
      </c>
      <c r="CH327" s="231">
        <f>IF(CH$3=$K327,IF($C327="W",1,IF($C327="1/2W",0.5,0)),0)</f>
        <v>0</v>
      </c>
      <c r="CI327" s="231">
        <f>IF(CH$3=$K327,IF($C327="L",1,IF($C327="1/2L",0.5,0)),0)</f>
        <v>0</v>
      </c>
      <c r="CJ327" s="231">
        <f>IF(CJ$3=$K327,IF($C327="W",1,IF($C327="1/2W",0.5,0)),0)</f>
        <v>0</v>
      </c>
      <c r="CK327" s="231">
        <f>IF(CJ$3=$K327,IF($C327="L",1,IF($C327="1/2L",0.5,0)),0)</f>
        <v>0</v>
      </c>
      <c r="CL327" s="231">
        <f>IF(CL$3=$K327,IF($C327="W",1,IF($C327="1/2W",0.5,0)),0)</f>
        <v>0</v>
      </c>
      <c r="CM327" s="231">
        <f>IF(CL$3=$K327,IF($C327="L",1,IF($C327="1/2L",0.5,0)),0)</f>
        <v>0</v>
      </c>
      <c r="CN327" s="231">
        <f>IF(CN$3=$K327,IF($C327="W",1,IF($C327="1/2W",0.5,0)),0)</f>
        <v>0</v>
      </c>
      <c r="CO327" s="231">
        <f>IF(CN$3=$K327,IF($C327="L",1,IF($C327="1/2L",0.5,0)),0)</f>
        <v>0</v>
      </c>
      <c r="CP327" s="231">
        <f>IF(CP$3=$K327,IF($C327="W",1,IF($C327="1/2W",0.5,0)),0)</f>
        <v>0</v>
      </c>
      <c r="CQ327" s="231">
        <f>IF(CP$3=$K327,IF($C327="L",1,IF($C327="1/2L",0.5,0)),0)</f>
        <v>0</v>
      </c>
      <c r="CR327" s="231">
        <f>IF(CR$3=$K327,IF($C327="W",1,IF($C327="1/2W",0.5,0)),0)</f>
        <v>0</v>
      </c>
      <c r="CS327" s="231">
        <f>IF(CR$3=$K327,IF($C327="L",1,IF($C327="1/2L",0.5,0)),0)</f>
        <v>0</v>
      </c>
      <c r="CT327" s="208">
        <f>IF(CT$3=$K327,IF($C327="W",1,IF($C327="1/2W",0.5,0)),0)</f>
        <v>0</v>
      </c>
      <c r="CU327" s="209">
        <f>IF(CT$3=$K327,IF($C327="L",1,IF($C327="1/2L",0.5,0)),0)</f>
        <v>0</v>
      </c>
      <c r="CV327" s="209">
        <f>IF(CV$3=$K327,IF($C327="W",1,IF($C327="1/2W",0.5,0)),0)</f>
        <v>0</v>
      </c>
      <c r="CW327" s="209">
        <f>IF(CV$3=$K327,IF($C327="L",1,IF($C327="1/2L",0.5,0)),0)</f>
        <v>0</v>
      </c>
      <c r="CX327" s="209">
        <f>IF(CX$3=$K327,IF($C327="W",1,IF($C327="1/2W",0.5,0)),0)</f>
        <v>0</v>
      </c>
      <c r="CY327" s="209">
        <f>IF(CX$3=$K327,IF($C327="L",1,IF($C327="1/2L",0.5,0)),0)</f>
        <v>0</v>
      </c>
      <c r="CZ327" s="209">
        <f>IF(CZ$3=$K327,IF($C327="W",1,IF($C327="1/2W",0.5,0)),0)</f>
        <v>0</v>
      </c>
      <c r="DA327" s="209">
        <f>IF(CZ$3=$K327,IF($C327="L",1,IF($C327="1/2L",0.5,0)),0)</f>
        <v>0</v>
      </c>
      <c r="DB327" s="209">
        <f>IF(DB$3=$K327,IF($C327="W",1,IF($C327="1/2W",0.5,0)),0)</f>
        <v>0</v>
      </c>
      <c r="DC327" s="209">
        <f>IF(DB$3=$K327,IF($C327="L",1,IF($C327="1/2L",0.5,0)),0)</f>
        <v>0</v>
      </c>
      <c r="DD327" s="209">
        <f>IF(DD$3=$K327,IF($C327="W",1,IF($C327="1/2W",0.5,0)),0)</f>
        <v>0</v>
      </c>
      <c r="DE327" s="210">
        <f>IF(DD$3=$K327,IF($C327="L",1,IF($C327="1/2L",0.5,0)),0)</f>
        <v>0</v>
      </c>
      <c r="DF327" s="211">
        <f>IF(AND(L327&lt;DF$3,$C327="W"),1+DF326,DF326)</f>
        <v>12</v>
      </c>
      <c r="DG327" s="198">
        <f>IF(DF327&gt;DF326,L327+DG326,DG326)</f>
        <v>15.718</v>
      </c>
      <c r="DH327" s="209">
        <f>IF(AND(L327&gt;DH$3,$C327="W"),1+DH326,0+DH326)</f>
        <v>7</v>
      </c>
      <c r="DI327" s="198">
        <f>IF(DH327&gt;DH326,L327+DI326,DI326)</f>
        <v>34.83</v>
      </c>
      <c r="DJ327" t="s" s="306">
        <f>IF($D325="","",$D325)</f>
        <v>272</v>
      </c>
      <c r="DK327" s="232"/>
    </row>
    <row r="328" ht="14.55" customHeight="1">
      <c r="A328" s="246">
        <f>$A325+1</f>
        <v>109</v>
      </c>
      <c r="B328" t="s" s="247">
        <f>IF(AND(_xlfn.XLOOKUP(H328,H$106:H131,G$106:G131,0)=G328,_xlfn.XLOOKUP("TempoBet",K328:K330,L328:L330,0)&gt;0),"X",IF(OR(C328="W",C329="W",C330="W",C328="1/2W",C329="1/2W",C330="1/2W",C328="1/2L",C329="1/2L",C330="1/2L"),"OK",IF(OR(C328="L",C329="L",C330="L"),"LOSS",IF(OR(C328="X",C329="X",C330="X"),"Anulado"," "))))</f>
        <v>50</v>
      </c>
      <c r="C328" t="s" s="248">
        <v>56</v>
      </c>
      <c r="D328" t="s" s="303">
        <f>IF(G328="","",$D325)</f>
        <v>272</v>
      </c>
      <c r="E328" t="s" s="250">
        <v>124</v>
      </c>
      <c r="F328" t="s" s="251"/>
      <c r="G328" s="252">
        <v>44947.333333333336</v>
      </c>
      <c r="H328" t="s" s="253">
        <v>286</v>
      </c>
      <c r="I328" t="s" s="254">
        <v>65</v>
      </c>
      <c r="J328" s="255">
        <v>2.5</v>
      </c>
      <c r="K328" t="s" s="256">
        <v>48</v>
      </c>
      <c r="L328" s="257">
        <v>2.05</v>
      </c>
      <c r="M328" s="258"/>
      <c r="N328" s="259">
        <v>0.1</v>
      </c>
      <c r="O328" s="260">
        <f>IF(OR(AE328="",AE329=""),"",ROUND(IF(L330&gt;0,IF(M328&gt;0,M328,IF(M329&gt;0,ROUND((M329*AE328)/AE329,IF(N328=0,2,IF(N328=0.1,1,0))),ROUND((M330*AE328)/AE330,IF(N328=0,2,IF(N328=0.1,1,0))))),IF(M328&gt;0,M328,ROUND((M329*AE328)/AE329,IF(N328=0,2,IF(N328=0.1,1,0))))),2))</f>
        <v>20.2</v>
      </c>
      <c r="P328" s="261">
        <f>IF(OR(L328="",O328=""),"",IF($C328="1/2W",O328/2+O328/2*L328,IF($C328="1/2L",O328/2,IF(I328="Lay",(O328*(L328/(L328-1))-O328)*(1-_xlfn.XLOOKUP(K328,'Janeiro 2023 - Valor Real'!A3:A15,'Janeiro 2023 - Valor Real'!C3:C15,0))+O328,(O328*L328-O328)*(1-_xlfn.XLOOKUP(K328,'Janeiro 2023 - Valor Real'!A3:A15,'Janeiro 2023 - Valor Real'!C3:C15,0))+O328))))</f>
        <v>41.41</v>
      </c>
      <c r="Q328" s="262">
        <f>IF(K328="","",IF(_xlfn.XLOOKUP(K328,K$106:K131,DJ$106:DJ131,0,,-1)=DJ328,_xlfn.XLOOKUP(K328,K$106:K131,Q$106:Q131,1,,-1)+1,1))</f>
        <v>1</v>
      </c>
      <c r="R328" s="263">
        <f>IF(K328="","",_xlfn.XLOOKUP(K328,K$106:K131,R$106:R131,0,,-1)+IF($C328=" ",1,0))</f>
        <v>0</v>
      </c>
      <c r="S328" s="264">
        <f>IF($B328="Anulado",0,ROUND(IF(OR($B328="LOSS",$B328="OK"),IF(OR($C328="W",$C328="1/2W",$C328="1/2L"),P328-O328,IF($C328="L",-O328,0))+IF(OR($C329="W",$C329="1/2W",$C329="1/2L"),P329-O329,IF($C329="L",-O329,0))+IF(OR($C330="W",$C330="1/2W",$C330="1/2L"),P330-O330,IF($C330="L",-O330,0)),IF(AND(OR($C328="W",$C328="1/2W",$C328="1/2L"),C329="W"),P328+P329-SUM(O328:O330)+_xlfn.XLOOKUP("X",C328:C330,O328:O330,0),IF(AND(C328=TRUE,C330="W"),P328+P330-SUM(O328:O330),IF(AND(C329="W",C330="W"),P329+P330-SUM(O328:O330)+_xlfn.XLOOKUP("X",C328:C330,O328:O330,0),IF(L330&gt;0,IF(OR($C328="W",$C328="1/2W",$C328="1/2L"),P328-SUM(O328:O330)+_xlfn.XLOOKUP("X",C328:C330,O328:O330,0),IF(OR($C328="W",$C328="1/2W",$C328="1/2L"),P329-SUM(O328:O330)+_xlfn.XLOOKUP("X",C328:C330,O328:O330,0),IF(OR($C328="W",$C328="1/2W",$C328="1/2L"),P330-SUM(O328:O330)+_xlfn.XLOOKUP("X",C328:C330,O328:O330,0),IF(SUM(P328:P330)/3-SUM(O328:O330)+_xlfn.XLOOKUP("X",C328:C330,O328:O330,0)&gt;0,SUM(P328:P330)/3-SUM(O328:O330)+_xlfn.XLOOKUP("X",C328:C330,O328:O330,0),LARGE(P328:P330,1)-SUM(O328:O330))))),IF(OR($C328="W",$C328="1/2W",$C328="1/2L"),P328-SUM(O328:O329)+_xlfn.XLOOKUP("X",C328:C330,O328:O330,0),IF(OR($C328="W",$C328="1/2W",$C328="1/2L"),P329-SUM(O328:O329)+_xlfn.XLOOKUP("X",C328:C330,O328:O330,0),SUM(P328:P329)/2-SUM(O328:O329)+_xlfn.XLOOKUP("X",C328:C330,O328:O330,0)))))))),2))</f>
        <v>1.47</v>
      </c>
      <c r="T328" s="265">
        <f>IF(S328=0,0,S328/SUM(O328:O330))</f>
        <v>0.0368052078117176</v>
      </c>
      <c r="U328" s="266">
        <f>IF($D328=$D325,IF(OR($B328="LOSS",$B328="OK",$B328="Anulada"),S328,0)+U325,IF(OR($B328="LOSS",$B328="OK",$B328="Anulada"),S328,0))</f>
        <v>-4.08</v>
      </c>
      <c r="V328" s="266">
        <f>IF($D328="",0,IF($D328=$D325,IF($B328=" ",IF(I330="",IF(OR(AND(I328="DNB1",I329="DNB2"),AND(OR(I328="DNB1",I328="DNB2"),J329=0),AND(OR(I329="DNB1",I329="DNB2"),J328=0),AND(I328="DNB2",I329="DNB1"),AND(IF(J328=0,(J328+1)/ROUND(J328+1,0),J328/ROUND(J328,0))=1,IF(J329=0,(J329+1)/ROUND(IF(J329="",0,J329)+1,0),IF(J329="",0,J329)/ROUND(IF(J329="",1,J329),0))=1,OR(J328&lt;&gt;""),J329&lt;&gt;"")),0,IF(S328&lt;0,IF(I330="",SMALL(P328:P329,1)-SUM(O328:O329),0),SMALL(P328:P329,1)-SUM(O328:O329))),IF(S328&lt;0,IF(I330="",SMALL(P328:P330,1)-SUM(O328:O330),0),LARGE(P328:P330,1)-SUM(O328:O330))),S328)+V325,IF(I330="",IF(OR(AND(I328="DNB1",I329="DNB2"),AND(OR(I328="DNB1",I328="DNB2"),J329=0),AND(OR(I329="DNB1",I329="DNB2"),J328=0),AND(I328="DNB2",I329="DNB1"),AND(IF(J328=0,(J328+1)/ROUND(J328+1,0),J328/ROUND(J328,0))=1,IF(J329=0,(IF(J329="",0,J329)+1)/ROUND(IF(J329="",0,J329)+1,0),IF(J329="",0,J329)/ROUND(IF(J329="",0,J329)+1,0))=1,OR(J328&lt;&gt;""),J329&lt;&gt;"")),0,IF(S328&lt;0,IF(I330="",SMALL(P328:P329,1)-SUM(O328:O329),0),SMALL(P328:P330,1)-SUM(O328:O330))),IF(S328&lt;0,IF(I330="",SMALL(P328:P330,1)-SUM(O328:O330),0),LARGE(P328:P330,1)-SUM(O328:O330)))))</f>
        <v>-4.115</v>
      </c>
      <c r="W328" s="266">
        <f>IF($D328=$D325,IF(S328&lt;0,IF(I330="",S328,0),S328)+W325,S328)</f>
        <v>-4.08</v>
      </c>
      <c r="X328" t="s" s="267">
        <f>IF(OR(SUM(R328:R330)=0,V328=W328),ROUND(IF(W328=0,0,W328/Y328)*100,2)&amp;"%",ROUND(IF(V328=0,0,V328/Y328)*100,2)&amp;"% a "&amp;ROUND(IF(W328=0,0,W328/Y328)*100,2)&amp;"%")</f>
        <v>287</v>
      </c>
      <c r="Y328" s="268">
        <f>IF($D328=$D325,Y325+SUM(O328:O330),SUM(O328:O330))</f>
        <v>276.72</v>
      </c>
      <c r="Z328" s="266">
        <f>IF($B328=" ",SUM(O328:O330),0)+Z325</f>
        <v>0</v>
      </c>
      <c r="AA328" s="266">
        <f>IF(G328="","",IF($B328="Anulado",LARGE(P328:P330,1)-SUM(O328:O330)+AA325,AA325))</f>
        <v>16.5099</v>
      </c>
      <c r="AB328" s="266">
        <f>IF($D328="","",AB325+S328)</f>
        <v>299.29</v>
      </c>
      <c r="AC328" s="269">
        <f>IF($D328="","",IF($B328=" ",IF(DAY(G328)=DAY(TODAY()),1+AC325,0+AC325),0+AC325))</f>
        <v>0</v>
      </c>
      <c r="AD328" s="270">
        <f>(1-_xlfn.XLOOKUP(K326,'Janeiro 2023 - Valor Real'!A3:A15,'Janeiro 2023 - Valor Real'!C3:C15,0))+1</f>
        <v>2</v>
      </c>
      <c r="AE328" s="271">
        <f>IF(L328="","",IF(L330&gt;0,(SUM(((L328-1)*(1-_xlfn.XLOOKUP(K328,'Janeiro 2023 - Valor Real'!A3:A15,'Janeiro 2023 - Valor Real'!C3:C15,0))+1),((L329-1)*(1-_xlfn.XLOOKUP(K329,'Janeiro 2023 - Valor Real'!A3:A15,'Janeiro 2023 - Valor Real'!C3:C15,0))+1),((L330-1)*(1-_xlfn.XLOOKUP(K330,'Janeiro 2023 - Valor Real'!A3:A15,'Janeiro 2023 - Valor Real'!C3:C15,0))+1))/((L328-1)*(1-_xlfn.XLOOKUP(K328,'Janeiro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Real'!C3:C15,0))+1))/((L328-1)*(1-_xlfn.XLOOKUP(K328,'Janeiro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Real'!C3:C15,0))+1))/((L329-1)*(1-_xlfn.XLOOKUP(K329,'Janeiro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Real'!C3:C15,0))+1))/((L330-1)*(1-_xlfn.XLOOKUP(K330,'Janeiro 2023 - Valor Real'!A3:A15,'Janeiro 2023 - Valor Real'!C3:C15,0))+1)),IF(I328="Lay",IF(I329="Lay",((L329/(L329-1)-1)*(1-_xlfn.XLOOKUP(K329,'Janeiro 2023 - Valor Real'!A3:A15,'Janeiro 2023 - Valor Real'!C3:C15,0))+1)/(((L329/(L329-1)-1)*(1-_xlfn.XLOOKUP(K329,'Janeiro 2023 - Valor Real'!A3:A15,'Janeiro 2023 - Valor Real'!C3:C15,0))+1)+((L328/(L328-1)-1)*(1-_xlfn.XLOOKUP(K328,'Janeiro 2023 - Valor Real'!A3:A15,'Janeiro 2023 - Valor Real'!C3:C15,0))+1)),((L329-1)*(1-_xlfn.XLOOKUP(K329,'Janeiro 2023 - Valor Real'!A3:A15,'Janeiro 2023 - Valor Real'!C3:C15,0))+1)/(((L329-1)*(1-_xlfn.XLOOKUP(K329,'Janeiro 2023 - Valor Real'!A3:A15,'Janeiro 2023 - Valor Real'!C3:C15,0))+1)+((L328/(L328-1)-1)*(1-_xlfn.XLOOKUP(K328,'Janeiro 2023 - Valor Real'!A3:A15,'Janeiro 2023 - Valor Real'!C3:C15,0))+1))),IF(I329="Lay",(((L329/(L329-1)-1)*(1-_xlfn.XLOOKUP(K329,'Janeiro 2023 - Valor Real'!A3:A15,'Janeiro 2023 - Valor Real'!C3:C15,0))+1))/(((L328-1)*(1-_xlfn.XLOOKUP(K328,'Janeiro 2023 - Valor Real'!A3:A15,'Janeiro 2023 - Valor Real'!C3:C15,0))+1)+((L329/(L329-1)-1)*(1-_xlfn.XLOOKUP(K329,'Janeiro 2023 - Valor Real'!A3:A15,'Janeiro 2023 - Valor Real'!C3:C15,0))+1)),((L329-1)*(1-_xlfn.XLOOKUP(K329,'Janeiro 2023 - Valor Real'!A3:A15,'Janeiro 2023 - Valor Real'!C3:C15,0))+1)/(((L329-1)*(1-_xlfn.XLOOKUP(K329,'Janeiro 2023 - Valor Real'!A3:A15,'Janeiro 2023 - Valor Real'!C3:C15,0))+1)+((L328-1)*(1-_xlfn.XLOOKUP(K328,'Janeiro 2023 - Valor Real'!A3:A15,'Janeiro 2023 - Valor Real'!C3:C15,0))+1))))))</f>
        <v>0.506024096385542</v>
      </c>
      <c r="AF328" s="132">
        <f>IF($K328=AF$3,ROUND(IF(OR($C328="W",$C328="1/2W",$C328="1/2L"),$P328-$O328,IF($C328="X",0,-$O328)),2),0)</f>
        <v>0</v>
      </c>
      <c r="AG328" s="133">
        <f>IF($K328=AG$3,ROUND(IF(OR($C328="W",$C328="1/2W",$C328="1/2L"),$P328-$O328,IF($C328="X",0,-$O328)),2),0)</f>
        <v>0</v>
      </c>
      <c r="AH328" s="133">
        <f>IF($K328=AH$3,ROUND(IF(OR($C328="W",$C328="1/2W",$C328="1/2L"),$P328-$O328,IF($C328="X",0,-$O328)),2),0)</f>
        <v>0</v>
      </c>
      <c r="AI328" s="133">
        <f>IF($K328=AI$3,ROUND(IF(OR($C328="W",$C328="1/2W",$C328="1/2L"),$P328-$O328,IF($C328="X",0,-$O328)),2),0)</f>
        <v>0</v>
      </c>
      <c r="AJ328" s="133">
        <f>IF($K328=AJ$3,ROUND(IF(OR($C328="W",$C328="1/2W",$C328="1/2L"),$P328-$O328,IF($C328="X",0,-$O328)),2),0)</f>
        <v>0</v>
      </c>
      <c r="AK328" s="133">
        <f>IF($K328=AK$3,ROUND(IF(OR($C328="W",$C328="1/2W",$C328="1/2L"),$P328-$O328,IF($C328="X",0,-$O328)),2),0)</f>
        <v>0</v>
      </c>
      <c r="AL328" s="133">
        <f>IF($K328=AL$3,ROUND(IF(OR($C328="W",$C328="1/2W",$C328="1/2L"),$P328-$O328,IF($C328="X",0,-$O328)),2),0)</f>
        <v>0</v>
      </c>
      <c r="AM328" s="133">
        <f>IF($K328=AM$3,ROUND(IF(OR($C328="W",$C328="1/2W",$C328="1/2L"),$P328-$O328,IF($C328="X",0,-$O328)),2),0)</f>
        <v>0</v>
      </c>
      <c r="AN328" s="133">
        <f>IF($K328=AN$3,ROUND(IF(OR($C328="W",$C328="1/2W",$C328="1/2L"),$P328-$O328,IF($C328="X",0,-$O328)),2),0)</f>
        <v>0</v>
      </c>
      <c r="AO328" s="133">
        <f>IF($K328=AO$3,ROUND(IF(OR($C328="W",$C328="1/2W",$C328="1/2L"),$P328-$O328,IF($C328="X",0,-$O328)),2),0)</f>
        <v>0</v>
      </c>
      <c r="AP328" s="133">
        <f>IF($K328=AP$3,ROUND(IF(OR($C328="W",$C328="1/2W",$C328="1/2L"),$P328-$O328,IF($C328="X",0,-$O328)),2),0)</f>
        <v>0</v>
      </c>
      <c r="AQ328" s="133">
        <f>IF($K328=AQ$3,ROUND(IF(OR($C328="W",$C328="1/2W",$C328="1/2L"),$P328-$O328,IF($C328="X",0,-$O328)),2),0)</f>
        <v>21.21</v>
      </c>
      <c r="AR328" s="134">
        <f>IF($K328=AR$3,ROUND(IF(OR($C328="W",$C328="1/2W",$C328="1/2L"),$P328-$O328,IF($C328="X",0,-$O328)),2),0)</f>
        <v>0</v>
      </c>
      <c r="AS328" s="132">
        <f>IF(AND($B328=" ",$K328=AS$3),$O328,0)</f>
        <v>0</v>
      </c>
      <c r="AT328" s="133">
        <f>IF(AND($B328=" ",$K328=AT$3),$O328,0)</f>
        <v>0</v>
      </c>
      <c r="AU328" s="133">
        <f>IF(AND($B328=" ",$K328=AU$3),$O328,0)</f>
        <v>0</v>
      </c>
      <c r="AV328" s="133">
        <f>IF(AND($B328=" ",$K328=AV$3),$O328,0)</f>
        <v>0</v>
      </c>
      <c r="AW328" s="133">
        <f>IF(AND($B328=" ",$K328=AW$3),$O328,0)</f>
        <v>0</v>
      </c>
      <c r="AX328" s="133">
        <f>IF(AND($B328=" ",$K328=AX$3),$O328,0)</f>
        <v>0</v>
      </c>
      <c r="AY328" s="135">
        <f>IF(AND($B328=" ",$K328=AY$3),$O328,0)</f>
        <v>0</v>
      </c>
      <c r="AZ328" s="136">
        <f>IF(AND($B328=" ",$K328=AZ$3),$O328,0)</f>
        <v>0</v>
      </c>
      <c r="BA328" s="136">
        <f>IF(AND($B328=" ",$K328=BA$3),$O328,0)</f>
        <v>0</v>
      </c>
      <c r="BB328" s="136">
        <f>IF(AND($B328=" ",$K328=BB$3),$O328,0)</f>
        <v>0</v>
      </c>
      <c r="BC328" s="137">
        <f>IF(AND($B328=" ",$K328=BC$3),$O328,0)</f>
        <v>0</v>
      </c>
      <c r="BD328" s="133">
        <f>IF(AND($B328=" ",$K328=BD$3),$O328,0)</f>
        <v>0</v>
      </c>
      <c r="BE328" s="134">
        <f>IF(AND($B328=" ",$K328=BE$3),$O328,0)</f>
        <v>0</v>
      </c>
      <c r="BF328" s="132">
        <f>IF($K328=BF$3,IF($C328="X",0,$O328),0)</f>
        <v>0</v>
      </c>
      <c r="BG328" s="133">
        <f>IF($K328=BG$3,IF($C328="X",0,$O328),0)</f>
        <v>0</v>
      </c>
      <c r="BH328" s="133">
        <f>IF($K328=BH$3,IF($C328="X",0,$O328),0)</f>
        <v>0</v>
      </c>
      <c r="BI328" s="133">
        <f>IF($K328=BI$3,IF($C328="X",0,$O328),0)</f>
        <v>0</v>
      </c>
      <c r="BJ328" s="133">
        <f>IF($K328=BJ$3,IF($C328="X",0,$O328),0)</f>
        <v>0</v>
      </c>
      <c r="BK328" s="133">
        <f>IF($K328=BK$3,IF($C328="X",0,$O328),0)</f>
        <v>0</v>
      </c>
      <c r="BL328" s="133">
        <f>IF($K328=BL$3,IF($C328="X",0,$O328),0)</f>
        <v>0</v>
      </c>
      <c r="BM328" s="135">
        <f>IF($K328=BM$3,IF($C328="X",0,$O328),0)</f>
        <v>0</v>
      </c>
      <c r="BN328" s="136">
        <f>IF($K328=BN$3,IF($C328="X",0,$O328),0)</f>
        <v>0</v>
      </c>
      <c r="BO328" s="136">
        <f>IF($K328=BO$3,IF($C328="X",0,$O328),0)</f>
        <v>0</v>
      </c>
      <c r="BP328" s="136">
        <f>IF($K328=BP$3,IF($C328="X",0,$O328),0)</f>
        <v>0</v>
      </c>
      <c r="BQ328" s="137">
        <f>IF($K328=BQ$3,IF($C328="X",0,$O328),0)</f>
        <v>20.2</v>
      </c>
      <c r="BR328" s="134">
        <f>IF($K328=BR$3,IF($C328="X",0,$O328),0)</f>
        <v>0</v>
      </c>
      <c r="BS328" s="170">
        <f>IF($B328="LOSS",IF(AND($K328=BS$3,$C328="L"),-$O328,0)+IF(AND($K329=BS$3,$C329="L"),-$O329,0)+IF(AND($K330=BS$3,$C330="L"),-$O330,0),IF(OR(AND($K328=BS$3,OR($C328="W",$C328="1/2W")),AND($K329=BS$3,OR($C329="W",$C329="1/2W")),AND($K330=BS$3,OR($C330="W",$C330="1/2W"))),$S328,0))</f>
        <v>0</v>
      </c>
      <c r="BT328" s="272">
        <f>IF($B328="LOSS",IF(AND($K328=BT$3,$C328="L"),-$O328,0)+IF(AND($K329=BT$3,$C329="L"),-$O329,0)+IF(AND($K329=BT$3,$C330="L"),-$O330,0),IF(OR(AND($K329=BT$3,OR($C328="W",$C328="1/2W")),AND($K329=BT$3,OR($C329="W",$C329="1/2W")),AND($K329=BT$3,OR($C330="W",$C330="1/2W"))),$S328,0))</f>
        <v>1.47</v>
      </c>
      <c r="BU328" s="136">
        <f>IF($B328="LOSS",IF(AND($K328=BU$3,$C328="L"),-$O328,0)+IF(AND($K329=BU$3,$C329="L"),-$O329,0)+IF(AND($K329=BU$3,$C330="L"),-$O330,0),IF(OR(AND($K329=BU$3,OR($C328="W",$C328="1/2W")),AND($K329=BU$3,OR($C329="W",$C329="1/2W")),AND($K329=BU$3,OR($C330="W",$C330="1/2W"))),$S328,0))</f>
        <v>0</v>
      </c>
      <c r="BV328" s="136">
        <f>IF($B328="LOSS",IF(AND($K328=BV$3,$C328="L"),-$O328,0)+IF(AND($K329=BV$3,$C329="L"),-$O329,0)+IF(AND($K330=BV$3,$C330="L"),-$O330,0),IF(OR(AND($K328=BV$3,OR($C328="W",$C328="1/2W")),AND($K329=BV$3,OR($C329="W",$C329="1/2W")),AND($K330=BV$3,OR($C330="W",$C330="1/2W"))),$S328,0))</f>
        <v>0</v>
      </c>
      <c r="BW328" s="136">
        <f>IF($B328="LOSS",IF(AND($K328=BW$3,$C328="L"),-$O328,0)+IF(AND($K329=BW$3,$C329="L"),-$O329,0)+IF(AND($K330=BW$3,$C330="L"),-$O330,0),IF(OR(AND($K328=BW$3,OR($C328="W",$C328="1/2W")),AND($K329=BW$3,OR($C329="W",$C329="1/2W")),AND($K330=BW$3,OR($C330="W",$C330="1/2W"))),$S328,0))</f>
        <v>0</v>
      </c>
      <c r="BX328" s="136">
        <f>IF($B328="LOSS",IF(AND($K328=BX$3,$C328="L"),-$O328,0)+IF(AND($K329=BX$3,$C329="L"),-$O329,0)+IF(AND($K330=BX$3,$C330="L"),-$O330,0),IF(OR(AND($K328=BX$3,OR($C328="W",$C328="1/2W")),AND($K329=BX$3,OR($C329="W",$C329="1/2W")),AND($K330=BX$3,OR($C330="W",$C330="1/2W"))),$S328,0))</f>
        <v>0</v>
      </c>
      <c r="BY328" s="136">
        <f>IF($B328="LOSS",IF(AND($K328=BY$3,$C328="L"),-$O328,0)+IF(AND($K329=BY$3,$C329="L"),-$O329,0)+IF(AND($K330=BY$3,$C330="L"),-$O330,0),IF(OR(AND($K328=BY$3,OR($C328="W",$C328="1/2W")),AND($K329=BY$3,OR($C329="W",$C329="1/2W")),AND($K330=BY$3,OR($C330="W",$C330="1/2W"))),$S328,0))</f>
        <v>0</v>
      </c>
      <c r="BZ328" s="136">
        <f>IF($B328="LOSS",IF(AND($K328=BZ$3,$C328="L"),-$O328,0)+IF(AND($K329=BZ$3,$C329="L"),-$O329,0)+IF(AND($K330=BZ$3,$C330="L"),-$O330,0),IF(OR(AND($K328=BZ$3,OR($C328="W",$C328="1/2W")),AND($K329=BZ$3,OR($C329="W",$C329="1/2W")),AND($K330=BZ$3,OR($C330="W",$C330="1/2W"))),$S328,0))</f>
        <v>0</v>
      </c>
      <c r="CA328" s="136">
        <f>IF($B328="LOSS",IF(AND($K328=CA$3,$C328="L"),-$O328,0)+IF(AND($K329=CA$3,$C329="L"),-$O329,0)+IF(AND($K330=CA$3,$C330="L"),-$O330,0),IF(OR(AND($K328=CA$3,OR($C328="W",$C328="1/2W")),AND($K329=CA$3,OR($C329="W",$C329="1/2W")),AND($K330=CA$3,OR($C330="W",$C330="1/2W"))),$S328,0))</f>
        <v>0</v>
      </c>
      <c r="CB328" s="136">
        <f>IF($B328="LOSS",IF(AND($K328=CB$3,$C328="L"),-$O328,0)+IF(AND($K329=CB$3,$C329="L"),-$O329,0)+IF(AND($K330=CB$3,$C330="L"),-$O330,0),IF(OR(AND($K328=CB$3,OR($C328="W",$C328="1/2W")),AND($K329=CB$3,OR($C329="W",$C329="1/2W")),AND($K330=CB$3,OR($C330="W",$C330="1/2W"))),$S328,0))</f>
        <v>0</v>
      </c>
      <c r="CC328" s="136">
        <f>IF($B328="LOSS",IF(AND($K328=CC$3,$C328="L"),-$O328,0)+IF(AND($K329=CC$3,$C329="L"),-$O329,0)+IF(AND($K330=CC$3,$C330="L"),-$O330,0),IF(OR(AND($K328=CC$3,OR($C328="W",$C328="1/2W")),AND($K329=CC$3,OR($C329="W",$C329="1/2W")),AND($K330=CC$3,OR($C330="W",$C330="1/2W"))),$S328,0))</f>
        <v>0</v>
      </c>
      <c r="CD328" s="137">
        <f>IF($B328="LOSS",IF(AND($K328=CD$3,$C328="L"),-$O328,0)+IF(AND($K329=CD$3,$C329="L"),-$O329,0)+IF(AND($K330=CD$3,$C330="L"),-$O330,0),IF(OR(AND($K328=CD$3,OR($C328="W",$C328="1/2W")),AND($K329=CD$3,OR($C329="W",$C329="1/2W")),AND($K330=CD$3,OR($C330="W",$C330="1/2W"))),$S328,0))</f>
        <v>1.47</v>
      </c>
      <c r="CE328" s="134">
        <f>IF($B328="LOSS",IF(AND($K328=CE$3,$C328="L"),-$O328,0)+IF(AND($K329=CE$3,$C329="L"),-$O329,0)+IF(AND($K330=CE$3,$C330="L"),-$O330,0),IF(OR(AND($K328=CE$3,OR($C328="W",$C328="1/2W")),AND($K329=CE$3,OR($C329="W",$C329="1/2W")),AND($K330=CE$3,OR($C330="W",$C330="1/2W"))),$S328,0))</f>
        <v>0</v>
      </c>
      <c r="CF328" s="273">
        <f>IF(CF$3=$K328,IF($C328="W",1,IF($C328="1/2W",0.5,0)),0)</f>
        <v>0</v>
      </c>
      <c r="CG328" s="274">
        <f>IF(CF$3=$K328,IF($C328="L",1,IF($C328="1/2L",0.5,0)),0)</f>
        <v>0</v>
      </c>
      <c r="CH328" s="274">
        <f>IF(CH$3=$K328,IF($C328="W",1,IF($C328="1/2W",0.5,0)),0)</f>
        <v>0</v>
      </c>
      <c r="CI328" s="274">
        <f>IF(CH$3=$K328,IF($C328="L",1,IF($C328="1/2L",0.5,0)),0)</f>
        <v>0</v>
      </c>
      <c r="CJ328" s="274">
        <f>IF(CJ$3=$K328,IF($C328="W",1,IF($C328="1/2W",0.5,0)),0)</f>
        <v>0</v>
      </c>
      <c r="CK328" s="274">
        <f>IF(CJ$3=$K328,IF($C328="L",1,IF($C328="1/2L",0.5,0)),0)</f>
        <v>0</v>
      </c>
      <c r="CL328" s="274">
        <f>IF(CL$3=$K328,IF($C328="W",1,IF($C328="1/2W",0.5,0)),0)</f>
        <v>0</v>
      </c>
      <c r="CM328" s="274">
        <f>IF(CL$3=$K328,IF($C328="L",1,IF($C328="1/2L",0.5,0)),0)</f>
        <v>0</v>
      </c>
      <c r="CN328" s="274">
        <f>IF(CN$3=$K328,IF($C328="W",1,IF($C328="1/2W",0.5,0)),0)</f>
        <v>0</v>
      </c>
      <c r="CO328" s="274">
        <f>IF(CN$3=$K328,IF($C328="L",1,IF($C328="1/2L",0.5,0)),0)</f>
        <v>0</v>
      </c>
      <c r="CP328" s="274">
        <f>IF(CP$3=$K328,IF($C328="W",1,IF($C328="1/2W",0.5,0)),0)</f>
        <v>0</v>
      </c>
      <c r="CQ328" s="274">
        <f>IF(CP$3=$K328,IF($C328="L",1,IF($C328="1/2L",0.5,0)),0)</f>
        <v>0</v>
      </c>
      <c r="CR328" s="274">
        <f>IF(CR$3=$K328,IF($C328="W",1,IF($C328="1/2W",0.5,0)),0)</f>
        <v>0</v>
      </c>
      <c r="CS328" s="274">
        <f>IF(CR$3=$K328,IF($C328="L",1,IF($C328="1/2L",0.5,0)),0)</f>
        <v>0</v>
      </c>
      <c r="CT328" s="145">
        <f>IF(CT$3=$K328,IF($C328="W",1,IF($C328="1/2W",0.5,0)),0)</f>
        <v>0</v>
      </c>
      <c r="CU328" s="146">
        <f>IF(CT$3=$K328,IF($C328="L",1,IF($C328="1/2L",0.5,0)),0)</f>
        <v>0</v>
      </c>
      <c r="CV328" s="146">
        <f>IF(CV$3=$K328,IF($C328="W",1,IF($C328="1/2W",0.5,0)),0)</f>
        <v>0</v>
      </c>
      <c r="CW328" s="146">
        <f>IF(CV$3=$K328,IF($C328="L",1,IF($C328="1/2L",0.5,0)),0)</f>
        <v>0</v>
      </c>
      <c r="CX328" s="146">
        <f>IF(CX$3=$K328,IF($C328="W",1,IF($C328="1/2W",0.5,0)),0)</f>
        <v>0</v>
      </c>
      <c r="CY328" s="146">
        <f>IF(CX$3=$K328,IF($C328="L",1,IF($C328="1/2L",0.5,0)),0)</f>
        <v>0</v>
      </c>
      <c r="CZ328" s="146">
        <f>IF(CZ$3=$K328,IF($C328="W",1,IF($C328="1/2W",0.5,0)),0)</f>
        <v>0</v>
      </c>
      <c r="DA328" s="146">
        <f>IF(CZ$3=$K328,IF($C328="L",1,IF($C328="1/2L",0.5,0)),0)</f>
        <v>0</v>
      </c>
      <c r="DB328" s="146">
        <f>IF(DB$3=$K328,IF($C328="W",1,IF($C328="1/2W",0.5,0)),0)</f>
        <v>1</v>
      </c>
      <c r="DC328" s="146">
        <f>IF(DB$3=$K328,IF($C328="L",1,IF($C328="1/2L",0.5,0)),0)</f>
        <v>0</v>
      </c>
      <c r="DD328" s="146">
        <f>IF(DD$3=$K328,IF($C328="W",1,IF($C328="1/2W",0.5,0)),0)</f>
        <v>0</v>
      </c>
      <c r="DE328" s="147">
        <f>IF(DD$3=$K328,IF($C328="L",1,IF($C328="1/2L",0.5,0)),0)</f>
        <v>0</v>
      </c>
      <c r="DF328" s="143">
        <f>IF(AND(L328&lt;DF$3,$C328="W"),1+DF327,DF327)</f>
        <v>12</v>
      </c>
      <c r="DG328" s="133">
        <f>IF(DF328&gt;DF327,L328+DG327,DG327)</f>
        <v>15.718</v>
      </c>
      <c r="DH328" s="146">
        <f>IF(AND(L328&gt;DH$3,$C328="W"),1+DH327,0+DH327)</f>
        <v>7</v>
      </c>
      <c r="DI328" s="133">
        <f>IF(DH328&gt;DH327,L328+DI327,DI327)</f>
        <v>34.83</v>
      </c>
      <c r="DJ328" t="s" s="304">
        <f>IF($D328="","",$D328)</f>
        <v>272</v>
      </c>
      <c r="DK328" s="146">
        <f>IF(AND($B328=" ",$D328&lt;&gt;""),1,0)</f>
        <v>0</v>
      </c>
    </row>
    <row r="329" ht="14.55" customHeight="1">
      <c r="A329" s="107"/>
      <c r="B329" s="108"/>
      <c r="C329" t="s" s="109">
        <v>51</v>
      </c>
      <c r="D329" s="110"/>
      <c r="E329" s="111"/>
      <c r="F329" s="113"/>
      <c r="G329" s="252"/>
      <c r="H329" s="114"/>
      <c r="I329" t="s" s="275">
        <v>67</v>
      </c>
      <c r="J329" s="276">
        <f>IF(OR(I328="TO",I328="TU",I328="TO1",I328="TU1",I328="TO2",I328="TU2"),J328,IF(OR(I328="AH1",I328="AH2"),IF(OR(I329="AH1",I329="AH2"),-J328,IF(OR(I329="EH1",I329="EH2"),-J328+0.5,"")),IF(OR(I328="EH1",I328="EH2"),IF(OR(I329="AH1",I329="AH2"),-J328+0.5,IF(OR(I329="EH1",I329="EH2"),-J328+1,"")),IF(AND(OR(I328="DNB1",I328="DNB2"),OR(I329="AH1",I329="AH2")),0,IF(AND(I328="Not ScoreBoth",OR(I329="TO1",I329="TO2")),0.5,"")))))</f>
        <v>2.5</v>
      </c>
      <c r="K329" t="s" s="117">
        <v>38</v>
      </c>
      <c r="L329" s="277">
        <v>2.1</v>
      </c>
      <c r="M329" s="278">
        <v>19.74</v>
      </c>
      <c r="N329" s="120"/>
      <c r="O329" s="121">
        <f>IF(OR(AE328="",AE329=""),"",ROUND(IF(L330&gt;0,IF(M329&gt;0,M329,IF(M328&gt;0,IF(N328=TRUE,ROUND((M328*AE329)/AE328,0),(M328*AE329)/AE328),IF(M329&gt;0,ROUND(M329,IF(N328=0,2,IF(N328=0.1,1,0))),IF(M330&gt;0,ROUND(O330*AE329/AE330,IF(N328=0,2,IF(N328=0.1,1,0))),0)))),IF(M329&gt;0,M329,ROUND((M328*AE329)/AE328,IF(N328=0,2,IF(N328=0.1,1,0))))),2))</f>
        <v>19.74</v>
      </c>
      <c r="P329" s="122">
        <f>IF(OR(L329="",O329=""),"",IF($C329="1/2W",O329/2+O329/2*L329,IF($C329="1/2L",O329/2,IF(I329="Lay",((O329*(L329/(L329-1)))-O329)*(1-_xlfn.XLOOKUP(K329,'Janeiro 2023 - Valor Real'!A3:A15,'Janeiro 2023 - Valor Real'!C3:C15,0))+O329,(O329*L329-O329)*(1-_xlfn.XLOOKUP(K329,'Janeiro 2023 - Valor Real'!A3:A15,'Janeiro 2023 - Valor Real'!C3:C15,0))+O329))))</f>
        <v>41.454</v>
      </c>
      <c r="Q329" s="279">
        <f>IF(K329="","",IF(_xlfn.XLOOKUP(K329,K$107:K144,DJ$107:DJ144,0,,-1)=DJ329,_xlfn.XLOOKUP(K329,K$107:K144,Q$107:Q144,1,,-1)+1,1))</f>
        <v>1</v>
      </c>
      <c r="R329" s="280">
        <f>IF(K329="","",_xlfn.XLOOKUP(K329,K$107:K144,R$107:R144,0,,-1)+IF($C329=" ",1,0))</f>
        <v>0</v>
      </c>
      <c r="S329" s="125"/>
      <c r="T329" s="126"/>
      <c r="U329" s="126"/>
      <c r="V329" s="224"/>
      <c r="W329" s="126"/>
      <c r="X329" s="127"/>
      <c r="Y329" s="128"/>
      <c r="Z329" s="129"/>
      <c r="AA329" s="129"/>
      <c r="AB329" s="129"/>
      <c r="AC329" s="129"/>
      <c r="AD329" s="130"/>
      <c r="AE329" s="131">
        <f>IF(L329="","",IF(L330&gt;0,(SUM(((L328-1)*(1-_xlfn.XLOOKUP(K328,'Janeiro 2023 - Valor Real'!A3:A15,'Janeiro 2023 - Valor Real'!C3:C15,0))+1),((L329-1)*(1-_xlfn.XLOOKUP(K329,'Janeiro 2023 - Valor Real'!A3:A15,'Janeiro 2023 - Valor Real'!C3:C15,0))+1),((L330-1)*(1-_xlfn.XLOOKUP(K330,'Janeiro 2023 - Valor Real'!A3:A15,'Janeiro 2023 - Valor Real'!C3:C15,0))+1))/((L329-1)*(1-_xlfn.XLOOKUP(K329,'Janeiro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Real'!C3:C15,0))+1))/((L328-1)*(1-_xlfn.XLOOKUP(K328,'Janeiro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Real'!C3:C15,0))+1))/((L329-1)*(1-_xlfn.XLOOKUP(K329,'Janeiro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Real'!C3:C15,0))+1))/((L330-1)*(1-_xlfn.XLOOKUP(K330,'Janeiro 2023 - Valor Real'!A3:A15,'Janeiro 2023 - Valor Real'!C3:C15,0))+1)),IF(I329="Lay",IF(I328="Lay",((L328/(L328-1)-1)*(1-_xlfn.XLOOKUP(K328,'Janeiro 2023 - Valor Real'!A3:A15,'Janeiro 2023 - Valor Real'!C3:C15,0))+1)/(((L328/(L328-1)-1)*(1-_xlfn.XLOOKUP(K328,'Janeiro 2023 - Valor Real'!A3:A15,'Janeiro 2023 - Valor Real'!C3:C15,0))+1)+((L329/(L329-1)-1)*(1-_xlfn.XLOOKUP(K329,'Janeiro 2023 - Valor Real'!A3:A15,'Janeiro 2023 - Valor Real'!C3:C15,0))+1)),((L328-1)*(1-_xlfn.XLOOKUP(K328,'Janeiro 2023 - Valor Real'!A3:A15,'Janeiro 2023 - Valor Real'!C3:C15,0))+1)/(((L328-1)*(1-_xlfn.XLOOKUP(K328,'Janeiro 2023 - Valor Real'!A3:A15,'Janeiro 2023 - Valor Real'!C3:C15,0))+1)+((L329/(L329-1)-1)*(1-_xlfn.XLOOKUP(K329,'Janeiro 2023 - Valor Real'!A3:A15,'Janeiro 2023 - Valor Real'!C3:C15,0))+1))),IF(I328="Lay",((L328/(L328-1)-1)*(1-_xlfn.XLOOKUP(K328,'Janeiro 2023 - Valor Real'!A3:A15,'Janeiro 2023 - Valor Real'!C3:C15,0))+1)/((((L328/(L328-1)-1)*(1-_xlfn.XLOOKUP(K328,'Janeiro 2023 - Valor Real'!A3:A15,'Janeiro 2023 - Valor Real'!C3:C15,0))+1))+((L329-1)*(1-_xlfn.XLOOKUP(K329,'Janeiro 2023 - Valor Real'!A3:A15,'Janeiro 2023 - Valor Real'!C3:C15,0))+1)),((L328-1)*(1-_xlfn.XLOOKUP(K328,'Janeiro 2023 - Valor Real'!A3:A15,'Janeiro 2023 - Valor Real'!C3:C15,0))+1)/(((L328-1)*(1-_xlfn.XLOOKUP(K328,'Janeiro 2023 - Valor Real'!A3:A15,'Janeiro 2023 - Valor Real'!C3:C15,0))+1)+((L329-1)*(1-_xlfn.XLOOKUP(K329,'Janeiro 2023 - Valor Real'!A3:A15,'Janeiro 2023 - Valor Real'!C3:C15,0))+1))))))</f>
        <v>0.493975903614458</v>
      </c>
      <c r="AF329" s="132">
        <f>IF($K329=AF$3,ROUND(IF(OR($C329="W",$C329="1/2W",$C329="1/2L"),$P329-$O329,IF($C329="X",0,-$O329)),2),0)</f>
        <v>0</v>
      </c>
      <c r="AG329" s="133">
        <f>IF($K329=AG$3,ROUND(IF(OR($C329="W",$C329="1/2W",$C329="1/2L"),$P329-$O329,IF($C329="X",0,-$O329)),2),0)</f>
        <v>-19.74</v>
      </c>
      <c r="AH329" s="133">
        <f>IF($K329=AH$3,ROUND(IF(OR($C329="W",$C329="1/2W",$C329="1/2L"),$P329-$O329,IF($C329="X",0,-$O329)),2),0)</f>
        <v>0</v>
      </c>
      <c r="AI329" s="133">
        <f>IF($K329=AI$3,ROUND(IF(OR($C329="W",$C329="1/2W",$C329="1/2L"),$P329-$O329,IF($C329="X",0,-$O329)),2),0)</f>
        <v>0</v>
      </c>
      <c r="AJ329" s="133">
        <f>IF($K329=AJ$3,ROUND(IF(OR($C329="W",$C329="1/2W",$C329="1/2L"),$P329-$O329,IF($C329="X",0,-$O329)),2),0)</f>
        <v>0</v>
      </c>
      <c r="AK329" s="133">
        <f>IF($K329=AK$3,ROUND(IF(OR($C329="W",$C329="1/2W",$C329="1/2L"),$P329-$O329,IF($C329="X",0,-$O329)),2),0)</f>
        <v>0</v>
      </c>
      <c r="AL329" s="133">
        <f>IF($K329=AL$3,ROUND(IF(OR($C329="W",$C329="1/2W",$C329="1/2L"),$P329-$O329,IF($C329="X",0,-$O329)),2),0)</f>
        <v>0</v>
      </c>
      <c r="AM329" s="133">
        <f>IF($K329=AM$3,ROUND(IF(OR($C329="W",$C329="1/2W",$C329="1/2L"),$P329-$O329,IF($C329="X",0,-$O329)),2),0)</f>
        <v>0</v>
      </c>
      <c r="AN329" s="133">
        <f>IF($K329=AN$3,ROUND(IF(OR($C329="W",$C329="1/2W",$C329="1/2L"),$P329-$O329,IF($C329="X",0,-$O329)),2),0)</f>
        <v>0</v>
      </c>
      <c r="AO329" s="133">
        <f>IF($K329=AO$3,ROUND(IF(OR($C329="W",$C329="1/2W",$C329="1/2L"),$P329-$O329,IF($C329="X",0,-$O329)),2),0)</f>
        <v>0</v>
      </c>
      <c r="AP329" s="133">
        <f>IF($K329=AP$3,ROUND(IF(OR($C329="W",$C329="1/2W",$C329="1/2L"),$P329-$O329,IF($C329="X",0,-$O329)),2),0)</f>
        <v>0</v>
      </c>
      <c r="AQ329" s="133">
        <f>IF($K329=AQ$3,ROUND(IF(OR($C329="W",$C329="1/2W",$C329="1/2L"),$P329-$O329,IF($C329="X",0,-$O329)),2),0)</f>
        <v>0</v>
      </c>
      <c r="AR329" s="134">
        <f>IF($K329=AR$3,ROUND(IF(OR($C329="W",$C329="1/2W",$C329="1/2L"),$P329-$O329,IF($C329="X",0,-$O329)),2),0)</f>
        <v>0</v>
      </c>
      <c r="AS329" s="132">
        <f>IF(AND($B328=" ",$K329=AS$3),$O329,0)</f>
        <v>0</v>
      </c>
      <c r="AT329" s="133">
        <f>IF(AND($B328=" ",K329=AT$3),$O329,0)</f>
        <v>0</v>
      </c>
      <c r="AU329" s="133">
        <f>IF(AND($B328=" ",$K329=AU$3),$O329,0)</f>
        <v>0</v>
      </c>
      <c r="AV329" s="133">
        <f>IF(AND($B328=" ",$K329=AV$3),$O329,0)</f>
        <v>0</v>
      </c>
      <c r="AW329" s="133">
        <f>IF(AND($B328=" ",$K329=AW$3),$O329,0)</f>
        <v>0</v>
      </c>
      <c r="AX329" s="133">
        <f>IF(AND($B328=" ",$K329=AX$3),$O329,0)</f>
        <v>0</v>
      </c>
      <c r="AY329" s="135">
        <f>IF(AND($B328=" ",$K329=AY$3),$O329,0)</f>
        <v>0</v>
      </c>
      <c r="AZ329" s="136">
        <f>IF(AND($B328=" ",$K329=AZ$3),$O329,0)</f>
        <v>0</v>
      </c>
      <c r="BA329" s="136">
        <f>IF(AND($B328=" ",$K329=BA$3),$O329,0)</f>
        <v>0</v>
      </c>
      <c r="BB329" s="136">
        <f>IF(AND($B328=" ",$K329=BB$3),$O329,0)</f>
        <v>0</v>
      </c>
      <c r="BC329" s="137">
        <f>IF(AND($B328=" ",$K329=BC$3),$O329,0)</f>
        <v>0</v>
      </c>
      <c r="BD329" s="133">
        <f>IF(AND($B328=" ",$K329=BD$3),$O329,0)</f>
        <v>0</v>
      </c>
      <c r="BE329" s="134">
        <f>IF(AND($B328=" ",$K329=BE$3),$O329,0)</f>
        <v>0</v>
      </c>
      <c r="BF329" s="132">
        <f>IF($K329=BF$3,IF($C329="X",0,$O329),0)</f>
        <v>0</v>
      </c>
      <c r="BG329" s="281">
        <f>IF($K329=BG$3,IF($C329="X",0,$O329),0)</f>
        <v>19.74</v>
      </c>
      <c r="BH329" s="133">
        <f>IF($K329=BH$3,IF($C329="X",0,$O329),0)</f>
        <v>0</v>
      </c>
      <c r="BI329" s="133">
        <f>IF($K329=BI$3,IF($C329="X",0,$O329),0)</f>
        <v>0</v>
      </c>
      <c r="BJ329" s="133">
        <f>IF($K329=BJ$3,IF($C329="X",0,$O329),0)</f>
        <v>0</v>
      </c>
      <c r="BK329" s="133">
        <f>IF($K329=BK$3,IF($C329="X",0,$O329),0)</f>
        <v>0</v>
      </c>
      <c r="BL329" s="133">
        <f>IF($K329=BL$3,IF($C329="X",0,$O329),0)</f>
        <v>0</v>
      </c>
      <c r="BM329" s="135">
        <f>IF($K329=BM$3,IF($C329="X",0,$O329),0)</f>
        <v>0</v>
      </c>
      <c r="BN329" s="136">
        <f>IF($K329=BN$3,IF($C329="X",0,$O329),0)</f>
        <v>0</v>
      </c>
      <c r="BO329" s="136">
        <f>IF($K329=BO$3,IF($C329="X",0,$O329),0)</f>
        <v>0</v>
      </c>
      <c r="BP329" s="136">
        <f>IF($K329=BP$3,IF($C329="X",0,$O329),0)</f>
        <v>0</v>
      </c>
      <c r="BQ329" s="137">
        <f>IF($K329=BQ$3,IF($C329="X",0,$O329),0)</f>
        <v>0</v>
      </c>
      <c r="BR329" s="134">
        <f>IF($K329=BR$3,IF($C329="X",0,$O329),0)</f>
        <v>0</v>
      </c>
      <c r="BS329" s="282"/>
      <c r="BT329" s="283"/>
      <c r="BU329" s="140"/>
      <c r="BV329" s="283"/>
      <c r="BW329" s="140"/>
      <c r="BX329" s="140"/>
      <c r="BY329" s="140"/>
      <c r="BZ329" s="283"/>
      <c r="CA329" s="140"/>
      <c r="CB329" s="140"/>
      <c r="CC329" s="140"/>
      <c r="CD329" s="141"/>
      <c r="CE329" s="142"/>
      <c r="CF329" s="284">
        <f>IF(CF$3=$K329,IF($C329="W",1,IF($C329="1/2W",0.5,0)),0)</f>
        <v>0</v>
      </c>
      <c r="CG329" s="285">
        <f>IF(CF$3=$K329,IF($C329="L",1,IF($C329="1/2L",0.5,0)),0)</f>
        <v>0</v>
      </c>
      <c r="CH329" s="285">
        <f>IF(CH$3=$K329,IF($C329="W",1,IF($C329="1/2W",0.5,0)),0)</f>
        <v>0</v>
      </c>
      <c r="CI329" s="285">
        <f>IF(CH$3=$K329,IF($C329="L",1,IF($C329="1/2L",0.5,0)),0)</f>
        <v>1</v>
      </c>
      <c r="CJ329" s="285">
        <f>IF(CJ$3=$K329,IF($C329="W",1,IF($C329="1/2W",0.5,0)),0)</f>
        <v>0</v>
      </c>
      <c r="CK329" s="285">
        <f>IF(CJ$3=$K329,IF($C329="L",1,IF($C329="1/2L",0.5,0)),0)</f>
        <v>0</v>
      </c>
      <c r="CL329" s="285">
        <f>IF(CL$3=$K329,IF($C329="W",1,IF($C329="1/2W",0.5,0)),0)</f>
        <v>0</v>
      </c>
      <c r="CM329" s="285">
        <f>IF(CL$3=$K329,IF($C329="L",1,IF($C329="1/2L",0.5,0)),0)</f>
        <v>0</v>
      </c>
      <c r="CN329" s="285">
        <f>IF(CN$3=$K329,IF($C329="W",1,IF($C329="1/2W",0.5,0)),0)</f>
        <v>0</v>
      </c>
      <c r="CO329" s="285">
        <f>IF(CN$3=$K329,IF($C329="L",1,IF($C329="1/2L",0.5,0)),0)</f>
        <v>0</v>
      </c>
      <c r="CP329" s="285">
        <f>IF(CP$3=$K329,IF($C329="W",1,IF($C329="1/2W",0.5,0)),0)</f>
        <v>0</v>
      </c>
      <c r="CQ329" s="285">
        <f>IF(CP$3=$K329,IF($C329="L",1,IF($C329="1/2L",0.5,0)),0)</f>
        <v>0</v>
      </c>
      <c r="CR329" s="285">
        <f>IF(CR$3=$K329,IF($C329="W",1,IF($C329="1/2W",0.5,0)),0)</f>
        <v>0</v>
      </c>
      <c r="CS329" s="285">
        <f>IF(CR$3=$K329,IF($C329="L",1,IF($C329="1/2L",0.5,0)),0)</f>
        <v>0</v>
      </c>
      <c r="CT329" s="145">
        <f>IF(CT$3=$K329,IF($C329="W",1,IF($C329="1/2W",0.5,0)),0)</f>
        <v>0</v>
      </c>
      <c r="CU329" s="146">
        <f>IF(CT$3=$K329,IF($C329="L",1,IF($C329="1/2L",0.5,0)),0)</f>
        <v>0</v>
      </c>
      <c r="CV329" s="146">
        <f>IF(CV$3=$K329,IF($C329="W",1,IF($C329="1/2W",0.5,0)),0)</f>
        <v>0</v>
      </c>
      <c r="CW329" s="146">
        <f>IF(CV$3=$K329,IF($C329="L",1,IF($C329="1/2L",0.5,0)),0)</f>
        <v>0</v>
      </c>
      <c r="CX329" s="146">
        <f>IF(CX$3=$K329,IF($C329="W",1,IF($C329="1/2W",0.5,0)),0)</f>
        <v>0</v>
      </c>
      <c r="CY329" s="146">
        <f>IF(CX$3=$K329,IF($C329="L",1,IF($C329="1/2L",0.5,0)),0)</f>
        <v>0</v>
      </c>
      <c r="CZ329" s="146">
        <f>IF(CZ$3=$K329,IF($C329="W",1,IF($C329="1/2W",0.5,0)),0)</f>
        <v>0</v>
      </c>
      <c r="DA329" s="146">
        <f>IF(CZ$3=$K329,IF($C329="L",1,IF($C329="1/2L",0.5,0)),0)</f>
        <v>0</v>
      </c>
      <c r="DB329" s="146">
        <f>IF(DB$3=$K329,IF($C329="W",1,IF($C329="1/2W",0.5,0)),0)</f>
        <v>0</v>
      </c>
      <c r="DC329" s="146">
        <f>IF(DB$3=$K329,IF($C329="L",1,IF($C329="1/2L",0.5,0)),0)</f>
        <v>0</v>
      </c>
      <c r="DD329" s="146">
        <f>IF(DD$3=$K329,IF($C329="W",1,IF($C329="1/2W",0.5,0)),0)</f>
        <v>0</v>
      </c>
      <c r="DE329" s="147">
        <f>IF(DD$3=$K329,IF($C329="L",1,IF($C329="1/2L",0.5,0)),0)</f>
        <v>0</v>
      </c>
      <c r="DF329" s="143">
        <f>IF(AND(L329&lt;DF$3,$C329="W"),1+DF328,DF328)</f>
        <v>12</v>
      </c>
      <c r="DG329" s="133">
        <f>IF(DF329&gt;DF328,L329+DG328,DG328)</f>
        <v>15.718</v>
      </c>
      <c r="DH329" s="146">
        <f>IF(AND(L329&gt;DH$3,$C329="W"),1+DH328,0+DH328)</f>
        <v>7</v>
      </c>
      <c r="DI329" s="133">
        <f>IF(DH329&gt;DH328,L329+DI328,DI328)</f>
        <v>34.83</v>
      </c>
      <c r="DJ329" t="s" s="304">
        <f>IF($D328="","",$D328)</f>
        <v>272</v>
      </c>
      <c r="DK329" s="286"/>
    </row>
    <row r="330" ht="14.55" customHeight="1">
      <c r="A330" s="149"/>
      <c r="B330" s="150"/>
      <c r="C330" t="s" s="151">
        <v>58</v>
      </c>
      <c r="D330" s="152"/>
      <c r="E330" s="153"/>
      <c r="F330" s="155"/>
      <c r="G330" s="252"/>
      <c r="H330" s="156"/>
      <c r="I330" s="287"/>
      <c r="J330" s="288"/>
      <c r="K330" s="156"/>
      <c r="L330" s="289"/>
      <c r="M330" s="290"/>
      <c r="N330" s="161"/>
      <c r="O330" t="s" s="162">
        <f>IF(OR(AE328="",AE329=""),"",IF(L330&gt;0,ROUND(IF(M330&gt;0,M330,IF(M328&gt;0,ROUND((M328*AE330)/AE328,IF(N328=0,2,IF(N328=0.1,1,0))),IF(M329&gt;0,ROUND((M329*AE330)/AE329,IF(N328=0,2,IF(N328=0.1,1,0))),IF(M330&gt;0,M330,0)))),2),""))</f>
      </c>
      <c r="P330" t="s" s="163">
        <f>IF(I329="Lay",O329*(L329/(L329-1))-O329,IF(I328="Lay",O328*(L328/(L328-1))-O328,IF(OR(L330="",O330=""),"",IF($C330="1/2W",O330/2+O330/2*L330,IF($C330="1/2L",O330/2,(O330*L330-O330)*(1-_xlfn.XLOOKUP(K330,'Janeiro 2023 - Valor Real'!A3:A15,'Janeiro 2023 - Valor Real'!C3:C15,0))+O330)))))</f>
      </c>
      <c r="Q330" t="s" s="154">
        <f>IF(K330="","",IF(_xlfn.XLOOKUP(K330,K$108:K145,DJ$108:DJ145,0,,-1)=DJ330,_xlfn.XLOOKUP(K330,K$108:K145,Q$108:Q145,1,,-1)+1,1))</f>
      </c>
      <c r="R330" t="s" s="163">
        <f>IF(K330="","",_xlfn.XLOOKUP(K330,K$108:K145,R$108:R145,0,,-1)+IF($C330=" ",1,0))</f>
      </c>
      <c r="S330" s="166"/>
      <c r="T330" s="155"/>
      <c r="U330" s="155"/>
      <c r="V330" s="166"/>
      <c r="W330" s="155"/>
      <c r="X330" s="167"/>
      <c r="Y330" s="128"/>
      <c r="Z330" s="129"/>
      <c r="AA330" s="129"/>
      <c r="AB330" s="129"/>
      <c r="AC330" s="129"/>
      <c r="AD330" s="168"/>
      <c r="AE330" t="s" s="169">
        <f>IF(L330="","",(SUM(((L328-1)*(1-_xlfn.XLOOKUP(K328,'Janeiro 2023 - Valor Real'!A3:A15,'Janeiro 2023 - Valor Real'!C3:C15,0))+1),((L329-1)*(1-_xlfn.XLOOKUP(K329,'Janeiro 2023 - Valor Real'!A3:A15,'Janeiro 2023 - Valor Real'!C3:C15,0))+1),((L330-1)*(1-_xlfn.XLOOKUP(K330,'Janeiro 2023 - Valor Real'!A3:A15,'Janeiro 2023 - Valor Real'!C3:C15,0))+1))/((L330-1)*(1-_xlfn.XLOOKUP(K330,'Janeiro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Real'!C3:C15,0))+1))/((L328-1)*(1-_xlfn.XLOOKUP(K328,'Janeiro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Real'!C3:C15,0))+1))/((L329-1)*(1-_xlfn.XLOOKUP(K329,'Janeiro 2023 - Valor Real'!A3:A15,'Janeiro 2023 - Valor Real'!C3:C15,0))+1)+SUM(((L328-1)*(1-_xlfn.XLOOKUP(K328,'Janeiro 2023 - Valor Real'!A3:A15,'Janeiro 2023 - Valor Real'!C3:C15,0))+1),((L329-1)*(1-_xlfn.XLOOKUP(K329,'Janeiro 2023 - Valor Real'!A3:A15,'Janeiro 2023 - Valor Real'!C3:C15,0))+1),((L330-1)*(1-_xlfn.XLOOKUP(K330,'Janeiro 2023 - Valor Real'!A3:A15,'Janeiro 2023 - Valor Real'!C3:C15,0))+1))/((L330-1)*(1-_xlfn.XLOOKUP(K330,'Janeiro 2023 - Valor Real'!A3:A15,'Janeiro 2023 - Valor Real'!C3:C15,0))+1)))</f>
      </c>
      <c r="AF330" s="132">
        <f>IF($K330=AF$3,ROUND(IF(OR($C330="W",$C330="1/2W",$C330="1/2L"),$P330-$O330,IF($C330="X",0,-$O330)),2),0)</f>
        <v>0</v>
      </c>
      <c r="AG330" s="133">
        <f>IF($K330=AG$3,ROUND(IF(OR($C330="W",$C330="1/2W",$C330="1/2L"),$P330-$O330,IF($C330="X",0,-$O330)),2),0)</f>
        <v>0</v>
      </c>
      <c r="AH330" s="133">
        <f>IF($K330=AH$3,ROUND(IF(OR($C330="W",$C330="1/2W",$C330="1/2L"),$P330-$O330,IF($C330="X",0,-$O330)),2),0)</f>
        <v>0</v>
      </c>
      <c r="AI330" s="133">
        <f>IF($K330=AI$3,ROUND(IF(OR($C330="W",$C330="1/2W",$C330="1/2L"),$P330-$O330,IF($C330="X",0,-$O330)),2),0)</f>
        <v>0</v>
      </c>
      <c r="AJ330" s="133">
        <f>IF($K330=AJ$3,ROUND(IF(OR($C330="W",$C330="1/2W",$C330="1/2L"),$P330-$O330,IF($C330="X",0,-$O330)),2),0)</f>
        <v>0</v>
      </c>
      <c r="AK330" s="133">
        <f>IF($K330=AK$3,ROUND(IF(OR($C330="W",$C330="1/2W",$C330="1/2L"),$P330-$O330,IF($C330="X",0,-$O330)),2),0)</f>
        <v>0</v>
      </c>
      <c r="AL330" s="133">
        <f>IF($K330=AL$3,ROUND(IF(OR($C330="W",$C330="1/2W",$C330="1/2L"),$P330-$O330,IF($C330="X",0,-$O330)),2),0)</f>
        <v>0</v>
      </c>
      <c r="AM330" s="133">
        <f>IF($K330=AM$3,ROUND(IF(OR($C330="W",$C330="1/2W",$C330="1/2L"),$P330-$O330,IF($C330="X",0,-$O330)),2),0)</f>
        <v>0</v>
      </c>
      <c r="AN330" s="133">
        <f>IF($K330=AN$3,ROUND(IF(OR($C330="W",$C330="1/2W",$C330="1/2L"),$P330-$O330,IF($C330="X",0,-$O330)),2),0)</f>
        <v>0</v>
      </c>
      <c r="AO330" s="133">
        <f>IF($K330=AO$3,ROUND(IF(OR($C330="W",$C330="1/2W",$C330="1/2L"),$P330-$O330,IF($C330="X",0,-$O330)),2),0)</f>
        <v>0</v>
      </c>
      <c r="AP330" s="133">
        <f>IF($K330=AP$3,ROUND(IF(OR($C330="W",$C330="1/2W",$C330="1/2L"),$P330-$O330,IF($C330="X",0,-$O330)),2),0)</f>
        <v>0</v>
      </c>
      <c r="AQ330" s="133">
        <f>IF($K330=AQ$3,ROUND(IF(OR($C330="W",$C330="1/2W",$C330="1/2L"),$P330-$O330,IF($C330="X",0,-$O330)),2),0)</f>
        <v>0</v>
      </c>
      <c r="AR330" s="134">
        <f>IF($K330=AR$3,ROUND(IF(OR($C330="W",$C330="1/2W",$C330="1/2L"),$P330-$O330,IF($C330="X",0,-$O330)),2),0)</f>
        <v>0</v>
      </c>
      <c r="AS330" s="132">
        <f>IF(AND($B328=" ",$K330=AS$3),$O330,0)</f>
        <v>0</v>
      </c>
      <c r="AT330" s="133">
        <f>IF(AND($B328=" ",K330=AT$3),$O330,0)</f>
        <v>0</v>
      </c>
      <c r="AU330" s="133">
        <f>IF(AND($B328=" ",$K330=AU$3),$O330,0)</f>
        <v>0</v>
      </c>
      <c r="AV330" s="133">
        <f>IF(AND($B328=" ",$K330=AV$3),$O330,0)</f>
        <v>0</v>
      </c>
      <c r="AW330" s="133">
        <f>IF(AND($B328=" ",$K330=AW$3),$O330,0)</f>
        <v>0</v>
      </c>
      <c r="AX330" s="133">
        <f>IF(AND($B328=" ",$K330=AX$3),$O330,0)</f>
        <v>0</v>
      </c>
      <c r="AY330" s="135">
        <f>IF(AND($B328=" ",$K330=AY$3),$O330,0)</f>
        <v>0</v>
      </c>
      <c r="AZ330" s="136">
        <f>IF(AND($B328=" ",$K330=AZ$3),$O330,0)</f>
        <v>0</v>
      </c>
      <c r="BA330" s="136">
        <f>IF(AND($B328=" ",$K330=BA$3),$O330,0)</f>
        <v>0</v>
      </c>
      <c r="BB330" s="136">
        <f>IF(AND($B328=" ",$K330=BB$3),$O330,0)</f>
        <v>0</v>
      </c>
      <c r="BC330" s="137">
        <f>IF(AND($B328=" ",$K330=BC$3),$O330,0)</f>
        <v>0</v>
      </c>
      <c r="BD330" s="133">
        <f>IF(AND($B328=" ",$K330=BD$3),$O330,0)</f>
        <v>0</v>
      </c>
      <c r="BE330" s="134">
        <f>IF(AND($B328=" ",$K330=BE$3),$O330,0)</f>
        <v>0</v>
      </c>
      <c r="BF330" s="132">
        <f>IF($K330=BF$3,IF($C330="X",0,$O330),0)</f>
        <v>0</v>
      </c>
      <c r="BG330" s="281">
        <f>IF($K330=BG$3,IF($C330="X",0,$O330),0)</f>
        <v>0</v>
      </c>
      <c r="BH330" s="133">
        <f>IF($K330=BH$3,IF($C330="X",0,$O330),0)</f>
        <v>0</v>
      </c>
      <c r="BI330" s="133">
        <f>IF($K330=BI$3,IF($C330="X",0,$O330),0)</f>
        <v>0</v>
      </c>
      <c r="BJ330" s="133">
        <f>IF($K330=BJ$3,IF($C330="X",0,$O330),0)</f>
        <v>0</v>
      </c>
      <c r="BK330" s="133">
        <f>IF($K330=BK$3,IF($C330="X",0,$O330),0)</f>
        <v>0</v>
      </c>
      <c r="BL330" s="133">
        <f>IF($K330=BL$3,IF($C330="X",0,$O330),0)</f>
        <v>0</v>
      </c>
      <c r="BM330" s="135">
        <f>IF($K330=BM$3,IF($C330="X",0,$O330),0)</f>
        <v>0</v>
      </c>
      <c r="BN330" s="136">
        <f>IF($K330=BN$3,IF($C330="X",0,$O330),0)</f>
        <v>0</v>
      </c>
      <c r="BO330" s="136">
        <f>IF($K330=BO$3,IF($C330="X",0,$O330),0)</f>
        <v>0</v>
      </c>
      <c r="BP330" s="136">
        <f>IF($K330=BP$3,IF($C330="X",0,$O330),0)</f>
        <v>0</v>
      </c>
      <c r="BQ330" s="137">
        <f>IF($K330=BQ$3,IF($C330="X",0,$O330),0)</f>
        <v>0</v>
      </c>
      <c r="BR330" s="134">
        <f>IF($K330=BR$3,IF($C330="X",0,$O330),0)</f>
        <v>0</v>
      </c>
      <c r="BS330" s="282"/>
      <c r="BT330" s="283"/>
      <c r="BU330" s="140"/>
      <c r="BV330" s="283"/>
      <c r="BW330" s="140"/>
      <c r="BX330" s="140"/>
      <c r="BY330" s="140"/>
      <c r="BZ330" s="283"/>
      <c r="CA330" s="140"/>
      <c r="CB330" s="140"/>
      <c r="CC330" s="140"/>
      <c r="CD330" s="141"/>
      <c r="CE330" s="142"/>
      <c r="CF330" s="284">
        <f>IF(CF$3=$K330,IF($C330="W",1,IF($C330="1/2W",0.5,0)),0)</f>
        <v>0</v>
      </c>
      <c r="CG330" s="285">
        <f>IF(CF$3=$K330,IF($C330="L",1,IF($C330="1/2L",0.5,0)),0)</f>
        <v>0</v>
      </c>
      <c r="CH330" s="285">
        <f>IF(CH$3=$K330,IF($C330="W",1,IF($C330="1/2W",0.5,0)),0)</f>
        <v>0</v>
      </c>
      <c r="CI330" s="285">
        <f>IF(CH$3=$K330,IF($C330="L",1,IF($C330="1/2L",0.5,0)),0)</f>
        <v>0</v>
      </c>
      <c r="CJ330" s="285">
        <f>IF(CJ$3=$K330,IF($C330="W",1,IF($C330="1/2W",0.5,0)),0)</f>
        <v>0</v>
      </c>
      <c r="CK330" s="285">
        <f>IF(CJ$3=$K330,IF($C330="L",1,IF($C330="1/2L",0.5,0)),0)</f>
        <v>0</v>
      </c>
      <c r="CL330" s="285">
        <f>IF(CL$3=$K330,IF($C330="W",1,IF($C330="1/2W",0.5,0)),0)</f>
        <v>0</v>
      </c>
      <c r="CM330" s="285">
        <f>IF(CL$3=$K330,IF($C330="L",1,IF($C330="1/2L",0.5,0)),0)</f>
        <v>0</v>
      </c>
      <c r="CN330" s="285">
        <f>IF(CN$3=$K330,IF($C330="W",1,IF($C330="1/2W",0.5,0)),0)</f>
        <v>0</v>
      </c>
      <c r="CO330" s="285">
        <f>IF(CN$3=$K330,IF($C330="L",1,IF($C330="1/2L",0.5,0)),0)</f>
        <v>0</v>
      </c>
      <c r="CP330" s="285">
        <f>IF(CP$3=$K330,IF($C330="W",1,IF($C330="1/2W",0.5,0)),0)</f>
        <v>0</v>
      </c>
      <c r="CQ330" s="285">
        <f>IF(CP$3=$K330,IF($C330="L",1,IF($C330="1/2L",0.5,0)),0)</f>
        <v>0</v>
      </c>
      <c r="CR330" s="285">
        <f>IF(CR$3=$K330,IF($C330="W",1,IF($C330="1/2W",0.5,0)),0)</f>
        <v>0</v>
      </c>
      <c r="CS330" s="285">
        <f>IF(CR$3=$K330,IF($C330="L",1,IF($C330="1/2L",0.5,0)),0)</f>
        <v>0</v>
      </c>
      <c r="CT330" s="145">
        <f>IF(CT$3=$K330,IF($C330="W",1,IF($C330="1/2W",0.5,0)),0)</f>
        <v>0</v>
      </c>
      <c r="CU330" s="146">
        <f>IF(CT$3=$K330,IF($C330="L",1,IF($C330="1/2L",0.5,0)),0)</f>
        <v>0</v>
      </c>
      <c r="CV330" s="146">
        <f>IF(CV$3=$K330,IF($C330="W",1,IF($C330="1/2W",0.5,0)),0)</f>
        <v>0</v>
      </c>
      <c r="CW330" s="146">
        <f>IF(CV$3=$K330,IF($C330="L",1,IF($C330="1/2L",0.5,0)),0)</f>
        <v>0</v>
      </c>
      <c r="CX330" s="146">
        <f>IF(CX$3=$K330,IF($C330="W",1,IF($C330="1/2W",0.5,0)),0)</f>
        <v>0</v>
      </c>
      <c r="CY330" s="146">
        <f>IF(CX$3=$K330,IF($C330="L",1,IF($C330="1/2L",0.5,0)),0)</f>
        <v>0</v>
      </c>
      <c r="CZ330" s="146">
        <f>IF(CZ$3=$K330,IF($C330="W",1,IF($C330="1/2W",0.5,0)),0)</f>
        <v>0</v>
      </c>
      <c r="DA330" s="146">
        <f>IF(CZ$3=$K330,IF($C330="L",1,IF($C330="1/2L",0.5,0)),0)</f>
        <v>0</v>
      </c>
      <c r="DB330" s="146">
        <f>IF(DB$3=$K330,IF($C330="W",1,IF($C330="1/2W",0.5,0)),0)</f>
        <v>0</v>
      </c>
      <c r="DC330" s="146">
        <f>IF(DB$3=$K330,IF($C330="L",1,IF($C330="1/2L",0.5,0)),0)</f>
        <v>0</v>
      </c>
      <c r="DD330" s="146">
        <f>IF(DD$3=$K330,IF($C330="W",1,IF($C330="1/2W",0.5,0)),0)</f>
        <v>0</v>
      </c>
      <c r="DE330" s="147">
        <f>IF(DD$3=$K330,IF($C330="L",1,IF($C330="1/2L",0.5,0)),0)</f>
        <v>0</v>
      </c>
      <c r="DF330" s="143">
        <f>IF(AND(L330&lt;DF$3,$C330="W"),1+DF329,DF329)</f>
        <v>12</v>
      </c>
      <c r="DG330" s="133">
        <f>IF(DF330&gt;DF329,L330+DG329,DG329)</f>
        <v>15.718</v>
      </c>
      <c r="DH330" s="146">
        <f>IF(AND(L330&gt;DH$3,$C330="W"),1+DH329,0+DH329)</f>
        <v>7</v>
      </c>
      <c r="DI330" s="133">
        <f>IF(DH330&gt;DH329,L330+DI329,DI329)</f>
        <v>34.83</v>
      </c>
      <c r="DJ330" t="s" s="304">
        <f>IF($D328="","",$D328)</f>
        <v>272</v>
      </c>
      <c r="DK330" s="286"/>
    </row>
    <row r="331" ht="14.55" customHeight="1">
      <c r="A331" s="171">
        <f>$A328+1</f>
        <v>110</v>
      </c>
      <c r="B331" t="s" s="172">
        <f>IF(AND(_xlfn.XLOOKUP(H331,H$103:H146,G$103:G146,0)=G331,_xlfn.XLOOKUP("TempoBet",K331:K333,L331:L333,0)&gt;0),"X",IF(OR(C331="W",C332="W",C333="W",C331="1/2W",C332="1/2W",C333="1/2W",C331="1/2L",C332="1/2L",C333="1/2L"),"OK",IF(OR(C331="L",C332="L",C333="L"),"LOSS",IF(OR(C331="X",C332="X",C333="X"),"Anulado"," "))))</f>
        <v>50</v>
      </c>
      <c r="C331" t="s" s="173">
        <v>56</v>
      </c>
      <c r="D331" t="s" s="305">
        <f>IF(G331="","",$D328)</f>
        <v>272</v>
      </c>
      <c r="E331" t="s" s="175">
        <f>IF(G331=""," ","– "&amp;COUNTIF(D$4:D333,$D331))</f>
        <v>127</v>
      </c>
      <c r="F331" t="s" s="176"/>
      <c r="G331" s="177">
        <v>44946.666666666664</v>
      </c>
      <c r="H331" t="s" s="178">
        <v>288</v>
      </c>
      <c r="I331" t="s" s="179">
        <v>81</v>
      </c>
      <c r="J331" s="180"/>
      <c r="K331" t="s" s="181">
        <v>38</v>
      </c>
      <c r="L331" s="182">
        <v>1.83</v>
      </c>
      <c r="M331" s="183"/>
      <c r="N331" s="184">
        <v>0</v>
      </c>
      <c r="O331" s="185">
        <f>IF(OR(AE331="",AE332=""),"",ROUND(IF(L333&gt;0,IF(M331&gt;0,M331,IF(M332&gt;0,ROUND((M332*AE331)/AE332,IF(N331=0,2,IF(N331=0.1,1,0))),ROUND((M333*AE331)/AE333,IF(N331=0,2,IF(N331=0.1,1,0))))),IF(M331&gt;0,M331,ROUND((M332*AE331)/AE332,IF(N331=0,2,IF(N331=0.1,1,0))))),2))</f>
        <v>6.89</v>
      </c>
      <c r="P331" s="186">
        <f>IF(OR(L331="",O331=""),"",IF($C331="1/2W",O331/2+O331/2*L331,IF($C331="1/2L",O331/2,IF(I331="Lay",(O331*(L331/(L331-1))-O331)*(1-_xlfn.XLOOKUP(K331,'Janeiro 2023 - Valor Real'!A3:A15,'Janeiro 2023 - Valor Real'!C3:C15,0))+O331,(O331*L331-O331)*(1-_xlfn.XLOOKUP(K331,'Janeiro 2023 - Valor Real'!A3:A15,'Janeiro 2023 - Valor Real'!C3:C15,0))+O331))))</f>
        <v>12.6087</v>
      </c>
      <c r="Q331" s="187">
        <f>IF(K331="","",IF(_xlfn.XLOOKUP(K331,K$103:K146,DJ$103:DJ146,0,,-1)=DJ331,_xlfn.XLOOKUP(K331,K$103:K146,Q$103:Q146,1,,-1)+1,1))</f>
        <v>1</v>
      </c>
      <c r="R331" s="188">
        <f>IF(K331="","",_xlfn.XLOOKUP(K331,K$103:K146,R$103:R146,0,,-1)+IF($C331=" ",1,0))</f>
        <v>0</v>
      </c>
      <c r="S331" s="189">
        <f>IF($B331="Anulado",0,ROUND(IF(OR($B331="LOSS",$B331="OK"),IF(OR($C331="W",$C331="1/2W",$C331="1/2L"),P331-O331,IF($C331="L",-O331,0))+IF(OR($C332="W",$C332="1/2W",$C332="1/2L"),P332-O332,IF($C332="L",-O332,0))+IF(OR($C333="W",$C333="1/2W",$C333="1/2L"),P333-O333,IF($C333="L",-O333,0)),IF(AND(OR($C331="W",$C331="1/2W",$C331="1/2L"),C332="W"),P331+P332-SUM(O331:O333)+_xlfn.XLOOKUP("X",C331:C333,O331:O333,0),IF(AND(C331=TRUE,C333="W"),P331+P333-SUM(O331:O333),IF(AND(C332="W",C333="W"),P332+P333-SUM(O331:O333)+_xlfn.XLOOKUP("X",C331:C333,O331:O333,0),IF(L333&gt;0,IF(OR($C331="W",$C331="1/2W",$C331="1/2L"),P331-SUM(O331:O333)+_xlfn.XLOOKUP("X",C331:C333,O331:O333,0),IF(OR($C331="W",$C331="1/2W",$C331="1/2L"),P332-SUM(O331:O333)+_xlfn.XLOOKUP("X",C331:C333,O331:O333,0),IF(OR($C331="W",$C331="1/2W",$C331="1/2L"),P333-SUM(O331:O333)+_xlfn.XLOOKUP("X",C331:C333,O331:O333,0),IF(SUM(P331:P333)/3-SUM(O331:O333)+_xlfn.XLOOKUP("X",C331:C333,O331:O333,0)&gt;0,SUM(P331:P333)/3-SUM(O331:O333)+_xlfn.XLOOKUP("X",C331:C333,O331:O333,0),LARGE(P331:P333,1)-SUM(O331:O333))))),IF(OR($C331="W",$C331="1/2W",$C331="1/2L"),P331-SUM(O331:O332)+_xlfn.XLOOKUP("X",C331:C333,O331:O333,0),IF(OR($C331="W",$C331="1/2W",$C331="1/2L"),P332-SUM(O331:O332)+_xlfn.XLOOKUP("X",C331:C333,O331:O333,0),SUM(P331:P332)/2-SUM(O331:O332)+_xlfn.XLOOKUP("X",C331:C333,O331:O333,0)))))))),2))</f>
        <v>2.22</v>
      </c>
      <c r="T331" s="190">
        <f>IF(S331=0,0,S331/SUM(O331:O333))</f>
        <v>0.213666987487969</v>
      </c>
      <c r="U331" s="191">
        <f>IF($D331=$D328,IF(OR($B331="LOSS",$B331="OK",$B331="Anulada"),S331,0)+U328,IF(OR($B331="LOSS",$B331="OK",$B331="Anulada"),S331,0))</f>
        <v>-1.86</v>
      </c>
      <c r="V331" s="191">
        <f>IF($D331="",0,IF($D331=$D328,IF($B331=" ",IF(I333="",IF(OR(AND(I331="DNB1",I332="DNB2"),AND(OR(I331="DNB1",I331="DNB2"),J332=0),AND(OR(I332="DNB1",I332="DNB2"),J331=0),AND(I331="DNB2",I332="DNB1"),AND(IF(J331=0,(J331+1)/ROUND(J331+1,0),J331/ROUND(J331,0))=1,IF(J332=0,(J332+1)/ROUND(IF(J332="",0,J332)+1,0),IF(J332="",0,J332)/ROUND(IF(J332="",1,J332),0))=1,OR(J331&lt;&gt;""),J332&lt;&gt;"")),0,IF(S331&lt;0,IF(I333="",SMALL(P331:P332,1)-SUM(O331:O332),0),SMALL(P331:P332,1)-SUM(O331:O332))),IF(S331&lt;0,IF(I333="",SMALL(P331:P333,1)-SUM(O331:O333),0),LARGE(P331:P333,1)-SUM(O331:O333))),S331)+V328,IF(I333="",IF(OR(AND(I331="DNB1",I332="DNB2"),AND(OR(I331="DNB1",I331="DNB2"),J332=0),AND(OR(I332="DNB1",I332="DNB2"),J331=0),AND(I331="DNB2",I332="DNB1"),AND(IF(J331=0,(J331+1)/ROUND(J331+1,0),J331/ROUND(J331,0))=1,IF(J332=0,(IF(J332="",0,J332)+1)/ROUND(IF(J332="",0,J332)+1,0),IF(J332="",0,J332)/ROUND(IF(J332="",0,J332)+1,0))=1,OR(J331&lt;&gt;""),J332&lt;&gt;"")),0,IF(S331&lt;0,IF(I333="",SMALL(P331:P332,1)-SUM(O331:O332),0),SMALL(P331:P333,1)-SUM(O331:O333))),IF(S331&lt;0,IF(I333="",SMALL(P331:P333,1)-SUM(O331:O333),0),LARGE(P331:P333,1)-SUM(O331:O333)))))</f>
        <v>-1.895</v>
      </c>
      <c r="W331" s="191">
        <f>IF($D331=$D328,IF(S331&lt;0,IF(I333="",S331,0),S331)+W328,S331)</f>
        <v>-1.86</v>
      </c>
      <c r="X331" t="s" s="192">
        <f>IF(OR(SUM(R331:R333)=0,V331=W331),ROUND(IF(W331=0,0,W331/Y331)*100,2)&amp;"%",ROUND(IF(V331=0,0,V331/Y331)*100,2)&amp;"% a "&amp;ROUND(IF(W331=0,0,W331/Y331)*100,2)&amp;"%")</f>
        <v>289</v>
      </c>
      <c r="Y331" s="193">
        <f>IF($D331=$D328,Y328+SUM(O331:O333),SUM(O331:O333))</f>
        <v>287.11</v>
      </c>
      <c r="Z331" s="191">
        <f>IF($B331=" ",SUM(O331:O333),0)+Z328</f>
        <v>0</v>
      </c>
      <c r="AA331" s="191">
        <f>IF(G331="","",IF($B331="Anulado",LARGE(P331:P333,1)-SUM(O331:O333)+AA328,AA328))</f>
        <v>16.5099</v>
      </c>
      <c r="AB331" s="191">
        <f>IF($D331="","",AB328+S331)</f>
        <v>301.51</v>
      </c>
      <c r="AC331" s="194">
        <f>IF($D331="","",IF($B331=" ",IF(DAY(G331)=DAY(TODAY()),1+AC328,0+AC328),0+AC328))</f>
        <v>0</v>
      </c>
      <c r="AD331" s="195">
        <f>(((L332/(L332-1)-1)*(1-_xlfn.XLOOKUP(K332,'Janeiro 2023 - Valor Real'!A3:A15,'Janeiro 2023 - Valor Real'!C3:C15,0))+1))/(((L331-1)*(1-_xlfn.XLOOKUP(K331,'Janeiro 2023 - Valor Real'!A3:A15,'Janeiro 2023 - Valor Real'!C3:C15,0))+1)+((L332/(L332-1)-1)*(1-_xlfn.XLOOKUP(K332,'Janeiro 2023 - Valor Real'!A3:A15,'Janeiro 2023 - Valor Real'!C3:C15,0))+1))</f>
        <v>0.430725053840632</v>
      </c>
      <c r="AE331" s="196">
        <f>IF(L331="","",IF(L333&gt;0,(SUM(((L331-1)*(1-_xlfn.XLOOKUP(K331,'Janeiro 2023 - Valor Real'!A3:A15,'Janeiro 2023 - Valor Real'!C3:C15,0))+1),((L332-1)*(1-_xlfn.XLOOKUP(K332,'Janeiro 2023 - Valor Real'!A3:A15,'Janeiro 2023 - Valor Real'!C3:C15,0))+1),((L333-1)*(1-_xlfn.XLOOKUP(K333,'Janeiro 2023 - Valor Real'!A3:A15,'Janeiro 2023 - Valor Real'!C3:C15,0))+1))/((L331-1)*(1-_xlfn.XLOOKUP(K331,'Janeiro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Real'!C3:C15,0))+1))/((L331-1)*(1-_xlfn.XLOOKUP(K331,'Janeiro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Real'!C3:C15,0))+1))/((L332-1)*(1-_xlfn.XLOOKUP(K332,'Janeiro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Real'!C3:C15,0))+1))/((L333-1)*(1-_xlfn.XLOOKUP(K333,'Janeiro 2023 - Valor Real'!A3:A15,'Janeiro 2023 - Valor Real'!C3:C15,0))+1)),IF(I331="Lay",IF(I332="Lay",((L332/(L332-1)-1)*(1-_xlfn.XLOOKUP(K332,'Janeiro 2023 - Valor Real'!A3:A15,'Janeiro 2023 - Valor Real'!C3:C15,0))+1)/(((L332/(L332-1)-1)*(1-_xlfn.XLOOKUP(K332,'Janeiro 2023 - Valor Real'!A3:A15,'Janeiro 2023 - Valor Real'!C3:C15,0))+1)+((L331/(L331-1)-1)*(1-_xlfn.XLOOKUP(K331,'Janeiro 2023 - Valor Real'!A3:A15,'Janeiro 2023 - Valor Real'!C3:C15,0))+1)),((L332-1)*(1-_xlfn.XLOOKUP(K332,'Janeiro 2023 - Valor Real'!A3:A15,'Janeiro 2023 - Valor Real'!C3:C15,0))+1)/(((L332-1)*(1-_xlfn.XLOOKUP(K332,'Janeiro 2023 - Valor Real'!A3:A15,'Janeiro 2023 - Valor Real'!C3:C15,0))+1)+((L331/(L331-1)-1)*(1-_xlfn.XLOOKUP(K331,'Janeiro 2023 - Valor Real'!A3:A15,'Janeiro 2023 - Valor Real'!C3:C15,0))+1))),IF(I332="Lay",(((L332/(L332-1)-1)*(1-_xlfn.XLOOKUP(K332,'Janeiro 2023 - Valor Real'!A3:A15,'Janeiro 2023 - Valor Real'!C3:C15,0))+1))/(((L331-1)*(1-_xlfn.XLOOKUP(K331,'Janeiro 2023 - Valor Real'!A3:A15,'Janeiro 2023 - Valor Real'!C3:C15,0))+1)+((L332/(L332-1)-1)*(1-_xlfn.XLOOKUP(K332,'Janeiro 2023 - Valor Real'!A3:A15,'Janeiro 2023 - Valor Real'!C3:C15,0))+1)),((L332-1)*(1-_xlfn.XLOOKUP(K332,'Janeiro 2023 - Valor Real'!A3:A15,'Janeiro 2023 - Valor Real'!C3:C15,0))+1)/(((L332-1)*(1-_xlfn.XLOOKUP(K332,'Janeiro 2023 - Valor Real'!A3:A15,'Janeiro 2023 - Valor Real'!C3:C15,0))+1)+((L331-1)*(1-_xlfn.XLOOKUP(K331,'Janeiro 2023 - Valor Real'!A3:A15,'Janeiro 2023 - Valor Real'!C3:C15,0))+1))))))</f>
        <v>0.6629834254143649</v>
      </c>
      <c r="AF331" s="197">
        <f>IF($K331=AF$3,ROUND(IF(OR($C331="W",$C331="1/2W",$C331="1/2L"),$P331-$O331,IF($C331="X",0,-$O331)),2),0)</f>
        <v>0</v>
      </c>
      <c r="AG331" s="198">
        <f>IF($K331=AG$3,ROUND(IF(OR($C331="W",$C331="1/2W",$C331="1/2L"),$P331-$O331,IF($C331="X",0,-$O331)),2),0)</f>
        <v>5.72</v>
      </c>
      <c r="AH331" s="198">
        <f>IF($K331=AH$3,ROUND(IF(OR($C331="W",$C331="1/2W",$C331="1/2L"),$P331-$O331,IF($C331="X",0,-$O331)),2),0)</f>
        <v>0</v>
      </c>
      <c r="AI331" s="198">
        <f>IF($K331=AI$3,ROUND(IF(OR($C331="W",$C331="1/2W",$C331="1/2L"),$P331-$O331,IF($C331="X",0,-$O331)),2),0)</f>
        <v>0</v>
      </c>
      <c r="AJ331" s="198">
        <f>IF($K331=AJ$3,ROUND(IF(OR($C331="W",$C331="1/2W",$C331="1/2L"),$P331-$O331,IF($C331="X",0,-$O331)),2),0)</f>
        <v>0</v>
      </c>
      <c r="AK331" s="198">
        <f>IF($K331=AK$3,ROUND(IF(OR($C331="W",$C331="1/2W",$C331="1/2L"),$P331-$O331,IF($C331="X",0,-$O331)),2),0)</f>
        <v>0</v>
      </c>
      <c r="AL331" s="198">
        <f>IF($K331=AL$3,ROUND(IF(OR($C331="W",$C331="1/2W",$C331="1/2L"),$P331-$O331,IF($C331="X",0,-$O331)),2),0)</f>
        <v>0</v>
      </c>
      <c r="AM331" s="198">
        <f>IF($K331=AM$3,ROUND(IF(OR($C331="W",$C331="1/2W",$C331="1/2L"),$P331-$O331,IF($C331="X",0,-$O331)),2),0)</f>
        <v>0</v>
      </c>
      <c r="AN331" s="198">
        <f>IF($K331=AN$3,ROUND(IF(OR($C331="W",$C331="1/2W",$C331="1/2L"),$P331-$O331,IF($C331="X",0,-$O331)),2),0)</f>
        <v>0</v>
      </c>
      <c r="AO331" s="198">
        <f>IF($K331=AO$3,ROUND(IF(OR($C331="W",$C331="1/2W",$C331="1/2L"),$P331-$O331,IF($C331="X",0,-$O331)),2),0)</f>
        <v>0</v>
      </c>
      <c r="AP331" s="198">
        <f>IF($K331=AP$3,ROUND(IF(OR($C331="W",$C331="1/2W",$C331="1/2L"),$P331-$O331,IF($C331="X",0,-$O331)),2),0)</f>
        <v>0</v>
      </c>
      <c r="AQ331" s="198">
        <f>IF($K331=AQ$3,ROUND(IF(OR($C331="W",$C331="1/2W",$C331="1/2L"),$P331-$O331,IF($C331="X",0,-$O331)),2),0)</f>
        <v>0</v>
      </c>
      <c r="AR331" s="199">
        <f>IF($K331=AR$3,ROUND(IF(OR($C331="W",$C331="1/2W",$C331="1/2L"),$P331-$O331,IF($C331="X",0,-$O331)),2),0)</f>
        <v>0</v>
      </c>
      <c r="AS331" s="197">
        <f>IF(AND($B331=" ",$K331=AS$3),$O331,0)</f>
        <v>0</v>
      </c>
      <c r="AT331" s="198">
        <f>IF(AND($B331=" ",$K331=AT$3),$O331,0)</f>
        <v>0</v>
      </c>
      <c r="AU331" s="198">
        <f>IF(AND($B331=" ",$K331=AU$3),$O331,0)</f>
        <v>0</v>
      </c>
      <c r="AV331" s="198">
        <f>IF(AND($B331=" ",$K331=AV$3),$O331,0)</f>
        <v>0</v>
      </c>
      <c r="AW331" s="198">
        <f>IF(AND($B331=" ",$K331=AW$3),$O331,0)</f>
        <v>0</v>
      </c>
      <c r="AX331" s="198">
        <f>IF(AND($B331=" ",$K331=AX$3),$O331,0)</f>
        <v>0</v>
      </c>
      <c r="AY331" s="200">
        <f>IF(AND($B331=" ",$K331=AY$3),$O331,0)</f>
        <v>0</v>
      </c>
      <c r="AZ331" s="201">
        <f>IF(AND($B331=" ",$K331=AZ$3),$O331,0)</f>
        <v>0</v>
      </c>
      <c r="BA331" s="201">
        <f>IF(AND($B331=" ",$K331=BA$3),$O331,0)</f>
        <v>0</v>
      </c>
      <c r="BB331" s="201">
        <f>IF(AND($B331=" ",$K331=BB$3),$O331,0)</f>
        <v>0</v>
      </c>
      <c r="BC331" s="202">
        <f>IF(AND($B331=" ",$K331=BC$3),$O331,0)</f>
        <v>0</v>
      </c>
      <c r="BD331" s="198">
        <f>IF(AND($B331=" ",$K331=BD$3),$O331,0)</f>
        <v>0</v>
      </c>
      <c r="BE331" s="199">
        <f>IF(AND($B331=" ",$K331=BE$3),$O331,0)</f>
        <v>0</v>
      </c>
      <c r="BF331" s="203">
        <f>IF($K331=BF$3,IF($C331="X",0,$O331),0)</f>
        <v>0</v>
      </c>
      <c r="BG331" s="198">
        <f>IF($K331=BG$3,IF($C331="X",0,$O331),0)</f>
        <v>6.89</v>
      </c>
      <c r="BH331" s="198">
        <f>IF($K331=BH$3,IF($C331="X",0,$O331),0)</f>
        <v>0</v>
      </c>
      <c r="BI331" s="198">
        <f>IF($K331=BI$3,IF($C331="X",0,$O331),0)</f>
        <v>0</v>
      </c>
      <c r="BJ331" s="198">
        <f>IF($K331=BJ$3,IF($C331="X",0,$O331),0)</f>
        <v>0</v>
      </c>
      <c r="BK331" s="198">
        <f>IF($K331=BK$3,IF($C331="X",0,$O331),0)</f>
        <v>0</v>
      </c>
      <c r="BL331" s="198">
        <f>IF($K331=BL$3,IF($C331="X",0,$O331),0)</f>
        <v>0</v>
      </c>
      <c r="BM331" s="200">
        <f>IF($K331=BM$3,IF($C331="X",0,$O331),0)</f>
        <v>0</v>
      </c>
      <c r="BN331" s="201">
        <f>IF($K331=BN$3,IF($C331="X",0,$O331),0)</f>
        <v>0</v>
      </c>
      <c r="BO331" s="201">
        <f>IF($K331=BO$3,IF($C331="X",0,$O331),0)</f>
        <v>0</v>
      </c>
      <c r="BP331" s="201">
        <f>IF($K331=BP$3,IF($C331="X",0,$O331),0)</f>
        <v>0</v>
      </c>
      <c r="BQ331" s="202">
        <f>IF($K331=BQ$3,IF($C331="X",0,$O331),0)</f>
        <v>0</v>
      </c>
      <c r="BR331" s="199">
        <f>IF($K331=BR$3,IF($C331="X",0,$O331),0)</f>
        <v>0</v>
      </c>
      <c r="BS331" s="204">
        <f>IF($B331="LOSS",IF(AND($K331=BS$3,$C331="L"),-$O331,0)+IF(AND($K332=BS$3,$C332="L"),-$O332,0)+IF(AND($K333=BS$3,$C333="L"),-$O333,0),IF(OR(AND($K331=BS$3,OR($C331="W",$C331="1/2W")),AND($K332=BS$3,OR($C332="W",$C332="1/2W")),AND($K333=BS$3,OR($C333="W",$C333="1/2W"))),$S331,0))</f>
        <v>0</v>
      </c>
      <c r="BT331" s="201">
        <f>IF($B331="LOSS",IF(AND($K331=BT$3,$C331="L"),-$O331,0)+IF(AND($K332=BT$3,$C332="L"),-$O332,0)+IF(AND($K332=BT$3,$C333="L"),-$O333,0),IF(OR(AND($K332=BT$3,OR($C331="W",$C331="1/2W")),AND($K332=BT$3,OR($C332="W",$C332="1/2W")),AND($K332=BT$3,OR($C333="W",$C333="1/2W"))),$S331,0))</f>
        <v>0</v>
      </c>
      <c r="BU331" s="201">
        <f>IF($B331="LOSS",IF(AND($K331=BU$3,$C331="L"),-$O331,0)+IF(AND($K332=BU$3,$C332="L"),-$O332,0)+IF(AND($K332=BU$3,$C333="L"),-$O333,0),IF(OR(AND($K332=BU$3,OR($C331="W",$C331="1/2W")),AND($K332=BU$3,OR($C332="W",$C332="1/2W")),AND($K332=BU$3,OR($C333="W",$C333="1/2W"))),$S331,0))</f>
        <v>0</v>
      </c>
      <c r="BV331" s="201">
        <f>IF($B331="LOSS",IF(AND($K331=BV$3,$C331="L"),-$O331,0)+IF(AND($K332=BV$3,$C332="L"),-$O332,0)+IF(AND($K333=BV$3,$C333="L"),-$O333,0),IF(OR(AND($K331=BV$3,OR($C331="W",$C331="1/2W")),AND($K332=BV$3,OR($C332="W",$C332="1/2W")),AND($K333=BV$3,OR($C333="W",$C333="1/2W"))),$S331,0))</f>
        <v>0</v>
      </c>
      <c r="BW331" s="201">
        <f>IF($B331="LOSS",IF(AND($K331=BW$3,$C331="L"),-$O331,0)+IF(AND($K332=BW$3,$C332="L"),-$O332,0)+IF(AND($K333=BW$3,$C333="L"),-$O333,0),IF(OR(AND($K331=BW$3,OR($C331="W",$C331="1/2W")),AND($K332=BW$3,OR($C332="W",$C332="1/2W")),AND($K333=BW$3,OR($C333="W",$C333="1/2W"))),$S331,0))</f>
        <v>0</v>
      </c>
      <c r="BX331" s="201">
        <f>IF($B331="LOSS",IF(AND($K331=BX$3,$C331="L"),-$O331,0)+IF(AND($K332=BX$3,$C332="L"),-$O332,0)+IF(AND($K333=BX$3,$C333="L"),-$O333,0),IF(OR(AND($K331=BX$3,OR($C331="W",$C331="1/2W")),AND($K332=BX$3,OR($C332="W",$C332="1/2W")),AND($K333=BX$3,OR($C333="W",$C333="1/2W"))),$S331,0))</f>
        <v>0</v>
      </c>
      <c r="BY331" s="201">
        <f>IF($B331="LOSS",IF(AND($K331=BY$3,$C331="L"),-$O331,0)+IF(AND($K332=BY$3,$C332="L"),-$O332,0)+IF(AND($K333=BY$3,$C333="L"),-$O333,0),IF(OR(AND($K331=BY$3,OR($C331="W",$C331="1/2W")),AND($K332=BY$3,OR($C332="W",$C332="1/2W")),AND($K333=BY$3,OR($C333="W",$C333="1/2W"))),$S331,0))</f>
        <v>0</v>
      </c>
      <c r="BZ331" s="205">
        <f>IF($B331="LOSS",IF(AND($K331=BZ$3,$C331="L"),-$O331,0)+IF(AND($K332=BZ$3,$C332="L"),-$O332,0)+IF(AND($K333=BZ$3,$C333="L"),-$O333,0),IF(OR(AND($K331=BZ$3,OR($C331="W",$C331="1/2W")),AND($K332=BZ$3,OR($C332="W",$C332="1/2W")),AND($K333=BZ$3,OR($C333="W",$C333="1/2W"))),$S331,0))</f>
        <v>0</v>
      </c>
      <c r="CA331" s="205">
        <f>IF($B331="LOSS",IF(AND($K331=CA$3,$C331="L"),-$O331,0)+IF(AND($K332=CA$3,$C332="L"),-$O332,0)+IF(AND($K333=CA$3,$C333="L"),-$O333,0),IF(OR(AND($K331=CA$3,OR($C331="W",$C331="1/2W")),AND($K332=CA$3,OR($C332="W",$C332="1/2W")),AND($K333=CA$3,OR($C333="W",$C333="1/2W"))),$S331,0))</f>
        <v>0</v>
      </c>
      <c r="CB331" s="205">
        <f>IF($B331="LOSS",IF(AND($K331=CB$3,$C331="L"),-$O331,0)+IF(AND($K332=CB$3,$C332="L"),-$O332,0)+IF(AND($K333=CB$3,$C333="L"),-$O333,0),IF(OR(AND($K331=CB$3,OR($C331="W",$C331="1/2W")),AND($K332=CB$3,OR($C332="W",$C332="1/2W")),AND($K333=CB$3,OR($C333="W",$C333="1/2W"))),$S331,0))</f>
        <v>0</v>
      </c>
      <c r="CC331" s="205">
        <f>IF($B331="LOSS",IF(AND($K331=CC$3,$C331="L"),-$O331,0)+IF(AND($K332=CC$3,$C332="L"),-$O332,0)+IF(AND($K333=CC$3,$C333="L"),-$O333,0),IF(OR(AND($K331=CC$3,OR($C331="W",$C331="1/2W")),AND($K332=CC$3,OR($C332="W",$C332="1/2W")),AND($K333=CC$3,OR($C333="W",$C333="1/2W"))),$S331,0))</f>
        <v>0</v>
      </c>
      <c r="CD331" s="202">
        <f>IF($B331="LOSS",IF(AND($K331=CD$3,$C331="L"),-$O331,0)+IF(AND($K332=CD$3,$C332="L"),-$O332,0)+IF(AND($K333=CD$3,$C333="L"),-$O333,0),IF(OR(AND($K331=CD$3,OR($C331="W",$C331="1/2W")),AND($K332=CD$3,OR($C332="W",$C332="1/2W")),AND($K333=CD$3,OR($C333="W",$C333="1/2W"))),$S331,0))</f>
        <v>0</v>
      </c>
      <c r="CE331" s="199">
        <f>IF($B331="LOSS",IF(AND($K331=CE$3,$C331="L"),-$O331,0)+IF(AND($K332=CE$3,$C332="L"),-$O332,0)+IF(AND($K333=CE$3,$C333="L"),-$O333,0),IF(OR(AND($K331=CE$3,OR($C331="W",$C331="1/2W")),AND($K332=CE$3,OR($C332="W",$C332="1/2W")),AND($K333=CE$3,OR($C333="W",$C333="1/2W"))),$S331,0))</f>
        <v>0</v>
      </c>
      <c r="CF331" s="206">
        <f>IF(CF$3=$K331,IF($C331="W",1,IF($C331="1/2W",0.5,0)),0)</f>
        <v>0</v>
      </c>
      <c r="CG331" s="207">
        <f>IF(CF$3=$K331,IF($C331="L",1,IF($C331="1/2L",0.5,0)),0)</f>
        <v>0</v>
      </c>
      <c r="CH331" s="207">
        <f>IF(CH$3=$K331,IF($C331="W",1,IF($C331="1/2W",0.5,0)),0)</f>
        <v>1</v>
      </c>
      <c r="CI331" s="207">
        <f>IF(CH$3=$K331,IF($C331="L",1,IF($C331="1/2L",0.5,0)),0)</f>
        <v>0</v>
      </c>
      <c r="CJ331" s="207">
        <f>IF(CJ$3=$K331,IF($C331="W",1,IF($C331="1/2W",0.5,0)),0)</f>
        <v>0</v>
      </c>
      <c r="CK331" s="207">
        <f>IF(CJ$3=$K331,IF($C331="L",1,IF($C331="1/2L",0.5,0)),0)</f>
        <v>0</v>
      </c>
      <c r="CL331" s="207">
        <f>IF(CL$3=$K331,IF($C331="W",1,IF($C331="1/2W",0.5,0)),0)</f>
        <v>0</v>
      </c>
      <c r="CM331" s="207">
        <f>IF(CL$3=$K331,IF($C331="L",1,IF($C331="1/2L",0.5,0)),0)</f>
        <v>0</v>
      </c>
      <c r="CN331" s="207">
        <f>IF(CN$3=$K331,IF($C331="W",1,IF($C331="1/2W",0.5,0)),0)</f>
        <v>0</v>
      </c>
      <c r="CO331" s="207">
        <f>IF(CN$3=$K331,IF($C331="L",1,IF($C331="1/2L",0.5,0)),0)</f>
        <v>0</v>
      </c>
      <c r="CP331" s="207">
        <f>IF(CP$3=$K331,IF($C331="W",1,IF($C331="1/2W",0.5,0)),0)</f>
        <v>0</v>
      </c>
      <c r="CQ331" s="207">
        <f>IF(CP$3=$K331,IF($C331="L",1,IF($C331="1/2L",0.5,0)),0)</f>
        <v>0</v>
      </c>
      <c r="CR331" s="207">
        <f>IF(CR$3=$K331,IF($C331="W",1,IF($C331="1/2W",0.5,0)),0)</f>
        <v>0</v>
      </c>
      <c r="CS331" s="207">
        <f>IF(CR$3=$K331,IF($C331="L",1,IF($C331="1/2L",0.5,0)),0)</f>
        <v>0</v>
      </c>
      <c r="CT331" s="208">
        <f>IF(CT$3=$K331,IF($C331="W",1,IF($C331="1/2W",0.5,0)),0)</f>
        <v>0</v>
      </c>
      <c r="CU331" s="209">
        <f>IF(CT$3=$K331,IF($C331="L",1,IF($C331="1/2L",0.5,0)),0)</f>
        <v>0</v>
      </c>
      <c r="CV331" s="209">
        <f>IF(CV$3=$K331,IF($C331="W",1,IF($C331="1/2W",0.5,0)),0)</f>
        <v>0</v>
      </c>
      <c r="CW331" s="209">
        <f>IF(CV$3=$K331,IF($C331="L",1,IF($C331="1/2L",0.5,0)),0)</f>
        <v>0</v>
      </c>
      <c r="CX331" s="209">
        <f>IF(CX$3=$K331,IF($C331="W",1,IF($C331="1/2W",0.5,0)),0)</f>
        <v>0</v>
      </c>
      <c r="CY331" s="209">
        <f>IF(CX$3=$K331,IF($C331="L",1,IF($C331="1/2L",0.5,0)),0)</f>
        <v>0</v>
      </c>
      <c r="CZ331" s="209">
        <f>IF(CZ$3=$K331,IF($C331="W",1,IF($C331="1/2W",0.5,0)),0)</f>
        <v>0</v>
      </c>
      <c r="DA331" s="209">
        <f>IF(CZ$3=$K331,IF($C331="L",1,IF($C331="1/2L",0.5,0)),0)</f>
        <v>0</v>
      </c>
      <c r="DB331" s="209">
        <f>IF(DB$3=$K331,IF($C331="W",1,IF($C331="1/2W",0.5,0)),0)</f>
        <v>0</v>
      </c>
      <c r="DC331" s="209">
        <f>IF(DB$3=$K331,IF($C331="L",1,IF($C331="1/2L",0.5,0)),0)</f>
        <v>0</v>
      </c>
      <c r="DD331" s="209">
        <f>IF(DD$3=$K331,IF($C331="W",1,IF($C331="1/2W",0.5,0)),0)</f>
        <v>0</v>
      </c>
      <c r="DE331" s="210">
        <f>IF(DD$3=$K331,IF($C331="L",1,IF($C331="1/2L",0.5,0)),0)</f>
        <v>0</v>
      </c>
      <c r="DF331" s="211">
        <f>IF(AND(L331&lt;DF$3,$C331="W"),1+DF330,DF330)</f>
        <v>12</v>
      </c>
      <c r="DG331" s="198">
        <f>IF(DF331&gt;DF330,L331+DG330,DG330)</f>
        <v>15.718</v>
      </c>
      <c r="DH331" s="209">
        <f>IF(AND(L331&gt;DH$3,$C331="W"),1+DH330,0+DH330)</f>
        <v>7</v>
      </c>
      <c r="DI331" s="198">
        <f>IF(DH331&gt;DH330,L331+DI330,DI330)</f>
        <v>34.83</v>
      </c>
      <c r="DJ331" t="s" s="306">
        <f>IF($D331="","",$D331)</f>
        <v>272</v>
      </c>
      <c r="DK331" s="209">
        <f>IF(AND($B331=" ",$D331&lt;&gt;""),1,0)</f>
        <v>0</v>
      </c>
    </row>
    <row r="332" ht="14.55" customHeight="1">
      <c r="A332" s="107"/>
      <c r="B332" s="108"/>
      <c r="C332" t="s" s="213">
        <v>51</v>
      </c>
      <c r="D332" s="110"/>
      <c r="E332" s="111"/>
      <c r="F332" s="112"/>
      <c r="G332" s="214"/>
      <c r="H332" s="114"/>
      <c r="I332" t="s" s="215">
        <v>79</v>
      </c>
      <c r="J332" t="s" s="216">
        <f>IF(OR(I331="TO",I331="TU",I331="TO1",I331="TU1",I331="TO2",I331="TU2"),J331,IF(OR(I331="AH1",I331="AH2"),IF(OR(I332="AH1",I332="AH2"),-J331,IF(OR(I332="EH1",I332="EH2"),-J331+0.5,"")),IF(OR(I331="EH1",I331="EH2"),IF(OR(I332="AH1",I332="AH2"),-J331+0.5,IF(OR(I332="EH1",I332="EH2"),-J331+1,"")),IF(AND(OR(I331="DNB1",I331="DNB2"),OR(I332="AH1",I332="AH2")),0,IF(AND(I331="Not ScoreBoth",OR(I332="TO1",I332="TO2")),0.5,"")))))</f>
      </c>
      <c r="K332" t="s" s="217">
        <v>48</v>
      </c>
      <c r="L332" s="218">
        <v>3.6</v>
      </c>
      <c r="M332" s="219">
        <v>3.5</v>
      </c>
      <c r="N332" s="120"/>
      <c r="O332" s="220">
        <f>IF(OR(AE331="",AE332=""),"",ROUND(IF(L333&gt;0,IF(M332&gt;0,M332,IF(M331&gt;0,IF(N331=TRUE,ROUND((M331*AE332)/AE331,0),(M331*AE332)/AE331),IF(M332&gt;0,ROUND(M332,IF(N331=0,2,IF(N331=0.1,1,0))),IF(M333&gt;0,ROUND(O333*AE332/AE333,IF(N331=0,2,IF(N331=0.1,1,0))),0)))),IF(M332&gt;0,M332,ROUND((M331*AE332)/AE331,IF(N331=0,2,IF(N331=0.1,1,0))))),2))</f>
        <v>3.5</v>
      </c>
      <c r="P332" s="221">
        <f>IF(OR(L332="",O332=""),"",IF($C332="1/2W",O332/2+O332/2*L332,IF($C332="1/2L",O332/2,IF(I332="Lay",((O332*(L332/(L332-1)))-O332)*(1-_xlfn.XLOOKUP(K332,'Janeiro 2023 - Valor Real'!A3:A15,'Janeiro 2023 - Valor Real'!C3:C15,0))+O332,(O332*L332-O332)*(1-_xlfn.XLOOKUP(K332,'Janeiro 2023 - Valor Real'!A3:A15,'Janeiro 2023 - Valor Real'!C3:C15,0))+O332))))</f>
        <v>12.6</v>
      </c>
      <c r="Q332" s="222">
        <f>IF(K332="","",IF(_xlfn.XLOOKUP(K332,K$104:K147,DJ$104:DJ147,0,,-1)=DJ332,_xlfn.XLOOKUP(K332,K$104:K147,Q$104:Q147,1,,-1)+1,1))</f>
        <v>1</v>
      </c>
      <c r="R332" s="223">
        <f>IF(K332="","",_xlfn.XLOOKUP(K332,K$104:K147,R$104:R147,0,,-1)+IF($C332=" ",1,0))</f>
        <v>0</v>
      </c>
      <c r="S332" s="125"/>
      <c r="T332" s="126"/>
      <c r="U332" s="126"/>
      <c r="V332" s="224"/>
      <c r="W332" s="126"/>
      <c r="X332" s="127"/>
      <c r="Y332" s="128"/>
      <c r="Z332" s="129"/>
      <c r="AA332" s="129"/>
      <c r="AB332" s="129"/>
      <c r="AC332" s="129"/>
      <c r="AD332" s="225">
        <f>(((L332/(L332-1)-1)*(1-_xlfn.XLOOKUP(K332,'Janeiro 2023 - Valor Real'!A3:A15,'Janeiro 2023 - Valor Real'!C3:C15,0))+1))</f>
        <v>1.38461538461538</v>
      </c>
      <c r="AE332" s="226">
        <f>IF(L332="","",IF(L333&gt;0,(SUM(((L331-1)*(1-_xlfn.XLOOKUP(K331,'Janeiro 2023 - Valor Real'!A3:A15,'Janeiro 2023 - Valor Real'!C3:C15,0))+1),((L332-1)*(1-_xlfn.XLOOKUP(K332,'Janeiro 2023 - Valor Real'!A3:A15,'Janeiro 2023 - Valor Real'!C3:C15,0))+1),((L333-1)*(1-_xlfn.XLOOKUP(K333,'Janeiro 2023 - Valor Real'!A3:A15,'Janeiro 2023 - Valor Real'!C3:C15,0))+1))/((L332-1)*(1-_xlfn.XLOOKUP(K332,'Janeiro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Real'!C3:C15,0))+1))/((L331-1)*(1-_xlfn.XLOOKUP(K331,'Janeiro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Real'!C3:C15,0))+1))/((L332-1)*(1-_xlfn.XLOOKUP(K332,'Janeiro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Real'!C3:C15,0))+1))/((L333-1)*(1-_xlfn.XLOOKUP(K333,'Janeiro 2023 - Valor Real'!A3:A15,'Janeiro 2023 - Valor Real'!C3:C15,0))+1)),IF(I332="Lay",IF(I331="Lay",((L331/(L331-1)-1)*(1-_xlfn.XLOOKUP(K331,'Janeiro 2023 - Valor Real'!A3:A15,'Janeiro 2023 - Valor Real'!C3:C15,0))+1)/(((L331/(L331-1)-1)*(1-_xlfn.XLOOKUP(K331,'Janeiro 2023 - Valor Real'!A3:A15,'Janeiro 2023 - Valor Real'!C3:C15,0))+1)+((L332/(L332-1)-1)*(1-_xlfn.XLOOKUP(K332,'Janeiro 2023 - Valor Real'!A3:A15,'Janeiro 2023 - Valor Real'!C3:C15,0))+1)),((L331-1)*(1-_xlfn.XLOOKUP(K331,'Janeiro 2023 - Valor Real'!A3:A15,'Janeiro 2023 - Valor Real'!C3:C15,0))+1)/(((L331-1)*(1-_xlfn.XLOOKUP(K331,'Janeiro 2023 - Valor Real'!A3:A15,'Janeiro 2023 - Valor Real'!C3:C15,0))+1)+((L332/(L332-1)-1)*(1-_xlfn.XLOOKUP(K332,'Janeiro 2023 - Valor Real'!A3:A15,'Janeiro 2023 - Valor Real'!C3:C15,0))+1))),IF(I331="Lay",((L331/(L331-1)-1)*(1-_xlfn.XLOOKUP(K331,'Janeiro 2023 - Valor Real'!A3:A15,'Janeiro 2023 - Valor Real'!C3:C15,0))+1)/((((L331/(L331-1)-1)*(1-_xlfn.XLOOKUP(K331,'Janeiro 2023 - Valor Real'!A3:A15,'Janeiro 2023 - Valor Real'!C3:C15,0))+1))+((L332-1)*(1-_xlfn.XLOOKUP(K332,'Janeiro 2023 - Valor Real'!A3:A15,'Janeiro 2023 - Valor Real'!C3:C15,0))+1)),((L331-1)*(1-_xlfn.XLOOKUP(K331,'Janeiro 2023 - Valor Real'!A3:A15,'Janeiro 2023 - Valor Real'!C3:C15,0))+1)/(((L331-1)*(1-_xlfn.XLOOKUP(K331,'Janeiro 2023 - Valor Real'!A3:A15,'Janeiro 2023 - Valor Real'!C3:C15,0))+1)+((L332-1)*(1-_xlfn.XLOOKUP(K332,'Janeiro 2023 - Valor Real'!A3:A15,'Janeiro 2023 - Valor Real'!C3:C15,0))+1))))))</f>
        <v>0.337016574585635</v>
      </c>
      <c r="AF332" s="197">
        <f>IF($K332=AF$3,ROUND(IF(OR($C332="W",$C332="1/2W",$C332="1/2L"),$P332-$O332,IF($C332="X",0,-$O332)),2),0)</f>
        <v>0</v>
      </c>
      <c r="AG332" s="198">
        <f>IF($K332=AG$3,ROUND(IF(OR($C332="W",$C332="1/2W",$C332="1/2L"),$P332-$O332,IF($C332="X",0,-$O332)),2),0)</f>
        <v>0</v>
      </c>
      <c r="AH332" s="198">
        <f>IF($K332=AH$3,ROUND(IF(OR($C332="W",$C332="1/2W",$C332="1/2L"),$P332-$O332,IF($C332="X",0,-$O332)),2),0)</f>
        <v>0</v>
      </c>
      <c r="AI332" s="198">
        <f>IF($K332=AI$3,ROUND(IF(OR($C332="W",$C332="1/2W",$C332="1/2L"),$P332-$O332,IF($C332="X",0,-$O332)),2),0)</f>
        <v>0</v>
      </c>
      <c r="AJ332" s="198">
        <f>IF($K332=AJ$3,ROUND(IF(OR($C332="W",$C332="1/2W",$C332="1/2L"),$P332-$O332,IF($C332="X",0,-$O332)),2),0)</f>
        <v>0</v>
      </c>
      <c r="AK332" s="198">
        <f>IF($K332=AK$3,ROUND(IF(OR($C332="W",$C332="1/2W",$C332="1/2L"),$P332-$O332,IF($C332="X",0,-$O332)),2),0)</f>
        <v>0</v>
      </c>
      <c r="AL332" s="198">
        <f>IF($K332=AL$3,ROUND(IF(OR($C332="W",$C332="1/2W",$C332="1/2L"),$P332-$O332,IF($C332="X",0,-$O332)),2),0)</f>
        <v>0</v>
      </c>
      <c r="AM332" s="198">
        <f>IF($K332=AM$3,ROUND(IF(OR($C332="W",$C332="1/2W",$C332="1/2L"),$P332-$O332,IF($C332="X",0,-$O332)),2),0)</f>
        <v>0</v>
      </c>
      <c r="AN332" s="198">
        <f>IF($K332=AN$3,ROUND(IF(OR($C332="W",$C332="1/2W",$C332="1/2L"),$P332-$O332,IF($C332="X",0,-$O332)),2),0)</f>
        <v>0</v>
      </c>
      <c r="AO332" s="198">
        <f>IF($K332=AO$3,ROUND(IF(OR($C332="W",$C332="1/2W",$C332="1/2L"),$P332-$O332,IF($C332="X",0,-$O332)),2),0)</f>
        <v>0</v>
      </c>
      <c r="AP332" s="198">
        <f>IF($K332=AP$3,ROUND(IF(OR($C332="W",$C332="1/2W",$C332="1/2L"),$P332-$O332,IF($C332="X",0,-$O332)),2),0)</f>
        <v>0</v>
      </c>
      <c r="AQ332" s="198">
        <f>IF($K332=AQ$3,ROUND(IF(OR($C332="W",$C332="1/2W",$C332="1/2L"),$P332-$O332,IF($C332="X",0,-$O332)),2),0)</f>
        <v>-3.5</v>
      </c>
      <c r="AR332" s="199">
        <f>IF($K332=AR$3,ROUND(IF(OR($C332="W",$C332="1/2W",$C332="1/2L"),$P332-$O332,IF($C332="X",0,-$O332)),2),0)</f>
        <v>0</v>
      </c>
      <c r="AS332" s="197">
        <f>IF(AND($B331=" ",$K332=AS$3),$O332,0)</f>
        <v>0</v>
      </c>
      <c r="AT332" s="198">
        <f>IF(AND($B331=" ",K332=AT$3),$O332,0)</f>
        <v>0</v>
      </c>
      <c r="AU332" s="198">
        <f>IF(AND($B331=" ",$K332=AU$3),$O332,0)</f>
        <v>0</v>
      </c>
      <c r="AV332" s="198">
        <f>IF(AND($B331=" ",$K332=AV$3),$O332,0)</f>
        <v>0</v>
      </c>
      <c r="AW332" s="198">
        <f>IF(AND($B331=" ",$K332=AW$3),$O332,0)</f>
        <v>0</v>
      </c>
      <c r="AX332" s="198">
        <f>IF(AND($B331=" ",$K332=AX$3),$O332,0)</f>
        <v>0</v>
      </c>
      <c r="AY332" s="200">
        <f>IF(AND($B331=" ",$K332=AY$3),$O332,0)</f>
        <v>0</v>
      </c>
      <c r="AZ332" s="201">
        <f>IF(AND($B331=" ",$K332=AZ$3),$O332,0)</f>
        <v>0</v>
      </c>
      <c r="BA332" s="201">
        <f>IF(AND($B331=" ",$K332=BA$3),$O332,0)</f>
        <v>0</v>
      </c>
      <c r="BB332" s="201">
        <f>IF(AND($B331=" ",$K332=BB$3),$O332,0)</f>
        <v>0</v>
      </c>
      <c r="BC332" s="202">
        <f>IF(AND($B331=" ",$K332=BC$3),$O332,0)</f>
        <v>0</v>
      </c>
      <c r="BD332" s="198">
        <f>IF(AND($B331=" ",$K332=BD$3),$O332,0)</f>
        <v>0</v>
      </c>
      <c r="BE332" s="199">
        <f>IF(AND($B331=" ",$K332=BE$3),$O332,0)</f>
        <v>0</v>
      </c>
      <c r="BF332" s="197">
        <f>IF($K332=BF$3,IF($C332="X",0,$O332),0)</f>
        <v>0</v>
      </c>
      <c r="BG332" s="198">
        <f>IF($K332=BG$3,IF($C332="X",0,$O332),0)</f>
        <v>0</v>
      </c>
      <c r="BH332" s="198">
        <f>IF($K332=BH$3,IF($C332="X",0,$O332),0)</f>
        <v>0</v>
      </c>
      <c r="BI332" s="198">
        <f>IF($K332=BI$3,IF($C332="X",0,$O332),0)</f>
        <v>0</v>
      </c>
      <c r="BJ332" s="198">
        <f>IF($K332=BJ$3,IF($C332="X",0,$O332),0)</f>
        <v>0</v>
      </c>
      <c r="BK332" s="198">
        <f>IF($K332=BK$3,IF($C332="X",0,$O332),0)</f>
        <v>0</v>
      </c>
      <c r="BL332" s="198">
        <f>IF($K332=BL$3,IF($C332="X",0,$O332),0)</f>
        <v>0</v>
      </c>
      <c r="BM332" s="227">
        <f>IF($K332=BM$3,IF($C332="X",0,$O332),0)</f>
        <v>0</v>
      </c>
      <c r="BN332" s="205">
        <f>IF($K332=BN$3,IF($C332="X",0,$O332),0)</f>
        <v>0</v>
      </c>
      <c r="BO332" s="205">
        <f>IF($K332=BO$3,IF($C332="X",0,$O332),0)</f>
        <v>0</v>
      </c>
      <c r="BP332" s="205">
        <f>IF($K332=BP$3,IF($C332="X",0,$O332),0)</f>
        <v>0</v>
      </c>
      <c r="BQ332" s="202">
        <f>IF($K332=BQ$3,IF($C332="X",0,$O332),0)</f>
        <v>3.5</v>
      </c>
      <c r="BR332" s="199">
        <f>IF($K332=BR$3,IF($C332="X",0,$O332),0)</f>
        <v>0</v>
      </c>
      <c r="BS332" s="228"/>
      <c r="BT332" s="229"/>
      <c r="BU332" s="140"/>
      <c r="BV332" s="229"/>
      <c r="BW332" s="140"/>
      <c r="BX332" s="140"/>
      <c r="BY332" s="140"/>
      <c r="BZ332" s="229"/>
      <c r="CA332" s="140"/>
      <c r="CB332" s="140"/>
      <c r="CC332" s="140"/>
      <c r="CD332" s="141"/>
      <c r="CE332" s="142"/>
      <c r="CF332" s="230">
        <f>IF(CF$3=$K332,IF($C332="W",1,IF($C332="1/2W",0.5,0)),0)</f>
        <v>0</v>
      </c>
      <c r="CG332" s="231">
        <f>IF(CF$3=$K332,IF($C332="L",1,IF($C332="1/2L",0.5,0)),0)</f>
        <v>0</v>
      </c>
      <c r="CH332" s="231">
        <f>IF(CH$3=$K332,IF($C332="W",1,IF($C332="1/2W",0.5,0)),0)</f>
        <v>0</v>
      </c>
      <c r="CI332" s="231">
        <f>IF(CH$3=$K332,IF($C332="L",1,IF($C332="1/2L",0.5,0)),0)</f>
        <v>0</v>
      </c>
      <c r="CJ332" s="231">
        <f>IF(CJ$3=$K332,IF($C332="W",1,IF($C332="1/2W",0.5,0)),0)</f>
        <v>0</v>
      </c>
      <c r="CK332" s="231">
        <f>IF(CJ$3=$K332,IF($C332="L",1,IF($C332="1/2L",0.5,0)),0)</f>
        <v>0</v>
      </c>
      <c r="CL332" s="231">
        <f>IF(CL$3=$K332,IF($C332="W",1,IF($C332="1/2W",0.5,0)),0)</f>
        <v>0</v>
      </c>
      <c r="CM332" s="231">
        <f>IF(CL$3=$K332,IF($C332="L",1,IF($C332="1/2L",0.5,0)),0)</f>
        <v>0</v>
      </c>
      <c r="CN332" s="231">
        <f>IF(CN$3=$K332,IF($C332="W",1,IF($C332="1/2W",0.5,0)),0)</f>
        <v>0</v>
      </c>
      <c r="CO332" s="231">
        <f>IF(CN$3=$K332,IF($C332="L",1,IF($C332="1/2L",0.5,0)),0)</f>
        <v>0</v>
      </c>
      <c r="CP332" s="231">
        <f>IF(CP$3=$K332,IF($C332="W",1,IF($C332="1/2W",0.5,0)),0)</f>
        <v>0</v>
      </c>
      <c r="CQ332" s="231">
        <f>IF(CP$3=$K332,IF($C332="L",1,IF($C332="1/2L",0.5,0)),0)</f>
        <v>0</v>
      </c>
      <c r="CR332" s="231">
        <f>IF(CR$3=$K332,IF($C332="W",1,IF($C332="1/2W",0.5,0)),0)</f>
        <v>0</v>
      </c>
      <c r="CS332" s="231">
        <f>IF(CR$3=$K332,IF($C332="L",1,IF($C332="1/2L",0.5,0)),0)</f>
        <v>0</v>
      </c>
      <c r="CT332" s="208">
        <f>IF(CT$3=$K332,IF($C332="W",1,IF($C332="1/2W",0.5,0)),0)</f>
        <v>0</v>
      </c>
      <c r="CU332" s="209">
        <f>IF(CT$3=$K332,IF($C332="L",1,IF($C332="1/2L",0.5,0)),0)</f>
        <v>0</v>
      </c>
      <c r="CV332" s="209">
        <f>IF(CV$3=$K332,IF($C332="W",1,IF($C332="1/2W",0.5,0)),0)</f>
        <v>0</v>
      </c>
      <c r="CW332" s="209">
        <f>IF(CV$3=$K332,IF($C332="L",1,IF($C332="1/2L",0.5,0)),0)</f>
        <v>0</v>
      </c>
      <c r="CX332" s="209">
        <f>IF(CX$3=$K332,IF($C332="W",1,IF($C332="1/2W",0.5,0)),0)</f>
        <v>0</v>
      </c>
      <c r="CY332" s="209">
        <f>IF(CX$3=$K332,IF($C332="L",1,IF($C332="1/2L",0.5,0)),0)</f>
        <v>0</v>
      </c>
      <c r="CZ332" s="209">
        <f>IF(CZ$3=$K332,IF($C332="W",1,IF($C332="1/2W",0.5,0)),0)</f>
        <v>0</v>
      </c>
      <c r="DA332" s="209">
        <f>IF(CZ$3=$K332,IF($C332="L",1,IF($C332="1/2L",0.5,0)),0)</f>
        <v>0</v>
      </c>
      <c r="DB332" s="209">
        <f>IF(DB$3=$K332,IF($C332="W",1,IF($C332="1/2W",0.5,0)),0)</f>
        <v>0</v>
      </c>
      <c r="DC332" s="209">
        <f>IF(DB$3=$K332,IF($C332="L",1,IF($C332="1/2L",0.5,0)),0)</f>
        <v>1</v>
      </c>
      <c r="DD332" s="209">
        <f>IF(DD$3=$K332,IF($C332="W",1,IF($C332="1/2W",0.5,0)),0)</f>
        <v>0</v>
      </c>
      <c r="DE332" s="210">
        <f>IF(DD$3=$K332,IF($C332="L",1,IF($C332="1/2L",0.5,0)),0)</f>
        <v>0</v>
      </c>
      <c r="DF332" s="211">
        <f>IF(AND(L332&lt;DF$3,$C332="W"),1+DF331,DF331)</f>
        <v>12</v>
      </c>
      <c r="DG332" s="198">
        <f>IF(DF332&gt;DF331,L332+DG331,DG331)</f>
        <v>15.718</v>
      </c>
      <c r="DH332" s="209">
        <f>IF(AND(L332&gt;DH$3,$C332="W"),1+DH331,0+DH331)</f>
        <v>7</v>
      </c>
      <c r="DI332" s="198">
        <f>IF(DH332&gt;DH331,L332+DI331,DI331)</f>
        <v>34.83</v>
      </c>
      <c r="DJ332" t="s" s="306">
        <f>IF($D331="","",$D331)</f>
        <v>272</v>
      </c>
      <c r="DK332" s="232"/>
    </row>
    <row r="333" ht="24.6" customHeight="1">
      <c r="A333" s="149"/>
      <c r="B333" s="150"/>
      <c r="C333" t="s" s="233">
        <v>58</v>
      </c>
      <c r="D333" s="152"/>
      <c r="E333" s="153"/>
      <c r="F333" s="154"/>
      <c r="G333" s="234"/>
      <c r="H333" s="156"/>
      <c r="I333" s="235"/>
      <c r="J333" s="236"/>
      <c r="K333" s="237"/>
      <c r="L333" s="238"/>
      <c r="M333" s="239"/>
      <c r="N333" s="161"/>
      <c r="O333" t="s" s="240">
        <f>IF(OR(AE331="",AE332=""),"",IF(L333&gt;0,ROUND(IF(M333&gt;0,M333,IF(M331&gt;0,ROUND((M331*AE333)/AE331,IF(N331=0,2,IF(N331=0.1,1,0))),IF(M332&gt;0,ROUND((M332*AE333)/AE332,IF(N331=0,2,IF(N331=0.1,1,0))),IF(M333&gt;0,M333,0)))),2),""))</f>
      </c>
      <c r="P333" t="s" s="241">
        <f>IF(I332="Lay",O332*(L332/(L332-1))-O332,IF(I331="Lay",O331*(L331/(L331-1))-O331,IF(OR(L333="",O333=""),"",IF($C333="1/2W",O333/2+O333/2*L333,IF($C333="1/2L",O333/2,(O333*L333-O333)*(1-_xlfn.XLOOKUP(K333,'Janeiro 2023 - Valor Real'!A3:A15,'Janeiro 2023 - Valor Real'!C3:C15,0))+O333)))))</f>
      </c>
      <c r="Q333" t="s" s="242">
        <f>IF(K333="","",IF(_xlfn.XLOOKUP(K333,K$105:K148,DJ$105:DJ148,0,,-1)=DJ333,_xlfn.XLOOKUP(K333,K$105:K148,Q$105:Q148,1,,-1)+1,1))</f>
      </c>
      <c r="R333" t="s" s="243">
        <f>IF(K333="","",_xlfn.XLOOKUP(K333,K$105:K148,R$105:R148,0,,-1)+IF($C333=" ",1,0))</f>
      </c>
      <c r="S333" s="166"/>
      <c r="T333" s="155"/>
      <c r="U333" s="155"/>
      <c r="V333" s="166"/>
      <c r="W333" s="155"/>
      <c r="X333" s="167"/>
      <c r="Y333" s="128"/>
      <c r="Z333" s="129"/>
      <c r="AA333" s="129"/>
      <c r="AB333" s="129"/>
      <c r="AC333" s="129"/>
      <c r="AD333" s="244">
        <f>((L332/(L332-1)-1))</f>
        <v>0.384615384615385</v>
      </c>
      <c r="AE333" t="s" s="245">
        <f>IF(L333="","",(SUM(((L331-1)*(1-_xlfn.XLOOKUP(K331,'Janeiro 2023 - Valor Real'!A3:A15,'Janeiro 2023 - Valor Real'!C3:C15,0))+1),((L332-1)*(1-_xlfn.XLOOKUP(K332,'Janeiro 2023 - Valor Real'!A3:A15,'Janeiro 2023 - Valor Real'!C3:C15,0))+1),((L333-1)*(1-_xlfn.XLOOKUP(K333,'Janeiro 2023 - Valor Real'!A3:A15,'Janeiro 2023 - Valor Real'!C3:C15,0))+1))/((L333-1)*(1-_xlfn.XLOOKUP(K333,'Janeiro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Real'!C3:C15,0))+1))/((L331-1)*(1-_xlfn.XLOOKUP(K331,'Janeiro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Real'!C3:C15,0))+1))/((L332-1)*(1-_xlfn.XLOOKUP(K332,'Janeiro 2023 - Valor Real'!A3:A15,'Janeiro 2023 - Valor Real'!C3:C15,0))+1)+SUM(((L331-1)*(1-_xlfn.XLOOKUP(K331,'Janeiro 2023 - Valor Real'!A3:A15,'Janeiro 2023 - Valor Real'!C3:C15,0))+1),((L332-1)*(1-_xlfn.XLOOKUP(K332,'Janeiro 2023 - Valor Real'!A3:A15,'Janeiro 2023 - Valor Real'!C3:C15,0))+1),((L333-1)*(1-_xlfn.XLOOKUP(K333,'Janeiro 2023 - Valor Real'!A3:A15,'Janeiro 2023 - Valor Real'!C3:C15,0))+1))/((L333-1)*(1-_xlfn.XLOOKUP(K333,'Janeiro 2023 - Valor Real'!A3:A15,'Janeiro 2023 - Valor Real'!C3:C15,0))+1)))</f>
      </c>
      <c r="AF333" s="197">
        <f>IF($K333=AF$3,ROUND(IF(OR($C333="W",$C333="1/2W",$C333="1/2L"),$P333-$O333,IF($C333="X",0,-$O333)),2),0)</f>
        <v>0</v>
      </c>
      <c r="AG333" s="198">
        <f>IF($K333=AG$3,ROUND(IF(OR($C333="W",$C333="1/2W",$C333="1/2L"),$P333-$O333,IF($C333="X",0,-$O333)),2),0)</f>
        <v>0</v>
      </c>
      <c r="AH333" s="198">
        <f>IF($K333=AH$3,ROUND(IF(OR($C333="W",$C333="1/2W",$C333="1/2L"),$P333-$O333,IF($C333="X",0,-$O333)),2),0)</f>
        <v>0</v>
      </c>
      <c r="AI333" s="198">
        <f>IF($K333=AI$3,ROUND(IF(OR($C333="W",$C333="1/2W",$C333="1/2L"),$P333-$O333,IF($C333="X",0,-$O333)),2),0)</f>
        <v>0</v>
      </c>
      <c r="AJ333" s="198">
        <f>IF($K333=AJ$3,ROUND(IF(OR($C333="W",$C333="1/2W",$C333="1/2L"),$P333-$O333,IF($C333="X",0,-$O333)),2),0)</f>
        <v>0</v>
      </c>
      <c r="AK333" s="198">
        <f>IF($K333=AK$3,ROUND(IF(OR($C333="W",$C333="1/2W",$C333="1/2L"),$P333-$O333,IF($C333="X",0,-$O333)),2),0)</f>
        <v>0</v>
      </c>
      <c r="AL333" s="198">
        <f>IF($K333=AL$3,ROUND(IF(OR($C333="W",$C333="1/2W",$C333="1/2L"),$P333-$O333,IF($C333="X",0,-$O333)),2),0)</f>
        <v>0</v>
      </c>
      <c r="AM333" s="198">
        <f>IF($K333=AM$3,ROUND(IF(OR($C333="W",$C333="1/2W",$C333="1/2L"),$P333-$O333,IF($C333="X",0,-$O333)),2),0)</f>
        <v>0</v>
      </c>
      <c r="AN333" s="198">
        <f>IF($K333=AN$3,ROUND(IF(OR($C333="W",$C333="1/2W",$C333="1/2L"),$P333-$O333,IF($C333="X",0,-$O333)),2),0)</f>
        <v>0</v>
      </c>
      <c r="AO333" s="198">
        <f>IF($K333=AO$3,ROUND(IF(OR($C333="W",$C333="1/2W",$C333="1/2L"),$P333-$O333,IF($C333="X",0,-$O333)),2),0)</f>
        <v>0</v>
      </c>
      <c r="AP333" s="198">
        <f>IF($K333=AP$3,ROUND(IF(OR($C333="W",$C333="1/2W",$C333="1/2L"),$P333-$O333,IF($C333="X",0,-$O333)),2),0)</f>
        <v>0</v>
      </c>
      <c r="AQ333" s="198">
        <f>IF($K333=AQ$3,ROUND(IF(OR($C333="W",$C333="1/2W",$C333="1/2L"),$P333-$O333,IF($C333="X",0,-$O333)),2),0)</f>
        <v>0</v>
      </c>
      <c r="AR333" s="199">
        <f>IF($K333=AR$3,ROUND(IF(OR($C333="W",$C333="1/2W",$C333="1/2L"),$P333-$O333,IF($C333="X",0,-$O333)),2),0)</f>
        <v>0</v>
      </c>
      <c r="AS333" s="197">
        <f>IF(AND($B331=" ",$K333=AS$3),$O333,0)</f>
        <v>0</v>
      </c>
      <c r="AT333" s="198">
        <f>IF(AND($B331=" ",K333=AT$3),$O333,0)</f>
        <v>0</v>
      </c>
      <c r="AU333" s="198">
        <f>IF(AND($B331=" ",$K333=AU$3),$O333,0)</f>
        <v>0</v>
      </c>
      <c r="AV333" s="198">
        <f>IF(AND($B331=" ",$K333=AV$3),$O333,0)</f>
        <v>0</v>
      </c>
      <c r="AW333" s="198">
        <f>IF(AND($B331=" ",$K333=AW$3),$O333,0)</f>
        <v>0</v>
      </c>
      <c r="AX333" s="198">
        <f>IF(AND($B331=" ",$K333=AX$3),$O333,0)</f>
        <v>0</v>
      </c>
      <c r="AY333" s="200">
        <f>IF(AND($B331=" ",$K333=AY$3),$O333,0)</f>
        <v>0</v>
      </c>
      <c r="AZ333" s="201">
        <f>IF(AND($B331=" ",$K333=AZ$3),$O333,0)</f>
        <v>0</v>
      </c>
      <c r="BA333" s="201">
        <f>IF(AND($B331=" ",$K333=BA$3),$O333,0)</f>
        <v>0</v>
      </c>
      <c r="BB333" s="201">
        <f>IF(AND($B331=" ",$K333=BB$3),$O333,0)</f>
        <v>0</v>
      </c>
      <c r="BC333" s="202">
        <f>IF(AND($B331=" ",$K333=BC$3),$O333,0)</f>
        <v>0</v>
      </c>
      <c r="BD333" s="198">
        <f>IF(AND($B331=" ",$K333=BD$3),$O333,0)</f>
        <v>0</v>
      </c>
      <c r="BE333" s="199">
        <f>IF(AND($B331=" ",$K333=BE$3),$O333,0)</f>
        <v>0</v>
      </c>
      <c r="BF333" s="197">
        <f>IF($K333=BF$3,IF($C333="X",0,$O333),0)</f>
        <v>0</v>
      </c>
      <c r="BG333" s="198">
        <f>IF($K333=BG$3,IF($C333="X",0,$O333),0)</f>
        <v>0</v>
      </c>
      <c r="BH333" s="198">
        <f>IF($K333=BH$3,IF($C333="X",0,$O333),0)</f>
        <v>0</v>
      </c>
      <c r="BI333" s="198">
        <f>IF($K333=BI$3,IF($C333="X",0,$O333),0)</f>
        <v>0</v>
      </c>
      <c r="BJ333" s="198">
        <f>IF($K333=BJ$3,IF($C333="X",0,$O333),0)</f>
        <v>0</v>
      </c>
      <c r="BK333" s="198">
        <f>IF($K333=BK$3,IF($C333="X",0,$O333),0)</f>
        <v>0</v>
      </c>
      <c r="BL333" s="198">
        <f>IF($K333=BL$3,IF($C333="X",0,$O333),0)</f>
        <v>0</v>
      </c>
      <c r="BM333" s="200">
        <f>IF($K333=BM$3,IF($C333="X",0,$O333),0)</f>
        <v>0</v>
      </c>
      <c r="BN333" s="201">
        <f>IF($K333=BN$3,IF($C333="X",0,$O333),0)</f>
        <v>0</v>
      </c>
      <c r="BO333" s="201">
        <f>IF($K333=BO$3,IF($C333="X",0,$O333),0)</f>
        <v>0</v>
      </c>
      <c r="BP333" s="201">
        <f>IF($K333=BP$3,IF($C333="X",0,$O333),0)</f>
        <v>0</v>
      </c>
      <c r="BQ333" s="202">
        <f>IF($K333=BQ$3,IF($C333="X",0,$O333),0)</f>
        <v>0</v>
      </c>
      <c r="BR333" s="199">
        <f>IF($K333=BR$3,IF($C333="X",0,$O333),0)</f>
        <v>0</v>
      </c>
      <c r="BS333" s="228"/>
      <c r="BT333" s="229"/>
      <c r="BU333" s="140"/>
      <c r="BV333" s="229"/>
      <c r="BW333" s="140"/>
      <c r="BX333" s="140"/>
      <c r="BY333" s="140"/>
      <c r="BZ333" s="229"/>
      <c r="CA333" s="140"/>
      <c r="CB333" s="140"/>
      <c r="CC333" s="140"/>
      <c r="CD333" s="141"/>
      <c r="CE333" s="142"/>
      <c r="CF333" s="230">
        <f>IF(CF$3=$K333,IF($C333="W",1,IF($C333="1/2W",0.5,0)),0)</f>
        <v>0</v>
      </c>
      <c r="CG333" s="231">
        <f>IF(CF$3=$K333,IF($C333="L",1,IF($C333="1/2L",0.5,0)),0)</f>
        <v>0</v>
      </c>
      <c r="CH333" s="231">
        <f>IF(CH$3=$K333,IF($C333="W",1,IF($C333="1/2W",0.5,0)),0)</f>
        <v>0</v>
      </c>
      <c r="CI333" s="231">
        <f>IF(CH$3=$K333,IF($C333="L",1,IF($C333="1/2L",0.5,0)),0)</f>
        <v>0</v>
      </c>
      <c r="CJ333" s="231">
        <f>IF(CJ$3=$K333,IF($C333="W",1,IF($C333="1/2W",0.5,0)),0)</f>
        <v>0</v>
      </c>
      <c r="CK333" s="231">
        <f>IF(CJ$3=$K333,IF($C333="L",1,IF($C333="1/2L",0.5,0)),0)</f>
        <v>0</v>
      </c>
      <c r="CL333" s="231">
        <f>IF(CL$3=$K333,IF($C333="W",1,IF($C333="1/2W",0.5,0)),0)</f>
        <v>0</v>
      </c>
      <c r="CM333" s="231">
        <f>IF(CL$3=$K333,IF($C333="L",1,IF($C333="1/2L",0.5,0)),0)</f>
        <v>0</v>
      </c>
      <c r="CN333" s="231">
        <f>IF(CN$3=$K333,IF($C333="W",1,IF($C333="1/2W",0.5,0)),0)</f>
        <v>0</v>
      </c>
      <c r="CO333" s="231">
        <f>IF(CN$3=$K333,IF($C333="L",1,IF($C333="1/2L",0.5,0)),0)</f>
        <v>0</v>
      </c>
      <c r="CP333" s="231">
        <f>IF(CP$3=$K333,IF($C333="W",1,IF($C333="1/2W",0.5,0)),0)</f>
        <v>0</v>
      </c>
      <c r="CQ333" s="231">
        <f>IF(CP$3=$K333,IF($C333="L",1,IF($C333="1/2L",0.5,0)),0)</f>
        <v>0</v>
      </c>
      <c r="CR333" s="231">
        <f>IF(CR$3=$K333,IF($C333="W",1,IF($C333="1/2W",0.5,0)),0)</f>
        <v>0</v>
      </c>
      <c r="CS333" s="231">
        <f>IF(CR$3=$K333,IF($C333="L",1,IF($C333="1/2L",0.5,0)),0)</f>
        <v>0</v>
      </c>
      <c r="CT333" s="208">
        <f>IF(CT$3=$K333,IF($C333="W",1,IF($C333="1/2W",0.5,0)),0)</f>
        <v>0</v>
      </c>
      <c r="CU333" s="209">
        <f>IF(CT$3=$K333,IF($C333="L",1,IF($C333="1/2L",0.5,0)),0)</f>
        <v>0</v>
      </c>
      <c r="CV333" s="209">
        <f>IF(CV$3=$K333,IF($C333="W",1,IF($C333="1/2W",0.5,0)),0)</f>
        <v>0</v>
      </c>
      <c r="CW333" s="209">
        <f>IF(CV$3=$K333,IF($C333="L",1,IF($C333="1/2L",0.5,0)),0)</f>
        <v>0</v>
      </c>
      <c r="CX333" s="209">
        <f>IF(CX$3=$K333,IF($C333="W",1,IF($C333="1/2W",0.5,0)),0)</f>
        <v>0</v>
      </c>
      <c r="CY333" s="209">
        <f>IF(CX$3=$K333,IF($C333="L",1,IF($C333="1/2L",0.5,0)),0)</f>
        <v>0</v>
      </c>
      <c r="CZ333" s="209">
        <f>IF(CZ$3=$K333,IF($C333="W",1,IF($C333="1/2W",0.5,0)),0)</f>
        <v>0</v>
      </c>
      <c r="DA333" s="209">
        <f>IF(CZ$3=$K333,IF($C333="L",1,IF($C333="1/2L",0.5,0)),0)</f>
        <v>0</v>
      </c>
      <c r="DB333" s="209">
        <f>IF(DB$3=$K333,IF($C333="W",1,IF($C333="1/2W",0.5,0)),0)</f>
        <v>0</v>
      </c>
      <c r="DC333" s="209">
        <f>IF(DB$3=$K333,IF($C333="L",1,IF($C333="1/2L",0.5,0)),0)</f>
        <v>0</v>
      </c>
      <c r="DD333" s="209">
        <f>IF(DD$3=$K333,IF($C333="W",1,IF($C333="1/2W",0.5,0)),0)</f>
        <v>0</v>
      </c>
      <c r="DE333" s="210">
        <f>IF(DD$3=$K333,IF($C333="L",1,IF($C333="1/2L",0.5,0)),0)</f>
        <v>0</v>
      </c>
      <c r="DF333" s="211">
        <f>IF(AND(L333&lt;DF$3,$C333="W"),1+DF332,DF332)</f>
        <v>12</v>
      </c>
      <c r="DG333" s="198">
        <f>IF(DF333&gt;DF332,L333+DG332,DG332)</f>
        <v>15.718</v>
      </c>
      <c r="DH333" s="209">
        <f>IF(AND(L333&gt;DH$3,$C333="W"),1+DH332,0+DH332)</f>
        <v>7</v>
      </c>
      <c r="DI333" s="198">
        <f>IF(DH333&gt;DH332,L333+DI332,DI332)</f>
        <v>34.83</v>
      </c>
      <c r="DJ333" t="s" s="306">
        <f>IF($D331="","",$D331)</f>
        <v>272</v>
      </c>
      <c r="DK333" s="232"/>
    </row>
    <row r="334" ht="14.55" customHeight="1">
      <c r="A334" s="246">
        <f>$A331+1</f>
        <v>111</v>
      </c>
      <c r="B334" t="s" s="247">
        <f>IF(AND(_xlfn.XLOOKUP(H334,H$100:H143,G$100:G143,0)=G334,_xlfn.XLOOKUP("TempoBet",K334:K336,L334:L336,0)&gt;0),"X",IF(OR(C334="W",C335="W",C336="W",C334="1/2W",C335="1/2W",C336="1/2W",C334="1/2L",C335="1/2L",C336="1/2L"),"OK",IF(OR(C334="L",C335="L",C336="L"),"LOSS",IF(OR(C334="X",C335="X",C336="X"),"Anulado"," "))))</f>
        <v>50</v>
      </c>
      <c r="C334" t="s" s="248">
        <v>51</v>
      </c>
      <c r="D334" t="s" s="303">
        <f>IF(G334="","",$D331)</f>
        <v>272</v>
      </c>
      <c r="E334" t="s" s="250">
        <v>130</v>
      </c>
      <c r="F334" t="s" s="251"/>
      <c r="G334" s="252">
        <v>44947.666666666664</v>
      </c>
      <c r="H334" t="s" s="253">
        <v>290</v>
      </c>
      <c r="I334" s="292">
        <v>1</v>
      </c>
      <c r="J334" s="293"/>
      <c r="K334" t="s" s="256">
        <v>38</v>
      </c>
      <c r="L334" s="257">
        <v>2.5</v>
      </c>
      <c r="M334" s="258">
        <v>28.95</v>
      </c>
      <c r="N334" s="259">
        <v>0</v>
      </c>
      <c r="O334" s="260">
        <f>IF(OR(AE334="",AE335=""),"",ROUND(IF(L336&gt;0,IF(M334&gt;0,M334,IF(M335&gt;0,ROUND((M335*AE334)/AE335,IF(N334=0,2,IF(N334=0.1,1,0))),ROUND((M336*AE334)/AE336,IF(N334=0,2,IF(N334=0.1,1,0))))),IF(M334&gt;0,M334,ROUND((M335*AE334)/AE335,IF(N334=0,2,IF(N334=0.1,1,0))))),2))</f>
        <v>28.95</v>
      </c>
      <c r="P334" s="261">
        <f>IF(OR(L334="",O334=""),"",IF($C334="1/2W",O334/2+O334/2*L334,IF($C334="1/2L",O334/2,IF(I334="Lay",(O334*(L334/(L334-1))-O334)*(1-_xlfn.XLOOKUP(K334,'Janeiro 2023 - Valor Real'!A3:A15,'Janeiro 2023 - Valor Real'!C3:C15,0))+O334,(O334*L334-O334)*(1-_xlfn.XLOOKUP(K334,'Janeiro 2023 - Valor Real'!A3:A15,'Janeiro 2023 - Valor Real'!C3:C15,0))+O334))))</f>
        <v>72.375</v>
      </c>
      <c r="Q334" s="262">
        <f>IF(K334="","",IF(_xlfn.XLOOKUP(K334,K$100:K143,DJ$100:DJ143,0,,-1)=DJ334,_xlfn.XLOOKUP(K334,K$100:K143,Q$100:Q143,1,,-1)+1,1))</f>
        <v>1</v>
      </c>
      <c r="R334" s="263">
        <f>IF(K334="","",_xlfn.XLOOKUP(K334,K$100:K143,R$100:R143,0,,-1)+IF($C334=" ",1,0))</f>
        <v>0</v>
      </c>
      <c r="S334" s="264">
        <f>IF($B334="Anulado",0,ROUND(IF(OR($B334="LOSS",$B334="OK"),IF(OR($C334="W",$C334="1/2W",$C334="1/2L"),P334-O334,IF($C334="L",-O334,0))+IF(OR($C335="W",$C335="1/2W",$C335="1/2L"),P335-O335,IF($C335="L",-O335,0))+IF(OR($C336="W",$C336="1/2W",$C336="1/2L"),P336-O336,IF($C336="L",-O336,0)),IF(AND(OR($C334="W",$C334="1/2W",$C334="1/2L"),C335="W"),P334+P335-SUM(O334:O336)+_xlfn.XLOOKUP("X",C334:C336,O334:O336,0),IF(AND(C334=TRUE,C336="W"),P334+P336-SUM(O334:O336),IF(AND(C335="W",C336="W"),P335+P336-SUM(O334:O336)+_xlfn.XLOOKUP("X",C334:C336,O334:O336,0),IF(L336&gt;0,IF(OR($C334="W",$C334="1/2W",$C334="1/2L"),P334-SUM(O334:O336)+_xlfn.XLOOKUP("X",C334:C336,O334:O336,0),IF(OR($C334="W",$C334="1/2W",$C334="1/2L"),P335-SUM(O334:O336)+_xlfn.XLOOKUP("X",C334:C336,O334:O336,0),IF(OR($C334="W",$C334="1/2W",$C334="1/2L"),P336-SUM(O334:O336)+_xlfn.XLOOKUP("X",C334:C336,O334:O336,0),IF(SUM(P334:P336)/3-SUM(O334:O336)+_xlfn.XLOOKUP("X",C334:C336,O334:O336,0)&gt;0,SUM(P334:P336)/3-SUM(O334:O336)+_xlfn.XLOOKUP("X",C334:C336,O334:O336,0),LARGE(P334:P336,1)-SUM(O334:O336))))),IF(OR($C334="W",$C334="1/2W",$C334="1/2L"),P334-SUM(O334:O335)+_xlfn.XLOOKUP("X",C334:C336,O334:O336,0),IF(OR($C334="W",$C334="1/2W",$C334="1/2L"),P335-SUM(O334:O335)+_xlfn.XLOOKUP("X",C334:C336,O334:O336,0),SUM(P334:P335)/2-SUM(O334:O335)+_xlfn.XLOOKUP("X",C334:C336,O334:O336,0)))))))),2))</f>
        <v>0.34</v>
      </c>
      <c r="T334" s="265">
        <f>IF(S334=0,0,S334/SUM(O334:O336))</f>
        <v>0.00472025544911842</v>
      </c>
      <c r="U334" s="266">
        <f>IF($D334=$D331,IF(OR($B334="LOSS",$B334="OK",$B334="Anulada"),S334,0)+U331,IF(OR($B334="LOSS",$B334="OK",$B334="Anulada"),S334,0))</f>
        <v>-1.52</v>
      </c>
      <c r="V334" s="266">
        <f>IF($D334="",0,IF($D334=$D331,IF($B334=" ",IF(I336="",IF(OR(AND(I334="DNB1",I335="DNB2"),AND(OR(I334="DNB1",I334="DNB2"),J335=0),AND(OR(I335="DNB1",I335="DNB2"),J334=0),AND(I334="DNB2",I335="DNB1"),AND(IF(J334=0,(J334+1)/ROUND(J334+1,0),J334/ROUND(J334,0))=1,IF(J335=0,(J335+1)/ROUND(IF(J335="",0,J335)+1,0),IF(J335="",0,J335)/ROUND(IF(J335="",1,J335),0))=1,OR(J334&lt;&gt;""),J335&lt;&gt;"")),0,IF(S334&lt;0,IF(I336="",SMALL(P334:P335,1)-SUM(O334:O335),0),SMALL(P334:P335,1)-SUM(O334:O335))),IF(S334&lt;0,IF(I336="",SMALL(P334:P336,1)-SUM(O334:O336),0),LARGE(P334:P336,1)-SUM(O334:O336))),S334)+V331,IF(I336="",IF(OR(AND(I334="DNB1",I335="DNB2"),AND(OR(I334="DNB1",I334="DNB2"),J335=0),AND(OR(I335="DNB1",I335="DNB2"),J334=0),AND(I334="DNB2",I335="DNB1"),AND(IF(J334=0,(J334+1)/ROUND(J334+1,0),J334/ROUND(J334,0))=1,IF(J335=0,(IF(J335="",0,J335)+1)/ROUND(IF(J335="",0,J335)+1,0),IF(J335="",0,J335)/ROUND(IF(J335="",0,J335)+1,0))=1,OR(J334&lt;&gt;""),J335&lt;&gt;"")),0,IF(S334&lt;0,IF(I336="",SMALL(P334:P335,1)-SUM(O334:O335),0),SMALL(P334:P336,1)-SUM(O334:O336))),IF(S334&lt;0,IF(I336="",SMALL(P334:P336,1)-SUM(O334:O336),0),LARGE(P334:P336,1)-SUM(O334:O336)))))</f>
        <v>-1.555</v>
      </c>
      <c r="W334" s="266">
        <f>IF($D334=$D331,IF(S334&lt;0,IF(I336="",S334,0),S334)+W331,S334)</f>
        <v>-1.52</v>
      </c>
      <c r="X334" t="s" s="267">
        <f>IF(OR(SUM(R334:R336)=0,V334=W334),ROUND(IF(W334=0,0,W334/Y334)*100,2)&amp;"%",ROUND(IF(V334=0,0,V334/Y334)*100,2)&amp;"% a "&amp;ROUND(IF(W334=0,0,W334/Y334)*100,2)&amp;"%")</f>
        <v>291</v>
      </c>
      <c r="Y334" s="268">
        <f>IF($D334=$D331,Y331+SUM(O334:O336),SUM(O334:O336))</f>
        <v>359.14</v>
      </c>
      <c r="Z334" s="266">
        <f>IF($B334=" ",SUM(O334:O336),0)+Z331</f>
        <v>0</v>
      </c>
      <c r="AA334" s="266">
        <f>IF(G334="","",IF($B334="Anulado",LARGE(P334:P336,1)-SUM(O334:O336)+AA331,AA331))</f>
        <v>16.5099</v>
      </c>
      <c r="AB334" s="266">
        <f>IF($D334="","",AB331+S334)</f>
        <v>301.85</v>
      </c>
      <c r="AC334" s="269">
        <f>IF($D334="","",IF($B334=" ",IF(DAY(G334)=DAY(TODAY()),1+AC331,0+AC331),0+AC331))</f>
        <v>0</v>
      </c>
      <c r="AD334" s="270">
        <f>(1-_xlfn.XLOOKUP(K332,'Janeiro 2023 - Valor Real'!A3:A15,'Janeiro 2023 - Valor Real'!C3:C15,0))+1</f>
        <v>2</v>
      </c>
      <c r="AE334" s="271">
        <f>IF(L334="","",IF(L336&gt;0,(SUM(((L334-1)*(1-_xlfn.XLOOKUP(K334,'Janeiro 2023 - Valor Real'!A3:A15,'Janeiro 2023 - Valor Real'!C3:C15,0))+1),((L335-1)*(1-_xlfn.XLOOKUP(K335,'Janeiro 2023 - Valor Real'!A3:A15,'Janeiro 2023 - Valor Real'!C3:C15,0))+1),((L336-1)*(1-_xlfn.XLOOKUP(K336,'Janeiro 2023 - Valor Real'!A3:A15,'Janeiro 2023 - Valor Real'!C3:C15,0))+1))/((L334-1)*(1-_xlfn.XLOOKUP(K334,'Janeiro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Real'!C3:C15,0))+1))/((L334-1)*(1-_xlfn.XLOOKUP(K334,'Janeiro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Real'!C3:C15,0))+1))/((L335-1)*(1-_xlfn.XLOOKUP(K335,'Janeiro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Real'!C3:C15,0))+1))/((L336-1)*(1-_xlfn.XLOOKUP(K336,'Janeiro 2023 - Valor Real'!A3:A15,'Janeiro 2023 - Valor Real'!C3:C15,0))+1)),IF(I334="Lay",IF(I335="Lay",((L335/(L335-1)-1)*(1-_xlfn.XLOOKUP(K335,'Janeiro 2023 - Valor Real'!A3:A15,'Janeiro 2023 - Valor Real'!C3:C15,0))+1)/(((L335/(L335-1)-1)*(1-_xlfn.XLOOKUP(K335,'Janeiro 2023 - Valor Real'!A3:A15,'Janeiro 2023 - Valor Real'!C3:C15,0))+1)+((L334/(L334-1)-1)*(1-_xlfn.XLOOKUP(K334,'Janeiro 2023 - Valor Real'!A3:A15,'Janeiro 2023 - Valor Real'!C3:C15,0))+1)),((L335-1)*(1-_xlfn.XLOOKUP(K335,'Janeiro 2023 - Valor Real'!A3:A15,'Janeiro 2023 - Valor Real'!C3:C15,0))+1)/(((L335-1)*(1-_xlfn.XLOOKUP(K335,'Janeiro 2023 - Valor Real'!A3:A15,'Janeiro 2023 - Valor Real'!C3:C15,0))+1)+((L334/(L334-1)-1)*(1-_xlfn.XLOOKUP(K334,'Janeiro 2023 - Valor Real'!A3:A15,'Janeiro 2023 - Valor Real'!C3:C15,0))+1))),IF(I335="Lay",(((L335/(L335-1)-1)*(1-_xlfn.XLOOKUP(K335,'Janeiro 2023 - Valor Real'!A3:A15,'Janeiro 2023 - Valor Real'!C3:C15,0))+1))/(((L334-1)*(1-_xlfn.XLOOKUP(K334,'Janeiro 2023 - Valor Real'!A3:A15,'Janeiro 2023 - Valor Real'!C3:C15,0))+1)+((L335/(L335-1)-1)*(1-_xlfn.XLOOKUP(K335,'Janeiro 2023 - Valor Real'!A3:A15,'Janeiro 2023 - Valor Real'!C3:C15,0))+1)),((L335-1)*(1-_xlfn.XLOOKUP(K335,'Janeiro 2023 - Valor Real'!A3:A15,'Janeiro 2023 - Valor Real'!C3:C15,0))+1)/(((L335-1)*(1-_xlfn.XLOOKUP(K335,'Janeiro 2023 - Valor Real'!A3:A15,'Janeiro 2023 - Valor Real'!C3:C15,0))+1)+((L334-1)*(1-_xlfn.XLOOKUP(K334,'Janeiro 2023 - Valor Real'!A3:A15,'Janeiro 2023 - Valor Real'!C3:C15,0))+1))))))</f>
        <v>0.401913875598086</v>
      </c>
      <c r="AF334" s="132">
        <f>IF($K334=AF$3,ROUND(IF(OR($C334="W",$C334="1/2W",$C334="1/2L"),$P334-$O334,IF($C334="X",0,-$O334)),2),0)</f>
        <v>0</v>
      </c>
      <c r="AG334" s="133">
        <f>IF($K334=AG$3,ROUND(IF(OR($C334="W",$C334="1/2W",$C334="1/2L"),$P334-$O334,IF($C334="X",0,-$O334)),2),0)</f>
        <v>-28.95</v>
      </c>
      <c r="AH334" s="133">
        <f>IF($K334=AH$3,ROUND(IF(OR($C334="W",$C334="1/2W",$C334="1/2L"),$P334-$O334,IF($C334="X",0,-$O334)),2),0)</f>
        <v>0</v>
      </c>
      <c r="AI334" s="133">
        <f>IF($K334=AI$3,ROUND(IF(OR($C334="W",$C334="1/2W",$C334="1/2L"),$P334-$O334,IF($C334="X",0,-$O334)),2),0)</f>
        <v>0</v>
      </c>
      <c r="AJ334" s="133">
        <f>IF($K334=AJ$3,ROUND(IF(OR($C334="W",$C334="1/2W",$C334="1/2L"),$P334-$O334,IF($C334="X",0,-$O334)),2),0)</f>
        <v>0</v>
      </c>
      <c r="AK334" s="133">
        <f>IF($K334=AK$3,ROUND(IF(OR($C334="W",$C334="1/2W",$C334="1/2L"),$P334-$O334,IF($C334="X",0,-$O334)),2),0)</f>
        <v>0</v>
      </c>
      <c r="AL334" s="133">
        <f>IF($K334=AL$3,ROUND(IF(OR($C334="W",$C334="1/2W",$C334="1/2L"),$P334-$O334,IF($C334="X",0,-$O334)),2),0)</f>
        <v>0</v>
      </c>
      <c r="AM334" s="133">
        <f>IF($K334=AM$3,ROUND(IF(OR($C334="W",$C334="1/2W",$C334="1/2L"),$P334-$O334,IF($C334="X",0,-$O334)),2),0)</f>
        <v>0</v>
      </c>
      <c r="AN334" s="133">
        <f>IF($K334=AN$3,ROUND(IF(OR($C334="W",$C334="1/2W",$C334="1/2L"),$P334-$O334,IF($C334="X",0,-$O334)),2),0)</f>
        <v>0</v>
      </c>
      <c r="AO334" s="133">
        <f>IF($K334=AO$3,ROUND(IF(OR($C334="W",$C334="1/2W",$C334="1/2L"),$P334-$O334,IF($C334="X",0,-$O334)),2),0)</f>
        <v>0</v>
      </c>
      <c r="AP334" s="133">
        <f>IF($K334=AP$3,ROUND(IF(OR($C334="W",$C334="1/2W",$C334="1/2L"),$P334-$O334,IF($C334="X",0,-$O334)),2),0)</f>
        <v>0</v>
      </c>
      <c r="AQ334" s="133">
        <f>IF($K334=AQ$3,ROUND(IF(OR($C334="W",$C334="1/2W",$C334="1/2L"),$P334-$O334,IF($C334="X",0,-$O334)),2),0)</f>
        <v>0</v>
      </c>
      <c r="AR334" s="134">
        <f>IF($K334=AR$3,ROUND(IF(OR($C334="W",$C334="1/2W",$C334="1/2L"),$P334-$O334,IF($C334="X",0,-$O334)),2),0)</f>
        <v>0</v>
      </c>
      <c r="AS334" s="132">
        <f>IF(AND($B334=" ",$K334=AS$3),$O334,0)</f>
        <v>0</v>
      </c>
      <c r="AT334" s="133">
        <f>IF(AND($B334=" ",$K334=AT$3),$O334,0)</f>
        <v>0</v>
      </c>
      <c r="AU334" s="133">
        <f>IF(AND($B334=" ",$K334=AU$3),$O334,0)</f>
        <v>0</v>
      </c>
      <c r="AV334" s="133">
        <f>IF(AND($B334=" ",$K334=AV$3),$O334,0)</f>
        <v>0</v>
      </c>
      <c r="AW334" s="133">
        <f>IF(AND($B334=" ",$K334=AW$3),$O334,0)</f>
        <v>0</v>
      </c>
      <c r="AX334" s="133">
        <f>IF(AND($B334=" ",$K334=AX$3),$O334,0)</f>
        <v>0</v>
      </c>
      <c r="AY334" s="135">
        <f>IF(AND($B334=" ",$K334=AY$3),$O334,0)</f>
        <v>0</v>
      </c>
      <c r="AZ334" s="136">
        <f>IF(AND($B334=" ",$K334=AZ$3),$O334,0)</f>
        <v>0</v>
      </c>
      <c r="BA334" s="136">
        <f>IF(AND($B334=" ",$K334=BA$3),$O334,0)</f>
        <v>0</v>
      </c>
      <c r="BB334" s="136">
        <f>IF(AND($B334=" ",$K334=BB$3),$O334,0)</f>
        <v>0</v>
      </c>
      <c r="BC334" s="137">
        <f>IF(AND($B334=" ",$K334=BC$3),$O334,0)</f>
        <v>0</v>
      </c>
      <c r="BD334" s="133">
        <f>IF(AND($B334=" ",$K334=BD$3),$O334,0)</f>
        <v>0</v>
      </c>
      <c r="BE334" s="134">
        <f>IF(AND($B334=" ",$K334=BE$3),$O334,0)</f>
        <v>0</v>
      </c>
      <c r="BF334" s="132">
        <f>IF($K334=BF$3,IF($C334="X",0,$O334),0)</f>
        <v>0</v>
      </c>
      <c r="BG334" s="133">
        <f>IF($K334=BG$3,IF($C334="X",0,$O334),0)</f>
        <v>28.95</v>
      </c>
      <c r="BH334" s="133">
        <f>IF($K334=BH$3,IF($C334="X",0,$O334),0)</f>
        <v>0</v>
      </c>
      <c r="BI334" s="133">
        <f>IF($K334=BI$3,IF($C334="X",0,$O334),0)</f>
        <v>0</v>
      </c>
      <c r="BJ334" s="133">
        <f>IF($K334=BJ$3,IF($C334="X",0,$O334),0)</f>
        <v>0</v>
      </c>
      <c r="BK334" s="133">
        <f>IF($K334=BK$3,IF($C334="X",0,$O334),0)</f>
        <v>0</v>
      </c>
      <c r="BL334" s="133">
        <f>IF($K334=BL$3,IF($C334="X",0,$O334),0)</f>
        <v>0</v>
      </c>
      <c r="BM334" s="135">
        <f>IF($K334=BM$3,IF($C334="X",0,$O334),0)</f>
        <v>0</v>
      </c>
      <c r="BN334" s="136">
        <f>IF($K334=BN$3,IF($C334="X",0,$O334),0)</f>
        <v>0</v>
      </c>
      <c r="BO334" s="136">
        <f>IF($K334=BO$3,IF($C334="X",0,$O334),0)</f>
        <v>0</v>
      </c>
      <c r="BP334" s="136">
        <f>IF($K334=BP$3,IF($C334="X",0,$O334),0)</f>
        <v>0</v>
      </c>
      <c r="BQ334" s="137">
        <f>IF($K334=BQ$3,IF($C334="X",0,$O334),0)</f>
        <v>0</v>
      </c>
      <c r="BR334" s="134">
        <f>IF($K334=BR$3,IF($C334="X",0,$O334),0)</f>
        <v>0</v>
      </c>
      <c r="BS334" s="170">
        <f>IF($B334="LOSS",IF(AND($K334=BS$3,$C334="L"),-$O334,0)+IF(AND($K335=BS$3,$C335="L"),-$O335,0)+IF(AND($K336=BS$3,$C336="L"),-$O336,0),IF(OR(AND($K334=BS$3,OR($C334="W",$C334="1/2W")),AND($K335=BS$3,OR($C335="W",$C335="1/2W")),AND($K336=BS$3,OR($C336="W",$C336="1/2W"))),$S334,0))</f>
        <v>0</v>
      </c>
      <c r="BT334" s="272">
        <f>IF($B334="LOSS",IF(AND($K334=BT$3,$C334="L"),-$O334,0)+IF(AND($K335=BT$3,$C335="L"),-$O335,0)+IF(AND($K335=BT$3,$C336="L"),-$O336,0),IF(OR(AND($K335=BT$3,OR($C334="W",$C334="1/2W")),AND($K335=BT$3,OR($C335="W",$C335="1/2W")),AND($K335=BT$3,OR($C336="W",$C336="1/2W"))),$S334,0))</f>
        <v>0</v>
      </c>
      <c r="BU334" s="136">
        <f>IF($B334="LOSS",IF(AND($K334=BU$3,$C334="L"),-$O334,0)+IF(AND($K335=BU$3,$C335="L"),-$O335,0)+IF(AND($K335=BU$3,$C336="L"),-$O336,0),IF(OR(AND($K335=BU$3,OR($C334="W",$C334="1/2W")),AND($K335=BU$3,OR($C335="W",$C335="1/2W")),AND($K335=BU$3,OR($C336="W",$C336="1/2W"))),$S334,0))</f>
        <v>0</v>
      </c>
      <c r="BV334" s="136">
        <f>IF($B334="LOSS",IF(AND($K334=BV$3,$C334="L"),-$O334,0)+IF(AND($K335=BV$3,$C335="L"),-$O335,0)+IF(AND($K336=BV$3,$C336="L"),-$O336,0),IF(OR(AND($K334=BV$3,OR($C334="W",$C334="1/2W")),AND($K335=BV$3,OR($C335="W",$C335="1/2W")),AND($K336=BV$3,OR($C336="W",$C336="1/2W"))),$S334,0))</f>
        <v>0</v>
      </c>
      <c r="BW334" s="136">
        <f>IF($B334="LOSS",IF(AND($K334=BW$3,$C334="L"),-$O334,0)+IF(AND($K335=BW$3,$C335="L"),-$O335,0)+IF(AND($K336=BW$3,$C336="L"),-$O336,0),IF(OR(AND($K334=BW$3,OR($C334="W",$C334="1/2W")),AND($K335=BW$3,OR($C335="W",$C335="1/2W")),AND($K336=BW$3,OR($C336="W",$C336="1/2W"))),$S334,0))</f>
        <v>0</v>
      </c>
      <c r="BX334" s="136">
        <f>IF($B334="LOSS",IF(AND($K334=BX$3,$C334="L"),-$O334,0)+IF(AND($K335=BX$3,$C335="L"),-$O335,0)+IF(AND($K336=BX$3,$C336="L"),-$O336,0),IF(OR(AND($K334=BX$3,OR($C334="W",$C334="1/2W")),AND($K335=BX$3,OR($C335="W",$C335="1/2W")),AND($K336=BX$3,OR($C336="W",$C336="1/2W"))),$S334,0))</f>
        <v>0</v>
      </c>
      <c r="BY334" s="136">
        <f>IF($B334="LOSS",IF(AND($K334=BY$3,$C334="L"),-$O334,0)+IF(AND($K335=BY$3,$C335="L"),-$O335,0)+IF(AND($K336=BY$3,$C336="L"),-$O336,0),IF(OR(AND($K334=BY$3,OR($C334="W",$C334="1/2W")),AND($K335=BY$3,OR($C335="W",$C335="1/2W")),AND($K336=BY$3,OR($C336="W",$C336="1/2W"))),$S334,0))</f>
        <v>0</v>
      </c>
      <c r="BZ334" s="136">
        <f>IF($B334="LOSS",IF(AND($K334=BZ$3,$C334="L"),-$O334,0)+IF(AND($K335=BZ$3,$C335="L"),-$O335,0)+IF(AND($K336=BZ$3,$C336="L"),-$O336,0),IF(OR(AND($K334=BZ$3,OR($C334="W",$C334="1/2W")),AND($K335=BZ$3,OR($C335="W",$C335="1/2W")),AND($K336=BZ$3,OR($C336="W",$C336="1/2W"))),$S334,0))</f>
        <v>0.34</v>
      </c>
      <c r="CA334" s="136">
        <f>IF($B334="LOSS",IF(AND($K334=CA$3,$C334="L"),-$O334,0)+IF(AND($K335=CA$3,$C335="L"),-$O335,0)+IF(AND($K336=CA$3,$C336="L"),-$O336,0),IF(OR(AND($K334=CA$3,OR($C334="W",$C334="1/2W")),AND($K335=CA$3,OR($C335="W",$C335="1/2W")),AND($K336=CA$3,OR($C336="W",$C336="1/2W"))),$S334,0))</f>
        <v>0</v>
      </c>
      <c r="CB334" s="136">
        <f>IF($B334="LOSS",IF(AND($K334=CB$3,$C334="L"),-$O334,0)+IF(AND($K335=CB$3,$C335="L"),-$O335,0)+IF(AND($K336=CB$3,$C336="L"),-$O336,0),IF(OR(AND($K334=CB$3,OR($C334="W",$C334="1/2W")),AND($K335=CB$3,OR($C335="W",$C335="1/2W")),AND($K336=CB$3,OR($C336="W",$C336="1/2W"))),$S334,0))</f>
        <v>0</v>
      </c>
      <c r="CC334" s="136">
        <f>IF($B334="LOSS",IF(AND($K334=CC$3,$C334="L"),-$O334,0)+IF(AND($K335=CC$3,$C335="L"),-$O335,0)+IF(AND($K336=CC$3,$C336="L"),-$O336,0),IF(OR(AND($K334=CC$3,OR($C334="W",$C334="1/2W")),AND($K335=CC$3,OR($C335="W",$C335="1/2W")),AND($K336=CC$3,OR($C336="W",$C336="1/2W"))),$S334,0))</f>
        <v>0</v>
      </c>
      <c r="CD334" s="137">
        <f>IF($B334="LOSS",IF(AND($K334=CD$3,$C334="L"),-$O334,0)+IF(AND($K335=CD$3,$C335="L"),-$O335,0)+IF(AND($K336=CD$3,$C336="L"),-$O336,0),IF(OR(AND($K334=CD$3,OR($C334="W",$C334="1/2W")),AND($K335=CD$3,OR($C335="W",$C335="1/2W")),AND($K336=CD$3,OR($C336="W",$C336="1/2W"))),$S334,0))</f>
        <v>0</v>
      </c>
      <c r="CE334" s="134">
        <f>IF($B334="LOSS",IF(AND($K334=CE$3,$C334="L"),-$O334,0)+IF(AND($K335=CE$3,$C335="L"),-$O335,0)+IF(AND($K336=CE$3,$C336="L"),-$O336,0),IF(OR(AND($K334=CE$3,OR($C334="W",$C334="1/2W")),AND($K335=CE$3,OR($C335="W",$C335="1/2W")),AND($K336=CE$3,OR($C336="W",$C336="1/2W"))),$S334,0))</f>
        <v>0</v>
      </c>
      <c r="CF334" s="273">
        <f>IF(CF$3=$K334,IF($C334="W",1,IF($C334="1/2W",0.5,0)),0)</f>
        <v>0</v>
      </c>
      <c r="CG334" s="274">
        <f>IF(CF$3=$K334,IF($C334="L",1,IF($C334="1/2L",0.5,0)),0)</f>
        <v>0</v>
      </c>
      <c r="CH334" s="274">
        <f>IF(CH$3=$K334,IF($C334="W",1,IF($C334="1/2W",0.5,0)),0)</f>
        <v>0</v>
      </c>
      <c r="CI334" s="274">
        <f>IF(CH$3=$K334,IF($C334="L",1,IF($C334="1/2L",0.5,0)),0)</f>
        <v>1</v>
      </c>
      <c r="CJ334" s="274">
        <f>IF(CJ$3=$K334,IF($C334="W",1,IF($C334="1/2W",0.5,0)),0)</f>
        <v>0</v>
      </c>
      <c r="CK334" s="274">
        <f>IF(CJ$3=$K334,IF($C334="L",1,IF($C334="1/2L",0.5,0)),0)</f>
        <v>0</v>
      </c>
      <c r="CL334" s="274">
        <f>IF(CL$3=$K334,IF($C334="W",1,IF($C334="1/2W",0.5,0)),0)</f>
        <v>0</v>
      </c>
      <c r="CM334" s="274">
        <f>IF(CL$3=$K334,IF($C334="L",1,IF($C334="1/2L",0.5,0)),0)</f>
        <v>0</v>
      </c>
      <c r="CN334" s="274">
        <f>IF(CN$3=$K334,IF($C334="W",1,IF($C334="1/2W",0.5,0)),0)</f>
        <v>0</v>
      </c>
      <c r="CO334" s="274">
        <f>IF(CN$3=$K334,IF($C334="L",1,IF($C334="1/2L",0.5,0)),0)</f>
        <v>0</v>
      </c>
      <c r="CP334" s="274">
        <f>IF(CP$3=$K334,IF($C334="W",1,IF($C334="1/2W",0.5,0)),0)</f>
        <v>0</v>
      </c>
      <c r="CQ334" s="274">
        <f>IF(CP$3=$K334,IF($C334="L",1,IF($C334="1/2L",0.5,0)),0)</f>
        <v>0</v>
      </c>
      <c r="CR334" s="274">
        <f>IF(CR$3=$K334,IF($C334="W",1,IF($C334="1/2W",0.5,0)),0)</f>
        <v>0</v>
      </c>
      <c r="CS334" s="274">
        <f>IF(CR$3=$K334,IF($C334="L",1,IF($C334="1/2L",0.5,0)),0)</f>
        <v>0</v>
      </c>
      <c r="CT334" s="145">
        <f>IF(CT$3=$K334,IF($C334="W",1,IF($C334="1/2W",0.5,0)),0)</f>
        <v>0</v>
      </c>
      <c r="CU334" s="146">
        <f>IF(CT$3=$K334,IF($C334="L",1,IF($C334="1/2L",0.5,0)),0)</f>
        <v>0</v>
      </c>
      <c r="CV334" s="146">
        <f>IF(CV$3=$K334,IF($C334="W",1,IF($C334="1/2W",0.5,0)),0)</f>
        <v>0</v>
      </c>
      <c r="CW334" s="146">
        <f>IF(CV$3=$K334,IF($C334="L",1,IF($C334="1/2L",0.5,0)),0)</f>
        <v>0</v>
      </c>
      <c r="CX334" s="146">
        <f>IF(CX$3=$K334,IF($C334="W",1,IF($C334="1/2W",0.5,0)),0)</f>
        <v>0</v>
      </c>
      <c r="CY334" s="146">
        <f>IF(CX$3=$K334,IF($C334="L",1,IF($C334="1/2L",0.5,0)),0)</f>
        <v>0</v>
      </c>
      <c r="CZ334" s="146">
        <f>IF(CZ$3=$K334,IF($C334="W",1,IF($C334="1/2W",0.5,0)),0)</f>
        <v>0</v>
      </c>
      <c r="DA334" s="146">
        <f>IF(CZ$3=$K334,IF($C334="L",1,IF($C334="1/2L",0.5,0)),0)</f>
        <v>0</v>
      </c>
      <c r="DB334" s="146">
        <f>IF(DB$3=$K334,IF($C334="W",1,IF($C334="1/2W",0.5,0)),0)</f>
        <v>0</v>
      </c>
      <c r="DC334" s="146">
        <f>IF(DB$3=$K334,IF($C334="L",1,IF($C334="1/2L",0.5,0)),0)</f>
        <v>0</v>
      </c>
      <c r="DD334" s="146">
        <f>IF(DD$3=$K334,IF($C334="W",1,IF($C334="1/2W",0.5,0)),0)</f>
        <v>0</v>
      </c>
      <c r="DE334" s="147">
        <f>IF(DD$3=$K334,IF($C334="L",1,IF($C334="1/2L",0.5,0)),0)</f>
        <v>0</v>
      </c>
      <c r="DF334" s="143">
        <f>IF(AND(L334&lt;DF$3,$C334="W"),1+DF333,DF333)</f>
        <v>12</v>
      </c>
      <c r="DG334" s="133">
        <f>IF(DF334&gt;DF333,L334+DG333,DG333)</f>
        <v>15.718</v>
      </c>
      <c r="DH334" s="146">
        <f>IF(AND(L334&gt;DH$3,$C334="W"),1+DH333,0+DH333)</f>
        <v>7</v>
      </c>
      <c r="DI334" s="133">
        <f>IF(DH334&gt;DH333,L334+DI333,DI333)</f>
        <v>34.83</v>
      </c>
      <c r="DJ334" t="s" s="304">
        <f>IF($D334="","",$D334)</f>
        <v>272</v>
      </c>
      <c r="DK334" s="146">
        <f>IF(AND($B334=" ",$D334&lt;&gt;""),1,0)</f>
        <v>0</v>
      </c>
    </row>
    <row r="335" ht="14.55" customHeight="1">
      <c r="A335" s="107"/>
      <c r="B335" s="108"/>
      <c r="C335" t="s" s="109">
        <v>56</v>
      </c>
      <c r="D335" s="110"/>
      <c r="E335" s="111"/>
      <c r="F335" s="113"/>
      <c r="G335" s="252"/>
      <c r="H335" s="114"/>
      <c r="I335" t="s" s="275">
        <v>57</v>
      </c>
      <c r="J335" s="276">
        <v>0.5</v>
      </c>
      <c r="K335" t="s" s="117">
        <v>44</v>
      </c>
      <c r="L335" s="277">
        <v>1.68</v>
      </c>
      <c r="M335" s="278"/>
      <c r="N335" s="120"/>
      <c r="O335" s="121">
        <f>IF(OR(AE334="",AE335=""),"",ROUND(IF(L336&gt;0,IF(M335&gt;0,M335,IF(M334&gt;0,IF(N334=TRUE,ROUND((M334*AE335)/AE334,0),(M334*AE335)/AE334),IF(M335&gt;0,ROUND(M335,IF(N334=0,2,IF(N334=0.1,1,0))),IF(M336&gt;0,ROUND(O336*AE335/AE336,IF(N334=0,2,IF(N334=0.1,1,0))),0)))),IF(M335&gt;0,M335,ROUND((M334*AE335)/AE334,IF(N334=0,2,IF(N334=0.1,1,0))))),2))</f>
        <v>43.08</v>
      </c>
      <c r="P335" s="122">
        <f>IF(OR(L335="",O335=""),"",IF($C335="1/2W",O335/2+O335/2*L335,IF($C335="1/2L",O335/2,IF(I335="Lay",((O335*(L335/(L335-1)))-O335)*(1-_xlfn.XLOOKUP(K335,'Janeiro 2023 - Valor Real'!A3:A15,'Janeiro 2023 - Valor Real'!C3:C15,0))+O335,(O335*L335-O335)*(1-_xlfn.XLOOKUP(K335,'Janeiro 2023 - Valor Real'!A3:A15,'Janeiro 2023 - Valor Real'!C3:C15,0))+O335))))</f>
        <v>72.37439999999999</v>
      </c>
      <c r="Q335" s="279">
        <f>IF(K335="","",IF(_xlfn.XLOOKUP(K335,K$101:K144,DJ$101:DJ144,0,,-1)=DJ335,_xlfn.XLOOKUP(K335,K$101:K144,Q$101:Q144,1,,-1)+1,1))</f>
        <v>1</v>
      </c>
      <c r="R335" s="280">
        <f>IF(K335="","",_xlfn.XLOOKUP(K335,K$101:K144,R$101:R144,0,,-1)+IF($C335=" ",1,0))</f>
        <v>0</v>
      </c>
      <c r="S335" s="125"/>
      <c r="T335" s="126"/>
      <c r="U335" s="126"/>
      <c r="V335" s="224"/>
      <c r="W335" s="126"/>
      <c r="X335" s="127"/>
      <c r="Y335" s="128"/>
      <c r="Z335" s="129"/>
      <c r="AA335" s="129"/>
      <c r="AB335" s="129"/>
      <c r="AC335" s="129"/>
      <c r="AD335" s="130"/>
      <c r="AE335" s="131">
        <f>IF(L335="","",IF(L336&gt;0,(SUM(((L334-1)*(1-_xlfn.XLOOKUP(K334,'Janeiro 2023 - Valor Real'!A3:A15,'Janeiro 2023 - Valor Real'!C3:C15,0))+1),((L335-1)*(1-_xlfn.XLOOKUP(K335,'Janeiro 2023 - Valor Real'!A3:A15,'Janeiro 2023 - Valor Real'!C3:C15,0))+1),((L336-1)*(1-_xlfn.XLOOKUP(K336,'Janeiro 2023 - Valor Real'!A3:A15,'Janeiro 2023 - Valor Real'!C3:C15,0))+1))/((L335-1)*(1-_xlfn.XLOOKUP(K335,'Janeiro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Real'!C3:C15,0))+1))/((L334-1)*(1-_xlfn.XLOOKUP(K334,'Janeiro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Real'!C3:C15,0))+1))/((L335-1)*(1-_xlfn.XLOOKUP(K335,'Janeiro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Real'!C3:C15,0))+1))/((L336-1)*(1-_xlfn.XLOOKUP(K336,'Janeiro 2023 - Valor Real'!A3:A15,'Janeiro 2023 - Valor Real'!C3:C15,0))+1)),IF(I335="Lay",IF(I334="Lay",((L334/(L334-1)-1)*(1-_xlfn.XLOOKUP(K334,'Janeiro 2023 - Valor Real'!A3:A15,'Janeiro 2023 - Valor Real'!C3:C15,0))+1)/(((L334/(L334-1)-1)*(1-_xlfn.XLOOKUP(K334,'Janeiro 2023 - Valor Real'!A3:A15,'Janeiro 2023 - Valor Real'!C3:C15,0))+1)+((L335/(L335-1)-1)*(1-_xlfn.XLOOKUP(K335,'Janeiro 2023 - Valor Real'!A3:A15,'Janeiro 2023 - Valor Real'!C3:C15,0))+1)),((L334-1)*(1-_xlfn.XLOOKUP(K334,'Janeiro 2023 - Valor Real'!A3:A15,'Janeiro 2023 - Valor Real'!C3:C15,0))+1)/(((L334-1)*(1-_xlfn.XLOOKUP(K334,'Janeiro 2023 - Valor Real'!A3:A15,'Janeiro 2023 - Valor Real'!C3:C15,0))+1)+((L335/(L335-1)-1)*(1-_xlfn.XLOOKUP(K335,'Janeiro 2023 - Valor Real'!A3:A15,'Janeiro 2023 - Valor Real'!C3:C15,0))+1))),IF(I334="Lay",((L334/(L334-1)-1)*(1-_xlfn.XLOOKUP(K334,'Janeiro 2023 - Valor Real'!A3:A15,'Janeiro 2023 - Valor Real'!C3:C15,0))+1)/((((L334/(L334-1)-1)*(1-_xlfn.XLOOKUP(K334,'Janeiro 2023 - Valor Real'!A3:A15,'Janeiro 2023 - Valor Real'!C3:C15,0))+1))+((L335-1)*(1-_xlfn.XLOOKUP(K335,'Janeiro 2023 - Valor Real'!A3:A15,'Janeiro 2023 - Valor Real'!C3:C15,0))+1)),((L334-1)*(1-_xlfn.XLOOKUP(K334,'Janeiro 2023 - Valor Real'!A3:A15,'Janeiro 2023 - Valor Real'!C3:C15,0))+1)/(((L334-1)*(1-_xlfn.XLOOKUP(K334,'Janeiro 2023 - Valor Real'!A3:A15,'Janeiro 2023 - Valor Real'!C3:C15,0))+1)+((L335-1)*(1-_xlfn.XLOOKUP(K335,'Janeiro 2023 - Valor Real'!A3:A15,'Janeiro 2023 - Valor Real'!C3:C15,0))+1))))))</f>
        <v>0.598086124401914</v>
      </c>
      <c r="AF335" s="132">
        <f>IF($K335=AF$3,ROUND(IF(OR($C335="W",$C335="1/2W",$C335="1/2L"),$P335-$O335,IF($C335="X",0,-$O335)),2),0)</f>
        <v>0</v>
      </c>
      <c r="AG335" s="133">
        <f>IF($K335=AG$3,ROUND(IF(OR($C335="W",$C335="1/2W",$C335="1/2L"),$P335-$O335,IF($C335="X",0,-$O335)),2),0)</f>
        <v>0</v>
      </c>
      <c r="AH335" s="133">
        <f>IF($K335=AH$3,ROUND(IF(OR($C335="W",$C335="1/2W",$C335="1/2L"),$P335-$O335,IF($C335="X",0,-$O335)),2),0)</f>
        <v>0</v>
      </c>
      <c r="AI335" s="133">
        <f>IF($K335=AI$3,ROUND(IF(OR($C335="W",$C335="1/2W",$C335="1/2L"),$P335-$O335,IF($C335="X",0,-$O335)),2),0)</f>
        <v>0</v>
      </c>
      <c r="AJ335" s="133">
        <f>IF($K335=AJ$3,ROUND(IF(OR($C335="W",$C335="1/2W",$C335="1/2L"),$P335-$O335,IF($C335="X",0,-$O335)),2),0)</f>
        <v>0</v>
      </c>
      <c r="AK335" s="133">
        <f>IF($K335=AK$3,ROUND(IF(OR($C335="W",$C335="1/2W",$C335="1/2L"),$P335-$O335,IF($C335="X",0,-$O335)),2),0)</f>
        <v>0</v>
      </c>
      <c r="AL335" s="133">
        <f>IF($K335=AL$3,ROUND(IF(OR($C335="W",$C335="1/2W",$C335="1/2L"),$P335-$O335,IF($C335="X",0,-$O335)),2),0)</f>
        <v>0</v>
      </c>
      <c r="AM335" s="133">
        <f>IF($K335=AM$3,ROUND(IF(OR($C335="W",$C335="1/2W",$C335="1/2L"),$P335-$O335,IF($C335="X",0,-$O335)),2),0)</f>
        <v>29.29</v>
      </c>
      <c r="AN335" s="133">
        <f>IF($K335=AN$3,ROUND(IF(OR($C335="W",$C335="1/2W",$C335="1/2L"),$P335-$O335,IF($C335="X",0,-$O335)),2),0)</f>
        <v>0</v>
      </c>
      <c r="AO335" s="133">
        <f>IF($K335=AO$3,ROUND(IF(OR($C335="W",$C335="1/2W",$C335="1/2L"),$P335-$O335,IF($C335="X",0,-$O335)),2),0)</f>
        <v>0</v>
      </c>
      <c r="AP335" s="133">
        <f>IF($K335=AP$3,ROUND(IF(OR($C335="W",$C335="1/2W",$C335="1/2L"),$P335-$O335,IF($C335="X",0,-$O335)),2),0)</f>
        <v>0</v>
      </c>
      <c r="AQ335" s="133">
        <f>IF($K335=AQ$3,ROUND(IF(OR($C335="W",$C335="1/2W",$C335="1/2L"),$P335-$O335,IF($C335="X",0,-$O335)),2),0)</f>
        <v>0</v>
      </c>
      <c r="AR335" s="134">
        <f>IF($K335=AR$3,ROUND(IF(OR($C335="W",$C335="1/2W",$C335="1/2L"),$P335-$O335,IF($C335="X",0,-$O335)),2),0)</f>
        <v>0</v>
      </c>
      <c r="AS335" s="132">
        <f>IF(AND($B334=" ",$K335=AS$3),$O335,0)</f>
        <v>0</v>
      </c>
      <c r="AT335" s="133">
        <f>IF(AND($B334=" ",K335=AT$3),$O335,0)</f>
        <v>0</v>
      </c>
      <c r="AU335" s="133">
        <f>IF(AND($B334=" ",$K335=AU$3),$O335,0)</f>
        <v>0</v>
      </c>
      <c r="AV335" s="133">
        <f>IF(AND($B334=" ",$K335=AV$3),$O335,0)</f>
        <v>0</v>
      </c>
      <c r="AW335" s="133">
        <f>IF(AND($B334=" ",$K335=AW$3),$O335,0)</f>
        <v>0</v>
      </c>
      <c r="AX335" s="133">
        <f>IF(AND($B334=" ",$K335=AX$3),$O335,0)</f>
        <v>0</v>
      </c>
      <c r="AY335" s="135">
        <f>IF(AND($B334=" ",$K335=AY$3),$O335,0)</f>
        <v>0</v>
      </c>
      <c r="AZ335" s="136">
        <f>IF(AND($B334=" ",$K335=AZ$3),$O335,0)</f>
        <v>0</v>
      </c>
      <c r="BA335" s="136">
        <f>IF(AND($B334=" ",$K335=BA$3),$O335,0)</f>
        <v>0</v>
      </c>
      <c r="BB335" s="136">
        <f>IF(AND($B334=" ",$K335=BB$3),$O335,0)</f>
        <v>0</v>
      </c>
      <c r="BC335" s="137">
        <f>IF(AND($B334=" ",$K335=BC$3),$O335,0)</f>
        <v>0</v>
      </c>
      <c r="BD335" s="133">
        <f>IF(AND($B334=" ",$K335=BD$3),$O335,0)</f>
        <v>0</v>
      </c>
      <c r="BE335" s="134">
        <f>IF(AND($B334=" ",$K335=BE$3),$O335,0)</f>
        <v>0</v>
      </c>
      <c r="BF335" s="132">
        <f>IF($K335=BF$3,IF($C335="X",0,$O335),0)</f>
        <v>0</v>
      </c>
      <c r="BG335" s="281">
        <f>IF($K335=BG$3,IF($C335="X",0,$O335),0)</f>
        <v>0</v>
      </c>
      <c r="BH335" s="133">
        <f>IF($K335=BH$3,IF($C335="X",0,$O335),0)</f>
        <v>0</v>
      </c>
      <c r="BI335" s="133">
        <f>IF($K335=BI$3,IF($C335="X",0,$O335),0)</f>
        <v>0</v>
      </c>
      <c r="BJ335" s="133">
        <f>IF($K335=BJ$3,IF($C335="X",0,$O335),0)</f>
        <v>0</v>
      </c>
      <c r="BK335" s="133">
        <f>IF($K335=BK$3,IF($C335="X",0,$O335),0)</f>
        <v>0</v>
      </c>
      <c r="BL335" s="133">
        <f>IF($K335=BL$3,IF($C335="X",0,$O335),0)</f>
        <v>0</v>
      </c>
      <c r="BM335" s="135">
        <f>IF($K335=BM$3,IF($C335="X",0,$O335),0)</f>
        <v>43.08</v>
      </c>
      <c r="BN335" s="136">
        <f>IF($K335=BN$3,IF($C335="X",0,$O335),0)</f>
        <v>0</v>
      </c>
      <c r="BO335" s="136">
        <f>IF($K335=BO$3,IF($C335="X",0,$O335),0)</f>
        <v>0</v>
      </c>
      <c r="BP335" s="136">
        <f>IF($K335=BP$3,IF($C335="X",0,$O335),0)</f>
        <v>0</v>
      </c>
      <c r="BQ335" s="137">
        <f>IF($K335=BQ$3,IF($C335="X",0,$O335),0)</f>
        <v>0</v>
      </c>
      <c r="BR335" s="134">
        <f>IF($K335=BR$3,IF($C335="X",0,$O335),0)</f>
        <v>0</v>
      </c>
      <c r="BS335" s="282"/>
      <c r="BT335" s="283"/>
      <c r="BU335" s="140"/>
      <c r="BV335" s="283"/>
      <c r="BW335" s="140"/>
      <c r="BX335" s="140"/>
      <c r="BY335" s="140"/>
      <c r="BZ335" s="283"/>
      <c r="CA335" s="140"/>
      <c r="CB335" s="140"/>
      <c r="CC335" s="140"/>
      <c r="CD335" s="141"/>
      <c r="CE335" s="142"/>
      <c r="CF335" s="284">
        <f>IF(CF$3=$K335,IF($C335="W",1,IF($C335="1/2W",0.5,0)),0)</f>
        <v>0</v>
      </c>
      <c r="CG335" s="285">
        <f>IF(CF$3=$K335,IF($C335="L",1,IF($C335="1/2L",0.5,0)),0)</f>
        <v>0</v>
      </c>
      <c r="CH335" s="285">
        <f>IF(CH$3=$K335,IF($C335="W",1,IF($C335="1/2W",0.5,0)),0)</f>
        <v>0</v>
      </c>
      <c r="CI335" s="285">
        <f>IF(CH$3=$K335,IF($C335="L",1,IF($C335="1/2L",0.5,0)),0)</f>
        <v>0</v>
      </c>
      <c r="CJ335" s="285">
        <f>IF(CJ$3=$K335,IF($C335="W",1,IF($C335="1/2W",0.5,0)),0)</f>
        <v>0</v>
      </c>
      <c r="CK335" s="285">
        <f>IF(CJ$3=$K335,IF($C335="L",1,IF($C335="1/2L",0.5,0)),0)</f>
        <v>0</v>
      </c>
      <c r="CL335" s="285">
        <f>IF(CL$3=$K335,IF($C335="W",1,IF($C335="1/2W",0.5,0)),0)</f>
        <v>0</v>
      </c>
      <c r="CM335" s="285">
        <f>IF(CL$3=$K335,IF($C335="L",1,IF($C335="1/2L",0.5,0)),0)</f>
        <v>0</v>
      </c>
      <c r="CN335" s="285">
        <f>IF(CN$3=$K335,IF($C335="W",1,IF($C335="1/2W",0.5,0)),0)</f>
        <v>0</v>
      </c>
      <c r="CO335" s="285">
        <f>IF(CN$3=$K335,IF($C335="L",1,IF($C335="1/2L",0.5,0)),0)</f>
        <v>0</v>
      </c>
      <c r="CP335" s="285">
        <f>IF(CP$3=$K335,IF($C335="W",1,IF($C335="1/2W",0.5,0)),0)</f>
        <v>0</v>
      </c>
      <c r="CQ335" s="285">
        <f>IF(CP$3=$K335,IF($C335="L",1,IF($C335="1/2L",0.5,0)),0)</f>
        <v>0</v>
      </c>
      <c r="CR335" s="285">
        <f>IF(CR$3=$K335,IF($C335="W",1,IF($C335="1/2W",0.5,0)),0)</f>
        <v>0</v>
      </c>
      <c r="CS335" s="285">
        <f>IF(CR$3=$K335,IF($C335="L",1,IF($C335="1/2L",0.5,0)),0)</f>
        <v>0</v>
      </c>
      <c r="CT335" s="145">
        <f>IF(CT$3=$K335,IF($C335="W",1,IF($C335="1/2W",0.5,0)),0)</f>
        <v>1</v>
      </c>
      <c r="CU335" s="146">
        <f>IF(CT$3=$K335,IF($C335="L",1,IF($C335="1/2L",0.5,0)),0)</f>
        <v>0</v>
      </c>
      <c r="CV335" s="146">
        <f>IF(CV$3=$K335,IF($C335="W",1,IF($C335="1/2W",0.5,0)),0)</f>
        <v>0</v>
      </c>
      <c r="CW335" s="146">
        <f>IF(CV$3=$K335,IF($C335="L",1,IF($C335="1/2L",0.5,0)),0)</f>
        <v>0</v>
      </c>
      <c r="CX335" s="146">
        <f>IF(CX$3=$K335,IF($C335="W",1,IF($C335="1/2W",0.5,0)),0)</f>
        <v>0</v>
      </c>
      <c r="CY335" s="146">
        <f>IF(CX$3=$K335,IF($C335="L",1,IF($C335="1/2L",0.5,0)),0)</f>
        <v>0</v>
      </c>
      <c r="CZ335" s="146">
        <f>IF(CZ$3=$K335,IF($C335="W",1,IF($C335="1/2W",0.5,0)),0)</f>
        <v>0</v>
      </c>
      <c r="DA335" s="146">
        <f>IF(CZ$3=$K335,IF($C335="L",1,IF($C335="1/2L",0.5,0)),0)</f>
        <v>0</v>
      </c>
      <c r="DB335" s="146">
        <f>IF(DB$3=$K335,IF($C335="W",1,IF($C335="1/2W",0.5,0)),0)</f>
        <v>0</v>
      </c>
      <c r="DC335" s="146">
        <f>IF(DB$3=$K335,IF($C335="L",1,IF($C335="1/2L",0.5,0)),0)</f>
        <v>0</v>
      </c>
      <c r="DD335" s="146">
        <f>IF(DD$3=$K335,IF($C335="W",1,IF($C335="1/2W",0.5,0)),0)</f>
        <v>0</v>
      </c>
      <c r="DE335" s="147">
        <f>IF(DD$3=$K335,IF($C335="L",1,IF($C335="1/2L",0.5,0)),0)</f>
        <v>0</v>
      </c>
      <c r="DF335" s="143">
        <f>IF(AND(L335&lt;DF$3,$C335="W"),1+DF334,DF334)</f>
        <v>12</v>
      </c>
      <c r="DG335" s="133">
        <f>IF(DF335&gt;DF334,L335+DG334,DG334)</f>
        <v>15.718</v>
      </c>
      <c r="DH335" s="146">
        <f>IF(AND(L335&gt;DH$3,$C335="W"),1+DH334,0+DH334)</f>
        <v>7</v>
      </c>
      <c r="DI335" s="133">
        <f>IF(DH335&gt;DH334,L335+DI334,DI334)</f>
        <v>34.83</v>
      </c>
      <c r="DJ335" t="s" s="304">
        <f>IF($D334="","",$D334)</f>
        <v>272</v>
      </c>
      <c r="DK335" s="286"/>
    </row>
    <row r="336" ht="14.55" customHeight="1">
      <c r="A336" s="149"/>
      <c r="B336" s="150"/>
      <c r="C336" t="s" s="151">
        <v>58</v>
      </c>
      <c r="D336" s="152"/>
      <c r="E336" s="153"/>
      <c r="F336" s="155"/>
      <c r="G336" s="252"/>
      <c r="H336" s="156"/>
      <c r="I336" s="287"/>
      <c r="J336" s="288"/>
      <c r="K336" s="156"/>
      <c r="L336" s="289"/>
      <c r="M336" s="290"/>
      <c r="N336" s="161"/>
      <c r="O336" t="s" s="162">
        <f>IF(OR(AE334="",AE335=""),"",IF(L336&gt;0,ROUND(IF(M336&gt;0,M336,IF(M334&gt;0,ROUND((M334*AE336)/AE334,IF(N334=0,2,IF(N334=0.1,1,0))),IF(M335&gt;0,ROUND((M335*AE336)/AE335,IF(N334=0,2,IF(N334=0.1,1,0))),IF(M336&gt;0,M336,0)))),2),""))</f>
      </c>
      <c r="P336" t="s" s="163">
        <f>IF(I335="Lay",O335*(L335/(L335-1))-O335,IF(I334="Lay",O334*(L334/(L334-1))-O334,IF(OR(L336="",O336=""),"",IF($C336="1/2W",O336/2+O336/2*L336,IF($C336="1/2L",O336/2,(O336*L336-O336)*(1-_xlfn.XLOOKUP(K336,'Janeiro 2023 - Valor Real'!A3:A15,'Janeiro 2023 - Valor Real'!C3:C15,0))+O336)))))</f>
      </c>
      <c r="Q336" t="s" s="154">
        <f>IF(K336="","",IF(_xlfn.XLOOKUP(K336,K$102:K145,DJ$102:DJ145,0,,-1)=DJ336,_xlfn.XLOOKUP(K336,K$102:K145,Q$102:Q145,1,,-1)+1,1))</f>
      </c>
      <c r="R336" t="s" s="163">
        <f>IF(K336="","",_xlfn.XLOOKUP(K336,K$102:K145,R$102:R145,0,,-1)+IF($C336=" ",1,0))</f>
      </c>
      <c r="S336" s="166"/>
      <c r="T336" s="155"/>
      <c r="U336" s="155"/>
      <c r="V336" s="166"/>
      <c r="W336" s="155"/>
      <c r="X336" s="167"/>
      <c r="Y336" s="128"/>
      <c r="Z336" s="129"/>
      <c r="AA336" s="129"/>
      <c r="AB336" s="129"/>
      <c r="AC336" s="129"/>
      <c r="AD336" s="168"/>
      <c r="AE336" t="s" s="169">
        <f>IF(L336="","",(SUM(((L334-1)*(1-_xlfn.XLOOKUP(K334,'Janeiro 2023 - Valor Real'!A3:A15,'Janeiro 2023 - Valor Real'!C3:C15,0))+1),((L335-1)*(1-_xlfn.XLOOKUP(K335,'Janeiro 2023 - Valor Real'!A3:A15,'Janeiro 2023 - Valor Real'!C3:C15,0))+1),((L336-1)*(1-_xlfn.XLOOKUP(K336,'Janeiro 2023 - Valor Real'!A3:A15,'Janeiro 2023 - Valor Real'!C3:C15,0))+1))/((L336-1)*(1-_xlfn.XLOOKUP(K336,'Janeiro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Real'!C3:C15,0))+1))/((L334-1)*(1-_xlfn.XLOOKUP(K334,'Janeiro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Real'!C3:C15,0))+1))/((L335-1)*(1-_xlfn.XLOOKUP(K335,'Janeiro 2023 - Valor Real'!A3:A15,'Janeiro 2023 - Valor Real'!C3:C15,0))+1)+SUM(((L334-1)*(1-_xlfn.XLOOKUP(K334,'Janeiro 2023 - Valor Real'!A3:A15,'Janeiro 2023 - Valor Real'!C3:C15,0))+1),((L335-1)*(1-_xlfn.XLOOKUP(K335,'Janeiro 2023 - Valor Real'!A3:A15,'Janeiro 2023 - Valor Real'!C3:C15,0))+1),((L336-1)*(1-_xlfn.XLOOKUP(K336,'Janeiro 2023 - Valor Real'!A3:A15,'Janeiro 2023 - Valor Real'!C3:C15,0))+1))/((L336-1)*(1-_xlfn.XLOOKUP(K336,'Janeiro 2023 - Valor Real'!A3:A15,'Janeiro 2023 - Valor Real'!C3:C15,0))+1)))</f>
      </c>
      <c r="AF336" s="132">
        <f>IF($K336=AF$3,ROUND(IF(OR($C336="W",$C336="1/2W",$C336="1/2L"),$P336-$O336,IF($C336="X",0,-$O336)),2),0)</f>
        <v>0</v>
      </c>
      <c r="AG336" s="133">
        <f>IF($K336=AG$3,ROUND(IF(OR($C336="W",$C336="1/2W",$C336="1/2L"),$P336-$O336,IF($C336="X",0,-$O336)),2),0)</f>
        <v>0</v>
      </c>
      <c r="AH336" s="133">
        <f>IF($K336=AH$3,ROUND(IF(OR($C336="W",$C336="1/2W",$C336="1/2L"),$P336-$O336,IF($C336="X",0,-$O336)),2),0)</f>
        <v>0</v>
      </c>
      <c r="AI336" s="133">
        <f>IF($K336=AI$3,ROUND(IF(OR($C336="W",$C336="1/2W",$C336="1/2L"),$P336-$O336,IF($C336="X",0,-$O336)),2),0)</f>
        <v>0</v>
      </c>
      <c r="AJ336" s="133">
        <f>IF($K336=AJ$3,ROUND(IF(OR($C336="W",$C336="1/2W",$C336="1/2L"),$P336-$O336,IF($C336="X",0,-$O336)),2),0)</f>
        <v>0</v>
      </c>
      <c r="AK336" s="133">
        <f>IF($K336=AK$3,ROUND(IF(OR($C336="W",$C336="1/2W",$C336="1/2L"),$P336-$O336,IF($C336="X",0,-$O336)),2),0)</f>
        <v>0</v>
      </c>
      <c r="AL336" s="133">
        <f>IF($K336=AL$3,ROUND(IF(OR($C336="W",$C336="1/2W",$C336="1/2L"),$P336-$O336,IF($C336="X",0,-$O336)),2),0)</f>
        <v>0</v>
      </c>
      <c r="AM336" s="133">
        <f>IF($K336=AM$3,ROUND(IF(OR($C336="W",$C336="1/2W",$C336="1/2L"),$P336-$O336,IF($C336="X",0,-$O336)),2),0)</f>
        <v>0</v>
      </c>
      <c r="AN336" s="133">
        <f>IF($K336=AN$3,ROUND(IF(OR($C336="W",$C336="1/2W",$C336="1/2L"),$P336-$O336,IF($C336="X",0,-$O336)),2),0)</f>
        <v>0</v>
      </c>
      <c r="AO336" s="133">
        <f>IF($K336=AO$3,ROUND(IF(OR($C336="W",$C336="1/2W",$C336="1/2L"),$P336-$O336,IF($C336="X",0,-$O336)),2),0)</f>
        <v>0</v>
      </c>
      <c r="AP336" s="133">
        <f>IF($K336=AP$3,ROUND(IF(OR($C336="W",$C336="1/2W",$C336="1/2L"),$P336-$O336,IF($C336="X",0,-$O336)),2),0)</f>
        <v>0</v>
      </c>
      <c r="AQ336" s="133">
        <f>IF($K336=AQ$3,ROUND(IF(OR($C336="W",$C336="1/2W",$C336="1/2L"),$P336-$O336,IF($C336="X",0,-$O336)),2),0)</f>
        <v>0</v>
      </c>
      <c r="AR336" s="134">
        <f>IF($K336=AR$3,ROUND(IF(OR($C336="W",$C336="1/2W",$C336="1/2L"),$P336-$O336,IF($C336="X",0,-$O336)),2),0)</f>
        <v>0</v>
      </c>
      <c r="AS336" s="132">
        <f>IF(AND($B334=" ",$K336=AS$3),$O336,0)</f>
        <v>0</v>
      </c>
      <c r="AT336" s="133">
        <f>IF(AND($B334=" ",K336=AT$3),$O336,0)</f>
        <v>0</v>
      </c>
      <c r="AU336" s="133">
        <f>IF(AND($B334=" ",$K336=AU$3),$O336,0)</f>
        <v>0</v>
      </c>
      <c r="AV336" s="133">
        <f>IF(AND($B334=" ",$K336=AV$3),$O336,0)</f>
        <v>0</v>
      </c>
      <c r="AW336" s="133">
        <f>IF(AND($B334=" ",$K336=AW$3),$O336,0)</f>
        <v>0</v>
      </c>
      <c r="AX336" s="133">
        <f>IF(AND($B334=" ",$K336=AX$3),$O336,0)</f>
        <v>0</v>
      </c>
      <c r="AY336" s="135">
        <f>IF(AND($B334=" ",$K336=AY$3),$O336,0)</f>
        <v>0</v>
      </c>
      <c r="AZ336" s="136">
        <f>IF(AND($B334=" ",$K336=AZ$3),$O336,0)</f>
        <v>0</v>
      </c>
      <c r="BA336" s="136">
        <f>IF(AND($B334=" ",$K336=BA$3),$O336,0)</f>
        <v>0</v>
      </c>
      <c r="BB336" s="136">
        <f>IF(AND($B334=" ",$K336=BB$3),$O336,0)</f>
        <v>0</v>
      </c>
      <c r="BC336" s="137">
        <f>IF(AND($B334=" ",$K336=BC$3),$O336,0)</f>
        <v>0</v>
      </c>
      <c r="BD336" s="133">
        <f>IF(AND($B334=" ",$K336=BD$3),$O336,0)</f>
        <v>0</v>
      </c>
      <c r="BE336" s="134">
        <f>IF(AND($B334=" ",$K336=BE$3),$O336,0)</f>
        <v>0</v>
      </c>
      <c r="BF336" s="132">
        <f>IF($K336=BF$3,IF($C336="X",0,$O336),0)</f>
        <v>0</v>
      </c>
      <c r="BG336" s="281">
        <f>IF($K336=BG$3,IF($C336="X",0,$O336),0)</f>
        <v>0</v>
      </c>
      <c r="BH336" s="133">
        <f>IF($K336=BH$3,IF($C336="X",0,$O336),0)</f>
        <v>0</v>
      </c>
      <c r="BI336" s="133">
        <f>IF($K336=BI$3,IF($C336="X",0,$O336),0)</f>
        <v>0</v>
      </c>
      <c r="BJ336" s="133">
        <f>IF($K336=BJ$3,IF($C336="X",0,$O336),0)</f>
        <v>0</v>
      </c>
      <c r="BK336" s="133">
        <f>IF($K336=BK$3,IF($C336="X",0,$O336),0)</f>
        <v>0</v>
      </c>
      <c r="BL336" s="133">
        <f>IF($K336=BL$3,IF($C336="X",0,$O336),0)</f>
        <v>0</v>
      </c>
      <c r="BM336" s="135">
        <f>IF($K336=BM$3,IF($C336="X",0,$O336),0)</f>
        <v>0</v>
      </c>
      <c r="BN336" s="136">
        <f>IF($K336=BN$3,IF($C336="X",0,$O336),0)</f>
        <v>0</v>
      </c>
      <c r="BO336" s="136">
        <f>IF($K336=BO$3,IF($C336="X",0,$O336),0)</f>
        <v>0</v>
      </c>
      <c r="BP336" s="136">
        <f>IF($K336=BP$3,IF($C336="X",0,$O336),0)</f>
        <v>0</v>
      </c>
      <c r="BQ336" s="137">
        <f>IF($K336=BQ$3,IF($C336="X",0,$O336),0)</f>
        <v>0</v>
      </c>
      <c r="BR336" s="134">
        <f>IF($K336=BR$3,IF($C336="X",0,$O336),0)</f>
        <v>0</v>
      </c>
      <c r="BS336" s="282"/>
      <c r="BT336" s="283"/>
      <c r="BU336" s="140"/>
      <c r="BV336" s="283"/>
      <c r="BW336" s="140"/>
      <c r="BX336" s="140"/>
      <c r="BY336" s="140"/>
      <c r="BZ336" s="283"/>
      <c r="CA336" s="140"/>
      <c r="CB336" s="140"/>
      <c r="CC336" s="140"/>
      <c r="CD336" s="141"/>
      <c r="CE336" s="142"/>
      <c r="CF336" s="284">
        <f>IF(CF$3=$K336,IF($C336="W",1,IF($C336="1/2W",0.5,0)),0)</f>
        <v>0</v>
      </c>
      <c r="CG336" s="285">
        <f>IF(CF$3=$K336,IF($C336="L",1,IF($C336="1/2L",0.5,0)),0)</f>
        <v>0</v>
      </c>
      <c r="CH336" s="285">
        <f>IF(CH$3=$K336,IF($C336="W",1,IF($C336="1/2W",0.5,0)),0)</f>
        <v>0</v>
      </c>
      <c r="CI336" s="285">
        <f>IF(CH$3=$K336,IF($C336="L",1,IF($C336="1/2L",0.5,0)),0)</f>
        <v>0</v>
      </c>
      <c r="CJ336" s="285">
        <f>IF(CJ$3=$K336,IF($C336="W",1,IF($C336="1/2W",0.5,0)),0)</f>
        <v>0</v>
      </c>
      <c r="CK336" s="285">
        <f>IF(CJ$3=$K336,IF($C336="L",1,IF($C336="1/2L",0.5,0)),0)</f>
        <v>0</v>
      </c>
      <c r="CL336" s="285">
        <f>IF(CL$3=$K336,IF($C336="W",1,IF($C336="1/2W",0.5,0)),0)</f>
        <v>0</v>
      </c>
      <c r="CM336" s="285">
        <f>IF(CL$3=$K336,IF($C336="L",1,IF($C336="1/2L",0.5,0)),0)</f>
        <v>0</v>
      </c>
      <c r="CN336" s="285">
        <f>IF(CN$3=$K336,IF($C336="W",1,IF($C336="1/2W",0.5,0)),0)</f>
        <v>0</v>
      </c>
      <c r="CO336" s="285">
        <f>IF(CN$3=$K336,IF($C336="L",1,IF($C336="1/2L",0.5,0)),0)</f>
        <v>0</v>
      </c>
      <c r="CP336" s="285">
        <f>IF(CP$3=$K336,IF($C336="W",1,IF($C336="1/2W",0.5,0)),0)</f>
        <v>0</v>
      </c>
      <c r="CQ336" s="285">
        <f>IF(CP$3=$K336,IF($C336="L",1,IF($C336="1/2L",0.5,0)),0)</f>
        <v>0</v>
      </c>
      <c r="CR336" s="285">
        <f>IF(CR$3=$K336,IF($C336="W",1,IF($C336="1/2W",0.5,0)),0)</f>
        <v>0</v>
      </c>
      <c r="CS336" s="285">
        <f>IF(CR$3=$K336,IF($C336="L",1,IF($C336="1/2L",0.5,0)),0)</f>
        <v>0</v>
      </c>
      <c r="CT336" s="145">
        <f>IF(CT$3=$K336,IF($C336="W",1,IF($C336="1/2W",0.5,0)),0)</f>
        <v>0</v>
      </c>
      <c r="CU336" s="146">
        <f>IF(CT$3=$K336,IF($C336="L",1,IF($C336="1/2L",0.5,0)),0)</f>
        <v>0</v>
      </c>
      <c r="CV336" s="146">
        <f>IF(CV$3=$K336,IF($C336="W",1,IF($C336="1/2W",0.5,0)),0)</f>
        <v>0</v>
      </c>
      <c r="CW336" s="146">
        <f>IF(CV$3=$K336,IF($C336="L",1,IF($C336="1/2L",0.5,0)),0)</f>
        <v>0</v>
      </c>
      <c r="CX336" s="146">
        <f>IF(CX$3=$K336,IF($C336="W",1,IF($C336="1/2W",0.5,0)),0)</f>
        <v>0</v>
      </c>
      <c r="CY336" s="146">
        <f>IF(CX$3=$K336,IF($C336="L",1,IF($C336="1/2L",0.5,0)),0)</f>
        <v>0</v>
      </c>
      <c r="CZ336" s="146">
        <f>IF(CZ$3=$K336,IF($C336="W",1,IF($C336="1/2W",0.5,0)),0)</f>
        <v>0</v>
      </c>
      <c r="DA336" s="146">
        <f>IF(CZ$3=$K336,IF($C336="L",1,IF($C336="1/2L",0.5,0)),0)</f>
        <v>0</v>
      </c>
      <c r="DB336" s="146">
        <f>IF(DB$3=$K336,IF($C336="W",1,IF($C336="1/2W",0.5,0)),0)</f>
        <v>0</v>
      </c>
      <c r="DC336" s="146">
        <f>IF(DB$3=$K336,IF($C336="L",1,IF($C336="1/2L",0.5,0)),0)</f>
        <v>0</v>
      </c>
      <c r="DD336" s="146">
        <f>IF(DD$3=$K336,IF($C336="W",1,IF($C336="1/2W",0.5,0)),0)</f>
        <v>0</v>
      </c>
      <c r="DE336" s="147">
        <f>IF(DD$3=$K336,IF($C336="L",1,IF($C336="1/2L",0.5,0)),0)</f>
        <v>0</v>
      </c>
      <c r="DF336" s="143">
        <f>IF(AND(L336&lt;DF$3,$C336="W"),1+DF335,DF335)</f>
        <v>12</v>
      </c>
      <c r="DG336" s="133">
        <f>IF(DF336&gt;DF335,L336+DG335,DG335)</f>
        <v>15.718</v>
      </c>
      <c r="DH336" s="146">
        <f>IF(AND(L336&gt;DH$3,$C336="W"),1+DH335,0+DH335)</f>
        <v>7</v>
      </c>
      <c r="DI336" s="133">
        <f>IF(DH336&gt;DH335,L336+DI335,DI335)</f>
        <v>34.83</v>
      </c>
      <c r="DJ336" t="s" s="304">
        <f>IF($D334="","",$D334)</f>
        <v>272</v>
      </c>
      <c r="DK336" s="286"/>
    </row>
    <row r="337" ht="14.55" customHeight="1">
      <c r="A337" s="171">
        <f>$A334+1</f>
        <v>112</v>
      </c>
      <c r="B337" t="s" s="172">
        <f>IF(AND(_xlfn.XLOOKUP(H337,H$97:H146,G$97:G146,0)=G337,_xlfn.XLOOKUP("TempoBet",K337:K339,L337:L339,0)&gt;0),"X",IF(OR(C337="W",C338="W",C339="W",C337="1/2W",C338="1/2W",C339="1/2W",C337="1/2L",C338="1/2L",C339="1/2L"),"OK",IF(OR(C337="L",C338="L",C339="L"),"LOSS",IF(OR(C337="X",C338="X",C339="X"),"Anulado"," "))))</f>
        <v>50</v>
      </c>
      <c r="C337" t="s" s="173">
        <v>51</v>
      </c>
      <c r="D337" t="s" s="305">
        <f>IF(G337="","",$D334)</f>
        <v>272</v>
      </c>
      <c r="E337" t="s" s="175">
        <f>IF(G337=""," ","– "&amp;COUNTIF(D$4:D339,$D337))</f>
        <v>133</v>
      </c>
      <c r="F337" t="s" s="176"/>
      <c r="G337" s="177">
        <v>44946.791666666664</v>
      </c>
      <c r="H337" t="s" s="178">
        <v>292</v>
      </c>
      <c r="I337" s="331"/>
      <c r="J337" s="180"/>
      <c r="K337" t="s" s="181">
        <v>38</v>
      </c>
      <c r="L337" s="182">
        <v>2</v>
      </c>
      <c r="M337" s="183">
        <f>37.29-15.13-0.74</f>
        <v>21.42</v>
      </c>
      <c r="N337" s="184">
        <v>0</v>
      </c>
      <c r="O337" s="185">
        <f>IF(OR(AE337="",AE338=""),"",ROUND(IF(L339&gt;0,IF(M337&gt;0,M337,IF(M338&gt;0,ROUND((M338*AE337)/AE338,IF(N337=0,2,IF(N337=0.1,1,0))),ROUND((M339*AE337)/AE339,IF(N337=0,2,IF(N337=0.1,1,0))))),IF(M337&gt;0,M337,ROUND((M338*AE337)/AE338,IF(N337=0,2,IF(N337=0.1,1,0))))),2))</f>
        <v>21.42</v>
      </c>
      <c r="P337" s="186">
        <f>IF(OR(L337="",O337=""),"",IF($C337="1/2W",O337/2+O337/2*L337,IF($C337="1/2L",O337/2,IF(I337="Lay",(O337*(L337/(L337-1))-O337)*(1-_xlfn.XLOOKUP(K337,'Janeiro 2023 - Valor Real'!A3:A15,'Janeiro 2023 - Valor Real'!C3:C15,0))+O337,(O337*L337-O337)*(1-_xlfn.XLOOKUP(K337,'Janeiro 2023 - Valor Real'!A3:A15,'Janeiro 2023 - Valor Real'!C3:C15,0))+O337))))</f>
        <v>42.84</v>
      </c>
      <c r="Q337" s="187">
        <f>IF(K337="","",IF(_xlfn.XLOOKUP(K337,K$97:K146,DJ$97:DJ146,0,,-1)=DJ337,_xlfn.XLOOKUP(K337,K$97:K146,Q$97:Q146,1,,-1)+1,1))</f>
        <v>1</v>
      </c>
      <c r="R337" s="188">
        <f>IF(K337="","",_xlfn.XLOOKUP(K337,K$97:K146,R$97:R146,0,,-1)+IF($C337=" ",1,0))</f>
        <v>0</v>
      </c>
      <c r="S337" s="189">
        <f>IF($B337="Anulado",0,ROUND(IF(OR($B337="LOSS",$B337="OK"),IF(OR($C337="W",$C337="1/2W",$C337="1/2L"),P337-O337,IF($C337="L",-O337,0))+IF(OR($C338="W",$C338="1/2W",$C338="1/2L"),P338-O338,IF($C338="L",-O338,0))+IF(OR($C339="W",$C339="1/2W",$C339="1/2L"),P339-O339,IF($C339="L",-O339,0)),IF(AND(OR($C337="W",$C337="1/2W",$C337="1/2L"),C338="W"),P337+P338-SUM(O337:O339)+_xlfn.XLOOKUP("X",C337:C339,O337:O339,0),IF(AND(C337=TRUE,C339="W"),P337+P339-SUM(O337:O339),IF(AND(C338="W",C339="W"),P338+P339-SUM(O337:O339)+_xlfn.XLOOKUP("X",C337:C339,O337:O339,0),IF(L339&gt;0,IF(OR($C337="W",$C337="1/2W",$C337="1/2L"),P337-SUM(O337:O339)+_xlfn.XLOOKUP("X",C337:C339,O337:O339,0),IF(OR($C337="W",$C337="1/2W",$C337="1/2L"),P338-SUM(O337:O339)+_xlfn.XLOOKUP("X",C337:C339,O337:O339,0),IF(OR($C337="W",$C337="1/2W",$C337="1/2L"),P339-SUM(O337:O339)+_xlfn.XLOOKUP("X",C337:C339,O337:O339,0),IF(SUM(P337:P339)/3-SUM(O337:O339)+_xlfn.XLOOKUP("X",C337:C339,O337:O339,0)&gt;0,SUM(P337:P339)/3-SUM(O337:O339)+_xlfn.XLOOKUP("X",C337:C339,O337:O339,0),LARGE(P337:P339,1)-SUM(O337:O339))))),IF(OR($C337="W",$C337="1/2W",$C337="1/2L"),P337-SUM(O337:O338)+_xlfn.XLOOKUP("X",C337:C339,O337:O339,0),IF(OR($C337="W",$C337="1/2W",$C337="1/2L"),P338-SUM(O337:O338)+_xlfn.XLOOKUP("X",C337:C339,O337:O339,0),SUM(P337:P338)/2-SUM(O337:O338)+_xlfn.XLOOKUP("X",C337:C339,O337:O339,0)))))))),2))</f>
        <v>-82.17</v>
      </c>
      <c r="T337" s="190">
        <f>IF(S337=0,0,S337/SUM(O337:O339))</f>
        <v>-0.524210526315789</v>
      </c>
      <c r="U337" s="191">
        <f>IF($D337=$D334,IF(OR($B337="LOSS",$B337="OK",$B337="Anulada"),S337,0)+U334,IF(OR($B337="LOSS",$B337="OK",$B337="Anulada"),S337,0))</f>
        <v>-83.69</v>
      </c>
      <c r="V337" s="191">
        <f>IF($D337="",0,IF($D337=$D334,IF($B337=" ",IF(I339="",IF(OR(AND(I337="DNB1",I338="DNB2"),AND(OR(I337="DNB1",I337="DNB2"),J338=0),AND(OR(I338="DNB1",I338="DNB2"),J337=0),AND(I337="DNB2",I338="DNB1"),AND(IF(J337=0,(J337+1)/ROUND(J337+1,0),J337/ROUND(J337,0))=1,IF(J338=0,(J338+1)/ROUND(IF(J338="",0,J338)+1,0),IF(J338="",0,J338)/ROUND(IF(J338="",1,J338),0))=1,OR(J337&lt;&gt;""),J338&lt;&gt;"")),0,IF(S337&lt;0,IF(I339="",SMALL(P337:P338,1)-SUM(O337:O338),0),SMALL(P337:P338,1)-SUM(O337:O338))),IF(S337&lt;0,IF(I339="",SMALL(P337:P339,1)-SUM(O337:O339),0),LARGE(P337:P339,1)-SUM(O337:O339))),S337)+V334,IF(I339="",IF(OR(AND(I337="DNB1",I338="DNB2"),AND(OR(I337="DNB1",I337="DNB2"),J338=0),AND(OR(I338="DNB1",I338="DNB2"),J337=0),AND(I337="DNB2",I338="DNB1"),AND(IF(J337=0,(J337+1)/ROUND(J337+1,0),J337/ROUND(J337,0))=1,IF(J338=0,(IF(J338="",0,J338)+1)/ROUND(IF(J338="",0,J338)+1,0),IF(J338="",0,J338)/ROUND(IF(J338="",0,J338)+1,0))=1,OR(J337&lt;&gt;""),J338&lt;&gt;"")),0,IF(S337&lt;0,IF(I339="",SMALL(P337:P338,1)-SUM(O337:O338),0),SMALL(P337:P339,1)-SUM(O337:O339))),IF(S337&lt;0,IF(I339="",SMALL(P337:P339,1)-SUM(O337:O339),0),LARGE(P337:P339,1)-SUM(O337:O339)))))</f>
        <v>-83.72499999999999</v>
      </c>
      <c r="W337" s="191">
        <f>IF($D337=$D334,IF(S337&lt;0,IF(I339="",S337,0),S337)+W334,S337)</f>
        <v>-83.69</v>
      </c>
      <c r="X337" t="s" s="192">
        <f>IF(OR(SUM(R337:R339)=0,V337=W337),ROUND(IF(W337=0,0,W337/Y337)*100,2)&amp;"%",ROUND(IF(V337=0,0,V337/Y337)*100,2)&amp;"% a "&amp;ROUND(IF(W337=0,0,W337/Y337)*100,2)&amp;"%")</f>
        <v>293</v>
      </c>
      <c r="Y337" s="193">
        <f>IF($D337=$D334,Y334+SUM(O337:O339),SUM(O337:O339))</f>
        <v>515.89</v>
      </c>
      <c r="Z337" s="191">
        <f>IF($B337=" ",SUM(O337:O339),0)+Z334</f>
        <v>0</v>
      </c>
      <c r="AA337" s="191">
        <f>IF(G337="","",IF($B337="Anulado",LARGE(P337:P339,1)-SUM(O337:O339)+AA334,AA334))</f>
        <v>16.5099</v>
      </c>
      <c r="AB337" s="191">
        <f>IF($D337="","",AB334+S337)</f>
        <v>219.68</v>
      </c>
      <c r="AC337" s="194">
        <f>IF($D337="","",IF($B337=" ",IF(DAY(G337)=DAY(TODAY()),1+AC334,0+AC334),0+AC334))</f>
        <v>0</v>
      </c>
      <c r="AD337" s="195">
        <f>(((L338/(L338-1)-1)*(1-_xlfn.XLOOKUP(K338,'Janeiro 2023 - Valor Real'!A3:A15,'Janeiro 2023 - Valor Real'!C3:C15,0))+1))/(((L337-1)*(1-_xlfn.XLOOKUP(K337,'Janeiro 2023 - Valor Real'!A3:A15,'Janeiro 2023 - Valor Real'!C3:C15,0))+1)+((L338/(L338-1)-1)*(1-_xlfn.XLOOKUP(K338,'Janeiro 2023 - Valor Real'!A3:A15,'Janeiro 2023 - Valor Real'!C3:C15,0))+1))</f>
        <v>0.483769759864849</v>
      </c>
      <c r="AE337" s="196">
        <f>IF(L337="","",IF(L339&gt;0,(SUM(((L337-1)*(1-_xlfn.XLOOKUP(K337,'Janeiro 2023 - Valor Real'!A3:A15,'Janeiro 2023 - Valor Real'!C3:C15,0))+1),((L338-1)*(1-_xlfn.XLOOKUP(K338,'Janeiro 2023 - Valor Real'!A3:A15,'Janeiro 2023 - Valor Real'!C3:C15,0))+1),((L339-1)*(1-_xlfn.XLOOKUP(K339,'Janeiro 2023 - Valor Real'!A3:A15,'Janeiro 2023 - Valor Real'!C3:C15,0))+1))/((L337-1)*(1-_xlfn.XLOOKUP(K337,'Janeiro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Real'!C3:C15,0))+1))/((L337-1)*(1-_xlfn.XLOOKUP(K337,'Janeiro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Real'!C3:C15,0))+1))/((L338-1)*(1-_xlfn.XLOOKUP(K338,'Janeiro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Real'!C3:C15,0))+1))/((L339-1)*(1-_xlfn.XLOOKUP(K339,'Janeiro 2023 - Valor Real'!A3:A15,'Janeiro 2023 - Valor Real'!C3:C15,0))+1)),IF(I337="Lay",IF(I338="Lay",((L338/(L338-1)-1)*(1-_xlfn.XLOOKUP(K338,'Janeiro 2023 - Valor Real'!A3:A15,'Janeiro 2023 - Valor Real'!C3:C15,0))+1)/(((L338/(L338-1)-1)*(1-_xlfn.XLOOKUP(K338,'Janeiro 2023 - Valor Real'!A3:A15,'Janeiro 2023 - Valor Real'!C3:C15,0))+1)+((L337/(L337-1)-1)*(1-_xlfn.XLOOKUP(K337,'Janeiro 2023 - Valor Real'!A3:A15,'Janeiro 2023 - Valor Real'!C3:C15,0))+1)),((L338-1)*(1-_xlfn.XLOOKUP(K338,'Janeiro 2023 - Valor Real'!A3:A15,'Janeiro 2023 - Valor Real'!C3:C15,0))+1)/(((L338-1)*(1-_xlfn.XLOOKUP(K338,'Janeiro 2023 - Valor Real'!A3:A15,'Janeiro 2023 - Valor Real'!C3:C15,0))+1)+((L337/(L337-1)-1)*(1-_xlfn.XLOOKUP(K337,'Janeiro 2023 - Valor Real'!A3:A15,'Janeiro 2023 - Valor Real'!C3:C15,0))+1))),IF(I338="Lay",(((L338/(L338-1)-1)*(1-_xlfn.XLOOKUP(K338,'Janeiro 2023 - Valor Real'!A3:A15,'Janeiro 2023 - Valor Real'!C3:C15,0))+1))/(((L337-1)*(1-_xlfn.XLOOKUP(K337,'Janeiro 2023 - Valor Real'!A3:A15,'Janeiro 2023 - Valor Real'!C3:C15,0))+1)+((L338/(L338-1)-1)*(1-_xlfn.XLOOKUP(K338,'Janeiro 2023 - Valor Real'!A3:A15,'Janeiro 2023 - Valor Real'!C3:C15,0))+1)),((L338-1)*(1-_xlfn.XLOOKUP(K338,'Janeiro 2023 - Valor Real'!A3:A15,'Janeiro 2023 - Valor Real'!C3:C15,0))+1)/(((L338-1)*(1-_xlfn.XLOOKUP(K338,'Janeiro 2023 - Valor Real'!A3:A15,'Janeiro 2023 - Valor Real'!C3:C15,0))+1)+((L337-1)*(1-_xlfn.XLOOKUP(K337,'Janeiro 2023 - Valor Real'!A3:A15,'Janeiro 2023 - Valor Real'!C3:C15,0))+1))))))</f>
        <v>0.33333236110544</v>
      </c>
      <c r="AF337" s="197">
        <f>IF($K337=AF$3,ROUND(IF(OR($C337="W",$C337="1/2W",$C337="1/2L"),$P337-$O337,IF($C337="X",0,-$O337)),2),0)</f>
        <v>0</v>
      </c>
      <c r="AG337" s="198">
        <f>IF($K337=AG$3,ROUND(IF(OR($C337="W",$C337="1/2W",$C337="1/2L"),$P337-$O337,IF($C337="X",0,-$O337)),2),0)</f>
        <v>-21.42</v>
      </c>
      <c r="AH337" s="198">
        <f>IF($K337=AH$3,ROUND(IF(OR($C337="W",$C337="1/2W",$C337="1/2L"),$P337-$O337,IF($C337="X",0,-$O337)),2),0)</f>
        <v>0</v>
      </c>
      <c r="AI337" s="198">
        <f>IF($K337=AI$3,ROUND(IF(OR($C337="W",$C337="1/2W",$C337="1/2L"),$P337-$O337,IF($C337="X",0,-$O337)),2),0)</f>
        <v>0</v>
      </c>
      <c r="AJ337" s="198">
        <f>IF($K337=AJ$3,ROUND(IF(OR($C337="W",$C337="1/2W",$C337="1/2L"),$P337-$O337,IF($C337="X",0,-$O337)),2),0)</f>
        <v>0</v>
      </c>
      <c r="AK337" s="198">
        <f>IF($K337=AK$3,ROUND(IF(OR($C337="W",$C337="1/2W",$C337="1/2L"),$P337-$O337,IF($C337="X",0,-$O337)),2),0)</f>
        <v>0</v>
      </c>
      <c r="AL337" s="198">
        <f>IF($K337=AL$3,ROUND(IF(OR($C337="W",$C337="1/2W",$C337="1/2L"),$P337-$O337,IF($C337="X",0,-$O337)),2),0)</f>
        <v>0</v>
      </c>
      <c r="AM337" s="198">
        <f>IF($K337=AM$3,ROUND(IF(OR($C337="W",$C337="1/2W",$C337="1/2L"),$P337-$O337,IF($C337="X",0,-$O337)),2),0)</f>
        <v>0</v>
      </c>
      <c r="AN337" s="198">
        <f>IF($K337=AN$3,ROUND(IF(OR($C337="W",$C337="1/2W",$C337="1/2L"),$P337-$O337,IF($C337="X",0,-$O337)),2),0)</f>
        <v>0</v>
      </c>
      <c r="AO337" s="198">
        <f>IF($K337=AO$3,ROUND(IF(OR($C337="W",$C337="1/2W",$C337="1/2L"),$P337-$O337,IF($C337="X",0,-$O337)),2),0)</f>
        <v>0</v>
      </c>
      <c r="AP337" s="198">
        <f>IF($K337=AP$3,ROUND(IF(OR($C337="W",$C337="1/2W",$C337="1/2L"),$P337-$O337,IF($C337="X",0,-$O337)),2),0)</f>
        <v>0</v>
      </c>
      <c r="AQ337" s="198">
        <f>IF($K337=AQ$3,ROUND(IF(OR($C337="W",$C337="1/2W",$C337="1/2L"),$P337-$O337,IF($C337="X",0,-$O337)),2),0)</f>
        <v>0</v>
      </c>
      <c r="AR337" s="199">
        <f>IF($K337=AR$3,ROUND(IF(OR($C337="W",$C337="1/2W",$C337="1/2L"),$P337-$O337,IF($C337="X",0,-$O337)),2),0)</f>
        <v>0</v>
      </c>
      <c r="AS337" s="197">
        <f>IF(AND($B337=" ",$K337=AS$3),$O337,0)</f>
        <v>0</v>
      </c>
      <c r="AT337" s="198">
        <f>IF(AND($B337=" ",$K337=AT$3),$O337,0)</f>
        <v>0</v>
      </c>
      <c r="AU337" s="198">
        <f>IF(AND($B337=" ",$K337=AU$3),$O337,0)</f>
        <v>0</v>
      </c>
      <c r="AV337" s="198">
        <f>IF(AND($B337=" ",$K337=AV$3),$O337,0)</f>
        <v>0</v>
      </c>
      <c r="AW337" s="198">
        <f>IF(AND($B337=" ",$K337=AW$3),$O337,0)</f>
        <v>0</v>
      </c>
      <c r="AX337" s="198">
        <f>IF(AND($B337=" ",$K337=AX$3),$O337,0)</f>
        <v>0</v>
      </c>
      <c r="AY337" s="200">
        <f>IF(AND($B337=" ",$K337=AY$3),$O337,0)</f>
        <v>0</v>
      </c>
      <c r="AZ337" s="201">
        <f>IF(AND($B337=" ",$K337=AZ$3),$O337,0)</f>
        <v>0</v>
      </c>
      <c r="BA337" s="201">
        <f>IF(AND($B337=" ",$K337=BA$3),$O337,0)</f>
        <v>0</v>
      </c>
      <c r="BB337" s="201">
        <f>IF(AND($B337=" ",$K337=BB$3),$O337,0)</f>
        <v>0</v>
      </c>
      <c r="BC337" s="202">
        <f>IF(AND($B337=" ",$K337=BC$3),$O337,0)</f>
        <v>0</v>
      </c>
      <c r="BD337" s="198">
        <f>IF(AND($B337=" ",$K337=BD$3),$O337,0)</f>
        <v>0</v>
      </c>
      <c r="BE337" s="199">
        <f>IF(AND($B337=" ",$K337=BE$3),$O337,0)</f>
        <v>0</v>
      </c>
      <c r="BF337" s="203">
        <f>IF($K337=BF$3,IF($C337="X",0,$O337),0)</f>
        <v>0</v>
      </c>
      <c r="BG337" s="198">
        <f>IF($K337=BG$3,IF($C337="X",0,$O337),0)</f>
        <v>21.42</v>
      </c>
      <c r="BH337" s="198">
        <f>IF($K337=BH$3,IF($C337="X",0,$O337),0)</f>
        <v>0</v>
      </c>
      <c r="BI337" s="198">
        <f>IF($K337=BI$3,IF($C337="X",0,$O337),0)</f>
        <v>0</v>
      </c>
      <c r="BJ337" s="198">
        <f>IF($K337=BJ$3,IF($C337="X",0,$O337),0)</f>
        <v>0</v>
      </c>
      <c r="BK337" s="198">
        <f>IF($K337=BK$3,IF($C337="X",0,$O337),0)</f>
        <v>0</v>
      </c>
      <c r="BL337" s="198">
        <f>IF($K337=BL$3,IF($C337="X",0,$O337),0)</f>
        <v>0</v>
      </c>
      <c r="BM337" s="200">
        <f>IF($K337=BM$3,IF($C337="X",0,$O337),0)</f>
        <v>0</v>
      </c>
      <c r="BN337" s="201">
        <f>IF($K337=BN$3,IF($C337="X",0,$O337),0)</f>
        <v>0</v>
      </c>
      <c r="BO337" s="201">
        <f>IF($K337=BO$3,IF($C337="X",0,$O337),0)</f>
        <v>0</v>
      </c>
      <c r="BP337" s="201">
        <f>IF($K337=BP$3,IF($C337="X",0,$O337),0)</f>
        <v>0</v>
      </c>
      <c r="BQ337" s="202">
        <f>IF($K337=BQ$3,IF($C337="X",0,$O337),0)</f>
        <v>0</v>
      </c>
      <c r="BR337" s="199">
        <f>IF($K337=BR$3,IF($C337="X",0,$O337),0)</f>
        <v>0</v>
      </c>
      <c r="BS337" s="204">
        <f>IF($B337="LOSS",IF(AND($K337=BS$3,$C337="L"),-$O337,0)+IF(AND($K338=BS$3,$C338="L"),-$O338,0)+IF(AND($K339=BS$3,$C339="L"),-$O339,0),IF(OR(AND($K337=BS$3,OR($C337="W",$C337="1/2W")),AND($K338=BS$3,OR($C338="W",$C338="1/2W")),AND($K339=BS$3,OR($C339="W",$C339="1/2W"))),$S337,0))</f>
        <v>0</v>
      </c>
      <c r="BT337" s="201">
        <f>IF($B337="LOSS",IF(AND($K337=BT$3,$C337="L"),-$O337,0)+IF(AND($K338=BT$3,$C338="L"),-$O338,0)+IF(AND($K338=BT$3,$C339="L"),-$O339,0),IF(OR(AND($K338=BT$3,OR($C337="W",$C337="1/2W")),AND($K338=BT$3,OR($C338="W",$C338="1/2W")),AND($K338=BT$3,OR($C339="W",$C339="1/2W"))),$S337,0))</f>
        <v>0</v>
      </c>
      <c r="BU337" s="201">
        <f>IF($B337="LOSS",IF(AND($K337=BU$3,$C337="L"),-$O337,0)+IF(AND($K338=BU$3,$C338="L"),-$O338,0)+IF(AND($K338=BU$3,$C339="L"),-$O339,0),IF(OR(AND($K338=BU$3,OR($C337="W",$C337="1/2W")),AND($K338=BU$3,OR($C338="W",$C338="1/2W")),AND($K338=BU$3,OR($C339="W",$C339="1/2W"))),$S337,0))</f>
        <v>-82.17</v>
      </c>
      <c r="BV337" s="201">
        <f>IF($B337="LOSS",IF(AND($K337=BV$3,$C337="L"),-$O337,0)+IF(AND($K338=BV$3,$C338="L"),-$O338,0)+IF(AND($K339=BV$3,$C339="L"),-$O339,0),IF(OR(AND($K337=BV$3,OR($C337="W",$C337="1/2W")),AND($K338=BV$3,OR($C338="W",$C338="1/2W")),AND($K339=BV$3,OR($C339="W",$C339="1/2W"))),$S337,0))</f>
        <v>0</v>
      </c>
      <c r="BW337" s="201">
        <f>IF($B337="LOSS",IF(AND($K337=BW$3,$C337="L"),-$O337,0)+IF(AND($K338=BW$3,$C338="L"),-$O338,0)+IF(AND($K339=BW$3,$C339="L"),-$O339,0),IF(OR(AND($K337=BW$3,OR($C337="W",$C337="1/2W")),AND($K338=BW$3,OR($C338="W",$C338="1/2W")),AND($K339=BW$3,OR($C339="W",$C339="1/2W"))),$S337,0))</f>
        <v>0</v>
      </c>
      <c r="BX337" s="201">
        <f>IF($B337="LOSS",IF(AND($K337=BX$3,$C337="L"),-$O337,0)+IF(AND($K338=BX$3,$C338="L"),-$O338,0)+IF(AND($K339=BX$3,$C339="L"),-$O339,0),IF(OR(AND($K337=BX$3,OR($C337="W",$C337="1/2W")),AND($K338=BX$3,OR($C338="W",$C338="1/2W")),AND($K339=BX$3,OR($C339="W",$C339="1/2W"))),$S337,0))</f>
        <v>0</v>
      </c>
      <c r="BY337" s="201">
        <f>IF($B337="LOSS",IF(AND($K337=BY$3,$C337="L"),-$O337,0)+IF(AND($K338=BY$3,$C338="L"),-$O338,0)+IF(AND($K339=BY$3,$C339="L"),-$O339,0),IF(OR(AND($K337=BY$3,OR($C337="W",$C337="1/2W")),AND($K338=BY$3,OR($C338="W",$C338="1/2W")),AND($K339=BY$3,OR($C339="W",$C339="1/2W"))),$S337,0))</f>
        <v>0</v>
      </c>
      <c r="BZ337" s="205">
        <f>IF($B337="LOSS",IF(AND($K337=BZ$3,$C337="L"),-$O337,0)+IF(AND($K338=BZ$3,$C338="L"),-$O338,0)+IF(AND($K339=BZ$3,$C339="L"),-$O339,0),IF(OR(AND($K337=BZ$3,OR($C337="W",$C337="1/2W")),AND($K338=BZ$3,OR($C338="W",$C338="1/2W")),AND($K339=BZ$3,OR($C339="W",$C339="1/2W"))),$S337,0))</f>
        <v>0</v>
      </c>
      <c r="CA337" s="205">
        <f>IF($B337="LOSS",IF(AND($K337=CA$3,$C337="L"),-$O337,0)+IF(AND($K338=CA$3,$C338="L"),-$O338,0)+IF(AND($K339=CA$3,$C339="L"),-$O339,0),IF(OR(AND($K337=CA$3,OR($C337="W",$C337="1/2W")),AND($K338=CA$3,OR($C338="W",$C338="1/2W")),AND($K339=CA$3,OR($C339="W",$C339="1/2W"))),$S337,0))</f>
        <v>0</v>
      </c>
      <c r="CB337" s="205">
        <f>IF($B337="LOSS",IF(AND($K337=CB$3,$C337="L"),-$O337,0)+IF(AND($K338=CB$3,$C338="L"),-$O338,0)+IF(AND($K339=CB$3,$C339="L"),-$O339,0),IF(OR(AND($K337=CB$3,OR($C337="W",$C337="1/2W")),AND($K338=CB$3,OR($C338="W",$C338="1/2W")),AND($K339=CB$3,OR($C339="W",$C339="1/2W"))),$S337,0))</f>
        <v>0</v>
      </c>
      <c r="CC337" s="205">
        <f>IF($B337="LOSS",IF(AND($K337=CC$3,$C337="L"),-$O337,0)+IF(AND($K338=CC$3,$C338="L"),-$O338,0)+IF(AND($K339=CC$3,$C339="L"),-$O339,0),IF(OR(AND($K337=CC$3,OR($C337="W",$C337="1/2W")),AND($K338=CC$3,OR($C338="W",$C338="1/2W")),AND($K339=CC$3,OR($C339="W",$C339="1/2W"))),$S337,0))</f>
        <v>0</v>
      </c>
      <c r="CD337" s="202">
        <f>IF($B337="LOSS",IF(AND($K337=CD$3,$C337="L"),-$O337,0)+IF(AND($K338=CD$3,$C338="L"),-$O338,0)+IF(AND($K339=CD$3,$C339="L"),-$O339,0),IF(OR(AND($K337=CD$3,OR($C337="W",$C337="1/2W")),AND($K338=CD$3,OR($C338="W",$C338="1/2W")),AND($K339=CD$3,OR($C339="W",$C339="1/2W"))),$S337,0))</f>
        <v>0</v>
      </c>
      <c r="CE337" s="199">
        <f>IF($B337="LOSS",IF(AND($K337=CE$3,$C337="L"),-$O337,0)+IF(AND($K338=CE$3,$C338="L"),-$O338,0)+IF(AND($K339=CE$3,$C339="L"),-$O339,0),IF(OR(AND($K337=CE$3,OR($C337="W",$C337="1/2W")),AND($K338=CE$3,OR($C338="W",$C338="1/2W")),AND($K339=CE$3,OR($C339="W",$C339="1/2W"))),$S337,0))</f>
        <v>0</v>
      </c>
      <c r="CF337" s="206">
        <f>IF(CF$3=$K337,IF($C337="W",1,IF($C337="1/2W",0.5,0)),0)</f>
        <v>0</v>
      </c>
      <c r="CG337" s="207">
        <f>IF(CF$3=$K337,IF($C337="L",1,IF($C337="1/2L",0.5,0)),0)</f>
        <v>0</v>
      </c>
      <c r="CH337" s="207">
        <f>IF(CH$3=$K337,IF($C337="W",1,IF($C337="1/2W",0.5,0)),0)</f>
        <v>0</v>
      </c>
      <c r="CI337" s="207">
        <f>IF(CH$3=$K337,IF($C337="L",1,IF($C337="1/2L",0.5,0)),0)</f>
        <v>1</v>
      </c>
      <c r="CJ337" s="207">
        <f>IF(CJ$3=$K337,IF($C337="W",1,IF($C337="1/2W",0.5,0)),0)</f>
        <v>0</v>
      </c>
      <c r="CK337" s="207">
        <f>IF(CJ$3=$K337,IF($C337="L",1,IF($C337="1/2L",0.5,0)),0)</f>
        <v>0</v>
      </c>
      <c r="CL337" s="207">
        <f>IF(CL$3=$K337,IF($C337="W",1,IF($C337="1/2W",0.5,0)),0)</f>
        <v>0</v>
      </c>
      <c r="CM337" s="207">
        <f>IF(CL$3=$K337,IF($C337="L",1,IF($C337="1/2L",0.5,0)),0)</f>
        <v>0</v>
      </c>
      <c r="CN337" s="207">
        <f>IF(CN$3=$K337,IF($C337="W",1,IF($C337="1/2W",0.5,0)),0)</f>
        <v>0</v>
      </c>
      <c r="CO337" s="207">
        <f>IF(CN$3=$K337,IF($C337="L",1,IF($C337="1/2L",0.5,0)),0)</f>
        <v>0</v>
      </c>
      <c r="CP337" s="207">
        <f>IF(CP$3=$K337,IF($C337="W",1,IF($C337="1/2W",0.5,0)),0)</f>
        <v>0</v>
      </c>
      <c r="CQ337" s="207">
        <f>IF(CP$3=$K337,IF($C337="L",1,IF($C337="1/2L",0.5,0)),0)</f>
        <v>0</v>
      </c>
      <c r="CR337" s="207">
        <f>IF(CR$3=$K337,IF($C337="W",1,IF($C337="1/2W",0.5,0)),0)</f>
        <v>0</v>
      </c>
      <c r="CS337" s="207">
        <f>IF(CR$3=$K337,IF($C337="L",1,IF($C337="1/2L",0.5,0)),0)</f>
        <v>0</v>
      </c>
      <c r="CT337" s="208">
        <f>IF(CT$3=$K337,IF($C337="W",1,IF($C337="1/2W",0.5,0)),0)</f>
        <v>0</v>
      </c>
      <c r="CU337" s="209">
        <f>IF(CT$3=$K337,IF($C337="L",1,IF($C337="1/2L",0.5,0)),0)</f>
        <v>0</v>
      </c>
      <c r="CV337" s="209">
        <f>IF(CV$3=$K337,IF($C337="W",1,IF($C337="1/2W",0.5,0)),0)</f>
        <v>0</v>
      </c>
      <c r="CW337" s="209">
        <f>IF(CV$3=$K337,IF($C337="L",1,IF($C337="1/2L",0.5,0)),0)</f>
        <v>0</v>
      </c>
      <c r="CX337" s="209">
        <f>IF(CX$3=$K337,IF($C337="W",1,IF($C337="1/2W",0.5,0)),0)</f>
        <v>0</v>
      </c>
      <c r="CY337" s="209">
        <f>IF(CX$3=$K337,IF($C337="L",1,IF($C337="1/2L",0.5,0)),0)</f>
        <v>0</v>
      </c>
      <c r="CZ337" s="209">
        <f>IF(CZ$3=$K337,IF($C337="W",1,IF($C337="1/2W",0.5,0)),0)</f>
        <v>0</v>
      </c>
      <c r="DA337" s="209">
        <f>IF(CZ$3=$K337,IF($C337="L",1,IF($C337="1/2L",0.5,0)),0)</f>
        <v>0</v>
      </c>
      <c r="DB337" s="209">
        <f>IF(DB$3=$K337,IF($C337="W",1,IF($C337="1/2W",0.5,0)),0)</f>
        <v>0</v>
      </c>
      <c r="DC337" s="209">
        <f>IF(DB$3=$K337,IF($C337="L",1,IF($C337="1/2L",0.5,0)),0)</f>
        <v>0</v>
      </c>
      <c r="DD337" s="209">
        <f>IF(DD$3=$K337,IF($C337="W",1,IF($C337="1/2W",0.5,0)),0)</f>
        <v>0</v>
      </c>
      <c r="DE337" s="210">
        <f>IF(DD$3=$K337,IF($C337="L",1,IF($C337="1/2L",0.5,0)),0)</f>
        <v>0</v>
      </c>
      <c r="DF337" s="211">
        <f>IF(AND(L337&lt;DF$3,$C337="W"),1+DF336,DF336)</f>
        <v>12</v>
      </c>
      <c r="DG337" s="198">
        <f>IF(DF337&gt;DF336,L337+DG336,DG336)</f>
        <v>15.718</v>
      </c>
      <c r="DH337" s="209">
        <f>IF(AND(L337&gt;DH$3,$C337="W"),1+DH336,0+DH336)</f>
        <v>7</v>
      </c>
      <c r="DI337" s="198">
        <f>IF(DH337&gt;DH336,L337+DI336,DI336)</f>
        <v>34.83</v>
      </c>
      <c r="DJ337" t="s" s="306">
        <f>IF($D337="","",$D337)</f>
        <v>272</v>
      </c>
      <c r="DK337" s="209">
        <f>IF(AND($B337=" ",$D337&lt;&gt;""),1,0)</f>
        <v>0</v>
      </c>
    </row>
    <row r="338" ht="14.55" customHeight="1">
      <c r="A338" s="107"/>
      <c r="B338" s="108"/>
      <c r="C338" t="s" s="213">
        <v>56</v>
      </c>
      <c r="D338" s="110"/>
      <c r="E338" s="111"/>
      <c r="F338" s="113"/>
      <c r="G338" s="214"/>
      <c r="H338" s="114"/>
      <c r="I338" s="332"/>
      <c r="J338" t="s" s="216">
        <f>IF(OR(I337="TO",I337="TU",I337="TO1",I337="TU1",I337="TO2",I337="TU2"),J337,IF(OR(I337="AH1",I337="AH2"),IF(OR(I338="AH1",I338="AH2"),-J337,IF(OR(I338="EH1",I338="EH2"),-J337+0.5,"")),IF(OR(I337="EH1",I337="EH2"),IF(OR(I338="AH1",I338="AH2"),-J337+0.5,IF(OR(I338="EH1",I338="EH2"),-J337+1,"")),IF(AND(OR(I337="DNB1",I337="DNB2"),OR(I338="AH1",I338="AH2")),0,IF(AND(I337="Not ScoreBoth",OR(I338="TO1",I338="TO2")),0.5,"")))))</f>
      </c>
      <c r="K338" t="s" s="217">
        <v>39</v>
      </c>
      <c r="L338" s="218">
        <v>2.0695</v>
      </c>
      <c r="M338" s="219">
        <v>37.29</v>
      </c>
      <c r="N338" s="120"/>
      <c r="O338" s="220">
        <f>IF(OR(AE337="",AE338=""),"",ROUND(IF(L339&gt;0,IF(M338&gt;0,M338,IF(M337&gt;0,IF(N337=TRUE,ROUND((M337*AE338)/AE337,0),(M337*AE338)/AE337),IF(M338&gt;0,ROUND(M338,IF(N337=0,2,IF(N337=0.1,1,0))),IF(M339&gt;0,ROUND(O339*AE338/AE339,IF(N337=0,2,IF(N337=0.1,1,0))),0)))),IF(M338&gt;0,M338,ROUND((M337*AE338)/AE337,IF(N337=0,2,IF(N337=0.1,1,0))))),2))</f>
        <v>37.29</v>
      </c>
      <c r="P338" s="221">
        <f>IF(OR(L338="",O338=""),"",IF($C338="1/2W",O338/2+O338/2*L338,IF($C338="1/2L",O338/2,IF(I338="Lay",((O338*(L338/(L338-1)))-O338)*(1-_xlfn.XLOOKUP(K338,'Janeiro 2023 - Valor Real'!A3:A15,'Janeiro 2023 - Valor Real'!C3:C15,0))+O338,(O338*L338-O338)*(1-_xlfn.XLOOKUP(K338,'Janeiro 2023 - Valor Real'!A3:A15,'Janeiro 2023 - Valor Real'!C3:C15,0))+O338))))</f>
        <v>74.57934742499999</v>
      </c>
      <c r="Q338" s="222">
        <f>IF(K338="","",IF(_xlfn.XLOOKUP(K338,K$98:K147,DJ$98:DJ147,0,,-1)=DJ338,_xlfn.XLOOKUP(K338,K$98:K147,Q$98:Q147,1,,-1)+1,1))</f>
        <v>1</v>
      </c>
      <c r="R338" s="223">
        <f>IF(K338="","",_xlfn.XLOOKUP(K338,K$98:K147,R$98:R147,0,,-1)+IF($C338=" ",1,0))</f>
        <v>0</v>
      </c>
      <c r="S338" s="125"/>
      <c r="T338" s="126"/>
      <c r="U338" s="126"/>
      <c r="V338" s="224"/>
      <c r="W338" s="126"/>
      <c r="X338" s="127"/>
      <c r="Y338" s="128"/>
      <c r="Z338" s="129"/>
      <c r="AA338" s="129"/>
      <c r="AB338" s="129"/>
      <c r="AC338" s="129"/>
      <c r="AD338" s="225">
        <f>(((L338/(L338-1)-1)*(1-_xlfn.XLOOKUP(K338,'Janeiro 2023 - Valor Real'!A3:A15,'Janeiro 2023 - Valor Real'!C3:C15,0))+1))</f>
        <v>1.87424029920524</v>
      </c>
      <c r="AE338" s="226">
        <f>IF(L338="","",IF(L339&gt;0,(SUM(((L337-1)*(1-_xlfn.XLOOKUP(K337,'Janeiro 2023 - Valor Real'!A3:A15,'Janeiro 2023 - Valor Real'!C3:C15,0))+1),((L338-1)*(1-_xlfn.XLOOKUP(K338,'Janeiro 2023 - Valor Real'!A3:A15,'Janeiro 2023 - Valor Real'!C3:C15,0))+1),((L339-1)*(1-_xlfn.XLOOKUP(K339,'Janeiro 2023 - Valor Real'!A3:A15,'Janeiro 2023 - Valor Real'!C3:C15,0))+1))/((L338-1)*(1-_xlfn.XLOOKUP(K338,'Janeiro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Real'!C3:C15,0))+1))/((L337-1)*(1-_xlfn.XLOOKUP(K337,'Janeiro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Real'!C3:C15,0))+1))/((L338-1)*(1-_xlfn.XLOOKUP(K338,'Janeiro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Real'!C3:C15,0))+1))/((L339-1)*(1-_xlfn.XLOOKUP(K339,'Janeiro 2023 - Valor Real'!A3:A15,'Janeiro 2023 - Valor Real'!C3:C15,0))+1)),IF(I338="Lay",IF(I337="Lay",((L337/(L337-1)-1)*(1-_xlfn.XLOOKUP(K337,'Janeiro 2023 - Valor Real'!A3:A15,'Janeiro 2023 - Valor Real'!C3:C15,0))+1)/(((L337/(L337-1)-1)*(1-_xlfn.XLOOKUP(K337,'Janeiro 2023 - Valor Real'!A3:A15,'Janeiro 2023 - Valor Real'!C3:C15,0))+1)+((L338/(L338-1)-1)*(1-_xlfn.XLOOKUP(K338,'Janeiro 2023 - Valor Real'!A3:A15,'Janeiro 2023 - Valor Real'!C3:C15,0))+1)),((L337-1)*(1-_xlfn.XLOOKUP(K337,'Janeiro 2023 - Valor Real'!A3:A15,'Janeiro 2023 - Valor Real'!C3:C15,0))+1)/(((L337-1)*(1-_xlfn.XLOOKUP(K337,'Janeiro 2023 - Valor Real'!A3:A15,'Janeiro 2023 - Valor Real'!C3:C15,0))+1)+((L338/(L338-1)-1)*(1-_xlfn.XLOOKUP(K338,'Janeiro 2023 - Valor Real'!A3:A15,'Janeiro 2023 - Valor Real'!C3:C15,0))+1))),IF(I337="Lay",((L337/(L337-1)-1)*(1-_xlfn.XLOOKUP(K337,'Janeiro 2023 - Valor Real'!A3:A15,'Janeiro 2023 - Valor Real'!C3:C15,0))+1)/((((L337/(L337-1)-1)*(1-_xlfn.XLOOKUP(K337,'Janeiro 2023 - Valor Real'!A3:A15,'Janeiro 2023 - Valor Real'!C3:C15,0))+1))+((L338-1)*(1-_xlfn.XLOOKUP(K338,'Janeiro 2023 - Valor Real'!A3:A15,'Janeiro 2023 - Valor Real'!C3:C15,0))+1)),((L337-1)*(1-_xlfn.XLOOKUP(K337,'Janeiro 2023 - Valor Real'!A3:A15,'Janeiro 2023 - Valor Real'!C3:C15,0))+1)/(((L337-1)*(1-_xlfn.XLOOKUP(K337,'Janeiro 2023 - Valor Real'!A3:A15,'Janeiro 2023 - Valor Real'!C3:C15,0))+1)+((L338-1)*(1-_xlfn.XLOOKUP(K338,'Janeiro 2023 - Valor Real'!A3:A15,'Janeiro 2023 - Valor Real'!C3:C15,0))+1))))))</f>
        <v>0.33333527778912</v>
      </c>
      <c r="AF338" s="197">
        <f>IF($K338=AF$3,ROUND(IF(OR($C338="W",$C338="1/2W",$C338="1/2L"),$P338-$O338,IF($C338="X",0,-$O338)),2),0)</f>
        <v>0</v>
      </c>
      <c r="AG338" s="198">
        <f>IF($K338=AG$3,ROUND(IF(OR($C338="W",$C338="1/2W",$C338="1/2L"),$P338-$O338,IF($C338="X",0,-$O338)),2),0)</f>
        <v>0</v>
      </c>
      <c r="AH338" s="198">
        <f>IF($K338=AH$3,ROUND(IF(OR($C338="W",$C338="1/2W",$C338="1/2L"),$P338-$O338,IF($C338="X",0,-$O338)),2),0)</f>
        <v>37.29</v>
      </c>
      <c r="AI338" s="198">
        <f>IF($K338=AI$3,ROUND(IF(OR($C338="W",$C338="1/2W",$C338="1/2L"),$P338-$O338,IF($C338="X",0,-$O338)),2),0)</f>
        <v>0</v>
      </c>
      <c r="AJ338" s="198">
        <f>IF($K338=AJ$3,ROUND(IF(OR($C338="W",$C338="1/2W",$C338="1/2L"),$P338-$O338,IF($C338="X",0,-$O338)),2),0)</f>
        <v>0</v>
      </c>
      <c r="AK338" s="198">
        <f>IF($K338=AK$3,ROUND(IF(OR($C338="W",$C338="1/2W",$C338="1/2L"),$P338-$O338,IF($C338="X",0,-$O338)),2),0)</f>
        <v>0</v>
      </c>
      <c r="AL338" s="198">
        <f>IF($K338=AL$3,ROUND(IF(OR($C338="W",$C338="1/2W",$C338="1/2L"),$P338-$O338,IF($C338="X",0,-$O338)),2),0)</f>
        <v>0</v>
      </c>
      <c r="AM338" s="198">
        <f>IF($K338=AM$3,ROUND(IF(OR($C338="W",$C338="1/2W",$C338="1/2L"),$P338-$O338,IF($C338="X",0,-$O338)),2),0)</f>
        <v>0</v>
      </c>
      <c r="AN338" s="198">
        <f>IF($K338=AN$3,ROUND(IF(OR($C338="W",$C338="1/2W",$C338="1/2L"),$P338-$O338,IF($C338="X",0,-$O338)),2),0)</f>
        <v>0</v>
      </c>
      <c r="AO338" s="198">
        <f>IF($K338=AO$3,ROUND(IF(OR($C338="W",$C338="1/2W",$C338="1/2L"),$P338-$O338,IF($C338="X",0,-$O338)),2),0)</f>
        <v>0</v>
      </c>
      <c r="AP338" s="198">
        <f>IF($K338=AP$3,ROUND(IF(OR($C338="W",$C338="1/2W",$C338="1/2L"),$P338-$O338,IF($C338="X",0,-$O338)),2),0)</f>
        <v>0</v>
      </c>
      <c r="AQ338" s="198">
        <f>IF($K338=AQ$3,ROUND(IF(OR($C338="W",$C338="1/2W",$C338="1/2L"),$P338-$O338,IF($C338="X",0,-$O338)),2),0)</f>
        <v>0</v>
      </c>
      <c r="AR338" s="199">
        <f>IF($K338=AR$3,ROUND(IF(OR($C338="W",$C338="1/2W",$C338="1/2L"),$P338-$O338,IF($C338="X",0,-$O338)),2),0)</f>
        <v>0</v>
      </c>
      <c r="AS338" s="197">
        <f>IF(AND($B337=" ",$K338=AS$3),$O338,0)</f>
        <v>0</v>
      </c>
      <c r="AT338" s="198">
        <f>IF(AND($B337=" ",K338=AT$3),$O338,0)</f>
        <v>0</v>
      </c>
      <c r="AU338" s="198">
        <f>IF(AND($B337=" ",$K338=AU$3),$O338,0)</f>
        <v>0</v>
      </c>
      <c r="AV338" s="198">
        <f>IF(AND($B337=" ",$K338=AV$3),$O338,0)</f>
        <v>0</v>
      </c>
      <c r="AW338" s="198">
        <f>IF(AND($B337=" ",$K338=AW$3),$O338,0)</f>
        <v>0</v>
      </c>
      <c r="AX338" s="198">
        <f>IF(AND($B337=" ",$K338=AX$3),$O338,0)</f>
        <v>0</v>
      </c>
      <c r="AY338" s="200">
        <f>IF(AND($B337=" ",$K338=AY$3),$O338,0)</f>
        <v>0</v>
      </c>
      <c r="AZ338" s="201">
        <f>IF(AND($B337=" ",$K338=AZ$3),$O338,0)</f>
        <v>0</v>
      </c>
      <c r="BA338" s="201">
        <f>IF(AND($B337=" ",$K338=BA$3),$O338,0)</f>
        <v>0</v>
      </c>
      <c r="BB338" s="201">
        <f>IF(AND($B337=" ",$K338=BB$3),$O338,0)</f>
        <v>0</v>
      </c>
      <c r="BC338" s="202">
        <f>IF(AND($B337=" ",$K338=BC$3),$O338,0)</f>
        <v>0</v>
      </c>
      <c r="BD338" s="198">
        <f>IF(AND($B337=" ",$K338=BD$3),$O338,0)</f>
        <v>0</v>
      </c>
      <c r="BE338" s="199">
        <f>IF(AND($B337=" ",$K338=BE$3),$O338,0)</f>
        <v>0</v>
      </c>
      <c r="BF338" s="197">
        <f>IF($K338=BF$3,IF($C338="X",0,$O338),0)</f>
        <v>0</v>
      </c>
      <c r="BG338" s="198">
        <f>IF($K338=BG$3,IF($C338="X",0,$O338),0)</f>
        <v>0</v>
      </c>
      <c r="BH338" s="198">
        <f>IF($K338=BH$3,IF($C338="X",0,$O338),0)</f>
        <v>37.29</v>
      </c>
      <c r="BI338" s="198">
        <f>IF($K338=BI$3,IF($C338="X",0,$O338),0)</f>
        <v>0</v>
      </c>
      <c r="BJ338" s="198">
        <f>IF($K338=BJ$3,IF($C338="X",0,$O338),0)</f>
        <v>0</v>
      </c>
      <c r="BK338" s="198">
        <f>IF($K338=BK$3,IF($C338="X",0,$O338),0)</f>
        <v>0</v>
      </c>
      <c r="BL338" s="198">
        <f>IF($K338=BL$3,IF($C338="X",0,$O338),0)</f>
        <v>0</v>
      </c>
      <c r="BM338" s="227">
        <f>IF($K338=BM$3,IF($C338="X",0,$O338),0)</f>
        <v>0</v>
      </c>
      <c r="BN338" s="205">
        <f>IF($K338=BN$3,IF($C338="X",0,$O338),0)</f>
        <v>0</v>
      </c>
      <c r="BO338" s="205">
        <f>IF($K338=BO$3,IF($C338="X",0,$O338),0)</f>
        <v>0</v>
      </c>
      <c r="BP338" s="205">
        <f>IF($K338=BP$3,IF($C338="X",0,$O338),0)</f>
        <v>0</v>
      </c>
      <c r="BQ338" s="202">
        <f>IF($K338=BQ$3,IF($C338="X",0,$O338),0)</f>
        <v>0</v>
      </c>
      <c r="BR338" s="199">
        <f>IF($K338=BR$3,IF($C338="X",0,$O338),0)</f>
        <v>0</v>
      </c>
      <c r="BS338" s="228"/>
      <c r="BT338" s="229"/>
      <c r="BU338" s="140"/>
      <c r="BV338" s="229"/>
      <c r="BW338" s="140"/>
      <c r="BX338" s="140"/>
      <c r="BY338" s="140"/>
      <c r="BZ338" s="229"/>
      <c r="CA338" s="140"/>
      <c r="CB338" s="140"/>
      <c r="CC338" s="140"/>
      <c r="CD338" s="141"/>
      <c r="CE338" s="142"/>
      <c r="CF338" s="230">
        <f>IF(CF$3=$K338,IF($C338="W",1,IF($C338="1/2W",0.5,0)),0)</f>
        <v>0</v>
      </c>
      <c r="CG338" s="231">
        <f>IF(CF$3=$K338,IF($C338="L",1,IF($C338="1/2L",0.5,0)),0)</f>
        <v>0</v>
      </c>
      <c r="CH338" s="231">
        <f>IF(CH$3=$K338,IF($C338="W",1,IF($C338="1/2W",0.5,0)),0)</f>
        <v>0</v>
      </c>
      <c r="CI338" s="231">
        <f>IF(CH$3=$K338,IF($C338="L",1,IF($C338="1/2L",0.5,0)),0)</f>
        <v>0</v>
      </c>
      <c r="CJ338" s="231">
        <f>IF(CJ$3=$K338,IF($C338="W",1,IF($C338="1/2W",0.5,0)),0)</f>
        <v>1</v>
      </c>
      <c r="CK338" s="231">
        <f>IF(CJ$3=$K338,IF($C338="L",1,IF($C338="1/2L",0.5,0)),0)</f>
        <v>0</v>
      </c>
      <c r="CL338" s="231">
        <f>IF(CL$3=$K338,IF($C338="W",1,IF($C338="1/2W",0.5,0)),0)</f>
        <v>0</v>
      </c>
      <c r="CM338" s="231">
        <f>IF(CL$3=$K338,IF($C338="L",1,IF($C338="1/2L",0.5,0)),0)</f>
        <v>0</v>
      </c>
      <c r="CN338" s="231">
        <f>IF(CN$3=$K338,IF($C338="W",1,IF($C338="1/2W",0.5,0)),0)</f>
        <v>0</v>
      </c>
      <c r="CO338" s="231">
        <f>IF(CN$3=$K338,IF($C338="L",1,IF($C338="1/2L",0.5,0)),0)</f>
        <v>0</v>
      </c>
      <c r="CP338" s="231">
        <f>IF(CP$3=$K338,IF($C338="W",1,IF($C338="1/2W",0.5,0)),0)</f>
        <v>0</v>
      </c>
      <c r="CQ338" s="231">
        <f>IF(CP$3=$K338,IF($C338="L",1,IF($C338="1/2L",0.5,0)),0)</f>
        <v>0</v>
      </c>
      <c r="CR338" s="231">
        <f>IF(CR$3=$K338,IF($C338="W",1,IF($C338="1/2W",0.5,0)),0)</f>
        <v>0</v>
      </c>
      <c r="CS338" s="231">
        <f>IF(CR$3=$K338,IF($C338="L",1,IF($C338="1/2L",0.5,0)),0)</f>
        <v>0</v>
      </c>
      <c r="CT338" s="208">
        <f>IF(CT$3=$K338,IF($C338="W",1,IF($C338="1/2W",0.5,0)),0)</f>
        <v>0</v>
      </c>
      <c r="CU338" s="209">
        <f>IF(CT$3=$K338,IF($C338="L",1,IF($C338="1/2L",0.5,0)),0)</f>
        <v>0</v>
      </c>
      <c r="CV338" s="209">
        <f>IF(CV$3=$K338,IF($C338="W",1,IF($C338="1/2W",0.5,0)),0)</f>
        <v>0</v>
      </c>
      <c r="CW338" s="209">
        <f>IF(CV$3=$K338,IF($C338="L",1,IF($C338="1/2L",0.5,0)),0)</f>
        <v>0</v>
      </c>
      <c r="CX338" s="209">
        <f>IF(CX$3=$K338,IF($C338="W",1,IF($C338="1/2W",0.5,0)),0)</f>
        <v>0</v>
      </c>
      <c r="CY338" s="209">
        <f>IF(CX$3=$K338,IF($C338="L",1,IF($C338="1/2L",0.5,0)),0)</f>
        <v>0</v>
      </c>
      <c r="CZ338" s="209">
        <f>IF(CZ$3=$K338,IF($C338="W",1,IF($C338="1/2W",0.5,0)),0)</f>
        <v>0</v>
      </c>
      <c r="DA338" s="209">
        <f>IF(CZ$3=$K338,IF($C338="L",1,IF($C338="1/2L",0.5,0)),0)</f>
        <v>0</v>
      </c>
      <c r="DB338" s="209">
        <f>IF(DB$3=$K338,IF($C338="W",1,IF($C338="1/2W",0.5,0)),0)</f>
        <v>0</v>
      </c>
      <c r="DC338" s="209">
        <f>IF(DB$3=$K338,IF($C338="L",1,IF($C338="1/2L",0.5,0)),0)</f>
        <v>0</v>
      </c>
      <c r="DD338" s="209">
        <f>IF(DD$3=$K338,IF($C338="W",1,IF($C338="1/2W",0.5,0)),0)</f>
        <v>0</v>
      </c>
      <c r="DE338" s="210">
        <f>IF(DD$3=$K338,IF($C338="L",1,IF($C338="1/2L",0.5,0)),0)</f>
        <v>0</v>
      </c>
      <c r="DF338" s="211">
        <f>IF(AND(L338&lt;DF$3,$C338="W"),1+DF337,DF337)</f>
        <v>12</v>
      </c>
      <c r="DG338" s="198">
        <f>IF(DF338&gt;DF337,L338+DG337,DG337)</f>
        <v>15.718</v>
      </c>
      <c r="DH338" s="209">
        <f>IF(AND(L338&gt;DH$3,$C338="W"),1+DH337,0+DH337)</f>
        <v>7</v>
      </c>
      <c r="DI338" s="198">
        <f>IF(DH338&gt;DH337,L338+DI337,DI337)</f>
        <v>34.83</v>
      </c>
      <c r="DJ338" t="s" s="306">
        <f>IF($D337="","",$D337)</f>
        <v>272</v>
      </c>
      <c r="DK338" s="232"/>
    </row>
    <row r="339" ht="14.55" customHeight="1">
      <c r="A339" s="149"/>
      <c r="B339" s="150"/>
      <c r="C339" t="s" s="313">
        <v>51</v>
      </c>
      <c r="D339" s="314"/>
      <c r="E339" s="315"/>
      <c r="F339" s="155"/>
      <c r="G339" s="311"/>
      <c r="H339" s="307"/>
      <c r="I339" s="316"/>
      <c r="J339" s="317"/>
      <c r="K339" t="s" s="333">
        <v>41</v>
      </c>
      <c r="L339" s="334">
        <v>2</v>
      </c>
      <c r="M339" s="320">
        <v>98.04000000000001</v>
      </c>
      <c r="N339" s="161"/>
      <c r="O339" s="335">
        <f>IF(OR(AE337="",AE338=""),"",IF(L339&gt;0,ROUND(IF(M339&gt;0,M339,IF(M337&gt;0,ROUND((M337*AE339)/AE337,IF(N337=0,2,IF(N337=0.1,1,0))),IF(M338&gt;0,ROUND((M338*AE339)/AE338,IF(N337=0,2,IF(N337=0.1,1,0))),IF(M339&gt;0,M339,0)))),2),""))</f>
        <v>98.04000000000001</v>
      </c>
      <c r="P339" s="309">
        <f>IF(I338="Lay",O338*(L338/(L338-1))-O338,IF(I337="Lay",O337*(L337/(L337-1))-O337,IF(OR(L339="",O339=""),"",IF($C339="1/2W",O339/2+O339/2*L339,IF($C339="1/2L",O339/2,(O339*L339-O339)*(1-_xlfn.XLOOKUP(K339,'Janeiro 2023 - Valor Real'!A3:A15,'Janeiro 2023 - Valor Real'!C3:C15,0))+O339)))))</f>
        <v>196.08</v>
      </c>
      <c r="Q339" s="336">
        <f>IF(K339="","",IF(_xlfn.XLOOKUP(K339,K$99:K148,DJ$99:DJ148,0,,-1)=DJ339,_xlfn.XLOOKUP(K339,K$99:K148,Q$99:Q148,1,,-1)+1,1))</f>
        <v>1</v>
      </c>
      <c r="R339" s="337">
        <f>IF(K339="","",_xlfn.XLOOKUP(K339,K$99:K148,R$99:R148,0,,-1)+IF($C339=" ",1,0))</f>
        <v>0</v>
      </c>
      <c r="S339" s="166"/>
      <c r="T339" s="155"/>
      <c r="U339" s="155"/>
      <c r="V339" s="166"/>
      <c r="W339" s="155"/>
      <c r="X339" s="167"/>
      <c r="Y339" s="128"/>
      <c r="Z339" s="129"/>
      <c r="AA339" s="129"/>
      <c r="AB339" s="129"/>
      <c r="AC339" s="129"/>
      <c r="AD339" s="244">
        <f>((L338/(L338-1)-1))</f>
        <v>0.935016362786349</v>
      </c>
      <c r="AE339" s="338">
        <f>IF(L339="","",(SUM(((L337-1)*(1-_xlfn.XLOOKUP(K337,'Janeiro 2023 - Valor Real'!A3:A15,'Janeiro 2023 - Valor Real'!C3:C15,0))+1),((L338-1)*(1-_xlfn.XLOOKUP(K338,'Janeiro 2023 - Valor Real'!A3:A15,'Janeiro 2023 - Valor Real'!C3:C15,0))+1),((L339-1)*(1-_xlfn.XLOOKUP(K339,'Janeiro 2023 - Valor Real'!A3:A15,'Janeiro 2023 - Valor Real'!C3:C15,0))+1))/((L339-1)*(1-_xlfn.XLOOKUP(K339,'Janeiro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Real'!C3:C15,0))+1))/((L337-1)*(1-_xlfn.XLOOKUP(K337,'Janeiro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Real'!C3:C15,0))+1))/((L338-1)*(1-_xlfn.XLOOKUP(K338,'Janeiro 2023 - Valor Real'!A3:A15,'Janeiro 2023 - Valor Real'!C3:C15,0))+1)+SUM(((L337-1)*(1-_xlfn.XLOOKUP(K337,'Janeiro 2023 - Valor Real'!A3:A15,'Janeiro 2023 - Valor Real'!C3:C15,0))+1),((L338-1)*(1-_xlfn.XLOOKUP(K338,'Janeiro 2023 - Valor Real'!A3:A15,'Janeiro 2023 - Valor Real'!C3:C15,0))+1),((L339-1)*(1-_xlfn.XLOOKUP(K339,'Janeiro 2023 - Valor Real'!A3:A15,'Janeiro 2023 - Valor Real'!C3:C15,0))+1))/((L339-1)*(1-_xlfn.XLOOKUP(K339,'Janeiro 2023 - Valor Real'!A3:A15,'Janeiro 2023 - Valor Real'!C3:C15,0))+1)))</f>
        <v>0.33333236110544</v>
      </c>
      <c r="AF339" s="197">
        <f>IF($K339=AF$3,ROUND(IF(OR($C339="W",$C339="1/2W",$C339="1/2L"),$P339-$O339,IF($C339="X",0,-$O339)),2),0)</f>
        <v>0</v>
      </c>
      <c r="AG339" s="198">
        <f>IF($K339=AG$3,ROUND(IF(OR($C339="W",$C339="1/2W",$C339="1/2L"),$P339-$O339,IF($C339="X",0,-$O339)),2),0)</f>
        <v>0</v>
      </c>
      <c r="AH339" s="198">
        <f>IF($K339=AH$3,ROUND(IF(OR($C339="W",$C339="1/2W",$C339="1/2L"),$P339-$O339,IF($C339="X",0,-$O339)),2),0)</f>
        <v>0</v>
      </c>
      <c r="AI339" s="198">
        <f>IF($K339=AI$3,ROUND(IF(OR($C339="W",$C339="1/2W",$C339="1/2L"),$P339-$O339,IF($C339="X",0,-$O339)),2),0)</f>
        <v>0</v>
      </c>
      <c r="AJ339" s="198">
        <f>IF($K339=AJ$3,ROUND(IF(OR($C339="W",$C339="1/2W",$C339="1/2L"),$P339-$O339,IF($C339="X",0,-$O339)),2),0)</f>
        <v>-98.04000000000001</v>
      </c>
      <c r="AK339" s="198">
        <f>IF($K339=AK$3,ROUND(IF(OR($C339="W",$C339="1/2W",$C339="1/2L"),$P339-$O339,IF($C339="X",0,-$O339)),2),0)</f>
        <v>0</v>
      </c>
      <c r="AL339" s="198">
        <f>IF($K339=AL$3,ROUND(IF(OR($C339="W",$C339="1/2W",$C339="1/2L"),$P339-$O339,IF($C339="X",0,-$O339)),2),0)</f>
        <v>0</v>
      </c>
      <c r="AM339" s="198">
        <f>IF($K339=AM$3,ROUND(IF(OR($C339="W",$C339="1/2W",$C339="1/2L"),$P339-$O339,IF($C339="X",0,-$O339)),2),0)</f>
        <v>0</v>
      </c>
      <c r="AN339" s="198">
        <f>IF($K339=AN$3,ROUND(IF(OR($C339="W",$C339="1/2W",$C339="1/2L"),$P339-$O339,IF($C339="X",0,-$O339)),2),0)</f>
        <v>0</v>
      </c>
      <c r="AO339" s="198">
        <f>IF($K339=AO$3,ROUND(IF(OR($C339="W",$C339="1/2W",$C339="1/2L"),$P339-$O339,IF($C339="X",0,-$O339)),2),0)</f>
        <v>0</v>
      </c>
      <c r="AP339" s="198">
        <f>IF($K339=AP$3,ROUND(IF(OR($C339="W",$C339="1/2W",$C339="1/2L"),$P339-$O339,IF($C339="X",0,-$O339)),2),0)</f>
        <v>0</v>
      </c>
      <c r="AQ339" s="198">
        <f>IF($K339=AQ$3,ROUND(IF(OR($C339="W",$C339="1/2W",$C339="1/2L"),$P339-$O339,IF($C339="X",0,-$O339)),2),0)</f>
        <v>0</v>
      </c>
      <c r="AR339" s="199">
        <f>IF($K339=AR$3,ROUND(IF(OR($C339="W",$C339="1/2W",$C339="1/2L"),$P339-$O339,IF($C339="X",0,-$O339)),2),0)</f>
        <v>0</v>
      </c>
      <c r="AS339" s="197">
        <f>IF(AND($B337=" ",$K339=AS$3),$O339,0)</f>
        <v>0</v>
      </c>
      <c r="AT339" s="198">
        <f>IF(AND($B337=" ",K339=AT$3),$O339,0)</f>
        <v>0</v>
      </c>
      <c r="AU339" s="198">
        <f>IF(AND($B337=" ",$K339=AU$3),$O339,0)</f>
        <v>0</v>
      </c>
      <c r="AV339" s="198">
        <f>IF(AND($B337=" ",$K339=AV$3),$O339,0)</f>
        <v>0</v>
      </c>
      <c r="AW339" s="198">
        <f>IF(AND($B337=" ",$K339=AW$3),$O339,0)</f>
        <v>0</v>
      </c>
      <c r="AX339" s="198">
        <f>IF(AND($B337=" ",$K339=AX$3),$O339,0)</f>
        <v>0</v>
      </c>
      <c r="AY339" s="200">
        <f>IF(AND($B337=" ",$K339=AY$3),$O339,0)</f>
        <v>0</v>
      </c>
      <c r="AZ339" s="201">
        <f>IF(AND($B337=" ",$K339=AZ$3),$O339,0)</f>
        <v>0</v>
      </c>
      <c r="BA339" s="201">
        <f>IF(AND($B337=" ",$K339=BA$3),$O339,0)</f>
        <v>0</v>
      </c>
      <c r="BB339" s="201">
        <f>IF(AND($B337=" ",$K339=BB$3),$O339,0)</f>
        <v>0</v>
      </c>
      <c r="BC339" s="202">
        <f>IF(AND($B337=" ",$K339=BC$3),$O339,0)</f>
        <v>0</v>
      </c>
      <c r="BD339" s="198">
        <f>IF(AND($B337=" ",$K339=BD$3),$O339,0)</f>
        <v>0</v>
      </c>
      <c r="BE339" s="199">
        <f>IF(AND($B337=" ",$K339=BE$3),$O339,0)</f>
        <v>0</v>
      </c>
      <c r="BF339" s="197">
        <f>IF($K339=BF$3,IF($C339="X",0,$O339),0)</f>
        <v>0</v>
      </c>
      <c r="BG339" s="198">
        <f>IF($K339=BG$3,IF($C339="X",0,$O339),0)</f>
        <v>0</v>
      </c>
      <c r="BH339" s="198">
        <f>IF($K339=BH$3,IF($C339="X",0,$O339),0)</f>
        <v>0</v>
      </c>
      <c r="BI339" s="198">
        <f>IF($K339=BI$3,IF($C339="X",0,$O339),0)</f>
        <v>0</v>
      </c>
      <c r="BJ339" s="198">
        <f>IF($K339=BJ$3,IF($C339="X",0,$O339),0)</f>
        <v>98.04000000000001</v>
      </c>
      <c r="BK339" s="198">
        <f>IF($K339=BK$3,IF($C339="X",0,$O339),0)</f>
        <v>0</v>
      </c>
      <c r="BL339" s="198">
        <f>IF($K339=BL$3,IF($C339="X",0,$O339),0)</f>
        <v>0</v>
      </c>
      <c r="BM339" s="200">
        <f>IF($K339=BM$3,IF($C339="X",0,$O339),0)</f>
        <v>0</v>
      </c>
      <c r="BN339" s="201">
        <f>IF($K339=BN$3,IF($C339="X",0,$O339),0)</f>
        <v>0</v>
      </c>
      <c r="BO339" s="201">
        <f>IF($K339=BO$3,IF($C339="X",0,$O339),0)</f>
        <v>0</v>
      </c>
      <c r="BP339" s="201">
        <f>IF($K339=BP$3,IF($C339="X",0,$O339),0)</f>
        <v>0</v>
      </c>
      <c r="BQ339" s="202">
        <f>IF($K339=BQ$3,IF($C339="X",0,$O339),0)</f>
        <v>0</v>
      </c>
      <c r="BR339" s="199">
        <f>IF($K339=BR$3,IF($C339="X",0,$O339),0)</f>
        <v>0</v>
      </c>
      <c r="BS339" s="228"/>
      <c r="BT339" s="229"/>
      <c r="BU339" s="140"/>
      <c r="BV339" s="229"/>
      <c r="BW339" s="140"/>
      <c r="BX339" s="140"/>
      <c r="BY339" s="140"/>
      <c r="BZ339" s="229"/>
      <c r="CA339" s="140"/>
      <c r="CB339" s="140"/>
      <c r="CC339" s="140"/>
      <c r="CD339" s="141"/>
      <c r="CE339" s="142"/>
      <c r="CF339" s="230">
        <f>IF(CF$3=$K339,IF($C339="W",1,IF($C339="1/2W",0.5,0)),0)</f>
        <v>0</v>
      </c>
      <c r="CG339" s="231">
        <f>IF(CF$3=$K339,IF($C339="L",1,IF($C339="1/2L",0.5,0)),0)</f>
        <v>0</v>
      </c>
      <c r="CH339" s="231">
        <f>IF(CH$3=$K339,IF($C339="W",1,IF($C339="1/2W",0.5,0)),0)</f>
        <v>0</v>
      </c>
      <c r="CI339" s="231">
        <f>IF(CH$3=$K339,IF($C339="L",1,IF($C339="1/2L",0.5,0)),0)</f>
        <v>0</v>
      </c>
      <c r="CJ339" s="231">
        <f>IF(CJ$3=$K339,IF($C339="W",1,IF($C339="1/2W",0.5,0)),0)</f>
        <v>0</v>
      </c>
      <c r="CK339" s="231">
        <f>IF(CJ$3=$K339,IF($C339="L",1,IF($C339="1/2L",0.5,0)),0)</f>
        <v>0</v>
      </c>
      <c r="CL339" s="231">
        <f>IF(CL$3=$K339,IF($C339="W",1,IF($C339="1/2W",0.5,0)),0)</f>
        <v>0</v>
      </c>
      <c r="CM339" s="231">
        <f>IF(CL$3=$K339,IF($C339="L",1,IF($C339="1/2L",0.5,0)),0)</f>
        <v>0</v>
      </c>
      <c r="CN339" s="231">
        <f>IF(CN$3=$K339,IF($C339="W",1,IF($C339="1/2W",0.5,0)),0)</f>
        <v>0</v>
      </c>
      <c r="CO339" s="231">
        <f>IF(CN$3=$K339,IF($C339="L",1,IF($C339="1/2L",0.5,0)),0)</f>
        <v>1</v>
      </c>
      <c r="CP339" s="231">
        <f>IF(CP$3=$K339,IF($C339="W",1,IF($C339="1/2W",0.5,0)),0)</f>
        <v>0</v>
      </c>
      <c r="CQ339" s="231">
        <f>IF(CP$3=$K339,IF($C339="L",1,IF($C339="1/2L",0.5,0)),0)</f>
        <v>0</v>
      </c>
      <c r="CR339" s="231">
        <f>IF(CR$3=$K339,IF($C339="W",1,IF($C339="1/2W",0.5,0)),0)</f>
        <v>0</v>
      </c>
      <c r="CS339" s="231">
        <f>IF(CR$3=$K339,IF($C339="L",1,IF($C339="1/2L",0.5,0)),0)</f>
        <v>0</v>
      </c>
      <c r="CT339" s="208">
        <f>IF(CT$3=$K339,IF($C339="W",1,IF($C339="1/2W",0.5,0)),0)</f>
        <v>0</v>
      </c>
      <c r="CU339" s="209">
        <f>IF(CT$3=$K339,IF($C339="L",1,IF($C339="1/2L",0.5,0)),0)</f>
        <v>0</v>
      </c>
      <c r="CV339" s="209">
        <f>IF(CV$3=$K339,IF($C339="W",1,IF($C339="1/2W",0.5,0)),0)</f>
        <v>0</v>
      </c>
      <c r="CW339" s="209">
        <f>IF(CV$3=$K339,IF($C339="L",1,IF($C339="1/2L",0.5,0)),0)</f>
        <v>0</v>
      </c>
      <c r="CX339" s="209">
        <f>IF(CX$3=$K339,IF($C339="W",1,IF($C339="1/2W",0.5,0)),0)</f>
        <v>0</v>
      </c>
      <c r="CY339" s="209">
        <f>IF(CX$3=$K339,IF($C339="L",1,IF($C339="1/2L",0.5,0)),0)</f>
        <v>0</v>
      </c>
      <c r="CZ339" s="209">
        <f>IF(CZ$3=$K339,IF($C339="W",1,IF($C339="1/2W",0.5,0)),0)</f>
        <v>0</v>
      </c>
      <c r="DA339" s="209">
        <f>IF(CZ$3=$K339,IF($C339="L",1,IF($C339="1/2L",0.5,0)),0)</f>
        <v>0</v>
      </c>
      <c r="DB339" s="209">
        <f>IF(DB$3=$K339,IF($C339="W",1,IF($C339="1/2W",0.5,0)),0)</f>
        <v>0</v>
      </c>
      <c r="DC339" s="209">
        <f>IF(DB$3=$K339,IF($C339="L",1,IF($C339="1/2L",0.5,0)),0)</f>
        <v>0</v>
      </c>
      <c r="DD339" s="209">
        <f>IF(DD$3=$K339,IF($C339="W",1,IF($C339="1/2W",0.5,0)),0)</f>
        <v>0</v>
      </c>
      <c r="DE339" s="210">
        <f>IF(DD$3=$K339,IF($C339="L",1,IF($C339="1/2L",0.5,0)),0)</f>
        <v>0</v>
      </c>
      <c r="DF339" s="211">
        <f>IF(AND(L339&lt;DF$3,$C339="W"),1+DF338,DF338)</f>
        <v>12</v>
      </c>
      <c r="DG339" s="198">
        <f>IF(DF339&gt;DF338,L339+DG338,DG338)</f>
        <v>15.718</v>
      </c>
      <c r="DH339" s="209">
        <f>IF(AND(L339&gt;DH$3,$C339="W"),1+DH338,0+DH338)</f>
        <v>7</v>
      </c>
      <c r="DI339" s="198">
        <f>IF(DH339&gt;DH338,L339+DI338,DI338)</f>
        <v>34.83</v>
      </c>
      <c r="DJ339" t="s" s="306">
        <f>IF($D337="","",$D337)</f>
        <v>272</v>
      </c>
      <c r="DK339" s="232"/>
    </row>
    <row r="340" ht="14.55" customHeight="1">
      <c r="A340" s="246">
        <f>$A337+1</f>
        <v>113</v>
      </c>
      <c r="B340" t="s" s="247">
        <f>IF(AND(_xlfn.XLOOKUP(H340,H$107:H119,G$107:G119,0)=G340,_xlfn.XLOOKUP("TempoBet",K340:K342,L340:L342,0)&gt;0),"X",IF(OR(C340="W",C341="W",C342="W",C340="1/2W",C341="1/2W",C342="1/2W",C340="1/2L",C341="1/2L",C342="1/2L"),"OK",IF(OR(C340="L",C341="L",C342="L"),"LOSS",IF(OR(C340="X",C341="X",C342="X"),"Anulado"," "))))</f>
        <v>50</v>
      </c>
      <c r="C340" t="s" s="321">
        <v>51</v>
      </c>
      <c r="D340" t="s" s="322">
        <f>IF(G340="","",$D337)</f>
        <v>272</v>
      </c>
      <c r="E340" t="s" s="323">
        <v>135</v>
      </c>
      <c r="F340" t="s" s="251"/>
      <c r="G340" s="312">
        <v>44946.791666666664</v>
      </c>
      <c r="H340" t="s" s="308">
        <v>292</v>
      </c>
      <c r="I340" s="339"/>
      <c r="J340" s="325"/>
      <c r="K340" t="s" s="326">
        <v>40</v>
      </c>
      <c r="L340" s="327">
        <v>2</v>
      </c>
      <c r="M340" s="328">
        <f>418.94-403.33</f>
        <v>15.61</v>
      </c>
      <c r="N340" s="259">
        <v>0</v>
      </c>
      <c r="O340" s="260">
        <f>IF(OR(AE340="",AE341=""),"",ROUND(IF(L342&gt;0,IF(M340&gt;0,M340,IF(M341&gt;0,ROUND((M341*AE340)/AE341,IF(N340=0,2,IF(N340=0.1,1,0))),ROUND((M342*AE340)/AE342,IF(N340=0,2,IF(N340=0.1,1,0))))),IF(M340&gt;0,M340,ROUND((M341*AE340)/AE341,IF(N340=0,2,IF(N340=0.1,1,0))))),2))</f>
        <v>15.61</v>
      </c>
      <c r="P340" s="261">
        <f>IF(OR(L340="",O340=""),"",IF($C340="1/2W",O340/2+O340/2*L340,IF($C340="1/2L",O340/2,IF(I340="Lay",(O340*(L340/(L340-1))-O340)*(1-_xlfn.XLOOKUP(K340,'Janeiro 2023 - Valor Real'!A3:A15,'Janeiro 2023 - Valor Real'!C3:C15,0))+O340,(O340*L340-O340)*(1-_xlfn.XLOOKUP(K340,'Janeiro 2023 - Valor Real'!A3:A15,'Janeiro 2023 - Valor Real'!C3:C15,0))+O340))))</f>
        <v>31.22</v>
      </c>
      <c r="Q340" s="262">
        <f>IF(K340="","",IF(_xlfn.XLOOKUP(K340,K$107:K119,DJ$107:DJ119,0,,-1)=DJ340,_xlfn.XLOOKUP(K340,K$107:K119,Q$107:Q119,1,,-1)+1,1))</f>
        <v>1</v>
      </c>
      <c r="R340" s="263">
        <f>IF(K340="","",_xlfn.XLOOKUP(K340,K$107:K119,R$107:R119,0,,-1)+IF($C340=" ",1,0))</f>
        <v>0</v>
      </c>
      <c r="S340" s="264">
        <f>IF($B340="Anulado",0,ROUND(IF(OR($B340="LOSS",$B340="OK"),IF(OR($C340="W",$C340="1/2W",$C340="1/2L"),P340-O340,IF($C340="L",-O340,0))+IF(OR($C341="W",$C341="1/2W",$C341="1/2L"),P341-O341,IF($C341="L",-O341,0))+IF(OR($C342="W",$C342="1/2W",$C342="1/2L"),P342-O342,IF($C342="L",-O342,0)),IF(AND(OR($C340="W",$C340="1/2W",$C340="1/2L"),C341="W"),P340+P341-SUM(O340:O342)+_xlfn.XLOOKUP("X",C340:C342,O340:O342,0),IF(AND(C340=TRUE,C342="W"),P340+P342-SUM(O340:O342),IF(AND(C341="W",C342="W"),P341+P342-SUM(O340:O342)+_xlfn.XLOOKUP("X",C340:C342,O340:O342,0),IF(L342&gt;0,IF(OR($C340="W",$C340="1/2W",$C340="1/2L"),P340-SUM(O340:O342)+_xlfn.XLOOKUP("X",C340:C342,O340:O342,0),IF(OR($C340="W",$C340="1/2W",$C340="1/2L"),P341-SUM(O340:O342)+_xlfn.XLOOKUP("X",C340:C342,O340:O342,0),IF(OR($C340="W",$C340="1/2W",$C340="1/2L"),P342-SUM(O340:O342)+_xlfn.XLOOKUP("X",C340:C342,O340:O342,0),IF(SUM(P340:P342)/3-SUM(O340:O342)+_xlfn.XLOOKUP("X",C340:C342,O340:O342,0)&gt;0,SUM(P340:P342)/3-SUM(O340:O342)+_xlfn.XLOOKUP("X",C340:C342,O340:O342,0),LARGE(P340:P342,1)-SUM(O340:O342))))),IF(OR($C340="W",$C340="1/2W",$C340="1/2L"),P340-SUM(O340:O341)+_xlfn.XLOOKUP("X",C340:C342,O340:O342,0),IF(OR($C340="W",$C340="1/2W",$C340="1/2L"),P341-SUM(O340:O341)+_xlfn.XLOOKUP("X",C340:C342,O340:O342,0),SUM(P340:P341)/2-SUM(O340:O341)+_xlfn.XLOOKUP("X",C340:C342,O340:O342,0)))))))),2))</f>
        <v>26.51</v>
      </c>
      <c r="T340" s="265">
        <f>IF(S340=0,0,S340/SUM(O340:O342))</f>
        <v>0.380945538152033</v>
      </c>
      <c r="U340" s="266">
        <f>IF($D340=$D337,IF(OR($B340="LOSS",$B340="OK",$B340="Anulada"),S340,0)+U337,IF(OR($B340="LOSS",$B340="OK",$B340="Anulada"),S340,0))</f>
        <v>-57.18</v>
      </c>
      <c r="V340" s="266">
        <f>IF($D340="",0,IF($D340=$D337,IF($B340=" ",IF(I342="",IF(OR(AND(I340="DNB1",I341="DNB2"),AND(OR(I340="DNB1",I340="DNB2"),J341=0),AND(OR(I341="DNB1",I341="DNB2"),J340=0),AND(I340="DNB2",I341="DNB1"),AND(IF(J340=0,(J340+1)/ROUND(J340+1,0),J340/ROUND(J340,0))=1,IF(J341=0,(J341+1)/ROUND(IF(J341="",0,J341)+1,0),IF(J341="",0,J341)/ROUND(IF(J341="",1,J341),0))=1,OR(J340&lt;&gt;""),J341&lt;&gt;"")),0,IF(S340&lt;0,IF(I342="",SMALL(P340:P341,1)-SUM(O340:O341),0),SMALL(P340:P341,1)-SUM(O340:O341))),IF(S340&lt;0,IF(I342="",SMALL(P340:P342,1)-SUM(O340:O342),0),LARGE(P340:P342,1)-SUM(O340:O342))),S340)+V337,IF(I342="",IF(OR(AND(I340="DNB1",I341="DNB2"),AND(OR(I340="DNB1",I340="DNB2"),J341=0),AND(OR(I341="DNB1",I341="DNB2"),J340=0),AND(I340="DNB2",I341="DNB1"),AND(IF(J340=0,(J340+1)/ROUND(J340+1,0),J340/ROUND(J340,0))=1,IF(J341=0,(IF(J341="",0,J341)+1)/ROUND(IF(J341="",0,J341)+1,0),IF(J341="",0,J341)/ROUND(IF(J341="",0,J341)+1,0))=1,OR(J340&lt;&gt;""),J341&lt;&gt;"")),0,IF(S340&lt;0,IF(I342="",SMALL(P340:P341,1)-SUM(O340:O341),0),SMALL(P340:P342,1)-SUM(O340:O342))),IF(S340&lt;0,IF(I342="",SMALL(P340:P342,1)-SUM(O340:O342),0),LARGE(P340:P342,1)-SUM(O340:O342)))))</f>
        <v>-57.215</v>
      </c>
      <c r="W340" s="266">
        <f>IF($D340=$D337,IF(S340&lt;0,IF(I342="",S340,0),S340)+W337,S340)</f>
        <v>-57.18</v>
      </c>
      <c r="X340" t="s" s="267">
        <f>IF(OR(SUM(R340:R342)=0,V340=W340),ROUND(IF(W340=0,0,W340/Y340)*100,2)&amp;"%",ROUND(IF(V340=0,0,V340/Y340)*100,2)&amp;"% a "&amp;ROUND(IF(W340=0,0,W340/Y340)*100,2)&amp;"%")</f>
        <v>294</v>
      </c>
      <c r="Y340" s="268">
        <f>IF($D340=$D337,Y337+SUM(O340:O342),SUM(O340:O342))</f>
        <v>585.48</v>
      </c>
      <c r="Z340" s="266">
        <f>IF($B340=" ",SUM(O340:O342),0)+Z337</f>
        <v>0</v>
      </c>
      <c r="AA340" s="266">
        <f>IF(G340="","",IF($B340="Anulado",LARGE(P340:P342,1)-SUM(O340:O342)+AA337,AA337))</f>
        <v>16.5099</v>
      </c>
      <c r="AB340" s="266">
        <f>IF($D340="","",AB337+S340)</f>
        <v>246.19</v>
      </c>
      <c r="AC340" s="269">
        <f>IF($D340="","",IF($B340=" ",IF(DAY(G340)=DAY(TODAY()),1+AC337,0+AC337),0+AC337))</f>
        <v>0</v>
      </c>
      <c r="AD340" s="270">
        <f>(1-_xlfn.XLOOKUP(K338,'Janeiro 2023 - Valor Real'!A3:A15,'Janeiro 2023 - Valor Real'!C3:C15,0))+1</f>
        <v>1.935</v>
      </c>
      <c r="AE340" s="271">
        <f>IF(L340="","",IF(L342&gt;0,(SUM(((L340-1)*(1-_xlfn.XLOOKUP(K340,'Janeiro 2023 - Valor Real'!A3:A15,'Janeiro 2023 - Valor Real'!C3:C15,0))+1),((L341-1)*(1-_xlfn.XLOOKUP(K341,'Janeiro 2023 - Valor Real'!A3:A15,'Janeiro 2023 - Valor Real'!C3:C15,0))+1),((L342-1)*(1-_xlfn.XLOOKUP(K342,'Janeiro 2023 - Valor Real'!A3:A15,'Janeiro 2023 - Valor Real'!C3:C15,0))+1))/((L340-1)*(1-_xlfn.XLOOKUP(K340,'Janeiro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Real'!C3:C15,0))+1))/((L340-1)*(1-_xlfn.XLOOKUP(K340,'Janeiro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Real'!C3:C15,0))+1))/((L341-1)*(1-_xlfn.XLOOKUP(K341,'Janeiro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Real'!C3:C15,0))+1))/((L342-1)*(1-_xlfn.XLOOKUP(K342,'Janeiro 2023 - Valor Real'!A3:A15,'Janeiro 2023 - Valor Real'!C3:C15,0))+1)),IF(I340="Lay",IF(I341="Lay",((L341/(L341-1)-1)*(1-_xlfn.XLOOKUP(K341,'Janeiro 2023 - Valor Real'!A3:A15,'Janeiro 2023 - Valor Real'!C3:C15,0))+1)/(((L341/(L341-1)-1)*(1-_xlfn.XLOOKUP(K341,'Janeiro 2023 - Valor Real'!A3:A15,'Janeiro 2023 - Valor Real'!C3:C15,0))+1)+((L340/(L340-1)-1)*(1-_xlfn.XLOOKUP(K340,'Janeiro 2023 - Valor Real'!A3:A15,'Janeiro 2023 - Valor Real'!C3:C15,0))+1)),((L341-1)*(1-_xlfn.XLOOKUP(K341,'Janeiro 2023 - Valor Real'!A3:A15,'Janeiro 2023 - Valor Real'!C3:C15,0))+1)/(((L341-1)*(1-_xlfn.XLOOKUP(K341,'Janeiro 2023 - Valor Real'!A3:A15,'Janeiro 2023 - Valor Real'!C3:C15,0))+1)+((L340/(L340-1)-1)*(1-_xlfn.XLOOKUP(K340,'Janeiro 2023 - Valor Real'!A3:A15,'Janeiro 2023 - Valor Real'!C3:C15,0))+1))),IF(I341="Lay",(((L341/(L341-1)-1)*(1-_xlfn.XLOOKUP(K341,'Janeiro 2023 - Valor Real'!A3:A15,'Janeiro 2023 - Valor Real'!C3:C15,0))+1))/(((L340-1)*(1-_xlfn.XLOOKUP(K340,'Janeiro 2023 - Valor Real'!A3:A15,'Janeiro 2023 - Valor Real'!C3:C15,0))+1)+((L341/(L341-1)-1)*(1-_xlfn.XLOOKUP(K341,'Janeiro 2023 - Valor Real'!A3:A15,'Janeiro 2023 - Valor Real'!C3:C15,0))+1)),((L341-1)*(1-_xlfn.XLOOKUP(K341,'Janeiro 2023 - Valor Real'!A3:A15,'Janeiro 2023 - Valor Real'!C3:C15,0))+1)/(((L341-1)*(1-_xlfn.XLOOKUP(K341,'Janeiro 2023 - Valor Real'!A3:A15,'Janeiro 2023 - Valor Real'!C3:C15,0))+1)+((L340-1)*(1-_xlfn.XLOOKUP(K340,'Janeiro 2023 - Valor Real'!A3:A15,'Janeiro 2023 - Valor Real'!C3:C15,0))+1))))))</f>
        <v>0.333333333333333</v>
      </c>
      <c r="AF340" s="132">
        <f>IF($K340=AF$3,ROUND(IF(OR($C340="W",$C340="1/2W",$C340="1/2L"),$P340-$O340,IF($C340="X",0,-$O340)),2),0)</f>
        <v>0</v>
      </c>
      <c r="AG340" s="133">
        <f>IF($K340=AG$3,ROUND(IF(OR($C340="W",$C340="1/2W",$C340="1/2L"),$P340-$O340,IF($C340="X",0,-$O340)),2),0)</f>
        <v>0</v>
      </c>
      <c r="AH340" s="133">
        <f>IF($K340=AH$3,ROUND(IF(OR($C340="W",$C340="1/2W",$C340="1/2L"),$P340-$O340,IF($C340="X",0,-$O340)),2),0)</f>
        <v>0</v>
      </c>
      <c r="AI340" s="133">
        <f>IF($K340=AI$3,ROUND(IF(OR($C340="W",$C340="1/2W",$C340="1/2L"),$P340-$O340,IF($C340="X",0,-$O340)),2),0)</f>
        <v>-15.61</v>
      </c>
      <c r="AJ340" s="133">
        <f>IF($K340=AJ$3,ROUND(IF(OR($C340="W",$C340="1/2W",$C340="1/2L"),$P340-$O340,IF($C340="X",0,-$O340)),2),0)</f>
        <v>0</v>
      </c>
      <c r="AK340" s="133">
        <f>IF($K340=AK$3,ROUND(IF(OR($C340="W",$C340="1/2W",$C340="1/2L"),$P340-$O340,IF($C340="X",0,-$O340)),2),0)</f>
        <v>0</v>
      </c>
      <c r="AL340" s="133">
        <f>IF($K340=AL$3,ROUND(IF(OR($C340="W",$C340="1/2W",$C340="1/2L"),$P340-$O340,IF($C340="X",0,-$O340)),2),0)</f>
        <v>0</v>
      </c>
      <c r="AM340" s="133">
        <f>IF($K340=AM$3,ROUND(IF(OR($C340="W",$C340="1/2W",$C340="1/2L"),$P340-$O340,IF($C340="X",0,-$O340)),2),0)</f>
        <v>0</v>
      </c>
      <c r="AN340" s="133">
        <f>IF($K340=AN$3,ROUND(IF(OR($C340="W",$C340="1/2W",$C340="1/2L"),$P340-$O340,IF($C340="X",0,-$O340)),2),0)</f>
        <v>0</v>
      </c>
      <c r="AO340" s="133">
        <f>IF($K340=AO$3,ROUND(IF(OR($C340="W",$C340="1/2W",$C340="1/2L"),$P340-$O340,IF($C340="X",0,-$O340)),2),0)</f>
        <v>0</v>
      </c>
      <c r="AP340" s="133">
        <f>IF($K340=AP$3,ROUND(IF(OR($C340="W",$C340="1/2W",$C340="1/2L"),$P340-$O340,IF($C340="X",0,-$O340)),2),0)</f>
        <v>0</v>
      </c>
      <c r="AQ340" s="133">
        <f>IF($K340=AQ$3,ROUND(IF(OR($C340="W",$C340="1/2W",$C340="1/2L"),$P340-$O340,IF($C340="X",0,-$O340)),2),0)</f>
        <v>0</v>
      </c>
      <c r="AR340" s="134">
        <f>IF($K340=AR$3,ROUND(IF(OR($C340="W",$C340="1/2W",$C340="1/2L"),$P340-$O340,IF($C340="X",0,-$O340)),2),0)</f>
        <v>0</v>
      </c>
      <c r="AS340" s="132">
        <f>IF(AND($B340=" ",$K340=AS$3),$O340,0)</f>
        <v>0</v>
      </c>
      <c r="AT340" s="133">
        <f>IF(AND($B340=" ",$K340=AT$3),$O340,0)</f>
        <v>0</v>
      </c>
      <c r="AU340" s="133">
        <f>IF(AND($B340=" ",$K340=AU$3),$O340,0)</f>
        <v>0</v>
      </c>
      <c r="AV340" s="133">
        <f>IF(AND($B340=" ",$K340=AV$3),$O340,0)</f>
        <v>0</v>
      </c>
      <c r="AW340" s="133">
        <f>IF(AND($B340=" ",$K340=AW$3),$O340,0)</f>
        <v>0</v>
      </c>
      <c r="AX340" s="133">
        <f>IF(AND($B340=" ",$K340=AX$3),$O340,0)</f>
        <v>0</v>
      </c>
      <c r="AY340" s="135">
        <f>IF(AND($B340=" ",$K340=AY$3),$O340,0)</f>
        <v>0</v>
      </c>
      <c r="AZ340" s="136">
        <f>IF(AND($B340=" ",$K340=AZ$3),$O340,0)</f>
        <v>0</v>
      </c>
      <c r="BA340" s="136">
        <f>IF(AND($B340=" ",$K340=BA$3),$O340,0)</f>
        <v>0</v>
      </c>
      <c r="BB340" s="136">
        <f>IF(AND($B340=" ",$K340=BB$3),$O340,0)</f>
        <v>0</v>
      </c>
      <c r="BC340" s="137">
        <f>IF(AND($B340=" ",$K340=BC$3),$O340,0)</f>
        <v>0</v>
      </c>
      <c r="BD340" s="133">
        <f>IF(AND($B340=" ",$K340=BD$3),$O340,0)</f>
        <v>0</v>
      </c>
      <c r="BE340" s="134">
        <f>IF(AND($B340=" ",$K340=BE$3),$O340,0)</f>
        <v>0</v>
      </c>
      <c r="BF340" s="132">
        <f>IF($K340=BF$3,IF($C340="X",0,$O340),0)</f>
        <v>0</v>
      </c>
      <c r="BG340" s="133">
        <f>IF($K340=BG$3,IF($C340="X",0,$O340),0)</f>
        <v>0</v>
      </c>
      <c r="BH340" s="133">
        <f>IF($K340=BH$3,IF($C340="X",0,$O340),0)</f>
        <v>0</v>
      </c>
      <c r="BI340" s="133">
        <f>IF($K340=BI$3,IF($C340="X",0,$O340),0)</f>
        <v>15.61</v>
      </c>
      <c r="BJ340" s="133">
        <f>IF($K340=BJ$3,IF($C340="X",0,$O340),0)</f>
        <v>0</v>
      </c>
      <c r="BK340" s="133">
        <f>IF($K340=BK$3,IF($C340="X",0,$O340),0)</f>
        <v>0</v>
      </c>
      <c r="BL340" s="133">
        <f>IF($K340=BL$3,IF($C340="X",0,$O340),0)</f>
        <v>0</v>
      </c>
      <c r="BM340" s="135">
        <f>IF($K340=BM$3,IF($C340="X",0,$O340),0)</f>
        <v>0</v>
      </c>
      <c r="BN340" s="136">
        <f>IF($K340=BN$3,IF($C340="X",0,$O340),0)</f>
        <v>0</v>
      </c>
      <c r="BO340" s="136">
        <f>IF($K340=BO$3,IF($C340="X",0,$O340),0)</f>
        <v>0</v>
      </c>
      <c r="BP340" s="136">
        <f>IF($K340=BP$3,IF($C340="X",0,$O340),0)</f>
        <v>0</v>
      </c>
      <c r="BQ340" s="137">
        <f>IF($K340=BQ$3,IF($C340="X",0,$O340),0)</f>
        <v>0</v>
      </c>
      <c r="BR340" s="134">
        <f>IF($K340=BR$3,IF($C340="X",0,$O340),0)</f>
        <v>0</v>
      </c>
      <c r="BS340" s="170">
        <f>IF($B340="LOSS",IF(AND($K340=BS$3,$C340="L"),-$O340,0)+IF(AND($K341=BS$3,$C341="L"),-$O341,0)+IF(AND($K342=BS$3,$C342="L"),-$O342,0),IF(OR(AND($K340=BS$3,OR($C340="W",$C340="1/2W")),AND($K341=BS$3,OR($C341="W",$C341="1/2W")),AND($K342=BS$3,OR($C342="W",$C342="1/2W"))),$S340,0))</f>
        <v>0</v>
      </c>
      <c r="BT340" s="272">
        <f>IF($B340="LOSS",IF(AND($K340=BT$3,$C340="L"),-$O340,0)+IF(AND($K341=BT$3,$C341="L"),-$O341,0)+IF(AND($K341=BT$3,$C342="L"),-$O342,0),IF(OR(AND($K341=BT$3,OR($C340="W",$C340="1/2W")),AND($K341=BT$3,OR($C341="W",$C341="1/2W")),AND($K341=BT$3,OR($C342="W",$C342="1/2W"))),$S340,0))</f>
        <v>0</v>
      </c>
      <c r="BU340" s="136">
        <f>IF($B340="LOSS",IF(AND($K340=BU$3,$C340="L"),-$O340,0)+IF(AND($K341=BU$3,$C341="L"),-$O341,0)+IF(AND($K341=BU$3,$C342="L"),-$O342,0),IF(OR(AND($K341=BU$3,OR($C340="W",$C340="1/2W")),AND($K341=BU$3,OR($C341="W",$C341="1/2W")),AND($K341=BU$3,OR($C342="W",$C342="1/2W"))),$S340,0))</f>
        <v>0</v>
      </c>
      <c r="BV340" s="136">
        <f>IF($B340="LOSS",IF(AND($K340=BV$3,$C340="L"),-$O340,0)+IF(AND($K341=BV$3,$C341="L"),-$O341,0)+IF(AND($K342=BV$3,$C342="L"),-$O342,0),IF(OR(AND($K340=BV$3,OR($C340="W",$C340="1/2W")),AND($K341=BV$3,OR($C341="W",$C341="1/2W")),AND($K342=BV$3,OR($C342="W",$C342="1/2W"))),$S340,0))</f>
        <v>0</v>
      </c>
      <c r="BW340" s="136">
        <f>IF($B340="LOSS",IF(AND($K340=BW$3,$C340="L"),-$O340,0)+IF(AND($K341=BW$3,$C341="L"),-$O341,0)+IF(AND($K342=BW$3,$C342="L"),-$O342,0),IF(OR(AND($K340=BW$3,OR($C340="W",$C340="1/2W")),AND($K341=BW$3,OR($C341="W",$C341="1/2W")),AND($K342=BW$3,OR($C342="W",$C342="1/2W"))),$S340,0))</f>
        <v>0</v>
      </c>
      <c r="BX340" s="136">
        <f>IF($B340="LOSS",IF(AND($K340=BX$3,$C340="L"),-$O340,0)+IF(AND($K341=BX$3,$C341="L"),-$O341,0)+IF(AND($K342=BX$3,$C342="L"),-$O342,0),IF(OR(AND($K340=BX$3,OR($C340="W",$C340="1/2W")),AND($K341=BX$3,OR($C341="W",$C341="1/2W")),AND($K342=BX$3,OR($C342="W",$C342="1/2W"))),$S340,0))</f>
        <v>0</v>
      </c>
      <c r="BY340" s="136">
        <f>IF($B340="LOSS",IF(AND($K340=BY$3,$C340="L"),-$O340,0)+IF(AND($K341=BY$3,$C341="L"),-$O341,0)+IF(AND($K342=BY$3,$C342="L"),-$O342,0),IF(OR(AND($K340=BY$3,OR($C340="W",$C340="1/2W")),AND($K341=BY$3,OR($C341="W",$C341="1/2W")),AND($K342=BY$3,OR($C342="W",$C342="1/2W"))),$S340,0))</f>
        <v>0</v>
      </c>
      <c r="BZ340" s="136">
        <f>IF($B340="LOSS",IF(AND($K340=BZ$3,$C340="L"),-$O340,0)+IF(AND($K341=BZ$3,$C341="L"),-$O341,0)+IF(AND($K342=BZ$3,$C342="L"),-$O342,0),IF(OR(AND($K340=BZ$3,OR($C340="W",$C340="1/2W")),AND($K341=BZ$3,OR($C341="W",$C341="1/2W")),AND($K342=BZ$3,OR($C342="W",$C342="1/2W"))),$S340,0))</f>
        <v>0</v>
      </c>
      <c r="CA340" s="136">
        <f>IF($B340="LOSS",IF(AND($K340=CA$3,$C340="L"),-$O340,0)+IF(AND($K341=CA$3,$C341="L"),-$O341,0)+IF(AND($K342=CA$3,$C342="L"),-$O342,0),IF(OR(AND($K340=CA$3,OR($C340="W",$C340="1/2W")),AND($K341=CA$3,OR($C341="W",$C341="1/2W")),AND($K342=CA$3,OR($C342="W",$C342="1/2W"))),$S340,0))</f>
        <v>0</v>
      </c>
      <c r="CB340" s="136">
        <f>IF($B340="LOSS",IF(AND($K340=CB$3,$C340="L"),-$O340,0)+IF(AND($K341=CB$3,$C341="L"),-$O341,0)+IF(AND($K342=CB$3,$C342="L"),-$O342,0),IF(OR(AND($K340=CB$3,OR($C340="W",$C340="1/2W")),AND($K341=CB$3,OR($C341="W",$C341="1/2W")),AND($K342=CB$3,OR($C342="W",$C342="1/2W"))),$S340,0))</f>
        <v>0</v>
      </c>
      <c r="CC340" s="136">
        <f>IF($B340="LOSS",IF(AND($K340=CC$3,$C340="L"),-$O340,0)+IF(AND($K341=CC$3,$C341="L"),-$O341,0)+IF(AND($K342=CC$3,$C342="L"),-$O342,0),IF(OR(AND($K340=CC$3,OR($C340="W",$C340="1/2W")),AND($K341=CC$3,OR($C341="W",$C341="1/2W")),AND($K342=CC$3,OR($C342="W",$C342="1/2W"))),$S340,0))</f>
        <v>0</v>
      </c>
      <c r="CD340" s="137">
        <f>IF($B340="LOSS",IF(AND($K340=CD$3,$C340="L"),-$O340,0)+IF(AND($K341=CD$3,$C341="L"),-$O341,0)+IF(AND($K342=CD$3,$C342="L"),-$O342,0),IF(OR(AND($K340=CD$3,OR($C340="W",$C340="1/2W")),AND($K341=CD$3,OR($C341="W",$C341="1/2W")),AND($K342=CD$3,OR($C342="W",$C342="1/2W"))),$S340,0))</f>
        <v>26.51</v>
      </c>
      <c r="CE340" s="134">
        <f>IF($B340="LOSS",IF(AND($K340=CE$3,$C340="L"),-$O340,0)+IF(AND($K341=CE$3,$C341="L"),-$O341,0)+IF(AND($K342=CE$3,$C342="L"),-$O342,0),IF(OR(AND($K340=CE$3,OR($C340="W",$C340="1/2W")),AND($K341=CE$3,OR($C341="W",$C341="1/2W")),AND($K342=CE$3,OR($C342="W",$C342="1/2W"))),$S340,0))</f>
        <v>0</v>
      </c>
      <c r="CF340" s="273">
        <f>IF(CF$3=$K340,IF($C340="W",1,IF($C340="1/2W",0.5,0)),0)</f>
        <v>0</v>
      </c>
      <c r="CG340" s="274">
        <f>IF(CF$3=$K340,IF($C340="L",1,IF($C340="1/2L",0.5,0)),0)</f>
        <v>0</v>
      </c>
      <c r="CH340" s="274">
        <f>IF(CH$3=$K340,IF($C340="W",1,IF($C340="1/2W",0.5,0)),0)</f>
        <v>0</v>
      </c>
      <c r="CI340" s="274">
        <f>IF(CH$3=$K340,IF($C340="L",1,IF($C340="1/2L",0.5,0)),0)</f>
        <v>0</v>
      </c>
      <c r="CJ340" s="274">
        <f>IF(CJ$3=$K340,IF($C340="W",1,IF($C340="1/2W",0.5,0)),0)</f>
        <v>0</v>
      </c>
      <c r="CK340" s="274">
        <f>IF(CJ$3=$K340,IF($C340="L",1,IF($C340="1/2L",0.5,0)),0)</f>
        <v>0</v>
      </c>
      <c r="CL340" s="274">
        <f>IF(CL$3=$K340,IF($C340="W",1,IF($C340="1/2W",0.5,0)),0)</f>
        <v>0</v>
      </c>
      <c r="CM340" s="274">
        <f>IF(CL$3=$K340,IF($C340="L",1,IF($C340="1/2L",0.5,0)),0)</f>
        <v>1</v>
      </c>
      <c r="CN340" s="274">
        <f>IF(CN$3=$K340,IF($C340="W",1,IF($C340="1/2W",0.5,0)),0)</f>
        <v>0</v>
      </c>
      <c r="CO340" s="274">
        <f>IF(CN$3=$K340,IF($C340="L",1,IF($C340="1/2L",0.5,0)),0)</f>
        <v>0</v>
      </c>
      <c r="CP340" s="274">
        <f>IF(CP$3=$K340,IF($C340="W",1,IF($C340="1/2W",0.5,0)),0)</f>
        <v>0</v>
      </c>
      <c r="CQ340" s="274">
        <f>IF(CP$3=$K340,IF($C340="L",1,IF($C340="1/2L",0.5,0)),0)</f>
        <v>0</v>
      </c>
      <c r="CR340" s="274">
        <f>IF(CR$3=$K340,IF($C340="W",1,IF($C340="1/2W",0.5,0)),0)</f>
        <v>0</v>
      </c>
      <c r="CS340" s="274">
        <f>IF(CR$3=$K340,IF($C340="L",1,IF($C340="1/2L",0.5,0)),0)</f>
        <v>0</v>
      </c>
      <c r="CT340" s="145">
        <f>IF(CT$3=$K340,IF($C340="W",1,IF($C340="1/2W",0.5,0)),0)</f>
        <v>0</v>
      </c>
      <c r="CU340" s="146">
        <f>IF(CT$3=$K340,IF($C340="L",1,IF($C340="1/2L",0.5,0)),0)</f>
        <v>0</v>
      </c>
      <c r="CV340" s="146">
        <f>IF(CV$3=$K340,IF($C340="W",1,IF($C340="1/2W",0.5,0)),0)</f>
        <v>0</v>
      </c>
      <c r="CW340" s="146">
        <f>IF(CV$3=$K340,IF($C340="L",1,IF($C340="1/2L",0.5,0)),0)</f>
        <v>0</v>
      </c>
      <c r="CX340" s="146">
        <f>IF(CX$3=$K340,IF($C340="W",1,IF($C340="1/2W",0.5,0)),0)</f>
        <v>0</v>
      </c>
      <c r="CY340" s="146">
        <f>IF(CX$3=$K340,IF($C340="L",1,IF($C340="1/2L",0.5,0)),0)</f>
        <v>0</v>
      </c>
      <c r="CZ340" s="146">
        <f>IF(CZ$3=$K340,IF($C340="W",1,IF($C340="1/2W",0.5,0)),0)</f>
        <v>0</v>
      </c>
      <c r="DA340" s="146">
        <f>IF(CZ$3=$K340,IF($C340="L",1,IF($C340="1/2L",0.5,0)),0)</f>
        <v>0</v>
      </c>
      <c r="DB340" s="146">
        <f>IF(DB$3=$K340,IF($C340="W",1,IF($C340="1/2W",0.5,0)),0)</f>
        <v>0</v>
      </c>
      <c r="DC340" s="146">
        <f>IF(DB$3=$K340,IF($C340="L",1,IF($C340="1/2L",0.5,0)),0)</f>
        <v>0</v>
      </c>
      <c r="DD340" s="146">
        <f>IF(DD$3=$K340,IF($C340="W",1,IF($C340="1/2W",0.5,0)),0)</f>
        <v>0</v>
      </c>
      <c r="DE340" s="147">
        <f>IF(DD$3=$K340,IF($C340="L",1,IF($C340="1/2L",0.5,0)),0)</f>
        <v>0</v>
      </c>
      <c r="DF340" s="143">
        <f>IF(AND(L340&lt;DF$3,$C340="W"),1+DF339,DF339)</f>
        <v>12</v>
      </c>
      <c r="DG340" s="133">
        <f>IF(DF340&gt;DF339,L340+DG339,DG339)</f>
        <v>15.718</v>
      </c>
      <c r="DH340" s="146">
        <f>IF(AND(L340&gt;DH$3,$C340="W"),1+DH339,0+DH339)</f>
        <v>7</v>
      </c>
      <c r="DI340" s="133">
        <f>IF(DH340&gt;DH339,L340+DI339,DI339)</f>
        <v>34.83</v>
      </c>
      <c r="DJ340" t="s" s="304">
        <f>IF($D340="","",$D340)</f>
        <v>272</v>
      </c>
      <c r="DK340" s="146">
        <f>IF(AND($B340=" ",$D340&lt;&gt;""),1,0)</f>
        <v>0</v>
      </c>
    </row>
    <row r="341" ht="14.55" customHeight="1">
      <c r="A341" s="107"/>
      <c r="B341" s="108"/>
      <c r="C341" t="s" s="109">
        <v>56</v>
      </c>
      <c r="D341" s="110"/>
      <c r="E341" s="111"/>
      <c r="F341" s="113"/>
      <c r="G341" s="252"/>
      <c r="H341" s="114"/>
      <c r="I341" s="340"/>
      <c r="J341" t="s" s="295">
        <f>IF(OR(I340="TO",I340="TU",I340="TO1",I340="TU1",I340="TO2",I340="TU2"),J340,IF(OR(I340="AH1",I340="AH2"),IF(OR(I341="AH1",I341="AH2"),-J340,IF(OR(I341="EH1",I341="EH2"),-J340+0.5,"")),IF(OR(I340="EH1",I340="EH2"),IF(OR(I341="AH1",I341="AH2"),-J340+0.5,IF(OR(I341="EH1",I341="EH2"),-J340+1,"")),IF(AND(OR(I340="DNB1",I340="DNB2"),OR(I341="AH1",I341="AH2")),0,IF(AND(I340="Not ScoreBoth",OR(I341="TO1",I341="TO2")),0.5,"")))))</f>
      </c>
      <c r="K341" t="s" s="117">
        <v>48</v>
      </c>
      <c r="L341" s="277">
        <v>2</v>
      </c>
      <c r="M341" s="278">
        <f>1110.64-1062.59</f>
        <v>48.05</v>
      </c>
      <c r="N341" s="120"/>
      <c r="O341" s="121">
        <f>IF(OR(AE340="",AE341=""),"",ROUND(IF(L342&gt;0,IF(M341&gt;0,M341,IF(M340&gt;0,IF(N340=TRUE,ROUND((M340*AE341)/AE340,0),(M340*AE341)/AE340),IF(M341&gt;0,ROUND(M341,IF(N340=0,2,IF(N340=0.1,1,0))),IF(M342&gt;0,ROUND(O342*AE341/AE342,IF(N340=0,2,IF(N340=0.1,1,0))),0)))),IF(M341&gt;0,M341,ROUND((M340*AE341)/AE340,IF(N340=0,2,IF(N340=0.1,1,0))))),2))</f>
        <v>48.05</v>
      </c>
      <c r="P341" s="122">
        <f>IF(OR(L341="",O341=""),"",IF($C341="1/2W",O341/2+O341/2*L341,IF($C341="1/2L",O341/2,IF(I341="Lay",((O341*(L341/(L341-1)))-O341)*(1-_xlfn.XLOOKUP(K341,'Janeiro 2023 - Valor Real'!A3:A15,'Janeiro 2023 - Valor Real'!C3:C15,0))+O341,(O341*L341-O341)*(1-_xlfn.XLOOKUP(K341,'Janeiro 2023 - Valor Real'!A3:A15,'Janeiro 2023 - Valor Real'!C3:C15,0))+O341))))</f>
        <v>96.09999999999999</v>
      </c>
      <c r="Q341" s="279">
        <f>IF(K341="","",IF(_xlfn.XLOOKUP(K341,K120:K$120,DJ120:DJ$120,0,,-1)=DJ341,_xlfn.XLOOKUP(K341,K120:K$120,Q120:Q$120,1,,-1)+1,1))</f>
        <v>1</v>
      </c>
      <c r="R341" s="280">
        <f>IF(K341="","",_xlfn.XLOOKUP(K341,K120:K$120,R120:R$120,0,,-1)+IF($C341=" ",1,0))</f>
        <v>0</v>
      </c>
      <c r="S341" s="125"/>
      <c r="T341" s="126"/>
      <c r="U341" s="126"/>
      <c r="V341" s="224"/>
      <c r="W341" s="126"/>
      <c r="X341" s="127"/>
      <c r="Y341" s="128"/>
      <c r="Z341" s="129"/>
      <c r="AA341" s="129"/>
      <c r="AB341" s="129"/>
      <c r="AC341" s="129"/>
      <c r="AD341" s="130"/>
      <c r="AE341" s="131">
        <f>IF(L341="","",IF(L342&gt;0,(SUM(((L340-1)*(1-_xlfn.XLOOKUP(K340,'Janeiro 2023 - Valor Real'!A3:A15,'Janeiro 2023 - Valor Real'!C3:C15,0))+1),((L341-1)*(1-_xlfn.XLOOKUP(K341,'Janeiro 2023 - Valor Real'!A3:A15,'Janeiro 2023 - Valor Real'!C3:C15,0))+1),((L342-1)*(1-_xlfn.XLOOKUP(K342,'Janeiro 2023 - Valor Real'!A3:A15,'Janeiro 2023 - Valor Real'!C3:C15,0))+1))/((L341-1)*(1-_xlfn.XLOOKUP(K341,'Janeiro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Real'!C3:C15,0))+1))/((L340-1)*(1-_xlfn.XLOOKUP(K340,'Janeiro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Real'!C3:C15,0))+1))/((L341-1)*(1-_xlfn.XLOOKUP(K341,'Janeiro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Real'!C3:C15,0))+1))/((L342-1)*(1-_xlfn.XLOOKUP(K342,'Janeiro 2023 - Valor Real'!A3:A15,'Janeiro 2023 - Valor Real'!C3:C15,0))+1)),IF(I341="Lay",IF(I340="Lay",((L340/(L340-1)-1)*(1-_xlfn.XLOOKUP(K340,'Janeiro 2023 - Valor Real'!A3:A15,'Janeiro 2023 - Valor Real'!C3:C15,0))+1)/(((L340/(L340-1)-1)*(1-_xlfn.XLOOKUP(K340,'Janeiro 2023 - Valor Real'!A3:A15,'Janeiro 2023 - Valor Real'!C3:C15,0))+1)+((L341/(L341-1)-1)*(1-_xlfn.XLOOKUP(K341,'Janeiro 2023 - Valor Real'!A3:A15,'Janeiro 2023 - Valor Real'!C3:C15,0))+1)),((L340-1)*(1-_xlfn.XLOOKUP(K340,'Janeiro 2023 - Valor Real'!A3:A15,'Janeiro 2023 - Valor Real'!C3:C15,0))+1)/(((L340-1)*(1-_xlfn.XLOOKUP(K340,'Janeiro 2023 - Valor Real'!A3:A15,'Janeiro 2023 - Valor Real'!C3:C15,0))+1)+((L341/(L341-1)-1)*(1-_xlfn.XLOOKUP(K341,'Janeiro 2023 - Valor Real'!A3:A15,'Janeiro 2023 - Valor Real'!C3:C15,0))+1))),IF(I340="Lay",((L340/(L340-1)-1)*(1-_xlfn.XLOOKUP(K340,'Janeiro 2023 - Valor Real'!A3:A15,'Janeiro 2023 - Valor Real'!C3:C15,0))+1)/((((L340/(L340-1)-1)*(1-_xlfn.XLOOKUP(K340,'Janeiro 2023 - Valor Real'!A3:A15,'Janeiro 2023 - Valor Real'!C3:C15,0))+1))+((L341-1)*(1-_xlfn.XLOOKUP(K341,'Janeiro 2023 - Valor Real'!A3:A15,'Janeiro 2023 - Valor Real'!C3:C15,0))+1)),((L340-1)*(1-_xlfn.XLOOKUP(K340,'Janeiro 2023 - Valor Real'!A3:A15,'Janeiro 2023 - Valor Real'!C3:C15,0))+1)/(((L340-1)*(1-_xlfn.XLOOKUP(K340,'Janeiro 2023 - Valor Real'!A3:A15,'Janeiro 2023 - Valor Real'!C3:C15,0))+1)+((L341-1)*(1-_xlfn.XLOOKUP(K341,'Janeiro 2023 - Valor Real'!A3:A15,'Janeiro 2023 - Valor Real'!C3:C15,0))+1))))))</f>
        <v>0.333333333333333</v>
      </c>
      <c r="AF341" s="132">
        <f>IF($K341=AF$3,ROUND(IF(OR($C341="W",$C341="1/2W",$C341="1/2L"),$P341-$O341,IF($C341="X",0,-$O341)),2),0)</f>
        <v>0</v>
      </c>
      <c r="AG341" s="133">
        <f>IF($K341=AG$3,ROUND(IF(OR($C341="W",$C341="1/2W",$C341="1/2L"),$P341-$O341,IF($C341="X",0,-$O341)),2),0)</f>
        <v>0</v>
      </c>
      <c r="AH341" s="133">
        <f>IF($K341=AH$3,ROUND(IF(OR($C341="W",$C341="1/2W",$C341="1/2L"),$P341-$O341,IF($C341="X",0,-$O341)),2),0)</f>
        <v>0</v>
      </c>
      <c r="AI341" s="133">
        <f>IF($K341=AI$3,ROUND(IF(OR($C341="W",$C341="1/2W",$C341="1/2L"),$P341-$O341,IF($C341="X",0,-$O341)),2),0)</f>
        <v>0</v>
      </c>
      <c r="AJ341" s="133">
        <f>IF($K341=AJ$3,ROUND(IF(OR($C341="W",$C341="1/2W",$C341="1/2L"),$P341-$O341,IF($C341="X",0,-$O341)),2),0)</f>
        <v>0</v>
      </c>
      <c r="AK341" s="133">
        <f>IF($K341=AK$3,ROUND(IF(OR($C341="W",$C341="1/2W",$C341="1/2L"),$P341-$O341,IF($C341="X",0,-$O341)),2),0)</f>
        <v>0</v>
      </c>
      <c r="AL341" s="133">
        <f>IF($K341=AL$3,ROUND(IF(OR($C341="W",$C341="1/2W",$C341="1/2L"),$P341-$O341,IF($C341="X",0,-$O341)),2),0)</f>
        <v>0</v>
      </c>
      <c r="AM341" s="133">
        <f>IF($K341=AM$3,ROUND(IF(OR($C341="W",$C341="1/2W",$C341="1/2L"),$P341-$O341,IF($C341="X",0,-$O341)),2),0)</f>
        <v>0</v>
      </c>
      <c r="AN341" s="133">
        <f>IF($K341=AN$3,ROUND(IF(OR($C341="W",$C341="1/2W",$C341="1/2L"),$P341-$O341,IF($C341="X",0,-$O341)),2),0)</f>
        <v>0</v>
      </c>
      <c r="AO341" s="133">
        <f>IF($K341=AO$3,ROUND(IF(OR($C341="W",$C341="1/2W",$C341="1/2L"),$P341-$O341,IF($C341="X",0,-$O341)),2),0)</f>
        <v>0</v>
      </c>
      <c r="AP341" s="133">
        <f>IF($K341=AP$3,ROUND(IF(OR($C341="W",$C341="1/2W",$C341="1/2L"),$P341-$O341,IF($C341="X",0,-$O341)),2),0)</f>
        <v>0</v>
      </c>
      <c r="AQ341" s="133">
        <f>IF($K341=AQ$3,ROUND(IF(OR($C341="W",$C341="1/2W",$C341="1/2L"),$P341-$O341,IF($C341="X",0,-$O341)),2),0)</f>
        <v>48.05</v>
      </c>
      <c r="AR341" s="134">
        <f>IF($K341=AR$3,ROUND(IF(OR($C341="W",$C341="1/2W",$C341="1/2L"),$P341-$O341,IF($C341="X",0,-$O341)),2),0)</f>
        <v>0</v>
      </c>
      <c r="AS341" s="132">
        <f>IF(AND($B340=" ",$K341=AS$3),$O341,0)</f>
        <v>0</v>
      </c>
      <c r="AT341" s="133">
        <f>IF(AND($B340=" ",K341=AT$3),$O341,0)</f>
        <v>0</v>
      </c>
      <c r="AU341" s="133">
        <f>IF(AND($B340=" ",$K341=AU$3),$O341,0)</f>
        <v>0</v>
      </c>
      <c r="AV341" s="133">
        <f>IF(AND($B340=" ",$K341=AV$3),$O341,0)</f>
        <v>0</v>
      </c>
      <c r="AW341" s="133">
        <f>IF(AND($B340=" ",$K341=AW$3),$O341,0)</f>
        <v>0</v>
      </c>
      <c r="AX341" s="133">
        <f>IF(AND($B340=" ",$K341=AX$3),$O341,0)</f>
        <v>0</v>
      </c>
      <c r="AY341" s="135">
        <f>IF(AND($B340=" ",$K341=AY$3),$O341,0)</f>
        <v>0</v>
      </c>
      <c r="AZ341" s="136">
        <f>IF(AND($B340=" ",$K341=AZ$3),$O341,0)</f>
        <v>0</v>
      </c>
      <c r="BA341" s="136">
        <f>IF(AND($B340=" ",$K341=BA$3),$O341,0)</f>
        <v>0</v>
      </c>
      <c r="BB341" s="136">
        <f>IF(AND($B340=" ",$K341=BB$3),$O341,0)</f>
        <v>0</v>
      </c>
      <c r="BC341" s="137">
        <f>IF(AND($B340=" ",$K341=BC$3),$O341,0)</f>
        <v>0</v>
      </c>
      <c r="BD341" s="133">
        <f>IF(AND($B340=" ",$K341=BD$3),$O341,0)</f>
        <v>0</v>
      </c>
      <c r="BE341" s="134">
        <f>IF(AND($B340=" ",$K341=BE$3),$O341,0)</f>
        <v>0</v>
      </c>
      <c r="BF341" s="132">
        <f>IF($K341=BF$3,IF($C341="X",0,$O341),0)</f>
        <v>0</v>
      </c>
      <c r="BG341" s="281">
        <f>IF($K341=BG$3,IF($C341="X",0,$O341),0)</f>
        <v>0</v>
      </c>
      <c r="BH341" s="133">
        <f>IF($K341=BH$3,IF($C341="X",0,$O341),0)</f>
        <v>0</v>
      </c>
      <c r="BI341" s="133">
        <f>IF($K341=BI$3,IF($C341="X",0,$O341),0)</f>
        <v>0</v>
      </c>
      <c r="BJ341" s="133">
        <f>IF($K341=BJ$3,IF($C341="X",0,$O341),0)</f>
        <v>0</v>
      </c>
      <c r="BK341" s="133">
        <f>IF($K341=BK$3,IF($C341="X",0,$O341),0)</f>
        <v>0</v>
      </c>
      <c r="BL341" s="133">
        <f>IF($K341=BL$3,IF($C341="X",0,$O341),0)</f>
        <v>0</v>
      </c>
      <c r="BM341" s="135">
        <f>IF($K341=BM$3,IF($C341="X",0,$O341),0)</f>
        <v>0</v>
      </c>
      <c r="BN341" s="136">
        <f>IF($K341=BN$3,IF($C341="X",0,$O341),0)</f>
        <v>0</v>
      </c>
      <c r="BO341" s="136">
        <f>IF($K341=BO$3,IF($C341="X",0,$O341),0)</f>
        <v>0</v>
      </c>
      <c r="BP341" s="136">
        <f>IF($K341=BP$3,IF($C341="X",0,$O341),0)</f>
        <v>0</v>
      </c>
      <c r="BQ341" s="137">
        <f>IF($K341=BQ$3,IF($C341="X",0,$O341),0)</f>
        <v>48.05</v>
      </c>
      <c r="BR341" s="134">
        <f>IF($K341=BR$3,IF($C341="X",0,$O341),0)</f>
        <v>0</v>
      </c>
      <c r="BS341" s="282"/>
      <c r="BT341" s="283"/>
      <c r="BU341" s="140"/>
      <c r="BV341" s="283"/>
      <c r="BW341" s="140"/>
      <c r="BX341" s="140"/>
      <c r="BY341" s="140"/>
      <c r="BZ341" s="283"/>
      <c r="CA341" s="140"/>
      <c r="CB341" s="140"/>
      <c r="CC341" s="140"/>
      <c r="CD341" s="141"/>
      <c r="CE341" s="142"/>
      <c r="CF341" s="284">
        <f>IF(CF$3=$K341,IF($C341="W",1,IF($C341="1/2W",0.5,0)),0)</f>
        <v>0</v>
      </c>
      <c r="CG341" s="285">
        <f>IF(CF$3=$K341,IF($C341="L",1,IF($C341="1/2L",0.5,0)),0)</f>
        <v>0</v>
      </c>
      <c r="CH341" s="285">
        <f>IF(CH$3=$K341,IF($C341="W",1,IF($C341="1/2W",0.5,0)),0)</f>
        <v>0</v>
      </c>
      <c r="CI341" s="285">
        <f>IF(CH$3=$K341,IF($C341="L",1,IF($C341="1/2L",0.5,0)),0)</f>
        <v>0</v>
      </c>
      <c r="CJ341" s="285">
        <f>IF(CJ$3=$K341,IF($C341="W",1,IF($C341="1/2W",0.5,0)),0)</f>
        <v>0</v>
      </c>
      <c r="CK341" s="285">
        <f>IF(CJ$3=$K341,IF($C341="L",1,IF($C341="1/2L",0.5,0)),0)</f>
        <v>0</v>
      </c>
      <c r="CL341" s="285">
        <f>IF(CL$3=$K341,IF($C341="W",1,IF($C341="1/2W",0.5,0)),0)</f>
        <v>0</v>
      </c>
      <c r="CM341" s="285">
        <f>IF(CL$3=$K341,IF($C341="L",1,IF($C341="1/2L",0.5,0)),0)</f>
        <v>0</v>
      </c>
      <c r="CN341" s="285">
        <f>IF(CN$3=$K341,IF($C341="W",1,IF($C341="1/2W",0.5,0)),0)</f>
        <v>0</v>
      </c>
      <c r="CO341" s="285">
        <f>IF(CN$3=$K341,IF($C341="L",1,IF($C341="1/2L",0.5,0)),0)</f>
        <v>0</v>
      </c>
      <c r="CP341" s="285">
        <f>IF(CP$3=$K341,IF($C341="W",1,IF($C341="1/2W",0.5,0)),0)</f>
        <v>0</v>
      </c>
      <c r="CQ341" s="285">
        <f>IF(CP$3=$K341,IF($C341="L",1,IF($C341="1/2L",0.5,0)),0)</f>
        <v>0</v>
      </c>
      <c r="CR341" s="285">
        <f>IF(CR$3=$K341,IF($C341="W",1,IF($C341="1/2W",0.5,0)),0)</f>
        <v>0</v>
      </c>
      <c r="CS341" s="285">
        <f>IF(CR$3=$K341,IF($C341="L",1,IF($C341="1/2L",0.5,0)),0)</f>
        <v>0</v>
      </c>
      <c r="CT341" s="145">
        <f>IF(CT$3=$K341,IF($C341="W",1,IF($C341="1/2W",0.5,0)),0)</f>
        <v>0</v>
      </c>
      <c r="CU341" s="146">
        <f>IF(CT$3=$K341,IF($C341="L",1,IF($C341="1/2L",0.5,0)),0)</f>
        <v>0</v>
      </c>
      <c r="CV341" s="146">
        <f>IF(CV$3=$K341,IF($C341="W",1,IF($C341="1/2W",0.5,0)),0)</f>
        <v>0</v>
      </c>
      <c r="CW341" s="146">
        <f>IF(CV$3=$K341,IF($C341="L",1,IF($C341="1/2L",0.5,0)),0)</f>
        <v>0</v>
      </c>
      <c r="CX341" s="146">
        <f>IF(CX$3=$K341,IF($C341="W",1,IF($C341="1/2W",0.5,0)),0)</f>
        <v>0</v>
      </c>
      <c r="CY341" s="146">
        <f>IF(CX$3=$K341,IF($C341="L",1,IF($C341="1/2L",0.5,0)),0)</f>
        <v>0</v>
      </c>
      <c r="CZ341" s="146">
        <f>IF(CZ$3=$K341,IF($C341="W",1,IF($C341="1/2W",0.5,0)),0)</f>
        <v>0</v>
      </c>
      <c r="DA341" s="146">
        <f>IF(CZ$3=$K341,IF($C341="L",1,IF($C341="1/2L",0.5,0)),0)</f>
        <v>0</v>
      </c>
      <c r="DB341" s="146">
        <f>IF(DB$3=$K341,IF($C341="W",1,IF($C341="1/2W",0.5,0)),0)</f>
        <v>1</v>
      </c>
      <c r="DC341" s="146">
        <f>IF(DB$3=$K341,IF($C341="L",1,IF($C341="1/2L",0.5,0)),0)</f>
        <v>0</v>
      </c>
      <c r="DD341" s="146">
        <f>IF(DD$3=$K341,IF($C341="W",1,IF($C341="1/2W",0.5,0)),0)</f>
        <v>0</v>
      </c>
      <c r="DE341" s="147">
        <f>IF(DD$3=$K341,IF($C341="L",1,IF($C341="1/2L",0.5,0)),0)</f>
        <v>0</v>
      </c>
      <c r="DF341" s="143">
        <f>IF(AND(L341&lt;DF$3,$C341="W"),1+DF340,DF340)</f>
        <v>12</v>
      </c>
      <c r="DG341" s="133">
        <f>IF(DF341&gt;DF340,L341+DG340,DG340)</f>
        <v>15.718</v>
      </c>
      <c r="DH341" s="146">
        <f>IF(AND(L341&gt;DH$3,$C341="W"),1+DH340,0+DH340)</f>
        <v>7</v>
      </c>
      <c r="DI341" s="133">
        <f>IF(DH341&gt;DH340,L341+DI340,DI340)</f>
        <v>34.83</v>
      </c>
      <c r="DJ341" t="s" s="304">
        <f>IF($D340="","",$D340)</f>
        <v>272</v>
      </c>
      <c r="DK341" s="286"/>
    </row>
    <row r="342" ht="14.55" customHeight="1">
      <c r="A342" s="149"/>
      <c r="B342" s="150"/>
      <c r="C342" t="s" s="151">
        <v>51</v>
      </c>
      <c r="D342" s="152"/>
      <c r="E342" s="153"/>
      <c r="F342" s="155"/>
      <c r="G342" s="252"/>
      <c r="H342" s="156"/>
      <c r="I342" s="287"/>
      <c r="J342" s="288"/>
      <c r="K342" t="s" s="341">
        <v>37</v>
      </c>
      <c r="L342" s="342">
        <v>2</v>
      </c>
      <c r="M342" s="290">
        <f>1003.7-997.77</f>
        <v>5.93</v>
      </c>
      <c r="N342" s="161"/>
      <c r="O342" s="343">
        <f>IF(OR(AE340="",AE341=""),"",IF(L342&gt;0,ROUND(IF(M342&gt;0,M342,IF(M340&gt;0,ROUND((M340*AE342)/AE340,IF(N340=0,2,IF(N340=0.1,1,0))),IF(M341&gt;0,ROUND((M341*AE342)/AE341,IF(N340=0,2,IF(N340=0.1,1,0))),IF(M342&gt;0,M342,0)))),2),""))</f>
        <v>5.93</v>
      </c>
      <c r="P342" s="297">
        <f>IF(I341="Lay",O341*(L341/(L341-1))-O341,IF(I340="Lay",O340*(L340/(L340-1))-O340,IF(OR(L342="",O342=""),"",IF($C342="1/2W",O342/2+O342/2*L342,IF($C342="1/2L",O342/2,(O342*L342-O342)*(1-_xlfn.XLOOKUP(K342,'Janeiro 2023 - Valor Real'!A3:A15,'Janeiro 2023 - Valor Real'!C3:C15,0))+O342)))))</f>
        <v>11.86</v>
      </c>
      <c r="Q342" s="344">
        <f>IF(K342="","",IF(_xlfn.XLOOKUP(K342,K121:K$121,DJ121:DJ$121,0,,-1)=DJ342,_xlfn.XLOOKUP(K342,K121:K$121,Q121:Q$121,1,,-1)+1,1))</f>
        <v>1</v>
      </c>
      <c r="R342" s="345">
        <f>IF(K342="","",_xlfn.XLOOKUP(K342,K121:K$121,R121:R$121,0,,-1)+IF($C342=" ",1,0))</f>
        <v>0</v>
      </c>
      <c r="S342" s="166"/>
      <c r="T342" s="155"/>
      <c r="U342" s="155"/>
      <c r="V342" s="166"/>
      <c r="W342" s="155"/>
      <c r="X342" s="167"/>
      <c r="Y342" s="128"/>
      <c r="Z342" s="129"/>
      <c r="AA342" s="129"/>
      <c r="AB342" s="129"/>
      <c r="AC342" s="129"/>
      <c r="AD342" s="168"/>
      <c r="AE342" s="346">
        <f>IF(L342="","",(SUM(((L340-1)*(1-_xlfn.XLOOKUP(K340,'Janeiro 2023 - Valor Real'!A3:A15,'Janeiro 2023 - Valor Real'!C3:C15,0))+1),((L341-1)*(1-_xlfn.XLOOKUP(K341,'Janeiro 2023 - Valor Real'!A3:A15,'Janeiro 2023 - Valor Real'!C3:C15,0))+1),((L342-1)*(1-_xlfn.XLOOKUP(K342,'Janeiro 2023 - Valor Real'!A3:A15,'Janeiro 2023 - Valor Real'!C3:C15,0))+1))/((L342-1)*(1-_xlfn.XLOOKUP(K342,'Janeiro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Real'!C3:C15,0))+1))/((L340-1)*(1-_xlfn.XLOOKUP(K340,'Janeiro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Real'!C3:C15,0))+1))/((L341-1)*(1-_xlfn.XLOOKUP(K341,'Janeiro 2023 - Valor Real'!A3:A15,'Janeiro 2023 - Valor Real'!C3:C15,0))+1)+SUM(((L340-1)*(1-_xlfn.XLOOKUP(K340,'Janeiro 2023 - Valor Real'!A3:A15,'Janeiro 2023 - Valor Real'!C3:C15,0))+1),((L341-1)*(1-_xlfn.XLOOKUP(K341,'Janeiro 2023 - Valor Real'!A3:A15,'Janeiro 2023 - Valor Real'!C3:C15,0))+1),((L342-1)*(1-_xlfn.XLOOKUP(K342,'Janeiro 2023 - Valor Real'!A3:A15,'Janeiro 2023 - Valor Real'!C3:C15,0))+1))/((L342-1)*(1-_xlfn.XLOOKUP(K342,'Janeiro 2023 - Valor Real'!A3:A15,'Janeiro 2023 - Valor Real'!C3:C15,0))+1)))</f>
        <v>0.333333333333333</v>
      </c>
      <c r="AF342" s="132">
        <f>IF($K342=AF$3,ROUND(IF(OR($C342="W",$C342="1/2W",$C342="1/2L"),$P342-$O342,IF($C342="X",0,-$O342)),2),0)</f>
        <v>-5.93</v>
      </c>
      <c r="AG342" s="133">
        <f>IF($K342=AG$3,ROUND(IF(OR($C342="W",$C342="1/2W",$C342="1/2L"),$P342-$O342,IF($C342="X",0,-$O342)),2),0)</f>
        <v>0</v>
      </c>
      <c r="AH342" s="133">
        <f>IF($K342=AH$3,ROUND(IF(OR($C342="W",$C342="1/2W",$C342="1/2L"),$P342-$O342,IF($C342="X",0,-$O342)),2),0)</f>
        <v>0</v>
      </c>
      <c r="AI342" s="133">
        <f>IF($K342=AI$3,ROUND(IF(OR($C342="W",$C342="1/2W",$C342="1/2L"),$P342-$O342,IF($C342="X",0,-$O342)),2),0)</f>
        <v>0</v>
      </c>
      <c r="AJ342" s="133">
        <f>IF($K342=AJ$3,ROUND(IF(OR($C342="W",$C342="1/2W",$C342="1/2L"),$P342-$O342,IF($C342="X",0,-$O342)),2),0)</f>
        <v>0</v>
      </c>
      <c r="AK342" s="133">
        <f>IF($K342=AK$3,ROUND(IF(OR($C342="W",$C342="1/2W",$C342="1/2L"),$P342-$O342,IF($C342="X",0,-$O342)),2),0)</f>
        <v>0</v>
      </c>
      <c r="AL342" s="133">
        <f>IF($K342=AL$3,ROUND(IF(OR($C342="W",$C342="1/2W",$C342="1/2L"),$P342-$O342,IF($C342="X",0,-$O342)),2),0)</f>
        <v>0</v>
      </c>
      <c r="AM342" s="133">
        <f>IF($K342=AM$3,ROUND(IF(OR($C342="W",$C342="1/2W",$C342="1/2L"),$P342-$O342,IF($C342="X",0,-$O342)),2),0)</f>
        <v>0</v>
      </c>
      <c r="AN342" s="133">
        <f>IF($K342=AN$3,ROUND(IF(OR($C342="W",$C342="1/2W",$C342="1/2L"),$P342-$O342,IF($C342="X",0,-$O342)),2),0)</f>
        <v>0</v>
      </c>
      <c r="AO342" s="133">
        <f>IF($K342=AO$3,ROUND(IF(OR($C342="W",$C342="1/2W",$C342="1/2L"),$P342-$O342,IF($C342="X",0,-$O342)),2),0)</f>
        <v>0</v>
      </c>
      <c r="AP342" s="133">
        <f>IF($K342=AP$3,ROUND(IF(OR($C342="W",$C342="1/2W",$C342="1/2L"),$P342-$O342,IF($C342="X",0,-$O342)),2),0)</f>
        <v>0</v>
      </c>
      <c r="AQ342" s="133">
        <f>IF($K342=AQ$3,ROUND(IF(OR($C342="W",$C342="1/2W",$C342="1/2L"),$P342-$O342,IF($C342="X",0,-$O342)),2),0)</f>
        <v>0</v>
      </c>
      <c r="AR342" s="134">
        <f>IF($K342=AR$3,ROUND(IF(OR($C342="W",$C342="1/2W",$C342="1/2L"),$P342-$O342,IF($C342="X",0,-$O342)),2),0)</f>
        <v>0</v>
      </c>
      <c r="AS342" s="132">
        <f>IF(AND($B340=" ",$K342=AS$3),$O342,0)</f>
        <v>0</v>
      </c>
      <c r="AT342" s="133">
        <f>IF(AND($B340=" ",K342=AT$3),$O342,0)</f>
        <v>0</v>
      </c>
      <c r="AU342" s="133">
        <f>IF(AND($B340=" ",$K342=AU$3),$O342,0)</f>
        <v>0</v>
      </c>
      <c r="AV342" s="133">
        <f>IF(AND($B340=" ",$K342=AV$3),$O342,0)</f>
        <v>0</v>
      </c>
      <c r="AW342" s="133">
        <f>IF(AND($B340=" ",$K342=AW$3),$O342,0)</f>
        <v>0</v>
      </c>
      <c r="AX342" s="133">
        <f>IF(AND($B340=" ",$K342=AX$3),$O342,0)</f>
        <v>0</v>
      </c>
      <c r="AY342" s="135">
        <f>IF(AND($B340=" ",$K342=AY$3),$O342,0)</f>
        <v>0</v>
      </c>
      <c r="AZ342" s="136">
        <f>IF(AND($B340=" ",$K342=AZ$3),$O342,0)</f>
        <v>0</v>
      </c>
      <c r="BA342" s="136">
        <f>IF(AND($B340=" ",$K342=BA$3),$O342,0)</f>
        <v>0</v>
      </c>
      <c r="BB342" s="136">
        <f>IF(AND($B340=" ",$K342=BB$3),$O342,0)</f>
        <v>0</v>
      </c>
      <c r="BC342" s="137">
        <f>IF(AND($B340=" ",$K342=BC$3),$O342,0)</f>
        <v>0</v>
      </c>
      <c r="BD342" s="133">
        <f>IF(AND($B340=" ",$K342=BD$3),$O342,0)</f>
        <v>0</v>
      </c>
      <c r="BE342" s="134">
        <f>IF(AND($B340=" ",$K342=BE$3),$O342,0)</f>
        <v>0</v>
      </c>
      <c r="BF342" s="132">
        <f>IF($K342=BF$3,IF($C342="X",0,$O342),0)</f>
        <v>5.93</v>
      </c>
      <c r="BG342" s="281">
        <f>IF($K342=BG$3,IF($C342="X",0,$O342),0)</f>
        <v>0</v>
      </c>
      <c r="BH342" s="133">
        <f>IF($K342=BH$3,IF($C342="X",0,$O342),0)</f>
        <v>0</v>
      </c>
      <c r="BI342" s="133">
        <f>IF($K342=BI$3,IF($C342="X",0,$O342),0)</f>
        <v>0</v>
      </c>
      <c r="BJ342" s="133">
        <f>IF($K342=BJ$3,IF($C342="X",0,$O342),0)</f>
        <v>0</v>
      </c>
      <c r="BK342" s="133">
        <f>IF($K342=BK$3,IF($C342="X",0,$O342),0)</f>
        <v>0</v>
      </c>
      <c r="BL342" s="133">
        <f>IF($K342=BL$3,IF($C342="X",0,$O342),0)</f>
        <v>0</v>
      </c>
      <c r="BM342" s="135">
        <f>IF($K342=BM$3,IF($C342="X",0,$O342),0)</f>
        <v>0</v>
      </c>
      <c r="BN342" s="136">
        <f>IF($K342=BN$3,IF($C342="X",0,$O342),0)</f>
        <v>0</v>
      </c>
      <c r="BO342" s="136">
        <f>IF($K342=BO$3,IF($C342="X",0,$O342),0)</f>
        <v>0</v>
      </c>
      <c r="BP342" s="136">
        <f>IF($K342=BP$3,IF($C342="X",0,$O342),0)</f>
        <v>0</v>
      </c>
      <c r="BQ342" s="137">
        <f>IF($K342=BQ$3,IF($C342="X",0,$O342),0)</f>
        <v>0</v>
      </c>
      <c r="BR342" s="134">
        <f>IF($K342=BR$3,IF($C342="X",0,$O342),0)</f>
        <v>0</v>
      </c>
      <c r="BS342" s="282"/>
      <c r="BT342" s="283"/>
      <c r="BU342" s="140"/>
      <c r="BV342" s="283"/>
      <c r="BW342" s="140"/>
      <c r="BX342" s="140"/>
      <c r="BY342" s="140"/>
      <c r="BZ342" s="283"/>
      <c r="CA342" s="140"/>
      <c r="CB342" s="140"/>
      <c r="CC342" s="140"/>
      <c r="CD342" s="141"/>
      <c r="CE342" s="142"/>
      <c r="CF342" s="284">
        <f>IF(CF$3=$K342,IF($C342="W",1,IF($C342="1/2W",0.5,0)),0)</f>
        <v>0</v>
      </c>
      <c r="CG342" s="285">
        <f>IF(CF$3=$K342,IF($C342="L",1,IF($C342="1/2L",0.5,0)),0)</f>
        <v>1</v>
      </c>
      <c r="CH342" s="285">
        <f>IF(CH$3=$K342,IF($C342="W",1,IF($C342="1/2W",0.5,0)),0)</f>
        <v>0</v>
      </c>
      <c r="CI342" s="285">
        <f>IF(CH$3=$K342,IF($C342="L",1,IF($C342="1/2L",0.5,0)),0)</f>
        <v>0</v>
      </c>
      <c r="CJ342" s="285">
        <f>IF(CJ$3=$K342,IF($C342="W",1,IF($C342="1/2W",0.5,0)),0)</f>
        <v>0</v>
      </c>
      <c r="CK342" s="285">
        <f>IF(CJ$3=$K342,IF($C342="L",1,IF($C342="1/2L",0.5,0)),0)</f>
        <v>0</v>
      </c>
      <c r="CL342" s="285">
        <f>IF(CL$3=$K342,IF($C342="W",1,IF($C342="1/2W",0.5,0)),0)</f>
        <v>0</v>
      </c>
      <c r="CM342" s="285">
        <f>IF(CL$3=$K342,IF($C342="L",1,IF($C342="1/2L",0.5,0)),0)</f>
        <v>0</v>
      </c>
      <c r="CN342" s="285">
        <f>IF(CN$3=$K342,IF($C342="W",1,IF($C342="1/2W",0.5,0)),0)</f>
        <v>0</v>
      </c>
      <c r="CO342" s="285">
        <f>IF(CN$3=$K342,IF($C342="L",1,IF($C342="1/2L",0.5,0)),0)</f>
        <v>0</v>
      </c>
      <c r="CP342" s="285">
        <f>IF(CP$3=$K342,IF($C342="W",1,IF($C342="1/2W",0.5,0)),0)</f>
        <v>0</v>
      </c>
      <c r="CQ342" s="285">
        <f>IF(CP$3=$K342,IF($C342="L",1,IF($C342="1/2L",0.5,0)),0)</f>
        <v>0</v>
      </c>
      <c r="CR342" s="285">
        <f>IF(CR$3=$K342,IF($C342="W",1,IF($C342="1/2W",0.5,0)),0)</f>
        <v>0</v>
      </c>
      <c r="CS342" s="285">
        <f>IF(CR$3=$K342,IF($C342="L",1,IF($C342="1/2L",0.5,0)),0)</f>
        <v>0</v>
      </c>
      <c r="CT342" s="145">
        <f>IF(CT$3=$K342,IF($C342="W",1,IF($C342="1/2W",0.5,0)),0)</f>
        <v>0</v>
      </c>
      <c r="CU342" s="146">
        <f>IF(CT$3=$K342,IF($C342="L",1,IF($C342="1/2L",0.5,0)),0)</f>
        <v>0</v>
      </c>
      <c r="CV342" s="146">
        <f>IF(CV$3=$K342,IF($C342="W",1,IF($C342="1/2W",0.5,0)),0)</f>
        <v>0</v>
      </c>
      <c r="CW342" s="146">
        <f>IF(CV$3=$K342,IF($C342="L",1,IF($C342="1/2L",0.5,0)),0)</f>
        <v>0</v>
      </c>
      <c r="CX342" s="146">
        <f>IF(CX$3=$K342,IF($C342="W",1,IF($C342="1/2W",0.5,0)),0)</f>
        <v>0</v>
      </c>
      <c r="CY342" s="146">
        <f>IF(CX$3=$K342,IF($C342="L",1,IF($C342="1/2L",0.5,0)),0)</f>
        <v>0</v>
      </c>
      <c r="CZ342" s="146">
        <f>IF(CZ$3=$K342,IF($C342="W",1,IF($C342="1/2W",0.5,0)),0)</f>
        <v>0</v>
      </c>
      <c r="DA342" s="146">
        <f>IF(CZ$3=$K342,IF($C342="L",1,IF($C342="1/2L",0.5,0)),0)</f>
        <v>0</v>
      </c>
      <c r="DB342" s="146">
        <f>IF(DB$3=$K342,IF($C342="W",1,IF($C342="1/2W",0.5,0)),0)</f>
        <v>0</v>
      </c>
      <c r="DC342" s="146">
        <f>IF(DB$3=$K342,IF($C342="L",1,IF($C342="1/2L",0.5,0)),0)</f>
        <v>0</v>
      </c>
      <c r="DD342" s="146">
        <f>IF(DD$3=$K342,IF($C342="W",1,IF($C342="1/2W",0.5,0)),0)</f>
        <v>0</v>
      </c>
      <c r="DE342" s="147">
        <f>IF(DD$3=$K342,IF($C342="L",1,IF($C342="1/2L",0.5,0)),0)</f>
        <v>0</v>
      </c>
      <c r="DF342" s="143">
        <f>IF(AND(L342&lt;DF$3,$C342="W"),1+DF341,DF341)</f>
        <v>12</v>
      </c>
      <c r="DG342" s="133">
        <f>IF(DF342&gt;DF341,L342+DG341,DG341)</f>
        <v>15.718</v>
      </c>
      <c r="DH342" s="146">
        <f>IF(AND(L342&gt;DH$3,$C342="W"),1+DH341,0+DH341)</f>
        <v>7</v>
      </c>
      <c r="DI342" s="133">
        <f>IF(DH342&gt;DH341,L342+DI341,DI341)</f>
        <v>34.83</v>
      </c>
      <c r="DJ342" t="s" s="304">
        <f>IF($D340="","",$D340)</f>
        <v>272</v>
      </c>
      <c r="DK342" s="286"/>
    </row>
    <row r="343" ht="14.55" customHeight="1">
      <c r="A343" s="171">
        <f>$A340+1</f>
        <v>114</v>
      </c>
      <c r="B343" t="s" s="172">
        <f>IF(AND(_xlfn.XLOOKUP(H343,H116:H$122,G116:G$122,0)=G343,_xlfn.XLOOKUP("TempoBet",K343:K345,L343:L345,0)&gt;0),"X",IF(OR(C343="W",C344="W",C345="W",C343="1/2W",C344="1/2W",C345="1/2W",C343="1/2L",C344="1/2L",C345="1/2L"),"OK",IF(OR(C343="L",C344="L",C345="L"),"LOSS",IF(OR(C343="X",C344="X",C345="X"),"Anulado"," "))))</f>
        <v>50</v>
      </c>
      <c r="C343" t="s" s="173">
        <v>51</v>
      </c>
      <c r="D343" t="s" s="305">
        <v>295</v>
      </c>
      <c r="E343" t="s" s="175">
        <f>IF(G343=""," ","– "&amp;COUNTIF(D$4:D345,$D343))</f>
        <v>52</v>
      </c>
      <c r="F343" t="s" s="176"/>
      <c r="G343" s="177">
        <v>44949.583333333336</v>
      </c>
      <c r="H343" t="s" s="178">
        <v>296</v>
      </c>
      <c r="I343" t="s" s="179">
        <v>65</v>
      </c>
      <c r="J343" s="291">
        <v>1.5</v>
      </c>
      <c r="K343" t="s" s="181">
        <v>37</v>
      </c>
      <c r="L343" s="182">
        <v>2</v>
      </c>
      <c r="M343" s="183"/>
      <c r="N343" s="184">
        <v>0</v>
      </c>
      <c r="O343" s="185">
        <f>IF(OR(AE343="",AE344=""),"",ROUND(IF(L345&gt;0,IF(M343&gt;0,M343,IF(M344&gt;0,ROUND((M344*AE343)/AE344,IF(N343=0,2,IF(N343=0.1,1,0))),ROUND((M345*AE343)/AE345,IF(N343=0,2,IF(N343=0.1,1,0))))),IF(M343&gt;0,M343,ROUND((M344*AE343)/AE344,IF(N343=0,2,IF(N343=0.1,1,0))))),2))</f>
        <v>10.31</v>
      </c>
      <c r="P343" s="186">
        <f>IF(OR(L343="",O343=""),"",IF($C343="1/2W",O343/2+O343/2*L343,IF($C343="1/2L",O343/2,IF(I343="Lay",(O343*(L343/(L343-1))-O343)*(1-_xlfn.XLOOKUP(K343,'Janeiro 2023 - Valor Real'!A3:A15,'Janeiro 2023 - Valor Real'!C3:C15,0))+O343,(O343*L343-O343)*(1-_xlfn.XLOOKUP(K343,'Janeiro 2023 - Valor Real'!A3:A15,'Janeiro 2023 - Valor Real'!C3:C15,0))+O343))))</f>
        <v>20.62</v>
      </c>
      <c r="Q343" s="187">
        <f>IF(K343="","",IF(_xlfn.XLOOKUP(K343,K116:K$122,DJ116:DJ$122,0,,-1)=DJ343,_xlfn.XLOOKUP(K343,K116:K$122,Q116:Q$122,1,,-1)+1,1))</f>
        <v>1</v>
      </c>
      <c r="R343" s="188">
        <f>IF(K343="","",_xlfn.XLOOKUP(K343,K116:K$122,R116:R$122,0,,-1)+IF($C343=" ",1,0))</f>
        <v>0</v>
      </c>
      <c r="S343" s="189">
        <f>IF($B343="Anulado",0,ROUND(IF(OR($B343="LOSS",$B343="OK"),IF(OR($C343="W",$C343="1/2W",$C343="1/2L"),P343-O343,IF($C343="L",-O343,0))+IF(OR($C344="W",$C344="1/2W",$C344="1/2L"),P344-O344,IF($C344="L",-O344,0))+IF(OR($C345="W",$C345="1/2W",$C345="1/2L"),P345-O345,IF($C345="L",-O345,0)),IF(AND(OR($C343="W",$C343="1/2W",$C343="1/2L"),C344="W"),P343+P344-SUM(O343:O345)+_xlfn.XLOOKUP("X",C343:C345,O343:O345,0),IF(AND(C343=TRUE,C345="W"),P343+P345-SUM(O343:O345),IF(AND(C344="W",C345="W"),P344+P345-SUM(O343:O345)+_xlfn.XLOOKUP("X",C343:C345,O343:O345,0),IF(L345&gt;0,IF(OR($C343="W",$C343="1/2W",$C343="1/2L"),P343-SUM(O343:O345)+_xlfn.XLOOKUP("X",C343:C345,O343:O345,0),IF(OR($C343="W",$C343="1/2W",$C343="1/2L"),P344-SUM(O343:O345)+_xlfn.XLOOKUP("X",C343:C345,O343:O345,0),IF(OR($C343="W",$C343="1/2W",$C343="1/2L"),P345-SUM(O343:O345)+_xlfn.XLOOKUP("X",C343:C345,O343:O345,0),IF(SUM(P343:P345)/3-SUM(O343:O345)+_xlfn.XLOOKUP("X",C343:C345,O343:O345,0)&gt;0,SUM(P343:P345)/3-SUM(O343:O345)+_xlfn.XLOOKUP("X",C343:C345,O343:O345,0),LARGE(P343:P345,1)-SUM(O343:O345))))),IF(OR($C343="W",$C343="1/2W",$C343="1/2L"),P343-SUM(O343:O344)+_xlfn.XLOOKUP("X",C343:C345,O343:O345,0),IF(OR($C343="W",$C343="1/2W",$C343="1/2L"),P344-SUM(O343:O344)+_xlfn.XLOOKUP("X",C343:C345,O343:O345,0),SUM(P343:P344)/2-SUM(O343:O344)+_xlfn.XLOOKUP("X",C343:C345,O343:O345,0)))))))),2))</f>
        <v>0.93</v>
      </c>
      <c r="T343" s="190">
        <f>IF(S343=0,0,S343/SUM(O343:O345))</f>
        <v>0.0472560975609756</v>
      </c>
      <c r="U343" s="191">
        <f>IF($D343=$D340,IF(OR($B343="LOSS",$B343="OK",$B343="Anulada"),S343,0)+U340,IF(OR($B343="LOSS",$B343="OK",$B343="Anulada"),S343,0))</f>
        <v>0.93</v>
      </c>
      <c r="V343" s="191">
        <f>IF($D343="",0,IF($D343=$D340,IF($B343=" ",IF(I345="",IF(OR(AND(I343="DNB1",I344="DNB2"),AND(OR(I343="DNB1",I343="DNB2"),J344=0),AND(OR(I344="DNB1",I344="DNB2"),J343=0),AND(I343="DNB2",I344="DNB1"),AND(IF(J343=0,(J343+1)/ROUND(J343+1,0),J343/ROUND(J343,0))=1,IF(J344=0,(J344+1)/ROUND(IF(J344="",0,J344)+1,0),IF(J344="",0,J344)/ROUND(IF(J344="",1,J344),0))=1,OR(J343&lt;&gt;""),J344&lt;&gt;"")),0,IF(S343&lt;0,IF(I345="",SMALL(P343:P344,1)-SUM(O343:O344),0),SMALL(P343:P344,1)-SUM(O343:O344))),IF(S343&lt;0,IF(I345="",SMALL(P343:P345,1)-SUM(O343:O345),0),LARGE(P343:P345,1)-SUM(O343:O345))),S343)+V340,IF(I345="",IF(OR(AND(I343="DNB1",I344="DNB2"),AND(OR(I343="DNB1",I343="DNB2"),J344=0),AND(OR(I344="DNB1",I344="DNB2"),J343=0),AND(I343="DNB2",I344="DNB1"),AND(IF(J343=0,(J343+1)/ROUND(J343+1,0),J343/ROUND(J343,0))=1,IF(J344=0,(IF(J344="",0,J344)+1)/ROUND(IF(J344="",0,J344)+1,0),IF(J344="",0,J344)/ROUND(IF(J344="",0,J344)+1,0))=1,OR(J343&lt;&gt;""),J344&lt;&gt;"")),0,IF(S343&lt;0,IF(I345="",SMALL(P343:P344,1)-SUM(O343:O344),0),SMALL(P343:P345,1)-SUM(O343:O345))),IF(S343&lt;0,IF(I345="",SMALL(P343:P345,1)-SUM(O343:O345),0),LARGE(P343:P345,1)-SUM(O343:O345)))))</f>
        <v>0.9340000000000001</v>
      </c>
      <c r="W343" s="191">
        <f>IF($D343=$D340,IF(S343&lt;0,IF(I345="",S343,0),S343)+W340,S343)</f>
        <v>0.93</v>
      </c>
      <c r="X343" t="s" s="192">
        <f>IF(OR(SUM(R343:R345)=0,V343=W343),ROUND(IF(W343=0,0,W343/Y343)*100,2)&amp;"%",ROUND(IF(V343=0,0,V343/Y343)*100,2)&amp;"% a "&amp;ROUND(IF(W343=0,0,W343/Y343)*100,2)&amp;"%")</f>
        <v>297</v>
      </c>
      <c r="Y343" s="193">
        <f>IF($D343=$D340,Y340+SUM(O343:O345),SUM(O343:O345))</f>
        <v>19.68</v>
      </c>
      <c r="Z343" s="191">
        <f>IF($B343=" ",SUM(O343:O345),0)+Z340</f>
        <v>0</v>
      </c>
      <c r="AA343" s="191">
        <f>IF(G343="","",IF($B343="Anulado",LARGE(P343:P345,1)-SUM(O343:O345)+AA340,AA340))</f>
        <v>16.5099</v>
      </c>
      <c r="AB343" s="191">
        <f>IF($D343="","",AB340+S343)</f>
        <v>247.12</v>
      </c>
      <c r="AC343" s="194">
        <f>IF($D343="","",IF($B343=" ",IF(DAY(G343)=DAY(TODAY()),1+AC340,0+AC340),0+AC340))</f>
        <v>0</v>
      </c>
      <c r="AD343" s="195">
        <f>(((L344/(L344-1)-1)*(1-_xlfn.XLOOKUP(K344,'Janeiro 2023 - Valor Real'!A3:A15,'Janeiro 2023 - Valor Real'!C3:C15,0))+1))/(((L343-1)*(1-_xlfn.XLOOKUP(K343,'Janeiro 2023 - Valor Real'!A3:A15,'Janeiro 2023 - Valor Real'!C3:C15,0))+1)+((L344/(L344-1)-1)*(1-_xlfn.XLOOKUP(K344,'Janeiro 2023 - Valor Real'!A3:A15,'Janeiro 2023 - Valor Real'!C3:C15,0))+1))</f>
        <v>0.478260869565217</v>
      </c>
      <c r="AE343" s="196">
        <f>IF(L343="","",IF(L345&gt;0,(SUM(((L343-1)*(1-_xlfn.XLOOKUP(K343,'Janeiro 2023 - Valor Real'!A3:A15,'Janeiro 2023 - Valor Real'!C3:C15,0))+1),((L344-1)*(1-_xlfn.XLOOKUP(K344,'Janeiro 2023 - Valor Real'!A3:A15,'Janeiro 2023 - Valor Real'!C3:C15,0))+1),((L345-1)*(1-_xlfn.XLOOKUP(K345,'Janeiro 2023 - Valor Real'!A3:A15,'Janeiro 2023 - Valor Real'!C3:C15,0))+1))/((L343-1)*(1-_xlfn.XLOOKUP(K343,'Janeiro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Real'!C3:C15,0))+1))/((L343-1)*(1-_xlfn.XLOOKUP(K343,'Janeiro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Real'!C3:C15,0))+1))/((L344-1)*(1-_xlfn.XLOOKUP(K344,'Janeiro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Real'!C3:C15,0))+1))/((L345-1)*(1-_xlfn.XLOOKUP(K345,'Janeiro 2023 - Valor Real'!A3:A15,'Janeiro 2023 - Valor Real'!C3:C15,0))+1)),IF(I343="Lay",IF(I344="Lay",((L344/(L344-1)-1)*(1-_xlfn.XLOOKUP(K344,'Janeiro 2023 - Valor Real'!A3:A15,'Janeiro 2023 - Valor Real'!C3:C15,0))+1)/(((L344/(L344-1)-1)*(1-_xlfn.XLOOKUP(K344,'Janeiro 2023 - Valor Real'!A3:A15,'Janeiro 2023 - Valor Real'!C3:C15,0))+1)+((L343/(L343-1)-1)*(1-_xlfn.XLOOKUP(K343,'Janeiro 2023 - Valor Real'!A3:A15,'Janeiro 2023 - Valor Real'!C3:C15,0))+1)),((L344-1)*(1-_xlfn.XLOOKUP(K344,'Janeiro 2023 - Valor Real'!A3:A15,'Janeiro 2023 - Valor Real'!C3:C15,0))+1)/(((L344-1)*(1-_xlfn.XLOOKUP(K344,'Janeiro 2023 - Valor Real'!A3:A15,'Janeiro 2023 - Valor Real'!C3:C15,0))+1)+((L343/(L343-1)-1)*(1-_xlfn.XLOOKUP(K343,'Janeiro 2023 - Valor Real'!A3:A15,'Janeiro 2023 - Valor Real'!C3:C15,0))+1))),IF(I344="Lay",(((L344/(L344-1)-1)*(1-_xlfn.XLOOKUP(K344,'Janeiro 2023 - Valor Real'!A3:A15,'Janeiro 2023 - Valor Real'!C3:C15,0))+1))/(((L343-1)*(1-_xlfn.XLOOKUP(K343,'Janeiro 2023 - Valor Real'!A3:A15,'Janeiro 2023 - Valor Real'!C3:C15,0))+1)+((L344/(L344-1)-1)*(1-_xlfn.XLOOKUP(K344,'Janeiro 2023 - Valor Real'!A3:A15,'Janeiro 2023 - Valor Real'!C3:C15,0))+1)),((L344-1)*(1-_xlfn.XLOOKUP(K344,'Janeiro 2023 - Valor Real'!A3:A15,'Janeiro 2023 - Valor Real'!C3:C15,0))+1)/(((L344-1)*(1-_xlfn.XLOOKUP(K344,'Janeiro 2023 - Valor Real'!A3:A15,'Janeiro 2023 - Valor Real'!C3:C15,0))+1)+((L343-1)*(1-_xlfn.XLOOKUP(K343,'Janeiro 2023 - Valor Real'!A3:A15,'Janeiro 2023 - Valor Real'!C3:C15,0))+1))))))</f>
        <v>0.5238095238095239</v>
      </c>
      <c r="AF343" s="197">
        <f>IF($K343=AF$3,ROUND(IF(OR($C343="W",$C343="1/2W",$C343="1/2L"),$P343-$O343,IF($C343="X",0,-$O343)),2),0)</f>
        <v>-10.31</v>
      </c>
      <c r="AG343" s="198">
        <f>IF($K343=AG$3,ROUND(IF(OR($C343="W",$C343="1/2W",$C343="1/2L"),$P343-$O343,IF($C343="X",0,-$O343)),2),0)</f>
        <v>0</v>
      </c>
      <c r="AH343" s="198">
        <f>IF($K343=AH$3,ROUND(IF(OR($C343="W",$C343="1/2W",$C343="1/2L"),$P343-$O343,IF($C343="X",0,-$O343)),2),0)</f>
        <v>0</v>
      </c>
      <c r="AI343" s="198">
        <f>IF($K343=AI$3,ROUND(IF(OR($C343="W",$C343="1/2W",$C343="1/2L"),$P343-$O343,IF($C343="X",0,-$O343)),2),0)</f>
        <v>0</v>
      </c>
      <c r="AJ343" s="198">
        <f>IF($K343=AJ$3,ROUND(IF(OR($C343="W",$C343="1/2W",$C343="1/2L"),$P343-$O343,IF($C343="X",0,-$O343)),2),0)</f>
        <v>0</v>
      </c>
      <c r="AK343" s="198">
        <f>IF($K343=AK$3,ROUND(IF(OR($C343="W",$C343="1/2W",$C343="1/2L"),$P343-$O343,IF($C343="X",0,-$O343)),2),0)</f>
        <v>0</v>
      </c>
      <c r="AL343" s="198">
        <f>IF($K343=AL$3,ROUND(IF(OR($C343="W",$C343="1/2W",$C343="1/2L"),$P343-$O343,IF($C343="X",0,-$O343)),2),0)</f>
        <v>0</v>
      </c>
      <c r="AM343" s="198">
        <f>IF($K343=AM$3,ROUND(IF(OR($C343="W",$C343="1/2W",$C343="1/2L"),$P343-$O343,IF($C343="X",0,-$O343)),2),0)</f>
        <v>0</v>
      </c>
      <c r="AN343" s="198">
        <f>IF($K343=AN$3,ROUND(IF(OR($C343="W",$C343="1/2W",$C343="1/2L"),$P343-$O343,IF($C343="X",0,-$O343)),2),0)</f>
        <v>0</v>
      </c>
      <c r="AO343" s="198">
        <f>IF($K343=AO$3,ROUND(IF(OR($C343="W",$C343="1/2W",$C343="1/2L"),$P343-$O343,IF($C343="X",0,-$O343)),2),0)</f>
        <v>0</v>
      </c>
      <c r="AP343" s="198">
        <f>IF($K343=AP$3,ROUND(IF(OR($C343="W",$C343="1/2W",$C343="1/2L"),$P343-$O343,IF($C343="X",0,-$O343)),2),0)</f>
        <v>0</v>
      </c>
      <c r="AQ343" s="198">
        <f>IF($K343=AQ$3,ROUND(IF(OR($C343="W",$C343="1/2W",$C343="1/2L"),$P343-$O343,IF($C343="X",0,-$O343)),2),0)</f>
        <v>0</v>
      </c>
      <c r="AR343" s="199">
        <f>IF($K343=AR$3,ROUND(IF(OR($C343="W",$C343="1/2W",$C343="1/2L"),$P343-$O343,IF($C343="X",0,-$O343)),2),0)</f>
        <v>0</v>
      </c>
      <c r="AS343" s="197">
        <f>IF(AND($B343=" ",$K343=AS$3),$O343,0)</f>
        <v>0</v>
      </c>
      <c r="AT343" s="198">
        <f>IF(AND($B343=" ",$K343=AT$3),$O343,0)</f>
        <v>0</v>
      </c>
      <c r="AU343" s="198">
        <f>IF(AND($B343=" ",$K343=AU$3),$O343,0)</f>
        <v>0</v>
      </c>
      <c r="AV343" s="198">
        <f>IF(AND($B343=" ",$K343=AV$3),$O343,0)</f>
        <v>0</v>
      </c>
      <c r="AW343" s="198">
        <f>IF(AND($B343=" ",$K343=AW$3),$O343,0)</f>
        <v>0</v>
      </c>
      <c r="AX343" s="198">
        <f>IF(AND($B343=" ",$K343=AX$3),$O343,0)</f>
        <v>0</v>
      </c>
      <c r="AY343" s="200">
        <f>IF(AND($B343=" ",$K343=AY$3),$O343,0)</f>
        <v>0</v>
      </c>
      <c r="AZ343" s="201">
        <f>IF(AND($B343=" ",$K343=AZ$3),$O343,0)</f>
        <v>0</v>
      </c>
      <c r="BA343" s="201">
        <f>IF(AND($B343=" ",$K343=BA$3),$O343,0)</f>
        <v>0</v>
      </c>
      <c r="BB343" s="201">
        <f>IF(AND($B343=" ",$K343=BB$3),$O343,0)</f>
        <v>0</v>
      </c>
      <c r="BC343" s="202">
        <f>IF(AND($B343=" ",$K343=BC$3),$O343,0)</f>
        <v>0</v>
      </c>
      <c r="BD343" s="198">
        <f>IF(AND($B343=" ",$K343=BD$3),$O343,0)</f>
        <v>0</v>
      </c>
      <c r="BE343" s="199">
        <f>IF(AND($B343=" ",$K343=BE$3),$O343,0)</f>
        <v>0</v>
      </c>
      <c r="BF343" s="203">
        <f>IF($K343=BF$3,IF($C343="X",0,$O343),0)</f>
        <v>10.31</v>
      </c>
      <c r="BG343" s="198">
        <f>IF($K343=BG$3,IF($C343="X",0,$O343),0)</f>
        <v>0</v>
      </c>
      <c r="BH343" s="198">
        <f>IF($K343=BH$3,IF($C343="X",0,$O343),0)</f>
        <v>0</v>
      </c>
      <c r="BI343" s="198">
        <f>IF($K343=BI$3,IF($C343="X",0,$O343),0)</f>
        <v>0</v>
      </c>
      <c r="BJ343" s="198">
        <f>IF($K343=BJ$3,IF($C343="X",0,$O343),0)</f>
        <v>0</v>
      </c>
      <c r="BK343" s="198">
        <f>IF($K343=BK$3,IF($C343="X",0,$O343),0)</f>
        <v>0</v>
      </c>
      <c r="BL343" s="198">
        <f>IF($K343=BL$3,IF($C343="X",0,$O343),0)</f>
        <v>0</v>
      </c>
      <c r="BM343" s="200">
        <f>IF($K343=BM$3,IF($C343="X",0,$O343),0)</f>
        <v>0</v>
      </c>
      <c r="BN343" s="201">
        <f>IF($K343=BN$3,IF($C343="X",0,$O343),0)</f>
        <v>0</v>
      </c>
      <c r="BO343" s="201">
        <f>IF($K343=BO$3,IF($C343="X",0,$O343),0)</f>
        <v>0</v>
      </c>
      <c r="BP343" s="201">
        <f>IF($K343=BP$3,IF($C343="X",0,$O343),0)</f>
        <v>0</v>
      </c>
      <c r="BQ343" s="202">
        <f>IF($K343=BQ$3,IF($C343="X",0,$O343),0)</f>
        <v>0</v>
      </c>
      <c r="BR343" s="199">
        <f>IF($K343=BR$3,IF($C343="X",0,$O343),0)</f>
        <v>0</v>
      </c>
      <c r="BS343" s="204">
        <f>IF($B343="LOSS",IF(AND($K343=BS$3,$C343="L"),-$O343,0)+IF(AND($K344=BS$3,$C344="L"),-$O344,0)+IF(AND($K345=BS$3,$C345="L"),-$O345,0),IF(OR(AND($K343=BS$3,OR($C343="W",$C343="1/2W")),AND($K344=BS$3,OR($C344="W",$C344="1/2W")),AND($K345=BS$3,OR($C345="W",$C345="1/2W"))),$S343,0))</f>
        <v>0</v>
      </c>
      <c r="BT343" s="201">
        <f>IF($B343="LOSS",IF(AND($K343=BT$3,$C343="L"),-$O343,0)+IF(AND($K344=BT$3,$C344="L"),-$O344,0)+IF(AND($K344=BT$3,$C345="L"),-$O345,0),IF(OR(AND($K344=BT$3,OR($C343="W",$C343="1/2W")),AND($K344=BT$3,OR($C344="W",$C344="1/2W")),AND($K344=BT$3,OR($C345="W",$C345="1/2W"))),$S343,0))</f>
        <v>0</v>
      </c>
      <c r="BU343" s="201">
        <f>IF($B343="LOSS",IF(AND($K343=BU$3,$C343="L"),-$O343,0)+IF(AND($K344=BU$3,$C344="L"),-$O344,0)+IF(AND($K344=BU$3,$C345="L"),-$O345,0),IF(OR(AND($K344=BU$3,OR($C343="W",$C343="1/2W")),AND($K344=BU$3,OR($C344="W",$C344="1/2W")),AND($K344=BU$3,OR($C345="W",$C345="1/2W"))),$S343,0))</f>
        <v>0</v>
      </c>
      <c r="BV343" s="201">
        <f>IF($B343="LOSS",IF(AND($K343=BV$3,$C343="L"),-$O343,0)+IF(AND($K344=BV$3,$C344="L"),-$O344,0)+IF(AND($K345=BV$3,$C345="L"),-$O345,0),IF(OR(AND($K343=BV$3,OR($C343="W",$C343="1/2W")),AND($K344=BV$3,OR($C344="W",$C344="1/2W")),AND($K345=BV$3,OR($C345="W",$C345="1/2W"))),$S343,0))</f>
        <v>0</v>
      </c>
      <c r="BW343" s="201">
        <f>IF($B343="LOSS",IF(AND($K343=BW$3,$C343="L"),-$O343,0)+IF(AND($K344=BW$3,$C344="L"),-$O344,0)+IF(AND($K345=BW$3,$C345="L"),-$O345,0),IF(OR(AND($K343=BW$3,OR($C343="W",$C343="1/2W")),AND($K344=BW$3,OR($C344="W",$C344="1/2W")),AND($K345=BW$3,OR($C345="W",$C345="1/2W"))),$S343,0))</f>
        <v>0.93</v>
      </c>
      <c r="BX343" s="201">
        <f>IF($B343="LOSS",IF(AND($K343=BX$3,$C343="L"),-$O343,0)+IF(AND($K344=BX$3,$C344="L"),-$O344,0)+IF(AND($K345=BX$3,$C345="L"),-$O345,0),IF(OR(AND($K343=BX$3,OR($C343="W",$C343="1/2W")),AND($K344=BX$3,OR($C344="W",$C344="1/2W")),AND($K345=BX$3,OR($C345="W",$C345="1/2W"))),$S343,0))</f>
        <v>0</v>
      </c>
      <c r="BY343" s="201">
        <f>IF($B343="LOSS",IF(AND($K343=BY$3,$C343="L"),-$O343,0)+IF(AND($K344=BY$3,$C344="L"),-$O344,0)+IF(AND($K345=BY$3,$C345="L"),-$O345,0),IF(OR(AND($K343=BY$3,OR($C343="W",$C343="1/2W")),AND($K344=BY$3,OR($C344="W",$C344="1/2W")),AND($K345=BY$3,OR($C345="W",$C345="1/2W"))),$S343,0))</f>
        <v>0</v>
      </c>
      <c r="BZ343" s="205">
        <f>IF($B343="LOSS",IF(AND($K343=BZ$3,$C343="L"),-$O343,0)+IF(AND($K344=BZ$3,$C344="L"),-$O344,0)+IF(AND($K345=BZ$3,$C345="L"),-$O345,0),IF(OR(AND($K343=BZ$3,OR($C343="W",$C343="1/2W")),AND($K344=BZ$3,OR($C344="W",$C344="1/2W")),AND($K345=BZ$3,OR($C345="W",$C345="1/2W"))),$S343,0))</f>
        <v>0</v>
      </c>
      <c r="CA343" s="205">
        <f>IF($B343="LOSS",IF(AND($K343=CA$3,$C343="L"),-$O343,0)+IF(AND($K344=CA$3,$C344="L"),-$O344,0)+IF(AND($K345=CA$3,$C345="L"),-$O345,0),IF(OR(AND($K343=CA$3,OR($C343="W",$C343="1/2W")),AND($K344=CA$3,OR($C344="W",$C344="1/2W")),AND($K345=CA$3,OR($C345="W",$C345="1/2W"))),$S343,0))</f>
        <v>0</v>
      </c>
      <c r="CB343" s="205">
        <f>IF($B343="LOSS",IF(AND($K343=CB$3,$C343="L"),-$O343,0)+IF(AND($K344=CB$3,$C344="L"),-$O344,0)+IF(AND($K345=CB$3,$C345="L"),-$O345,0),IF(OR(AND($K343=CB$3,OR($C343="W",$C343="1/2W")),AND($K344=CB$3,OR($C344="W",$C344="1/2W")),AND($K345=CB$3,OR($C345="W",$C345="1/2W"))),$S343,0))</f>
        <v>0</v>
      </c>
      <c r="CC343" s="205">
        <f>IF($B343="LOSS",IF(AND($K343=CC$3,$C343="L"),-$O343,0)+IF(AND($K344=CC$3,$C344="L"),-$O344,0)+IF(AND($K345=CC$3,$C345="L"),-$O345,0),IF(OR(AND($K343=CC$3,OR($C343="W",$C343="1/2W")),AND($K344=CC$3,OR($C344="W",$C344="1/2W")),AND($K345=CC$3,OR($C345="W",$C345="1/2W"))),$S343,0))</f>
        <v>0</v>
      </c>
      <c r="CD343" s="202">
        <f>IF($B343="LOSS",IF(AND($K343=CD$3,$C343="L"),-$O343,0)+IF(AND($K344=CD$3,$C344="L"),-$O344,0)+IF(AND($K345=CD$3,$C345="L"),-$O345,0),IF(OR(AND($K343=CD$3,OR($C343="W",$C343="1/2W")),AND($K344=CD$3,OR($C344="W",$C344="1/2W")),AND($K345=CD$3,OR($C345="W",$C345="1/2W"))),$S343,0))</f>
        <v>0</v>
      </c>
      <c r="CE343" s="199">
        <f>IF($B343="LOSS",IF(AND($K343=CE$3,$C343="L"),-$O343,0)+IF(AND($K344=CE$3,$C344="L"),-$O344,0)+IF(AND($K345=CE$3,$C345="L"),-$O345,0),IF(OR(AND($K343=CE$3,OR($C343="W",$C343="1/2W")),AND($K344=CE$3,OR($C344="W",$C344="1/2W")),AND($K345=CE$3,OR($C345="W",$C345="1/2W"))),$S343,0))</f>
        <v>0</v>
      </c>
      <c r="CF343" s="206">
        <f>IF(CF$3=$K343,IF($C343="W",1,IF($C343="1/2W",0.5,0)),0)</f>
        <v>0</v>
      </c>
      <c r="CG343" s="207">
        <f>IF(CF$3=$K343,IF($C343="L",1,IF($C343="1/2L",0.5,0)),0)</f>
        <v>1</v>
      </c>
      <c r="CH343" s="207">
        <f>IF(CH$3=$K343,IF($C343="W",1,IF($C343="1/2W",0.5,0)),0)</f>
        <v>0</v>
      </c>
      <c r="CI343" s="207">
        <f>IF(CH$3=$K343,IF($C343="L",1,IF($C343="1/2L",0.5,0)),0)</f>
        <v>0</v>
      </c>
      <c r="CJ343" s="207">
        <f>IF(CJ$3=$K343,IF($C343="W",1,IF($C343="1/2W",0.5,0)),0)</f>
        <v>0</v>
      </c>
      <c r="CK343" s="207">
        <f>IF(CJ$3=$K343,IF($C343="L",1,IF($C343="1/2L",0.5,0)),0)</f>
        <v>0</v>
      </c>
      <c r="CL343" s="207">
        <f>IF(CL$3=$K343,IF($C343="W",1,IF($C343="1/2W",0.5,0)),0)</f>
        <v>0</v>
      </c>
      <c r="CM343" s="207">
        <f>IF(CL$3=$K343,IF($C343="L",1,IF($C343="1/2L",0.5,0)),0)</f>
        <v>0</v>
      </c>
      <c r="CN343" s="207">
        <f>IF(CN$3=$K343,IF($C343="W",1,IF($C343="1/2W",0.5,0)),0)</f>
        <v>0</v>
      </c>
      <c r="CO343" s="207">
        <f>IF(CN$3=$K343,IF($C343="L",1,IF($C343="1/2L",0.5,0)),0)</f>
        <v>0</v>
      </c>
      <c r="CP343" s="207">
        <f>IF(CP$3=$K343,IF($C343="W",1,IF($C343="1/2W",0.5,0)),0)</f>
        <v>0</v>
      </c>
      <c r="CQ343" s="207">
        <f>IF(CP$3=$K343,IF($C343="L",1,IF($C343="1/2L",0.5,0)),0)</f>
        <v>0</v>
      </c>
      <c r="CR343" s="207">
        <f>IF(CR$3=$K343,IF($C343="W",1,IF($C343="1/2W",0.5,0)),0)</f>
        <v>0</v>
      </c>
      <c r="CS343" s="207">
        <f>IF(CR$3=$K343,IF($C343="L",1,IF($C343="1/2L",0.5,0)),0)</f>
        <v>0</v>
      </c>
      <c r="CT343" s="208">
        <f>IF(CT$3=$K343,IF($C343="W",1,IF($C343="1/2W",0.5,0)),0)</f>
        <v>0</v>
      </c>
      <c r="CU343" s="209">
        <f>IF(CT$3=$K343,IF($C343="L",1,IF($C343="1/2L",0.5,0)),0)</f>
        <v>0</v>
      </c>
      <c r="CV343" s="209">
        <f>IF(CV$3=$K343,IF($C343="W",1,IF($C343="1/2W",0.5,0)),0)</f>
        <v>0</v>
      </c>
      <c r="CW343" s="209">
        <f>IF(CV$3=$K343,IF($C343="L",1,IF($C343="1/2L",0.5,0)),0)</f>
        <v>0</v>
      </c>
      <c r="CX343" s="209">
        <f>IF(CX$3=$K343,IF($C343="W",1,IF($C343="1/2W",0.5,0)),0)</f>
        <v>0</v>
      </c>
      <c r="CY343" s="209">
        <f>IF(CX$3=$K343,IF($C343="L",1,IF($C343="1/2L",0.5,0)),0)</f>
        <v>0</v>
      </c>
      <c r="CZ343" s="209">
        <f>IF(CZ$3=$K343,IF($C343="W",1,IF($C343="1/2W",0.5,0)),0)</f>
        <v>0</v>
      </c>
      <c r="DA343" s="209">
        <f>IF(CZ$3=$K343,IF($C343="L",1,IF($C343="1/2L",0.5,0)),0)</f>
        <v>0</v>
      </c>
      <c r="DB343" s="209">
        <f>IF(DB$3=$K343,IF($C343="W",1,IF($C343="1/2W",0.5,0)),0)</f>
        <v>0</v>
      </c>
      <c r="DC343" s="209">
        <f>IF(DB$3=$K343,IF($C343="L",1,IF($C343="1/2L",0.5,0)),0)</f>
        <v>0</v>
      </c>
      <c r="DD343" s="209">
        <f>IF(DD$3=$K343,IF($C343="W",1,IF($C343="1/2W",0.5,0)),0)</f>
        <v>0</v>
      </c>
      <c r="DE343" s="210">
        <f>IF(DD$3=$K343,IF($C343="L",1,IF($C343="1/2L",0.5,0)),0)</f>
        <v>0</v>
      </c>
      <c r="DF343" s="211">
        <f>IF(AND(L343&lt;DF$3,$C343="W"),1+DF342,DF342)</f>
        <v>12</v>
      </c>
      <c r="DG343" s="198">
        <f>IF(DF343&gt;DF342,L343+DG342,DG342)</f>
        <v>15.718</v>
      </c>
      <c r="DH343" s="209">
        <f>IF(AND(L343&gt;DH$3,$C343="W"),1+DH342,0+DH342)</f>
        <v>7</v>
      </c>
      <c r="DI343" s="198">
        <f>IF(DH343&gt;DH342,L343+DI342,DI342)</f>
        <v>34.83</v>
      </c>
      <c r="DJ343" t="s" s="306">
        <f>IF($D343="","",$D343)</f>
        <v>298</v>
      </c>
      <c r="DK343" s="209">
        <f>IF(AND($B343=" ",$D343&lt;&gt;""),1,0)</f>
        <v>0</v>
      </c>
    </row>
    <row r="344" ht="14.55" customHeight="1">
      <c r="A344" s="107"/>
      <c r="B344" s="108"/>
      <c r="C344" t="s" s="213">
        <v>56</v>
      </c>
      <c r="D344" s="110"/>
      <c r="E344" s="111"/>
      <c r="F344" s="113"/>
      <c r="G344" s="214"/>
      <c r="H344" s="114"/>
      <c r="I344" t="s" s="215">
        <v>67</v>
      </c>
      <c r="J344" s="296">
        <f>IF(OR(I343="TO",I343="TU",I343="TO1",I343="TU1",I343="TO2",I343="TU2"),J343,IF(OR(I343="AH1",I343="AH2"),IF(OR(I344="AH1",I344="AH2"),-J343,IF(OR(I344="EH1",I344="EH2"),-J343+0.5,"")),IF(OR(I343="EH1",I343="EH2"),IF(OR(I344="AH1",I344="AH2"),-J343+0.5,IF(OR(I344="EH1",I344="EH2"),-J343+1,"")),IF(AND(OR(I343="DNB1",I343="DNB2"),OR(I344="AH1",I344="AH2")),0,IF(AND(I343="Not ScoreBoth",OR(I344="TO1",I344="TO2")),0.5,"")))))</f>
        <v>1.5</v>
      </c>
      <c r="K344" t="s" s="217">
        <v>41</v>
      </c>
      <c r="L344" s="218">
        <v>2.2</v>
      </c>
      <c r="M344" s="219">
        <v>9.369999999999999</v>
      </c>
      <c r="N344" s="120"/>
      <c r="O344" s="220">
        <f>IF(OR(AE343="",AE344=""),"",ROUND(IF(L345&gt;0,IF(M344&gt;0,M344,IF(M343&gt;0,IF(N343=TRUE,ROUND((M343*AE344)/AE343,0),(M343*AE344)/AE343),IF(M344&gt;0,ROUND(M344,IF(N343=0,2,IF(N343=0.1,1,0))),IF(M345&gt;0,ROUND(O345*AE344/AE345,IF(N343=0,2,IF(N343=0.1,1,0))),0)))),IF(M344&gt;0,M344,ROUND((M343*AE344)/AE343,IF(N343=0,2,IF(N343=0.1,1,0))))),2))</f>
        <v>9.369999999999999</v>
      </c>
      <c r="P344" s="221">
        <f>IF(OR(L344="",O344=""),"",IF($C344="1/2W",O344/2+O344/2*L344,IF($C344="1/2L",O344/2,IF(I344="Lay",((O344*(L344/(L344-1)))-O344)*(1-_xlfn.XLOOKUP(K344,'Janeiro 2023 - Valor Real'!A3:A15,'Janeiro 2023 - Valor Real'!C3:C15,0))+O344,(O344*L344-O344)*(1-_xlfn.XLOOKUP(K344,'Janeiro 2023 - Valor Real'!A3:A15,'Janeiro 2023 - Valor Real'!C3:C15,0))+O344))))</f>
        <v>20.614</v>
      </c>
      <c r="Q344" s="222">
        <f>IF(K344="","",IF(_xlfn.XLOOKUP(K344,K117:K$123,DJ117:DJ$123,0,,-1)=DJ344,_xlfn.XLOOKUP(K344,K117:K$123,Q117:Q$123,1,,-1)+1,1))</f>
        <v>1</v>
      </c>
      <c r="R344" s="223">
        <f>IF(K344="","",_xlfn.XLOOKUP(K344,K117:K$123,R117:R$123,0,,-1)+IF($C344=" ",1,0))</f>
        <v>0</v>
      </c>
      <c r="S344" s="125"/>
      <c r="T344" s="126"/>
      <c r="U344" s="126"/>
      <c r="V344" s="224"/>
      <c r="W344" s="126"/>
      <c r="X344" s="127"/>
      <c r="Y344" s="128"/>
      <c r="Z344" s="129"/>
      <c r="AA344" s="129"/>
      <c r="AB344" s="129"/>
      <c r="AC344" s="129"/>
      <c r="AD344" s="225">
        <f>(((L344/(L344-1)-1)*(1-_xlfn.XLOOKUP(K344,'Janeiro 2023 - Valor Real'!A3:A15,'Janeiro 2023 - Valor Real'!C3:C15,0))+1))</f>
        <v>1.83333333333333</v>
      </c>
      <c r="AE344" s="226">
        <f>IF(L344="","",IF(L345&gt;0,(SUM(((L343-1)*(1-_xlfn.XLOOKUP(K343,'Janeiro 2023 - Valor Real'!A3:A15,'Janeiro 2023 - Valor Real'!C3:C15,0))+1),((L344-1)*(1-_xlfn.XLOOKUP(K344,'Janeiro 2023 - Valor Real'!A3:A15,'Janeiro 2023 - Valor Real'!C3:C15,0))+1),((L345-1)*(1-_xlfn.XLOOKUP(K345,'Janeiro 2023 - Valor Real'!A3:A15,'Janeiro 2023 - Valor Real'!C3:C15,0))+1))/((L344-1)*(1-_xlfn.XLOOKUP(K344,'Janeiro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Real'!C3:C15,0))+1))/((L343-1)*(1-_xlfn.XLOOKUP(K343,'Janeiro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Real'!C3:C15,0))+1))/((L344-1)*(1-_xlfn.XLOOKUP(K344,'Janeiro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Real'!C3:C15,0))+1))/((L345-1)*(1-_xlfn.XLOOKUP(K345,'Janeiro 2023 - Valor Real'!A3:A15,'Janeiro 2023 - Valor Real'!C3:C15,0))+1)),IF(I344="Lay",IF(I343="Lay",((L343/(L343-1)-1)*(1-_xlfn.XLOOKUP(K343,'Janeiro 2023 - Valor Real'!A3:A15,'Janeiro 2023 - Valor Real'!C3:C15,0))+1)/(((L343/(L343-1)-1)*(1-_xlfn.XLOOKUP(K343,'Janeiro 2023 - Valor Real'!A3:A15,'Janeiro 2023 - Valor Real'!C3:C15,0))+1)+((L344/(L344-1)-1)*(1-_xlfn.XLOOKUP(K344,'Janeiro 2023 - Valor Real'!A3:A15,'Janeiro 2023 - Valor Real'!C3:C15,0))+1)),((L343-1)*(1-_xlfn.XLOOKUP(K343,'Janeiro 2023 - Valor Real'!A3:A15,'Janeiro 2023 - Valor Real'!C3:C15,0))+1)/(((L343-1)*(1-_xlfn.XLOOKUP(K343,'Janeiro 2023 - Valor Real'!A3:A15,'Janeiro 2023 - Valor Real'!C3:C15,0))+1)+((L344/(L344-1)-1)*(1-_xlfn.XLOOKUP(K344,'Janeiro 2023 - Valor Real'!A3:A15,'Janeiro 2023 - Valor Real'!C3:C15,0))+1))),IF(I343="Lay",((L343/(L343-1)-1)*(1-_xlfn.XLOOKUP(K343,'Janeiro 2023 - Valor Real'!A3:A15,'Janeiro 2023 - Valor Real'!C3:C15,0))+1)/((((L343/(L343-1)-1)*(1-_xlfn.XLOOKUP(K343,'Janeiro 2023 - Valor Real'!A3:A15,'Janeiro 2023 - Valor Real'!C3:C15,0))+1))+((L344-1)*(1-_xlfn.XLOOKUP(K344,'Janeiro 2023 - Valor Real'!A3:A15,'Janeiro 2023 - Valor Real'!C3:C15,0))+1)),((L343-1)*(1-_xlfn.XLOOKUP(K343,'Janeiro 2023 - Valor Real'!A3:A15,'Janeiro 2023 - Valor Real'!C3:C15,0))+1)/(((L343-1)*(1-_xlfn.XLOOKUP(K343,'Janeiro 2023 - Valor Real'!A3:A15,'Janeiro 2023 - Valor Real'!C3:C15,0))+1)+((L344-1)*(1-_xlfn.XLOOKUP(K344,'Janeiro 2023 - Valor Real'!A3:A15,'Janeiro 2023 - Valor Real'!C3:C15,0))+1))))))</f>
        <v>0.476190476190476</v>
      </c>
      <c r="AF344" s="197">
        <f>IF($K344=AF$3,ROUND(IF(OR($C344="W",$C344="1/2W",$C344="1/2L"),$P344-$O344,IF($C344="X",0,-$O344)),2),0)</f>
        <v>0</v>
      </c>
      <c r="AG344" s="198">
        <f>IF($K344=AG$3,ROUND(IF(OR($C344="W",$C344="1/2W",$C344="1/2L"),$P344-$O344,IF($C344="X",0,-$O344)),2),0)</f>
        <v>0</v>
      </c>
      <c r="AH344" s="198">
        <f>IF($K344=AH$3,ROUND(IF(OR($C344="W",$C344="1/2W",$C344="1/2L"),$P344-$O344,IF($C344="X",0,-$O344)),2),0)</f>
        <v>0</v>
      </c>
      <c r="AI344" s="198">
        <f>IF($K344=AI$3,ROUND(IF(OR($C344="W",$C344="1/2W",$C344="1/2L"),$P344-$O344,IF($C344="X",0,-$O344)),2),0)</f>
        <v>0</v>
      </c>
      <c r="AJ344" s="198">
        <f>IF($K344=AJ$3,ROUND(IF(OR($C344="W",$C344="1/2W",$C344="1/2L"),$P344-$O344,IF($C344="X",0,-$O344)),2),0)</f>
        <v>11.24</v>
      </c>
      <c r="AK344" s="198">
        <f>IF($K344=AK$3,ROUND(IF(OR($C344="W",$C344="1/2W",$C344="1/2L"),$P344-$O344,IF($C344="X",0,-$O344)),2),0)</f>
        <v>0</v>
      </c>
      <c r="AL344" s="198">
        <f>IF($K344=AL$3,ROUND(IF(OR($C344="W",$C344="1/2W",$C344="1/2L"),$P344-$O344,IF($C344="X",0,-$O344)),2),0)</f>
        <v>0</v>
      </c>
      <c r="AM344" s="198">
        <f>IF($K344=AM$3,ROUND(IF(OR($C344="W",$C344="1/2W",$C344="1/2L"),$P344-$O344,IF($C344="X",0,-$O344)),2),0)</f>
        <v>0</v>
      </c>
      <c r="AN344" s="198">
        <f>IF($K344=AN$3,ROUND(IF(OR($C344="W",$C344="1/2W",$C344="1/2L"),$P344-$O344,IF($C344="X",0,-$O344)),2),0)</f>
        <v>0</v>
      </c>
      <c r="AO344" s="198">
        <f>IF($K344=AO$3,ROUND(IF(OR($C344="W",$C344="1/2W",$C344="1/2L"),$P344-$O344,IF($C344="X",0,-$O344)),2),0)</f>
        <v>0</v>
      </c>
      <c r="AP344" s="198">
        <f>IF($K344=AP$3,ROUND(IF(OR($C344="W",$C344="1/2W",$C344="1/2L"),$P344-$O344,IF($C344="X",0,-$O344)),2),0)</f>
        <v>0</v>
      </c>
      <c r="AQ344" s="198">
        <f>IF($K344=AQ$3,ROUND(IF(OR($C344="W",$C344="1/2W",$C344="1/2L"),$P344-$O344,IF($C344="X",0,-$O344)),2),0)</f>
        <v>0</v>
      </c>
      <c r="AR344" s="199">
        <f>IF($K344=AR$3,ROUND(IF(OR($C344="W",$C344="1/2W",$C344="1/2L"),$P344-$O344,IF($C344="X",0,-$O344)),2),0)</f>
        <v>0</v>
      </c>
      <c r="AS344" s="197">
        <f>IF(AND($B343=" ",$K344=AS$3),$O344,0)</f>
        <v>0</v>
      </c>
      <c r="AT344" s="198">
        <f>IF(AND($B343=" ",K344=AT$3),$O344,0)</f>
        <v>0</v>
      </c>
      <c r="AU344" s="198">
        <f>IF(AND($B343=" ",$K344=AU$3),$O344,0)</f>
        <v>0</v>
      </c>
      <c r="AV344" s="198">
        <f>IF(AND($B343=" ",$K344=AV$3),$O344,0)</f>
        <v>0</v>
      </c>
      <c r="AW344" s="198">
        <f>IF(AND($B343=" ",$K344=AW$3),$O344,0)</f>
        <v>0</v>
      </c>
      <c r="AX344" s="198">
        <f>IF(AND($B343=" ",$K344=AX$3),$O344,0)</f>
        <v>0</v>
      </c>
      <c r="AY344" s="200">
        <f>IF(AND($B343=" ",$K344=AY$3),$O344,0)</f>
        <v>0</v>
      </c>
      <c r="AZ344" s="201">
        <f>IF(AND($B343=" ",$K344=AZ$3),$O344,0)</f>
        <v>0</v>
      </c>
      <c r="BA344" s="201">
        <f>IF(AND($B343=" ",$K344=BA$3),$O344,0)</f>
        <v>0</v>
      </c>
      <c r="BB344" s="201">
        <f>IF(AND($B343=" ",$K344=BB$3),$O344,0)</f>
        <v>0</v>
      </c>
      <c r="BC344" s="202">
        <f>IF(AND($B343=" ",$K344=BC$3),$O344,0)</f>
        <v>0</v>
      </c>
      <c r="BD344" s="198">
        <f>IF(AND($B343=" ",$K344=BD$3),$O344,0)</f>
        <v>0</v>
      </c>
      <c r="BE344" s="199">
        <f>IF(AND($B343=" ",$K344=BE$3),$O344,0)</f>
        <v>0</v>
      </c>
      <c r="BF344" s="197">
        <f>IF($K344=BF$3,IF($C344="X",0,$O344),0)</f>
        <v>0</v>
      </c>
      <c r="BG344" s="198">
        <f>IF($K344=BG$3,IF($C344="X",0,$O344),0)</f>
        <v>0</v>
      </c>
      <c r="BH344" s="198">
        <f>IF($K344=BH$3,IF($C344="X",0,$O344),0)</f>
        <v>0</v>
      </c>
      <c r="BI344" s="198">
        <f>IF($K344=BI$3,IF($C344="X",0,$O344),0)</f>
        <v>0</v>
      </c>
      <c r="BJ344" s="198">
        <f>IF($K344=BJ$3,IF($C344="X",0,$O344),0)</f>
        <v>9.369999999999999</v>
      </c>
      <c r="BK344" s="198">
        <f>IF($K344=BK$3,IF($C344="X",0,$O344),0)</f>
        <v>0</v>
      </c>
      <c r="BL344" s="198">
        <f>IF($K344=BL$3,IF($C344="X",0,$O344),0)</f>
        <v>0</v>
      </c>
      <c r="BM344" s="227">
        <f>IF($K344=BM$3,IF($C344="X",0,$O344),0)</f>
        <v>0</v>
      </c>
      <c r="BN344" s="205">
        <f>IF($K344=BN$3,IF($C344="X",0,$O344),0)</f>
        <v>0</v>
      </c>
      <c r="BO344" s="205">
        <f>IF($K344=BO$3,IF($C344="X",0,$O344),0)</f>
        <v>0</v>
      </c>
      <c r="BP344" s="205">
        <f>IF($K344=BP$3,IF($C344="X",0,$O344),0)</f>
        <v>0</v>
      </c>
      <c r="BQ344" s="202">
        <f>IF($K344=BQ$3,IF($C344="X",0,$O344),0)</f>
        <v>0</v>
      </c>
      <c r="BR344" s="199">
        <f>IF($K344=BR$3,IF($C344="X",0,$O344),0)</f>
        <v>0</v>
      </c>
      <c r="BS344" s="228"/>
      <c r="BT344" s="229"/>
      <c r="BU344" s="140"/>
      <c r="BV344" s="229"/>
      <c r="BW344" s="140"/>
      <c r="BX344" s="140"/>
      <c r="BY344" s="140"/>
      <c r="BZ344" s="229"/>
      <c r="CA344" s="140"/>
      <c r="CB344" s="140"/>
      <c r="CC344" s="140"/>
      <c r="CD344" s="141"/>
      <c r="CE344" s="142"/>
      <c r="CF344" s="230">
        <f>IF(CF$3=$K344,IF($C344="W",1,IF($C344="1/2W",0.5,0)),0)</f>
        <v>0</v>
      </c>
      <c r="CG344" s="231">
        <f>IF(CF$3=$K344,IF($C344="L",1,IF($C344="1/2L",0.5,0)),0)</f>
        <v>0</v>
      </c>
      <c r="CH344" s="231">
        <f>IF(CH$3=$K344,IF($C344="W",1,IF($C344="1/2W",0.5,0)),0)</f>
        <v>0</v>
      </c>
      <c r="CI344" s="231">
        <f>IF(CH$3=$K344,IF($C344="L",1,IF($C344="1/2L",0.5,0)),0)</f>
        <v>0</v>
      </c>
      <c r="CJ344" s="231">
        <f>IF(CJ$3=$K344,IF($C344="W",1,IF($C344="1/2W",0.5,0)),0)</f>
        <v>0</v>
      </c>
      <c r="CK344" s="231">
        <f>IF(CJ$3=$K344,IF($C344="L",1,IF($C344="1/2L",0.5,0)),0)</f>
        <v>0</v>
      </c>
      <c r="CL344" s="231">
        <f>IF(CL$3=$K344,IF($C344="W",1,IF($C344="1/2W",0.5,0)),0)</f>
        <v>0</v>
      </c>
      <c r="CM344" s="231">
        <f>IF(CL$3=$K344,IF($C344="L",1,IF($C344="1/2L",0.5,0)),0)</f>
        <v>0</v>
      </c>
      <c r="CN344" s="231">
        <f>IF(CN$3=$K344,IF($C344="W",1,IF($C344="1/2W",0.5,0)),0)</f>
        <v>1</v>
      </c>
      <c r="CO344" s="231">
        <f>IF(CN$3=$K344,IF($C344="L",1,IF($C344="1/2L",0.5,0)),0)</f>
        <v>0</v>
      </c>
      <c r="CP344" s="231">
        <f>IF(CP$3=$K344,IF($C344="W",1,IF($C344="1/2W",0.5,0)),0)</f>
        <v>0</v>
      </c>
      <c r="CQ344" s="231">
        <f>IF(CP$3=$K344,IF($C344="L",1,IF($C344="1/2L",0.5,0)),0)</f>
        <v>0</v>
      </c>
      <c r="CR344" s="231">
        <f>IF(CR$3=$K344,IF($C344="W",1,IF($C344="1/2W",0.5,0)),0)</f>
        <v>0</v>
      </c>
      <c r="CS344" s="231">
        <f>IF(CR$3=$K344,IF($C344="L",1,IF($C344="1/2L",0.5,0)),0)</f>
        <v>0</v>
      </c>
      <c r="CT344" s="208">
        <f>IF(CT$3=$K344,IF($C344="W",1,IF($C344="1/2W",0.5,0)),0)</f>
        <v>0</v>
      </c>
      <c r="CU344" s="209">
        <f>IF(CT$3=$K344,IF($C344="L",1,IF($C344="1/2L",0.5,0)),0)</f>
        <v>0</v>
      </c>
      <c r="CV344" s="209">
        <f>IF(CV$3=$K344,IF($C344="W",1,IF($C344="1/2W",0.5,0)),0)</f>
        <v>0</v>
      </c>
      <c r="CW344" s="209">
        <f>IF(CV$3=$K344,IF($C344="L",1,IF($C344="1/2L",0.5,0)),0)</f>
        <v>0</v>
      </c>
      <c r="CX344" s="209">
        <f>IF(CX$3=$K344,IF($C344="W",1,IF($C344="1/2W",0.5,0)),0)</f>
        <v>0</v>
      </c>
      <c r="CY344" s="209">
        <f>IF(CX$3=$K344,IF($C344="L",1,IF($C344="1/2L",0.5,0)),0)</f>
        <v>0</v>
      </c>
      <c r="CZ344" s="209">
        <f>IF(CZ$3=$K344,IF($C344="W",1,IF($C344="1/2W",0.5,0)),0)</f>
        <v>0</v>
      </c>
      <c r="DA344" s="209">
        <f>IF(CZ$3=$K344,IF($C344="L",1,IF($C344="1/2L",0.5,0)),0)</f>
        <v>0</v>
      </c>
      <c r="DB344" s="209">
        <f>IF(DB$3=$K344,IF($C344="W",1,IF($C344="1/2W",0.5,0)),0)</f>
        <v>0</v>
      </c>
      <c r="DC344" s="209">
        <f>IF(DB$3=$K344,IF($C344="L",1,IF($C344="1/2L",0.5,0)),0)</f>
        <v>0</v>
      </c>
      <c r="DD344" s="209">
        <f>IF(DD$3=$K344,IF($C344="W",1,IF($C344="1/2W",0.5,0)),0)</f>
        <v>0</v>
      </c>
      <c r="DE344" s="210">
        <f>IF(DD$3=$K344,IF($C344="L",1,IF($C344="1/2L",0.5,0)),0)</f>
        <v>0</v>
      </c>
      <c r="DF344" s="211">
        <f>IF(AND(L344&lt;DF$3,$C344="W"),1+DF343,DF343)</f>
        <v>12</v>
      </c>
      <c r="DG344" s="198">
        <f>IF(DF344&gt;DF343,L344+DG343,DG343)</f>
        <v>15.718</v>
      </c>
      <c r="DH344" s="209">
        <f>IF(AND(L344&gt;DH$3,$C344="W"),1+DH343,0+DH343)</f>
        <v>7</v>
      </c>
      <c r="DI344" s="198">
        <f>IF(DH344&gt;DH343,L344+DI343,DI343)</f>
        <v>34.83</v>
      </c>
      <c r="DJ344" t="s" s="306">
        <f>IF($D343="","",$D343)</f>
        <v>298</v>
      </c>
      <c r="DK344" s="232"/>
    </row>
    <row r="345" ht="14.55" customHeight="1">
      <c r="A345" s="149"/>
      <c r="B345" s="150"/>
      <c r="C345" t="s" s="233">
        <v>58</v>
      </c>
      <c r="D345" s="152"/>
      <c r="E345" s="153"/>
      <c r="F345" s="155"/>
      <c r="G345" s="234"/>
      <c r="H345" s="156"/>
      <c r="I345" s="235"/>
      <c r="J345" s="236"/>
      <c r="K345" s="237"/>
      <c r="L345" s="238"/>
      <c r="M345" s="239"/>
      <c r="N345" s="161"/>
      <c r="O345" t="s" s="240">
        <f>IF(OR(AE343="",AE344=""),"",IF(L345&gt;0,ROUND(IF(M345&gt;0,M345,IF(M343&gt;0,ROUND((M343*AE345)/AE343,IF(N343=0,2,IF(N343=0.1,1,0))),IF(M344&gt;0,ROUND((M344*AE345)/AE344,IF(N343=0,2,IF(N343=0.1,1,0))),IF(M345&gt;0,M345,0)))),2),""))</f>
      </c>
      <c r="P345" t="s" s="241">
        <f>IF(I344="Lay",O344*(L344/(L344-1))-O344,IF(I343="Lay",O343*(L343/(L343-1))-O343,IF(OR(L345="",O345=""),"",IF($C345="1/2W",O345/2+O345/2*L345,IF($C345="1/2L",O345/2,(O345*L345-O345)*(1-_xlfn.XLOOKUP(K345,'Janeiro 2023 - Valor Real'!A3:A15,'Janeiro 2023 - Valor Real'!C3:C15,0))+O345)))))</f>
      </c>
      <c r="Q345" t="s" s="242">
        <f>IF(K345="","",IF(_xlfn.XLOOKUP(K345,K118:K$124,DJ118:DJ$124,0,,-1)=DJ345,_xlfn.XLOOKUP(K345,K118:K$124,Q118:Q$124,1,,-1)+1,1))</f>
      </c>
      <c r="R345" t="s" s="243">
        <f>IF(K345="","",_xlfn.XLOOKUP(K345,K118:K$124,R118:R$124,0,,-1)+IF($C345=" ",1,0))</f>
      </c>
      <c r="S345" s="166"/>
      <c r="T345" s="155"/>
      <c r="U345" s="155"/>
      <c r="V345" s="166"/>
      <c r="W345" s="155"/>
      <c r="X345" s="167"/>
      <c r="Y345" s="128"/>
      <c r="Z345" s="129"/>
      <c r="AA345" s="129"/>
      <c r="AB345" s="129"/>
      <c r="AC345" s="129"/>
      <c r="AD345" s="244">
        <f>((L344/(L344-1)-1))</f>
        <v>0.833333333333333</v>
      </c>
      <c r="AE345" t="s" s="245">
        <f>IF(L345="","",(SUM(((L343-1)*(1-_xlfn.XLOOKUP(K343,'Janeiro 2023 - Valor Real'!A3:A15,'Janeiro 2023 - Valor Real'!C3:C15,0))+1),((L344-1)*(1-_xlfn.XLOOKUP(K344,'Janeiro 2023 - Valor Real'!A3:A15,'Janeiro 2023 - Valor Real'!C3:C15,0))+1),((L345-1)*(1-_xlfn.XLOOKUP(K345,'Janeiro 2023 - Valor Real'!A3:A15,'Janeiro 2023 - Valor Real'!C3:C15,0))+1))/((L345-1)*(1-_xlfn.XLOOKUP(K345,'Janeiro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Real'!C3:C15,0))+1))/((L343-1)*(1-_xlfn.XLOOKUP(K343,'Janeiro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Real'!C3:C15,0))+1))/((L344-1)*(1-_xlfn.XLOOKUP(K344,'Janeiro 2023 - Valor Real'!A3:A15,'Janeiro 2023 - Valor Real'!C3:C15,0))+1)+SUM(((L343-1)*(1-_xlfn.XLOOKUP(K343,'Janeiro 2023 - Valor Real'!A3:A15,'Janeiro 2023 - Valor Real'!C3:C15,0))+1),((L344-1)*(1-_xlfn.XLOOKUP(K344,'Janeiro 2023 - Valor Real'!A3:A15,'Janeiro 2023 - Valor Real'!C3:C15,0))+1),((L345-1)*(1-_xlfn.XLOOKUP(K345,'Janeiro 2023 - Valor Real'!A3:A15,'Janeiro 2023 - Valor Real'!C3:C15,0))+1))/((L345-1)*(1-_xlfn.XLOOKUP(K345,'Janeiro 2023 - Valor Real'!A3:A15,'Janeiro 2023 - Valor Real'!C3:C15,0))+1)))</f>
      </c>
      <c r="AF345" s="197">
        <f>IF($K345=AF$3,ROUND(IF(OR($C345="W",$C345="1/2W",$C345="1/2L"),$P345-$O345,IF($C345="X",0,-$O345)),2),0)</f>
        <v>0</v>
      </c>
      <c r="AG345" s="198">
        <f>IF($K345=AG$3,ROUND(IF(OR($C345="W",$C345="1/2W",$C345="1/2L"),$P345-$O345,IF($C345="X",0,-$O345)),2),0)</f>
        <v>0</v>
      </c>
      <c r="AH345" s="198">
        <f>IF($K345=AH$3,ROUND(IF(OR($C345="W",$C345="1/2W",$C345="1/2L"),$P345-$O345,IF($C345="X",0,-$O345)),2),0)</f>
        <v>0</v>
      </c>
      <c r="AI345" s="198">
        <f>IF($K345=AI$3,ROUND(IF(OR($C345="W",$C345="1/2W",$C345="1/2L"),$P345-$O345,IF($C345="X",0,-$O345)),2),0)</f>
        <v>0</v>
      </c>
      <c r="AJ345" s="198">
        <f>IF($K345=AJ$3,ROUND(IF(OR($C345="W",$C345="1/2W",$C345="1/2L"),$P345-$O345,IF($C345="X",0,-$O345)),2),0)</f>
        <v>0</v>
      </c>
      <c r="AK345" s="198">
        <f>IF($K345=AK$3,ROUND(IF(OR($C345="W",$C345="1/2W",$C345="1/2L"),$P345-$O345,IF($C345="X",0,-$O345)),2),0)</f>
        <v>0</v>
      </c>
      <c r="AL345" s="198">
        <f>IF($K345=AL$3,ROUND(IF(OR($C345="W",$C345="1/2W",$C345="1/2L"),$P345-$O345,IF($C345="X",0,-$O345)),2),0)</f>
        <v>0</v>
      </c>
      <c r="AM345" s="198">
        <f>IF($K345=AM$3,ROUND(IF(OR($C345="W",$C345="1/2W",$C345="1/2L"),$P345-$O345,IF($C345="X",0,-$O345)),2),0)</f>
        <v>0</v>
      </c>
      <c r="AN345" s="198">
        <f>IF($K345=AN$3,ROUND(IF(OR($C345="W",$C345="1/2W",$C345="1/2L"),$P345-$O345,IF($C345="X",0,-$O345)),2),0)</f>
        <v>0</v>
      </c>
      <c r="AO345" s="198">
        <f>IF($K345=AO$3,ROUND(IF(OR($C345="W",$C345="1/2W",$C345="1/2L"),$P345-$O345,IF($C345="X",0,-$O345)),2),0)</f>
        <v>0</v>
      </c>
      <c r="AP345" s="198">
        <f>IF($K345=AP$3,ROUND(IF(OR($C345="W",$C345="1/2W",$C345="1/2L"),$P345-$O345,IF($C345="X",0,-$O345)),2),0)</f>
        <v>0</v>
      </c>
      <c r="AQ345" s="198">
        <f>IF($K345=AQ$3,ROUND(IF(OR($C345="W",$C345="1/2W",$C345="1/2L"),$P345-$O345,IF($C345="X",0,-$O345)),2),0)</f>
        <v>0</v>
      </c>
      <c r="AR345" s="199">
        <f>IF($K345=AR$3,ROUND(IF(OR($C345="W",$C345="1/2W",$C345="1/2L"),$P345-$O345,IF($C345="X",0,-$O345)),2),0)</f>
        <v>0</v>
      </c>
      <c r="AS345" s="197">
        <f>IF(AND($B343=" ",$K345=AS$3),$O345,0)</f>
        <v>0</v>
      </c>
      <c r="AT345" s="198">
        <f>IF(AND($B343=" ",K345=AT$3),$O345,0)</f>
        <v>0</v>
      </c>
      <c r="AU345" s="198">
        <f>IF(AND($B343=" ",$K345=AU$3),$O345,0)</f>
        <v>0</v>
      </c>
      <c r="AV345" s="198">
        <f>IF(AND($B343=" ",$K345=AV$3),$O345,0)</f>
        <v>0</v>
      </c>
      <c r="AW345" s="198">
        <f>IF(AND($B343=" ",$K345=AW$3),$O345,0)</f>
        <v>0</v>
      </c>
      <c r="AX345" s="198">
        <f>IF(AND($B343=" ",$K345=AX$3),$O345,0)</f>
        <v>0</v>
      </c>
      <c r="AY345" s="200">
        <f>IF(AND($B343=" ",$K345=AY$3),$O345,0)</f>
        <v>0</v>
      </c>
      <c r="AZ345" s="201">
        <f>IF(AND($B343=" ",$K345=AZ$3),$O345,0)</f>
        <v>0</v>
      </c>
      <c r="BA345" s="201">
        <f>IF(AND($B343=" ",$K345=BA$3),$O345,0)</f>
        <v>0</v>
      </c>
      <c r="BB345" s="201">
        <f>IF(AND($B343=" ",$K345=BB$3),$O345,0)</f>
        <v>0</v>
      </c>
      <c r="BC345" s="202">
        <f>IF(AND($B343=" ",$K345=BC$3),$O345,0)</f>
        <v>0</v>
      </c>
      <c r="BD345" s="198">
        <f>IF(AND($B343=" ",$K345=BD$3),$O345,0)</f>
        <v>0</v>
      </c>
      <c r="BE345" s="199">
        <f>IF(AND($B343=" ",$K345=BE$3),$O345,0)</f>
        <v>0</v>
      </c>
      <c r="BF345" s="197">
        <f>IF($K345=BF$3,IF($C345="X",0,$O345),0)</f>
        <v>0</v>
      </c>
      <c r="BG345" s="198">
        <f>IF($K345=BG$3,IF($C345="X",0,$O345),0)</f>
        <v>0</v>
      </c>
      <c r="BH345" s="198">
        <f>IF($K345=BH$3,IF($C345="X",0,$O345),0)</f>
        <v>0</v>
      </c>
      <c r="BI345" s="198">
        <f>IF($K345=BI$3,IF($C345="X",0,$O345),0)</f>
        <v>0</v>
      </c>
      <c r="BJ345" s="198">
        <f>IF($K345=BJ$3,IF($C345="X",0,$O345),0)</f>
        <v>0</v>
      </c>
      <c r="BK345" s="198">
        <f>IF($K345=BK$3,IF($C345="X",0,$O345),0)</f>
        <v>0</v>
      </c>
      <c r="BL345" s="198">
        <f>IF($K345=BL$3,IF($C345="X",0,$O345),0)</f>
        <v>0</v>
      </c>
      <c r="BM345" s="200">
        <f>IF($K345=BM$3,IF($C345="X",0,$O345),0)</f>
        <v>0</v>
      </c>
      <c r="BN345" s="201">
        <f>IF($K345=BN$3,IF($C345="X",0,$O345),0)</f>
        <v>0</v>
      </c>
      <c r="BO345" s="201">
        <f>IF($K345=BO$3,IF($C345="X",0,$O345),0)</f>
        <v>0</v>
      </c>
      <c r="BP345" s="201">
        <f>IF($K345=BP$3,IF($C345="X",0,$O345),0)</f>
        <v>0</v>
      </c>
      <c r="BQ345" s="202">
        <f>IF($K345=BQ$3,IF($C345="X",0,$O345),0)</f>
        <v>0</v>
      </c>
      <c r="BR345" s="199">
        <f>IF($K345=BR$3,IF($C345="X",0,$O345),0)</f>
        <v>0</v>
      </c>
      <c r="BS345" s="228"/>
      <c r="BT345" s="229"/>
      <c r="BU345" s="140"/>
      <c r="BV345" s="229"/>
      <c r="BW345" s="140"/>
      <c r="BX345" s="140"/>
      <c r="BY345" s="140"/>
      <c r="BZ345" s="229"/>
      <c r="CA345" s="140"/>
      <c r="CB345" s="140"/>
      <c r="CC345" s="140"/>
      <c r="CD345" s="141"/>
      <c r="CE345" s="142"/>
      <c r="CF345" s="230">
        <f>IF(CF$3=$K345,IF($C345="W",1,IF($C345="1/2W",0.5,0)),0)</f>
        <v>0</v>
      </c>
      <c r="CG345" s="231">
        <f>IF(CF$3=$K345,IF($C345="L",1,IF($C345="1/2L",0.5,0)),0)</f>
        <v>0</v>
      </c>
      <c r="CH345" s="231">
        <f>IF(CH$3=$K345,IF($C345="W",1,IF($C345="1/2W",0.5,0)),0)</f>
        <v>0</v>
      </c>
      <c r="CI345" s="231">
        <f>IF(CH$3=$K345,IF($C345="L",1,IF($C345="1/2L",0.5,0)),0)</f>
        <v>0</v>
      </c>
      <c r="CJ345" s="231">
        <f>IF(CJ$3=$K345,IF($C345="W",1,IF($C345="1/2W",0.5,0)),0)</f>
        <v>0</v>
      </c>
      <c r="CK345" s="231">
        <f>IF(CJ$3=$K345,IF($C345="L",1,IF($C345="1/2L",0.5,0)),0)</f>
        <v>0</v>
      </c>
      <c r="CL345" s="231">
        <f>IF(CL$3=$K345,IF($C345="W",1,IF($C345="1/2W",0.5,0)),0)</f>
        <v>0</v>
      </c>
      <c r="CM345" s="231">
        <f>IF(CL$3=$K345,IF($C345="L",1,IF($C345="1/2L",0.5,0)),0)</f>
        <v>0</v>
      </c>
      <c r="CN345" s="231">
        <f>IF(CN$3=$K345,IF($C345="W",1,IF($C345="1/2W",0.5,0)),0)</f>
        <v>0</v>
      </c>
      <c r="CO345" s="231">
        <f>IF(CN$3=$K345,IF($C345="L",1,IF($C345="1/2L",0.5,0)),0)</f>
        <v>0</v>
      </c>
      <c r="CP345" s="231">
        <f>IF(CP$3=$K345,IF($C345="W",1,IF($C345="1/2W",0.5,0)),0)</f>
        <v>0</v>
      </c>
      <c r="CQ345" s="231">
        <f>IF(CP$3=$K345,IF($C345="L",1,IF($C345="1/2L",0.5,0)),0)</f>
        <v>0</v>
      </c>
      <c r="CR345" s="231">
        <f>IF(CR$3=$K345,IF($C345="W",1,IF($C345="1/2W",0.5,0)),0)</f>
        <v>0</v>
      </c>
      <c r="CS345" s="231">
        <f>IF(CR$3=$K345,IF($C345="L",1,IF($C345="1/2L",0.5,0)),0)</f>
        <v>0</v>
      </c>
      <c r="CT345" s="208">
        <f>IF(CT$3=$K345,IF($C345="W",1,IF($C345="1/2W",0.5,0)),0)</f>
        <v>0</v>
      </c>
      <c r="CU345" s="209">
        <f>IF(CT$3=$K345,IF($C345="L",1,IF($C345="1/2L",0.5,0)),0)</f>
        <v>0</v>
      </c>
      <c r="CV345" s="209">
        <f>IF(CV$3=$K345,IF($C345="W",1,IF($C345="1/2W",0.5,0)),0)</f>
        <v>0</v>
      </c>
      <c r="CW345" s="209">
        <f>IF(CV$3=$K345,IF($C345="L",1,IF($C345="1/2L",0.5,0)),0)</f>
        <v>0</v>
      </c>
      <c r="CX345" s="209">
        <f>IF(CX$3=$K345,IF($C345="W",1,IF($C345="1/2W",0.5,0)),0)</f>
        <v>0</v>
      </c>
      <c r="CY345" s="209">
        <f>IF(CX$3=$K345,IF($C345="L",1,IF($C345="1/2L",0.5,0)),0)</f>
        <v>0</v>
      </c>
      <c r="CZ345" s="209">
        <f>IF(CZ$3=$K345,IF($C345="W",1,IF($C345="1/2W",0.5,0)),0)</f>
        <v>0</v>
      </c>
      <c r="DA345" s="209">
        <f>IF(CZ$3=$K345,IF($C345="L",1,IF($C345="1/2L",0.5,0)),0)</f>
        <v>0</v>
      </c>
      <c r="DB345" s="209">
        <f>IF(DB$3=$K345,IF($C345="W",1,IF($C345="1/2W",0.5,0)),0)</f>
        <v>0</v>
      </c>
      <c r="DC345" s="209">
        <f>IF(DB$3=$K345,IF($C345="L",1,IF($C345="1/2L",0.5,0)),0)</f>
        <v>0</v>
      </c>
      <c r="DD345" s="209">
        <f>IF(DD$3=$K345,IF($C345="W",1,IF($C345="1/2W",0.5,0)),0)</f>
        <v>0</v>
      </c>
      <c r="DE345" s="210">
        <f>IF(DD$3=$K345,IF($C345="L",1,IF($C345="1/2L",0.5,0)),0)</f>
        <v>0</v>
      </c>
      <c r="DF345" s="211">
        <f>IF(AND(L345&lt;DF$3,$C345="W"),1+DF344,DF344)</f>
        <v>12</v>
      </c>
      <c r="DG345" s="198">
        <f>IF(DF345&gt;DF344,L345+DG344,DG344)</f>
        <v>15.718</v>
      </c>
      <c r="DH345" s="209">
        <f>IF(AND(L345&gt;DH$3,$C345="W"),1+DH344,0+DH344)</f>
        <v>7</v>
      </c>
      <c r="DI345" s="198">
        <f>IF(DH345&gt;DH344,L345+DI344,DI344)</f>
        <v>34.83</v>
      </c>
      <c r="DJ345" t="s" s="306">
        <f>IF($D343="","",$D343)</f>
        <v>298</v>
      </c>
      <c r="DK345" s="232"/>
    </row>
    <row r="346" ht="14.55" customHeight="1">
      <c r="A346" s="246">
        <f>$A343+1</f>
        <v>115</v>
      </c>
      <c r="B346" t="s" s="247">
        <f>IF(AND(_xlfn.XLOOKUP(H346,H$107:H113,G$107:G113,0)=G346,_xlfn.XLOOKUP("TempoBet",K346:K348,L346:L348,0)&gt;0),"X",IF(OR(C346="W",C347="W",C348="W",C346="1/2W",C347="1/2W",C348="1/2W",C346="1/2L",C347="1/2L",C348="1/2L"),"OK",IF(OR(C346="L",C347="L",C348="L"),"LOSS",IF(OR(C346="X",C347="X",C348="X"),"Anulado"," "))))</f>
        <v>50</v>
      </c>
      <c r="C346" t="s" s="248">
        <v>56</v>
      </c>
      <c r="D346" t="s" s="303">
        <f>IF(G346="","",$D343)</f>
        <v>298</v>
      </c>
      <c r="E346" t="s" s="250">
        <v>59</v>
      </c>
      <c r="F346" t="s" s="251"/>
      <c r="G346" s="252">
        <v>44948.5625</v>
      </c>
      <c r="H346" t="s" s="253">
        <v>299</v>
      </c>
      <c r="I346" s="292">
        <v>2</v>
      </c>
      <c r="J346" s="293"/>
      <c r="K346" t="s" s="256">
        <v>41</v>
      </c>
      <c r="L346" s="257">
        <v>1.66</v>
      </c>
      <c r="M346" s="258">
        <v>17.05</v>
      </c>
      <c r="N346" s="259">
        <v>0</v>
      </c>
      <c r="O346" s="260">
        <f>IF(OR(AE346="",AE347=""),"",ROUND(IF(L348&gt;0,IF(M346&gt;0,M346,IF(M347&gt;0,ROUND((M347*AE346)/AE347,IF(N346=0,2,IF(N346=0.1,1,0))),ROUND((M348*AE346)/AE348,IF(N346=0,2,IF(N346=0.1,1,0))))),IF(M346&gt;0,M346,ROUND((M347*AE346)/AE347,IF(N346=0,2,IF(N346=0.1,1,0))))),2))</f>
        <v>17.05</v>
      </c>
      <c r="P346" s="261">
        <f>IF(OR(L346="",O346=""),"",IF($C346="1/2W",O346/2+O346/2*L346,IF($C346="1/2L",O346/2,IF(I346="Lay",(O346*(L346/(L346-1))-O346)*(1-_xlfn.XLOOKUP(K346,'Janeiro 2023 - Valor Real'!A3:A15,'Janeiro 2023 - Valor Real'!C3:C15,0))+O346,(O346*L346-O346)*(1-_xlfn.XLOOKUP(K346,'Janeiro 2023 - Valor Real'!A3:A15,'Janeiro 2023 - Valor Real'!C3:C15,0))+O346))))</f>
        <v>28.303</v>
      </c>
      <c r="Q346" s="262">
        <f>IF(K346="","",IF(_xlfn.XLOOKUP(K346,K$107:K113,DJ$107:DJ113,0,,-1)=DJ346,_xlfn.XLOOKUP(K346,K$107:K113,Q$107:Q113,1,,-1)+1,1))</f>
        <v>1</v>
      </c>
      <c r="R346" s="263">
        <f>IF(K346="","",_xlfn.XLOOKUP(K346,K$107:K113,R$107:R113,0,,-1)+IF($C346=" ",1,0))</f>
        <v>0</v>
      </c>
      <c r="S346" s="264">
        <f>IF($B346="Anulado",0,ROUND(IF(OR($B346="LOSS",$B346="OK"),IF(OR($C346="W",$C346="1/2W",$C346="1/2L"),P346-O346,IF($C346="L",-O346,0))+IF(OR($C347="W",$C347="1/2W",$C347="1/2L"),P347-O347,IF($C347="L",-O347,0))+IF(OR($C348="W",$C348="1/2W",$C348="1/2L"),P348-O348,IF($C348="L",-O348,0)),IF(AND(OR($C346="W",$C346="1/2W",$C346="1/2L"),C347="W"),P346+P347-SUM(O346:O348)+_xlfn.XLOOKUP("X",C346:C348,O346:O348,0),IF(AND(C346=TRUE,C348="W"),P346+P348-SUM(O346:O348),IF(AND(C347="W",C348="W"),P347+P348-SUM(O346:O348)+_xlfn.XLOOKUP("X",C346:C348,O346:O348,0),IF(L348&gt;0,IF(OR($C346="W",$C346="1/2W",$C346="1/2L"),P346-SUM(O346:O348)+_xlfn.XLOOKUP("X",C346:C348,O346:O348,0),IF(OR($C346="W",$C346="1/2W",$C346="1/2L"),P347-SUM(O346:O348)+_xlfn.XLOOKUP("X",C346:C348,O346:O348,0),IF(OR($C346="W",$C346="1/2W",$C346="1/2L"),P348-SUM(O346:O348)+_xlfn.XLOOKUP("X",C346:C348,O346:O348,0),IF(SUM(P346:P348)/3-SUM(O346:O348)+_xlfn.XLOOKUP("X",C346:C348,O346:O348,0)&gt;0,SUM(P346:P348)/3-SUM(O346:O348)+_xlfn.XLOOKUP("X",C346:C348,O346:O348,0),LARGE(P346:P348,1)-SUM(O346:O348))))),IF(OR($C346="W",$C346="1/2W",$C346="1/2L"),P346-SUM(O346:O347)+_xlfn.XLOOKUP("X",C346:C348,O346:O348,0),IF(OR($C346="W",$C346="1/2W",$C346="1/2L"),P347-SUM(O346:O347)+_xlfn.XLOOKUP("X",C346:C348,O346:O348,0),SUM(P346:P347)/2-SUM(O346:O347)+_xlfn.XLOOKUP("X",C346:C348,O346:O348,0)))))))),2))</f>
        <v>1.25</v>
      </c>
      <c r="T346" s="265">
        <f>IF(S346=0,0,S346/SUM(O346:O348))</f>
        <v>0.0462107208872458</v>
      </c>
      <c r="U346" s="266">
        <f>IF($D346=$D343,IF(OR($B346="LOSS",$B346="OK",$B346="Anulada"),S346,0)+U343,IF(OR($B346="LOSS",$B346="OK",$B346="Anulada"),S346,0))</f>
        <v>2.18</v>
      </c>
      <c r="V346" s="266">
        <f>IF($D346="",0,IF($D346=$D343,IF($B346=" ",IF(I348="",IF(OR(AND(I346="DNB1",I347="DNB2"),AND(OR(I346="DNB1",I346="DNB2"),J347=0),AND(OR(I347="DNB1",I347="DNB2"),J346=0),AND(I346="DNB2",I347="DNB1"),AND(IF(J346=0,(J346+1)/ROUND(J346+1,0),J346/ROUND(J346,0))=1,IF(J347=0,(J347+1)/ROUND(IF(J347="",0,J347)+1,0),IF(J347="",0,J347)/ROUND(IF(J347="",1,J347),0))=1,OR(J346&lt;&gt;""),J347&lt;&gt;"")),0,IF(S346&lt;0,IF(I348="",SMALL(P346:P347,1)-SUM(O346:O347),0),SMALL(P346:P347,1)-SUM(O346:O347))),IF(S346&lt;0,IF(I348="",SMALL(P346:P348,1)-SUM(O346:O348),0),LARGE(P346:P348,1)-SUM(O346:O348))),S346)+V343,IF(I348="",IF(OR(AND(I346="DNB1",I347="DNB2"),AND(OR(I346="DNB1",I346="DNB2"),J347=0),AND(OR(I347="DNB1",I347="DNB2"),J346=0),AND(I346="DNB2",I347="DNB1"),AND(IF(J346=0,(J346+1)/ROUND(J346+1,0),J346/ROUND(J346,0))=1,IF(J347=0,(IF(J347="",0,J347)+1)/ROUND(IF(J347="",0,J347)+1,0),IF(J347="",0,J347)/ROUND(IF(J347="",0,J347)+1,0))=1,OR(J346&lt;&gt;""),J347&lt;&gt;"")),0,IF(S346&lt;0,IF(I348="",SMALL(P346:P347,1)-SUM(O346:O347),0),SMALL(P346:P348,1)-SUM(O346:O348))),IF(S346&lt;0,IF(I348="",SMALL(P346:P348,1)-SUM(O346:O348),0),LARGE(P346:P348,1)-SUM(O346:O348)))))</f>
        <v>2.184</v>
      </c>
      <c r="W346" s="266">
        <f>IF($D346=$D343,IF(S346&lt;0,IF(I348="",S346,0),S346)+W343,S346)</f>
        <v>2.18</v>
      </c>
      <c r="X346" t="s" s="267">
        <f>IF(OR(SUM(R346:R348)=0,V346=W346),ROUND(IF(W346=0,0,W346/Y346)*100,2)&amp;"%",ROUND(IF(V346=0,0,V346/Y346)*100,2)&amp;"% a "&amp;ROUND(IF(W346=0,0,W346/Y346)*100,2)&amp;"%")</f>
        <v>225</v>
      </c>
      <c r="Y346" s="268">
        <f>IF($D346=$D343,Y343+SUM(O346:O348),SUM(O346:O348))</f>
        <v>46.73</v>
      </c>
      <c r="Z346" s="266">
        <f>IF($B346=" ",SUM(O346:O348),0)+Z343</f>
        <v>0</v>
      </c>
      <c r="AA346" s="266">
        <f>IF(G346="","",IF($B346="Anulado",LARGE(P346:P348,1)-SUM(O346:O348)+AA343,AA343))</f>
        <v>16.5099</v>
      </c>
      <c r="AB346" s="266">
        <f>IF($D346="","",AB343+S346)</f>
        <v>248.37</v>
      </c>
      <c r="AC346" s="269">
        <f>IF($D346="","",IF($B346=" ",IF(DAY(G346)=DAY(TODAY()),1+AC343,0+AC343),0+AC343))</f>
        <v>0</v>
      </c>
      <c r="AD346" s="270">
        <f>(1-_xlfn.XLOOKUP(K344,'Janeiro 2023 - Valor Real'!A3:A15,'Janeiro 2023 - Valor Real'!C3:C15,0))+1</f>
        <v>2</v>
      </c>
      <c r="AE346" s="271">
        <f>IF(L346="","",IF(L348&gt;0,(SUM(((L346-1)*(1-_xlfn.XLOOKUP(K346,'Janeiro 2023 - Valor Real'!A3:A15,'Janeiro 2023 - Valor Real'!C3:C15,0))+1),((L347-1)*(1-_xlfn.XLOOKUP(K347,'Janeiro 2023 - Valor Real'!A3:A15,'Janeiro 2023 - Valor Real'!C3:C15,0))+1),((L348-1)*(1-_xlfn.XLOOKUP(K348,'Janeiro 2023 - Valor Real'!A3:A15,'Janeiro 2023 - Valor Real'!C3:C15,0))+1))/((L346-1)*(1-_xlfn.XLOOKUP(K346,'Janeiro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Real'!C3:C15,0))+1))/((L346-1)*(1-_xlfn.XLOOKUP(K346,'Janeiro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Real'!C3:C15,0))+1))/((L347-1)*(1-_xlfn.XLOOKUP(K347,'Janeiro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Real'!C3:C15,0))+1))/((L348-1)*(1-_xlfn.XLOOKUP(K348,'Janeiro 2023 - Valor Real'!A3:A15,'Janeiro 2023 - Valor Real'!C3:C15,0))+1)),IF(I346="Lay",IF(I347="Lay",((L347/(L347-1)-1)*(1-_xlfn.XLOOKUP(K347,'Janeiro 2023 - Valor Real'!A3:A15,'Janeiro 2023 - Valor Real'!C3:C15,0))+1)/(((L347/(L347-1)-1)*(1-_xlfn.XLOOKUP(K347,'Janeiro 2023 - Valor Real'!A3:A15,'Janeiro 2023 - Valor Real'!C3:C15,0))+1)+((L346/(L346-1)-1)*(1-_xlfn.XLOOKUP(K346,'Janeiro 2023 - Valor Real'!A3:A15,'Janeiro 2023 - Valor Real'!C3:C15,0))+1)),((L347-1)*(1-_xlfn.XLOOKUP(K347,'Janeiro 2023 - Valor Real'!A3:A15,'Janeiro 2023 - Valor Real'!C3:C15,0))+1)/(((L347-1)*(1-_xlfn.XLOOKUP(K347,'Janeiro 2023 - Valor Real'!A3:A15,'Janeiro 2023 - Valor Real'!C3:C15,0))+1)+((L346/(L346-1)-1)*(1-_xlfn.XLOOKUP(K346,'Janeiro 2023 - Valor Real'!A3:A15,'Janeiro 2023 - Valor Real'!C3:C15,0))+1))),IF(I347="Lay",(((L347/(L347-1)-1)*(1-_xlfn.XLOOKUP(K347,'Janeiro 2023 - Valor Real'!A3:A15,'Janeiro 2023 - Valor Real'!C3:C15,0))+1))/(((L346-1)*(1-_xlfn.XLOOKUP(K346,'Janeiro 2023 - Valor Real'!A3:A15,'Janeiro 2023 - Valor Real'!C3:C15,0))+1)+((L347/(L347-1)-1)*(1-_xlfn.XLOOKUP(K347,'Janeiro 2023 - Valor Real'!A3:A15,'Janeiro 2023 - Valor Real'!C3:C15,0))+1)),((L347-1)*(1-_xlfn.XLOOKUP(K347,'Janeiro 2023 - Valor Real'!A3:A15,'Janeiro 2023 - Valor Real'!C3:C15,0))+1)/(((L347-1)*(1-_xlfn.XLOOKUP(K347,'Janeiro 2023 - Valor Real'!A3:A15,'Janeiro 2023 - Valor Real'!C3:C15,0))+1)+((L346-1)*(1-_xlfn.XLOOKUP(K346,'Janeiro 2023 - Valor Real'!A3:A15,'Janeiro 2023 - Valor Real'!C3:C15,0))+1))))))</f>
        <v>0.630289532293987</v>
      </c>
      <c r="AF346" s="132">
        <f>IF($K346=AF$3,ROUND(IF(OR($C346="W",$C346="1/2W",$C346="1/2L"),$P346-$O346,IF($C346="X",0,-$O346)),2),0)</f>
        <v>0</v>
      </c>
      <c r="AG346" s="133">
        <f>IF($K346=AG$3,ROUND(IF(OR($C346="W",$C346="1/2W",$C346="1/2L"),$P346-$O346,IF($C346="X",0,-$O346)),2),0)</f>
        <v>0</v>
      </c>
      <c r="AH346" s="133">
        <f>IF($K346=AH$3,ROUND(IF(OR($C346="W",$C346="1/2W",$C346="1/2L"),$P346-$O346,IF($C346="X",0,-$O346)),2),0)</f>
        <v>0</v>
      </c>
      <c r="AI346" s="133">
        <f>IF($K346=AI$3,ROUND(IF(OR($C346="W",$C346="1/2W",$C346="1/2L"),$P346-$O346,IF($C346="X",0,-$O346)),2),0)</f>
        <v>0</v>
      </c>
      <c r="AJ346" s="133">
        <f>IF($K346=AJ$3,ROUND(IF(OR($C346="W",$C346="1/2W",$C346="1/2L"),$P346-$O346,IF($C346="X",0,-$O346)),2),0)</f>
        <v>11.25</v>
      </c>
      <c r="AK346" s="133">
        <f>IF($K346=AK$3,ROUND(IF(OR($C346="W",$C346="1/2W",$C346="1/2L"),$P346-$O346,IF($C346="X",0,-$O346)),2),0)</f>
        <v>0</v>
      </c>
      <c r="AL346" s="133">
        <f>IF($K346=AL$3,ROUND(IF(OR($C346="W",$C346="1/2W",$C346="1/2L"),$P346-$O346,IF($C346="X",0,-$O346)),2),0)</f>
        <v>0</v>
      </c>
      <c r="AM346" s="133">
        <f>IF($K346=AM$3,ROUND(IF(OR($C346="W",$C346="1/2W",$C346="1/2L"),$P346-$O346,IF($C346="X",0,-$O346)),2),0)</f>
        <v>0</v>
      </c>
      <c r="AN346" s="133">
        <f>IF($K346=AN$3,ROUND(IF(OR($C346="W",$C346="1/2W",$C346="1/2L"),$P346-$O346,IF($C346="X",0,-$O346)),2),0)</f>
        <v>0</v>
      </c>
      <c r="AO346" s="133">
        <f>IF($K346=AO$3,ROUND(IF(OR($C346="W",$C346="1/2W",$C346="1/2L"),$P346-$O346,IF($C346="X",0,-$O346)),2),0)</f>
        <v>0</v>
      </c>
      <c r="AP346" s="133">
        <f>IF($K346=AP$3,ROUND(IF(OR($C346="W",$C346="1/2W",$C346="1/2L"),$P346-$O346,IF($C346="X",0,-$O346)),2),0)</f>
        <v>0</v>
      </c>
      <c r="AQ346" s="133">
        <f>IF($K346=AQ$3,ROUND(IF(OR($C346="W",$C346="1/2W",$C346="1/2L"),$P346-$O346,IF($C346="X",0,-$O346)),2),0)</f>
        <v>0</v>
      </c>
      <c r="AR346" s="134">
        <f>IF($K346=AR$3,ROUND(IF(OR($C346="W",$C346="1/2W",$C346="1/2L"),$P346-$O346,IF($C346="X",0,-$O346)),2),0)</f>
        <v>0</v>
      </c>
      <c r="AS346" s="132">
        <f>IF(AND($B346=" ",$K346=AS$3),$O346,0)</f>
        <v>0</v>
      </c>
      <c r="AT346" s="133">
        <f>IF(AND($B346=" ",$K346=AT$3),$O346,0)</f>
        <v>0</v>
      </c>
      <c r="AU346" s="133">
        <f>IF(AND($B346=" ",$K346=AU$3),$O346,0)</f>
        <v>0</v>
      </c>
      <c r="AV346" s="133">
        <f>IF(AND($B346=" ",$K346=AV$3),$O346,0)</f>
        <v>0</v>
      </c>
      <c r="AW346" s="133">
        <f>IF(AND($B346=" ",$K346=AW$3),$O346,0)</f>
        <v>0</v>
      </c>
      <c r="AX346" s="133">
        <f>IF(AND($B346=" ",$K346=AX$3),$O346,0)</f>
        <v>0</v>
      </c>
      <c r="AY346" s="135">
        <f>IF(AND($B346=" ",$K346=AY$3),$O346,0)</f>
        <v>0</v>
      </c>
      <c r="AZ346" s="136">
        <f>IF(AND($B346=" ",$K346=AZ$3),$O346,0)</f>
        <v>0</v>
      </c>
      <c r="BA346" s="136">
        <f>IF(AND($B346=" ",$K346=BA$3),$O346,0)</f>
        <v>0</v>
      </c>
      <c r="BB346" s="136">
        <f>IF(AND($B346=" ",$K346=BB$3),$O346,0)</f>
        <v>0</v>
      </c>
      <c r="BC346" s="137">
        <f>IF(AND($B346=" ",$K346=BC$3),$O346,0)</f>
        <v>0</v>
      </c>
      <c r="BD346" s="133">
        <f>IF(AND($B346=" ",$K346=BD$3),$O346,0)</f>
        <v>0</v>
      </c>
      <c r="BE346" s="134">
        <f>IF(AND($B346=" ",$K346=BE$3),$O346,0)</f>
        <v>0</v>
      </c>
      <c r="BF346" s="132">
        <f>IF($K346=BF$3,IF($C346="X",0,$O346),0)</f>
        <v>0</v>
      </c>
      <c r="BG346" s="133">
        <f>IF($K346=BG$3,IF($C346="X",0,$O346),0)</f>
        <v>0</v>
      </c>
      <c r="BH346" s="133">
        <f>IF($K346=BH$3,IF($C346="X",0,$O346),0)</f>
        <v>0</v>
      </c>
      <c r="BI346" s="133">
        <f>IF($K346=BI$3,IF($C346="X",0,$O346),0)</f>
        <v>0</v>
      </c>
      <c r="BJ346" s="133">
        <f>IF($K346=BJ$3,IF($C346="X",0,$O346),0)</f>
        <v>17.05</v>
      </c>
      <c r="BK346" s="133">
        <f>IF($K346=BK$3,IF($C346="X",0,$O346),0)</f>
        <v>0</v>
      </c>
      <c r="BL346" s="133">
        <f>IF($K346=BL$3,IF($C346="X",0,$O346),0)</f>
        <v>0</v>
      </c>
      <c r="BM346" s="135">
        <f>IF($K346=BM$3,IF($C346="X",0,$O346),0)</f>
        <v>0</v>
      </c>
      <c r="BN346" s="136">
        <f>IF($K346=BN$3,IF($C346="X",0,$O346),0)</f>
        <v>0</v>
      </c>
      <c r="BO346" s="136">
        <f>IF($K346=BO$3,IF($C346="X",0,$O346),0)</f>
        <v>0</v>
      </c>
      <c r="BP346" s="136">
        <f>IF($K346=BP$3,IF($C346="X",0,$O346),0)</f>
        <v>0</v>
      </c>
      <c r="BQ346" s="137">
        <f>IF($K346=BQ$3,IF($C346="X",0,$O346),0)</f>
        <v>0</v>
      </c>
      <c r="BR346" s="134">
        <f>IF($K346=BR$3,IF($C346="X",0,$O346),0)</f>
        <v>0</v>
      </c>
      <c r="BS346" s="170">
        <f>IF($B346="LOSS",IF(AND($K346=BS$3,$C346="L"),-$O346,0)+IF(AND($K347=BS$3,$C347="L"),-$O347,0)+IF(AND($K348=BS$3,$C348="L"),-$O348,0),IF(OR(AND($K346=BS$3,OR($C346="W",$C346="1/2W")),AND($K347=BS$3,OR($C347="W",$C347="1/2W")),AND($K348=BS$3,OR($C348="W",$C348="1/2W"))),$S346,0))</f>
        <v>0</v>
      </c>
      <c r="BT346" s="272">
        <f>IF($B346="LOSS",IF(AND($K346=BT$3,$C346="L"),-$O346,0)+IF(AND($K347=BT$3,$C347="L"),-$O347,0)+IF(AND($K347=BT$3,$C348="L"),-$O348,0),IF(OR(AND($K347=BT$3,OR($C346="W",$C346="1/2W")),AND($K347=BT$3,OR($C347="W",$C347="1/2W")),AND($K347=BT$3,OR($C348="W",$C348="1/2W"))),$S346,0))</f>
        <v>0</v>
      </c>
      <c r="BU346" s="136">
        <f>IF($B346="LOSS",IF(AND($K346=BU$3,$C346="L"),-$O346,0)+IF(AND($K347=BU$3,$C347="L"),-$O347,0)+IF(AND($K347=BU$3,$C348="L"),-$O348,0),IF(OR(AND($K347=BU$3,OR($C346="W",$C346="1/2W")),AND($K347=BU$3,OR($C347="W",$C347="1/2W")),AND($K347=BU$3,OR($C348="W",$C348="1/2W"))),$S346,0))</f>
        <v>0</v>
      </c>
      <c r="BV346" s="136">
        <f>IF($B346="LOSS",IF(AND($K346=BV$3,$C346="L"),-$O346,0)+IF(AND($K347=BV$3,$C347="L"),-$O347,0)+IF(AND($K348=BV$3,$C348="L"),-$O348,0),IF(OR(AND($K346=BV$3,OR($C346="W",$C346="1/2W")),AND($K347=BV$3,OR($C347="W",$C347="1/2W")),AND($K348=BV$3,OR($C348="W",$C348="1/2W"))),$S346,0))</f>
        <v>0</v>
      </c>
      <c r="BW346" s="136">
        <f>IF($B346="LOSS",IF(AND($K346=BW$3,$C346="L"),-$O346,0)+IF(AND($K347=BW$3,$C347="L"),-$O347,0)+IF(AND($K348=BW$3,$C348="L"),-$O348,0),IF(OR(AND($K346=BW$3,OR($C346="W",$C346="1/2W")),AND($K347=BW$3,OR($C347="W",$C347="1/2W")),AND($K348=BW$3,OR($C348="W",$C348="1/2W"))),$S346,0))</f>
        <v>1.25</v>
      </c>
      <c r="BX346" s="136">
        <f>IF($B346="LOSS",IF(AND($K346=BX$3,$C346="L"),-$O346,0)+IF(AND($K347=BX$3,$C347="L"),-$O347,0)+IF(AND($K348=BX$3,$C348="L"),-$O348,0),IF(OR(AND($K346=BX$3,OR($C346="W",$C346="1/2W")),AND($K347=BX$3,OR($C347="W",$C347="1/2W")),AND($K348=BX$3,OR($C348="W",$C348="1/2W"))),$S346,0))</f>
        <v>0</v>
      </c>
      <c r="BY346" s="136">
        <f>IF($B346="LOSS",IF(AND($K346=BY$3,$C346="L"),-$O346,0)+IF(AND($K347=BY$3,$C347="L"),-$O347,0)+IF(AND($K348=BY$3,$C348="L"),-$O348,0),IF(OR(AND($K346=BY$3,OR($C346="W",$C346="1/2W")),AND($K347=BY$3,OR($C347="W",$C347="1/2W")),AND($K348=BY$3,OR($C348="W",$C348="1/2W"))),$S346,0))</f>
        <v>0</v>
      </c>
      <c r="BZ346" s="136">
        <f>IF($B346="LOSS",IF(AND($K346=BZ$3,$C346="L"),-$O346,0)+IF(AND($K347=BZ$3,$C347="L"),-$O347,0)+IF(AND($K348=BZ$3,$C348="L"),-$O348,0),IF(OR(AND($K346=BZ$3,OR($C346="W",$C346="1/2W")),AND($K347=BZ$3,OR($C347="W",$C347="1/2W")),AND($K348=BZ$3,OR($C348="W",$C348="1/2W"))),$S346,0))</f>
        <v>0</v>
      </c>
      <c r="CA346" s="136">
        <f>IF($B346="LOSS",IF(AND($K346=CA$3,$C346="L"),-$O346,0)+IF(AND($K347=CA$3,$C347="L"),-$O347,0)+IF(AND($K348=CA$3,$C348="L"),-$O348,0),IF(OR(AND($K346=CA$3,OR($C346="W",$C346="1/2W")),AND($K347=CA$3,OR($C347="W",$C347="1/2W")),AND($K348=CA$3,OR($C348="W",$C348="1/2W"))),$S346,0))</f>
        <v>0</v>
      </c>
      <c r="CB346" s="136">
        <f>IF($B346="LOSS",IF(AND($K346=CB$3,$C346="L"),-$O346,0)+IF(AND($K347=CB$3,$C347="L"),-$O347,0)+IF(AND($K348=CB$3,$C348="L"),-$O348,0),IF(OR(AND($K346=CB$3,OR($C346="W",$C346="1/2W")),AND($K347=CB$3,OR($C347="W",$C347="1/2W")),AND($K348=CB$3,OR($C348="W",$C348="1/2W"))),$S346,0))</f>
        <v>0</v>
      </c>
      <c r="CC346" s="136">
        <f>IF($B346="LOSS",IF(AND($K346=CC$3,$C346="L"),-$O346,0)+IF(AND($K347=CC$3,$C347="L"),-$O347,0)+IF(AND($K348=CC$3,$C348="L"),-$O348,0),IF(OR(AND($K346=CC$3,OR($C346="W",$C346="1/2W")),AND($K347=CC$3,OR($C347="W",$C347="1/2W")),AND($K348=CC$3,OR($C348="W",$C348="1/2W"))),$S346,0))</f>
        <v>0</v>
      </c>
      <c r="CD346" s="137">
        <f>IF($B346="LOSS",IF(AND($K346=CD$3,$C346="L"),-$O346,0)+IF(AND($K347=CD$3,$C347="L"),-$O347,0)+IF(AND($K348=CD$3,$C348="L"),-$O348,0),IF(OR(AND($K346=CD$3,OR($C346="W",$C346="1/2W")),AND($K347=CD$3,OR($C347="W",$C347="1/2W")),AND($K348=CD$3,OR($C348="W",$C348="1/2W"))),$S346,0))</f>
        <v>0</v>
      </c>
      <c r="CE346" s="134">
        <f>IF($B346="LOSS",IF(AND($K346=CE$3,$C346="L"),-$O346,0)+IF(AND($K347=CE$3,$C347="L"),-$O347,0)+IF(AND($K348=CE$3,$C348="L"),-$O348,0),IF(OR(AND($K346=CE$3,OR($C346="W",$C346="1/2W")),AND($K347=CE$3,OR($C347="W",$C347="1/2W")),AND($K348=CE$3,OR($C348="W",$C348="1/2W"))),$S346,0))</f>
        <v>0</v>
      </c>
      <c r="CF346" s="273">
        <f>IF(CF$3=$K346,IF($C346="W",1,IF($C346="1/2W",0.5,0)),0)</f>
        <v>0</v>
      </c>
      <c r="CG346" s="274">
        <f>IF(CF$3=$K346,IF($C346="L",1,IF($C346="1/2L",0.5,0)),0)</f>
        <v>0</v>
      </c>
      <c r="CH346" s="274">
        <f>IF(CH$3=$K346,IF($C346="W",1,IF($C346="1/2W",0.5,0)),0)</f>
        <v>0</v>
      </c>
      <c r="CI346" s="274">
        <f>IF(CH$3=$K346,IF($C346="L",1,IF($C346="1/2L",0.5,0)),0)</f>
        <v>0</v>
      </c>
      <c r="CJ346" s="274">
        <f>IF(CJ$3=$K346,IF($C346="W",1,IF($C346="1/2W",0.5,0)),0)</f>
        <v>0</v>
      </c>
      <c r="CK346" s="274">
        <f>IF(CJ$3=$K346,IF($C346="L",1,IF($C346="1/2L",0.5,0)),0)</f>
        <v>0</v>
      </c>
      <c r="CL346" s="274">
        <f>IF(CL$3=$K346,IF($C346="W",1,IF($C346="1/2W",0.5,0)),0)</f>
        <v>0</v>
      </c>
      <c r="CM346" s="274">
        <f>IF(CL$3=$K346,IF($C346="L",1,IF($C346="1/2L",0.5,0)),0)</f>
        <v>0</v>
      </c>
      <c r="CN346" s="274">
        <f>IF(CN$3=$K346,IF($C346="W",1,IF($C346="1/2W",0.5,0)),0)</f>
        <v>1</v>
      </c>
      <c r="CO346" s="274">
        <f>IF(CN$3=$K346,IF($C346="L",1,IF($C346="1/2L",0.5,0)),0)</f>
        <v>0</v>
      </c>
      <c r="CP346" s="274">
        <f>IF(CP$3=$K346,IF($C346="W",1,IF($C346="1/2W",0.5,0)),0)</f>
        <v>0</v>
      </c>
      <c r="CQ346" s="274">
        <f>IF(CP$3=$K346,IF($C346="L",1,IF($C346="1/2L",0.5,0)),0)</f>
        <v>0</v>
      </c>
      <c r="CR346" s="274">
        <f>IF(CR$3=$K346,IF($C346="W",1,IF($C346="1/2W",0.5,0)),0)</f>
        <v>0</v>
      </c>
      <c r="CS346" s="274">
        <f>IF(CR$3=$K346,IF($C346="L",1,IF($C346="1/2L",0.5,0)),0)</f>
        <v>0</v>
      </c>
      <c r="CT346" s="145">
        <f>IF(CT$3=$K346,IF($C346="W",1,IF($C346="1/2W",0.5,0)),0)</f>
        <v>0</v>
      </c>
      <c r="CU346" s="146">
        <f>IF(CT$3=$K346,IF($C346="L",1,IF($C346="1/2L",0.5,0)),0)</f>
        <v>0</v>
      </c>
      <c r="CV346" s="146">
        <f>IF(CV$3=$K346,IF($C346="W",1,IF($C346="1/2W",0.5,0)),0)</f>
        <v>0</v>
      </c>
      <c r="CW346" s="146">
        <f>IF(CV$3=$K346,IF($C346="L",1,IF($C346="1/2L",0.5,0)),0)</f>
        <v>0</v>
      </c>
      <c r="CX346" s="146">
        <f>IF(CX$3=$K346,IF($C346="W",1,IF($C346="1/2W",0.5,0)),0)</f>
        <v>0</v>
      </c>
      <c r="CY346" s="146">
        <f>IF(CX$3=$K346,IF($C346="L",1,IF($C346="1/2L",0.5,0)),0)</f>
        <v>0</v>
      </c>
      <c r="CZ346" s="146">
        <f>IF(CZ$3=$K346,IF($C346="W",1,IF($C346="1/2W",0.5,0)),0)</f>
        <v>0</v>
      </c>
      <c r="DA346" s="146">
        <f>IF(CZ$3=$K346,IF($C346="L",1,IF($C346="1/2L",0.5,0)),0)</f>
        <v>0</v>
      </c>
      <c r="DB346" s="146">
        <f>IF(DB$3=$K346,IF($C346="W",1,IF($C346="1/2W",0.5,0)),0)</f>
        <v>0</v>
      </c>
      <c r="DC346" s="146">
        <f>IF(DB$3=$K346,IF($C346="L",1,IF($C346="1/2L",0.5,0)),0)</f>
        <v>0</v>
      </c>
      <c r="DD346" s="146">
        <f>IF(DD$3=$K346,IF($C346="W",1,IF($C346="1/2W",0.5,0)),0)</f>
        <v>0</v>
      </c>
      <c r="DE346" s="147">
        <f>IF(DD$3=$K346,IF($C346="L",1,IF($C346="1/2L",0.5,0)),0)</f>
        <v>0</v>
      </c>
      <c r="DF346" s="143">
        <f>IF(AND(L346&lt;DF$3,$C346="W"),1+DF345,DF345)</f>
        <v>12</v>
      </c>
      <c r="DG346" s="133">
        <f>IF(DF346&gt;DF345,L346+DG345,DG345)</f>
        <v>15.718</v>
      </c>
      <c r="DH346" s="146">
        <f>IF(AND(L346&gt;DH$3,$C346="W"),1+DH345,0+DH345)</f>
        <v>7</v>
      </c>
      <c r="DI346" s="133">
        <f>IF(DH346&gt;DH345,L346+DI345,DI345)</f>
        <v>34.83</v>
      </c>
      <c r="DJ346" t="s" s="304">
        <f>IF($D346="","",$D346)</f>
        <v>298</v>
      </c>
      <c r="DK346" s="146">
        <f>IF(AND($B346=" ",$D346&lt;&gt;""),1,0)</f>
        <v>0</v>
      </c>
    </row>
    <row r="347" ht="14.55" customHeight="1">
      <c r="A347" s="107"/>
      <c r="B347" s="108"/>
      <c r="C347" t="s" s="109">
        <v>51</v>
      </c>
      <c r="D347" s="110"/>
      <c r="E347" s="111"/>
      <c r="F347" s="113"/>
      <c r="G347" s="252"/>
      <c r="H347" s="114"/>
      <c r="I347" s="294">
        <v>1</v>
      </c>
      <c r="J347" t="s" s="295">
        <f>IF(OR(I346="TO",I346="TU",I346="TO1",I346="TU1",I346="TO2",I346="TU2"),J346,IF(OR(I346="AH1",I346="AH2"),IF(OR(I347="AH1",I347="AH2"),-J346,IF(OR(I347="EH1",I347="EH2"),-J346+0.5,"")),IF(OR(I346="EH1",I346="EH2"),IF(OR(I347="AH1",I347="AH2"),-J346+0.5,IF(OR(I347="EH1",I347="EH2"),-J346+1,"")),IF(AND(OR(I346="DNB1",I346="DNB2"),OR(I347="AH1",I347="AH2")),0,IF(AND(I346="Not ScoreBoth",OR(I347="TO1",I347="TO2")),0.5,"")))))</f>
      </c>
      <c r="K347" t="s" s="117">
        <v>48</v>
      </c>
      <c r="L347" s="277">
        <v>2.83</v>
      </c>
      <c r="M347" s="278"/>
      <c r="N347" s="120"/>
      <c r="O347" s="121">
        <f>IF(OR(AE346="",AE347=""),"",ROUND(IF(L348&gt;0,IF(M347&gt;0,M347,IF(M346&gt;0,IF(N346=TRUE,ROUND((M346*AE347)/AE346,0),(M346*AE347)/AE346),IF(M347&gt;0,ROUND(M347,IF(N346=0,2,IF(N346=0.1,1,0))),IF(M348&gt;0,ROUND(O348*AE347/AE348,IF(N346=0,2,IF(N346=0.1,1,0))),0)))),IF(M347&gt;0,M347,ROUND((M346*AE347)/AE346,IF(N346=0,2,IF(N346=0.1,1,0))))),2))</f>
        <v>10</v>
      </c>
      <c r="P347" s="122">
        <f>IF(OR(L347="",O347=""),"",IF($C347="1/2W",O347/2+O347/2*L347,IF($C347="1/2L",O347/2,IF(I347="Lay",((O347*(L347/(L347-1)))-O347)*(1-_xlfn.XLOOKUP(K347,'Janeiro 2023 - Valor Real'!A3:A15,'Janeiro 2023 - Valor Real'!C3:C15,0))+O347,(O347*L347-O347)*(1-_xlfn.XLOOKUP(K347,'Janeiro 2023 - Valor Real'!A3:A15,'Janeiro 2023 - Valor Real'!C3:C15,0))+O347))))</f>
        <v>28.3</v>
      </c>
      <c r="Q347" s="279">
        <f>IF(K347="","",IF(_xlfn.XLOOKUP(K347,K$108:K114,DJ$108:DJ114,0,,-1)=DJ347,_xlfn.XLOOKUP(K347,K$108:K114,Q$108:Q114,1,,-1)+1,1))</f>
        <v>1</v>
      </c>
      <c r="R347" s="280">
        <f>IF(K347="","",_xlfn.XLOOKUP(K347,K$108:K114,R$108:R114,0,,-1)+IF($C347=" ",1,0))</f>
        <v>0</v>
      </c>
      <c r="S347" s="125"/>
      <c r="T347" s="126"/>
      <c r="U347" s="126"/>
      <c r="V347" s="224"/>
      <c r="W347" s="126"/>
      <c r="X347" s="127"/>
      <c r="Y347" s="128"/>
      <c r="Z347" s="129"/>
      <c r="AA347" s="129"/>
      <c r="AB347" s="129"/>
      <c r="AC347" s="129"/>
      <c r="AD347" s="130"/>
      <c r="AE347" s="131">
        <f>IF(L347="","",IF(L348&gt;0,(SUM(((L346-1)*(1-_xlfn.XLOOKUP(K346,'Janeiro 2023 - Valor Real'!A3:A15,'Janeiro 2023 - Valor Real'!C3:C15,0))+1),((L347-1)*(1-_xlfn.XLOOKUP(K347,'Janeiro 2023 - Valor Real'!A3:A15,'Janeiro 2023 - Valor Real'!C3:C15,0))+1),((L348-1)*(1-_xlfn.XLOOKUP(K348,'Janeiro 2023 - Valor Real'!A3:A15,'Janeiro 2023 - Valor Real'!C3:C15,0))+1))/((L347-1)*(1-_xlfn.XLOOKUP(K347,'Janeiro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Real'!C3:C15,0))+1))/((L346-1)*(1-_xlfn.XLOOKUP(K346,'Janeiro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Real'!C3:C15,0))+1))/((L347-1)*(1-_xlfn.XLOOKUP(K347,'Janeiro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Real'!C3:C15,0))+1))/((L348-1)*(1-_xlfn.XLOOKUP(K348,'Janeiro 2023 - Valor Real'!A3:A15,'Janeiro 2023 - Valor Real'!C3:C15,0))+1)),IF(I347="Lay",IF(I346="Lay",((L346/(L346-1)-1)*(1-_xlfn.XLOOKUP(K346,'Janeiro 2023 - Valor Real'!A3:A15,'Janeiro 2023 - Valor Real'!C3:C15,0))+1)/(((L346/(L346-1)-1)*(1-_xlfn.XLOOKUP(K346,'Janeiro 2023 - Valor Real'!A3:A15,'Janeiro 2023 - Valor Real'!C3:C15,0))+1)+((L347/(L347-1)-1)*(1-_xlfn.XLOOKUP(K347,'Janeiro 2023 - Valor Real'!A3:A15,'Janeiro 2023 - Valor Real'!C3:C15,0))+1)),((L346-1)*(1-_xlfn.XLOOKUP(K346,'Janeiro 2023 - Valor Real'!A3:A15,'Janeiro 2023 - Valor Real'!C3:C15,0))+1)/(((L346-1)*(1-_xlfn.XLOOKUP(K346,'Janeiro 2023 - Valor Real'!A3:A15,'Janeiro 2023 - Valor Real'!C3:C15,0))+1)+((L347/(L347-1)-1)*(1-_xlfn.XLOOKUP(K347,'Janeiro 2023 - Valor Real'!A3:A15,'Janeiro 2023 - Valor Real'!C3:C15,0))+1))),IF(I346="Lay",((L346/(L346-1)-1)*(1-_xlfn.XLOOKUP(K346,'Janeiro 2023 - Valor Real'!A3:A15,'Janeiro 2023 - Valor Real'!C3:C15,0))+1)/((((L346/(L346-1)-1)*(1-_xlfn.XLOOKUP(K346,'Janeiro 2023 - Valor Real'!A3:A15,'Janeiro 2023 - Valor Real'!C3:C15,0))+1))+((L347-1)*(1-_xlfn.XLOOKUP(K347,'Janeiro 2023 - Valor Real'!A3:A15,'Janeiro 2023 - Valor Real'!C3:C15,0))+1)),((L346-1)*(1-_xlfn.XLOOKUP(K346,'Janeiro 2023 - Valor Real'!A3:A15,'Janeiro 2023 - Valor Real'!C3:C15,0))+1)/(((L346-1)*(1-_xlfn.XLOOKUP(K346,'Janeiro 2023 - Valor Real'!A3:A15,'Janeiro 2023 - Valor Real'!C3:C15,0))+1)+((L347-1)*(1-_xlfn.XLOOKUP(K347,'Janeiro 2023 - Valor Real'!A3:A15,'Janeiro 2023 - Valor Real'!C3:C15,0))+1))))))</f>
        <v>0.369710467706013</v>
      </c>
      <c r="AF347" s="132">
        <f>IF($K347=AF$3,ROUND(IF(OR($C347="W",$C347="1/2W",$C347="1/2L"),$P347-$O347,IF($C347="X",0,-$O347)),2),0)</f>
        <v>0</v>
      </c>
      <c r="AG347" s="133">
        <f>IF($K347=AG$3,ROUND(IF(OR($C347="W",$C347="1/2W",$C347="1/2L"),$P347-$O347,IF($C347="X",0,-$O347)),2),0)</f>
        <v>0</v>
      </c>
      <c r="AH347" s="133">
        <f>IF($K347=AH$3,ROUND(IF(OR($C347="W",$C347="1/2W",$C347="1/2L"),$P347-$O347,IF($C347="X",0,-$O347)),2),0)</f>
        <v>0</v>
      </c>
      <c r="AI347" s="133">
        <f>IF($K347=AI$3,ROUND(IF(OR($C347="W",$C347="1/2W",$C347="1/2L"),$P347-$O347,IF($C347="X",0,-$O347)),2),0)</f>
        <v>0</v>
      </c>
      <c r="AJ347" s="133">
        <f>IF($K347=AJ$3,ROUND(IF(OR($C347="W",$C347="1/2W",$C347="1/2L"),$P347-$O347,IF($C347="X",0,-$O347)),2),0)</f>
        <v>0</v>
      </c>
      <c r="AK347" s="133">
        <f>IF($K347=AK$3,ROUND(IF(OR($C347="W",$C347="1/2W",$C347="1/2L"),$P347-$O347,IF($C347="X",0,-$O347)),2),0)</f>
        <v>0</v>
      </c>
      <c r="AL347" s="133">
        <f>IF($K347=AL$3,ROUND(IF(OR($C347="W",$C347="1/2W",$C347="1/2L"),$P347-$O347,IF($C347="X",0,-$O347)),2),0)</f>
        <v>0</v>
      </c>
      <c r="AM347" s="133">
        <f>IF($K347=AM$3,ROUND(IF(OR($C347="W",$C347="1/2W",$C347="1/2L"),$P347-$O347,IF($C347="X",0,-$O347)),2),0)</f>
        <v>0</v>
      </c>
      <c r="AN347" s="133">
        <f>IF($K347=AN$3,ROUND(IF(OR($C347="W",$C347="1/2W",$C347="1/2L"),$P347-$O347,IF($C347="X",0,-$O347)),2),0)</f>
        <v>0</v>
      </c>
      <c r="AO347" s="133">
        <f>IF($K347=AO$3,ROUND(IF(OR($C347="W",$C347="1/2W",$C347="1/2L"),$P347-$O347,IF($C347="X",0,-$O347)),2),0)</f>
        <v>0</v>
      </c>
      <c r="AP347" s="133">
        <f>IF($K347=AP$3,ROUND(IF(OR($C347="W",$C347="1/2W",$C347="1/2L"),$P347-$O347,IF($C347="X",0,-$O347)),2),0)</f>
        <v>0</v>
      </c>
      <c r="AQ347" s="133">
        <f>IF($K347=AQ$3,ROUND(IF(OR($C347="W",$C347="1/2W",$C347="1/2L"),$P347-$O347,IF($C347="X",0,-$O347)),2),0)</f>
        <v>-10</v>
      </c>
      <c r="AR347" s="134">
        <f>IF($K347=AR$3,ROUND(IF(OR($C347="W",$C347="1/2W",$C347="1/2L"),$P347-$O347,IF($C347="X",0,-$O347)),2),0)</f>
        <v>0</v>
      </c>
      <c r="AS347" s="132">
        <f>IF(AND($B346=" ",$K347=AS$3),$O347,0)</f>
        <v>0</v>
      </c>
      <c r="AT347" s="133">
        <f>IF(AND($B346=" ",K347=AT$3),$O347,0)</f>
        <v>0</v>
      </c>
      <c r="AU347" s="133">
        <f>IF(AND($B346=" ",$K347=AU$3),$O347,0)</f>
        <v>0</v>
      </c>
      <c r="AV347" s="133">
        <f>IF(AND($B346=" ",$K347=AV$3),$O347,0)</f>
        <v>0</v>
      </c>
      <c r="AW347" s="133">
        <f>IF(AND($B346=" ",$K347=AW$3),$O347,0)</f>
        <v>0</v>
      </c>
      <c r="AX347" s="133">
        <f>IF(AND($B346=" ",$K347=AX$3),$O347,0)</f>
        <v>0</v>
      </c>
      <c r="AY347" s="135">
        <f>IF(AND($B346=" ",$K347=AY$3),$O347,0)</f>
        <v>0</v>
      </c>
      <c r="AZ347" s="136">
        <f>IF(AND($B346=" ",$K347=AZ$3),$O347,0)</f>
        <v>0</v>
      </c>
      <c r="BA347" s="136">
        <f>IF(AND($B346=" ",$K347=BA$3),$O347,0)</f>
        <v>0</v>
      </c>
      <c r="BB347" s="136">
        <f>IF(AND($B346=" ",$K347=BB$3),$O347,0)</f>
        <v>0</v>
      </c>
      <c r="BC347" s="137">
        <f>IF(AND($B346=" ",$K347=BC$3),$O347,0)</f>
        <v>0</v>
      </c>
      <c r="BD347" s="133">
        <f>IF(AND($B346=" ",$K347=BD$3),$O347,0)</f>
        <v>0</v>
      </c>
      <c r="BE347" s="134">
        <f>IF(AND($B346=" ",$K347=BE$3),$O347,0)</f>
        <v>0</v>
      </c>
      <c r="BF347" s="132">
        <f>IF($K347=BF$3,IF($C347="X",0,$O347),0)</f>
        <v>0</v>
      </c>
      <c r="BG347" s="281">
        <f>IF($K347=BG$3,IF($C347="X",0,$O347),0)</f>
        <v>0</v>
      </c>
      <c r="BH347" s="133">
        <f>IF($K347=BH$3,IF($C347="X",0,$O347),0)</f>
        <v>0</v>
      </c>
      <c r="BI347" s="133">
        <f>IF($K347=BI$3,IF($C347="X",0,$O347),0)</f>
        <v>0</v>
      </c>
      <c r="BJ347" s="133">
        <f>IF($K347=BJ$3,IF($C347="X",0,$O347),0)</f>
        <v>0</v>
      </c>
      <c r="BK347" s="133">
        <f>IF($K347=BK$3,IF($C347="X",0,$O347),0)</f>
        <v>0</v>
      </c>
      <c r="BL347" s="133">
        <f>IF($K347=BL$3,IF($C347="X",0,$O347),0)</f>
        <v>0</v>
      </c>
      <c r="BM347" s="135">
        <f>IF($K347=BM$3,IF($C347="X",0,$O347),0)</f>
        <v>0</v>
      </c>
      <c r="BN347" s="136">
        <f>IF($K347=BN$3,IF($C347="X",0,$O347),0)</f>
        <v>0</v>
      </c>
      <c r="BO347" s="136">
        <f>IF($K347=BO$3,IF($C347="X",0,$O347),0)</f>
        <v>0</v>
      </c>
      <c r="BP347" s="136">
        <f>IF($K347=BP$3,IF($C347="X",0,$O347),0)</f>
        <v>0</v>
      </c>
      <c r="BQ347" s="137">
        <f>IF($K347=BQ$3,IF($C347="X",0,$O347),0)</f>
        <v>10</v>
      </c>
      <c r="BR347" s="134">
        <f>IF($K347=BR$3,IF($C347="X",0,$O347),0)</f>
        <v>0</v>
      </c>
      <c r="BS347" s="282"/>
      <c r="BT347" s="283"/>
      <c r="BU347" s="140"/>
      <c r="BV347" s="283"/>
      <c r="BW347" s="140"/>
      <c r="BX347" s="140"/>
      <c r="BY347" s="140"/>
      <c r="BZ347" s="283"/>
      <c r="CA347" s="140"/>
      <c r="CB347" s="140"/>
      <c r="CC347" s="140"/>
      <c r="CD347" s="141"/>
      <c r="CE347" s="142"/>
      <c r="CF347" s="284">
        <f>IF(CF$3=$K347,IF($C347="W",1,IF($C347="1/2W",0.5,0)),0)</f>
        <v>0</v>
      </c>
      <c r="CG347" s="285">
        <f>IF(CF$3=$K347,IF($C347="L",1,IF($C347="1/2L",0.5,0)),0)</f>
        <v>0</v>
      </c>
      <c r="CH347" s="285">
        <f>IF(CH$3=$K347,IF($C347="W",1,IF($C347="1/2W",0.5,0)),0)</f>
        <v>0</v>
      </c>
      <c r="CI347" s="285">
        <f>IF(CH$3=$K347,IF($C347="L",1,IF($C347="1/2L",0.5,0)),0)</f>
        <v>0</v>
      </c>
      <c r="CJ347" s="285">
        <f>IF(CJ$3=$K347,IF($C347="W",1,IF($C347="1/2W",0.5,0)),0)</f>
        <v>0</v>
      </c>
      <c r="CK347" s="285">
        <f>IF(CJ$3=$K347,IF($C347="L",1,IF($C347="1/2L",0.5,0)),0)</f>
        <v>0</v>
      </c>
      <c r="CL347" s="285">
        <f>IF(CL$3=$K347,IF($C347="W",1,IF($C347="1/2W",0.5,0)),0)</f>
        <v>0</v>
      </c>
      <c r="CM347" s="285">
        <f>IF(CL$3=$K347,IF($C347="L",1,IF($C347="1/2L",0.5,0)),0)</f>
        <v>0</v>
      </c>
      <c r="CN347" s="285">
        <f>IF(CN$3=$K347,IF($C347="W",1,IF($C347="1/2W",0.5,0)),0)</f>
        <v>0</v>
      </c>
      <c r="CO347" s="285">
        <f>IF(CN$3=$K347,IF($C347="L",1,IF($C347="1/2L",0.5,0)),0)</f>
        <v>0</v>
      </c>
      <c r="CP347" s="285">
        <f>IF(CP$3=$K347,IF($C347="W",1,IF($C347="1/2W",0.5,0)),0)</f>
        <v>0</v>
      </c>
      <c r="CQ347" s="285">
        <f>IF(CP$3=$K347,IF($C347="L",1,IF($C347="1/2L",0.5,0)),0)</f>
        <v>0</v>
      </c>
      <c r="CR347" s="285">
        <f>IF(CR$3=$K347,IF($C347="W",1,IF($C347="1/2W",0.5,0)),0)</f>
        <v>0</v>
      </c>
      <c r="CS347" s="285">
        <f>IF(CR$3=$K347,IF($C347="L",1,IF($C347="1/2L",0.5,0)),0)</f>
        <v>0</v>
      </c>
      <c r="CT347" s="145">
        <f>IF(CT$3=$K347,IF($C347="W",1,IF($C347="1/2W",0.5,0)),0)</f>
        <v>0</v>
      </c>
      <c r="CU347" s="146">
        <f>IF(CT$3=$K347,IF($C347="L",1,IF($C347="1/2L",0.5,0)),0)</f>
        <v>0</v>
      </c>
      <c r="CV347" s="146">
        <f>IF(CV$3=$K347,IF($C347="W",1,IF($C347="1/2W",0.5,0)),0)</f>
        <v>0</v>
      </c>
      <c r="CW347" s="146">
        <f>IF(CV$3=$K347,IF($C347="L",1,IF($C347="1/2L",0.5,0)),0)</f>
        <v>0</v>
      </c>
      <c r="CX347" s="146">
        <f>IF(CX$3=$K347,IF($C347="W",1,IF($C347="1/2W",0.5,0)),0)</f>
        <v>0</v>
      </c>
      <c r="CY347" s="146">
        <f>IF(CX$3=$K347,IF($C347="L",1,IF($C347="1/2L",0.5,0)),0)</f>
        <v>0</v>
      </c>
      <c r="CZ347" s="146">
        <f>IF(CZ$3=$K347,IF($C347="W",1,IF($C347="1/2W",0.5,0)),0)</f>
        <v>0</v>
      </c>
      <c r="DA347" s="146">
        <f>IF(CZ$3=$K347,IF($C347="L",1,IF($C347="1/2L",0.5,0)),0)</f>
        <v>0</v>
      </c>
      <c r="DB347" s="146">
        <f>IF(DB$3=$K347,IF($C347="W",1,IF($C347="1/2W",0.5,0)),0)</f>
        <v>0</v>
      </c>
      <c r="DC347" s="146">
        <f>IF(DB$3=$K347,IF($C347="L",1,IF($C347="1/2L",0.5,0)),0)</f>
        <v>1</v>
      </c>
      <c r="DD347" s="146">
        <f>IF(DD$3=$K347,IF($C347="W",1,IF($C347="1/2W",0.5,0)),0)</f>
        <v>0</v>
      </c>
      <c r="DE347" s="147">
        <f>IF(DD$3=$K347,IF($C347="L",1,IF($C347="1/2L",0.5,0)),0)</f>
        <v>0</v>
      </c>
      <c r="DF347" s="143">
        <f>IF(AND(L347&lt;DF$3,$C347="W"),1+DF346,DF346)</f>
        <v>12</v>
      </c>
      <c r="DG347" s="133">
        <f>IF(DF347&gt;DF346,L347+DG346,DG346)</f>
        <v>15.718</v>
      </c>
      <c r="DH347" s="146">
        <f>IF(AND(L347&gt;DH$3,$C347="W"),1+DH346,0+DH346)</f>
        <v>7</v>
      </c>
      <c r="DI347" s="133">
        <f>IF(DH347&gt;DH346,L347+DI346,DI346)</f>
        <v>34.83</v>
      </c>
      <c r="DJ347" t="s" s="304">
        <f>IF($D346="","",$D346)</f>
        <v>298</v>
      </c>
      <c r="DK347" s="286"/>
    </row>
    <row r="348" ht="14.55" customHeight="1">
      <c r="A348" s="149"/>
      <c r="B348" s="150"/>
      <c r="C348" t="s" s="151">
        <v>58</v>
      </c>
      <c r="D348" s="152"/>
      <c r="E348" s="153"/>
      <c r="F348" s="155"/>
      <c r="G348" s="252"/>
      <c r="H348" s="156"/>
      <c r="I348" s="287"/>
      <c r="J348" s="288"/>
      <c r="K348" s="156"/>
      <c r="L348" s="289"/>
      <c r="M348" s="290"/>
      <c r="N348" s="161"/>
      <c r="O348" t="s" s="162">
        <f>IF(OR(AE346="",AE347=""),"",IF(L348&gt;0,ROUND(IF(M348&gt;0,M348,IF(M346&gt;0,ROUND((M346*AE348)/AE346,IF(N346=0,2,IF(N346=0.1,1,0))),IF(M347&gt;0,ROUND((M347*AE348)/AE347,IF(N346=0,2,IF(N346=0.1,1,0))),IF(M348&gt;0,M348,0)))),2),""))</f>
      </c>
      <c r="P348" t="s" s="163">
        <f>IF(I347="Lay",O347*(L347/(L347-1))-O347,IF(I346="Lay",O346*(L346/(L346-1))-O346,IF(OR(L348="",O348=""),"",IF($C348="1/2W",O348/2+O348/2*L348,IF($C348="1/2L",O348/2,(O348*L348-O348)*(1-_xlfn.XLOOKUP(K348,'Janeiro 2023 - Valor Real'!A3:A15,'Janeiro 2023 - Valor Real'!C3:C15,0))+O348)))))</f>
      </c>
      <c r="Q348" t="s" s="154">
        <f>IF(K348="","",IF(_xlfn.XLOOKUP(K348,K$109:K115,DJ$109:DJ115,0,,-1)=DJ348,_xlfn.XLOOKUP(K348,K$109:K115,Q$109:Q115,1,,-1)+1,1))</f>
      </c>
      <c r="R348" t="s" s="163">
        <f>IF(K348="","",_xlfn.XLOOKUP(K348,K$109:K115,R$109:R115,0,,-1)+IF($C348=" ",1,0))</f>
      </c>
      <c r="S348" s="166"/>
      <c r="T348" s="155"/>
      <c r="U348" s="155"/>
      <c r="V348" s="166"/>
      <c r="W348" s="155"/>
      <c r="X348" s="167"/>
      <c r="Y348" s="128"/>
      <c r="Z348" s="129"/>
      <c r="AA348" s="129"/>
      <c r="AB348" s="129"/>
      <c r="AC348" s="129"/>
      <c r="AD348" s="168"/>
      <c r="AE348" t="s" s="169">
        <f>IF(L348="","",(SUM(((L346-1)*(1-_xlfn.XLOOKUP(K346,'Janeiro 2023 - Valor Real'!A3:A15,'Janeiro 2023 - Valor Real'!C3:C15,0))+1),((L347-1)*(1-_xlfn.XLOOKUP(K347,'Janeiro 2023 - Valor Real'!A3:A15,'Janeiro 2023 - Valor Real'!C3:C15,0))+1),((L348-1)*(1-_xlfn.XLOOKUP(K348,'Janeiro 2023 - Valor Real'!A3:A15,'Janeiro 2023 - Valor Real'!C3:C15,0))+1))/((L348-1)*(1-_xlfn.XLOOKUP(K348,'Janeiro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Real'!C3:C15,0))+1))/((L346-1)*(1-_xlfn.XLOOKUP(K346,'Janeiro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Real'!C3:C15,0))+1))/((L347-1)*(1-_xlfn.XLOOKUP(K347,'Janeiro 2023 - Valor Real'!A3:A15,'Janeiro 2023 - Valor Real'!C3:C15,0))+1)+SUM(((L346-1)*(1-_xlfn.XLOOKUP(K346,'Janeiro 2023 - Valor Real'!A3:A15,'Janeiro 2023 - Valor Real'!C3:C15,0))+1),((L347-1)*(1-_xlfn.XLOOKUP(K347,'Janeiro 2023 - Valor Real'!A3:A15,'Janeiro 2023 - Valor Real'!C3:C15,0))+1),((L348-1)*(1-_xlfn.XLOOKUP(K348,'Janeiro 2023 - Valor Real'!A3:A15,'Janeiro 2023 - Valor Real'!C3:C15,0))+1))/((L348-1)*(1-_xlfn.XLOOKUP(K348,'Janeiro 2023 - Valor Real'!A3:A15,'Janeiro 2023 - Valor Real'!C3:C15,0))+1)))</f>
      </c>
      <c r="AF348" s="132">
        <f>IF($K348=AF$3,ROUND(IF(OR($C348="W",$C348="1/2W",$C348="1/2L"),$P348-$O348,IF($C348="X",0,-$O348)),2),0)</f>
        <v>0</v>
      </c>
      <c r="AG348" s="133">
        <f>IF($K348=AG$3,ROUND(IF(OR($C348="W",$C348="1/2W",$C348="1/2L"),$P348-$O348,IF($C348="X",0,-$O348)),2),0)</f>
        <v>0</v>
      </c>
      <c r="AH348" s="133">
        <f>IF($K348=AH$3,ROUND(IF(OR($C348="W",$C348="1/2W",$C348="1/2L"),$P348-$O348,IF($C348="X",0,-$O348)),2),0)</f>
        <v>0</v>
      </c>
      <c r="AI348" s="133">
        <f>IF($K348=AI$3,ROUND(IF(OR($C348="W",$C348="1/2W",$C348="1/2L"),$P348-$O348,IF($C348="X",0,-$O348)),2),0)</f>
        <v>0</v>
      </c>
      <c r="AJ348" s="133">
        <f>IF($K348=AJ$3,ROUND(IF(OR($C348="W",$C348="1/2W",$C348="1/2L"),$P348-$O348,IF($C348="X",0,-$O348)),2),0)</f>
        <v>0</v>
      </c>
      <c r="AK348" s="133">
        <f>IF($K348=AK$3,ROUND(IF(OR($C348="W",$C348="1/2W",$C348="1/2L"),$P348-$O348,IF($C348="X",0,-$O348)),2),0)</f>
        <v>0</v>
      </c>
      <c r="AL348" s="133">
        <f>IF($K348=AL$3,ROUND(IF(OR($C348="W",$C348="1/2W",$C348="1/2L"),$P348-$O348,IF($C348="X",0,-$O348)),2),0)</f>
        <v>0</v>
      </c>
      <c r="AM348" s="133">
        <f>IF($K348=AM$3,ROUND(IF(OR($C348="W",$C348="1/2W",$C348="1/2L"),$P348-$O348,IF($C348="X",0,-$O348)),2),0)</f>
        <v>0</v>
      </c>
      <c r="AN348" s="133">
        <f>IF($K348=AN$3,ROUND(IF(OR($C348="W",$C348="1/2W",$C348="1/2L"),$P348-$O348,IF($C348="X",0,-$O348)),2),0)</f>
        <v>0</v>
      </c>
      <c r="AO348" s="133">
        <f>IF($K348=AO$3,ROUND(IF(OR($C348="W",$C348="1/2W",$C348="1/2L"),$P348-$O348,IF($C348="X",0,-$O348)),2),0)</f>
        <v>0</v>
      </c>
      <c r="AP348" s="133">
        <f>IF($K348=AP$3,ROUND(IF(OR($C348="W",$C348="1/2W",$C348="1/2L"),$P348-$O348,IF($C348="X",0,-$O348)),2),0)</f>
        <v>0</v>
      </c>
      <c r="AQ348" s="133">
        <f>IF($K348=AQ$3,ROUND(IF(OR($C348="W",$C348="1/2W",$C348="1/2L"),$P348-$O348,IF($C348="X",0,-$O348)),2),0)</f>
        <v>0</v>
      </c>
      <c r="AR348" s="134">
        <f>IF($K348=AR$3,ROUND(IF(OR($C348="W",$C348="1/2W",$C348="1/2L"),$P348-$O348,IF($C348="X",0,-$O348)),2),0)</f>
        <v>0</v>
      </c>
      <c r="AS348" s="132">
        <f>IF(AND($B346=" ",$K348=AS$3),$O348,0)</f>
        <v>0</v>
      </c>
      <c r="AT348" s="133">
        <f>IF(AND($B346=" ",K348=AT$3),$O348,0)</f>
        <v>0</v>
      </c>
      <c r="AU348" s="133">
        <f>IF(AND($B346=" ",$K348=AU$3),$O348,0)</f>
        <v>0</v>
      </c>
      <c r="AV348" s="133">
        <f>IF(AND($B346=" ",$K348=AV$3),$O348,0)</f>
        <v>0</v>
      </c>
      <c r="AW348" s="133">
        <f>IF(AND($B346=" ",$K348=AW$3),$O348,0)</f>
        <v>0</v>
      </c>
      <c r="AX348" s="133">
        <f>IF(AND($B346=" ",$K348=AX$3),$O348,0)</f>
        <v>0</v>
      </c>
      <c r="AY348" s="135">
        <f>IF(AND($B346=" ",$K348=AY$3),$O348,0)</f>
        <v>0</v>
      </c>
      <c r="AZ348" s="136">
        <f>IF(AND($B346=" ",$K348=AZ$3),$O348,0)</f>
        <v>0</v>
      </c>
      <c r="BA348" s="136">
        <f>IF(AND($B346=" ",$K348=BA$3),$O348,0)</f>
        <v>0</v>
      </c>
      <c r="BB348" s="136">
        <f>IF(AND($B346=" ",$K348=BB$3),$O348,0)</f>
        <v>0</v>
      </c>
      <c r="BC348" s="137">
        <f>IF(AND($B346=" ",$K348=BC$3),$O348,0)</f>
        <v>0</v>
      </c>
      <c r="BD348" s="133">
        <f>IF(AND($B346=" ",$K348=BD$3),$O348,0)</f>
        <v>0</v>
      </c>
      <c r="BE348" s="134">
        <f>IF(AND($B346=" ",$K348=BE$3),$O348,0)</f>
        <v>0</v>
      </c>
      <c r="BF348" s="132">
        <f>IF($K348=BF$3,IF($C348="X",0,$O348),0)</f>
        <v>0</v>
      </c>
      <c r="BG348" s="281">
        <f>IF($K348=BG$3,IF($C348="X",0,$O348),0)</f>
        <v>0</v>
      </c>
      <c r="BH348" s="133">
        <f>IF($K348=BH$3,IF($C348="X",0,$O348),0)</f>
        <v>0</v>
      </c>
      <c r="BI348" s="133">
        <f>IF($K348=BI$3,IF($C348="X",0,$O348),0)</f>
        <v>0</v>
      </c>
      <c r="BJ348" s="133">
        <f>IF($K348=BJ$3,IF($C348="X",0,$O348),0)</f>
        <v>0</v>
      </c>
      <c r="BK348" s="133">
        <f>IF($K348=BK$3,IF($C348="X",0,$O348),0)</f>
        <v>0</v>
      </c>
      <c r="BL348" s="133">
        <f>IF($K348=BL$3,IF($C348="X",0,$O348),0)</f>
        <v>0</v>
      </c>
      <c r="BM348" s="135">
        <f>IF($K348=BM$3,IF($C348="X",0,$O348),0)</f>
        <v>0</v>
      </c>
      <c r="BN348" s="136">
        <f>IF($K348=BN$3,IF($C348="X",0,$O348),0)</f>
        <v>0</v>
      </c>
      <c r="BO348" s="136">
        <f>IF($K348=BO$3,IF($C348="X",0,$O348),0)</f>
        <v>0</v>
      </c>
      <c r="BP348" s="136">
        <f>IF($K348=BP$3,IF($C348="X",0,$O348),0)</f>
        <v>0</v>
      </c>
      <c r="BQ348" s="137">
        <f>IF($K348=BQ$3,IF($C348="X",0,$O348),0)</f>
        <v>0</v>
      </c>
      <c r="BR348" s="134">
        <f>IF($K348=BR$3,IF($C348="X",0,$O348),0)</f>
        <v>0</v>
      </c>
      <c r="BS348" s="282"/>
      <c r="BT348" s="283"/>
      <c r="BU348" s="140"/>
      <c r="BV348" s="283"/>
      <c r="BW348" s="140"/>
      <c r="BX348" s="140"/>
      <c r="BY348" s="140"/>
      <c r="BZ348" s="283"/>
      <c r="CA348" s="140"/>
      <c r="CB348" s="140"/>
      <c r="CC348" s="140"/>
      <c r="CD348" s="141"/>
      <c r="CE348" s="142"/>
      <c r="CF348" s="284">
        <f>IF(CF$3=$K348,IF($C348="W",1,IF($C348="1/2W",0.5,0)),0)</f>
        <v>0</v>
      </c>
      <c r="CG348" s="285">
        <f>IF(CF$3=$K348,IF($C348="L",1,IF($C348="1/2L",0.5,0)),0)</f>
        <v>0</v>
      </c>
      <c r="CH348" s="285">
        <f>IF(CH$3=$K348,IF($C348="W",1,IF($C348="1/2W",0.5,0)),0)</f>
        <v>0</v>
      </c>
      <c r="CI348" s="285">
        <f>IF(CH$3=$K348,IF($C348="L",1,IF($C348="1/2L",0.5,0)),0)</f>
        <v>0</v>
      </c>
      <c r="CJ348" s="285">
        <f>IF(CJ$3=$K348,IF($C348="W",1,IF($C348="1/2W",0.5,0)),0)</f>
        <v>0</v>
      </c>
      <c r="CK348" s="285">
        <f>IF(CJ$3=$K348,IF($C348="L",1,IF($C348="1/2L",0.5,0)),0)</f>
        <v>0</v>
      </c>
      <c r="CL348" s="285">
        <f>IF(CL$3=$K348,IF($C348="W",1,IF($C348="1/2W",0.5,0)),0)</f>
        <v>0</v>
      </c>
      <c r="CM348" s="285">
        <f>IF(CL$3=$K348,IF($C348="L",1,IF($C348="1/2L",0.5,0)),0)</f>
        <v>0</v>
      </c>
      <c r="CN348" s="285">
        <f>IF(CN$3=$K348,IF($C348="W",1,IF($C348="1/2W",0.5,0)),0)</f>
        <v>0</v>
      </c>
      <c r="CO348" s="285">
        <f>IF(CN$3=$K348,IF($C348="L",1,IF($C348="1/2L",0.5,0)),0)</f>
        <v>0</v>
      </c>
      <c r="CP348" s="285">
        <f>IF(CP$3=$K348,IF($C348="W",1,IF($C348="1/2W",0.5,0)),0)</f>
        <v>0</v>
      </c>
      <c r="CQ348" s="285">
        <f>IF(CP$3=$K348,IF($C348="L",1,IF($C348="1/2L",0.5,0)),0)</f>
        <v>0</v>
      </c>
      <c r="CR348" s="285">
        <f>IF(CR$3=$K348,IF($C348="W",1,IF($C348="1/2W",0.5,0)),0)</f>
        <v>0</v>
      </c>
      <c r="CS348" s="285">
        <f>IF(CR$3=$K348,IF($C348="L",1,IF($C348="1/2L",0.5,0)),0)</f>
        <v>0</v>
      </c>
      <c r="CT348" s="145">
        <f>IF(CT$3=$K348,IF($C348="W",1,IF($C348="1/2W",0.5,0)),0)</f>
        <v>0</v>
      </c>
      <c r="CU348" s="146">
        <f>IF(CT$3=$K348,IF($C348="L",1,IF($C348="1/2L",0.5,0)),0)</f>
        <v>0</v>
      </c>
      <c r="CV348" s="146">
        <f>IF(CV$3=$K348,IF($C348="W",1,IF($C348="1/2W",0.5,0)),0)</f>
        <v>0</v>
      </c>
      <c r="CW348" s="146">
        <f>IF(CV$3=$K348,IF($C348="L",1,IF($C348="1/2L",0.5,0)),0)</f>
        <v>0</v>
      </c>
      <c r="CX348" s="146">
        <f>IF(CX$3=$K348,IF($C348="W",1,IF($C348="1/2W",0.5,0)),0)</f>
        <v>0</v>
      </c>
      <c r="CY348" s="146">
        <f>IF(CX$3=$K348,IF($C348="L",1,IF($C348="1/2L",0.5,0)),0)</f>
        <v>0</v>
      </c>
      <c r="CZ348" s="146">
        <f>IF(CZ$3=$K348,IF($C348="W",1,IF($C348="1/2W",0.5,0)),0)</f>
        <v>0</v>
      </c>
      <c r="DA348" s="146">
        <f>IF(CZ$3=$K348,IF($C348="L",1,IF($C348="1/2L",0.5,0)),0)</f>
        <v>0</v>
      </c>
      <c r="DB348" s="146">
        <f>IF(DB$3=$K348,IF($C348="W",1,IF($C348="1/2W",0.5,0)),0)</f>
        <v>0</v>
      </c>
      <c r="DC348" s="146">
        <f>IF(DB$3=$K348,IF($C348="L",1,IF($C348="1/2L",0.5,0)),0)</f>
        <v>0</v>
      </c>
      <c r="DD348" s="146">
        <f>IF(DD$3=$K348,IF($C348="W",1,IF($C348="1/2W",0.5,0)),0)</f>
        <v>0</v>
      </c>
      <c r="DE348" s="147">
        <f>IF(DD$3=$K348,IF($C348="L",1,IF($C348="1/2L",0.5,0)),0)</f>
        <v>0</v>
      </c>
      <c r="DF348" s="143">
        <f>IF(AND(L348&lt;DF$3,$C348="W"),1+DF347,DF347)</f>
        <v>12</v>
      </c>
      <c r="DG348" s="133">
        <f>IF(DF348&gt;DF347,L348+DG347,DG347)</f>
        <v>15.718</v>
      </c>
      <c r="DH348" s="146">
        <f>IF(AND(L348&gt;DH$3,$C348="W"),1+DH347,0+DH347)</f>
        <v>7</v>
      </c>
      <c r="DI348" s="133">
        <f>IF(DH348&gt;DH347,L348+DI347,DI347)</f>
        <v>34.83</v>
      </c>
      <c r="DJ348" t="s" s="304">
        <f>IF($D346="","",$D346)</f>
        <v>298</v>
      </c>
      <c r="DK348" s="286"/>
    </row>
    <row r="349" ht="14.55" customHeight="1">
      <c r="A349" s="171">
        <f>$A346+1</f>
        <v>116</v>
      </c>
      <c r="B349" t="s" s="172">
        <f>IF(AND(_xlfn.XLOOKUP(H349,H110:H$110,G110:G$110,0)=G349,_xlfn.XLOOKUP("TempoBet",K349:K351,L349:L351,0)&gt;0),"X",IF(OR(C349="W",C350="W",C351="W",C349="1/2W",C350="1/2W",C351="1/2W",C349="1/2L",C350="1/2L",C351="1/2L"),"OK",IF(OR(C349="L",C350="L",C351="L"),"LOSS",IF(OR(C349="X",C350="X",C351="X"),"Anulado"," "))))</f>
        <v>50</v>
      </c>
      <c r="C349" t="s" s="173">
        <v>56</v>
      </c>
      <c r="D349" t="s" s="305">
        <f>IF(G349="","",$D346)</f>
        <v>298</v>
      </c>
      <c r="E349" t="s" s="175">
        <f>IF(G349=""," ","– "&amp;COUNTIF(D$4:D351,$D349))</f>
        <v>63</v>
      </c>
      <c r="F349" t="s" s="176"/>
      <c r="G349" s="177">
        <v>44948.416666666664</v>
      </c>
      <c r="H349" t="s" s="178">
        <v>300</v>
      </c>
      <c r="I349" t="s" s="179">
        <v>87</v>
      </c>
      <c r="J349" s="180"/>
      <c r="K349" t="s" s="181">
        <v>41</v>
      </c>
      <c r="L349" s="182">
        <v>2.69</v>
      </c>
      <c r="M349" s="183">
        <v>6.66</v>
      </c>
      <c r="N349" s="184">
        <v>0</v>
      </c>
      <c r="O349" s="185">
        <f>IF(OR(AE349="",AE350=""),"",ROUND(IF(L351&gt;0,IF(M349&gt;0,M349,IF(M350&gt;0,ROUND((M350*AE349)/AE350,IF(N349=0,2,IF(N349=0.1,1,0))),ROUND((M351*AE349)/AE351,IF(N349=0,2,IF(N349=0.1,1,0))))),IF(M349&gt;0,M349,ROUND((M350*AE349)/AE350,IF(N349=0,2,IF(N349=0.1,1,0))))),2))</f>
        <v>6.66</v>
      </c>
      <c r="P349" s="186">
        <f>IF(OR(L349="",O349=""),"",IF($C349="1/2W",O349/2+O349/2*L349,IF($C349="1/2L",O349/2,IF(I349="Lay",(O349*(L349/(L349-1))-O349)*(1-_xlfn.XLOOKUP(K349,'Janeiro 2023 - Valor Real'!A3:A15,'Janeiro 2023 - Valor Real'!C3:C15,0))+O349,(O349*L349-O349)*(1-_xlfn.XLOOKUP(K349,'Janeiro 2023 - Valor Real'!A3:A15,'Janeiro 2023 - Valor Real'!C3:C15,0))+O349))))</f>
        <v>17.9154</v>
      </c>
      <c r="Q349" s="187">
        <f>IF(K349="","",IF(_xlfn.XLOOKUP(K349,K110:K$110,DJ110:DJ$110,0,,-1)=DJ349,_xlfn.XLOOKUP(K349,K110:K$110,Q110:Q$110,1,,-1)+1,1))</f>
        <v>1</v>
      </c>
      <c r="R349" s="188">
        <f>IF(K349="","",_xlfn.XLOOKUP(K349,K110:K$110,R110:R$110,0,,-1)+IF($C349=" ",1,0))</f>
        <v>0</v>
      </c>
      <c r="S349" s="189">
        <f>IF($B349="Anulado",0,ROUND(IF(OR($B349="LOSS",$B349="OK"),IF(OR($C349="W",$C349="1/2W",$C349="1/2L"),P349-O349,IF($C349="L",-O349,0))+IF(OR($C350="W",$C350="1/2W",$C350="1/2L"),P350-O350,IF($C350="L",-O350,0))+IF(OR($C351="W",$C351="1/2W",$C351="1/2L"),P351-O351,IF($C351="L",-O351,0)),IF(AND(OR($C349="W",$C349="1/2W",$C349="1/2L"),C350="W"),P349+P350-SUM(O349:O351)+_xlfn.XLOOKUP("X",C349:C351,O349:O351,0),IF(AND(C349=TRUE,C351="W"),P349+P351-SUM(O349:O351),IF(AND(C350="W",C351="W"),P350+P351-SUM(O349:O351)+_xlfn.XLOOKUP("X",C349:C351,O349:O351,0),IF(L351&gt;0,IF(OR($C349="W",$C349="1/2W",$C349="1/2L"),P349-SUM(O349:O351)+_xlfn.XLOOKUP("X",C349:C351,O349:O351,0),IF(OR($C349="W",$C349="1/2W",$C349="1/2L"),P350-SUM(O349:O351)+_xlfn.XLOOKUP("X",C349:C351,O349:O351,0),IF(OR($C349="W",$C349="1/2W",$C349="1/2L"),P351-SUM(O349:O351)+_xlfn.XLOOKUP("X",C349:C351,O349:O351,0),IF(SUM(P349:P351)/3-SUM(O349:O351)+_xlfn.XLOOKUP("X",C349:C351,O349:O351,0)&gt;0,SUM(P349:P351)/3-SUM(O349:O351)+_xlfn.XLOOKUP("X",C349:C351,O349:O351,0),LARGE(P349:P351,1)-SUM(O349:O351))))),IF(OR($C349="W",$C349="1/2W",$C349="1/2L"),P349-SUM(O349:O350)+_xlfn.XLOOKUP("X",C349:C351,O349:O351,0),IF(OR($C349="W",$C349="1/2W",$C349="1/2L"),P350-SUM(O349:O350)+_xlfn.XLOOKUP("X",C349:C351,O349:O351,0),SUM(P349:P350)/2-SUM(O349:O350)+_xlfn.XLOOKUP("X",C349:C351,O349:O351,0)))))))),2))</f>
        <v>2.07</v>
      </c>
      <c r="T349" s="190">
        <f>IF(S349=0,0,S349/SUM(O349:O351))</f>
        <v>0.130599369085174</v>
      </c>
      <c r="U349" s="191">
        <f>IF($D349=$D346,IF(OR($B349="LOSS",$B349="OK",$B349="Anulada"),S349,0)+U346,IF(OR($B349="LOSS",$B349="OK",$B349="Anulada"),S349,0))</f>
        <v>4.25</v>
      </c>
      <c r="V349" s="191">
        <f>IF($D349="",0,IF($D349=$D346,IF($B349=" ",IF(I351="",IF(OR(AND(I349="DNB1",I350="DNB2"),AND(OR(I349="DNB1",I349="DNB2"),J350=0),AND(OR(I350="DNB1",I350="DNB2"),J349=0),AND(I349="DNB2",I350="DNB1"),AND(IF(J349=0,(J349+1)/ROUND(J349+1,0),J349/ROUND(J349,0))=1,IF(J350=0,(J350+1)/ROUND(IF(J350="",0,J350)+1,0),IF(J350="",0,J350)/ROUND(IF(J350="",1,J350),0))=1,OR(J349&lt;&gt;""),J350&lt;&gt;"")),0,IF(S349&lt;0,IF(I351="",SMALL(P349:P350,1)-SUM(O349:O350),0),SMALL(P349:P350,1)-SUM(O349:O350))),IF(S349&lt;0,IF(I351="",SMALL(P349:P351,1)-SUM(O349:O351),0),LARGE(P349:P351,1)-SUM(O349:O351))),S349)+V346,IF(I351="",IF(OR(AND(I349="DNB1",I350="DNB2"),AND(OR(I349="DNB1",I349="DNB2"),J350=0),AND(OR(I350="DNB1",I350="DNB2"),J349=0),AND(I349="DNB2",I350="DNB1"),AND(IF(J349=0,(J349+1)/ROUND(J349+1,0),J349/ROUND(J349,0))=1,IF(J350=0,(IF(J350="",0,J350)+1)/ROUND(IF(J350="",0,J350)+1,0),IF(J350="",0,J350)/ROUND(IF(J350="",0,J350)+1,0))=1,OR(J349&lt;&gt;""),J350&lt;&gt;"")),0,IF(S349&lt;0,IF(I351="",SMALL(P349:P350,1)-SUM(O349:O350),0),SMALL(P349:P351,1)-SUM(O349:O351))),IF(S349&lt;0,IF(I351="",SMALL(P349:P351,1)-SUM(O349:O351),0),LARGE(P349:P351,1)-SUM(O349:O351)))))</f>
        <v>4.254</v>
      </c>
      <c r="W349" s="191">
        <f>IF($D349=$D346,IF(S349&lt;0,IF(I351="",S349,0),S349)+W346,S349)</f>
        <v>4.25</v>
      </c>
      <c r="X349" t="s" s="192">
        <f>IF(OR(SUM(R349:R351)=0,V349=W349),ROUND(IF(W349=0,0,W349/Y349)*100,2)&amp;"%",ROUND(IF(V349=0,0,V349/Y349)*100,2)&amp;"% a "&amp;ROUND(IF(W349=0,0,W349/Y349)*100,2)&amp;"%")</f>
        <v>301</v>
      </c>
      <c r="Y349" s="193">
        <f>IF($D349=$D346,Y346+SUM(O349:O351),SUM(O349:O351))</f>
        <v>62.58</v>
      </c>
      <c r="Z349" s="191">
        <f>IF($B349=" ",SUM(O349:O351),0)+Z346</f>
        <v>0</v>
      </c>
      <c r="AA349" s="191">
        <f>IF(G349="","",IF($B349="Anulado",LARGE(P349:P351,1)-SUM(O349:O351)+AA346,AA346))</f>
        <v>16.5099</v>
      </c>
      <c r="AB349" s="191">
        <f>IF($D349="","",AB346+S349)</f>
        <v>250.44</v>
      </c>
      <c r="AC349" s="194">
        <f>IF($D349="","",IF($B349=" ",IF(DAY(G349)=DAY(TODAY()),1+AC346,0+AC346),0+AC346))</f>
        <v>0</v>
      </c>
      <c r="AD349" s="195">
        <f>(((L350/(L350-1)-1)*(1-_xlfn.XLOOKUP(K350,'Janeiro 2023 - Valor Real'!A3:A15,'Janeiro 2023 - Valor Real'!C3:C15,0))+1))/(((L349-1)*(1-_xlfn.XLOOKUP(K349,'Janeiro 2023 - Valor Real'!A3:A15,'Janeiro 2023 - Valor Real'!C3:C15,0))+1)+((L350/(L350-1)-1)*(1-_xlfn.XLOOKUP(K350,'Janeiro 2023 - Valor Real'!A3:A15,'Janeiro 2023 - Valor Real'!C3:C15,0))+1))</f>
        <v>0.432804350238597</v>
      </c>
      <c r="AE349" s="196">
        <f>IF(L349="","",IF(L351&gt;0,(SUM(((L349-1)*(1-_xlfn.XLOOKUP(K349,'Janeiro 2023 - Valor Real'!A3:A15,'Janeiro 2023 - Valor Real'!C3:C15,0))+1),((L350-1)*(1-_xlfn.XLOOKUP(K350,'Janeiro 2023 - Valor Real'!A3:A15,'Janeiro 2023 - Valor Real'!C3:C15,0))+1),((L351-1)*(1-_xlfn.XLOOKUP(K351,'Janeiro 2023 - Valor Real'!A3:A15,'Janeiro 2023 - Valor Real'!C3:C15,0))+1))/((L349-1)*(1-_xlfn.XLOOKUP(K349,'Janeiro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Real'!C3:C15,0))+1))/((L349-1)*(1-_xlfn.XLOOKUP(K349,'Janeiro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Real'!C3:C15,0))+1))/((L350-1)*(1-_xlfn.XLOOKUP(K350,'Janeiro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Real'!C3:C15,0))+1))/((L351-1)*(1-_xlfn.XLOOKUP(K351,'Janeiro 2023 - Valor Real'!A3:A15,'Janeiro 2023 - Valor Real'!C3:C15,0))+1)),IF(I349="Lay",IF(I350="Lay",((L350/(L350-1)-1)*(1-_xlfn.XLOOKUP(K350,'Janeiro 2023 - Valor Real'!A3:A15,'Janeiro 2023 - Valor Real'!C3:C15,0))+1)/(((L350/(L350-1)-1)*(1-_xlfn.XLOOKUP(K350,'Janeiro 2023 - Valor Real'!A3:A15,'Janeiro 2023 - Valor Real'!C3:C15,0))+1)+((L349/(L349-1)-1)*(1-_xlfn.XLOOKUP(K349,'Janeiro 2023 - Valor Real'!A3:A15,'Janeiro 2023 - Valor Real'!C3:C15,0))+1)),((L350-1)*(1-_xlfn.XLOOKUP(K350,'Janeiro 2023 - Valor Real'!A3:A15,'Janeiro 2023 - Valor Real'!C3:C15,0))+1)/(((L350-1)*(1-_xlfn.XLOOKUP(K350,'Janeiro 2023 - Valor Real'!A3:A15,'Janeiro 2023 - Valor Real'!C3:C15,0))+1)+((L349/(L349-1)-1)*(1-_xlfn.XLOOKUP(K349,'Janeiro 2023 - Valor Real'!A3:A15,'Janeiro 2023 - Valor Real'!C3:C15,0))+1))),IF(I350="Lay",(((L350/(L350-1)-1)*(1-_xlfn.XLOOKUP(K350,'Janeiro 2023 - Valor Real'!A3:A15,'Janeiro 2023 - Valor Real'!C3:C15,0))+1))/(((L349-1)*(1-_xlfn.XLOOKUP(K349,'Janeiro 2023 - Valor Real'!A3:A15,'Janeiro 2023 - Valor Real'!C3:C15,0))+1)+((L350/(L350-1)-1)*(1-_xlfn.XLOOKUP(K350,'Janeiro 2023 - Valor Real'!A3:A15,'Janeiro 2023 - Valor Real'!C3:C15,0))+1)),((L350-1)*(1-_xlfn.XLOOKUP(K350,'Janeiro 2023 - Valor Real'!A3:A15,'Janeiro 2023 - Valor Real'!C3:C15,0))+1)/(((L350-1)*(1-_xlfn.XLOOKUP(K350,'Janeiro 2023 - Valor Real'!A3:A15,'Janeiro 2023 - Valor Real'!C3:C15,0))+1)+((L349-1)*(1-_xlfn.XLOOKUP(K349,'Janeiro 2023 - Valor Real'!A3:A15,'Janeiro 2023 - Valor Real'!C3:C15,0))+1))))))</f>
        <v>0.420258620689655</v>
      </c>
      <c r="AF349" s="197">
        <f>IF($K349=AF$3,ROUND(IF(OR($C349="W",$C349="1/2W",$C349="1/2L"),$P349-$O349,IF($C349="X",0,-$O349)),2),0)</f>
        <v>0</v>
      </c>
      <c r="AG349" s="198">
        <f>IF($K349=AG$3,ROUND(IF(OR($C349="W",$C349="1/2W",$C349="1/2L"),$P349-$O349,IF($C349="X",0,-$O349)),2),0)</f>
        <v>0</v>
      </c>
      <c r="AH349" s="198">
        <f>IF($K349=AH$3,ROUND(IF(OR($C349="W",$C349="1/2W",$C349="1/2L"),$P349-$O349,IF($C349="X",0,-$O349)),2),0)</f>
        <v>0</v>
      </c>
      <c r="AI349" s="198">
        <f>IF($K349=AI$3,ROUND(IF(OR($C349="W",$C349="1/2W",$C349="1/2L"),$P349-$O349,IF($C349="X",0,-$O349)),2),0)</f>
        <v>0</v>
      </c>
      <c r="AJ349" s="198">
        <f>IF($K349=AJ$3,ROUND(IF(OR($C349="W",$C349="1/2W",$C349="1/2L"),$P349-$O349,IF($C349="X",0,-$O349)),2),0)</f>
        <v>11.26</v>
      </c>
      <c r="AK349" s="198">
        <f>IF($K349=AK$3,ROUND(IF(OR($C349="W",$C349="1/2W",$C349="1/2L"),$P349-$O349,IF($C349="X",0,-$O349)),2),0)</f>
        <v>0</v>
      </c>
      <c r="AL349" s="198">
        <f>IF($K349=AL$3,ROUND(IF(OR($C349="W",$C349="1/2W",$C349="1/2L"),$P349-$O349,IF($C349="X",0,-$O349)),2),0)</f>
        <v>0</v>
      </c>
      <c r="AM349" s="198">
        <f>IF($K349=AM$3,ROUND(IF(OR($C349="W",$C349="1/2W",$C349="1/2L"),$P349-$O349,IF($C349="X",0,-$O349)),2),0)</f>
        <v>0</v>
      </c>
      <c r="AN349" s="198">
        <f>IF($K349=AN$3,ROUND(IF(OR($C349="W",$C349="1/2W",$C349="1/2L"),$P349-$O349,IF($C349="X",0,-$O349)),2),0)</f>
        <v>0</v>
      </c>
      <c r="AO349" s="198">
        <f>IF($K349=AO$3,ROUND(IF(OR($C349="W",$C349="1/2W",$C349="1/2L"),$P349-$O349,IF($C349="X",0,-$O349)),2),0)</f>
        <v>0</v>
      </c>
      <c r="AP349" s="198">
        <f>IF($K349=AP$3,ROUND(IF(OR($C349="W",$C349="1/2W",$C349="1/2L"),$P349-$O349,IF($C349="X",0,-$O349)),2),0)</f>
        <v>0</v>
      </c>
      <c r="AQ349" s="198">
        <f>IF($K349=AQ$3,ROUND(IF(OR($C349="W",$C349="1/2W",$C349="1/2L"),$P349-$O349,IF($C349="X",0,-$O349)),2),0)</f>
        <v>0</v>
      </c>
      <c r="AR349" s="199">
        <f>IF($K349=AR$3,ROUND(IF(OR($C349="W",$C349="1/2W",$C349="1/2L"),$P349-$O349,IF($C349="X",0,-$O349)),2),0)</f>
        <v>0</v>
      </c>
      <c r="AS349" s="197">
        <f>IF(AND($B349=" ",$K349=AS$3),$O349,0)</f>
        <v>0</v>
      </c>
      <c r="AT349" s="198">
        <f>IF(AND($B349=" ",$K349=AT$3),$O349,0)</f>
        <v>0</v>
      </c>
      <c r="AU349" s="198">
        <f>IF(AND($B349=" ",$K349=AU$3),$O349,0)</f>
        <v>0</v>
      </c>
      <c r="AV349" s="198">
        <f>IF(AND($B349=" ",$K349=AV$3),$O349,0)</f>
        <v>0</v>
      </c>
      <c r="AW349" s="198">
        <f>IF(AND($B349=" ",$K349=AW$3),$O349,0)</f>
        <v>0</v>
      </c>
      <c r="AX349" s="198">
        <f>IF(AND($B349=" ",$K349=AX$3),$O349,0)</f>
        <v>0</v>
      </c>
      <c r="AY349" s="200">
        <f>IF(AND($B349=" ",$K349=AY$3),$O349,0)</f>
        <v>0</v>
      </c>
      <c r="AZ349" s="201">
        <f>IF(AND($B349=" ",$K349=AZ$3),$O349,0)</f>
        <v>0</v>
      </c>
      <c r="BA349" s="201">
        <f>IF(AND($B349=" ",$K349=BA$3),$O349,0)</f>
        <v>0</v>
      </c>
      <c r="BB349" s="201">
        <f>IF(AND($B349=" ",$K349=BB$3),$O349,0)</f>
        <v>0</v>
      </c>
      <c r="BC349" s="202">
        <f>IF(AND($B349=" ",$K349=BC$3),$O349,0)</f>
        <v>0</v>
      </c>
      <c r="BD349" s="198">
        <f>IF(AND($B349=" ",$K349=BD$3),$O349,0)</f>
        <v>0</v>
      </c>
      <c r="BE349" s="199">
        <f>IF(AND($B349=" ",$K349=BE$3),$O349,0)</f>
        <v>0</v>
      </c>
      <c r="BF349" s="203">
        <f>IF($K349=BF$3,IF($C349="X",0,$O349),0)</f>
        <v>0</v>
      </c>
      <c r="BG349" s="198">
        <f>IF($K349=BG$3,IF($C349="X",0,$O349),0)</f>
        <v>0</v>
      </c>
      <c r="BH349" s="198">
        <f>IF($K349=BH$3,IF($C349="X",0,$O349),0)</f>
        <v>0</v>
      </c>
      <c r="BI349" s="198">
        <f>IF($K349=BI$3,IF($C349="X",0,$O349),0)</f>
        <v>0</v>
      </c>
      <c r="BJ349" s="198">
        <f>IF($K349=BJ$3,IF($C349="X",0,$O349),0)</f>
        <v>6.66</v>
      </c>
      <c r="BK349" s="198">
        <f>IF($K349=BK$3,IF($C349="X",0,$O349),0)</f>
        <v>0</v>
      </c>
      <c r="BL349" s="198">
        <f>IF($K349=BL$3,IF($C349="X",0,$O349),0)</f>
        <v>0</v>
      </c>
      <c r="BM349" s="200">
        <f>IF($K349=BM$3,IF($C349="X",0,$O349),0)</f>
        <v>0</v>
      </c>
      <c r="BN349" s="201">
        <f>IF($K349=BN$3,IF($C349="X",0,$O349),0)</f>
        <v>0</v>
      </c>
      <c r="BO349" s="201">
        <f>IF($K349=BO$3,IF($C349="X",0,$O349),0)</f>
        <v>0</v>
      </c>
      <c r="BP349" s="201">
        <f>IF($K349=BP$3,IF($C349="X",0,$O349),0)</f>
        <v>0</v>
      </c>
      <c r="BQ349" s="202">
        <f>IF($K349=BQ$3,IF($C349="X",0,$O349),0)</f>
        <v>0</v>
      </c>
      <c r="BR349" s="199">
        <f>IF($K349=BR$3,IF($C349="X",0,$O349),0)</f>
        <v>0</v>
      </c>
      <c r="BS349" s="204">
        <f>IF($B349="LOSS",IF(AND($K349=BS$3,$C349="L"),-$O349,0)+IF(AND($K350=BS$3,$C350="L"),-$O350,0)+IF(AND($K351=BS$3,$C351="L"),-$O351,0),IF(OR(AND($K349=BS$3,OR($C349="W",$C349="1/2W")),AND($K350=BS$3,OR($C350="W",$C350="1/2W")),AND($K351=BS$3,OR($C351="W",$C351="1/2W"))),$S349,0))</f>
        <v>0</v>
      </c>
      <c r="BT349" s="201">
        <f>IF($B349="LOSS",IF(AND($K349=BT$3,$C349="L"),-$O349,0)+IF(AND($K350=BT$3,$C350="L"),-$O350,0)+IF(AND($K350=BT$3,$C351="L"),-$O351,0),IF(OR(AND($K350=BT$3,OR($C349="W",$C349="1/2W")),AND($K350=BT$3,OR($C350="W",$C350="1/2W")),AND($K350=BT$3,OR($C351="W",$C351="1/2W"))),$S349,0))</f>
        <v>0</v>
      </c>
      <c r="BU349" s="201">
        <f>IF($B349="LOSS",IF(AND($K349=BU$3,$C349="L"),-$O349,0)+IF(AND($K350=BU$3,$C350="L"),-$O350,0)+IF(AND($K350=BU$3,$C351="L"),-$O351,0),IF(OR(AND($K350=BU$3,OR($C349="W",$C349="1/2W")),AND($K350=BU$3,OR($C350="W",$C350="1/2W")),AND($K350=BU$3,OR($C351="W",$C351="1/2W"))),$S349,0))</f>
        <v>0</v>
      </c>
      <c r="BV349" s="201">
        <f>IF($B349="LOSS",IF(AND($K349=BV$3,$C349="L"),-$O349,0)+IF(AND($K350=BV$3,$C350="L"),-$O350,0)+IF(AND($K351=BV$3,$C351="L"),-$O351,0),IF(OR(AND($K349=BV$3,OR($C349="W",$C349="1/2W")),AND($K350=BV$3,OR($C350="W",$C350="1/2W")),AND($K351=BV$3,OR($C351="W",$C351="1/2W"))),$S349,0))</f>
        <v>0</v>
      </c>
      <c r="BW349" s="201">
        <f>IF($B349="LOSS",IF(AND($K349=BW$3,$C349="L"),-$O349,0)+IF(AND($K350=BW$3,$C350="L"),-$O350,0)+IF(AND($K351=BW$3,$C351="L"),-$O351,0),IF(OR(AND($K349=BW$3,OR($C349="W",$C349="1/2W")),AND($K350=BW$3,OR($C350="W",$C350="1/2W")),AND($K351=BW$3,OR($C351="W",$C351="1/2W"))),$S349,0))</f>
        <v>2.07</v>
      </c>
      <c r="BX349" s="201">
        <f>IF($B349="LOSS",IF(AND($K349=BX$3,$C349="L"),-$O349,0)+IF(AND($K350=BX$3,$C350="L"),-$O350,0)+IF(AND($K351=BX$3,$C351="L"),-$O351,0),IF(OR(AND($K349=BX$3,OR($C349="W",$C349="1/2W")),AND($K350=BX$3,OR($C350="W",$C350="1/2W")),AND($K351=BX$3,OR($C351="W",$C351="1/2W"))),$S349,0))</f>
        <v>0</v>
      </c>
      <c r="BY349" s="201">
        <f>IF($B349="LOSS",IF(AND($K349=BY$3,$C349="L"),-$O349,0)+IF(AND($K350=BY$3,$C350="L"),-$O350,0)+IF(AND($K351=BY$3,$C351="L"),-$O351,0),IF(OR(AND($K349=BY$3,OR($C349="W",$C349="1/2W")),AND($K350=BY$3,OR($C350="W",$C350="1/2W")),AND($K351=BY$3,OR($C351="W",$C351="1/2W"))),$S349,0))</f>
        <v>0</v>
      </c>
      <c r="BZ349" s="205">
        <f>IF($B349="LOSS",IF(AND($K349=BZ$3,$C349="L"),-$O349,0)+IF(AND($K350=BZ$3,$C350="L"),-$O350,0)+IF(AND($K351=BZ$3,$C351="L"),-$O351,0),IF(OR(AND($K349=BZ$3,OR($C349="W",$C349="1/2W")),AND($K350=BZ$3,OR($C350="W",$C350="1/2W")),AND($K351=BZ$3,OR($C351="W",$C351="1/2W"))),$S349,0))</f>
        <v>0</v>
      </c>
      <c r="CA349" s="205">
        <f>IF($B349="LOSS",IF(AND($K349=CA$3,$C349="L"),-$O349,0)+IF(AND($K350=CA$3,$C350="L"),-$O350,0)+IF(AND($K351=CA$3,$C351="L"),-$O351,0),IF(OR(AND($K349=CA$3,OR($C349="W",$C349="1/2W")),AND($K350=CA$3,OR($C350="W",$C350="1/2W")),AND($K351=CA$3,OR($C351="W",$C351="1/2W"))),$S349,0))</f>
        <v>0</v>
      </c>
      <c r="CB349" s="205">
        <f>IF($B349="LOSS",IF(AND($K349=CB$3,$C349="L"),-$O349,0)+IF(AND($K350=CB$3,$C350="L"),-$O350,0)+IF(AND($K351=CB$3,$C351="L"),-$O351,0),IF(OR(AND($K349=CB$3,OR($C349="W",$C349="1/2W")),AND($K350=CB$3,OR($C350="W",$C350="1/2W")),AND($K351=CB$3,OR($C351="W",$C351="1/2W"))),$S349,0))</f>
        <v>0</v>
      </c>
      <c r="CC349" s="205">
        <f>IF($B349="LOSS",IF(AND($K349=CC$3,$C349="L"),-$O349,0)+IF(AND($K350=CC$3,$C350="L"),-$O350,0)+IF(AND($K351=CC$3,$C351="L"),-$O351,0),IF(OR(AND($K349=CC$3,OR($C349="W",$C349="1/2W")),AND($K350=CC$3,OR($C350="W",$C350="1/2W")),AND($K351=CC$3,OR($C351="W",$C351="1/2W"))),$S349,0))</f>
        <v>0</v>
      </c>
      <c r="CD349" s="202">
        <f>IF($B349="LOSS",IF(AND($K349=CD$3,$C349="L"),-$O349,0)+IF(AND($K350=CD$3,$C350="L"),-$O350,0)+IF(AND($K351=CD$3,$C351="L"),-$O351,0),IF(OR(AND($K349=CD$3,OR($C349="W",$C349="1/2W")),AND($K350=CD$3,OR($C350="W",$C350="1/2W")),AND($K351=CD$3,OR($C351="W",$C351="1/2W"))),$S349,0))</f>
        <v>0</v>
      </c>
      <c r="CE349" s="199">
        <f>IF($B349="LOSS",IF(AND($K349=CE$3,$C349="L"),-$O349,0)+IF(AND($K350=CE$3,$C350="L"),-$O350,0)+IF(AND($K351=CE$3,$C351="L"),-$O351,0),IF(OR(AND($K349=CE$3,OR($C349="W",$C349="1/2W")),AND($K350=CE$3,OR($C350="W",$C350="1/2W")),AND($K351=CE$3,OR($C351="W",$C351="1/2W"))),$S349,0))</f>
        <v>0</v>
      </c>
      <c r="CF349" s="206">
        <f>IF(CF$3=$K349,IF($C349="W",1,IF($C349="1/2W",0.5,0)),0)</f>
        <v>0</v>
      </c>
      <c r="CG349" s="207">
        <f>IF(CF$3=$K349,IF($C349="L",1,IF($C349="1/2L",0.5,0)),0)</f>
        <v>0</v>
      </c>
      <c r="CH349" s="207">
        <f>IF(CH$3=$K349,IF($C349="W",1,IF($C349="1/2W",0.5,0)),0)</f>
        <v>0</v>
      </c>
      <c r="CI349" s="207">
        <f>IF(CH$3=$K349,IF($C349="L",1,IF($C349="1/2L",0.5,0)),0)</f>
        <v>0</v>
      </c>
      <c r="CJ349" s="207">
        <f>IF(CJ$3=$K349,IF($C349="W",1,IF($C349="1/2W",0.5,0)),0)</f>
        <v>0</v>
      </c>
      <c r="CK349" s="207">
        <f>IF(CJ$3=$K349,IF($C349="L",1,IF($C349="1/2L",0.5,0)),0)</f>
        <v>0</v>
      </c>
      <c r="CL349" s="207">
        <f>IF(CL$3=$K349,IF($C349="W",1,IF($C349="1/2W",0.5,0)),0)</f>
        <v>0</v>
      </c>
      <c r="CM349" s="207">
        <f>IF(CL$3=$K349,IF($C349="L",1,IF($C349="1/2L",0.5,0)),0)</f>
        <v>0</v>
      </c>
      <c r="CN349" s="207">
        <f>IF(CN$3=$K349,IF($C349="W",1,IF($C349="1/2W",0.5,0)),0)</f>
        <v>1</v>
      </c>
      <c r="CO349" s="207">
        <f>IF(CN$3=$K349,IF($C349="L",1,IF($C349="1/2L",0.5,0)),0)</f>
        <v>0</v>
      </c>
      <c r="CP349" s="207">
        <f>IF(CP$3=$K349,IF($C349="W",1,IF($C349="1/2W",0.5,0)),0)</f>
        <v>0</v>
      </c>
      <c r="CQ349" s="207">
        <f>IF(CP$3=$K349,IF($C349="L",1,IF($C349="1/2L",0.5,0)),0)</f>
        <v>0</v>
      </c>
      <c r="CR349" s="207">
        <f>IF(CR$3=$K349,IF($C349="W",1,IF($C349="1/2W",0.5,0)),0)</f>
        <v>0</v>
      </c>
      <c r="CS349" s="207">
        <f>IF(CR$3=$K349,IF($C349="L",1,IF($C349="1/2L",0.5,0)),0)</f>
        <v>0</v>
      </c>
      <c r="CT349" s="208">
        <f>IF(CT$3=$K349,IF($C349="W",1,IF($C349="1/2W",0.5,0)),0)</f>
        <v>0</v>
      </c>
      <c r="CU349" s="209">
        <f>IF(CT$3=$K349,IF($C349="L",1,IF($C349="1/2L",0.5,0)),0)</f>
        <v>0</v>
      </c>
      <c r="CV349" s="209">
        <f>IF(CV$3=$K349,IF($C349="W",1,IF($C349="1/2W",0.5,0)),0)</f>
        <v>0</v>
      </c>
      <c r="CW349" s="209">
        <f>IF(CV$3=$K349,IF($C349="L",1,IF($C349="1/2L",0.5,0)),0)</f>
        <v>0</v>
      </c>
      <c r="CX349" s="209">
        <f>IF(CX$3=$K349,IF($C349="W",1,IF($C349="1/2W",0.5,0)),0)</f>
        <v>0</v>
      </c>
      <c r="CY349" s="209">
        <f>IF(CX$3=$K349,IF($C349="L",1,IF($C349="1/2L",0.5,0)),0)</f>
        <v>0</v>
      </c>
      <c r="CZ349" s="209">
        <f>IF(CZ$3=$K349,IF($C349="W",1,IF($C349="1/2W",0.5,0)),0)</f>
        <v>0</v>
      </c>
      <c r="DA349" s="209">
        <f>IF(CZ$3=$K349,IF($C349="L",1,IF($C349="1/2L",0.5,0)),0)</f>
        <v>0</v>
      </c>
      <c r="DB349" s="209">
        <f>IF(DB$3=$K349,IF($C349="W",1,IF($C349="1/2W",0.5,0)),0)</f>
        <v>0</v>
      </c>
      <c r="DC349" s="209">
        <f>IF(DB$3=$K349,IF($C349="L",1,IF($C349="1/2L",0.5,0)),0)</f>
        <v>0</v>
      </c>
      <c r="DD349" s="209">
        <f>IF(DD$3=$K349,IF($C349="W",1,IF($C349="1/2W",0.5,0)),0)</f>
        <v>0</v>
      </c>
      <c r="DE349" s="210">
        <f>IF(DD$3=$K349,IF($C349="L",1,IF($C349="1/2L",0.5,0)),0)</f>
        <v>0</v>
      </c>
      <c r="DF349" s="211">
        <f>IF(AND(L349&lt;DF$3,$C349="W"),1+DF348,DF348)</f>
        <v>12</v>
      </c>
      <c r="DG349" s="198">
        <f>IF(DF349&gt;DF348,L349+DG348,DG348)</f>
        <v>15.718</v>
      </c>
      <c r="DH349" s="209">
        <f>IF(AND(L349&gt;DH$3,$C349="W"),1+DH348,0+DH348)</f>
        <v>7</v>
      </c>
      <c r="DI349" s="198">
        <f>IF(DH349&gt;DH348,L349+DI348,DI348)</f>
        <v>34.83</v>
      </c>
      <c r="DJ349" t="s" s="306">
        <f>IF($D349="","",$D349)</f>
        <v>298</v>
      </c>
      <c r="DK349" s="209">
        <f>IF(AND($B349=" ",$D349&lt;&gt;""),1,0)</f>
        <v>0</v>
      </c>
    </row>
    <row r="350" ht="14.55" customHeight="1">
      <c r="A350" s="107"/>
      <c r="B350" s="108"/>
      <c r="C350" t="s" s="213">
        <v>51</v>
      </c>
      <c r="D350" s="110"/>
      <c r="E350" s="111"/>
      <c r="F350" s="112"/>
      <c r="G350" s="214"/>
      <c r="H350" s="114"/>
      <c r="I350" s="299">
        <v>1</v>
      </c>
      <c r="J350" t="s" s="216">
        <f>IF(OR(I349="TO",I349="TU",I349="TO1",I349="TU1",I349="TO2",I349="TU2"),J349,IF(OR(I349="AH1",I349="AH2"),IF(OR(I350="AH1",I350="AH2"),-J349,IF(OR(I350="EH1",I350="EH2"),-J349+0.5,"")),IF(OR(I349="EH1",I349="EH2"),IF(OR(I350="AH1",I350="AH2"),-J349+0.5,IF(OR(I350="EH1",I350="EH2"),-J349+1,"")),IF(AND(OR(I349="DNB1",I349="DNB2"),OR(I350="AH1",I350="AH2")),0,IF(AND(I349="Not ScoreBoth",OR(I350="TO1",I350="TO2")),0.5,"")))))</f>
      </c>
      <c r="K350" t="s" s="217">
        <v>37</v>
      </c>
      <c r="L350" s="218">
        <v>1.95</v>
      </c>
      <c r="M350" s="219"/>
      <c r="N350" s="120"/>
      <c r="O350" s="220">
        <f>IF(OR(AE349="",AE350=""),"",ROUND(IF(L351&gt;0,IF(M350&gt;0,M350,IF(M349&gt;0,IF(N349=TRUE,ROUND((M349*AE350)/AE349,0),(M349*AE350)/AE349),IF(M350&gt;0,ROUND(M350,IF(N349=0,2,IF(N349=0.1,1,0))),IF(M351&gt;0,ROUND(O351*AE350/AE351,IF(N349=0,2,IF(N349=0.1,1,0))),0)))),IF(M350&gt;0,M350,ROUND((M349*AE350)/AE349,IF(N349=0,2,IF(N349=0.1,1,0))))),2))</f>
        <v>9.19</v>
      </c>
      <c r="P350" s="221">
        <f>IF(OR(L350="",O350=""),"",IF($C350="1/2W",O350/2+O350/2*L350,IF($C350="1/2L",O350/2,IF(I350="Lay",((O350*(L350/(L350-1)))-O350)*(1-_xlfn.XLOOKUP(K350,'Janeiro 2023 - Valor Real'!A3:A15,'Janeiro 2023 - Valor Real'!C3:C15,0))+O350,(O350*L350-O350)*(1-_xlfn.XLOOKUP(K350,'Janeiro 2023 - Valor Real'!A3:A15,'Janeiro 2023 - Valor Real'!C3:C15,0))+O350))))</f>
        <v>17.9205</v>
      </c>
      <c r="Q350" s="222">
        <f>IF(K350="","",IF(_xlfn.XLOOKUP(K350,K111:K$111,DJ111:DJ$111,0,,-1)=DJ350,_xlfn.XLOOKUP(K350,K111:K$111,Q111:Q$111,1,,-1)+1,1))</f>
        <v>1</v>
      </c>
      <c r="R350" s="223">
        <f>IF(K350="","",_xlfn.XLOOKUP(K350,K111:K$111,R111:R$111,0,,-1)+IF($C350=" ",1,0))</f>
        <v>0</v>
      </c>
      <c r="S350" s="125"/>
      <c r="T350" s="126"/>
      <c r="U350" s="126"/>
      <c r="V350" s="224"/>
      <c r="W350" s="126"/>
      <c r="X350" s="127"/>
      <c r="Y350" s="128"/>
      <c r="Z350" s="129"/>
      <c r="AA350" s="129"/>
      <c r="AB350" s="129"/>
      <c r="AC350" s="129"/>
      <c r="AD350" s="225">
        <f>(((L350/(L350-1)-1)*(1-_xlfn.XLOOKUP(K350,'Janeiro 2023 - Valor Real'!A3:A15,'Janeiro 2023 - Valor Real'!C3:C15,0))+1))</f>
        <v>2.05263157894737</v>
      </c>
      <c r="AE350" s="226">
        <f>IF(L350="","",IF(L351&gt;0,(SUM(((L349-1)*(1-_xlfn.XLOOKUP(K349,'Janeiro 2023 - Valor Real'!A3:A15,'Janeiro 2023 - Valor Real'!C3:C15,0))+1),((L350-1)*(1-_xlfn.XLOOKUP(K350,'Janeiro 2023 - Valor Real'!A3:A15,'Janeiro 2023 - Valor Real'!C3:C15,0))+1),((L351-1)*(1-_xlfn.XLOOKUP(K351,'Janeiro 2023 - Valor Real'!A3:A15,'Janeiro 2023 - Valor Real'!C3:C15,0))+1))/((L350-1)*(1-_xlfn.XLOOKUP(K350,'Janeiro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Real'!C3:C15,0))+1))/((L349-1)*(1-_xlfn.XLOOKUP(K349,'Janeiro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Real'!C3:C15,0))+1))/((L350-1)*(1-_xlfn.XLOOKUP(K350,'Janeiro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Real'!C3:C15,0))+1))/((L351-1)*(1-_xlfn.XLOOKUP(K351,'Janeiro 2023 - Valor Real'!A3:A15,'Janeiro 2023 - Valor Real'!C3:C15,0))+1)),IF(I350="Lay",IF(I349="Lay",((L349/(L349-1)-1)*(1-_xlfn.XLOOKUP(K349,'Janeiro 2023 - Valor Real'!A3:A15,'Janeiro 2023 - Valor Real'!C3:C15,0))+1)/(((L349/(L349-1)-1)*(1-_xlfn.XLOOKUP(K349,'Janeiro 2023 - Valor Real'!A3:A15,'Janeiro 2023 - Valor Real'!C3:C15,0))+1)+((L350/(L350-1)-1)*(1-_xlfn.XLOOKUP(K350,'Janeiro 2023 - Valor Real'!A3:A15,'Janeiro 2023 - Valor Real'!C3:C15,0))+1)),((L349-1)*(1-_xlfn.XLOOKUP(K349,'Janeiro 2023 - Valor Real'!A3:A15,'Janeiro 2023 - Valor Real'!C3:C15,0))+1)/(((L349-1)*(1-_xlfn.XLOOKUP(K349,'Janeiro 2023 - Valor Real'!A3:A15,'Janeiro 2023 - Valor Real'!C3:C15,0))+1)+((L350/(L350-1)-1)*(1-_xlfn.XLOOKUP(K350,'Janeiro 2023 - Valor Real'!A3:A15,'Janeiro 2023 - Valor Real'!C3:C15,0))+1))),IF(I349="Lay",((L349/(L349-1)-1)*(1-_xlfn.XLOOKUP(K349,'Janeiro 2023 - Valor Real'!A3:A15,'Janeiro 2023 - Valor Real'!C3:C15,0))+1)/((((L349/(L349-1)-1)*(1-_xlfn.XLOOKUP(K349,'Janeiro 2023 - Valor Real'!A3:A15,'Janeiro 2023 - Valor Real'!C3:C15,0))+1))+((L350-1)*(1-_xlfn.XLOOKUP(K350,'Janeiro 2023 - Valor Real'!A3:A15,'Janeiro 2023 - Valor Real'!C3:C15,0))+1)),((L349-1)*(1-_xlfn.XLOOKUP(K349,'Janeiro 2023 - Valor Real'!A3:A15,'Janeiro 2023 - Valor Real'!C3:C15,0))+1)/(((L349-1)*(1-_xlfn.XLOOKUP(K349,'Janeiro 2023 - Valor Real'!A3:A15,'Janeiro 2023 - Valor Real'!C3:C15,0))+1)+((L350-1)*(1-_xlfn.XLOOKUP(K350,'Janeiro 2023 - Valor Real'!A3:A15,'Janeiro 2023 - Valor Real'!C3:C15,0))+1))))))</f>
        <v>0.579741379310345</v>
      </c>
      <c r="AF350" s="197">
        <f>IF($K350=AF$3,ROUND(IF(OR($C350="W",$C350="1/2W",$C350="1/2L"),$P350-$O350,IF($C350="X",0,-$O350)),2),0)</f>
        <v>-9.19</v>
      </c>
      <c r="AG350" s="198">
        <f>IF($K350=AG$3,ROUND(IF(OR($C350="W",$C350="1/2W",$C350="1/2L"),$P350-$O350,IF($C350="X",0,-$O350)),2),0)</f>
        <v>0</v>
      </c>
      <c r="AH350" s="198">
        <f>IF($K350=AH$3,ROUND(IF(OR($C350="W",$C350="1/2W",$C350="1/2L"),$P350-$O350,IF($C350="X",0,-$O350)),2),0)</f>
        <v>0</v>
      </c>
      <c r="AI350" s="198">
        <f>IF($K350=AI$3,ROUND(IF(OR($C350="W",$C350="1/2W",$C350="1/2L"),$P350-$O350,IF($C350="X",0,-$O350)),2),0)</f>
        <v>0</v>
      </c>
      <c r="AJ350" s="198">
        <f>IF($K350=AJ$3,ROUND(IF(OR($C350="W",$C350="1/2W",$C350="1/2L"),$P350-$O350,IF($C350="X",0,-$O350)),2),0)</f>
        <v>0</v>
      </c>
      <c r="AK350" s="198">
        <f>IF($K350=AK$3,ROUND(IF(OR($C350="W",$C350="1/2W",$C350="1/2L"),$P350-$O350,IF($C350="X",0,-$O350)),2),0)</f>
        <v>0</v>
      </c>
      <c r="AL350" s="198">
        <f>IF($K350=AL$3,ROUND(IF(OR($C350="W",$C350="1/2W",$C350="1/2L"),$P350-$O350,IF($C350="X",0,-$O350)),2),0)</f>
        <v>0</v>
      </c>
      <c r="AM350" s="198">
        <f>IF($K350=AM$3,ROUND(IF(OR($C350="W",$C350="1/2W",$C350="1/2L"),$P350-$O350,IF($C350="X",0,-$O350)),2),0)</f>
        <v>0</v>
      </c>
      <c r="AN350" s="198">
        <f>IF($K350=AN$3,ROUND(IF(OR($C350="W",$C350="1/2W",$C350="1/2L"),$P350-$O350,IF($C350="X",0,-$O350)),2),0)</f>
        <v>0</v>
      </c>
      <c r="AO350" s="198">
        <f>IF($K350=AO$3,ROUND(IF(OR($C350="W",$C350="1/2W",$C350="1/2L"),$P350-$O350,IF($C350="X",0,-$O350)),2),0)</f>
        <v>0</v>
      </c>
      <c r="AP350" s="198">
        <f>IF($K350=AP$3,ROUND(IF(OR($C350="W",$C350="1/2W",$C350="1/2L"),$P350-$O350,IF($C350="X",0,-$O350)),2),0)</f>
        <v>0</v>
      </c>
      <c r="AQ350" s="198">
        <f>IF($K350=AQ$3,ROUND(IF(OR($C350="W",$C350="1/2W",$C350="1/2L"),$P350-$O350,IF($C350="X",0,-$O350)),2),0)</f>
        <v>0</v>
      </c>
      <c r="AR350" s="199">
        <f>IF($K350=AR$3,ROUND(IF(OR($C350="W",$C350="1/2W",$C350="1/2L"),$P350-$O350,IF($C350="X",0,-$O350)),2),0)</f>
        <v>0</v>
      </c>
      <c r="AS350" s="197">
        <f>IF(AND($B349=" ",$K350=AS$3),$O350,0)</f>
        <v>0</v>
      </c>
      <c r="AT350" s="198">
        <f>IF(AND($B349=" ",K350=AT$3),$O350,0)</f>
        <v>0</v>
      </c>
      <c r="AU350" s="198">
        <f>IF(AND($B349=" ",$K350=AU$3),$O350,0)</f>
        <v>0</v>
      </c>
      <c r="AV350" s="198">
        <f>IF(AND($B349=" ",$K350=AV$3),$O350,0)</f>
        <v>0</v>
      </c>
      <c r="AW350" s="198">
        <f>IF(AND($B349=" ",$K350=AW$3),$O350,0)</f>
        <v>0</v>
      </c>
      <c r="AX350" s="198">
        <f>IF(AND($B349=" ",$K350=AX$3),$O350,0)</f>
        <v>0</v>
      </c>
      <c r="AY350" s="200">
        <f>IF(AND($B349=" ",$K350=AY$3),$O350,0)</f>
        <v>0</v>
      </c>
      <c r="AZ350" s="201">
        <f>IF(AND($B349=" ",$K350=AZ$3),$O350,0)</f>
        <v>0</v>
      </c>
      <c r="BA350" s="201">
        <f>IF(AND($B349=" ",$K350=BA$3),$O350,0)</f>
        <v>0</v>
      </c>
      <c r="BB350" s="201">
        <f>IF(AND($B349=" ",$K350=BB$3),$O350,0)</f>
        <v>0</v>
      </c>
      <c r="BC350" s="202">
        <f>IF(AND($B349=" ",$K350=BC$3),$O350,0)</f>
        <v>0</v>
      </c>
      <c r="BD350" s="198">
        <f>IF(AND($B349=" ",$K350=BD$3),$O350,0)</f>
        <v>0</v>
      </c>
      <c r="BE350" s="199">
        <f>IF(AND($B349=" ",$K350=BE$3),$O350,0)</f>
        <v>0</v>
      </c>
      <c r="BF350" s="197">
        <f>IF($K350=BF$3,IF($C350="X",0,$O350),0)</f>
        <v>9.19</v>
      </c>
      <c r="BG350" s="198">
        <f>IF($K350=BG$3,IF($C350="X",0,$O350),0)</f>
        <v>0</v>
      </c>
      <c r="BH350" s="198">
        <f>IF($K350=BH$3,IF($C350="X",0,$O350),0)</f>
        <v>0</v>
      </c>
      <c r="BI350" s="198">
        <f>IF($K350=BI$3,IF($C350="X",0,$O350),0)</f>
        <v>0</v>
      </c>
      <c r="BJ350" s="198">
        <f>IF($K350=BJ$3,IF($C350="X",0,$O350),0)</f>
        <v>0</v>
      </c>
      <c r="BK350" s="198">
        <f>IF($K350=BK$3,IF($C350="X",0,$O350),0)</f>
        <v>0</v>
      </c>
      <c r="BL350" s="198">
        <f>IF($K350=BL$3,IF($C350="X",0,$O350),0)</f>
        <v>0</v>
      </c>
      <c r="BM350" s="227">
        <f>IF($K350=BM$3,IF($C350="X",0,$O350),0)</f>
        <v>0</v>
      </c>
      <c r="BN350" s="205">
        <f>IF($K350=BN$3,IF($C350="X",0,$O350),0)</f>
        <v>0</v>
      </c>
      <c r="BO350" s="205">
        <f>IF($K350=BO$3,IF($C350="X",0,$O350),0)</f>
        <v>0</v>
      </c>
      <c r="BP350" s="205">
        <f>IF($K350=BP$3,IF($C350="X",0,$O350),0)</f>
        <v>0</v>
      </c>
      <c r="BQ350" s="202">
        <f>IF($K350=BQ$3,IF($C350="X",0,$O350),0)</f>
        <v>0</v>
      </c>
      <c r="BR350" s="199">
        <f>IF($K350=BR$3,IF($C350="X",0,$O350),0)</f>
        <v>0</v>
      </c>
      <c r="BS350" s="228"/>
      <c r="BT350" s="229"/>
      <c r="BU350" s="140"/>
      <c r="BV350" s="229"/>
      <c r="BW350" s="140"/>
      <c r="BX350" s="140"/>
      <c r="BY350" s="140"/>
      <c r="BZ350" s="229"/>
      <c r="CA350" s="140"/>
      <c r="CB350" s="140"/>
      <c r="CC350" s="140"/>
      <c r="CD350" s="141"/>
      <c r="CE350" s="142"/>
      <c r="CF350" s="230">
        <f>IF(CF$3=$K350,IF($C350="W",1,IF($C350="1/2W",0.5,0)),0)</f>
        <v>0</v>
      </c>
      <c r="CG350" s="231">
        <f>IF(CF$3=$K350,IF($C350="L",1,IF($C350="1/2L",0.5,0)),0)</f>
        <v>1</v>
      </c>
      <c r="CH350" s="231">
        <f>IF(CH$3=$K350,IF($C350="W",1,IF($C350="1/2W",0.5,0)),0)</f>
        <v>0</v>
      </c>
      <c r="CI350" s="231">
        <f>IF(CH$3=$K350,IF($C350="L",1,IF($C350="1/2L",0.5,0)),0)</f>
        <v>0</v>
      </c>
      <c r="CJ350" s="231">
        <f>IF(CJ$3=$K350,IF($C350="W",1,IF($C350="1/2W",0.5,0)),0)</f>
        <v>0</v>
      </c>
      <c r="CK350" s="231">
        <f>IF(CJ$3=$K350,IF($C350="L",1,IF($C350="1/2L",0.5,0)),0)</f>
        <v>0</v>
      </c>
      <c r="CL350" s="231">
        <f>IF(CL$3=$K350,IF($C350="W",1,IF($C350="1/2W",0.5,0)),0)</f>
        <v>0</v>
      </c>
      <c r="CM350" s="231">
        <f>IF(CL$3=$K350,IF($C350="L",1,IF($C350="1/2L",0.5,0)),0)</f>
        <v>0</v>
      </c>
      <c r="CN350" s="231">
        <f>IF(CN$3=$K350,IF($C350="W",1,IF($C350="1/2W",0.5,0)),0)</f>
        <v>0</v>
      </c>
      <c r="CO350" s="231">
        <f>IF(CN$3=$K350,IF($C350="L",1,IF($C350="1/2L",0.5,0)),0)</f>
        <v>0</v>
      </c>
      <c r="CP350" s="231">
        <f>IF(CP$3=$K350,IF($C350="W",1,IF($C350="1/2W",0.5,0)),0)</f>
        <v>0</v>
      </c>
      <c r="CQ350" s="231">
        <f>IF(CP$3=$K350,IF($C350="L",1,IF($C350="1/2L",0.5,0)),0)</f>
        <v>0</v>
      </c>
      <c r="CR350" s="231">
        <f>IF(CR$3=$K350,IF($C350="W",1,IF($C350="1/2W",0.5,0)),0)</f>
        <v>0</v>
      </c>
      <c r="CS350" s="231">
        <f>IF(CR$3=$K350,IF($C350="L",1,IF($C350="1/2L",0.5,0)),0)</f>
        <v>0</v>
      </c>
      <c r="CT350" s="208">
        <f>IF(CT$3=$K350,IF($C350="W",1,IF($C350="1/2W",0.5,0)),0)</f>
        <v>0</v>
      </c>
      <c r="CU350" s="209">
        <f>IF(CT$3=$K350,IF($C350="L",1,IF($C350="1/2L",0.5,0)),0)</f>
        <v>0</v>
      </c>
      <c r="CV350" s="209">
        <f>IF(CV$3=$K350,IF($C350="W",1,IF($C350="1/2W",0.5,0)),0)</f>
        <v>0</v>
      </c>
      <c r="CW350" s="209">
        <f>IF(CV$3=$K350,IF($C350="L",1,IF($C350="1/2L",0.5,0)),0)</f>
        <v>0</v>
      </c>
      <c r="CX350" s="209">
        <f>IF(CX$3=$K350,IF($C350="W",1,IF($C350="1/2W",0.5,0)),0)</f>
        <v>0</v>
      </c>
      <c r="CY350" s="209">
        <f>IF(CX$3=$K350,IF($C350="L",1,IF($C350="1/2L",0.5,0)),0)</f>
        <v>0</v>
      </c>
      <c r="CZ350" s="209">
        <f>IF(CZ$3=$K350,IF($C350="W",1,IF($C350="1/2W",0.5,0)),0)</f>
        <v>0</v>
      </c>
      <c r="DA350" s="209">
        <f>IF(CZ$3=$K350,IF($C350="L",1,IF($C350="1/2L",0.5,0)),0)</f>
        <v>0</v>
      </c>
      <c r="DB350" s="209">
        <f>IF(DB$3=$K350,IF($C350="W",1,IF($C350="1/2W",0.5,0)),0)</f>
        <v>0</v>
      </c>
      <c r="DC350" s="209">
        <f>IF(DB$3=$K350,IF($C350="L",1,IF($C350="1/2L",0.5,0)),0)</f>
        <v>0</v>
      </c>
      <c r="DD350" s="209">
        <f>IF(DD$3=$K350,IF($C350="W",1,IF($C350="1/2W",0.5,0)),0)</f>
        <v>0</v>
      </c>
      <c r="DE350" s="210">
        <f>IF(DD$3=$K350,IF($C350="L",1,IF($C350="1/2L",0.5,0)),0)</f>
        <v>0</v>
      </c>
      <c r="DF350" s="211">
        <f>IF(AND(L350&lt;DF$3,$C350="W"),1+DF349,DF349)</f>
        <v>12</v>
      </c>
      <c r="DG350" s="198">
        <f>IF(DF350&gt;DF349,L350+DG349,DG349)</f>
        <v>15.718</v>
      </c>
      <c r="DH350" s="209">
        <f>IF(AND(L350&gt;DH$3,$C350="W"),1+DH349,0+DH349)</f>
        <v>7</v>
      </c>
      <c r="DI350" s="198">
        <f>IF(DH350&gt;DH349,L350+DI349,DI349)</f>
        <v>34.83</v>
      </c>
      <c r="DJ350" t="s" s="306">
        <f>IF($D349="","",$D349)</f>
        <v>298</v>
      </c>
      <c r="DK350" s="232"/>
    </row>
    <row r="351" ht="14.55" customHeight="1">
      <c r="A351" s="149"/>
      <c r="B351" s="150"/>
      <c r="C351" t="s" s="233">
        <v>58</v>
      </c>
      <c r="D351" s="152"/>
      <c r="E351" s="153"/>
      <c r="F351" s="154"/>
      <c r="G351" s="234"/>
      <c r="H351" s="156"/>
      <c r="I351" s="235"/>
      <c r="J351" s="236"/>
      <c r="K351" s="237"/>
      <c r="L351" s="238"/>
      <c r="M351" s="239"/>
      <c r="N351" s="161"/>
      <c r="O351" t="s" s="240">
        <f>IF(OR(AE349="",AE350=""),"",IF(L351&gt;0,ROUND(IF(M351&gt;0,M351,IF(M349&gt;0,ROUND((M349*AE351)/AE349,IF(N349=0,2,IF(N349=0.1,1,0))),IF(M350&gt;0,ROUND((M350*AE351)/AE350,IF(N349=0,2,IF(N349=0.1,1,0))),IF(M351&gt;0,M351,0)))),2),""))</f>
      </c>
      <c r="P351" t="s" s="241">
        <f>IF(I350="Lay",O350*(L350/(L350-1))-O350,IF(I349="Lay",O349*(L349/(L349-1))-O349,IF(OR(L351="",O351=""),"",IF($C351="1/2W",O351/2+O351/2*L351,IF($C351="1/2L",O351/2,(O351*L351-O351)*(1-_xlfn.XLOOKUP(K351,'Janeiro 2023 - Valor Real'!A3:A15,'Janeiro 2023 - Valor Real'!C3:C15,0))+O351)))))</f>
      </c>
      <c r="Q351" t="s" s="242">
        <f>IF(K351="","",IF(_xlfn.XLOOKUP(K351,K112:K$112,DJ112:DJ$112,0,,-1)=DJ351,_xlfn.XLOOKUP(K351,K112:K$112,Q112:Q$112,1,,-1)+1,1))</f>
      </c>
      <c r="R351" t="s" s="243">
        <f>IF(K351="","",_xlfn.XLOOKUP(K351,K112:K$112,R112:R$112,0,,-1)+IF($C351=" ",1,0))</f>
      </c>
      <c r="S351" s="166"/>
      <c r="T351" s="155"/>
      <c r="U351" s="155"/>
      <c r="V351" s="166"/>
      <c r="W351" s="155"/>
      <c r="X351" s="167"/>
      <c r="Y351" s="128"/>
      <c r="Z351" s="129"/>
      <c r="AA351" s="129"/>
      <c r="AB351" s="129"/>
      <c r="AC351" s="129"/>
      <c r="AD351" s="244">
        <f>((L350/(L350-1)-1))</f>
        <v>1.05263157894737</v>
      </c>
      <c r="AE351" t="s" s="245">
        <f>IF(L351="","",(SUM(((L349-1)*(1-_xlfn.XLOOKUP(K349,'Janeiro 2023 - Valor Real'!A3:A15,'Janeiro 2023 - Valor Real'!C3:C15,0))+1),((L350-1)*(1-_xlfn.XLOOKUP(K350,'Janeiro 2023 - Valor Real'!A3:A15,'Janeiro 2023 - Valor Real'!C3:C15,0))+1),((L351-1)*(1-_xlfn.XLOOKUP(K351,'Janeiro 2023 - Valor Real'!A3:A15,'Janeiro 2023 - Valor Real'!C3:C15,0))+1))/((L351-1)*(1-_xlfn.XLOOKUP(K351,'Janeiro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Real'!C3:C15,0))+1))/((L349-1)*(1-_xlfn.XLOOKUP(K349,'Janeiro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Real'!C3:C15,0))+1))/((L350-1)*(1-_xlfn.XLOOKUP(K350,'Janeiro 2023 - Valor Real'!A3:A15,'Janeiro 2023 - Valor Real'!C3:C15,0))+1)+SUM(((L349-1)*(1-_xlfn.XLOOKUP(K349,'Janeiro 2023 - Valor Real'!A3:A15,'Janeiro 2023 - Valor Real'!C3:C15,0))+1),((L350-1)*(1-_xlfn.XLOOKUP(K350,'Janeiro 2023 - Valor Real'!A3:A15,'Janeiro 2023 - Valor Real'!C3:C15,0))+1),((L351-1)*(1-_xlfn.XLOOKUP(K351,'Janeiro 2023 - Valor Real'!A3:A15,'Janeiro 2023 - Valor Real'!C3:C15,0))+1))/((L351-1)*(1-_xlfn.XLOOKUP(K351,'Janeiro 2023 - Valor Real'!A3:A15,'Janeiro 2023 - Valor Real'!C3:C15,0))+1)))</f>
      </c>
      <c r="AF351" s="197">
        <f>IF($K351=AF$3,ROUND(IF(OR($C351="W",$C351="1/2W",$C351="1/2L"),$P351-$O351,IF($C351="X",0,-$O351)),2),0)</f>
        <v>0</v>
      </c>
      <c r="AG351" s="198">
        <f>IF($K351=AG$3,ROUND(IF(OR($C351="W",$C351="1/2W",$C351="1/2L"),$P351-$O351,IF($C351="X",0,-$O351)),2),0)</f>
        <v>0</v>
      </c>
      <c r="AH351" s="198">
        <f>IF($K351=AH$3,ROUND(IF(OR($C351="W",$C351="1/2W",$C351="1/2L"),$P351-$O351,IF($C351="X",0,-$O351)),2),0)</f>
        <v>0</v>
      </c>
      <c r="AI351" s="198">
        <f>IF($K351=AI$3,ROUND(IF(OR($C351="W",$C351="1/2W",$C351="1/2L"),$P351-$O351,IF($C351="X",0,-$O351)),2),0)</f>
        <v>0</v>
      </c>
      <c r="AJ351" s="198">
        <f>IF($K351=AJ$3,ROUND(IF(OR($C351="W",$C351="1/2W",$C351="1/2L"),$P351-$O351,IF($C351="X",0,-$O351)),2),0)</f>
        <v>0</v>
      </c>
      <c r="AK351" s="198">
        <f>IF($K351=AK$3,ROUND(IF(OR($C351="W",$C351="1/2W",$C351="1/2L"),$P351-$O351,IF($C351="X",0,-$O351)),2),0)</f>
        <v>0</v>
      </c>
      <c r="AL351" s="198">
        <f>IF($K351=AL$3,ROUND(IF(OR($C351="W",$C351="1/2W",$C351="1/2L"),$P351-$O351,IF($C351="X",0,-$O351)),2),0)</f>
        <v>0</v>
      </c>
      <c r="AM351" s="198">
        <f>IF($K351=AM$3,ROUND(IF(OR($C351="W",$C351="1/2W",$C351="1/2L"),$P351-$O351,IF($C351="X",0,-$O351)),2),0)</f>
        <v>0</v>
      </c>
      <c r="AN351" s="198">
        <f>IF($K351=AN$3,ROUND(IF(OR($C351="W",$C351="1/2W",$C351="1/2L"),$P351-$O351,IF($C351="X",0,-$O351)),2),0)</f>
        <v>0</v>
      </c>
      <c r="AO351" s="198">
        <f>IF($K351=AO$3,ROUND(IF(OR($C351="W",$C351="1/2W",$C351="1/2L"),$P351-$O351,IF($C351="X",0,-$O351)),2),0)</f>
        <v>0</v>
      </c>
      <c r="AP351" s="198">
        <f>IF($K351=AP$3,ROUND(IF(OR($C351="W",$C351="1/2W",$C351="1/2L"),$P351-$O351,IF($C351="X",0,-$O351)),2),0)</f>
        <v>0</v>
      </c>
      <c r="AQ351" s="198">
        <f>IF($K351=AQ$3,ROUND(IF(OR($C351="W",$C351="1/2W",$C351="1/2L"),$P351-$O351,IF($C351="X",0,-$O351)),2),0)</f>
        <v>0</v>
      </c>
      <c r="AR351" s="199">
        <f>IF($K351=AR$3,ROUND(IF(OR($C351="W",$C351="1/2W",$C351="1/2L"),$P351-$O351,IF($C351="X",0,-$O351)),2),0)</f>
        <v>0</v>
      </c>
      <c r="AS351" s="197">
        <f>IF(AND($B349=" ",$K351=AS$3),$O351,0)</f>
        <v>0</v>
      </c>
      <c r="AT351" s="198">
        <f>IF(AND($B349=" ",K351=AT$3),$O351,0)</f>
        <v>0</v>
      </c>
      <c r="AU351" s="198">
        <f>IF(AND($B349=" ",$K351=AU$3),$O351,0)</f>
        <v>0</v>
      </c>
      <c r="AV351" s="198">
        <f>IF(AND($B349=" ",$K351=AV$3),$O351,0)</f>
        <v>0</v>
      </c>
      <c r="AW351" s="198">
        <f>IF(AND($B349=" ",$K351=AW$3),$O351,0)</f>
        <v>0</v>
      </c>
      <c r="AX351" s="198">
        <f>IF(AND($B349=" ",$K351=AX$3),$O351,0)</f>
        <v>0</v>
      </c>
      <c r="AY351" s="200">
        <f>IF(AND($B349=" ",$K351=AY$3),$O351,0)</f>
        <v>0</v>
      </c>
      <c r="AZ351" s="201">
        <f>IF(AND($B349=" ",$K351=AZ$3),$O351,0)</f>
        <v>0</v>
      </c>
      <c r="BA351" s="201">
        <f>IF(AND($B349=" ",$K351=BA$3),$O351,0)</f>
        <v>0</v>
      </c>
      <c r="BB351" s="201">
        <f>IF(AND($B349=" ",$K351=BB$3),$O351,0)</f>
        <v>0</v>
      </c>
      <c r="BC351" s="202">
        <f>IF(AND($B349=" ",$K351=BC$3),$O351,0)</f>
        <v>0</v>
      </c>
      <c r="BD351" s="198">
        <f>IF(AND($B349=" ",$K351=BD$3),$O351,0)</f>
        <v>0</v>
      </c>
      <c r="BE351" s="199">
        <f>IF(AND($B349=" ",$K351=BE$3),$O351,0)</f>
        <v>0</v>
      </c>
      <c r="BF351" s="197">
        <f>IF($K351=BF$3,IF($C351="X",0,$O351),0)</f>
        <v>0</v>
      </c>
      <c r="BG351" s="198">
        <f>IF($K351=BG$3,IF($C351="X",0,$O351),0)</f>
        <v>0</v>
      </c>
      <c r="BH351" s="198">
        <f>IF($K351=BH$3,IF($C351="X",0,$O351),0)</f>
        <v>0</v>
      </c>
      <c r="BI351" s="198">
        <f>IF($K351=BI$3,IF($C351="X",0,$O351),0)</f>
        <v>0</v>
      </c>
      <c r="BJ351" s="198">
        <f>IF($K351=BJ$3,IF($C351="X",0,$O351),0)</f>
        <v>0</v>
      </c>
      <c r="BK351" s="198">
        <f>IF($K351=BK$3,IF($C351="X",0,$O351),0)</f>
        <v>0</v>
      </c>
      <c r="BL351" s="198">
        <f>IF($K351=BL$3,IF($C351="X",0,$O351),0)</f>
        <v>0</v>
      </c>
      <c r="BM351" s="200">
        <f>IF($K351=BM$3,IF($C351="X",0,$O351),0)</f>
        <v>0</v>
      </c>
      <c r="BN351" s="201">
        <f>IF($K351=BN$3,IF($C351="X",0,$O351),0)</f>
        <v>0</v>
      </c>
      <c r="BO351" s="201">
        <f>IF($K351=BO$3,IF($C351="X",0,$O351),0)</f>
        <v>0</v>
      </c>
      <c r="BP351" s="201">
        <f>IF($K351=BP$3,IF($C351="X",0,$O351),0)</f>
        <v>0</v>
      </c>
      <c r="BQ351" s="202">
        <f>IF($K351=BQ$3,IF($C351="X",0,$O351),0)</f>
        <v>0</v>
      </c>
      <c r="BR351" s="199">
        <f>IF($K351=BR$3,IF($C351="X",0,$O351),0)</f>
        <v>0</v>
      </c>
      <c r="BS351" s="228"/>
      <c r="BT351" s="229"/>
      <c r="BU351" s="140"/>
      <c r="BV351" s="229"/>
      <c r="BW351" s="140"/>
      <c r="BX351" s="140"/>
      <c r="BY351" s="140"/>
      <c r="BZ351" s="229"/>
      <c r="CA351" s="140"/>
      <c r="CB351" s="140"/>
      <c r="CC351" s="140"/>
      <c r="CD351" s="141"/>
      <c r="CE351" s="142"/>
      <c r="CF351" s="230">
        <f>IF(CF$3=$K351,IF($C351="W",1,IF($C351="1/2W",0.5,0)),0)</f>
        <v>0</v>
      </c>
      <c r="CG351" s="231">
        <f>IF(CF$3=$K351,IF($C351="L",1,IF($C351="1/2L",0.5,0)),0)</f>
        <v>0</v>
      </c>
      <c r="CH351" s="231">
        <f>IF(CH$3=$K351,IF($C351="W",1,IF($C351="1/2W",0.5,0)),0)</f>
        <v>0</v>
      </c>
      <c r="CI351" s="231">
        <f>IF(CH$3=$K351,IF($C351="L",1,IF($C351="1/2L",0.5,0)),0)</f>
        <v>0</v>
      </c>
      <c r="CJ351" s="231">
        <f>IF(CJ$3=$K351,IF($C351="W",1,IF($C351="1/2W",0.5,0)),0)</f>
        <v>0</v>
      </c>
      <c r="CK351" s="231">
        <f>IF(CJ$3=$K351,IF($C351="L",1,IF($C351="1/2L",0.5,0)),0)</f>
        <v>0</v>
      </c>
      <c r="CL351" s="231">
        <f>IF(CL$3=$K351,IF($C351="W",1,IF($C351="1/2W",0.5,0)),0)</f>
        <v>0</v>
      </c>
      <c r="CM351" s="231">
        <f>IF(CL$3=$K351,IF($C351="L",1,IF($C351="1/2L",0.5,0)),0)</f>
        <v>0</v>
      </c>
      <c r="CN351" s="231">
        <f>IF(CN$3=$K351,IF($C351="W",1,IF($C351="1/2W",0.5,0)),0)</f>
        <v>0</v>
      </c>
      <c r="CO351" s="231">
        <f>IF(CN$3=$K351,IF($C351="L",1,IF($C351="1/2L",0.5,0)),0)</f>
        <v>0</v>
      </c>
      <c r="CP351" s="231">
        <f>IF(CP$3=$K351,IF($C351="W",1,IF($C351="1/2W",0.5,0)),0)</f>
        <v>0</v>
      </c>
      <c r="CQ351" s="231">
        <f>IF(CP$3=$K351,IF($C351="L",1,IF($C351="1/2L",0.5,0)),0)</f>
        <v>0</v>
      </c>
      <c r="CR351" s="231">
        <f>IF(CR$3=$K351,IF($C351="W",1,IF($C351="1/2W",0.5,0)),0)</f>
        <v>0</v>
      </c>
      <c r="CS351" s="231">
        <f>IF(CR$3=$K351,IF($C351="L",1,IF($C351="1/2L",0.5,0)),0)</f>
        <v>0</v>
      </c>
      <c r="CT351" s="208">
        <f>IF(CT$3=$K351,IF($C351="W",1,IF($C351="1/2W",0.5,0)),0)</f>
        <v>0</v>
      </c>
      <c r="CU351" s="209">
        <f>IF(CT$3=$K351,IF($C351="L",1,IF($C351="1/2L",0.5,0)),0)</f>
        <v>0</v>
      </c>
      <c r="CV351" s="209">
        <f>IF(CV$3=$K351,IF($C351="W",1,IF($C351="1/2W",0.5,0)),0)</f>
        <v>0</v>
      </c>
      <c r="CW351" s="209">
        <f>IF(CV$3=$K351,IF($C351="L",1,IF($C351="1/2L",0.5,0)),0)</f>
        <v>0</v>
      </c>
      <c r="CX351" s="209">
        <f>IF(CX$3=$K351,IF($C351="W",1,IF($C351="1/2W",0.5,0)),0)</f>
        <v>0</v>
      </c>
      <c r="CY351" s="209">
        <f>IF(CX$3=$K351,IF($C351="L",1,IF($C351="1/2L",0.5,0)),0)</f>
        <v>0</v>
      </c>
      <c r="CZ351" s="209">
        <f>IF(CZ$3=$K351,IF($C351="W",1,IF($C351="1/2W",0.5,0)),0)</f>
        <v>0</v>
      </c>
      <c r="DA351" s="209">
        <f>IF(CZ$3=$K351,IF($C351="L",1,IF($C351="1/2L",0.5,0)),0)</f>
        <v>0</v>
      </c>
      <c r="DB351" s="209">
        <f>IF(DB$3=$K351,IF($C351="W",1,IF($C351="1/2W",0.5,0)),0)</f>
        <v>0</v>
      </c>
      <c r="DC351" s="209">
        <f>IF(DB$3=$K351,IF($C351="L",1,IF($C351="1/2L",0.5,0)),0)</f>
        <v>0</v>
      </c>
      <c r="DD351" s="209">
        <f>IF(DD$3=$K351,IF($C351="W",1,IF($C351="1/2W",0.5,0)),0)</f>
        <v>0</v>
      </c>
      <c r="DE351" s="210">
        <f>IF(DD$3=$K351,IF($C351="L",1,IF($C351="1/2L",0.5,0)),0)</f>
        <v>0</v>
      </c>
      <c r="DF351" s="211">
        <f>IF(AND(L351&lt;DF$3,$C351="W"),1+DF350,DF350)</f>
        <v>12</v>
      </c>
      <c r="DG351" s="198">
        <f>IF(DF351&gt;DF350,L351+DG350,DG350)</f>
        <v>15.718</v>
      </c>
      <c r="DH351" s="209">
        <f>IF(AND(L351&gt;DH$3,$C351="W"),1+DH350,0+DH350)</f>
        <v>7</v>
      </c>
      <c r="DI351" s="198">
        <f>IF(DH351&gt;DH350,L351+DI350,DI350)</f>
        <v>34.83</v>
      </c>
      <c r="DJ351" t="s" s="306">
        <f>IF($D349="","",$D349)</f>
        <v>298</v>
      </c>
      <c r="DK351" s="232"/>
    </row>
    <row r="352" ht="14.55" customHeight="1">
      <c r="A352" s="246">
        <f>$A349+1</f>
        <v>117</v>
      </c>
      <c r="B352" t="s" s="247">
        <f>IF(AND(_xlfn.XLOOKUP(H352,H$107:H131,G$107:G131,0)=G352,_xlfn.XLOOKUP("TempoBet",K352:K354,L352:L354,0)&gt;0),"X",IF(OR(C352="W",C353="W",C354="W",C352="1/2W",C353="1/2W",C354="1/2W",C352="1/2L",C353="1/2L",C354="1/2L"),"OK",IF(OR(C352="L",C353="L",C354="L"),"LOSS",IF(OR(C352="X",C353="X",C354="X"),"Anulado"," "))))</f>
        <v>50</v>
      </c>
      <c r="C352" t="s" s="248">
        <v>56</v>
      </c>
      <c r="D352" t="s" s="303">
        <f>IF(G352="","",$D349)</f>
        <v>298</v>
      </c>
      <c r="E352" t="s" s="250">
        <v>106</v>
      </c>
      <c r="F352" t="s" s="251"/>
      <c r="G352" s="252">
        <v>44948.416666666664</v>
      </c>
      <c r="H352" t="s" s="253">
        <v>300</v>
      </c>
      <c r="I352" s="292">
        <v>2</v>
      </c>
      <c r="J352" s="293"/>
      <c r="K352" t="s" s="256">
        <v>41</v>
      </c>
      <c r="L352" s="257">
        <v>10.5</v>
      </c>
      <c r="M352" s="258">
        <v>1.18</v>
      </c>
      <c r="N352" s="259">
        <v>0</v>
      </c>
      <c r="O352" s="260">
        <f>IF(OR(AE352="",AE353=""),"",ROUND(IF(L354&gt;0,IF(M352&gt;0,M352,IF(M353&gt;0,ROUND((M353*AE352)/AE353,IF(N352=0,2,IF(N352=0.1,1,0))),ROUND((M354*AE352)/AE354,IF(N352=0,2,IF(N352=0.1,1,0))))),IF(M352&gt;0,M352,ROUND((M353*AE352)/AE353,IF(N352=0,2,IF(N352=0.1,1,0))))),2))</f>
        <v>1.18</v>
      </c>
      <c r="P352" s="261">
        <f>IF(OR(L352="",O352=""),"",IF($C352="1/2W",O352/2+O352/2*L352,IF($C352="1/2L",O352/2,IF(I352="Lay",(O352*(L352/(L352-1))-O352)*(1-_xlfn.XLOOKUP(K352,'Janeiro 2023 - Valor Real'!A3:A15,'Janeiro 2023 - Valor Real'!C3:C15,0))+O352,(O352*L352-O352)*(1-_xlfn.XLOOKUP(K352,'Janeiro 2023 - Valor Real'!A3:A15,'Janeiro 2023 - Valor Real'!C3:C15,0))+O352))))</f>
        <v>12.39</v>
      </c>
      <c r="Q352" s="262">
        <f>IF(K352="","",IF(_xlfn.XLOOKUP(K352,K$107:K131,DJ$107:DJ131,0,,-1)=DJ352,_xlfn.XLOOKUP(K352,K$107:K131,Q$107:Q131,1,,-1)+1,1))</f>
        <v>1</v>
      </c>
      <c r="R352" s="263">
        <f>IF(K352="","",_xlfn.XLOOKUP(K352,K$107:K131,R$107:R131,0,,-1)+IF($C352=" ",1,0))</f>
        <v>0</v>
      </c>
      <c r="S352" s="264">
        <f>IF($B352="Anulado",0,ROUND(IF(OR($B352="LOSS",$B352="OK"),IF(OR($C352="W",$C352="1/2W",$C352="1/2L"),P352-O352,IF($C352="L",-O352,0))+IF(OR($C353="W",$C353="1/2W",$C353="1/2L"),P353-O353,IF($C353="L",-O353,0))+IF(OR($C354="W",$C354="1/2W",$C354="1/2L"),P354-O354,IF($C354="L",-O354,0)),IF(AND(OR($C352="W",$C352="1/2W",$C352="1/2L"),C353="W"),P352+P353-SUM(O352:O354)+_xlfn.XLOOKUP("X",C352:C354,O352:O354,0),IF(AND(C352=TRUE,C354="W"),P352+P354-SUM(O352:O354),IF(AND(C353="W",C354="W"),P353+P354-SUM(O352:O354)+_xlfn.XLOOKUP("X",C352:C354,O352:O354,0),IF(L354&gt;0,IF(OR($C352="W",$C352="1/2W",$C352="1/2L"),P352-SUM(O352:O354)+_xlfn.XLOOKUP("X",C352:C354,O352:O354,0),IF(OR($C352="W",$C352="1/2W",$C352="1/2L"),P353-SUM(O352:O354)+_xlfn.XLOOKUP("X",C352:C354,O352:O354,0),IF(OR($C352="W",$C352="1/2W",$C352="1/2L"),P354-SUM(O352:O354)+_xlfn.XLOOKUP("X",C352:C354,O352:O354,0),IF(SUM(P352:P354)/3-SUM(O352:O354)+_xlfn.XLOOKUP("X",C352:C354,O352:O354,0)&gt;0,SUM(P352:P354)/3-SUM(O352:O354)+_xlfn.XLOOKUP("X",C352:C354,O352:O354,0),LARGE(P352:P354,1)-SUM(O352:O354))))),IF(OR($C352="W",$C352="1/2W",$C352="1/2L"),P352-SUM(O352:O353)+_xlfn.XLOOKUP("X",C352:C354,O352:O354,0),IF(OR($C352="W",$C352="1/2W",$C352="1/2L"),P353-SUM(O352:O353)+_xlfn.XLOOKUP("X",C352:C354,O352:O354,0),SUM(P352:P353)/2-SUM(O352:O353)+_xlfn.XLOOKUP("X",C352:C354,O352:O354,0)))))))),2))</f>
        <v>0.21</v>
      </c>
      <c r="T352" s="265">
        <f>IF(S352=0,0,S352/SUM(O352:O354))</f>
        <v>0.0172413793103448</v>
      </c>
      <c r="U352" s="266">
        <f>IF($D352=$D349,IF(OR($B352="LOSS",$B352="OK",$B352="Anulada"),S352,0)+U349,IF(OR($B352="LOSS",$B352="OK",$B352="Anulada"),S352,0))</f>
        <v>4.46</v>
      </c>
      <c r="V352" s="266">
        <f>IF($D352="",0,IF($D352=$D349,IF($B352=" ",IF(I354="",IF(OR(AND(I352="DNB1",I353="DNB2"),AND(OR(I352="DNB1",I352="DNB2"),J353=0),AND(OR(I353="DNB1",I353="DNB2"),J352=0),AND(I352="DNB2",I353="DNB1"),AND(IF(J352=0,(J352+1)/ROUND(J352+1,0),J352/ROUND(J352,0))=1,IF(J353=0,(J353+1)/ROUND(IF(J353="",0,J353)+1,0),IF(J353="",0,J353)/ROUND(IF(J353="",1,J353),0))=1,OR(J352&lt;&gt;""),J353&lt;&gt;"")),0,IF(S352&lt;0,IF(I354="",SMALL(P352:P353,1)-SUM(O352:O353),0),SMALL(P352:P353,1)-SUM(O352:O353))),IF(S352&lt;0,IF(I354="",SMALL(P352:P354,1)-SUM(O352:O354),0),LARGE(P352:P354,1)-SUM(O352:O354))),S352)+V349,IF(I354="",IF(OR(AND(I352="DNB1",I353="DNB2"),AND(OR(I352="DNB1",I352="DNB2"),J353=0),AND(OR(I353="DNB1",I353="DNB2"),J352=0),AND(I352="DNB2",I353="DNB1"),AND(IF(J352=0,(J352+1)/ROUND(J352+1,0),J352/ROUND(J352,0))=1,IF(J353=0,(IF(J353="",0,J353)+1)/ROUND(IF(J353="",0,J353)+1,0),IF(J353="",0,J353)/ROUND(IF(J353="",0,J353)+1,0))=1,OR(J352&lt;&gt;""),J353&lt;&gt;"")),0,IF(S352&lt;0,IF(I354="",SMALL(P352:P353,1)-SUM(O352:O353),0),SMALL(P352:P354,1)-SUM(O352:O354))),IF(S352&lt;0,IF(I354="",SMALL(P352:P354,1)-SUM(O352:O354),0),LARGE(P352:P354,1)-SUM(O352:O354)))))</f>
        <v>4.464</v>
      </c>
      <c r="W352" s="266">
        <f>IF($D352=$D349,IF(S352&lt;0,IF(I354="",S352,0),S352)+W349,S352)</f>
        <v>4.46</v>
      </c>
      <c r="X352" t="s" s="267">
        <f>IF(OR(SUM(R352:R354)=0,V352=W352),ROUND(IF(W352=0,0,W352/Y352)*100,2)&amp;"%",ROUND(IF(V352=0,0,V352/Y352)*100,2)&amp;"% a "&amp;ROUND(IF(W352=0,0,W352/Y352)*100,2)&amp;"%")</f>
        <v>302</v>
      </c>
      <c r="Y352" s="268">
        <f>IF($D352=$D349,Y349+SUM(O352:O354),SUM(O352:O354))</f>
        <v>74.76000000000001</v>
      </c>
      <c r="Z352" s="266">
        <f>IF($B352=" ",SUM(O352:O354),0)+Z349</f>
        <v>0</v>
      </c>
      <c r="AA352" s="266">
        <f>IF(G352="","",IF($B352="Anulado",LARGE(P352:P354,1)-SUM(O352:O354)+AA349,AA349))</f>
        <v>16.5099</v>
      </c>
      <c r="AB352" s="266">
        <f>IF($D352="","",AB349+S352)</f>
        <v>250.65</v>
      </c>
      <c r="AC352" s="269">
        <f>IF($D352="","",IF($B352=" ",IF(DAY(G352)=DAY(TODAY()),1+AC349,0+AC349),0+AC349))</f>
        <v>0</v>
      </c>
      <c r="AD352" s="270">
        <f>(1-_xlfn.XLOOKUP(K350,'Janeiro 2023 - Valor Real'!A3:A15,'Janeiro 2023 - Valor Real'!C3:C15,0))+1</f>
        <v>2</v>
      </c>
      <c r="AE352" s="271">
        <f>IF(L352="","",IF(L354&gt;0,(SUM(((L352-1)*(1-_xlfn.XLOOKUP(K352,'Janeiro 2023 - Valor Real'!A3:A15,'Janeiro 2023 - Valor Real'!C3:C15,0))+1),((L353-1)*(1-_xlfn.XLOOKUP(K353,'Janeiro 2023 - Valor Real'!A3:A15,'Janeiro 2023 - Valor Real'!C3:C15,0))+1),((L354-1)*(1-_xlfn.XLOOKUP(K354,'Janeiro 2023 - Valor Real'!A3:A15,'Janeiro 2023 - Valor Real'!C3:C15,0))+1))/((L352-1)*(1-_xlfn.XLOOKUP(K352,'Janeiro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Real'!C3:C15,0))+1))/((L352-1)*(1-_xlfn.XLOOKUP(K352,'Janeiro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Real'!C3:C15,0))+1))/((L353-1)*(1-_xlfn.XLOOKUP(K353,'Janeiro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Real'!C3:C15,0))+1))/((L354-1)*(1-_xlfn.XLOOKUP(K354,'Janeiro 2023 - Valor Real'!A3:A15,'Janeiro 2023 - Valor Real'!C3:C15,0))+1)),IF(I352="Lay",IF(I353="Lay",((L353/(L353-1)-1)*(1-_xlfn.XLOOKUP(K353,'Janeiro 2023 - Valor Real'!A3:A15,'Janeiro 2023 - Valor Real'!C3:C15,0))+1)/(((L353/(L353-1)-1)*(1-_xlfn.XLOOKUP(K353,'Janeiro 2023 - Valor Real'!A3:A15,'Janeiro 2023 - Valor Real'!C3:C15,0))+1)+((L352/(L352-1)-1)*(1-_xlfn.XLOOKUP(K352,'Janeiro 2023 - Valor Real'!A3:A15,'Janeiro 2023 - Valor Real'!C3:C15,0))+1)),((L353-1)*(1-_xlfn.XLOOKUP(K353,'Janeiro 2023 - Valor Real'!A3:A15,'Janeiro 2023 - Valor Real'!C3:C15,0))+1)/(((L353-1)*(1-_xlfn.XLOOKUP(K353,'Janeiro 2023 - Valor Real'!A3:A15,'Janeiro 2023 - Valor Real'!C3:C15,0))+1)+((L352/(L352-1)-1)*(1-_xlfn.XLOOKUP(K352,'Janeiro 2023 - Valor Real'!A3:A15,'Janeiro 2023 - Valor Real'!C3:C15,0))+1))),IF(I353="Lay",(((L353/(L353-1)-1)*(1-_xlfn.XLOOKUP(K353,'Janeiro 2023 - Valor Real'!A3:A15,'Janeiro 2023 - Valor Real'!C3:C15,0))+1))/(((L352-1)*(1-_xlfn.XLOOKUP(K352,'Janeiro 2023 - Valor Real'!A3:A15,'Janeiro 2023 - Valor Real'!C3:C15,0))+1)+((L353/(L353-1)-1)*(1-_xlfn.XLOOKUP(K353,'Janeiro 2023 - Valor Real'!A3:A15,'Janeiro 2023 - Valor Real'!C3:C15,0))+1)),((L353-1)*(1-_xlfn.XLOOKUP(K353,'Janeiro 2023 - Valor Real'!A3:A15,'Janeiro 2023 - Valor Real'!C3:C15,0))+1)/(((L353-1)*(1-_xlfn.XLOOKUP(K353,'Janeiro 2023 - Valor Real'!A3:A15,'Janeiro 2023 - Valor Real'!C3:C15,0))+1)+((L352-1)*(1-_xlfn.XLOOKUP(K352,'Janeiro 2023 - Valor Real'!A3:A15,'Janeiro 2023 - Valor Real'!C3:C15,0))+1))))))</f>
        <v>0.09948542024013721</v>
      </c>
      <c r="AF352" s="132">
        <f>IF($K352=AF$3,ROUND(IF(OR($C352="W",$C352="1/2W",$C352="1/2L"),$P352-$O352,IF($C352="X",0,-$O352)),2),0)</f>
        <v>0</v>
      </c>
      <c r="AG352" s="133">
        <f>IF($K352=AG$3,ROUND(IF(OR($C352="W",$C352="1/2W",$C352="1/2L"),$P352-$O352,IF($C352="X",0,-$O352)),2),0)</f>
        <v>0</v>
      </c>
      <c r="AH352" s="133">
        <f>IF($K352=AH$3,ROUND(IF(OR($C352="W",$C352="1/2W",$C352="1/2L"),$P352-$O352,IF($C352="X",0,-$O352)),2),0)</f>
        <v>0</v>
      </c>
      <c r="AI352" s="133">
        <f>IF($K352=AI$3,ROUND(IF(OR($C352="W",$C352="1/2W",$C352="1/2L"),$P352-$O352,IF($C352="X",0,-$O352)),2),0)</f>
        <v>0</v>
      </c>
      <c r="AJ352" s="133">
        <f>IF($K352=AJ$3,ROUND(IF(OR($C352="W",$C352="1/2W",$C352="1/2L"),$P352-$O352,IF($C352="X",0,-$O352)),2),0)</f>
        <v>11.21</v>
      </c>
      <c r="AK352" s="133">
        <f>IF($K352=AK$3,ROUND(IF(OR($C352="W",$C352="1/2W",$C352="1/2L"),$P352-$O352,IF($C352="X",0,-$O352)),2),0)</f>
        <v>0</v>
      </c>
      <c r="AL352" s="133">
        <f>IF($K352=AL$3,ROUND(IF(OR($C352="W",$C352="1/2W",$C352="1/2L"),$P352-$O352,IF($C352="X",0,-$O352)),2),0)</f>
        <v>0</v>
      </c>
      <c r="AM352" s="133">
        <f>IF($K352=AM$3,ROUND(IF(OR($C352="W",$C352="1/2W",$C352="1/2L"),$P352-$O352,IF($C352="X",0,-$O352)),2),0)</f>
        <v>0</v>
      </c>
      <c r="AN352" s="133">
        <f>IF($K352=AN$3,ROUND(IF(OR($C352="W",$C352="1/2W",$C352="1/2L"),$P352-$O352,IF($C352="X",0,-$O352)),2),0)</f>
        <v>0</v>
      </c>
      <c r="AO352" s="133">
        <f>IF($K352=AO$3,ROUND(IF(OR($C352="W",$C352="1/2W",$C352="1/2L"),$P352-$O352,IF($C352="X",0,-$O352)),2),0)</f>
        <v>0</v>
      </c>
      <c r="AP352" s="133">
        <f>IF($K352=AP$3,ROUND(IF(OR($C352="W",$C352="1/2W",$C352="1/2L"),$P352-$O352,IF($C352="X",0,-$O352)),2),0)</f>
        <v>0</v>
      </c>
      <c r="AQ352" s="133">
        <f>IF($K352=AQ$3,ROUND(IF(OR($C352="W",$C352="1/2W",$C352="1/2L"),$P352-$O352,IF($C352="X",0,-$O352)),2),0)</f>
        <v>0</v>
      </c>
      <c r="AR352" s="134">
        <f>IF($K352=AR$3,ROUND(IF(OR($C352="W",$C352="1/2W",$C352="1/2L"),$P352-$O352,IF($C352="X",0,-$O352)),2),0)</f>
        <v>0</v>
      </c>
      <c r="AS352" s="132">
        <f>IF(AND($B352=" ",$K352=AS$3),$O352,0)</f>
        <v>0</v>
      </c>
      <c r="AT352" s="133">
        <f>IF(AND($B352=" ",$K352=AT$3),$O352,0)</f>
        <v>0</v>
      </c>
      <c r="AU352" s="133">
        <f>IF(AND($B352=" ",$K352=AU$3),$O352,0)</f>
        <v>0</v>
      </c>
      <c r="AV352" s="133">
        <f>IF(AND($B352=" ",$K352=AV$3),$O352,0)</f>
        <v>0</v>
      </c>
      <c r="AW352" s="133">
        <f>IF(AND($B352=" ",$K352=AW$3),$O352,0)</f>
        <v>0</v>
      </c>
      <c r="AX352" s="133">
        <f>IF(AND($B352=" ",$K352=AX$3),$O352,0)</f>
        <v>0</v>
      </c>
      <c r="AY352" s="135">
        <f>IF(AND($B352=" ",$K352=AY$3),$O352,0)</f>
        <v>0</v>
      </c>
      <c r="AZ352" s="136">
        <f>IF(AND($B352=" ",$K352=AZ$3),$O352,0)</f>
        <v>0</v>
      </c>
      <c r="BA352" s="136">
        <f>IF(AND($B352=" ",$K352=BA$3),$O352,0)</f>
        <v>0</v>
      </c>
      <c r="BB352" s="136">
        <f>IF(AND($B352=" ",$K352=BB$3),$O352,0)</f>
        <v>0</v>
      </c>
      <c r="BC352" s="137">
        <f>IF(AND($B352=" ",$K352=BC$3),$O352,0)</f>
        <v>0</v>
      </c>
      <c r="BD352" s="133">
        <f>IF(AND($B352=" ",$K352=BD$3),$O352,0)</f>
        <v>0</v>
      </c>
      <c r="BE352" s="134">
        <f>IF(AND($B352=" ",$K352=BE$3),$O352,0)</f>
        <v>0</v>
      </c>
      <c r="BF352" s="132">
        <f>IF($K352=BF$3,IF($C352="X",0,$O352),0)</f>
        <v>0</v>
      </c>
      <c r="BG352" s="133">
        <f>IF($K352=BG$3,IF($C352="X",0,$O352),0)</f>
        <v>0</v>
      </c>
      <c r="BH352" s="133">
        <f>IF($K352=BH$3,IF($C352="X",0,$O352),0)</f>
        <v>0</v>
      </c>
      <c r="BI352" s="133">
        <f>IF($K352=BI$3,IF($C352="X",0,$O352),0)</f>
        <v>0</v>
      </c>
      <c r="BJ352" s="133">
        <f>IF($K352=BJ$3,IF($C352="X",0,$O352),0)</f>
        <v>1.18</v>
      </c>
      <c r="BK352" s="133">
        <f>IF($K352=BK$3,IF($C352="X",0,$O352),0)</f>
        <v>0</v>
      </c>
      <c r="BL352" s="133">
        <f>IF($K352=BL$3,IF($C352="X",0,$O352),0)</f>
        <v>0</v>
      </c>
      <c r="BM352" s="135">
        <f>IF($K352=BM$3,IF($C352="X",0,$O352),0)</f>
        <v>0</v>
      </c>
      <c r="BN352" s="136">
        <f>IF($K352=BN$3,IF($C352="X",0,$O352),0)</f>
        <v>0</v>
      </c>
      <c r="BO352" s="136">
        <f>IF($K352=BO$3,IF($C352="X",0,$O352),0)</f>
        <v>0</v>
      </c>
      <c r="BP352" s="136">
        <f>IF($K352=BP$3,IF($C352="X",0,$O352),0)</f>
        <v>0</v>
      </c>
      <c r="BQ352" s="137">
        <f>IF($K352=BQ$3,IF($C352="X",0,$O352),0)</f>
        <v>0</v>
      </c>
      <c r="BR352" s="134">
        <f>IF($K352=BR$3,IF($C352="X",0,$O352),0)</f>
        <v>0</v>
      </c>
      <c r="BS352" s="170">
        <f>IF($B352="LOSS",IF(AND($K352=BS$3,$C352="L"),-$O352,0)+IF(AND($K353=BS$3,$C353="L"),-$O353,0)+IF(AND($K354=BS$3,$C354="L"),-$O354,0),IF(OR(AND($K352=BS$3,OR($C352="W",$C352="1/2W")),AND($K353=BS$3,OR($C353="W",$C353="1/2W")),AND($K354=BS$3,OR($C354="W",$C354="1/2W"))),$S352,0))</f>
        <v>0</v>
      </c>
      <c r="BT352" s="272">
        <f>IF($B352="LOSS",IF(AND($K352=BT$3,$C352="L"),-$O352,0)+IF(AND($K353=BT$3,$C353="L"),-$O353,0)+IF(AND($K353=BT$3,$C354="L"),-$O354,0),IF(OR(AND($K353=BT$3,OR($C352="W",$C352="1/2W")),AND($K353=BT$3,OR($C353="W",$C353="1/2W")),AND($K353=BT$3,OR($C354="W",$C354="1/2W"))),$S352,0))</f>
        <v>0</v>
      </c>
      <c r="BU352" s="136">
        <f>IF($B352="LOSS",IF(AND($K352=BU$3,$C352="L"),-$O352,0)+IF(AND($K353=BU$3,$C353="L"),-$O353,0)+IF(AND($K353=BU$3,$C354="L"),-$O354,0),IF(OR(AND($K353=BU$3,OR($C352="W",$C352="1/2W")),AND($K353=BU$3,OR($C353="W",$C353="1/2W")),AND($K353=BU$3,OR($C354="W",$C354="1/2W"))),$S352,0))</f>
        <v>0</v>
      </c>
      <c r="BV352" s="136">
        <f>IF($B352="LOSS",IF(AND($K352=BV$3,$C352="L"),-$O352,0)+IF(AND($K353=BV$3,$C353="L"),-$O353,0)+IF(AND($K354=BV$3,$C354="L"),-$O354,0),IF(OR(AND($K352=BV$3,OR($C352="W",$C352="1/2W")),AND($K353=BV$3,OR($C353="W",$C353="1/2W")),AND($K354=BV$3,OR($C354="W",$C354="1/2W"))),$S352,0))</f>
        <v>0</v>
      </c>
      <c r="BW352" s="136">
        <f>IF($B352="LOSS",IF(AND($K352=BW$3,$C352="L"),-$O352,0)+IF(AND($K353=BW$3,$C353="L"),-$O353,0)+IF(AND($K354=BW$3,$C354="L"),-$O354,0),IF(OR(AND($K352=BW$3,OR($C352="W",$C352="1/2W")),AND($K353=BW$3,OR($C353="W",$C353="1/2W")),AND($K354=BW$3,OR($C354="W",$C354="1/2W"))),$S352,0))</f>
        <v>0.21</v>
      </c>
      <c r="BX352" s="136">
        <f>IF($B352="LOSS",IF(AND($K352=BX$3,$C352="L"),-$O352,0)+IF(AND($K353=BX$3,$C353="L"),-$O353,0)+IF(AND($K354=BX$3,$C354="L"),-$O354,0),IF(OR(AND($K352=BX$3,OR($C352="W",$C352="1/2W")),AND($K353=BX$3,OR($C353="W",$C353="1/2W")),AND($K354=BX$3,OR($C354="W",$C354="1/2W"))),$S352,0))</f>
        <v>0</v>
      </c>
      <c r="BY352" s="136">
        <f>IF($B352="LOSS",IF(AND($K352=BY$3,$C352="L"),-$O352,0)+IF(AND($K353=BY$3,$C353="L"),-$O353,0)+IF(AND($K354=BY$3,$C354="L"),-$O354,0),IF(OR(AND($K352=BY$3,OR($C352="W",$C352="1/2W")),AND($K353=BY$3,OR($C353="W",$C353="1/2W")),AND($K354=BY$3,OR($C354="W",$C354="1/2W"))),$S352,0))</f>
        <v>0</v>
      </c>
      <c r="BZ352" s="136">
        <f>IF($B352="LOSS",IF(AND($K352=BZ$3,$C352="L"),-$O352,0)+IF(AND($K353=BZ$3,$C353="L"),-$O353,0)+IF(AND($K354=BZ$3,$C354="L"),-$O354,0),IF(OR(AND($K352=BZ$3,OR($C352="W",$C352="1/2W")),AND($K353=BZ$3,OR($C353="W",$C353="1/2W")),AND($K354=BZ$3,OR($C354="W",$C354="1/2W"))),$S352,0))</f>
        <v>0</v>
      </c>
      <c r="CA352" s="136">
        <f>IF($B352="LOSS",IF(AND($K352=CA$3,$C352="L"),-$O352,0)+IF(AND($K353=CA$3,$C353="L"),-$O353,0)+IF(AND($K354=CA$3,$C354="L"),-$O354,0),IF(OR(AND($K352=CA$3,OR($C352="W",$C352="1/2W")),AND($K353=CA$3,OR($C353="W",$C353="1/2W")),AND($K354=CA$3,OR($C354="W",$C354="1/2W"))),$S352,0))</f>
        <v>0</v>
      </c>
      <c r="CB352" s="136">
        <f>IF($B352="LOSS",IF(AND($K352=CB$3,$C352="L"),-$O352,0)+IF(AND($K353=CB$3,$C353="L"),-$O353,0)+IF(AND($K354=CB$3,$C354="L"),-$O354,0),IF(OR(AND($K352=CB$3,OR($C352="W",$C352="1/2W")),AND($K353=CB$3,OR($C353="W",$C353="1/2W")),AND($K354=CB$3,OR($C354="W",$C354="1/2W"))),$S352,0))</f>
        <v>0</v>
      </c>
      <c r="CC352" s="136">
        <f>IF($B352="LOSS",IF(AND($K352=CC$3,$C352="L"),-$O352,0)+IF(AND($K353=CC$3,$C353="L"),-$O353,0)+IF(AND($K354=CC$3,$C354="L"),-$O354,0),IF(OR(AND($K352=CC$3,OR($C352="W",$C352="1/2W")),AND($K353=CC$3,OR($C353="W",$C353="1/2W")),AND($K354=CC$3,OR($C354="W",$C354="1/2W"))),$S352,0))</f>
        <v>0</v>
      </c>
      <c r="CD352" s="137">
        <f>IF($B352="LOSS",IF(AND($K352=CD$3,$C352="L"),-$O352,0)+IF(AND($K353=CD$3,$C353="L"),-$O353,0)+IF(AND($K354=CD$3,$C354="L"),-$O354,0),IF(OR(AND($K352=CD$3,OR($C352="W",$C352="1/2W")),AND($K353=CD$3,OR($C353="W",$C353="1/2W")),AND($K354=CD$3,OR($C354="W",$C354="1/2W"))),$S352,0))</f>
        <v>0</v>
      </c>
      <c r="CE352" s="134">
        <f>IF($B352="LOSS",IF(AND($K352=CE$3,$C352="L"),-$O352,0)+IF(AND($K353=CE$3,$C353="L"),-$O353,0)+IF(AND($K354=CE$3,$C354="L"),-$O354,0),IF(OR(AND($K352=CE$3,OR($C352="W",$C352="1/2W")),AND($K353=CE$3,OR($C353="W",$C353="1/2W")),AND($K354=CE$3,OR($C354="W",$C354="1/2W"))),$S352,0))</f>
        <v>0</v>
      </c>
      <c r="CF352" s="273">
        <f>IF(CF$3=$K352,IF($C352="W",1,IF($C352="1/2W",0.5,0)),0)</f>
        <v>0</v>
      </c>
      <c r="CG352" s="274">
        <f>IF(CF$3=$K352,IF($C352="L",1,IF($C352="1/2L",0.5,0)),0)</f>
        <v>0</v>
      </c>
      <c r="CH352" s="274">
        <f>IF(CH$3=$K352,IF($C352="W",1,IF($C352="1/2W",0.5,0)),0)</f>
        <v>0</v>
      </c>
      <c r="CI352" s="274">
        <f>IF(CH$3=$K352,IF($C352="L",1,IF($C352="1/2L",0.5,0)),0)</f>
        <v>0</v>
      </c>
      <c r="CJ352" s="274">
        <f>IF(CJ$3=$K352,IF($C352="W",1,IF($C352="1/2W",0.5,0)),0)</f>
        <v>0</v>
      </c>
      <c r="CK352" s="274">
        <f>IF(CJ$3=$K352,IF($C352="L",1,IF($C352="1/2L",0.5,0)),0)</f>
        <v>0</v>
      </c>
      <c r="CL352" s="274">
        <f>IF(CL$3=$K352,IF($C352="W",1,IF($C352="1/2W",0.5,0)),0)</f>
        <v>0</v>
      </c>
      <c r="CM352" s="274">
        <f>IF(CL$3=$K352,IF($C352="L",1,IF($C352="1/2L",0.5,0)),0)</f>
        <v>0</v>
      </c>
      <c r="CN352" s="274">
        <f>IF(CN$3=$K352,IF($C352="W",1,IF($C352="1/2W",0.5,0)),0)</f>
        <v>1</v>
      </c>
      <c r="CO352" s="274">
        <f>IF(CN$3=$K352,IF($C352="L",1,IF($C352="1/2L",0.5,0)),0)</f>
        <v>0</v>
      </c>
      <c r="CP352" s="274">
        <f>IF(CP$3=$K352,IF($C352="W",1,IF($C352="1/2W",0.5,0)),0)</f>
        <v>0</v>
      </c>
      <c r="CQ352" s="274">
        <f>IF(CP$3=$K352,IF($C352="L",1,IF($C352="1/2L",0.5,0)),0)</f>
        <v>0</v>
      </c>
      <c r="CR352" s="274">
        <f>IF(CR$3=$K352,IF($C352="W",1,IF($C352="1/2W",0.5,0)),0)</f>
        <v>0</v>
      </c>
      <c r="CS352" s="274">
        <f>IF(CR$3=$K352,IF($C352="L",1,IF($C352="1/2L",0.5,0)),0)</f>
        <v>0</v>
      </c>
      <c r="CT352" s="145">
        <f>IF(CT$3=$K352,IF($C352="W",1,IF($C352="1/2W",0.5,0)),0)</f>
        <v>0</v>
      </c>
      <c r="CU352" s="146">
        <f>IF(CT$3=$K352,IF($C352="L",1,IF($C352="1/2L",0.5,0)),0)</f>
        <v>0</v>
      </c>
      <c r="CV352" s="146">
        <f>IF(CV$3=$K352,IF($C352="W",1,IF($C352="1/2W",0.5,0)),0)</f>
        <v>0</v>
      </c>
      <c r="CW352" s="146">
        <f>IF(CV$3=$K352,IF($C352="L",1,IF($C352="1/2L",0.5,0)),0)</f>
        <v>0</v>
      </c>
      <c r="CX352" s="146">
        <f>IF(CX$3=$K352,IF($C352="W",1,IF($C352="1/2W",0.5,0)),0)</f>
        <v>0</v>
      </c>
      <c r="CY352" s="146">
        <f>IF(CX$3=$K352,IF($C352="L",1,IF($C352="1/2L",0.5,0)),0)</f>
        <v>0</v>
      </c>
      <c r="CZ352" s="146">
        <f>IF(CZ$3=$K352,IF($C352="W",1,IF($C352="1/2W",0.5,0)),0)</f>
        <v>0</v>
      </c>
      <c r="DA352" s="146">
        <f>IF(CZ$3=$K352,IF($C352="L",1,IF($C352="1/2L",0.5,0)),0)</f>
        <v>0</v>
      </c>
      <c r="DB352" s="146">
        <f>IF(DB$3=$K352,IF($C352="W",1,IF($C352="1/2W",0.5,0)),0)</f>
        <v>0</v>
      </c>
      <c r="DC352" s="146">
        <f>IF(DB$3=$K352,IF($C352="L",1,IF($C352="1/2L",0.5,0)),0)</f>
        <v>0</v>
      </c>
      <c r="DD352" s="146">
        <f>IF(DD$3=$K352,IF($C352="W",1,IF($C352="1/2W",0.5,0)),0)</f>
        <v>0</v>
      </c>
      <c r="DE352" s="147">
        <f>IF(DD$3=$K352,IF($C352="L",1,IF($C352="1/2L",0.5,0)),0)</f>
        <v>0</v>
      </c>
      <c r="DF352" s="143">
        <f>IF(AND(L352&lt;DF$3,$C352="W"),1+DF351,DF351)</f>
        <v>12</v>
      </c>
      <c r="DG352" s="133">
        <f>IF(DF352&gt;DF351,L352+DG351,DG351)</f>
        <v>15.718</v>
      </c>
      <c r="DH352" s="146">
        <f>IF(AND(L352&gt;DH$3,$C352="W"),1+DH351,0+DH351)</f>
        <v>8</v>
      </c>
      <c r="DI352" s="133">
        <f>IF(DH352&gt;DH351,L352+DI351,DI351)</f>
        <v>45.33</v>
      </c>
      <c r="DJ352" t="s" s="304">
        <f>IF($D352="","",$D352)</f>
        <v>298</v>
      </c>
      <c r="DK352" s="146">
        <f>IF(AND($B352=" ",$D352&lt;&gt;""),1,0)</f>
        <v>0</v>
      </c>
    </row>
    <row r="353" ht="14.55" customHeight="1">
      <c r="A353" s="107"/>
      <c r="B353" s="108"/>
      <c r="C353" t="s" s="109">
        <v>51</v>
      </c>
      <c r="D353" s="110"/>
      <c r="E353" s="111"/>
      <c r="F353" s="113"/>
      <c r="G353" s="252"/>
      <c r="H353" s="114"/>
      <c r="I353" t="s" s="275">
        <v>172</v>
      </c>
      <c r="J353" t="s" s="295">
        <f>IF(OR(I352="TO",I352="TU",I352="TO1",I352="TU1",I352="TO2",I352="TU2"),J352,IF(OR(I352="AH1",I352="AH2"),IF(OR(I353="AH1",I353="AH2"),-J352,IF(OR(I353="EH1",I353="EH2"),-J352+0.5,"")),IF(OR(I352="EH1",I352="EH2"),IF(OR(I353="AH1",I353="AH2"),-J352+0.5,IF(OR(I353="EH1",I353="EH2"),-J352+1,"")),IF(AND(OR(I352="DNB1",I352="DNB2"),OR(I353="AH1",I353="AH2")),0,IF(AND(I352="Not ScoreBoth",OR(I353="TO1",I353="TO2")),0.5,"")))))</f>
      </c>
      <c r="K353" t="s" s="117">
        <v>37</v>
      </c>
      <c r="L353" s="277">
        <v>1.16</v>
      </c>
      <c r="M353" s="278">
        <v>11</v>
      </c>
      <c r="N353" s="120"/>
      <c r="O353" s="121">
        <f>IF(OR(AE352="",AE353=""),"",ROUND(IF(L354&gt;0,IF(M353&gt;0,M353,IF(M352&gt;0,IF(N352=TRUE,ROUND((M352*AE353)/AE352,0),(M352*AE353)/AE352),IF(M353&gt;0,ROUND(M353,IF(N352=0,2,IF(N352=0.1,1,0))),IF(M354&gt;0,ROUND(O354*AE353/AE354,IF(N352=0,2,IF(N352=0.1,1,0))),0)))),IF(M353&gt;0,M353,ROUND((M352*AE353)/AE352,IF(N352=0,2,IF(N352=0.1,1,0))))),2))</f>
        <v>11</v>
      </c>
      <c r="P353" s="122">
        <f>IF(OR(L353="",O353=""),"",IF($C353="1/2W",O353/2+O353/2*L353,IF($C353="1/2L",O353/2,IF(I353="Lay",((O353*(L353/(L353-1)))-O353)*(1-_xlfn.XLOOKUP(K353,'Janeiro 2023 - Valor Real'!A3:A15,'Janeiro 2023 - Valor Real'!C3:C15,0))+O353,(O353*L353-O353)*(1-_xlfn.XLOOKUP(K353,'Janeiro 2023 - Valor Real'!A3:A15,'Janeiro 2023 - Valor Real'!C3:C15,0))+O353))))</f>
        <v>12.76</v>
      </c>
      <c r="Q353" s="279">
        <f>IF(K353="","",IF(_xlfn.XLOOKUP(K353,K$120:K132,DJ$120:DJ132,0,,-1)=DJ353,_xlfn.XLOOKUP(K353,K$120:K132,Q$120:Q132,1,,-1)+1,1))</f>
        <v>1</v>
      </c>
      <c r="R353" s="280">
        <f>IF(K353="","",_xlfn.XLOOKUP(K353,K$120:K132,R$120:R132,0,,-1)+IF($C353=" ",1,0))</f>
        <v>0</v>
      </c>
      <c r="S353" s="125"/>
      <c r="T353" s="126"/>
      <c r="U353" s="126"/>
      <c r="V353" s="224"/>
      <c r="W353" s="126"/>
      <c r="X353" s="127"/>
      <c r="Y353" s="128"/>
      <c r="Z353" s="129"/>
      <c r="AA353" s="129"/>
      <c r="AB353" s="129"/>
      <c r="AC353" s="129"/>
      <c r="AD353" s="130"/>
      <c r="AE353" s="131">
        <f>IF(L353="","",IF(L354&gt;0,(SUM(((L352-1)*(1-_xlfn.XLOOKUP(K352,'Janeiro 2023 - Valor Real'!A3:A15,'Janeiro 2023 - Valor Real'!C3:C15,0))+1),((L353-1)*(1-_xlfn.XLOOKUP(K353,'Janeiro 2023 - Valor Real'!A3:A15,'Janeiro 2023 - Valor Real'!C3:C15,0))+1),((L354-1)*(1-_xlfn.XLOOKUP(K354,'Janeiro 2023 - Valor Real'!A3:A15,'Janeiro 2023 - Valor Real'!C3:C15,0))+1))/((L353-1)*(1-_xlfn.XLOOKUP(K353,'Janeiro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Real'!C3:C15,0))+1))/((L352-1)*(1-_xlfn.XLOOKUP(K352,'Janeiro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Real'!C3:C15,0))+1))/((L353-1)*(1-_xlfn.XLOOKUP(K353,'Janeiro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Real'!C3:C15,0))+1))/((L354-1)*(1-_xlfn.XLOOKUP(K354,'Janeiro 2023 - Valor Real'!A3:A15,'Janeiro 2023 - Valor Real'!C3:C15,0))+1)),IF(I353="Lay",IF(I352="Lay",((L352/(L352-1)-1)*(1-_xlfn.XLOOKUP(K352,'Janeiro 2023 - Valor Real'!A3:A15,'Janeiro 2023 - Valor Real'!C3:C15,0))+1)/(((L352/(L352-1)-1)*(1-_xlfn.XLOOKUP(K352,'Janeiro 2023 - Valor Real'!A3:A15,'Janeiro 2023 - Valor Real'!C3:C15,0))+1)+((L353/(L353-1)-1)*(1-_xlfn.XLOOKUP(K353,'Janeiro 2023 - Valor Real'!A3:A15,'Janeiro 2023 - Valor Real'!C3:C15,0))+1)),((L352-1)*(1-_xlfn.XLOOKUP(K352,'Janeiro 2023 - Valor Real'!A3:A15,'Janeiro 2023 - Valor Real'!C3:C15,0))+1)/(((L352-1)*(1-_xlfn.XLOOKUP(K352,'Janeiro 2023 - Valor Real'!A3:A15,'Janeiro 2023 - Valor Real'!C3:C15,0))+1)+((L353/(L353-1)-1)*(1-_xlfn.XLOOKUP(K353,'Janeiro 2023 - Valor Real'!A3:A15,'Janeiro 2023 - Valor Real'!C3:C15,0))+1))),IF(I352="Lay",((L352/(L352-1)-1)*(1-_xlfn.XLOOKUP(K352,'Janeiro 2023 - Valor Real'!A3:A15,'Janeiro 2023 - Valor Real'!C3:C15,0))+1)/((((L352/(L352-1)-1)*(1-_xlfn.XLOOKUP(K352,'Janeiro 2023 - Valor Real'!A3:A15,'Janeiro 2023 - Valor Real'!C3:C15,0))+1))+((L353-1)*(1-_xlfn.XLOOKUP(K353,'Janeiro 2023 - Valor Real'!A3:A15,'Janeiro 2023 - Valor Real'!C3:C15,0))+1)),((L352-1)*(1-_xlfn.XLOOKUP(K352,'Janeiro 2023 - Valor Real'!A3:A15,'Janeiro 2023 - Valor Real'!C3:C15,0))+1)/(((L352-1)*(1-_xlfn.XLOOKUP(K352,'Janeiro 2023 - Valor Real'!A3:A15,'Janeiro 2023 - Valor Real'!C3:C15,0))+1)+((L353-1)*(1-_xlfn.XLOOKUP(K353,'Janeiro 2023 - Valor Real'!A3:A15,'Janeiro 2023 - Valor Real'!C3:C15,0))+1))))))</f>
        <v>0.900514579759863</v>
      </c>
      <c r="AF353" s="132">
        <f>IF($K353=AF$3,ROUND(IF(OR($C353="W",$C353="1/2W",$C353="1/2L"),$P353-$O353,IF($C353="X",0,-$O353)),2),0)</f>
        <v>-11</v>
      </c>
      <c r="AG353" s="133">
        <f>IF($K353=AG$3,ROUND(IF(OR($C353="W",$C353="1/2W",$C353="1/2L"),$P353-$O353,IF($C353="X",0,-$O353)),2),0)</f>
        <v>0</v>
      </c>
      <c r="AH353" s="133">
        <f>IF($K353=AH$3,ROUND(IF(OR($C353="W",$C353="1/2W",$C353="1/2L"),$P353-$O353,IF($C353="X",0,-$O353)),2),0)</f>
        <v>0</v>
      </c>
      <c r="AI353" s="133">
        <f>IF($K353=AI$3,ROUND(IF(OR($C353="W",$C353="1/2W",$C353="1/2L"),$P353-$O353,IF($C353="X",0,-$O353)),2),0)</f>
        <v>0</v>
      </c>
      <c r="AJ353" s="133">
        <f>IF($K353=AJ$3,ROUND(IF(OR($C353="W",$C353="1/2W",$C353="1/2L"),$P353-$O353,IF($C353="X",0,-$O353)),2),0)</f>
        <v>0</v>
      </c>
      <c r="AK353" s="133">
        <f>IF($K353=AK$3,ROUND(IF(OR($C353="W",$C353="1/2W",$C353="1/2L"),$P353-$O353,IF($C353="X",0,-$O353)),2),0)</f>
        <v>0</v>
      </c>
      <c r="AL353" s="133">
        <f>IF($K353=AL$3,ROUND(IF(OR($C353="W",$C353="1/2W",$C353="1/2L"),$P353-$O353,IF($C353="X",0,-$O353)),2),0)</f>
        <v>0</v>
      </c>
      <c r="AM353" s="133">
        <f>IF($K353=AM$3,ROUND(IF(OR($C353="W",$C353="1/2W",$C353="1/2L"),$P353-$O353,IF($C353="X",0,-$O353)),2),0)</f>
        <v>0</v>
      </c>
      <c r="AN353" s="133">
        <f>IF($K353=AN$3,ROUND(IF(OR($C353="W",$C353="1/2W",$C353="1/2L"),$P353-$O353,IF($C353="X",0,-$O353)),2),0)</f>
        <v>0</v>
      </c>
      <c r="AO353" s="133">
        <f>IF($K353=AO$3,ROUND(IF(OR($C353="W",$C353="1/2W",$C353="1/2L"),$P353-$O353,IF($C353="X",0,-$O353)),2),0)</f>
        <v>0</v>
      </c>
      <c r="AP353" s="133">
        <f>IF($K353=AP$3,ROUND(IF(OR($C353="W",$C353="1/2W",$C353="1/2L"),$P353-$O353,IF($C353="X",0,-$O353)),2),0)</f>
        <v>0</v>
      </c>
      <c r="AQ353" s="133">
        <f>IF($K353=AQ$3,ROUND(IF(OR($C353="W",$C353="1/2W",$C353="1/2L"),$P353-$O353,IF($C353="X",0,-$O353)),2),0)</f>
        <v>0</v>
      </c>
      <c r="AR353" s="134">
        <f>IF($K353=AR$3,ROUND(IF(OR($C353="W",$C353="1/2W",$C353="1/2L"),$P353-$O353,IF($C353="X",0,-$O353)),2),0)</f>
        <v>0</v>
      </c>
      <c r="AS353" s="132">
        <f>IF(AND($B352=" ",$K353=AS$3),$O353,0)</f>
        <v>0</v>
      </c>
      <c r="AT353" s="133">
        <f>IF(AND($B352=" ",K353=AT$3),$O353,0)</f>
        <v>0</v>
      </c>
      <c r="AU353" s="133">
        <f>IF(AND($B352=" ",$K353=AU$3),$O353,0)</f>
        <v>0</v>
      </c>
      <c r="AV353" s="133">
        <f>IF(AND($B352=" ",$K353=AV$3),$O353,0)</f>
        <v>0</v>
      </c>
      <c r="AW353" s="133">
        <f>IF(AND($B352=" ",$K353=AW$3),$O353,0)</f>
        <v>0</v>
      </c>
      <c r="AX353" s="133">
        <f>IF(AND($B352=" ",$K353=AX$3),$O353,0)</f>
        <v>0</v>
      </c>
      <c r="AY353" s="135">
        <f>IF(AND($B352=" ",$K353=AY$3),$O353,0)</f>
        <v>0</v>
      </c>
      <c r="AZ353" s="136">
        <f>IF(AND($B352=" ",$K353=AZ$3),$O353,0)</f>
        <v>0</v>
      </c>
      <c r="BA353" s="136">
        <f>IF(AND($B352=" ",$K353=BA$3),$O353,0)</f>
        <v>0</v>
      </c>
      <c r="BB353" s="136">
        <f>IF(AND($B352=" ",$K353=BB$3),$O353,0)</f>
        <v>0</v>
      </c>
      <c r="BC353" s="137">
        <f>IF(AND($B352=" ",$K353=BC$3),$O353,0)</f>
        <v>0</v>
      </c>
      <c r="BD353" s="133">
        <f>IF(AND($B352=" ",$K353=BD$3),$O353,0)</f>
        <v>0</v>
      </c>
      <c r="BE353" s="134">
        <f>IF(AND($B352=" ",$K353=BE$3),$O353,0)</f>
        <v>0</v>
      </c>
      <c r="BF353" s="132">
        <f>IF($K353=BF$3,IF($C353="X",0,$O353),0)</f>
        <v>11</v>
      </c>
      <c r="BG353" s="281">
        <f>IF($K353=BG$3,IF($C353="X",0,$O353),0)</f>
        <v>0</v>
      </c>
      <c r="BH353" s="133">
        <f>IF($K353=BH$3,IF($C353="X",0,$O353),0)</f>
        <v>0</v>
      </c>
      <c r="BI353" s="133">
        <f>IF($K353=BI$3,IF($C353="X",0,$O353),0)</f>
        <v>0</v>
      </c>
      <c r="BJ353" s="133">
        <f>IF($K353=BJ$3,IF($C353="X",0,$O353),0)</f>
        <v>0</v>
      </c>
      <c r="BK353" s="133">
        <f>IF($K353=BK$3,IF($C353="X",0,$O353),0)</f>
        <v>0</v>
      </c>
      <c r="BL353" s="133">
        <f>IF($K353=BL$3,IF($C353="X",0,$O353),0)</f>
        <v>0</v>
      </c>
      <c r="BM353" s="135">
        <f>IF($K353=BM$3,IF($C353="X",0,$O353),0)</f>
        <v>0</v>
      </c>
      <c r="BN353" s="136">
        <f>IF($K353=BN$3,IF($C353="X",0,$O353),0)</f>
        <v>0</v>
      </c>
      <c r="BO353" s="136">
        <f>IF($K353=BO$3,IF($C353="X",0,$O353),0)</f>
        <v>0</v>
      </c>
      <c r="BP353" s="136">
        <f>IF($K353=BP$3,IF($C353="X",0,$O353),0)</f>
        <v>0</v>
      </c>
      <c r="BQ353" s="137">
        <f>IF($K353=BQ$3,IF($C353="X",0,$O353),0)</f>
        <v>0</v>
      </c>
      <c r="BR353" s="134">
        <f>IF($K353=BR$3,IF($C353="X",0,$O353),0)</f>
        <v>0</v>
      </c>
      <c r="BS353" s="282"/>
      <c r="BT353" s="283"/>
      <c r="BU353" s="140"/>
      <c r="BV353" s="283"/>
      <c r="BW353" s="140"/>
      <c r="BX353" s="140"/>
      <c r="BY353" s="140"/>
      <c r="BZ353" s="283"/>
      <c r="CA353" s="140"/>
      <c r="CB353" s="140"/>
      <c r="CC353" s="140"/>
      <c r="CD353" s="141"/>
      <c r="CE353" s="142"/>
      <c r="CF353" s="284">
        <f>IF(CF$3=$K353,IF($C353="W",1,IF($C353="1/2W",0.5,0)),0)</f>
        <v>0</v>
      </c>
      <c r="CG353" s="285">
        <f>IF(CF$3=$K353,IF($C353="L",1,IF($C353="1/2L",0.5,0)),0)</f>
        <v>1</v>
      </c>
      <c r="CH353" s="285">
        <f>IF(CH$3=$K353,IF($C353="W",1,IF($C353="1/2W",0.5,0)),0)</f>
        <v>0</v>
      </c>
      <c r="CI353" s="285">
        <f>IF(CH$3=$K353,IF($C353="L",1,IF($C353="1/2L",0.5,0)),0)</f>
        <v>0</v>
      </c>
      <c r="CJ353" s="285">
        <f>IF(CJ$3=$K353,IF($C353="W",1,IF($C353="1/2W",0.5,0)),0)</f>
        <v>0</v>
      </c>
      <c r="CK353" s="285">
        <f>IF(CJ$3=$K353,IF($C353="L",1,IF($C353="1/2L",0.5,0)),0)</f>
        <v>0</v>
      </c>
      <c r="CL353" s="285">
        <f>IF(CL$3=$K353,IF($C353="W",1,IF($C353="1/2W",0.5,0)),0)</f>
        <v>0</v>
      </c>
      <c r="CM353" s="285">
        <f>IF(CL$3=$K353,IF($C353="L",1,IF($C353="1/2L",0.5,0)),0)</f>
        <v>0</v>
      </c>
      <c r="CN353" s="285">
        <f>IF(CN$3=$K353,IF($C353="W",1,IF($C353="1/2W",0.5,0)),0)</f>
        <v>0</v>
      </c>
      <c r="CO353" s="285">
        <f>IF(CN$3=$K353,IF($C353="L",1,IF($C353="1/2L",0.5,0)),0)</f>
        <v>0</v>
      </c>
      <c r="CP353" s="285">
        <f>IF(CP$3=$K353,IF($C353="W",1,IF($C353="1/2W",0.5,0)),0)</f>
        <v>0</v>
      </c>
      <c r="CQ353" s="285">
        <f>IF(CP$3=$K353,IF($C353="L",1,IF($C353="1/2L",0.5,0)),0)</f>
        <v>0</v>
      </c>
      <c r="CR353" s="285">
        <f>IF(CR$3=$K353,IF($C353="W",1,IF($C353="1/2W",0.5,0)),0)</f>
        <v>0</v>
      </c>
      <c r="CS353" s="285">
        <f>IF(CR$3=$K353,IF($C353="L",1,IF($C353="1/2L",0.5,0)),0)</f>
        <v>0</v>
      </c>
      <c r="CT353" s="145">
        <f>IF(CT$3=$K353,IF($C353="W",1,IF($C353="1/2W",0.5,0)),0)</f>
        <v>0</v>
      </c>
      <c r="CU353" s="146">
        <f>IF(CT$3=$K353,IF($C353="L",1,IF($C353="1/2L",0.5,0)),0)</f>
        <v>0</v>
      </c>
      <c r="CV353" s="146">
        <f>IF(CV$3=$K353,IF($C353="W",1,IF($C353="1/2W",0.5,0)),0)</f>
        <v>0</v>
      </c>
      <c r="CW353" s="146">
        <f>IF(CV$3=$K353,IF($C353="L",1,IF($C353="1/2L",0.5,0)),0)</f>
        <v>0</v>
      </c>
      <c r="CX353" s="146">
        <f>IF(CX$3=$K353,IF($C353="W",1,IF($C353="1/2W",0.5,0)),0)</f>
        <v>0</v>
      </c>
      <c r="CY353" s="146">
        <f>IF(CX$3=$K353,IF($C353="L",1,IF($C353="1/2L",0.5,0)),0)</f>
        <v>0</v>
      </c>
      <c r="CZ353" s="146">
        <f>IF(CZ$3=$K353,IF($C353="W",1,IF($C353="1/2W",0.5,0)),0)</f>
        <v>0</v>
      </c>
      <c r="DA353" s="146">
        <f>IF(CZ$3=$K353,IF($C353="L",1,IF($C353="1/2L",0.5,0)),0)</f>
        <v>0</v>
      </c>
      <c r="DB353" s="146">
        <f>IF(DB$3=$K353,IF($C353="W",1,IF($C353="1/2W",0.5,0)),0)</f>
        <v>0</v>
      </c>
      <c r="DC353" s="146">
        <f>IF(DB$3=$K353,IF($C353="L",1,IF($C353="1/2L",0.5,0)),0)</f>
        <v>0</v>
      </c>
      <c r="DD353" s="146">
        <f>IF(DD$3=$K353,IF($C353="W",1,IF($C353="1/2W",0.5,0)),0)</f>
        <v>0</v>
      </c>
      <c r="DE353" s="147">
        <f>IF(DD$3=$K353,IF($C353="L",1,IF($C353="1/2L",0.5,0)),0)</f>
        <v>0</v>
      </c>
      <c r="DF353" s="143">
        <f>IF(AND(L353&lt;DF$3,$C353="W"),1+DF352,DF352)</f>
        <v>12</v>
      </c>
      <c r="DG353" s="133">
        <f>IF(DF353&gt;DF352,L353+DG352,DG352)</f>
        <v>15.718</v>
      </c>
      <c r="DH353" s="146">
        <f>IF(AND(L353&gt;DH$3,$C353="W"),1+DH352,0+DH352)</f>
        <v>8</v>
      </c>
      <c r="DI353" s="133">
        <f>IF(DH353&gt;DH352,L353+DI352,DI352)</f>
        <v>45.33</v>
      </c>
      <c r="DJ353" t="s" s="304">
        <f>IF($D352="","",$D352)</f>
        <v>298</v>
      </c>
      <c r="DK353" s="286"/>
    </row>
    <row r="354" ht="14.55" customHeight="1">
      <c r="A354" s="149"/>
      <c r="B354" s="150"/>
      <c r="C354" t="s" s="151">
        <v>58</v>
      </c>
      <c r="D354" s="152"/>
      <c r="E354" s="153"/>
      <c r="F354" s="155"/>
      <c r="G354" s="252"/>
      <c r="H354" s="156"/>
      <c r="I354" s="287"/>
      <c r="J354" s="288"/>
      <c r="K354" s="156"/>
      <c r="L354" s="289"/>
      <c r="M354" s="290"/>
      <c r="N354" s="161"/>
      <c r="O354" t="s" s="162">
        <f>IF(OR(AE352="",AE353=""),"",IF(L354&gt;0,ROUND(IF(M354&gt;0,M354,IF(M352&gt;0,ROUND((M352*AE354)/AE352,IF(N352=0,2,IF(N352=0.1,1,0))),IF(M353&gt;0,ROUND((M353*AE354)/AE353,IF(N352=0,2,IF(N352=0.1,1,0))),IF(M354&gt;0,M354,0)))),2),""))</f>
      </c>
      <c r="P354" t="s" s="163">
        <f>IF(I353="Lay",O353*(L353/(L353-1))-O353,IF(I352="Lay",O352*(L352/(L352-1))-O352,IF(OR(L354="",O354=""),"",IF($C354="1/2W",O354/2+O354/2*L354,IF($C354="1/2L",O354/2,(O354*L354-O354)*(1-_xlfn.XLOOKUP(K354,'Janeiro 2023 - Valor Real'!A3:A15,'Janeiro 2023 - Valor Real'!C3:C15,0))+O354)))))</f>
      </c>
      <c r="Q354" t="s" s="154">
        <f>IF(K354="","",IF(_xlfn.XLOOKUP(K354,K$121:K133,DJ$121:DJ133,0,,-1)=DJ354,_xlfn.XLOOKUP(K354,K$121:K133,Q$121:Q133,1,,-1)+1,1))</f>
      </c>
      <c r="R354" t="s" s="163">
        <f>IF(K354="","",_xlfn.XLOOKUP(K354,K$121:K133,R$121:R133,0,,-1)+IF($C354=" ",1,0))</f>
      </c>
      <c r="S354" s="166"/>
      <c r="T354" s="155"/>
      <c r="U354" s="155"/>
      <c r="V354" s="166"/>
      <c r="W354" s="155"/>
      <c r="X354" s="167"/>
      <c r="Y354" s="128"/>
      <c r="Z354" s="129"/>
      <c r="AA354" s="129"/>
      <c r="AB354" s="129"/>
      <c r="AC354" s="129"/>
      <c r="AD354" s="168"/>
      <c r="AE354" t="s" s="169">
        <f>IF(L354="","",(SUM(((L352-1)*(1-_xlfn.XLOOKUP(K352,'Janeiro 2023 - Valor Real'!A3:A15,'Janeiro 2023 - Valor Real'!C3:C15,0))+1),((L353-1)*(1-_xlfn.XLOOKUP(K353,'Janeiro 2023 - Valor Real'!A3:A15,'Janeiro 2023 - Valor Real'!C3:C15,0))+1),((L354-1)*(1-_xlfn.XLOOKUP(K354,'Janeiro 2023 - Valor Real'!A3:A15,'Janeiro 2023 - Valor Real'!C3:C15,0))+1))/((L354-1)*(1-_xlfn.XLOOKUP(K354,'Janeiro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Real'!C3:C15,0))+1))/((L352-1)*(1-_xlfn.XLOOKUP(K352,'Janeiro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Real'!C3:C15,0))+1))/((L353-1)*(1-_xlfn.XLOOKUP(K353,'Janeiro 2023 - Valor Real'!A3:A15,'Janeiro 2023 - Valor Real'!C3:C15,0))+1)+SUM(((L352-1)*(1-_xlfn.XLOOKUP(K352,'Janeiro 2023 - Valor Real'!A3:A15,'Janeiro 2023 - Valor Real'!C3:C15,0))+1),((L353-1)*(1-_xlfn.XLOOKUP(K353,'Janeiro 2023 - Valor Real'!A3:A15,'Janeiro 2023 - Valor Real'!C3:C15,0))+1),((L354-1)*(1-_xlfn.XLOOKUP(K354,'Janeiro 2023 - Valor Real'!A3:A15,'Janeiro 2023 - Valor Real'!C3:C15,0))+1))/((L354-1)*(1-_xlfn.XLOOKUP(K354,'Janeiro 2023 - Valor Real'!A3:A15,'Janeiro 2023 - Valor Real'!C3:C15,0))+1)))</f>
      </c>
      <c r="AF354" s="132">
        <f>IF($K354=AF$3,ROUND(IF(OR($C354="W",$C354="1/2W",$C354="1/2L"),$P354-$O354,IF($C354="X",0,-$O354)),2),0)</f>
        <v>0</v>
      </c>
      <c r="AG354" s="133">
        <f>IF($K354=AG$3,ROUND(IF(OR($C354="W",$C354="1/2W",$C354="1/2L"),$P354-$O354,IF($C354="X",0,-$O354)),2),0)</f>
        <v>0</v>
      </c>
      <c r="AH354" s="133">
        <f>IF($K354=AH$3,ROUND(IF(OR($C354="W",$C354="1/2W",$C354="1/2L"),$P354-$O354,IF($C354="X",0,-$O354)),2),0)</f>
        <v>0</v>
      </c>
      <c r="AI354" s="133">
        <f>IF($K354=AI$3,ROUND(IF(OR($C354="W",$C354="1/2W",$C354="1/2L"),$P354-$O354,IF($C354="X",0,-$O354)),2),0)</f>
        <v>0</v>
      </c>
      <c r="AJ354" s="133">
        <f>IF($K354=AJ$3,ROUND(IF(OR($C354="W",$C354="1/2W",$C354="1/2L"),$P354-$O354,IF($C354="X",0,-$O354)),2),0)</f>
        <v>0</v>
      </c>
      <c r="AK354" s="133">
        <f>IF($K354=AK$3,ROUND(IF(OR($C354="W",$C354="1/2W",$C354="1/2L"),$P354-$O354,IF($C354="X",0,-$O354)),2),0)</f>
        <v>0</v>
      </c>
      <c r="AL354" s="133">
        <f>IF($K354=AL$3,ROUND(IF(OR($C354="W",$C354="1/2W",$C354="1/2L"),$P354-$O354,IF($C354="X",0,-$O354)),2),0)</f>
        <v>0</v>
      </c>
      <c r="AM354" s="133">
        <f>IF($K354=AM$3,ROUND(IF(OR($C354="W",$C354="1/2W",$C354="1/2L"),$P354-$O354,IF($C354="X",0,-$O354)),2),0)</f>
        <v>0</v>
      </c>
      <c r="AN354" s="133">
        <f>IF($K354=AN$3,ROUND(IF(OR($C354="W",$C354="1/2W",$C354="1/2L"),$P354-$O354,IF($C354="X",0,-$O354)),2),0)</f>
        <v>0</v>
      </c>
      <c r="AO354" s="133">
        <f>IF($K354=AO$3,ROUND(IF(OR($C354="W",$C354="1/2W",$C354="1/2L"),$P354-$O354,IF($C354="X",0,-$O354)),2),0)</f>
        <v>0</v>
      </c>
      <c r="AP354" s="133">
        <f>IF($K354=AP$3,ROUND(IF(OR($C354="W",$C354="1/2W",$C354="1/2L"),$P354-$O354,IF($C354="X",0,-$O354)),2),0)</f>
        <v>0</v>
      </c>
      <c r="AQ354" s="133">
        <f>IF($K354=AQ$3,ROUND(IF(OR($C354="W",$C354="1/2W",$C354="1/2L"),$P354-$O354,IF($C354="X",0,-$O354)),2),0)</f>
        <v>0</v>
      </c>
      <c r="AR354" s="134">
        <f>IF($K354=AR$3,ROUND(IF(OR($C354="W",$C354="1/2W",$C354="1/2L"),$P354-$O354,IF($C354="X",0,-$O354)),2),0)</f>
        <v>0</v>
      </c>
      <c r="AS354" s="132">
        <f>IF(AND($B352=" ",$K354=AS$3),$O354,0)</f>
        <v>0</v>
      </c>
      <c r="AT354" s="133">
        <f>IF(AND($B352=" ",K354=AT$3),$O354,0)</f>
        <v>0</v>
      </c>
      <c r="AU354" s="133">
        <f>IF(AND($B352=" ",$K354=AU$3),$O354,0)</f>
        <v>0</v>
      </c>
      <c r="AV354" s="133">
        <f>IF(AND($B352=" ",$K354=AV$3),$O354,0)</f>
        <v>0</v>
      </c>
      <c r="AW354" s="133">
        <f>IF(AND($B352=" ",$K354=AW$3),$O354,0)</f>
        <v>0</v>
      </c>
      <c r="AX354" s="133">
        <f>IF(AND($B352=" ",$K354=AX$3),$O354,0)</f>
        <v>0</v>
      </c>
      <c r="AY354" s="135">
        <f>IF(AND($B352=" ",$K354=AY$3),$O354,0)</f>
        <v>0</v>
      </c>
      <c r="AZ354" s="136">
        <f>IF(AND($B352=" ",$K354=AZ$3),$O354,0)</f>
        <v>0</v>
      </c>
      <c r="BA354" s="136">
        <f>IF(AND($B352=" ",$K354=BA$3),$O354,0)</f>
        <v>0</v>
      </c>
      <c r="BB354" s="136">
        <f>IF(AND($B352=" ",$K354=BB$3),$O354,0)</f>
        <v>0</v>
      </c>
      <c r="BC354" s="137">
        <f>IF(AND($B352=" ",$K354=BC$3),$O354,0)</f>
        <v>0</v>
      </c>
      <c r="BD354" s="133">
        <f>IF(AND($B352=" ",$K354=BD$3),$O354,0)</f>
        <v>0</v>
      </c>
      <c r="BE354" s="134">
        <f>IF(AND($B352=" ",$K354=BE$3),$O354,0)</f>
        <v>0</v>
      </c>
      <c r="BF354" s="132">
        <f>IF($K354=BF$3,IF($C354="X",0,$O354),0)</f>
        <v>0</v>
      </c>
      <c r="BG354" s="281">
        <f>IF($K354=BG$3,IF($C354="X",0,$O354),0)</f>
        <v>0</v>
      </c>
      <c r="BH354" s="133">
        <f>IF($K354=BH$3,IF($C354="X",0,$O354),0)</f>
        <v>0</v>
      </c>
      <c r="BI354" s="133">
        <f>IF($K354=BI$3,IF($C354="X",0,$O354),0)</f>
        <v>0</v>
      </c>
      <c r="BJ354" s="133">
        <f>IF($K354=BJ$3,IF($C354="X",0,$O354),0)</f>
        <v>0</v>
      </c>
      <c r="BK354" s="133">
        <f>IF($K354=BK$3,IF($C354="X",0,$O354),0)</f>
        <v>0</v>
      </c>
      <c r="BL354" s="133">
        <f>IF($K354=BL$3,IF($C354="X",0,$O354),0)</f>
        <v>0</v>
      </c>
      <c r="BM354" s="135">
        <f>IF($K354=BM$3,IF($C354="X",0,$O354),0)</f>
        <v>0</v>
      </c>
      <c r="BN354" s="136">
        <f>IF($K354=BN$3,IF($C354="X",0,$O354),0)</f>
        <v>0</v>
      </c>
      <c r="BO354" s="136">
        <f>IF($K354=BO$3,IF($C354="X",0,$O354),0)</f>
        <v>0</v>
      </c>
      <c r="BP354" s="136">
        <f>IF($K354=BP$3,IF($C354="X",0,$O354),0)</f>
        <v>0</v>
      </c>
      <c r="BQ354" s="137">
        <f>IF($K354=BQ$3,IF($C354="X",0,$O354),0)</f>
        <v>0</v>
      </c>
      <c r="BR354" s="134">
        <f>IF($K354=BR$3,IF($C354="X",0,$O354),0)</f>
        <v>0</v>
      </c>
      <c r="BS354" s="282"/>
      <c r="BT354" s="283"/>
      <c r="BU354" s="140"/>
      <c r="BV354" s="283"/>
      <c r="BW354" s="140"/>
      <c r="BX354" s="140"/>
      <c r="BY354" s="140"/>
      <c r="BZ354" s="283"/>
      <c r="CA354" s="140"/>
      <c r="CB354" s="140"/>
      <c r="CC354" s="140"/>
      <c r="CD354" s="141"/>
      <c r="CE354" s="142"/>
      <c r="CF354" s="284">
        <f>IF(CF$3=$K354,IF($C354="W",1,IF($C354="1/2W",0.5,0)),0)</f>
        <v>0</v>
      </c>
      <c r="CG354" s="285">
        <f>IF(CF$3=$K354,IF($C354="L",1,IF($C354="1/2L",0.5,0)),0)</f>
        <v>0</v>
      </c>
      <c r="CH354" s="285">
        <f>IF(CH$3=$K354,IF($C354="W",1,IF($C354="1/2W",0.5,0)),0)</f>
        <v>0</v>
      </c>
      <c r="CI354" s="285">
        <f>IF(CH$3=$K354,IF($C354="L",1,IF($C354="1/2L",0.5,0)),0)</f>
        <v>0</v>
      </c>
      <c r="CJ354" s="285">
        <f>IF(CJ$3=$K354,IF($C354="W",1,IF($C354="1/2W",0.5,0)),0)</f>
        <v>0</v>
      </c>
      <c r="CK354" s="285">
        <f>IF(CJ$3=$K354,IF($C354="L",1,IF($C354="1/2L",0.5,0)),0)</f>
        <v>0</v>
      </c>
      <c r="CL354" s="285">
        <f>IF(CL$3=$K354,IF($C354="W",1,IF($C354="1/2W",0.5,0)),0)</f>
        <v>0</v>
      </c>
      <c r="CM354" s="285">
        <f>IF(CL$3=$K354,IF($C354="L",1,IF($C354="1/2L",0.5,0)),0)</f>
        <v>0</v>
      </c>
      <c r="CN354" s="285">
        <f>IF(CN$3=$K354,IF($C354="W",1,IF($C354="1/2W",0.5,0)),0)</f>
        <v>0</v>
      </c>
      <c r="CO354" s="285">
        <f>IF(CN$3=$K354,IF($C354="L",1,IF($C354="1/2L",0.5,0)),0)</f>
        <v>0</v>
      </c>
      <c r="CP354" s="285">
        <f>IF(CP$3=$K354,IF($C354="W",1,IF($C354="1/2W",0.5,0)),0)</f>
        <v>0</v>
      </c>
      <c r="CQ354" s="285">
        <f>IF(CP$3=$K354,IF($C354="L",1,IF($C354="1/2L",0.5,0)),0)</f>
        <v>0</v>
      </c>
      <c r="CR354" s="285">
        <f>IF(CR$3=$K354,IF($C354="W",1,IF($C354="1/2W",0.5,0)),0)</f>
        <v>0</v>
      </c>
      <c r="CS354" s="285">
        <f>IF(CR$3=$K354,IF($C354="L",1,IF($C354="1/2L",0.5,0)),0)</f>
        <v>0</v>
      </c>
      <c r="CT354" s="145">
        <f>IF(CT$3=$K354,IF($C354="W",1,IF($C354="1/2W",0.5,0)),0)</f>
        <v>0</v>
      </c>
      <c r="CU354" s="146">
        <f>IF(CT$3=$K354,IF($C354="L",1,IF($C354="1/2L",0.5,0)),0)</f>
        <v>0</v>
      </c>
      <c r="CV354" s="146">
        <f>IF(CV$3=$K354,IF($C354="W",1,IF($C354="1/2W",0.5,0)),0)</f>
        <v>0</v>
      </c>
      <c r="CW354" s="146">
        <f>IF(CV$3=$K354,IF($C354="L",1,IF($C354="1/2L",0.5,0)),0)</f>
        <v>0</v>
      </c>
      <c r="CX354" s="146">
        <f>IF(CX$3=$K354,IF($C354="W",1,IF($C354="1/2W",0.5,0)),0)</f>
        <v>0</v>
      </c>
      <c r="CY354" s="146">
        <f>IF(CX$3=$K354,IF($C354="L",1,IF($C354="1/2L",0.5,0)),0)</f>
        <v>0</v>
      </c>
      <c r="CZ354" s="146">
        <f>IF(CZ$3=$K354,IF($C354="W",1,IF($C354="1/2W",0.5,0)),0)</f>
        <v>0</v>
      </c>
      <c r="DA354" s="146">
        <f>IF(CZ$3=$K354,IF($C354="L",1,IF($C354="1/2L",0.5,0)),0)</f>
        <v>0</v>
      </c>
      <c r="DB354" s="146">
        <f>IF(DB$3=$K354,IF($C354="W",1,IF($C354="1/2W",0.5,0)),0)</f>
        <v>0</v>
      </c>
      <c r="DC354" s="146">
        <f>IF(DB$3=$K354,IF($C354="L",1,IF($C354="1/2L",0.5,0)),0)</f>
        <v>0</v>
      </c>
      <c r="DD354" s="146">
        <f>IF(DD$3=$K354,IF($C354="W",1,IF($C354="1/2W",0.5,0)),0)</f>
        <v>0</v>
      </c>
      <c r="DE354" s="147">
        <f>IF(DD$3=$K354,IF($C354="L",1,IF($C354="1/2L",0.5,0)),0)</f>
        <v>0</v>
      </c>
      <c r="DF354" s="143">
        <f>IF(AND(L354&lt;DF$3,$C354="W"),1+DF353,DF353)</f>
        <v>12</v>
      </c>
      <c r="DG354" s="133">
        <f>IF(DF354&gt;DF353,L354+DG353,DG353)</f>
        <v>15.718</v>
      </c>
      <c r="DH354" s="146">
        <f>IF(AND(L354&gt;DH$3,$C354="W"),1+DH353,0+DH353)</f>
        <v>8</v>
      </c>
      <c r="DI354" s="133">
        <f>IF(DH354&gt;DH353,L354+DI353,DI353)</f>
        <v>45.33</v>
      </c>
      <c r="DJ354" t="s" s="304">
        <f>IF($D352="","",$D352)</f>
        <v>298</v>
      </c>
      <c r="DK354" s="286"/>
    </row>
    <row r="355" ht="14.55" customHeight="1">
      <c r="A355" s="171">
        <f>$A352+1</f>
        <v>118</v>
      </c>
      <c r="B355" t="s" s="172">
        <f>IF(AND(_xlfn.XLOOKUP(H355,H$122:H128,G$122:G128,0)=G355,_xlfn.XLOOKUP("TempoBet",K355:K357,L355:L357,0)&gt;0),"X",IF(OR(C355="W",C356="W",C357="W",C355="1/2W",C356="1/2W",C357="1/2W",C355="1/2L",C356="1/2L",C357="1/2L"),"OK",IF(OR(C355="L",C356="L",C357="L"),"LOSS",IF(OR(C355="X",C356="X",C357="X"),"Anulado"," "))))</f>
        <v>50</v>
      </c>
      <c r="C355" t="s" s="173">
        <v>56</v>
      </c>
      <c r="D355" t="s" s="305">
        <f>IF(G355="","",$D352)</f>
        <v>298</v>
      </c>
      <c r="E355" t="s" s="175">
        <f>IF(G355=""," ","– "&amp;COUNTIF(D$4:D357,$D355))</f>
        <v>108</v>
      </c>
      <c r="F355" t="s" s="176"/>
      <c r="G355" s="177">
        <v>44948.416666666664</v>
      </c>
      <c r="H355" t="s" s="178">
        <v>300</v>
      </c>
      <c r="I355" t="s" s="179">
        <v>54</v>
      </c>
      <c r="J355" s="291">
        <v>0.5</v>
      </c>
      <c r="K355" t="s" s="181">
        <v>41</v>
      </c>
      <c r="L355" s="182">
        <v>2.22</v>
      </c>
      <c r="M355" s="183">
        <v>9.220000000000001</v>
      </c>
      <c r="N355" s="184">
        <v>0</v>
      </c>
      <c r="O355" s="185">
        <f>IF(OR(AE355="",AE356=""),"",ROUND(IF(L357&gt;0,IF(M355&gt;0,M355,IF(M356&gt;0,ROUND((M356*AE355)/AE356,IF(N355=0,2,IF(N355=0.1,1,0))),ROUND((M357*AE355)/AE357,IF(N355=0,2,IF(N355=0.1,1,0))))),IF(M355&gt;0,M355,ROUND((M356*AE355)/AE356,IF(N355=0,2,IF(N355=0.1,1,0))))),2))</f>
        <v>9.220000000000001</v>
      </c>
      <c r="P355" s="186">
        <f>IF(OR(L355="",O355=""),"",IF($C355="1/2W",O355/2+O355/2*L355,IF($C355="1/2L",O355/2,IF(I355="Lay",(O355*(L355/(L355-1))-O355)*(1-_xlfn.XLOOKUP(K355,'Janeiro 2023 - Valor Real'!A3:A15,'Janeiro 2023 - Valor Real'!C3:C15,0))+O355,(O355*L355-O355)*(1-_xlfn.XLOOKUP(K355,'Janeiro 2023 - Valor Real'!A3:A15,'Janeiro 2023 - Valor Real'!C3:C15,0))+O355))))</f>
        <v>20.4684</v>
      </c>
      <c r="Q355" s="187">
        <f>IF(K355="","",IF(_xlfn.XLOOKUP(K355,K$122:K128,DJ$122:DJ128,0,,-1)=DJ355,_xlfn.XLOOKUP(K355,K$122:K128,Q$122:Q128,1,,-1)+1,1))</f>
        <v>1</v>
      </c>
      <c r="R355" s="188">
        <f>IF(K355="","",_xlfn.XLOOKUP(K355,K$122:K128,R$122:R128,0,,-1)+IF($C355=" ",1,0))</f>
        <v>0</v>
      </c>
      <c r="S355" s="189">
        <f>IF($B355="Anulado",0,ROUND(IF(OR($B355="LOSS",$B355="OK"),IF(OR($C355="W",$C355="1/2W",$C355="1/2L"),P355-O355,IF($C355="L",-O355,0))+IF(OR($C356="W",$C356="1/2W",$C356="1/2L"),P356-O356,IF($C356="L",-O356,0))+IF(OR($C357="W",$C357="1/2W",$C357="1/2L"),P357-O357,IF($C357="L",-O357,0)),IF(AND(OR($C355="W",$C355="1/2W",$C355="1/2L"),C356="W"),P355+P356-SUM(O355:O357)+_xlfn.XLOOKUP("X",C355:C357,O355:O357,0),IF(AND(C355=TRUE,C357="W"),P355+P357-SUM(O355:O357),IF(AND(C356="W",C357="W"),P356+P357-SUM(O355:O357)+_xlfn.XLOOKUP("X",C355:C357,O355:O357,0),IF(L357&gt;0,IF(OR($C355="W",$C355="1/2W",$C355="1/2L"),P355-SUM(O355:O357)+_xlfn.XLOOKUP("X",C355:C357,O355:O357,0),IF(OR($C355="W",$C355="1/2W",$C355="1/2L"),P356-SUM(O355:O357)+_xlfn.XLOOKUP("X",C355:C357,O355:O357,0),IF(OR($C355="W",$C355="1/2W",$C355="1/2L"),P357-SUM(O355:O357)+_xlfn.XLOOKUP("X",C355:C357,O355:O357,0),IF(SUM(P355:P357)/3-SUM(O355:O357)+_xlfn.XLOOKUP("X",C355:C357,O355:O357,0)&gt;0,SUM(P355:P357)/3-SUM(O355:O357)+_xlfn.XLOOKUP("X",C355:C357,O355:O357,0),LARGE(P355:P357,1)-SUM(O355:O357))))),IF(OR($C355="W",$C355="1/2W",$C355="1/2L"),P355-SUM(O355:O356)+_xlfn.XLOOKUP("X",C355:C357,O355:O357,0),IF(OR($C355="W",$C355="1/2W",$C355="1/2L"),P356-SUM(O355:O356)+_xlfn.XLOOKUP("X",C355:C357,O355:O357,0),SUM(P355:P356)/2-SUM(O355:O356)+_xlfn.XLOOKUP("X",C355:C357,O355:O357,0)))))))),2))</f>
        <v>1.02</v>
      </c>
      <c r="T355" s="190">
        <f>IF(S355=0,0,S355/SUM(O355:O357))</f>
        <v>0.0524421593830334</v>
      </c>
      <c r="U355" s="191">
        <f>IF($D355=$D352,IF(OR($B355="LOSS",$B355="OK",$B355="Anulada"),S355,0)+U352,IF(OR($B355="LOSS",$B355="OK",$B355="Anulada"),S355,0))</f>
        <v>5.48</v>
      </c>
      <c r="V355" s="191">
        <f>IF($D355="",0,IF($D355=$D352,IF($B355=" ",IF(I357="",IF(OR(AND(I355="DNB1",I356="DNB2"),AND(OR(I355="DNB1",I355="DNB2"),J356=0),AND(OR(I356="DNB1",I356="DNB2"),J355=0),AND(I355="DNB2",I356="DNB1"),AND(IF(J355=0,(J355+1)/ROUND(J355+1,0),J355/ROUND(J355,0))=1,IF(J356=0,(J356+1)/ROUND(IF(J356="",0,J356)+1,0),IF(J356="",0,J356)/ROUND(IF(J356="",1,J356),0))=1,OR(J355&lt;&gt;""),J356&lt;&gt;"")),0,IF(S355&lt;0,IF(I357="",SMALL(P355:P356,1)-SUM(O355:O356),0),SMALL(P355:P356,1)-SUM(O355:O356))),IF(S355&lt;0,IF(I357="",SMALL(P355:P357,1)-SUM(O355:O357),0),LARGE(P355:P357,1)-SUM(O355:O357))),S355)+V352,IF(I357="",IF(OR(AND(I355="DNB1",I356="DNB2"),AND(OR(I355="DNB1",I355="DNB2"),J356=0),AND(OR(I356="DNB1",I356="DNB2"),J355=0),AND(I355="DNB2",I356="DNB1"),AND(IF(J355=0,(J355+1)/ROUND(J355+1,0),J355/ROUND(J355,0))=1,IF(J356=0,(IF(J356="",0,J356)+1)/ROUND(IF(J356="",0,J356)+1,0),IF(J356="",0,J356)/ROUND(IF(J356="",0,J356)+1,0))=1,OR(J355&lt;&gt;""),J356&lt;&gt;"")),0,IF(S355&lt;0,IF(I357="",SMALL(P355:P356,1)-SUM(O355:O356),0),SMALL(P355:P357,1)-SUM(O355:O357))),IF(S355&lt;0,IF(I357="",SMALL(P355:P357,1)-SUM(O355:O357),0),LARGE(P355:P357,1)-SUM(O355:O357)))))</f>
        <v>5.484</v>
      </c>
      <c r="W355" s="191">
        <f>IF($D355=$D352,IF(S355&lt;0,IF(I357="",S355,0),S355)+W352,S355)</f>
        <v>5.48</v>
      </c>
      <c r="X355" t="s" s="192">
        <f>IF(OR(SUM(R355:R357)=0,V355=W355),ROUND(IF(W355=0,0,W355/Y355)*100,2)&amp;"%",ROUND(IF(V355=0,0,V355/Y355)*100,2)&amp;"% a "&amp;ROUND(IF(W355=0,0,W355/Y355)*100,2)&amp;"%")</f>
        <v>303</v>
      </c>
      <c r="Y355" s="193">
        <f>IF($D355=$D352,Y352+SUM(O355:O357),SUM(O355:O357))</f>
        <v>94.20999999999999</v>
      </c>
      <c r="Z355" s="191">
        <f>IF($B355=" ",SUM(O355:O357),0)+Z352</f>
        <v>0</v>
      </c>
      <c r="AA355" s="191">
        <f>IF(G355="","",IF($B355="Anulado",LARGE(P355:P357,1)-SUM(O355:O357)+AA352,AA352))</f>
        <v>16.5099</v>
      </c>
      <c r="AB355" s="191">
        <f>IF($D355="","",AB352+S355)</f>
        <v>251.67</v>
      </c>
      <c r="AC355" s="194">
        <f>IF($D355="","",IF($B355=" ",IF(DAY(G355)=DAY(TODAY()),1+AC352,0+AC352),0+AC352))</f>
        <v>0</v>
      </c>
      <c r="AD355" s="195">
        <f>(((L356/(L356-1)-1)*(1-_xlfn.XLOOKUP(K356,'Janeiro 2023 - Valor Real'!A3:A15,'Janeiro 2023 - Valor Real'!C3:C15,0))+1))/(((L355-1)*(1-_xlfn.XLOOKUP(K355,'Janeiro 2023 - Valor Real'!A3:A15,'Janeiro 2023 - Valor Real'!C3:C15,0))+1)+((L356/(L356-1)-1)*(1-_xlfn.XLOOKUP(K356,'Janeiro 2023 - Valor Real'!A3:A15,'Janeiro 2023 - Valor Real'!C3:C15,0))+1))</f>
        <v>0.4739336492891</v>
      </c>
      <c r="AE355" s="196">
        <f>IF(L355="","",IF(L357&gt;0,(SUM(((L355-1)*(1-_xlfn.XLOOKUP(K355,'Janeiro 2023 - Valor Real'!A3:A15,'Janeiro 2023 - Valor Real'!C3:C15,0))+1),((L356-1)*(1-_xlfn.XLOOKUP(K356,'Janeiro 2023 - Valor Real'!A3:A15,'Janeiro 2023 - Valor Real'!C3:C15,0))+1),((L357-1)*(1-_xlfn.XLOOKUP(K357,'Janeiro 2023 - Valor Real'!A3:A15,'Janeiro 2023 - Valor Real'!C3:C15,0))+1))/((L355-1)*(1-_xlfn.XLOOKUP(K355,'Janeiro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Real'!C3:C15,0))+1))/((L355-1)*(1-_xlfn.XLOOKUP(K355,'Janeiro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Real'!C3:C15,0))+1))/((L356-1)*(1-_xlfn.XLOOKUP(K356,'Janeiro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Real'!C3:C15,0))+1))/((L357-1)*(1-_xlfn.XLOOKUP(K357,'Janeiro 2023 - Valor Real'!A3:A15,'Janeiro 2023 - Valor Real'!C3:C15,0))+1)),IF(I355="Lay",IF(I356="Lay",((L356/(L356-1)-1)*(1-_xlfn.XLOOKUP(K356,'Janeiro 2023 - Valor Real'!A3:A15,'Janeiro 2023 - Valor Real'!C3:C15,0))+1)/(((L356/(L356-1)-1)*(1-_xlfn.XLOOKUP(K356,'Janeiro 2023 - Valor Real'!A3:A15,'Janeiro 2023 - Valor Real'!C3:C15,0))+1)+((L355/(L355-1)-1)*(1-_xlfn.XLOOKUP(K355,'Janeiro 2023 - Valor Real'!A3:A15,'Janeiro 2023 - Valor Real'!C3:C15,0))+1)),((L356-1)*(1-_xlfn.XLOOKUP(K356,'Janeiro 2023 - Valor Real'!A3:A15,'Janeiro 2023 - Valor Real'!C3:C15,0))+1)/(((L356-1)*(1-_xlfn.XLOOKUP(K356,'Janeiro 2023 - Valor Real'!A3:A15,'Janeiro 2023 - Valor Real'!C3:C15,0))+1)+((L355/(L355-1)-1)*(1-_xlfn.XLOOKUP(K355,'Janeiro 2023 - Valor Real'!A3:A15,'Janeiro 2023 - Valor Real'!C3:C15,0))+1))),IF(I356="Lay",(((L356/(L356-1)-1)*(1-_xlfn.XLOOKUP(K356,'Janeiro 2023 - Valor Real'!A3:A15,'Janeiro 2023 - Valor Real'!C3:C15,0))+1))/(((L355-1)*(1-_xlfn.XLOOKUP(K355,'Janeiro 2023 - Valor Real'!A3:A15,'Janeiro 2023 - Valor Real'!C3:C15,0))+1)+((L356/(L356-1)-1)*(1-_xlfn.XLOOKUP(K356,'Janeiro 2023 - Valor Real'!A3:A15,'Janeiro 2023 - Valor Real'!C3:C15,0))+1)),((L356-1)*(1-_xlfn.XLOOKUP(K356,'Janeiro 2023 - Valor Real'!A3:A15,'Janeiro 2023 - Valor Real'!C3:C15,0))+1)/(((L356-1)*(1-_xlfn.XLOOKUP(K356,'Janeiro 2023 - Valor Real'!A3:A15,'Janeiro 2023 - Valor Real'!C3:C15,0))+1)+((L355-1)*(1-_xlfn.XLOOKUP(K355,'Janeiro 2023 - Valor Real'!A3:A15,'Janeiro 2023 - Valor Real'!C3:C15,0))+1))))))</f>
        <v>0.4739336492891</v>
      </c>
      <c r="AF355" s="197">
        <f>IF($K355=AF$3,ROUND(IF(OR($C355="W",$C355="1/2W",$C355="1/2L"),$P355-$O355,IF($C355="X",0,-$O355)),2),0)</f>
        <v>0</v>
      </c>
      <c r="AG355" s="198">
        <f>IF($K355=AG$3,ROUND(IF(OR($C355="W",$C355="1/2W",$C355="1/2L"),$P355-$O355,IF($C355="X",0,-$O355)),2),0)</f>
        <v>0</v>
      </c>
      <c r="AH355" s="198">
        <f>IF($K355=AH$3,ROUND(IF(OR($C355="W",$C355="1/2W",$C355="1/2L"),$P355-$O355,IF($C355="X",0,-$O355)),2),0)</f>
        <v>0</v>
      </c>
      <c r="AI355" s="198">
        <f>IF($K355=AI$3,ROUND(IF(OR($C355="W",$C355="1/2W",$C355="1/2L"),$P355-$O355,IF($C355="X",0,-$O355)),2),0)</f>
        <v>0</v>
      </c>
      <c r="AJ355" s="198">
        <f>IF($K355=AJ$3,ROUND(IF(OR($C355="W",$C355="1/2W",$C355="1/2L"),$P355-$O355,IF($C355="X",0,-$O355)),2),0)</f>
        <v>11.25</v>
      </c>
      <c r="AK355" s="198">
        <f>IF($K355=AK$3,ROUND(IF(OR($C355="W",$C355="1/2W",$C355="1/2L"),$P355-$O355,IF($C355="X",0,-$O355)),2),0)</f>
        <v>0</v>
      </c>
      <c r="AL355" s="198">
        <f>IF($K355=AL$3,ROUND(IF(OR($C355="W",$C355="1/2W",$C355="1/2L"),$P355-$O355,IF($C355="X",0,-$O355)),2),0)</f>
        <v>0</v>
      </c>
      <c r="AM355" s="198">
        <f>IF($K355=AM$3,ROUND(IF(OR($C355="W",$C355="1/2W",$C355="1/2L"),$P355-$O355,IF($C355="X",0,-$O355)),2),0)</f>
        <v>0</v>
      </c>
      <c r="AN355" s="198">
        <f>IF($K355=AN$3,ROUND(IF(OR($C355="W",$C355="1/2W",$C355="1/2L"),$P355-$O355,IF($C355="X",0,-$O355)),2),0)</f>
        <v>0</v>
      </c>
      <c r="AO355" s="198">
        <f>IF($K355=AO$3,ROUND(IF(OR($C355="W",$C355="1/2W",$C355="1/2L"),$P355-$O355,IF($C355="X",0,-$O355)),2),0)</f>
        <v>0</v>
      </c>
      <c r="AP355" s="198">
        <f>IF($K355=AP$3,ROUND(IF(OR($C355="W",$C355="1/2W",$C355="1/2L"),$P355-$O355,IF($C355="X",0,-$O355)),2),0)</f>
        <v>0</v>
      </c>
      <c r="AQ355" s="198">
        <f>IF($K355=AQ$3,ROUND(IF(OR($C355="W",$C355="1/2W",$C355="1/2L"),$P355-$O355,IF($C355="X",0,-$O355)),2),0)</f>
        <v>0</v>
      </c>
      <c r="AR355" s="199">
        <f>IF($K355=AR$3,ROUND(IF(OR($C355="W",$C355="1/2W",$C355="1/2L"),$P355-$O355,IF($C355="X",0,-$O355)),2),0)</f>
        <v>0</v>
      </c>
      <c r="AS355" s="197">
        <f>IF(AND($B355=" ",$K355=AS$3),$O355,0)</f>
        <v>0</v>
      </c>
      <c r="AT355" s="198">
        <f>IF(AND($B355=" ",$K355=AT$3),$O355,0)</f>
        <v>0</v>
      </c>
      <c r="AU355" s="198">
        <f>IF(AND($B355=" ",$K355=AU$3),$O355,0)</f>
        <v>0</v>
      </c>
      <c r="AV355" s="198">
        <f>IF(AND($B355=" ",$K355=AV$3),$O355,0)</f>
        <v>0</v>
      </c>
      <c r="AW355" s="198">
        <f>IF(AND($B355=" ",$K355=AW$3),$O355,0)</f>
        <v>0</v>
      </c>
      <c r="AX355" s="198">
        <f>IF(AND($B355=" ",$K355=AX$3),$O355,0)</f>
        <v>0</v>
      </c>
      <c r="AY355" s="200">
        <f>IF(AND($B355=" ",$K355=AY$3),$O355,0)</f>
        <v>0</v>
      </c>
      <c r="AZ355" s="201">
        <f>IF(AND($B355=" ",$K355=AZ$3),$O355,0)</f>
        <v>0</v>
      </c>
      <c r="BA355" s="201">
        <f>IF(AND($B355=" ",$K355=BA$3),$O355,0)</f>
        <v>0</v>
      </c>
      <c r="BB355" s="201">
        <f>IF(AND($B355=" ",$K355=BB$3),$O355,0)</f>
        <v>0</v>
      </c>
      <c r="BC355" s="202">
        <f>IF(AND($B355=" ",$K355=BC$3),$O355,0)</f>
        <v>0</v>
      </c>
      <c r="BD355" s="198">
        <f>IF(AND($B355=" ",$K355=BD$3),$O355,0)</f>
        <v>0</v>
      </c>
      <c r="BE355" s="199">
        <f>IF(AND($B355=" ",$K355=BE$3),$O355,0)</f>
        <v>0</v>
      </c>
      <c r="BF355" s="203">
        <f>IF($K355=BF$3,IF($C355="X",0,$O355),0)</f>
        <v>0</v>
      </c>
      <c r="BG355" s="198">
        <f>IF($K355=BG$3,IF($C355="X",0,$O355),0)</f>
        <v>0</v>
      </c>
      <c r="BH355" s="198">
        <f>IF($K355=BH$3,IF($C355="X",0,$O355),0)</f>
        <v>0</v>
      </c>
      <c r="BI355" s="198">
        <f>IF($K355=BI$3,IF($C355="X",0,$O355),0)</f>
        <v>0</v>
      </c>
      <c r="BJ355" s="198">
        <f>IF($K355=BJ$3,IF($C355="X",0,$O355),0)</f>
        <v>9.220000000000001</v>
      </c>
      <c r="BK355" s="198">
        <f>IF($K355=BK$3,IF($C355="X",0,$O355),0)</f>
        <v>0</v>
      </c>
      <c r="BL355" s="198">
        <f>IF($K355=BL$3,IF($C355="X",0,$O355),0)</f>
        <v>0</v>
      </c>
      <c r="BM355" s="200">
        <f>IF($K355=BM$3,IF($C355="X",0,$O355),0)</f>
        <v>0</v>
      </c>
      <c r="BN355" s="201">
        <f>IF($K355=BN$3,IF($C355="X",0,$O355),0)</f>
        <v>0</v>
      </c>
      <c r="BO355" s="201">
        <f>IF($K355=BO$3,IF($C355="X",0,$O355),0)</f>
        <v>0</v>
      </c>
      <c r="BP355" s="201">
        <f>IF($K355=BP$3,IF($C355="X",0,$O355),0)</f>
        <v>0</v>
      </c>
      <c r="BQ355" s="202">
        <f>IF($K355=BQ$3,IF($C355="X",0,$O355),0)</f>
        <v>0</v>
      </c>
      <c r="BR355" s="199">
        <f>IF($K355=BR$3,IF($C355="X",0,$O355),0)</f>
        <v>0</v>
      </c>
      <c r="BS355" s="204">
        <f>IF($B355="LOSS",IF(AND($K355=BS$3,$C355="L"),-$O355,0)+IF(AND($K356=BS$3,$C356="L"),-$O356,0)+IF(AND($K357=BS$3,$C357="L"),-$O357,0),IF(OR(AND($K355=BS$3,OR($C355="W",$C355="1/2W")),AND($K356=BS$3,OR($C356="W",$C356="1/2W")),AND($K357=BS$3,OR($C357="W",$C357="1/2W"))),$S355,0))</f>
        <v>0</v>
      </c>
      <c r="BT355" s="201">
        <f>IF($B355="LOSS",IF(AND($K355=BT$3,$C355="L"),-$O355,0)+IF(AND($K356=BT$3,$C356="L"),-$O356,0)+IF(AND($K356=BT$3,$C357="L"),-$O357,0),IF(OR(AND($K356=BT$3,OR($C355="W",$C355="1/2W")),AND($K356=BT$3,OR($C356="W",$C356="1/2W")),AND($K356=BT$3,OR($C357="W",$C357="1/2W"))),$S355,0))</f>
        <v>0</v>
      </c>
      <c r="BU355" s="201">
        <f>IF($B355="LOSS",IF(AND($K355=BU$3,$C355="L"),-$O355,0)+IF(AND($K356=BU$3,$C356="L"),-$O356,0)+IF(AND($K356=BU$3,$C357="L"),-$O357,0),IF(OR(AND($K356=BU$3,OR($C355="W",$C355="1/2W")),AND($K356=BU$3,OR($C356="W",$C356="1/2W")),AND($K356=BU$3,OR($C357="W",$C357="1/2W"))),$S355,0))</f>
        <v>0</v>
      </c>
      <c r="BV355" s="201">
        <f>IF($B355="LOSS",IF(AND($K355=BV$3,$C355="L"),-$O355,0)+IF(AND($K356=BV$3,$C356="L"),-$O356,0)+IF(AND($K357=BV$3,$C357="L"),-$O357,0),IF(OR(AND($K355=BV$3,OR($C355="W",$C355="1/2W")),AND($K356=BV$3,OR($C356="W",$C356="1/2W")),AND($K357=BV$3,OR($C357="W",$C357="1/2W"))),$S355,0))</f>
        <v>0</v>
      </c>
      <c r="BW355" s="201">
        <f>IF($B355="LOSS",IF(AND($K355=BW$3,$C355="L"),-$O355,0)+IF(AND($K356=BW$3,$C356="L"),-$O356,0)+IF(AND($K357=BW$3,$C357="L"),-$O357,0),IF(OR(AND($K355=BW$3,OR($C355="W",$C355="1/2W")),AND($K356=BW$3,OR($C356="W",$C356="1/2W")),AND($K357=BW$3,OR($C357="W",$C357="1/2W"))),$S355,0))</f>
        <v>1.02</v>
      </c>
      <c r="BX355" s="201">
        <f>IF($B355="LOSS",IF(AND($K355=BX$3,$C355="L"),-$O355,0)+IF(AND($K356=BX$3,$C356="L"),-$O356,0)+IF(AND($K357=BX$3,$C357="L"),-$O357,0),IF(OR(AND($K355=BX$3,OR($C355="W",$C355="1/2W")),AND($K356=BX$3,OR($C356="W",$C356="1/2W")),AND($K357=BX$3,OR($C357="W",$C357="1/2W"))),$S355,0))</f>
        <v>0</v>
      </c>
      <c r="BY355" s="201">
        <f>IF($B355="LOSS",IF(AND($K355=BY$3,$C355="L"),-$O355,0)+IF(AND($K356=BY$3,$C356="L"),-$O356,0)+IF(AND($K357=BY$3,$C357="L"),-$O357,0),IF(OR(AND($K355=BY$3,OR($C355="W",$C355="1/2W")),AND($K356=BY$3,OR($C356="W",$C356="1/2W")),AND($K357=BY$3,OR($C357="W",$C357="1/2W"))),$S355,0))</f>
        <v>0</v>
      </c>
      <c r="BZ355" s="205">
        <f>IF($B355="LOSS",IF(AND($K355=BZ$3,$C355="L"),-$O355,0)+IF(AND($K356=BZ$3,$C356="L"),-$O356,0)+IF(AND($K357=BZ$3,$C357="L"),-$O357,0),IF(OR(AND($K355=BZ$3,OR($C355="W",$C355="1/2W")),AND($K356=BZ$3,OR($C356="W",$C356="1/2W")),AND($K357=BZ$3,OR($C357="W",$C357="1/2W"))),$S355,0))</f>
        <v>0</v>
      </c>
      <c r="CA355" s="205">
        <f>IF($B355="LOSS",IF(AND($K355=CA$3,$C355="L"),-$O355,0)+IF(AND($K356=CA$3,$C356="L"),-$O356,0)+IF(AND($K357=CA$3,$C357="L"),-$O357,0),IF(OR(AND($K355=CA$3,OR($C355="W",$C355="1/2W")),AND($K356=CA$3,OR($C356="W",$C356="1/2W")),AND($K357=CA$3,OR($C357="W",$C357="1/2W"))),$S355,0))</f>
        <v>0</v>
      </c>
      <c r="CB355" s="205">
        <f>IF($B355="LOSS",IF(AND($K355=CB$3,$C355="L"),-$O355,0)+IF(AND($K356=CB$3,$C356="L"),-$O356,0)+IF(AND($K357=CB$3,$C357="L"),-$O357,0),IF(OR(AND($K355=CB$3,OR($C355="W",$C355="1/2W")),AND($K356=CB$3,OR($C356="W",$C356="1/2W")),AND($K357=CB$3,OR($C357="W",$C357="1/2W"))),$S355,0))</f>
        <v>0</v>
      </c>
      <c r="CC355" s="205">
        <f>IF($B355="LOSS",IF(AND($K355=CC$3,$C355="L"),-$O355,0)+IF(AND($K356=CC$3,$C356="L"),-$O356,0)+IF(AND($K357=CC$3,$C357="L"),-$O357,0),IF(OR(AND($K355=CC$3,OR($C355="W",$C355="1/2W")),AND($K356=CC$3,OR($C356="W",$C356="1/2W")),AND($K357=CC$3,OR($C357="W",$C357="1/2W"))),$S355,0))</f>
        <v>0</v>
      </c>
      <c r="CD355" s="202">
        <f>IF($B355="LOSS",IF(AND($K355=CD$3,$C355="L"),-$O355,0)+IF(AND($K356=CD$3,$C356="L"),-$O356,0)+IF(AND($K357=CD$3,$C357="L"),-$O357,0),IF(OR(AND($K355=CD$3,OR($C355="W",$C355="1/2W")),AND($K356=CD$3,OR($C356="W",$C356="1/2W")),AND($K357=CD$3,OR($C357="W",$C357="1/2W"))),$S355,0))</f>
        <v>0</v>
      </c>
      <c r="CE355" s="199">
        <f>IF($B355="LOSS",IF(AND($K355=CE$3,$C355="L"),-$O355,0)+IF(AND($K356=CE$3,$C356="L"),-$O356,0)+IF(AND($K357=CE$3,$C357="L"),-$O357,0),IF(OR(AND($K355=CE$3,OR($C355="W",$C355="1/2W")),AND($K356=CE$3,OR($C356="W",$C356="1/2W")),AND($K357=CE$3,OR($C357="W",$C357="1/2W"))),$S355,0))</f>
        <v>0</v>
      </c>
      <c r="CF355" s="206">
        <f>IF(CF$3=$K355,IF($C355="W",1,IF($C355="1/2W",0.5,0)),0)</f>
        <v>0</v>
      </c>
      <c r="CG355" s="207">
        <f>IF(CF$3=$K355,IF($C355="L",1,IF($C355="1/2L",0.5,0)),0)</f>
        <v>0</v>
      </c>
      <c r="CH355" s="207">
        <f>IF(CH$3=$K355,IF($C355="W",1,IF($C355="1/2W",0.5,0)),0)</f>
        <v>0</v>
      </c>
      <c r="CI355" s="207">
        <f>IF(CH$3=$K355,IF($C355="L",1,IF($C355="1/2L",0.5,0)),0)</f>
        <v>0</v>
      </c>
      <c r="CJ355" s="207">
        <f>IF(CJ$3=$K355,IF($C355="W",1,IF($C355="1/2W",0.5,0)),0)</f>
        <v>0</v>
      </c>
      <c r="CK355" s="207">
        <f>IF(CJ$3=$K355,IF($C355="L",1,IF($C355="1/2L",0.5,0)),0)</f>
        <v>0</v>
      </c>
      <c r="CL355" s="207">
        <f>IF(CL$3=$K355,IF($C355="W",1,IF($C355="1/2W",0.5,0)),0)</f>
        <v>0</v>
      </c>
      <c r="CM355" s="207">
        <f>IF(CL$3=$K355,IF($C355="L",1,IF($C355="1/2L",0.5,0)),0)</f>
        <v>0</v>
      </c>
      <c r="CN355" s="207">
        <f>IF(CN$3=$K355,IF($C355="W",1,IF($C355="1/2W",0.5,0)),0)</f>
        <v>1</v>
      </c>
      <c r="CO355" s="207">
        <f>IF(CN$3=$K355,IF($C355="L",1,IF($C355="1/2L",0.5,0)),0)</f>
        <v>0</v>
      </c>
      <c r="CP355" s="207">
        <f>IF(CP$3=$K355,IF($C355="W",1,IF($C355="1/2W",0.5,0)),0)</f>
        <v>0</v>
      </c>
      <c r="CQ355" s="207">
        <f>IF(CP$3=$K355,IF($C355="L",1,IF($C355="1/2L",0.5,0)),0)</f>
        <v>0</v>
      </c>
      <c r="CR355" s="207">
        <f>IF(CR$3=$K355,IF($C355="W",1,IF($C355="1/2W",0.5,0)),0)</f>
        <v>0</v>
      </c>
      <c r="CS355" s="207">
        <f>IF(CR$3=$K355,IF($C355="L",1,IF($C355="1/2L",0.5,0)),0)</f>
        <v>0</v>
      </c>
      <c r="CT355" s="208">
        <f>IF(CT$3=$K355,IF($C355="W",1,IF($C355="1/2W",0.5,0)),0)</f>
        <v>0</v>
      </c>
      <c r="CU355" s="209">
        <f>IF(CT$3=$K355,IF($C355="L",1,IF($C355="1/2L",0.5,0)),0)</f>
        <v>0</v>
      </c>
      <c r="CV355" s="209">
        <f>IF(CV$3=$K355,IF($C355="W",1,IF($C355="1/2W",0.5,0)),0)</f>
        <v>0</v>
      </c>
      <c r="CW355" s="209">
        <f>IF(CV$3=$K355,IF($C355="L",1,IF($C355="1/2L",0.5,0)),0)</f>
        <v>0</v>
      </c>
      <c r="CX355" s="209">
        <f>IF(CX$3=$K355,IF($C355="W",1,IF($C355="1/2W",0.5,0)),0)</f>
        <v>0</v>
      </c>
      <c r="CY355" s="209">
        <f>IF(CX$3=$K355,IF($C355="L",1,IF($C355="1/2L",0.5,0)),0)</f>
        <v>0</v>
      </c>
      <c r="CZ355" s="209">
        <f>IF(CZ$3=$K355,IF($C355="W",1,IF($C355="1/2W",0.5,0)),0)</f>
        <v>0</v>
      </c>
      <c r="DA355" s="209">
        <f>IF(CZ$3=$K355,IF($C355="L",1,IF($C355="1/2L",0.5,0)),0)</f>
        <v>0</v>
      </c>
      <c r="DB355" s="209">
        <f>IF(DB$3=$K355,IF($C355="W",1,IF($C355="1/2W",0.5,0)),0)</f>
        <v>0</v>
      </c>
      <c r="DC355" s="209">
        <f>IF(DB$3=$K355,IF($C355="L",1,IF($C355="1/2L",0.5,0)),0)</f>
        <v>0</v>
      </c>
      <c r="DD355" s="209">
        <f>IF(DD$3=$K355,IF($C355="W",1,IF($C355="1/2W",0.5,0)),0)</f>
        <v>0</v>
      </c>
      <c r="DE355" s="210">
        <f>IF(DD$3=$K355,IF($C355="L",1,IF($C355="1/2L",0.5,0)),0)</f>
        <v>0</v>
      </c>
      <c r="DF355" s="211">
        <f>IF(AND(L355&lt;DF$3,$C355="W"),1+DF354,DF354)</f>
        <v>12</v>
      </c>
      <c r="DG355" s="198">
        <f>IF(DF355&gt;DF354,L355+DG354,DG354)</f>
        <v>15.718</v>
      </c>
      <c r="DH355" s="209">
        <f>IF(AND(L355&gt;DH$3,$C355="W"),1+DH354,0+DH354)</f>
        <v>8</v>
      </c>
      <c r="DI355" s="198">
        <f>IF(DH355&gt;DH354,L355+DI354,DI354)</f>
        <v>45.33</v>
      </c>
      <c r="DJ355" t="s" s="306">
        <f>IF($D355="","",$D355)</f>
        <v>298</v>
      </c>
      <c r="DK355" s="209">
        <f>IF(AND($B355=" ",$D355&lt;&gt;""),1,0)</f>
        <v>0</v>
      </c>
    </row>
    <row r="356" ht="14.55" customHeight="1">
      <c r="A356" s="107"/>
      <c r="B356" s="108"/>
      <c r="C356" t="s" s="213">
        <v>51</v>
      </c>
      <c r="D356" s="110"/>
      <c r="E356" s="111"/>
      <c r="F356" s="113"/>
      <c r="G356" s="214"/>
      <c r="H356" s="114"/>
      <c r="I356" t="s" s="215">
        <v>57</v>
      </c>
      <c r="J356" s="296">
        <f>IF(OR(I355="TO",I355="TU",I355="TO1",I355="TU1",I355="TO2",I355="TU2"),J355,IF(OR(I355="AH1",I355="AH2"),IF(OR(I356="AH1",I356="AH2"),-J355,IF(OR(I356="EH1",I356="EH2"),-J355+0.5,"")),IF(OR(I355="EH1",I355="EH2"),IF(OR(I356="AH1",I356="AH2"),-J355+0.5,IF(OR(I356="EH1",I356="EH2"),-J355+1,"")),IF(AND(OR(I355="DNB1",I355="DNB2"),OR(I356="AH1",I356="AH2")),0,IF(AND(I355="Not ScoreBoth",OR(I356="TO1",I356="TO2")),0.5,"")))))</f>
        <v>-0.5</v>
      </c>
      <c r="K356" t="s" s="217">
        <v>37</v>
      </c>
      <c r="L356" s="218">
        <v>2</v>
      </c>
      <c r="M356" s="219"/>
      <c r="N356" s="120"/>
      <c r="O356" s="220">
        <f>IF(OR(AE355="",AE356=""),"",ROUND(IF(L357&gt;0,IF(M356&gt;0,M356,IF(M355&gt;0,IF(N355=TRUE,ROUND((M355*AE356)/AE355,0),(M355*AE356)/AE355),IF(M356&gt;0,ROUND(M356,IF(N355=0,2,IF(N355=0.1,1,0))),IF(M357&gt;0,ROUND(O357*AE356/AE357,IF(N355=0,2,IF(N355=0.1,1,0))),0)))),IF(M356&gt;0,M356,ROUND((M355*AE356)/AE355,IF(N355=0,2,IF(N355=0.1,1,0))))),2))</f>
        <v>10.23</v>
      </c>
      <c r="P356" s="221">
        <f>IF(OR(L356="",O356=""),"",IF($C356="1/2W",O356/2+O356/2*L356,IF($C356="1/2L",O356/2,IF(I356="Lay",((O356*(L356/(L356-1)))-O356)*(1-_xlfn.XLOOKUP(K356,'Janeiro 2023 - Valor Real'!A3:A15,'Janeiro 2023 - Valor Real'!C3:C15,0))+O356,(O356*L356-O356)*(1-_xlfn.XLOOKUP(K356,'Janeiro 2023 - Valor Real'!A3:A15,'Janeiro 2023 - Valor Real'!C3:C15,0))+O356))))</f>
        <v>20.46</v>
      </c>
      <c r="Q356" s="222">
        <f>IF(K356="","",IF(_xlfn.XLOOKUP(K356,K$123:K129,DJ$123:DJ129,0,,-1)=DJ356,_xlfn.XLOOKUP(K356,K$123:K129,Q$123:Q129,1,,-1)+1,1))</f>
        <v>1</v>
      </c>
      <c r="R356" s="223">
        <f>IF(K356="","",_xlfn.XLOOKUP(K356,K$123:K129,R$123:R129,0,,-1)+IF($C356=" ",1,0))</f>
        <v>0</v>
      </c>
      <c r="S356" s="125"/>
      <c r="T356" s="126"/>
      <c r="U356" s="126"/>
      <c r="V356" s="224"/>
      <c r="W356" s="126"/>
      <c r="X356" s="127"/>
      <c r="Y356" s="128"/>
      <c r="Z356" s="129"/>
      <c r="AA356" s="129"/>
      <c r="AB356" s="129"/>
      <c r="AC356" s="129"/>
      <c r="AD356" s="225">
        <f>(((L356/(L356-1)-1)*(1-_xlfn.XLOOKUP(K356,'Janeiro 2023 - Valor Real'!A3:A15,'Janeiro 2023 - Valor Real'!C3:C15,0))+1))</f>
        <v>2</v>
      </c>
      <c r="AE356" s="226">
        <f>IF(L356="","",IF(L357&gt;0,(SUM(((L355-1)*(1-_xlfn.XLOOKUP(K355,'Janeiro 2023 - Valor Real'!A3:A15,'Janeiro 2023 - Valor Real'!C3:C15,0))+1),((L356-1)*(1-_xlfn.XLOOKUP(K356,'Janeiro 2023 - Valor Real'!A3:A15,'Janeiro 2023 - Valor Real'!C3:C15,0))+1),((L357-1)*(1-_xlfn.XLOOKUP(K357,'Janeiro 2023 - Valor Real'!A3:A15,'Janeiro 2023 - Valor Real'!C3:C15,0))+1))/((L356-1)*(1-_xlfn.XLOOKUP(K356,'Janeiro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Real'!C3:C15,0))+1))/((L355-1)*(1-_xlfn.XLOOKUP(K355,'Janeiro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Real'!C3:C15,0))+1))/((L356-1)*(1-_xlfn.XLOOKUP(K356,'Janeiro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Real'!C3:C15,0))+1))/((L357-1)*(1-_xlfn.XLOOKUP(K357,'Janeiro 2023 - Valor Real'!A3:A15,'Janeiro 2023 - Valor Real'!C3:C15,0))+1)),IF(I356="Lay",IF(I355="Lay",((L355/(L355-1)-1)*(1-_xlfn.XLOOKUP(K355,'Janeiro 2023 - Valor Real'!A3:A15,'Janeiro 2023 - Valor Real'!C3:C15,0))+1)/(((L355/(L355-1)-1)*(1-_xlfn.XLOOKUP(K355,'Janeiro 2023 - Valor Real'!A3:A15,'Janeiro 2023 - Valor Real'!C3:C15,0))+1)+((L356/(L356-1)-1)*(1-_xlfn.XLOOKUP(K356,'Janeiro 2023 - Valor Real'!A3:A15,'Janeiro 2023 - Valor Real'!C3:C15,0))+1)),((L355-1)*(1-_xlfn.XLOOKUP(K355,'Janeiro 2023 - Valor Real'!A3:A15,'Janeiro 2023 - Valor Real'!C3:C15,0))+1)/(((L355-1)*(1-_xlfn.XLOOKUP(K355,'Janeiro 2023 - Valor Real'!A3:A15,'Janeiro 2023 - Valor Real'!C3:C15,0))+1)+((L356/(L356-1)-1)*(1-_xlfn.XLOOKUP(K356,'Janeiro 2023 - Valor Real'!A3:A15,'Janeiro 2023 - Valor Real'!C3:C15,0))+1))),IF(I355="Lay",((L355/(L355-1)-1)*(1-_xlfn.XLOOKUP(K355,'Janeiro 2023 - Valor Real'!A3:A15,'Janeiro 2023 - Valor Real'!C3:C15,0))+1)/((((L355/(L355-1)-1)*(1-_xlfn.XLOOKUP(K355,'Janeiro 2023 - Valor Real'!A3:A15,'Janeiro 2023 - Valor Real'!C3:C15,0))+1))+((L356-1)*(1-_xlfn.XLOOKUP(K356,'Janeiro 2023 - Valor Real'!A3:A15,'Janeiro 2023 - Valor Real'!C3:C15,0))+1)),((L355-1)*(1-_xlfn.XLOOKUP(K355,'Janeiro 2023 - Valor Real'!A3:A15,'Janeiro 2023 - Valor Real'!C3:C15,0))+1)/(((L355-1)*(1-_xlfn.XLOOKUP(K355,'Janeiro 2023 - Valor Real'!A3:A15,'Janeiro 2023 - Valor Real'!C3:C15,0))+1)+((L356-1)*(1-_xlfn.XLOOKUP(K356,'Janeiro 2023 - Valor Real'!A3:A15,'Janeiro 2023 - Valor Real'!C3:C15,0))+1))))))</f>
        <v>0.5260663507109</v>
      </c>
      <c r="AF356" s="197">
        <f>IF($K356=AF$3,ROUND(IF(OR($C356="W",$C356="1/2W",$C356="1/2L"),$P356-$O356,IF($C356="X",0,-$O356)),2),0)</f>
        <v>-10.23</v>
      </c>
      <c r="AG356" s="198">
        <f>IF($K356=AG$3,ROUND(IF(OR($C356="W",$C356="1/2W",$C356="1/2L"),$P356-$O356,IF($C356="X",0,-$O356)),2),0)</f>
        <v>0</v>
      </c>
      <c r="AH356" s="198">
        <f>IF($K356=AH$3,ROUND(IF(OR($C356="W",$C356="1/2W",$C356="1/2L"),$P356-$O356,IF($C356="X",0,-$O356)),2),0)</f>
        <v>0</v>
      </c>
      <c r="AI356" s="198">
        <f>IF($K356=AI$3,ROUND(IF(OR($C356="W",$C356="1/2W",$C356="1/2L"),$P356-$O356,IF($C356="X",0,-$O356)),2),0)</f>
        <v>0</v>
      </c>
      <c r="AJ356" s="198">
        <f>IF($K356=AJ$3,ROUND(IF(OR($C356="W",$C356="1/2W",$C356="1/2L"),$P356-$O356,IF($C356="X",0,-$O356)),2),0)</f>
        <v>0</v>
      </c>
      <c r="AK356" s="198">
        <f>IF($K356=AK$3,ROUND(IF(OR($C356="W",$C356="1/2W",$C356="1/2L"),$P356-$O356,IF($C356="X",0,-$O356)),2),0)</f>
        <v>0</v>
      </c>
      <c r="AL356" s="198">
        <f>IF($K356=AL$3,ROUND(IF(OR($C356="W",$C356="1/2W",$C356="1/2L"),$P356-$O356,IF($C356="X",0,-$O356)),2),0)</f>
        <v>0</v>
      </c>
      <c r="AM356" s="198">
        <f>IF($K356=AM$3,ROUND(IF(OR($C356="W",$C356="1/2W",$C356="1/2L"),$P356-$O356,IF($C356="X",0,-$O356)),2),0)</f>
        <v>0</v>
      </c>
      <c r="AN356" s="198">
        <f>IF($K356=AN$3,ROUND(IF(OR($C356="W",$C356="1/2W",$C356="1/2L"),$P356-$O356,IF($C356="X",0,-$O356)),2),0)</f>
        <v>0</v>
      </c>
      <c r="AO356" s="198">
        <f>IF($K356=AO$3,ROUND(IF(OR($C356="W",$C356="1/2W",$C356="1/2L"),$P356-$O356,IF($C356="X",0,-$O356)),2),0)</f>
        <v>0</v>
      </c>
      <c r="AP356" s="198">
        <f>IF($K356=AP$3,ROUND(IF(OR($C356="W",$C356="1/2W",$C356="1/2L"),$P356-$O356,IF($C356="X",0,-$O356)),2),0)</f>
        <v>0</v>
      </c>
      <c r="AQ356" s="198">
        <f>IF($K356=AQ$3,ROUND(IF(OR($C356="W",$C356="1/2W",$C356="1/2L"),$P356-$O356,IF($C356="X",0,-$O356)),2),0)</f>
        <v>0</v>
      </c>
      <c r="AR356" s="199">
        <f>IF($K356=AR$3,ROUND(IF(OR($C356="W",$C356="1/2W",$C356="1/2L"),$P356-$O356,IF($C356="X",0,-$O356)),2),0)</f>
        <v>0</v>
      </c>
      <c r="AS356" s="197">
        <f>IF(AND($B355=" ",$K356=AS$3),$O356,0)</f>
        <v>0</v>
      </c>
      <c r="AT356" s="198">
        <f>IF(AND($B355=" ",K356=AT$3),$O356,0)</f>
        <v>0</v>
      </c>
      <c r="AU356" s="198">
        <f>IF(AND($B355=" ",$K356=AU$3),$O356,0)</f>
        <v>0</v>
      </c>
      <c r="AV356" s="198">
        <f>IF(AND($B355=" ",$K356=AV$3),$O356,0)</f>
        <v>0</v>
      </c>
      <c r="AW356" s="198">
        <f>IF(AND($B355=" ",$K356=AW$3),$O356,0)</f>
        <v>0</v>
      </c>
      <c r="AX356" s="198">
        <f>IF(AND($B355=" ",$K356=AX$3),$O356,0)</f>
        <v>0</v>
      </c>
      <c r="AY356" s="200">
        <f>IF(AND($B355=" ",$K356=AY$3),$O356,0)</f>
        <v>0</v>
      </c>
      <c r="AZ356" s="201">
        <f>IF(AND($B355=" ",$K356=AZ$3),$O356,0)</f>
        <v>0</v>
      </c>
      <c r="BA356" s="201">
        <f>IF(AND($B355=" ",$K356=BA$3),$O356,0)</f>
        <v>0</v>
      </c>
      <c r="BB356" s="201">
        <f>IF(AND($B355=" ",$K356=BB$3),$O356,0)</f>
        <v>0</v>
      </c>
      <c r="BC356" s="202">
        <f>IF(AND($B355=" ",$K356=BC$3),$O356,0)</f>
        <v>0</v>
      </c>
      <c r="BD356" s="198">
        <f>IF(AND($B355=" ",$K356=BD$3),$O356,0)</f>
        <v>0</v>
      </c>
      <c r="BE356" s="199">
        <f>IF(AND($B355=" ",$K356=BE$3),$O356,0)</f>
        <v>0</v>
      </c>
      <c r="BF356" s="197">
        <f>IF($K356=BF$3,IF($C356="X",0,$O356),0)</f>
        <v>10.23</v>
      </c>
      <c r="BG356" s="198">
        <f>IF($K356=BG$3,IF($C356="X",0,$O356),0)</f>
        <v>0</v>
      </c>
      <c r="BH356" s="198">
        <f>IF($K356=BH$3,IF($C356="X",0,$O356),0)</f>
        <v>0</v>
      </c>
      <c r="BI356" s="198">
        <f>IF($K356=BI$3,IF($C356="X",0,$O356),0)</f>
        <v>0</v>
      </c>
      <c r="BJ356" s="198">
        <f>IF($K356=BJ$3,IF($C356="X",0,$O356),0)</f>
        <v>0</v>
      </c>
      <c r="BK356" s="198">
        <f>IF($K356=BK$3,IF($C356="X",0,$O356),0)</f>
        <v>0</v>
      </c>
      <c r="BL356" s="198">
        <f>IF($K356=BL$3,IF($C356="X",0,$O356),0)</f>
        <v>0</v>
      </c>
      <c r="BM356" s="227">
        <f>IF($K356=BM$3,IF($C356="X",0,$O356),0)</f>
        <v>0</v>
      </c>
      <c r="BN356" s="205">
        <f>IF($K356=BN$3,IF($C356="X",0,$O356),0)</f>
        <v>0</v>
      </c>
      <c r="BO356" s="205">
        <f>IF($K356=BO$3,IF($C356="X",0,$O356),0)</f>
        <v>0</v>
      </c>
      <c r="BP356" s="205">
        <f>IF($K356=BP$3,IF($C356="X",0,$O356),0)</f>
        <v>0</v>
      </c>
      <c r="BQ356" s="202">
        <f>IF($K356=BQ$3,IF($C356="X",0,$O356),0)</f>
        <v>0</v>
      </c>
      <c r="BR356" s="199">
        <f>IF($K356=BR$3,IF($C356="X",0,$O356),0)</f>
        <v>0</v>
      </c>
      <c r="BS356" s="228"/>
      <c r="BT356" s="229"/>
      <c r="BU356" s="140"/>
      <c r="BV356" s="229"/>
      <c r="BW356" s="140"/>
      <c r="BX356" s="140"/>
      <c r="BY356" s="140"/>
      <c r="BZ356" s="229"/>
      <c r="CA356" s="140"/>
      <c r="CB356" s="140"/>
      <c r="CC356" s="140"/>
      <c r="CD356" s="141"/>
      <c r="CE356" s="142"/>
      <c r="CF356" s="230">
        <f>IF(CF$3=$K356,IF($C356="W",1,IF($C356="1/2W",0.5,0)),0)</f>
        <v>0</v>
      </c>
      <c r="CG356" s="231">
        <f>IF(CF$3=$K356,IF($C356="L",1,IF($C356="1/2L",0.5,0)),0)</f>
        <v>1</v>
      </c>
      <c r="CH356" s="231">
        <f>IF(CH$3=$K356,IF($C356="W",1,IF($C356="1/2W",0.5,0)),0)</f>
        <v>0</v>
      </c>
      <c r="CI356" s="231">
        <f>IF(CH$3=$K356,IF($C356="L",1,IF($C356="1/2L",0.5,0)),0)</f>
        <v>0</v>
      </c>
      <c r="CJ356" s="231">
        <f>IF(CJ$3=$K356,IF($C356="W",1,IF($C356="1/2W",0.5,0)),0)</f>
        <v>0</v>
      </c>
      <c r="CK356" s="231">
        <f>IF(CJ$3=$K356,IF($C356="L",1,IF($C356="1/2L",0.5,0)),0)</f>
        <v>0</v>
      </c>
      <c r="CL356" s="231">
        <f>IF(CL$3=$K356,IF($C356="W",1,IF($C356="1/2W",0.5,0)),0)</f>
        <v>0</v>
      </c>
      <c r="CM356" s="231">
        <f>IF(CL$3=$K356,IF($C356="L",1,IF($C356="1/2L",0.5,0)),0)</f>
        <v>0</v>
      </c>
      <c r="CN356" s="231">
        <f>IF(CN$3=$K356,IF($C356="W",1,IF($C356="1/2W",0.5,0)),0)</f>
        <v>0</v>
      </c>
      <c r="CO356" s="231">
        <f>IF(CN$3=$K356,IF($C356="L",1,IF($C356="1/2L",0.5,0)),0)</f>
        <v>0</v>
      </c>
      <c r="CP356" s="231">
        <f>IF(CP$3=$K356,IF($C356="W",1,IF($C356="1/2W",0.5,0)),0)</f>
        <v>0</v>
      </c>
      <c r="CQ356" s="231">
        <f>IF(CP$3=$K356,IF($C356="L",1,IF($C356="1/2L",0.5,0)),0)</f>
        <v>0</v>
      </c>
      <c r="CR356" s="231">
        <f>IF(CR$3=$K356,IF($C356="W",1,IF($C356="1/2W",0.5,0)),0)</f>
        <v>0</v>
      </c>
      <c r="CS356" s="231">
        <f>IF(CR$3=$K356,IF($C356="L",1,IF($C356="1/2L",0.5,0)),0)</f>
        <v>0</v>
      </c>
      <c r="CT356" s="208">
        <f>IF(CT$3=$K356,IF($C356="W",1,IF($C356="1/2W",0.5,0)),0)</f>
        <v>0</v>
      </c>
      <c r="CU356" s="209">
        <f>IF(CT$3=$K356,IF($C356="L",1,IF($C356="1/2L",0.5,0)),0)</f>
        <v>0</v>
      </c>
      <c r="CV356" s="209">
        <f>IF(CV$3=$K356,IF($C356="W",1,IF($C356="1/2W",0.5,0)),0)</f>
        <v>0</v>
      </c>
      <c r="CW356" s="209">
        <f>IF(CV$3=$K356,IF($C356="L",1,IF($C356="1/2L",0.5,0)),0)</f>
        <v>0</v>
      </c>
      <c r="CX356" s="209">
        <f>IF(CX$3=$K356,IF($C356="W",1,IF($C356="1/2W",0.5,0)),0)</f>
        <v>0</v>
      </c>
      <c r="CY356" s="209">
        <f>IF(CX$3=$K356,IF($C356="L",1,IF($C356="1/2L",0.5,0)),0)</f>
        <v>0</v>
      </c>
      <c r="CZ356" s="209">
        <f>IF(CZ$3=$K356,IF($C356="W",1,IF($C356="1/2W",0.5,0)),0)</f>
        <v>0</v>
      </c>
      <c r="DA356" s="209">
        <f>IF(CZ$3=$K356,IF($C356="L",1,IF($C356="1/2L",0.5,0)),0)</f>
        <v>0</v>
      </c>
      <c r="DB356" s="209">
        <f>IF(DB$3=$K356,IF($C356="W",1,IF($C356="1/2W",0.5,0)),0)</f>
        <v>0</v>
      </c>
      <c r="DC356" s="209">
        <f>IF(DB$3=$K356,IF($C356="L",1,IF($C356="1/2L",0.5,0)),0)</f>
        <v>0</v>
      </c>
      <c r="DD356" s="209">
        <f>IF(DD$3=$K356,IF($C356="W",1,IF($C356="1/2W",0.5,0)),0)</f>
        <v>0</v>
      </c>
      <c r="DE356" s="210">
        <f>IF(DD$3=$K356,IF($C356="L",1,IF($C356="1/2L",0.5,0)),0)</f>
        <v>0</v>
      </c>
      <c r="DF356" s="211">
        <f>IF(AND(L356&lt;DF$3,$C356="W"),1+DF355,DF355)</f>
        <v>12</v>
      </c>
      <c r="DG356" s="198">
        <f>IF(DF356&gt;DF355,L356+DG355,DG355)</f>
        <v>15.718</v>
      </c>
      <c r="DH356" s="209">
        <f>IF(AND(L356&gt;DH$3,$C356="W"),1+DH355,0+DH355)</f>
        <v>8</v>
      </c>
      <c r="DI356" s="198">
        <f>IF(DH356&gt;DH355,L356+DI355,DI355)</f>
        <v>45.33</v>
      </c>
      <c r="DJ356" t="s" s="306">
        <f>IF($D355="","",$D355)</f>
        <v>298</v>
      </c>
      <c r="DK356" s="232"/>
    </row>
    <row r="357" ht="14.55" customHeight="1">
      <c r="A357" s="149"/>
      <c r="B357" s="150"/>
      <c r="C357" t="s" s="233">
        <v>58</v>
      </c>
      <c r="D357" s="152"/>
      <c r="E357" s="153"/>
      <c r="F357" s="155"/>
      <c r="G357" s="234"/>
      <c r="H357" s="156"/>
      <c r="I357" s="235"/>
      <c r="J357" s="236"/>
      <c r="K357" s="237"/>
      <c r="L357" s="238"/>
      <c r="M357" s="239"/>
      <c r="N357" s="161"/>
      <c r="O357" t="s" s="240">
        <f>IF(OR(AE355="",AE356=""),"",IF(L357&gt;0,ROUND(IF(M357&gt;0,M357,IF(M355&gt;0,ROUND((M355*AE357)/AE355,IF(N355=0,2,IF(N355=0.1,1,0))),IF(M356&gt;0,ROUND((M356*AE357)/AE356,IF(N355=0,2,IF(N355=0.1,1,0))),IF(M357&gt;0,M357,0)))),2),""))</f>
      </c>
      <c r="P357" t="s" s="241">
        <f>IF(I356="Lay",O356*(L356/(L356-1))-O356,IF(I355="Lay",O355*(L355/(L355-1))-O355,IF(OR(L357="",O357=""),"",IF($C357="1/2W",O357/2+O357/2*L357,IF($C357="1/2L",O357/2,(O357*L357-O357)*(1-_xlfn.XLOOKUP(K357,'Janeiro 2023 - Valor Real'!A3:A15,'Janeiro 2023 - Valor Real'!C3:C15,0))+O357)))))</f>
      </c>
      <c r="Q357" t="s" s="242">
        <f>IF(K357="","",IF(_xlfn.XLOOKUP(K357,K$124:K130,DJ$124:DJ130,0,,-1)=DJ357,_xlfn.XLOOKUP(K357,K$124:K130,Q$124:Q130,1,,-1)+1,1))</f>
      </c>
      <c r="R357" t="s" s="243">
        <f>IF(K357="","",_xlfn.XLOOKUP(K357,K$124:K130,R$124:R130,0,,-1)+IF($C357=" ",1,0))</f>
      </c>
      <c r="S357" s="166"/>
      <c r="T357" s="155"/>
      <c r="U357" s="155"/>
      <c r="V357" s="166"/>
      <c r="W357" s="155"/>
      <c r="X357" s="167"/>
      <c r="Y357" s="128"/>
      <c r="Z357" s="129"/>
      <c r="AA357" s="129"/>
      <c r="AB357" s="129"/>
      <c r="AC357" s="129"/>
      <c r="AD357" s="244">
        <f>((L356/(L356-1)-1))</f>
        <v>1</v>
      </c>
      <c r="AE357" t="s" s="245">
        <f>IF(L357="","",(SUM(((L355-1)*(1-_xlfn.XLOOKUP(K355,'Janeiro 2023 - Valor Real'!A3:A15,'Janeiro 2023 - Valor Real'!C3:C15,0))+1),((L356-1)*(1-_xlfn.XLOOKUP(K356,'Janeiro 2023 - Valor Real'!A3:A15,'Janeiro 2023 - Valor Real'!C3:C15,0))+1),((L357-1)*(1-_xlfn.XLOOKUP(K357,'Janeiro 2023 - Valor Real'!A3:A15,'Janeiro 2023 - Valor Real'!C3:C15,0))+1))/((L357-1)*(1-_xlfn.XLOOKUP(K357,'Janeiro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Real'!C3:C15,0))+1))/((L355-1)*(1-_xlfn.XLOOKUP(K355,'Janeiro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Real'!C3:C15,0))+1))/((L356-1)*(1-_xlfn.XLOOKUP(K356,'Janeiro 2023 - Valor Real'!A3:A15,'Janeiro 2023 - Valor Real'!C3:C15,0))+1)+SUM(((L355-1)*(1-_xlfn.XLOOKUP(K355,'Janeiro 2023 - Valor Real'!A3:A15,'Janeiro 2023 - Valor Real'!C3:C15,0))+1),((L356-1)*(1-_xlfn.XLOOKUP(K356,'Janeiro 2023 - Valor Real'!A3:A15,'Janeiro 2023 - Valor Real'!C3:C15,0))+1),((L357-1)*(1-_xlfn.XLOOKUP(K357,'Janeiro 2023 - Valor Real'!A3:A15,'Janeiro 2023 - Valor Real'!C3:C15,0))+1))/((L357-1)*(1-_xlfn.XLOOKUP(K357,'Janeiro 2023 - Valor Real'!A3:A15,'Janeiro 2023 - Valor Real'!C3:C15,0))+1)))</f>
      </c>
      <c r="AF357" s="197">
        <f>IF($K357=AF$3,ROUND(IF(OR($C357="W",$C357="1/2W",$C357="1/2L"),$P357-$O357,IF($C357="X",0,-$O357)),2),0)</f>
        <v>0</v>
      </c>
      <c r="AG357" s="198">
        <f>IF($K357=AG$3,ROUND(IF(OR($C357="W",$C357="1/2W",$C357="1/2L"),$P357-$O357,IF($C357="X",0,-$O357)),2),0)</f>
        <v>0</v>
      </c>
      <c r="AH357" s="198">
        <f>IF($K357=AH$3,ROUND(IF(OR($C357="W",$C357="1/2W",$C357="1/2L"),$P357-$O357,IF($C357="X",0,-$O357)),2),0)</f>
        <v>0</v>
      </c>
      <c r="AI357" s="198">
        <f>IF($K357=AI$3,ROUND(IF(OR($C357="W",$C357="1/2W",$C357="1/2L"),$P357-$O357,IF($C357="X",0,-$O357)),2),0)</f>
        <v>0</v>
      </c>
      <c r="AJ357" s="198">
        <f>IF($K357=AJ$3,ROUND(IF(OR($C357="W",$C357="1/2W",$C357="1/2L"),$P357-$O357,IF($C357="X",0,-$O357)),2),0)</f>
        <v>0</v>
      </c>
      <c r="AK357" s="198">
        <f>IF($K357=AK$3,ROUND(IF(OR($C357="W",$C357="1/2W",$C357="1/2L"),$P357-$O357,IF($C357="X",0,-$O357)),2),0)</f>
        <v>0</v>
      </c>
      <c r="AL357" s="198">
        <f>IF($K357=AL$3,ROUND(IF(OR($C357="W",$C357="1/2W",$C357="1/2L"),$P357-$O357,IF($C357="X",0,-$O357)),2),0)</f>
        <v>0</v>
      </c>
      <c r="AM357" s="198">
        <f>IF($K357=AM$3,ROUND(IF(OR($C357="W",$C357="1/2W",$C357="1/2L"),$P357-$O357,IF($C357="X",0,-$O357)),2),0)</f>
        <v>0</v>
      </c>
      <c r="AN357" s="198">
        <f>IF($K357=AN$3,ROUND(IF(OR($C357="W",$C357="1/2W",$C357="1/2L"),$P357-$O357,IF($C357="X",0,-$O357)),2),0)</f>
        <v>0</v>
      </c>
      <c r="AO357" s="198">
        <f>IF($K357=AO$3,ROUND(IF(OR($C357="W",$C357="1/2W",$C357="1/2L"),$P357-$O357,IF($C357="X",0,-$O357)),2),0)</f>
        <v>0</v>
      </c>
      <c r="AP357" s="198">
        <f>IF($K357=AP$3,ROUND(IF(OR($C357="W",$C357="1/2W",$C357="1/2L"),$P357-$O357,IF($C357="X",0,-$O357)),2),0)</f>
        <v>0</v>
      </c>
      <c r="AQ357" s="198">
        <f>IF($K357=AQ$3,ROUND(IF(OR($C357="W",$C357="1/2W",$C357="1/2L"),$P357-$O357,IF($C357="X",0,-$O357)),2),0)</f>
        <v>0</v>
      </c>
      <c r="AR357" s="199">
        <f>IF($K357=AR$3,ROUND(IF(OR($C357="W",$C357="1/2W",$C357="1/2L"),$P357-$O357,IF($C357="X",0,-$O357)),2),0)</f>
        <v>0</v>
      </c>
      <c r="AS357" s="197">
        <f>IF(AND($B355=" ",$K357=AS$3),$O357,0)</f>
        <v>0</v>
      </c>
      <c r="AT357" s="198">
        <f>IF(AND($B355=" ",K357=AT$3),$O357,0)</f>
        <v>0</v>
      </c>
      <c r="AU357" s="198">
        <f>IF(AND($B355=" ",$K357=AU$3),$O357,0)</f>
        <v>0</v>
      </c>
      <c r="AV357" s="198">
        <f>IF(AND($B355=" ",$K357=AV$3),$O357,0)</f>
        <v>0</v>
      </c>
      <c r="AW357" s="198">
        <f>IF(AND($B355=" ",$K357=AW$3),$O357,0)</f>
        <v>0</v>
      </c>
      <c r="AX357" s="198">
        <f>IF(AND($B355=" ",$K357=AX$3),$O357,0)</f>
        <v>0</v>
      </c>
      <c r="AY357" s="200">
        <f>IF(AND($B355=" ",$K357=AY$3),$O357,0)</f>
        <v>0</v>
      </c>
      <c r="AZ357" s="201">
        <f>IF(AND($B355=" ",$K357=AZ$3),$O357,0)</f>
        <v>0</v>
      </c>
      <c r="BA357" s="201">
        <f>IF(AND($B355=" ",$K357=BA$3),$O357,0)</f>
        <v>0</v>
      </c>
      <c r="BB357" s="201">
        <f>IF(AND($B355=" ",$K357=BB$3),$O357,0)</f>
        <v>0</v>
      </c>
      <c r="BC357" s="202">
        <f>IF(AND($B355=" ",$K357=BC$3),$O357,0)</f>
        <v>0</v>
      </c>
      <c r="BD357" s="198">
        <f>IF(AND($B355=" ",$K357=BD$3),$O357,0)</f>
        <v>0</v>
      </c>
      <c r="BE357" s="199">
        <f>IF(AND($B355=" ",$K357=BE$3),$O357,0)</f>
        <v>0</v>
      </c>
      <c r="BF357" s="197">
        <f>IF($K357=BF$3,IF($C357="X",0,$O357),0)</f>
        <v>0</v>
      </c>
      <c r="BG357" s="198">
        <f>IF($K357=BG$3,IF($C357="X",0,$O357),0)</f>
        <v>0</v>
      </c>
      <c r="BH357" s="198">
        <f>IF($K357=BH$3,IF($C357="X",0,$O357),0)</f>
        <v>0</v>
      </c>
      <c r="BI357" s="198">
        <f>IF($K357=BI$3,IF($C357="X",0,$O357),0)</f>
        <v>0</v>
      </c>
      <c r="BJ357" s="198">
        <f>IF($K357=BJ$3,IF($C357="X",0,$O357),0)</f>
        <v>0</v>
      </c>
      <c r="BK357" s="198">
        <f>IF($K357=BK$3,IF($C357="X",0,$O357),0)</f>
        <v>0</v>
      </c>
      <c r="BL357" s="198">
        <f>IF($K357=BL$3,IF($C357="X",0,$O357),0)</f>
        <v>0</v>
      </c>
      <c r="BM357" s="200">
        <f>IF($K357=BM$3,IF($C357="X",0,$O357),0)</f>
        <v>0</v>
      </c>
      <c r="BN357" s="201">
        <f>IF($K357=BN$3,IF($C357="X",0,$O357),0)</f>
        <v>0</v>
      </c>
      <c r="BO357" s="201">
        <f>IF($K357=BO$3,IF($C357="X",0,$O357),0)</f>
        <v>0</v>
      </c>
      <c r="BP357" s="201">
        <f>IF($K357=BP$3,IF($C357="X",0,$O357),0)</f>
        <v>0</v>
      </c>
      <c r="BQ357" s="202">
        <f>IF($K357=BQ$3,IF($C357="X",0,$O357),0)</f>
        <v>0</v>
      </c>
      <c r="BR357" s="199">
        <f>IF($K357=BR$3,IF($C357="X",0,$O357),0)</f>
        <v>0</v>
      </c>
      <c r="BS357" s="228"/>
      <c r="BT357" s="229"/>
      <c r="BU357" s="140"/>
      <c r="BV357" s="229"/>
      <c r="BW357" s="140"/>
      <c r="BX357" s="140"/>
      <c r="BY357" s="140"/>
      <c r="BZ357" s="229"/>
      <c r="CA357" s="140"/>
      <c r="CB357" s="140"/>
      <c r="CC357" s="140"/>
      <c r="CD357" s="141"/>
      <c r="CE357" s="142"/>
      <c r="CF357" s="230">
        <f>IF(CF$3=$K357,IF($C357="W",1,IF($C357="1/2W",0.5,0)),0)</f>
        <v>0</v>
      </c>
      <c r="CG357" s="231">
        <f>IF(CF$3=$K357,IF($C357="L",1,IF($C357="1/2L",0.5,0)),0)</f>
        <v>0</v>
      </c>
      <c r="CH357" s="231">
        <f>IF(CH$3=$K357,IF($C357="W",1,IF($C357="1/2W",0.5,0)),0)</f>
        <v>0</v>
      </c>
      <c r="CI357" s="231">
        <f>IF(CH$3=$K357,IF($C357="L",1,IF($C357="1/2L",0.5,0)),0)</f>
        <v>0</v>
      </c>
      <c r="CJ357" s="231">
        <f>IF(CJ$3=$K357,IF($C357="W",1,IF($C357="1/2W",0.5,0)),0)</f>
        <v>0</v>
      </c>
      <c r="CK357" s="231">
        <f>IF(CJ$3=$K357,IF($C357="L",1,IF($C357="1/2L",0.5,0)),0)</f>
        <v>0</v>
      </c>
      <c r="CL357" s="231">
        <f>IF(CL$3=$K357,IF($C357="W",1,IF($C357="1/2W",0.5,0)),0)</f>
        <v>0</v>
      </c>
      <c r="CM357" s="231">
        <f>IF(CL$3=$K357,IF($C357="L",1,IF($C357="1/2L",0.5,0)),0)</f>
        <v>0</v>
      </c>
      <c r="CN357" s="231">
        <f>IF(CN$3=$K357,IF($C357="W",1,IF($C357="1/2W",0.5,0)),0)</f>
        <v>0</v>
      </c>
      <c r="CO357" s="231">
        <f>IF(CN$3=$K357,IF($C357="L",1,IF($C357="1/2L",0.5,0)),0)</f>
        <v>0</v>
      </c>
      <c r="CP357" s="231">
        <f>IF(CP$3=$K357,IF($C357="W",1,IF($C357="1/2W",0.5,0)),0)</f>
        <v>0</v>
      </c>
      <c r="CQ357" s="231">
        <f>IF(CP$3=$K357,IF($C357="L",1,IF($C357="1/2L",0.5,0)),0)</f>
        <v>0</v>
      </c>
      <c r="CR357" s="231">
        <f>IF(CR$3=$K357,IF($C357="W",1,IF($C357="1/2W",0.5,0)),0)</f>
        <v>0</v>
      </c>
      <c r="CS357" s="231">
        <f>IF(CR$3=$K357,IF($C357="L",1,IF($C357="1/2L",0.5,0)),0)</f>
        <v>0</v>
      </c>
      <c r="CT357" s="208">
        <f>IF(CT$3=$K357,IF($C357="W",1,IF($C357="1/2W",0.5,0)),0)</f>
        <v>0</v>
      </c>
      <c r="CU357" s="209">
        <f>IF(CT$3=$K357,IF($C357="L",1,IF($C357="1/2L",0.5,0)),0)</f>
        <v>0</v>
      </c>
      <c r="CV357" s="209">
        <f>IF(CV$3=$K357,IF($C357="W",1,IF($C357="1/2W",0.5,0)),0)</f>
        <v>0</v>
      </c>
      <c r="CW357" s="209">
        <f>IF(CV$3=$K357,IF($C357="L",1,IF($C357="1/2L",0.5,0)),0)</f>
        <v>0</v>
      </c>
      <c r="CX357" s="209">
        <f>IF(CX$3=$K357,IF($C357="W",1,IF($C357="1/2W",0.5,0)),0)</f>
        <v>0</v>
      </c>
      <c r="CY357" s="209">
        <f>IF(CX$3=$K357,IF($C357="L",1,IF($C357="1/2L",0.5,0)),0)</f>
        <v>0</v>
      </c>
      <c r="CZ357" s="209">
        <f>IF(CZ$3=$K357,IF($C357="W",1,IF($C357="1/2W",0.5,0)),0)</f>
        <v>0</v>
      </c>
      <c r="DA357" s="209">
        <f>IF(CZ$3=$K357,IF($C357="L",1,IF($C357="1/2L",0.5,0)),0)</f>
        <v>0</v>
      </c>
      <c r="DB357" s="209">
        <f>IF(DB$3=$K357,IF($C357="W",1,IF($C357="1/2W",0.5,0)),0)</f>
        <v>0</v>
      </c>
      <c r="DC357" s="209">
        <f>IF(DB$3=$K357,IF($C357="L",1,IF($C357="1/2L",0.5,0)),0)</f>
        <v>0</v>
      </c>
      <c r="DD357" s="209">
        <f>IF(DD$3=$K357,IF($C357="W",1,IF($C357="1/2W",0.5,0)),0)</f>
        <v>0</v>
      </c>
      <c r="DE357" s="210">
        <f>IF(DD$3=$K357,IF($C357="L",1,IF($C357="1/2L",0.5,0)),0)</f>
        <v>0</v>
      </c>
      <c r="DF357" s="211">
        <f>IF(AND(L357&lt;DF$3,$C357="W"),1+DF356,DF356)</f>
        <v>12</v>
      </c>
      <c r="DG357" s="198">
        <f>IF(DF357&gt;DF356,L357+DG356,DG356)</f>
        <v>15.718</v>
      </c>
      <c r="DH357" s="209">
        <f>IF(AND(L357&gt;DH$3,$C357="W"),1+DH356,0+DH356)</f>
        <v>8</v>
      </c>
      <c r="DI357" s="198">
        <f>IF(DH357&gt;DH356,L357+DI356,DI356)</f>
        <v>45.33</v>
      </c>
      <c r="DJ357" t="s" s="306">
        <f>IF($D355="","",$D355)</f>
        <v>298</v>
      </c>
      <c r="DK357" s="232"/>
    </row>
    <row r="358" ht="14.55" customHeight="1">
      <c r="A358" s="246">
        <f>$A355+1</f>
        <v>119</v>
      </c>
      <c r="B358" t="s" s="247">
        <f>IF(AND(_xlfn.XLOOKUP(H358,H$107:H125,G$107:G125,0)=G358,_xlfn.XLOOKUP("TempoBet",K358:K360,L358:L360,0)&gt;0),"X",IF(OR(C358="W",C359="W",C360="W",C358="1/2W",C359="1/2W",C360="1/2W",C358="1/2L",C359="1/2L",C360="1/2L"),"OK",IF(OR(C358="L",C359="L",C360="L"),"LOSS",IF(OR(C358="X",C359="X",C360="X"),"Anulado"," "))))</f>
        <v>50</v>
      </c>
      <c r="C358" t="s" s="248">
        <v>56</v>
      </c>
      <c r="D358" t="s" s="303">
        <v>304</v>
      </c>
      <c r="E358" t="s" s="250">
        <v>52</v>
      </c>
      <c r="F358" t="s" s="251"/>
      <c r="G358" s="252">
        <v>44949.697916666664</v>
      </c>
      <c r="H358" t="s" s="253">
        <v>305</v>
      </c>
      <c r="I358" t="s" s="254">
        <v>65</v>
      </c>
      <c r="J358" s="255">
        <v>4.5</v>
      </c>
      <c r="K358" t="s" s="256">
        <v>38</v>
      </c>
      <c r="L358" s="257">
        <v>2.8</v>
      </c>
      <c r="M358" s="258">
        <v>4.23</v>
      </c>
      <c r="N358" s="259">
        <v>0</v>
      </c>
      <c r="O358" s="260">
        <f>IF(OR(AE358="",AE359=""),"",ROUND(IF(L360&gt;0,IF(M358&gt;0,M358,IF(M359&gt;0,ROUND((M359*AE358)/AE359,IF(N358=0,2,IF(N358=0.1,1,0))),ROUND((M360*AE358)/AE360,IF(N358=0,2,IF(N358=0.1,1,0))))),IF(M358&gt;0,M358,ROUND((M359*AE358)/AE359,IF(N358=0,2,IF(N358=0.1,1,0))))),2))</f>
        <v>4.23</v>
      </c>
      <c r="P358" s="261">
        <f>IF(OR(L358="",O358=""),"",IF($C358="1/2W",O358/2+O358/2*L358,IF($C358="1/2L",O358/2,IF(I358="Lay",(O358*(L358/(L358-1))-O358)*(1-_xlfn.XLOOKUP(K358,'Janeiro 2023 - Valor Real'!A3:A15,'Janeiro 2023 - Valor Real'!C3:C15,0))+O358,(O358*L358-O358)*(1-_xlfn.XLOOKUP(K358,'Janeiro 2023 - Valor Real'!A3:A15,'Janeiro 2023 - Valor Real'!C3:C15,0))+O358))))</f>
        <v>11.844</v>
      </c>
      <c r="Q358" s="262">
        <f>IF(K358="","",IF(_xlfn.XLOOKUP(K358,K$107:K125,DJ$107:DJ125,0,,-1)=DJ358,_xlfn.XLOOKUP(K358,K$107:K125,Q$107:Q125,1,,-1)+1,1))</f>
        <v>1</v>
      </c>
      <c r="R358" s="263">
        <f>IF(K358="","",_xlfn.XLOOKUP(K358,K$107:K125,R$107:R125,0,,-1)+IF($C358=" ",1,0))</f>
        <v>0</v>
      </c>
      <c r="S358" s="264">
        <f>IF($B358="Anulado",0,ROUND(IF(OR($B358="LOSS",$B358="OK"),IF(OR($C358="W",$C358="1/2W",$C358="1/2L"),P358-O358,IF($C358="L",-O358,0))+IF(OR($C359="W",$C359="1/2W",$C359="1/2L"),P359-O359,IF($C359="L",-O359,0))+IF(OR($C360="W",$C360="1/2W",$C360="1/2L"),P360-O360,IF($C360="L",-O360,0)),IF(AND(OR($C358="W",$C358="1/2W",$C358="1/2L"),C359="W"),P358+P359-SUM(O358:O360)+_xlfn.XLOOKUP("X",C358:C360,O358:O360,0),IF(AND(C358=TRUE,C360="W"),P358+P360-SUM(O358:O360),IF(AND(C359="W",C360="W"),P359+P360-SUM(O358:O360)+_xlfn.XLOOKUP("X",C358:C360,O358:O360,0),IF(L360&gt;0,IF(OR($C358="W",$C358="1/2W",$C358="1/2L"),P358-SUM(O358:O360)+_xlfn.XLOOKUP("X",C358:C360,O358:O360,0),IF(OR($C358="W",$C358="1/2W",$C358="1/2L"),P359-SUM(O358:O360)+_xlfn.XLOOKUP("X",C358:C360,O358:O360,0),IF(OR($C358="W",$C358="1/2W",$C358="1/2L"),P360-SUM(O358:O360)+_xlfn.XLOOKUP("X",C358:C360,O358:O360,0),IF(SUM(P358:P360)/3-SUM(O358:O360)+_xlfn.XLOOKUP("X",C358:C360,O358:O360,0)&gt;0,SUM(P358:P360)/3-SUM(O358:O360)+_xlfn.XLOOKUP("X",C358:C360,O358:O360,0),LARGE(P358:P360,1)-SUM(O358:O360))))),IF(OR($C358="W",$C358="1/2W",$C358="1/2L"),P358-SUM(O358:O359)+_xlfn.XLOOKUP("X",C358:C360,O358:O360,0),IF(OR($C358="W",$C358="1/2W",$C358="1/2L"),P359-SUM(O358:O359)+_xlfn.XLOOKUP("X",C358:C360,O358:O360,0),SUM(P358:P359)/2-SUM(O358:O359)+_xlfn.XLOOKUP("X",C358:C360,O358:O360,0)))))))),2))</f>
        <v>0.54</v>
      </c>
      <c r="T358" s="265">
        <f>IF(S358=0,0,S358/SUM(O358:O360))</f>
        <v>0.047787610619469</v>
      </c>
      <c r="U358" s="266">
        <f>IF($D358=$D355,IF(OR($B358="LOSS",$B358="OK",$B358="Anulada"),S358,0)+U355,IF(OR($B358="LOSS",$B358="OK",$B358="Anulada"),S358,0))</f>
        <v>0.54</v>
      </c>
      <c r="V358" s="266">
        <f>IF($D358="",0,IF($D358=$D355,IF($B358=" ",IF(I360="",IF(OR(AND(I358="DNB1",I359="DNB2"),AND(OR(I358="DNB1",I358="DNB2"),J359=0),AND(OR(I359="DNB1",I359="DNB2"),J358=0),AND(I358="DNB2",I359="DNB1"),AND(IF(J358=0,(J358+1)/ROUND(J358+1,0),J358/ROUND(J358,0))=1,IF(J359=0,(J359+1)/ROUND(IF(J359="",0,J359)+1,0),IF(J359="",0,J359)/ROUND(IF(J359="",1,J359),0))=1,OR(J358&lt;&gt;""),J359&lt;&gt;"")),0,IF(S358&lt;0,IF(I360="",SMALL(P358:P359,1)-SUM(O358:O359),0),SMALL(P358:P359,1)-SUM(O358:O359))),IF(S358&lt;0,IF(I360="",SMALL(P358:P360,1)-SUM(O358:O360),0),LARGE(P358:P360,1)-SUM(O358:O360))),S358)+V355,IF(I360="",IF(OR(AND(I358="DNB1",I359="DNB2"),AND(OR(I358="DNB1",I358="DNB2"),J359=0),AND(OR(I359="DNB1",I359="DNB2"),J358=0),AND(I358="DNB2",I359="DNB1"),AND(IF(J358=0,(J358+1)/ROUND(J358+1,0),J358/ROUND(J358,0))=1,IF(J359=0,(IF(J359="",0,J359)+1)/ROUND(IF(J359="",0,J359)+1,0),IF(J359="",0,J359)/ROUND(IF(J359="",0,J359)+1,0))=1,OR(J358&lt;&gt;""),J359&lt;&gt;"")),0,IF(S358&lt;0,IF(I360="",SMALL(P358:P359,1)-SUM(O358:O359),0),SMALL(P358:P360,1)-SUM(O358:O360))),IF(S358&lt;0,IF(I360="",SMALL(P358:P360,1)-SUM(O358:O360),0),LARGE(P358:P360,1)-SUM(O358:O360)))))</f>
        <v>0.54225</v>
      </c>
      <c r="W358" s="266">
        <f>IF($D358=$D355,IF(S358&lt;0,IF(I360="",S358,0),S358)+W355,S358)</f>
        <v>0.54</v>
      </c>
      <c r="X358" t="s" s="267">
        <f>IF(OR(SUM(R358:R360)=0,V358=W358),ROUND(IF(W358=0,0,W358/Y358)*100,2)&amp;"%",ROUND(IF(V358=0,0,V358/Y358)*100,2)&amp;"% a "&amp;ROUND(IF(W358=0,0,W358/Y358)*100,2)&amp;"%")</f>
        <v>306</v>
      </c>
      <c r="Y358" s="268">
        <f>IF($D358=$D355,Y355+SUM(O358:O360),SUM(O358:O360))</f>
        <v>11.3</v>
      </c>
      <c r="Z358" s="266">
        <f>IF($B358=" ",SUM(O358:O360),0)+Z355</f>
        <v>0</v>
      </c>
      <c r="AA358" s="266">
        <f>IF(G358="","",IF($B358="Anulado",LARGE(P358:P360,1)-SUM(O358:O360)+AA355,AA355))</f>
        <v>16.5099</v>
      </c>
      <c r="AB358" s="266">
        <f>IF($D358="","",AB355+S358)</f>
        <v>252.21</v>
      </c>
      <c r="AC358" s="269">
        <f>IF($D358="","",IF($B358=" ",IF(DAY(G358)=DAY(TODAY()),1+AC355,0+AC355),0+AC355))</f>
        <v>0</v>
      </c>
      <c r="AD358" s="270">
        <f>(1-_xlfn.XLOOKUP(K356,'Janeiro 2023 - Valor Real'!A3:A15,'Janeiro 2023 - Valor Real'!C3:C15,0))+1</f>
        <v>2</v>
      </c>
      <c r="AE358" s="271">
        <f>IF(L358="","",IF(L360&gt;0,(SUM(((L358-1)*(1-_xlfn.XLOOKUP(K358,'Janeiro 2023 - Valor Real'!A3:A15,'Janeiro 2023 - Valor Real'!C3:C15,0))+1),((L359-1)*(1-_xlfn.XLOOKUP(K359,'Janeiro 2023 - Valor Real'!A3:A15,'Janeiro 2023 - Valor Real'!C3:C15,0))+1),((L360-1)*(1-_xlfn.XLOOKUP(K360,'Janeiro 2023 - Valor Real'!A3:A15,'Janeiro 2023 - Valor Real'!C3:C15,0))+1))/((L358-1)*(1-_xlfn.XLOOKUP(K358,'Janeiro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Real'!C3:C15,0))+1))/((L358-1)*(1-_xlfn.XLOOKUP(K358,'Janeiro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Real'!C3:C15,0))+1))/((L359-1)*(1-_xlfn.XLOOKUP(K359,'Janeiro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Real'!C3:C15,0))+1))/((L360-1)*(1-_xlfn.XLOOKUP(K360,'Janeiro 2023 - Valor Real'!A3:A15,'Janeiro 2023 - Valor Real'!C3:C15,0))+1)),IF(I358="Lay",IF(I359="Lay",((L359/(L359-1)-1)*(1-_xlfn.XLOOKUP(K359,'Janeiro 2023 - Valor Real'!A3:A15,'Janeiro 2023 - Valor Real'!C3:C15,0))+1)/(((L359/(L359-1)-1)*(1-_xlfn.XLOOKUP(K359,'Janeiro 2023 - Valor Real'!A3:A15,'Janeiro 2023 - Valor Real'!C3:C15,0))+1)+((L358/(L358-1)-1)*(1-_xlfn.XLOOKUP(K358,'Janeiro 2023 - Valor Real'!A3:A15,'Janeiro 2023 - Valor Real'!C3:C15,0))+1)),((L359-1)*(1-_xlfn.XLOOKUP(K359,'Janeiro 2023 - Valor Real'!A3:A15,'Janeiro 2023 - Valor Real'!C3:C15,0))+1)/(((L359-1)*(1-_xlfn.XLOOKUP(K359,'Janeiro 2023 - Valor Real'!A3:A15,'Janeiro 2023 - Valor Real'!C3:C15,0))+1)+((L358/(L358-1)-1)*(1-_xlfn.XLOOKUP(K358,'Janeiro 2023 - Valor Real'!A3:A15,'Janeiro 2023 - Valor Real'!C3:C15,0))+1))),IF(I359="Lay",(((L359/(L359-1)-1)*(1-_xlfn.XLOOKUP(K359,'Janeiro 2023 - Valor Real'!A3:A15,'Janeiro 2023 - Valor Real'!C3:C15,0))+1))/(((L358-1)*(1-_xlfn.XLOOKUP(K358,'Janeiro 2023 - Valor Real'!A3:A15,'Janeiro 2023 - Valor Real'!C3:C15,0))+1)+((L359/(L359-1)-1)*(1-_xlfn.XLOOKUP(K359,'Janeiro 2023 - Valor Real'!A3:A15,'Janeiro 2023 - Valor Real'!C3:C15,0))+1)),((L359-1)*(1-_xlfn.XLOOKUP(K359,'Janeiro 2023 - Valor Real'!A3:A15,'Janeiro 2023 - Valor Real'!C3:C15,0))+1)/(((L359-1)*(1-_xlfn.XLOOKUP(K359,'Janeiro 2023 - Valor Real'!A3:A15,'Janeiro 2023 - Valor Real'!C3:C15,0))+1)+((L358-1)*(1-_xlfn.XLOOKUP(K358,'Janeiro 2023 - Valor Real'!A3:A15,'Janeiro 2023 - Valor Real'!C3:C15,0))+1))))))</f>
        <v>0.374301675977654</v>
      </c>
      <c r="AF358" s="132">
        <f>IF($K358=AF$3,ROUND(IF(OR($C358="W",$C358="1/2W",$C358="1/2L"),$P358-$O358,IF($C358="X",0,-$O358)),2),0)</f>
        <v>0</v>
      </c>
      <c r="AG358" s="133">
        <f>IF($K358=AG$3,ROUND(IF(OR($C358="W",$C358="1/2W",$C358="1/2L"),$P358-$O358,IF($C358="X",0,-$O358)),2),0)</f>
        <v>7.61</v>
      </c>
      <c r="AH358" s="133">
        <f>IF($K358=AH$3,ROUND(IF(OR($C358="W",$C358="1/2W",$C358="1/2L"),$P358-$O358,IF($C358="X",0,-$O358)),2),0)</f>
        <v>0</v>
      </c>
      <c r="AI358" s="133">
        <f>IF($K358=AI$3,ROUND(IF(OR($C358="W",$C358="1/2W",$C358="1/2L"),$P358-$O358,IF($C358="X",0,-$O358)),2),0)</f>
        <v>0</v>
      </c>
      <c r="AJ358" s="133">
        <f>IF($K358=AJ$3,ROUND(IF(OR($C358="W",$C358="1/2W",$C358="1/2L"),$P358-$O358,IF($C358="X",0,-$O358)),2),0)</f>
        <v>0</v>
      </c>
      <c r="AK358" s="133">
        <f>IF($K358=AK$3,ROUND(IF(OR($C358="W",$C358="1/2W",$C358="1/2L"),$P358-$O358,IF($C358="X",0,-$O358)),2),0)</f>
        <v>0</v>
      </c>
      <c r="AL358" s="133">
        <f>IF($K358=AL$3,ROUND(IF(OR($C358="W",$C358="1/2W",$C358="1/2L"),$P358-$O358,IF($C358="X",0,-$O358)),2),0)</f>
        <v>0</v>
      </c>
      <c r="AM358" s="133">
        <f>IF($K358=AM$3,ROUND(IF(OR($C358="W",$C358="1/2W",$C358="1/2L"),$P358-$O358,IF($C358="X",0,-$O358)),2),0)</f>
        <v>0</v>
      </c>
      <c r="AN358" s="133">
        <f>IF($K358=AN$3,ROUND(IF(OR($C358="W",$C358="1/2W",$C358="1/2L"),$P358-$O358,IF($C358="X",0,-$O358)),2),0)</f>
        <v>0</v>
      </c>
      <c r="AO358" s="133">
        <f>IF($K358=AO$3,ROUND(IF(OR($C358="W",$C358="1/2W",$C358="1/2L"),$P358-$O358,IF($C358="X",0,-$O358)),2),0)</f>
        <v>0</v>
      </c>
      <c r="AP358" s="133">
        <f>IF($K358=AP$3,ROUND(IF(OR($C358="W",$C358="1/2W",$C358="1/2L"),$P358-$O358,IF($C358="X",0,-$O358)),2),0)</f>
        <v>0</v>
      </c>
      <c r="AQ358" s="133">
        <f>IF($K358=AQ$3,ROUND(IF(OR($C358="W",$C358="1/2W",$C358="1/2L"),$P358-$O358,IF($C358="X",0,-$O358)),2),0)</f>
        <v>0</v>
      </c>
      <c r="AR358" s="134">
        <f>IF($K358=AR$3,ROUND(IF(OR($C358="W",$C358="1/2W",$C358="1/2L"),$P358-$O358,IF($C358="X",0,-$O358)),2),0)</f>
        <v>0</v>
      </c>
      <c r="AS358" s="132">
        <f>IF(AND($B358=" ",$K358=AS$3),$O358,0)</f>
        <v>0</v>
      </c>
      <c r="AT358" s="133">
        <f>IF(AND($B358=" ",$K358=AT$3),$O358,0)</f>
        <v>0</v>
      </c>
      <c r="AU358" s="133">
        <f>IF(AND($B358=" ",$K358=AU$3),$O358,0)</f>
        <v>0</v>
      </c>
      <c r="AV358" s="133">
        <f>IF(AND($B358=" ",$K358=AV$3),$O358,0)</f>
        <v>0</v>
      </c>
      <c r="AW358" s="133">
        <f>IF(AND($B358=" ",$K358=AW$3),$O358,0)</f>
        <v>0</v>
      </c>
      <c r="AX358" s="133">
        <f>IF(AND($B358=" ",$K358=AX$3),$O358,0)</f>
        <v>0</v>
      </c>
      <c r="AY358" s="135">
        <f>IF(AND($B358=" ",$K358=AY$3),$O358,0)</f>
        <v>0</v>
      </c>
      <c r="AZ358" s="136">
        <f>IF(AND($B358=" ",$K358=AZ$3),$O358,0)</f>
        <v>0</v>
      </c>
      <c r="BA358" s="136">
        <f>IF(AND($B358=" ",$K358=BA$3),$O358,0)</f>
        <v>0</v>
      </c>
      <c r="BB358" s="136">
        <f>IF(AND($B358=" ",$K358=BB$3),$O358,0)</f>
        <v>0</v>
      </c>
      <c r="BC358" s="137">
        <f>IF(AND($B358=" ",$K358=BC$3),$O358,0)</f>
        <v>0</v>
      </c>
      <c r="BD358" s="133">
        <f>IF(AND($B358=" ",$K358=BD$3),$O358,0)</f>
        <v>0</v>
      </c>
      <c r="BE358" s="134">
        <f>IF(AND($B358=" ",$K358=BE$3),$O358,0)</f>
        <v>0</v>
      </c>
      <c r="BF358" s="132">
        <f>IF($K358=BF$3,IF($C358="X",0,$O358),0)</f>
        <v>0</v>
      </c>
      <c r="BG358" s="133">
        <f>IF($K358=BG$3,IF($C358="X",0,$O358),0)</f>
        <v>4.23</v>
      </c>
      <c r="BH358" s="133">
        <f>IF($K358=BH$3,IF($C358="X",0,$O358),0)</f>
        <v>0</v>
      </c>
      <c r="BI358" s="133">
        <f>IF($K358=BI$3,IF($C358="X",0,$O358),0)</f>
        <v>0</v>
      </c>
      <c r="BJ358" s="133">
        <f>IF($K358=BJ$3,IF($C358="X",0,$O358),0)</f>
        <v>0</v>
      </c>
      <c r="BK358" s="133">
        <f>IF($K358=BK$3,IF($C358="X",0,$O358),0)</f>
        <v>0</v>
      </c>
      <c r="BL358" s="133">
        <f>IF($K358=BL$3,IF($C358="X",0,$O358),0)</f>
        <v>0</v>
      </c>
      <c r="BM358" s="135">
        <f>IF($K358=BM$3,IF($C358="X",0,$O358),0)</f>
        <v>0</v>
      </c>
      <c r="BN358" s="136">
        <f>IF($K358=BN$3,IF($C358="X",0,$O358),0)</f>
        <v>0</v>
      </c>
      <c r="BO358" s="136">
        <f>IF($K358=BO$3,IF($C358="X",0,$O358),0)</f>
        <v>0</v>
      </c>
      <c r="BP358" s="136">
        <f>IF($K358=BP$3,IF($C358="X",0,$O358),0)</f>
        <v>0</v>
      </c>
      <c r="BQ358" s="137">
        <f>IF($K358=BQ$3,IF($C358="X",0,$O358),0)</f>
        <v>0</v>
      </c>
      <c r="BR358" s="134">
        <f>IF($K358=BR$3,IF($C358="X",0,$O358),0)</f>
        <v>0</v>
      </c>
      <c r="BS358" s="170">
        <f>IF($B358="LOSS",IF(AND($K358=BS$3,$C358="L"),-$O358,0)+IF(AND($K359=BS$3,$C359="L"),-$O359,0)+IF(AND($K360=BS$3,$C360="L"),-$O360,0),IF(OR(AND($K358=BS$3,OR($C358="W",$C358="1/2W")),AND($K359=BS$3,OR($C359="W",$C359="1/2W")),AND($K360=BS$3,OR($C360="W",$C360="1/2W"))),$S358,0))</f>
        <v>0</v>
      </c>
      <c r="BT358" s="272">
        <f>IF($B358="LOSS",IF(AND($K358=BT$3,$C358="L"),-$O358,0)+IF(AND($K359=BT$3,$C359="L"),-$O359,0)+IF(AND($K359=BT$3,$C360="L"),-$O360,0),IF(OR(AND($K359=BT$3,OR($C358="W",$C358="1/2W")),AND($K359=BT$3,OR($C359="W",$C359="1/2W")),AND($K359=BT$3,OR($C360="W",$C360="1/2W"))),$S358,0))</f>
        <v>0</v>
      </c>
      <c r="BU358" s="136">
        <f>IF($B358="LOSS",IF(AND($K358=BU$3,$C358="L"),-$O358,0)+IF(AND($K359=BU$3,$C359="L"),-$O359,0)+IF(AND($K359=BU$3,$C360="L"),-$O360,0),IF(OR(AND($K359=BU$3,OR($C358="W",$C358="1/2W")),AND($K359=BU$3,OR($C359="W",$C359="1/2W")),AND($K359=BU$3,OR($C360="W",$C360="1/2W"))),$S358,0))</f>
        <v>0</v>
      </c>
      <c r="BV358" s="136">
        <f>IF($B358="LOSS",IF(AND($K358=BV$3,$C358="L"),-$O358,0)+IF(AND($K359=BV$3,$C359="L"),-$O359,0)+IF(AND($K360=BV$3,$C360="L"),-$O360,0),IF(OR(AND($K358=BV$3,OR($C358="W",$C358="1/2W")),AND($K359=BV$3,OR($C359="W",$C359="1/2W")),AND($K360=BV$3,OR($C360="W",$C360="1/2W"))),$S358,0))</f>
        <v>0</v>
      </c>
      <c r="BW358" s="136">
        <f>IF($B358="LOSS",IF(AND($K358=BW$3,$C358="L"),-$O358,0)+IF(AND($K359=BW$3,$C359="L"),-$O359,0)+IF(AND($K360=BW$3,$C360="L"),-$O360,0),IF(OR(AND($K358=BW$3,OR($C358="W",$C358="1/2W")),AND($K359=BW$3,OR($C359="W",$C359="1/2W")),AND($K360=BW$3,OR($C360="W",$C360="1/2W"))),$S358,0))</f>
        <v>0</v>
      </c>
      <c r="BX358" s="136">
        <f>IF($B358="LOSS",IF(AND($K358=BX$3,$C358="L"),-$O358,0)+IF(AND($K359=BX$3,$C359="L"),-$O359,0)+IF(AND($K360=BX$3,$C360="L"),-$O360,0),IF(OR(AND($K358=BX$3,OR($C358="W",$C358="1/2W")),AND($K359=BX$3,OR($C359="W",$C359="1/2W")),AND($K360=BX$3,OR($C360="W",$C360="1/2W"))),$S358,0))</f>
        <v>0</v>
      </c>
      <c r="BY358" s="136">
        <f>IF($B358="LOSS",IF(AND($K358=BY$3,$C358="L"),-$O358,0)+IF(AND($K359=BY$3,$C359="L"),-$O359,0)+IF(AND($K360=BY$3,$C360="L"),-$O360,0),IF(OR(AND($K358=BY$3,OR($C358="W",$C358="1/2W")),AND($K359=BY$3,OR($C359="W",$C359="1/2W")),AND($K360=BY$3,OR($C360="W",$C360="1/2W"))),$S358,0))</f>
        <v>0</v>
      </c>
      <c r="BZ358" s="136">
        <f>IF($B358="LOSS",IF(AND($K358=BZ$3,$C358="L"),-$O358,0)+IF(AND($K359=BZ$3,$C359="L"),-$O359,0)+IF(AND($K360=BZ$3,$C360="L"),-$O360,0),IF(OR(AND($K358=BZ$3,OR($C358="W",$C358="1/2W")),AND($K359=BZ$3,OR($C359="W",$C359="1/2W")),AND($K360=BZ$3,OR($C360="W",$C360="1/2W"))),$S358,0))</f>
        <v>0</v>
      </c>
      <c r="CA358" s="136">
        <f>IF($B358="LOSS",IF(AND($K358=CA$3,$C358="L"),-$O358,0)+IF(AND($K359=CA$3,$C359="L"),-$O359,0)+IF(AND($K360=CA$3,$C360="L"),-$O360,0),IF(OR(AND($K358=CA$3,OR($C358="W",$C358="1/2W")),AND($K359=CA$3,OR($C359="W",$C359="1/2W")),AND($K360=CA$3,OR($C360="W",$C360="1/2W"))),$S358,0))</f>
        <v>0</v>
      </c>
      <c r="CB358" s="136">
        <f>IF($B358="LOSS",IF(AND($K358=CB$3,$C358="L"),-$O358,0)+IF(AND($K359=CB$3,$C359="L"),-$O359,0)+IF(AND($K360=CB$3,$C360="L"),-$O360,0),IF(OR(AND($K358=CB$3,OR($C358="W",$C358="1/2W")),AND($K359=CB$3,OR($C359="W",$C359="1/2W")),AND($K360=CB$3,OR($C360="W",$C360="1/2W"))),$S358,0))</f>
        <v>0</v>
      </c>
      <c r="CC358" s="136">
        <f>IF($B358="LOSS",IF(AND($K358=CC$3,$C358="L"),-$O358,0)+IF(AND($K359=CC$3,$C359="L"),-$O359,0)+IF(AND($K360=CC$3,$C360="L"),-$O360,0),IF(OR(AND($K358=CC$3,OR($C358="W",$C358="1/2W")),AND($K359=CC$3,OR($C359="W",$C359="1/2W")),AND($K360=CC$3,OR($C360="W",$C360="1/2W"))),$S358,0))</f>
        <v>0</v>
      </c>
      <c r="CD358" s="137">
        <f>IF($B358="LOSS",IF(AND($K358=CD$3,$C358="L"),-$O358,0)+IF(AND($K359=CD$3,$C359="L"),-$O359,0)+IF(AND($K360=CD$3,$C360="L"),-$O360,0),IF(OR(AND($K358=CD$3,OR($C358="W",$C358="1/2W")),AND($K359=CD$3,OR($C359="W",$C359="1/2W")),AND($K360=CD$3,OR($C360="W",$C360="1/2W"))),$S358,0))</f>
        <v>0</v>
      </c>
      <c r="CE358" s="134">
        <f>IF($B358="LOSS",IF(AND($K358=CE$3,$C358="L"),-$O358,0)+IF(AND($K359=CE$3,$C359="L"),-$O359,0)+IF(AND($K360=CE$3,$C360="L"),-$O360,0),IF(OR(AND($K358=CE$3,OR($C358="W",$C358="1/2W")),AND($K359=CE$3,OR($C359="W",$C359="1/2W")),AND($K360=CE$3,OR($C360="W",$C360="1/2W"))),$S358,0))</f>
        <v>0</v>
      </c>
      <c r="CF358" s="273">
        <f>IF(CF$3=$K358,IF($C358="W",1,IF($C358="1/2W",0.5,0)),0)</f>
        <v>0</v>
      </c>
      <c r="CG358" s="274">
        <f>IF(CF$3=$K358,IF($C358="L",1,IF($C358="1/2L",0.5,0)),0)</f>
        <v>0</v>
      </c>
      <c r="CH358" s="274">
        <f>IF(CH$3=$K358,IF($C358="W",1,IF($C358="1/2W",0.5,0)),0)</f>
        <v>1</v>
      </c>
      <c r="CI358" s="274">
        <f>IF(CH$3=$K358,IF($C358="L",1,IF($C358="1/2L",0.5,0)),0)</f>
        <v>0</v>
      </c>
      <c r="CJ358" s="274">
        <f>IF(CJ$3=$K358,IF($C358="W",1,IF($C358="1/2W",0.5,0)),0)</f>
        <v>0</v>
      </c>
      <c r="CK358" s="274">
        <f>IF(CJ$3=$K358,IF($C358="L",1,IF($C358="1/2L",0.5,0)),0)</f>
        <v>0</v>
      </c>
      <c r="CL358" s="274">
        <f>IF(CL$3=$K358,IF($C358="W",1,IF($C358="1/2W",0.5,0)),0)</f>
        <v>0</v>
      </c>
      <c r="CM358" s="274">
        <f>IF(CL$3=$K358,IF($C358="L",1,IF($C358="1/2L",0.5,0)),0)</f>
        <v>0</v>
      </c>
      <c r="CN358" s="274">
        <f>IF(CN$3=$K358,IF($C358="W",1,IF($C358="1/2W",0.5,0)),0)</f>
        <v>0</v>
      </c>
      <c r="CO358" s="274">
        <f>IF(CN$3=$K358,IF($C358="L",1,IF($C358="1/2L",0.5,0)),0)</f>
        <v>0</v>
      </c>
      <c r="CP358" s="274">
        <f>IF(CP$3=$K358,IF($C358="W",1,IF($C358="1/2W",0.5,0)),0)</f>
        <v>0</v>
      </c>
      <c r="CQ358" s="274">
        <f>IF(CP$3=$K358,IF($C358="L",1,IF($C358="1/2L",0.5,0)),0)</f>
        <v>0</v>
      </c>
      <c r="CR358" s="274">
        <f>IF(CR$3=$K358,IF($C358="W",1,IF($C358="1/2W",0.5,0)),0)</f>
        <v>0</v>
      </c>
      <c r="CS358" s="274">
        <f>IF(CR$3=$K358,IF($C358="L",1,IF($C358="1/2L",0.5,0)),0)</f>
        <v>0</v>
      </c>
      <c r="CT358" s="145">
        <f>IF(CT$3=$K358,IF($C358="W",1,IF($C358="1/2W",0.5,0)),0)</f>
        <v>0</v>
      </c>
      <c r="CU358" s="146">
        <f>IF(CT$3=$K358,IF($C358="L",1,IF($C358="1/2L",0.5,0)),0)</f>
        <v>0</v>
      </c>
      <c r="CV358" s="146">
        <f>IF(CV$3=$K358,IF($C358="W",1,IF($C358="1/2W",0.5,0)),0)</f>
        <v>0</v>
      </c>
      <c r="CW358" s="146">
        <f>IF(CV$3=$K358,IF($C358="L",1,IF($C358="1/2L",0.5,0)),0)</f>
        <v>0</v>
      </c>
      <c r="CX358" s="146">
        <f>IF(CX$3=$K358,IF($C358="W",1,IF($C358="1/2W",0.5,0)),0)</f>
        <v>0</v>
      </c>
      <c r="CY358" s="146">
        <f>IF(CX$3=$K358,IF($C358="L",1,IF($C358="1/2L",0.5,0)),0)</f>
        <v>0</v>
      </c>
      <c r="CZ358" s="146">
        <f>IF(CZ$3=$K358,IF($C358="W",1,IF($C358="1/2W",0.5,0)),0)</f>
        <v>0</v>
      </c>
      <c r="DA358" s="146">
        <f>IF(CZ$3=$K358,IF($C358="L",1,IF($C358="1/2L",0.5,0)),0)</f>
        <v>0</v>
      </c>
      <c r="DB358" s="146">
        <f>IF(DB$3=$K358,IF($C358="W",1,IF($C358="1/2W",0.5,0)),0)</f>
        <v>0</v>
      </c>
      <c r="DC358" s="146">
        <f>IF(DB$3=$K358,IF($C358="L",1,IF($C358="1/2L",0.5,0)),0)</f>
        <v>0</v>
      </c>
      <c r="DD358" s="146">
        <f>IF(DD$3=$K358,IF($C358="W",1,IF($C358="1/2W",0.5,0)),0)</f>
        <v>0</v>
      </c>
      <c r="DE358" s="147">
        <f>IF(DD$3=$K358,IF($C358="L",1,IF($C358="1/2L",0.5,0)),0)</f>
        <v>0</v>
      </c>
      <c r="DF358" s="143">
        <f>IF(AND(L358&lt;DF$3,$C358="W"),1+DF357,DF357)</f>
        <v>12</v>
      </c>
      <c r="DG358" s="133">
        <f>IF(DF358&gt;DF357,L358+DG357,DG357)</f>
        <v>15.718</v>
      </c>
      <c r="DH358" s="146">
        <f>IF(AND(L358&gt;DH$3,$C358="W"),1+DH357,0+DH357)</f>
        <v>8</v>
      </c>
      <c r="DI358" s="133">
        <f>IF(DH358&gt;DH357,L358+DI357,DI357)</f>
        <v>45.33</v>
      </c>
      <c r="DJ358" t="s" s="304">
        <f>IF($D358="","",$D358)</f>
        <v>307</v>
      </c>
      <c r="DK358" s="146">
        <f>IF(AND($B358=" ",$D358&lt;&gt;""),1,0)</f>
        <v>0</v>
      </c>
    </row>
    <row r="359" ht="14.55" customHeight="1">
      <c r="A359" s="107"/>
      <c r="B359" s="108"/>
      <c r="C359" t="s" s="109">
        <v>51</v>
      </c>
      <c r="D359" s="110"/>
      <c r="E359" s="111"/>
      <c r="F359" s="113"/>
      <c r="G359" s="252"/>
      <c r="H359" s="114"/>
      <c r="I359" t="s" s="275">
        <v>67</v>
      </c>
      <c r="J359" s="276">
        <f>IF(OR(I358="TO",I358="TU",I358="TO1",I358="TU1",I358="TO2",I358="TU2"),J358,IF(OR(I358="AH1",I358="AH2"),IF(OR(I359="AH1",I359="AH2"),-J358,IF(OR(I359="EH1",I359="EH2"),-J358+0.5,"")),IF(OR(I358="EH1",I358="EH2"),IF(OR(I359="AH1",I359="AH2"),-J358+0.5,IF(OR(I359="EH1",I359="EH2"),-J358+1,"")),IF(AND(OR(I358="DNB1",I358="DNB2"),OR(I359="AH1",I359="AH2")),0,IF(AND(I358="Not ScoreBoth",OR(I359="TO1",I359="TO2")),0.5,"")))))</f>
        <v>4.5</v>
      </c>
      <c r="K359" t="s" s="117">
        <v>44</v>
      </c>
      <c r="L359" s="277">
        <v>1.675</v>
      </c>
      <c r="M359" s="278"/>
      <c r="N359" s="120"/>
      <c r="O359" s="121">
        <f>IF(OR(AE358="",AE359=""),"",ROUND(IF(L360&gt;0,IF(M359&gt;0,M359,IF(M358&gt;0,IF(N358=TRUE,ROUND((M358*AE359)/AE358,0),(M358*AE359)/AE358),IF(M359&gt;0,ROUND(M359,IF(N358=0,2,IF(N358=0.1,1,0))),IF(M360&gt;0,ROUND(O360*AE359/AE360,IF(N358=0,2,IF(N358=0.1,1,0))),0)))),IF(M359&gt;0,M359,ROUND((M358*AE359)/AE358,IF(N358=0,2,IF(N358=0.1,1,0))))),2))</f>
        <v>7.07</v>
      </c>
      <c r="P359" s="122">
        <f>IF(OR(L359="",O359=""),"",IF($C359="1/2W",O359/2+O359/2*L359,IF($C359="1/2L",O359/2,IF(I359="Lay",((O359*(L359/(L359-1)))-O359)*(1-_xlfn.XLOOKUP(K359,'Janeiro 2023 - Valor Real'!A3:A15,'Janeiro 2023 - Valor Real'!C3:C15,0))+O359,(O359*L359-O359)*(1-_xlfn.XLOOKUP(K359,'Janeiro 2023 - Valor Real'!A3:A15,'Janeiro 2023 - Valor Real'!C3:C15,0))+O359))))</f>
        <v>11.84225</v>
      </c>
      <c r="Q359" s="279">
        <f>IF(K359="","",IF(_xlfn.XLOOKUP(K359,K$108:K126,DJ$108:DJ126,0,,-1)=DJ359,_xlfn.XLOOKUP(K359,K$108:K126,Q$108:Q126,1,,-1)+1,1))</f>
        <v>1</v>
      </c>
      <c r="R359" s="280">
        <f>IF(K359="","",_xlfn.XLOOKUP(K359,K$108:K126,R$108:R126,0,,-1)+IF($C359=" ",1,0))</f>
        <v>0</v>
      </c>
      <c r="S359" s="125"/>
      <c r="T359" s="126"/>
      <c r="U359" s="126"/>
      <c r="V359" s="224"/>
      <c r="W359" s="126"/>
      <c r="X359" s="127"/>
      <c r="Y359" s="128"/>
      <c r="Z359" s="129"/>
      <c r="AA359" s="129"/>
      <c r="AB359" s="129"/>
      <c r="AC359" s="129"/>
      <c r="AD359" s="130"/>
      <c r="AE359" s="131">
        <f>IF(L359="","",IF(L360&gt;0,(SUM(((L358-1)*(1-_xlfn.XLOOKUP(K358,'Janeiro 2023 - Valor Real'!A3:A15,'Janeiro 2023 - Valor Real'!C3:C15,0))+1),((L359-1)*(1-_xlfn.XLOOKUP(K359,'Janeiro 2023 - Valor Real'!A3:A15,'Janeiro 2023 - Valor Real'!C3:C15,0))+1),((L360-1)*(1-_xlfn.XLOOKUP(K360,'Janeiro 2023 - Valor Real'!A3:A15,'Janeiro 2023 - Valor Real'!C3:C15,0))+1))/((L359-1)*(1-_xlfn.XLOOKUP(K359,'Janeiro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Real'!C3:C15,0))+1))/((L358-1)*(1-_xlfn.XLOOKUP(K358,'Janeiro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Real'!C3:C15,0))+1))/((L359-1)*(1-_xlfn.XLOOKUP(K359,'Janeiro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Real'!C3:C15,0))+1))/((L360-1)*(1-_xlfn.XLOOKUP(K360,'Janeiro 2023 - Valor Real'!A3:A15,'Janeiro 2023 - Valor Real'!C3:C15,0))+1)),IF(I359="Lay",IF(I358="Lay",((L358/(L358-1)-1)*(1-_xlfn.XLOOKUP(K358,'Janeiro 2023 - Valor Real'!A3:A15,'Janeiro 2023 - Valor Real'!C3:C15,0))+1)/(((L358/(L358-1)-1)*(1-_xlfn.XLOOKUP(K358,'Janeiro 2023 - Valor Real'!A3:A15,'Janeiro 2023 - Valor Real'!C3:C15,0))+1)+((L359/(L359-1)-1)*(1-_xlfn.XLOOKUP(K359,'Janeiro 2023 - Valor Real'!A3:A15,'Janeiro 2023 - Valor Real'!C3:C15,0))+1)),((L358-1)*(1-_xlfn.XLOOKUP(K358,'Janeiro 2023 - Valor Real'!A3:A15,'Janeiro 2023 - Valor Real'!C3:C15,0))+1)/(((L358-1)*(1-_xlfn.XLOOKUP(K358,'Janeiro 2023 - Valor Real'!A3:A15,'Janeiro 2023 - Valor Real'!C3:C15,0))+1)+((L359/(L359-1)-1)*(1-_xlfn.XLOOKUP(K359,'Janeiro 2023 - Valor Real'!A3:A15,'Janeiro 2023 - Valor Real'!C3:C15,0))+1))),IF(I358="Lay",((L358/(L358-1)-1)*(1-_xlfn.XLOOKUP(K358,'Janeiro 2023 - Valor Real'!A3:A15,'Janeiro 2023 - Valor Real'!C3:C15,0))+1)/((((L358/(L358-1)-1)*(1-_xlfn.XLOOKUP(K358,'Janeiro 2023 - Valor Real'!A3:A15,'Janeiro 2023 - Valor Real'!C3:C15,0))+1))+((L359-1)*(1-_xlfn.XLOOKUP(K359,'Janeiro 2023 - Valor Real'!A3:A15,'Janeiro 2023 - Valor Real'!C3:C15,0))+1)),((L358-1)*(1-_xlfn.XLOOKUP(K358,'Janeiro 2023 - Valor Real'!A3:A15,'Janeiro 2023 - Valor Real'!C3:C15,0))+1)/(((L358-1)*(1-_xlfn.XLOOKUP(K358,'Janeiro 2023 - Valor Real'!A3:A15,'Janeiro 2023 - Valor Real'!C3:C15,0))+1)+((L359-1)*(1-_xlfn.XLOOKUP(K359,'Janeiro 2023 - Valor Real'!A3:A15,'Janeiro 2023 - Valor Real'!C3:C15,0))+1))))))</f>
        <v>0.625698324022346</v>
      </c>
      <c r="AF359" s="132">
        <f>IF($K359=AF$3,ROUND(IF(OR($C359="W",$C359="1/2W",$C359="1/2L"),$P359-$O359,IF($C359="X",0,-$O359)),2),0)</f>
        <v>0</v>
      </c>
      <c r="AG359" s="133">
        <f>IF($K359=AG$3,ROUND(IF(OR($C359="W",$C359="1/2W",$C359="1/2L"),$P359-$O359,IF($C359="X",0,-$O359)),2),0)</f>
        <v>0</v>
      </c>
      <c r="AH359" s="133">
        <f>IF($K359=AH$3,ROUND(IF(OR($C359="W",$C359="1/2W",$C359="1/2L"),$P359-$O359,IF($C359="X",0,-$O359)),2),0)</f>
        <v>0</v>
      </c>
      <c r="AI359" s="133">
        <f>IF($K359=AI$3,ROUND(IF(OR($C359="W",$C359="1/2W",$C359="1/2L"),$P359-$O359,IF($C359="X",0,-$O359)),2),0)</f>
        <v>0</v>
      </c>
      <c r="AJ359" s="133">
        <f>IF($K359=AJ$3,ROUND(IF(OR($C359="W",$C359="1/2W",$C359="1/2L"),$P359-$O359,IF($C359="X",0,-$O359)),2),0)</f>
        <v>0</v>
      </c>
      <c r="AK359" s="133">
        <f>IF($K359=AK$3,ROUND(IF(OR($C359="W",$C359="1/2W",$C359="1/2L"),$P359-$O359,IF($C359="X",0,-$O359)),2),0)</f>
        <v>0</v>
      </c>
      <c r="AL359" s="133">
        <f>IF($K359=AL$3,ROUND(IF(OR($C359="W",$C359="1/2W",$C359="1/2L"),$P359-$O359,IF($C359="X",0,-$O359)),2),0)</f>
        <v>0</v>
      </c>
      <c r="AM359" s="133">
        <f>IF($K359=AM$3,ROUND(IF(OR($C359="W",$C359="1/2W",$C359="1/2L"),$P359-$O359,IF($C359="X",0,-$O359)),2),0)</f>
        <v>-7.07</v>
      </c>
      <c r="AN359" s="133">
        <f>IF($K359=AN$3,ROUND(IF(OR($C359="W",$C359="1/2W",$C359="1/2L"),$P359-$O359,IF($C359="X",0,-$O359)),2),0)</f>
        <v>0</v>
      </c>
      <c r="AO359" s="133">
        <f>IF($K359=AO$3,ROUND(IF(OR($C359="W",$C359="1/2W",$C359="1/2L"),$P359-$O359,IF($C359="X",0,-$O359)),2),0)</f>
        <v>0</v>
      </c>
      <c r="AP359" s="133">
        <f>IF($K359=AP$3,ROUND(IF(OR($C359="W",$C359="1/2W",$C359="1/2L"),$P359-$O359,IF($C359="X",0,-$O359)),2),0)</f>
        <v>0</v>
      </c>
      <c r="AQ359" s="133">
        <f>IF($K359=AQ$3,ROUND(IF(OR($C359="W",$C359="1/2W",$C359="1/2L"),$P359-$O359,IF($C359="X",0,-$O359)),2),0)</f>
        <v>0</v>
      </c>
      <c r="AR359" s="134">
        <f>IF($K359=AR$3,ROUND(IF(OR($C359="W",$C359="1/2W",$C359="1/2L"),$P359-$O359,IF($C359="X",0,-$O359)),2),0)</f>
        <v>0</v>
      </c>
      <c r="AS359" s="132">
        <f>IF(AND($B358=" ",$K359=AS$3),$O359,0)</f>
        <v>0</v>
      </c>
      <c r="AT359" s="133">
        <f>IF(AND($B358=" ",K359=AT$3),$O359,0)</f>
        <v>0</v>
      </c>
      <c r="AU359" s="133">
        <f>IF(AND($B358=" ",$K359=AU$3),$O359,0)</f>
        <v>0</v>
      </c>
      <c r="AV359" s="133">
        <f>IF(AND($B358=" ",$K359=AV$3),$O359,0)</f>
        <v>0</v>
      </c>
      <c r="AW359" s="133">
        <f>IF(AND($B358=" ",$K359=AW$3),$O359,0)</f>
        <v>0</v>
      </c>
      <c r="AX359" s="133">
        <f>IF(AND($B358=" ",$K359=AX$3),$O359,0)</f>
        <v>0</v>
      </c>
      <c r="AY359" s="135">
        <f>IF(AND($B358=" ",$K359=AY$3),$O359,0)</f>
        <v>0</v>
      </c>
      <c r="AZ359" s="136">
        <f>IF(AND($B358=" ",$K359=AZ$3),$O359,0)</f>
        <v>0</v>
      </c>
      <c r="BA359" s="136">
        <f>IF(AND($B358=" ",$K359=BA$3),$O359,0)</f>
        <v>0</v>
      </c>
      <c r="BB359" s="136">
        <f>IF(AND($B358=" ",$K359=BB$3),$O359,0)</f>
        <v>0</v>
      </c>
      <c r="BC359" s="137">
        <f>IF(AND($B358=" ",$K359=BC$3),$O359,0)</f>
        <v>0</v>
      </c>
      <c r="BD359" s="133">
        <f>IF(AND($B358=" ",$K359=BD$3),$O359,0)</f>
        <v>0</v>
      </c>
      <c r="BE359" s="134">
        <f>IF(AND($B358=" ",$K359=BE$3),$O359,0)</f>
        <v>0</v>
      </c>
      <c r="BF359" s="132">
        <f>IF($K359=BF$3,IF($C359="X",0,$O359),0)</f>
        <v>0</v>
      </c>
      <c r="BG359" s="281">
        <f>IF($K359=BG$3,IF($C359="X",0,$O359),0)</f>
        <v>0</v>
      </c>
      <c r="BH359" s="133">
        <f>IF($K359=BH$3,IF($C359="X",0,$O359),0)</f>
        <v>0</v>
      </c>
      <c r="BI359" s="133">
        <f>IF($K359=BI$3,IF($C359="X",0,$O359),0)</f>
        <v>0</v>
      </c>
      <c r="BJ359" s="133">
        <f>IF($K359=BJ$3,IF($C359="X",0,$O359),0)</f>
        <v>0</v>
      </c>
      <c r="BK359" s="133">
        <f>IF($K359=BK$3,IF($C359="X",0,$O359),0)</f>
        <v>0</v>
      </c>
      <c r="BL359" s="133">
        <f>IF($K359=BL$3,IF($C359="X",0,$O359),0)</f>
        <v>0</v>
      </c>
      <c r="BM359" s="135">
        <f>IF($K359=BM$3,IF($C359="X",0,$O359),0)</f>
        <v>7.07</v>
      </c>
      <c r="BN359" s="136">
        <f>IF($K359=BN$3,IF($C359="X",0,$O359),0)</f>
        <v>0</v>
      </c>
      <c r="BO359" s="136">
        <f>IF($K359=BO$3,IF($C359="X",0,$O359),0)</f>
        <v>0</v>
      </c>
      <c r="BP359" s="136">
        <f>IF($K359=BP$3,IF($C359="X",0,$O359),0)</f>
        <v>0</v>
      </c>
      <c r="BQ359" s="137">
        <f>IF($K359=BQ$3,IF($C359="X",0,$O359),0)</f>
        <v>0</v>
      </c>
      <c r="BR359" s="134">
        <f>IF($K359=BR$3,IF($C359="X",0,$O359),0)</f>
        <v>0</v>
      </c>
      <c r="BS359" s="282"/>
      <c r="BT359" s="283"/>
      <c r="BU359" s="140"/>
      <c r="BV359" s="283"/>
      <c r="BW359" s="140"/>
      <c r="BX359" s="140"/>
      <c r="BY359" s="140"/>
      <c r="BZ359" s="283"/>
      <c r="CA359" s="140"/>
      <c r="CB359" s="140"/>
      <c r="CC359" s="140"/>
      <c r="CD359" s="141"/>
      <c r="CE359" s="142"/>
      <c r="CF359" s="284">
        <f>IF(CF$3=$K359,IF($C359="W",1,IF($C359="1/2W",0.5,0)),0)</f>
        <v>0</v>
      </c>
      <c r="CG359" s="285">
        <f>IF(CF$3=$K359,IF($C359="L",1,IF($C359="1/2L",0.5,0)),0)</f>
        <v>0</v>
      </c>
      <c r="CH359" s="285">
        <f>IF(CH$3=$K359,IF($C359="W",1,IF($C359="1/2W",0.5,0)),0)</f>
        <v>0</v>
      </c>
      <c r="CI359" s="285">
        <f>IF(CH$3=$K359,IF($C359="L",1,IF($C359="1/2L",0.5,0)),0)</f>
        <v>0</v>
      </c>
      <c r="CJ359" s="285">
        <f>IF(CJ$3=$K359,IF($C359="W",1,IF($C359="1/2W",0.5,0)),0)</f>
        <v>0</v>
      </c>
      <c r="CK359" s="285">
        <f>IF(CJ$3=$K359,IF($C359="L",1,IF($C359="1/2L",0.5,0)),0)</f>
        <v>0</v>
      </c>
      <c r="CL359" s="285">
        <f>IF(CL$3=$K359,IF($C359="W",1,IF($C359="1/2W",0.5,0)),0)</f>
        <v>0</v>
      </c>
      <c r="CM359" s="285">
        <f>IF(CL$3=$K359,IF($C359="L",1,IF($C359="1/2L",0.5,0)),0)</f>
        <v>0</v>
      </c>
      <c r="CN359" s="285">
        <f>IF(CN$3=$K359,IF($C359="W",1,IF($C359="1/2W",0.5,0)),0)</f>
        <v>0</v>
      </c>
      <c r="CO359" s="285">
        <f>IF(CN$3=$K359,IF($C359="L",1,IF($C359="1/2L",0.5,0)),0)</f>
        <v>0</v>
      </c>
      <c r="CP359" s="285">
        <f>IF(CP$3=$K359,IF($C359="W",1,IF($C359="1/2W",0.5,0)),0)</f>
        <v>0</v>
      </c>
      <c r="CQ359" s="285">
        <f>IF(CP$3=$K359,IF($C359="L",1,IF($C359="1/2L",0.5,0)),0)</f>
        <v>0</v>
      </c>
      <c r="CR359" s="285">
        <f>IF(CR$3=$K359,IF($C359="W",1,IF($C359="1/2W",0.5,0)),0)</f>
        <v>0</v>
      </c>
      <c r="CS359" s="285">
        <f>IF(CR$3=$K359,IF($C359="L",1,IF($C359="1/2L",0.5,0)),0)</f>
        <v>0</v>
      </c>
      <c r="CT359" s="145">
        <f>IF(CT$3=$K359,IF($C359="W",1,IF($C359="1/2W",0.5,0)),0)</f>
        <v>0</v>
      </c>
      <c r="CU359" s="146">
        <f>IF(CT$3=$K359,IF($C359="L",1,IF($C359="1/2L",0.5,0)),0)</f>
        <v>1</v>
      </c>
      <c r="CV359" s="146">
        <f>IF(CV$3=$K359,IF($C359="W",1,IF($C359="1/2W",0.5,0)),0)</f>
        <v>0</v>
      </c>
      <c r="CW359" s="146">
        <f>IF(CV$3=$K359,IF($C359="L",1,IF($C359="1/2L",0.5,0)),0)</f>
        <v>0</v>
      </c>
      <c r="CX359" s="146">
        <f>IF(CX$3=$K359,IF($C359="W",1,IF($C359="1/2W",0.5,0)),0)</f>
        <v>0</v>
      </c>
      <c r="CY359" s="146">
        <f>IF(CX$3=$K359,IF($C359="L",1,IF($C359="1/2L",0.5,0)),0)</f>
        <v>0</v>
      </c>
      <c r="CZ359" s="146">
        <f>IF(CZ$3=$K359,IF($C359="W",1,IF($C359="1/2W",0.5,0)),0)</f>
        <v>0</v>
      </c>
      <c r="DA359" s="146">
        <f>IF(CZ$3=$K359,IF($C359="L",1,IF($C359="1/2L",0.5,0)),0)</f>
        <v>0</v>
      </c>
      <c r="DB359" s="146">
        <f>IF(DB$3=$K359,IF($C359="W",1,IF($C359="1/2W",0.5,0)),0)</f>
        <v>0</v>
      </c>
      <c r="DC359" s="146">
        <f>IF(DB$3=$K359,IF($C359="L",1,IF($C359="1/2L",0.5,0)),0)</f>
        <v>0</v>
      </c>
      <c r="DD359" s="146">
        <f>IF(DD$3=$K359,IF($C359="W",1,IF($C359="1/2W",0.5,0)),0)</f>
        <v>0</v>
      </c>
      <c r="DE359" s="147">
        <f>IF(DD$3=$K359,IF($C359="L",1,IF($C359="1/2L",0.5,0)),0)</f>
        <v>0</v>
      </c>
      <c r="DF359" s="143">
        <f>IF(AND(L359&lt;DF$3,$C359="W"),1+DF358,DF358)</f>
        <v>12</v>
      </c>
      <c r="DG359" s="133">
        <f>IF(DF359&gt;DF358,L359+DG358,DG358)</f>
        <v>15.718</v>
      </c>
      <c r="DH359" s="146">
        <f>IF(AND(L359&gt;DH$3,$C359="W"),1+DH358,0+DH358)</f>
        <v>8</v>
      </c>
      <c r="DI359" s="133">
        <f>IF(DH359&gt;DH358,L359+DI358,DI358)</f>
        <v>45.33</v>
      </c>
      <c r="DJ359" t="s" s="304">
        <f>IF($D358="","",$D358)</f>
        <v>307</v>
      </c>
      <c r="DK359" s="286"/>
    </row>
    <row r="360" ht="14.55" customHeight="1">
      <c r="A360" s="149"/>
      <c r="B360" s="150"/>
      <c r="C360" t="s" s="151">
        <v>58</v>
      </c>
      <c r="D360" s="152"/>
      <c r="E360" s="153"/>
      <c r="F360" s="155"/>
      <c r="G360" s="252"/>
      <c r="H360" s="156"/>
      <c r="I360" s="287"/>
      <c r="J360" s="288"/>
      <c r="K360" s="156"/>
      <c r="L360" s="289"/>
      <c r="M360" s="290"/>
      <c r="N360" s="161"/>
      <c r="O360" t="s" s="162">
        <f>IF(OR(AE358="",AE359=""),"",IF(L360&gt;0,ROUND(IF(M360&gt;0,M360,IF(M358&gt;0,ROUND((M358*AE360)/AE358,IF(N358=0,2,IF(N358=0.1,1,0))),IF(M359&gt;0,ROUND((M359*AE360)/AE359,IF(N358=0,2,IF(N358=0.1,1,0))),IF(M360&gt;0,M360,0)))),2),""))</f>
      </c>
      <c r="P360" t="s" s="163">
        <f>IF(I359="Lay",O359*(L359/(L359-1))-O359,IF(I358="Lay",O358*(L358/(L358-1))-O358,IF(OR(L360="",O360=""),"",IF($C360="1/2W",O360/2+O360/2*L360,IF($C360="1/2L",O360/2,(O360*L360-O360)*(1-_xlfn.XLOOKUP(K360,'Janeiro 2023 - Valor Real'!A3:A15,'Janeiro 2023 - Valor Real'!C3:C15,0))+O360)))))</f>
      </c>
      <c r="Q360" t="s" s="154">
        <f>IF(K360="","",IF(_xlfn.XLOOKUP(K360,K$109:K127,DJ$109:DJ127,0,,-1)=DJ360,_xlfn.XLOOKUP(K360,K$109:K127,Q$109:Q127,1,,-1)+1,1))</f>
      </c>
      <c r="R360" t="s" s="163">
        <f>IF(K360="","",_xlfn.XLOOKUP(K360,K$109:K127,R$109:R127,0,,-1)+IF($C360=" ",1,0))</f>
      </c>
      <c r="S360" s="166"/>
      <c r="T360" s="155"/>
      <c r="U360" s="155"/>
      <c r="V360" s="166"/>
      <c r="W360" s="155"/>
      <c r="X360" s="167"/>
      <c r="Y360" s="128"/>
      <c r="Z360" s="129"/>
      <c r="AA360" s="129"/>
      <c r="AB360" s="129"/>
      <c r="AC360" s="129"/>
      <c r="AD360" s="168"/>
      <c r="AE360" t="s" s="169">
        <f>IF(L360="","",(SUM(((L358-1)*(1-_xlfn.XLOOKUP(K358,'Janeiro 2023 - Valor Real'!A3:A15,'Janeiro 2023 - Valor Real'!C3:C15,0))+1),((L359-1)*(1-_xlfn.XLOOKUP(K359,'Janeiro 2023 - Valor Real'!A3:A15,'Janeiro 2023 - Valor Real'!C3:C15,0))+1),((L360-1)*(1-_xlfn.XLOOKUP(K360,'Janeiro 2023 - Valor Real'!A3:A15,'Janeiro 2023 - Valor Real'!C3:C15,0))+1))/((L360-1)*(1-_xlfn.XLOOKUP(K360,'Janeiro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Real'!C3:C15,0))+1))/((L358-1)*(1-_xlfn.XLOOKUP(K358,'Janeiro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Real'!C3:C15,0))+1))/((L359-1)*(1-_xlfn.XLOOKUP(K359,'Janeiro 2023 - Valor Real'!A3:A15,'Janeiro 2023 - Valor Real'!C3:C15,0))+1)+SUM(((L358-1)*(1-_xlfn.XLOOKUP(K358,'Janeiro 2023 - Valor Real'!A3:A15,'Janeiro 2023 - Valor Real'!C3:C15,0))+1),((L359-1)*(1-_xlfn.XLOOKUP(K359,'Janeiro 2023 - Valor Real'!A3:A15,'Janeiro 2023 - Valor Real'!C3:C15,0))+1),((L360-1)*(1-_xlfn.XLOOKUP(K360,'Janeiro 2023 - Valor Real'!A3:A15,'Janeiro 2023 - Valor Real'!C3:C15,0))+1))/((L360-1)*(1-_xlfn.XLOOKUP(K360,'Janeiro 2023 - Valor Real'!A3:A15,'Janeiro 2023 - Valor Real'!C3:C15,0))+1)))</f>
      </c>
      <c r="AF360" s="132">
        <f>IF($K360=AF$3,ROUND(IF(OR($C360="W",$C360="1/2W",$C360="1/2L"),$P360-$O360,IF($C360="X",0,-$O360)),2),0)</f>
        <v>0</v>
      </c>
      <c r="AG360" s="133">
        <f>IF($K360=AG$3,ROUND(IF(OR($C360="W",$C360="1/2W",$C360="1/2L"),$P360-$O360,IF($C360="X",0,-$O360)),2),0)</f>
        <v>0</v>
      </c>
      <c r="AH360" s="133">
        <f>IF($K360=AH$3,ROUND(IF(OR($C360="W",$C360="1/2W",$C360="1/2L"),$P360-$O360,IF($C360="X",0,-$O360)),2),0)</f>
        <v>0</v>
      </c>
      <c r="AI360" s="133">
        <f>IF($K360=AI$3,ROUND(IF(OR($C360="W",$C360="1/2W",$C360="1/2L"),$P360-$O360,IF($C360="X",0,-$O360)),2),0)</f>
        <v>0</v>
      </c>
      <c r="AJ360" s="133">
        <f>IF($K360=AJ$3,ROUND(IF(OR($C360="W",$C360="1/2W",$C360="1/2L"),$P360-$O360,IF($C360="X",0,-$O360)),2),0)</f>
        <v>0</v>
      </c>
      <c r="AK360" s="133">
        <f>IF($K360=AK$3,ROUND(IF(OR($C360="W",$C360="1/2W",$C360="1/2L"),$P360-$O360,IF($C360="X",0,-$O360)),2),0)</f>
        <v>0</v>
      </c>
      <c r="AL360" s="133">
        <f>IF($K360=AL$3,ROUND(IF(OR($C360="W",$C360="1/2W",$C360="1/2L"),$P360-$O360,IF($C360="X",0,-$O360)),2),0)</f>
        <v>0</v>
      </c>
      <c r="AM360" s="133">
        <f>IF($K360=AM$3,ROUND(IF(OR($C360="W",$C360="1/2W",$C360="1/2L"),$P360-$O360,IF($C360="X",0,-$O360)),2),0)</f>
        <v>0</v>
      </c>
      <c r="AN360" s="133">
        <f>IF($K360=AN$3,ROUND(IF(OR($C360="W",$C360="1/2W",$C360="1/2L"),$P360-$O360,IF($C360="X",0,-$O360)),2),0)</f>
        <v>0</v>
      </c>
      <c r="AO360" s="133">
        <f>IF($K360=AO$3,ROUND(IF(OR($C360="W",$C360="1/2W",$C360="1/2L"),$P360-$O360,IF($C360="X",0,-$O360)),2),0)</f>
        <v>0</v>
      </c>
      <c r="AP360" s="133">
        <f>IF($K360=AP$3,ROUND(IF(OR($C360="W",$C360="1/2W",$C360="1/2L"),$P360-$O360,IF($C360="X",0,-$O360)),2),0)</f>
        <v>0</v>
      </c>
      <c r="AQ360" s="133">
        <f>IF($K360=AQ$3,ROUND(IF(OR($C360="W",$C360="1/2W",$C360="1/2L"),$P360-$O360,IF($C360="X",0,-$O360)),2),0)</f>
        <v>0</v>
      </c>
      <c r="AR360" s="134">
        <f>IF($K360=AR$3,ROUND(IF(OR($C360="W",$C360="1/2W",$C360="1/2L"),$P360-$O360,IF($C360="X",0,-$O360)),2),0)</f>
        <v>0</v>
      </c>
      <c r="AS360" s="132">
        <f>IF(AND($B358=" ",$K360=AS$3),$O360,0)</f>
        <v>0</v>
      </c>
      <c r="AT360" s="133">
        <f>IF(AND($B358=" ",K360=AT$3),$O360,0)</f>
        <v>0</v>
      </c>
      <c r="AU360" s="133">
        <f>IF(AND($B358=" ",$K360=AU$3),$O360,0)</f>
        <v>0</v>
      </c>
      <c r="AV360" s="133">
        <f>IF(AND($B358=" ",$K360=AV$3),$O360,0)</f>
        <v>0</v>
      </c>
      <c r="AW360" s="133">
        <f>IF(AND($B358=" ",$K360=AW$3),$O360,0)</f>
        <v>0</v>
      </c>
      <c r="AX360" s="133">
        <f>IF(AND($B358=" ",$K360=AX$3),$O360,0)</f>
        <v>0</v>
      </c>
      <c r="AY360" s="135">
        <f>IF(AND($B358=" ",$K360=AY$3),$O360,0)</f>
        <v>0</v>
      </c>
      <c r="AZ360" s="136">
        <f>IF(AND($B358=" ",$K360=AZ$3),$O360,0)</f>
        <v>0</v>
      </c>
      <c r="BA360" s="136">
        <f>IF(AND($B358=" ",$K360=BA$3),$O360,0)</f>
        <v>0</v>
      </c>
      <c r="BB360" s="136">
        <f>IF(AND($B358=" ",$K360=BB$3),$O360,0)</f>
        <v>0</v>
      </c>
      <c r="BC360" s="137">
        <f>IF(AND($B358=" ",$K360=BC$3),$O360,0)</f>
        <v>0</v>
      </c>
      <c r="BD360" s="133">
        <f>IF(AND($B358=" ",$K360=BD$3),$O360,0)</f>
        <v>0</v>
      </c>
      <c r="BE360" s="134">
        <f>IF(AND($B358=" ",$K360=BE$3),$O360,0)</f>
        <v>0</v>
      </c>
      <c r="BF360" s="132">
        <f>IF($K360=BF$3,IF($C360="X",0,$O360),0)</f>
        <v>0</v>
      </c>
      <c r="BG360" s="281">
        <f>IF($K360=BG$3,IF($C360="X",0,$O360),0)</f>
        <v>0</v>
      </c>
      <c r="BH360" s="133">
        <f>IF($K360=BH$3,IF($C360="X",0,$O360),0)</f>
        <v>0</v>
      </c>
      <c r="BI360" s="133">
        <f>IF($K360=BI$3,IF($C360="X",0,$O360),0)</f>
        <v>0</v>
      </c>
      <c r="BJ360" s="133">
        <f>IF($K360=BJ$3,IF($C360="X",0,$O360),0)</f>
        <v>0</v>
      </c>
      <c r="BK360" s="133">
        <f>IF($K360=BK$3,IF($C360="X",0,$O360),0)</f>
        <v>0</v>
      </c>
      <c r="BL360" s="133">
        <f>IF($K360=BL$3,IF($C360="X",0,$O360),0)</f>
        <v>0</v>
      </c>
      <c r="BM360" s="135">
        <f>IF($K360=BM$3,IF($C360="X",0,$O360),0)</f>
        <v>0</v>
      </c>
      <c r="BN360" s="136">
        <f>IF($K360=BN$3,IF($C360="X",0,$O360),0)</f>
        <v>0</v>
      </c>
      <c r="BO360" s="136">
        <f>IF($K360=BO$3,IF($C360="X",0,$O360),0)</f>
        <v>0</v>
      </c>
      <c r="BP360" s="136">
        <f>IF($K360=BP$3,IF($C360="X",0,$O360),0)</f>
        <v>0</v>
      </c>
      <c r="BQ360" s="137">
        <f>IF($K360=BQ$3,IF($C360="X",0,$O360),0)</f>
        <v>0</v>
      </c>
      <c r="BR360" s="134">
        <f>IF($K360=BR$3,IF($C360="X",0,$O360),0)</f>
        <v>0</v>
      </c>
      <c r="BS360" s="282"/>
      <c r="BT360" s="283"/>
      <c r="BU360" s="140"/>
      <c r="BV360" s="283"/>
      <c r="BW360" s="140"/>
      <c r="BX360" s="140"/>
      <c r="BY360" s="140"/>
      <c r="BZ360" s="283"/>
      <c r="CA360" s="140"/>
      <c r="CB360" s="140"/>
      <c r="CC360" s="140"/>
      <c r="CD360" s="141"/>
      <c r="CE360" s="142"/>
      <c r="CF360" s="284">
        <f>IF(CF$3=$K360,IF($C360="W",1,IF($C360="1/2W",0.5,0)),0)</f>
        <v>0</v>
      </c>
      <c r="CG360" s="285">
        <f>IF(CF$3=$K360,IF($C360="L",1,IF($C360="1/2L",0.5,0)),0)</f>
        <v>0</v>
      </c>
      <c r="CH360" s="285">
        <f>IF(CH$3=$K360,IF($C360="W",1,IF($C360="1/2W",0.5,0)),0)</f>
        <v>0</v>
      </c>
      <c r="CI360" s="285">
        <f>IF(CH$3=$K360,IF($C360="L",1,IF($C360="1/2L",0.5,0)),0)</f>
        <v>0</v>
      </c>
      <c r="CJ360" s="285">
        <f>IF(CJ$3=$K360,IF($C360="W",1,IF($C360="1/2W",0.5,0)),0)</f>
        <v>0</v>
      </c>
      <c r="CK360" s="285">
        <f>IF(CJ$3=$K360,IF($C360="L",1,IF($C360="1/2L",0.5,0)),0)</f>
        <v>0</v>
      </c>
      <c r="CL360" s="285">
        <f>IF(CL$3=$K360,IF($C360="W",1,IF($C360="1/2W",0.5,0)),0)</f>
        <v>0</v>
      </c>
      <c r="CM360" s="285">
        <f>IF(CL$3=$K360,IF($C360="L",1,IF($C360="1/2L",0.5,0)),0)</f>
        <v>0</v>
      </c>
      <c r="CN360" s="285">
        <f>IF(CN$3=$K360,IF($C360="W",1,IF($C360="1/2W",0.5,0)),0)</f>
        <v>0</v>
      </c>
      <c r="CO360" s="285">
        <f>IF(CN$3=$K360,IF($C360="L",1,IF($C360="1/2L",0.5,0)),0)</f>
        <v>0</v>
      </c>
      <c r="CP360" s="285">
        <f>IF(CP$3=$K360,IF($C360="W",1,IF($C360="1/2W",0.5,0)),0)</f>
        <v>0</v>
      </c>
      <c r="CQ360" s="285">
        <f>IF(CP$3=$K360,IF($C360="L",1,IF($C360="1/2L",0.5,0)),0)</f>
        <v>0</v>
      </c>
      <c r="CR360" s="285">
        <f>IF(CR$3=$K360,IF($C360="W",1,IF($C360="1/2W",0.5,0)),0)</f>
        <v>0</v>
      </c>
      <c r="CS360" s="285">
        <f>IF(CR$3=$K360,IF($C360="L",1,IF($C360="1/2L",0.5,0)),0)</f>
        <v>0</v>
      </c>
      <c r="CT360" s="145">
        <f>IF(CT$3=$K360,IF($C360="W",1,IF($C360="1/2W",0.5,0)),0)</f>
        <v>0</v>
      </c>
      <c r="CU360" s="146">
        <f>IF(CT$3=$K360,IF($C360="L",1,IF($C360="1/2L",0.5,0)),0)</f>
        <v>0</v>
      </c>
      <c r="CV360" s="146">
        <f>IF(CV$3=$K360,IF($C360="W",1,IF($C360="1/2W",0.5,0)),0)</f>
        <v>0</v>
      </c>
      <c r="CW360" s="146">
        <f>IF(CV$3=$K360,IF($C360="L",1,IF($C360="1/2L",0.5,0)),0)</f>
        <v>0</v>
      </c>
      <c r="CX360" s="146">
        <f>IF(CX$3=$K360,IF($C360="W",1,IF($C360="1/2W",0.5,0)),0)</f>
        <v>0</v>
      </c>
      <c r="CY360" s="146">
        <f>IF(CX$3=$K360,IF($C360="L",1,IF($C360="1/2L",0.5,0)),0)</f>
        <v>0</v>
      </c>
      <c r="CZ360" s="146">
        <f>IF(CZ$3=$K360,IF($C360="W",1,IF($C360="1/2W",0.5,0)),0)</f>
        <v>0</v>
      </c>
      <c r="DA360" s="146">
        <f>IF(CZ$3=$K360,IF($C360="L",1,IF($C360="1/2L",0.5,0)),0)</f>
        <v>0</v>
      </c>
      <c r="DB360" s="146">
        <f>IF(DB$3=$K360,IF($C360="W",1,IF($C360="1/2W",0.5,0)),0)</f>
        <v>0</v>
      </c>
      <c r="DC360" s="146">
        <f>IF(DB$3=$K360,IF($C360="L",1,IF($C360="1/2L",0.5,0)),0)</f>
        <v>0</v>
      </c>
      <c r="DD360" s="146">
        <f>IF(DD$3=$K360,IF($C360="W",1,IF($C360="1/2W",0.5,0)),0)</f>
        <v>0</v>
      </c>
      <c r="DE360" s="147">
        <f>IF(DD$3=$K360,IF($C360="L",1,IF($C360="1/2L",0.5,0)),0)</f>
        <v>0</v>
      </c>
      <c r="DF360" s="143">
        <f>IF(AND(L360&lt;DF$3,$C360="W"),1+DF359,DF359)</f>
        <v>12</v>
      </c>
      <c r="DG360" s="133">
        <f>IF(DF360&gt;DF359,L360+DG359,DG359)</f>
        <v>15.718</v>
      </c>
      <c r="DH360" s="146">
        <f>IF(AND(L360&gt;DH$3,$C360="W"),1+DH359,0+DH359)</f>
        <v>8</v>
      </c>
      <c r="DI360" s="133">
        <f>IF(DH360&gt;DH359,L360+DI359,DI359)</f>
        <v>45.33</v>
      </c>
      <c r="DJ360" t="s" s="304">
        <f>IF($D358="","",$D358)</f>
        <v>307</v>
      </c>
      <c r="DK360" s="286"/>
    </row>
    <row r="361" ht="14.55" customHeight="1">
      <c r="A361" s="171">
        <f>$A358+1</f>
        <v>120</v>
      </c>
      <c r="B361" t="s" s="172">
        <f>IF(AND(_xlfn.XLOOKUP(H361,H$110:H122,G$110:G122,0)=G361,_xlfn.XLOOKUP("TempoBet",K361:K363,L361:L363,0)&gt;0),"X",IF(OR(C361="W",C362="W",C363="W",C361="1/2W",C362="1/2W",C363="1/2W",C361="1/2L",C362="1/2L",C363="1/2L"),"OK",IF(OR(C361="L",C362="L",C363="L"),"LOSS",IF(OR(C361="X",C362="X",C363="X"),"Anulado"," "))))</f>
        <v>50</v>
      </c>
      <c r="C361" t="s" s="173">
        <v>51</v>
      </c>
      <c r="D361" t="s" s="305">
        <f>IF(G361="","",$D358)</f>
        <v>307</v>
      </c>
      <c r="E361" t="s" s="175">
        <f>IF(G361=""," ","– "&amp;COUNTIF(D$4:D363,$D361))</f>
        <v>59</v>
      </c>
      <c r="F361" t="s" s="176"/>
      <c r="G361" s="177">
        <v>44949.479166666664</v>
      </c>
      <c r="H361" t="s" s="178">
        <v>308</v>
      </c>
      <c r="I361" t="s" s="179">
        <v>54</v>
      </c>
      <c r="J361" s="291">
        <v>-1</v>
      </c>
      <c r="K361" t="s" s="181">
        <v>37</v>
      </c>
      <c r="L361" s="182">
        <v>2.025</v>
      </c>
      <c r="M361" s="183">
        <v>17.07</v>
      </c>
      <c r="N361" s="184">
        <v>0</v>
      </c>
      <c r="O361" s="185">
        <f>IF(OR(AE361="",AE362=""),"",ROUND(IF(L363&gt;0,IF(M361&gt;0,M361,IF(M362&gt;0,ROUND((M362*AE361)/AE362,IF(N361=0,2,IF(N361=0.1,1,0))),ROUND((M363*AE361)/AE363,IF(N361=0,2,IF(N361=0.1,1,0))))),IF(M361&gt;0,M361,ROUND((M362*AE361)/AE362,IF(N361=0,2,IF(N361=0.1,1,0))))),2))</f>
        <v>17.07</v>
      </c>
      <c r="P361" s="186">
        <f>IF(OR(L361="",O361=""),"",IF($C361="1/2W",O361/2+O361/2*L361,IF($C361="1/2L",O361/2,IF(I361="Lay",(O361*(L361/(L361-1))-O361)*(1-_xlfn.XLOOKUP(K361,'Janeiro 2023 - Valor Real'!A3:A15,'Janeiro 2023 - Valor Real'!C3:C15,0))+O361,(O361*L361-O361)*(1-_xlfn.XLOOKUP(K361,'Janeiro 2023 - Valor Real'!A3:A15,'Janeiro 2023 - Valor Real'!C3:C15,0))+O361))))</f>
        <v>34.56675</v>
      </c>
      <c r="Q361" s="187">
        <f>IF(K361="","",IF(_xlfn.XLOOKUP(K361,K$110:K122,DJ$110:DJ122,0,,-1)=DJ361,_xlfn.XLOOKUP(K361,K$110:K122,Q$110:Q122,1,,-1)+1,1))</f>
        <v>1</v>
      </c>
      <c r="R361" s="188">
        <f>IF(K361="","",_xlfn.XLOOKUP(K361,K$110:K122,R$110:R122,0,,-1)+IF($C361=" ",1,0))</f>
        <v>0</v>
      </c>
      <c r="S361" s="189">
        <f>IF($B361="Anulado",0,ROUND(IF(OR($B361="LOSS",$B361="OK"),IF(OR($C361="W",$C361="1/2W",$C361="1/2L"),P361-O361,IF($C361="L",-O361,0))+IF(OR($C362="W",$C362="1/2W",$C362="1/2L"),P362-O362,IF($C362="L",-O362,0))+IF(OR($C363="W",$C363="1/2W",$C363="1/2L"),P363-O363,IF($C363="L",-O363,0)),IF(AND(OR($C361="W",$C361="1/2W",$C361="1/2L"),C362="W"),P361+P362-SUM(O361:O363)+_xlfn.XLOOKUP("X",C361:C363,O361:O363,0),IF(AND(C361=TRUE,C363="W"),P361+P363-SUM(O361:O363),IF(AND(C362="W",C363="W"),P362+P363-SUM(O361:O363)+_xlfn.XLOOKUP("X",C361:C363,O361:O363,0),IF(L363&gt;0,IF(OR($C361="W",$C361="1/2W",$C361="1/2L"),P361-SUM(O361:O363)+_xlfn.XLOOKUP("X",C361:C363,O361:O363,0),IF(OR($C361="W",$C361="1/2W",$C361="1/2L"),P362-SUM(O361:O363)+_xlfn.XLOOKUP("X",C361:C363,O361:O363,0),IF(OR($C361="W",$C361="1/2W",$C361="1/2L"),P363-SUM(O361:O363)+_xlfn.XLOOKUP("X",C361:C363,O361:O363,0),IF(SUM(P361:P363)/3-SUM(O361:O363)+_xlfn.XLOOKUP("X",C361:C363,O361:O363,0)&gt;0,SUM(P361:P363)/3-SUM(O361:O363)+_xlfn.XLOOKUP("X",C361:C363,O361:O363,0),LARGE(P361:P363,1)-SUM(O361:O363))))),IF(OR($C361="W",$C361="1/2W",$C361="1/2L"),P361-SUM(O361:O362)+_xlfn.XLOOKUP("X",C361:C363,O361:O363,0),IF(OR($C361="W",$C361="1/2W",$C361="1/2L"),P362-SUM(O361:O362)+_xlfn.XLOOKUP("X",C361:C363,O361:O363,0),SUM(P361:P362)/2-SUM(O361:O362)+_xlfn.XLOOKUP("X",C361:C363,O361:O363,0)))))))),2))</f>
        <v>5.13</v>
      </c>
      <c r="T361" s="190">
        <f>IF(S361=0,0,S361/SUM(O361:O363))</f>
        <v>0.159962581852198</v>
      </c>
      <c r="U361" s="191">
        <f>IF($D361=$D358,IF(OR($B361="LOSS",$B361="OK",$B361="Anulada"),S361,0)+U358,IF(OR($B361="LOSS",$B361="OK",$B361="Anulada"),S361,0))</f>
        <v>5.67</v>
      </c>
      <c r="V361" s="191">
        <f>IF($D361="",0,IF($D361=$D358,IF($B361=" ",IF(I363="",IF(OR(AND(I361="DNB1",I362="DNB2"),AND(OR(I361="DNB1",I361="DNB2"),J362=0),AND(OR(I362="DNB1",I362="DNB2"),J361=0),AND(I361="DNB2",I362="DNB1"),AND(IF(J361=0,(J361+1)/ROUND(J361+1,0),J361/ROUND(J361,0))=1,IF(J362=0,(J362+1)/ROUND(IF(J362="",0,J362)+1,0),IF(J362="",0,J362)/ROUND(IF(J362="",1,J362),0))=1,OR(J361&lt;&gt;""),J362&lt;&gt;"")),0,IF(S361&lt;0,IF(I363="",SMALL(P361:P362,1)-SUM(O361:O362),0),SMALL(P361:P362,1)-SUM(O361:O362))),IF(S361&lt;0,IF(I363="",SMALL(P361:P363,1)-SUM(O361:O363),0),LARGE(P361:P363,1)-SUM(O361:O363))),S361)+V358,IF(I363="",IF(OR(AND(I361="DNB1",I362="DNB2"),AND(OR(I361="DNB1",I361="DNB2"),J362=0),AND(OR(I362="DNB1",I362="DNB2"),J361=0),AND(I361="DNB2",I362="DNB1"),AND(IF(J361=0,(J361+1)/ROUND(J361+1,0),J361/ROUND(J361,0))=1,IF(J362=0,(IF(J362="",0,J362)+1)/ROUND(IF(J362="",0,J362)+1,0),IF(J362="",0,J362)/ROUND(IF(J362="",0,J362)+1,0))=1,OR(J361&lt;&gt;""),J362&lt;&gt;"")),0,IF(S361&lt;0,IF(I363="",SMALL(P361:P362,1)-SUM(O361:O362),0),SMALL(P361:P363,1)-SUM(O361:O363))),IF(S361&lt;0,IF(I363="",SMALL(P361:P363,1)-SUM(O361:O363),0),LARGE(P361:P363,1)-SUM(O361:O363)))))</f>
        <v>5.67225</v>
      </c>
      <c r="W361" s="191">
        <f>IF($D361=$D358,IF(S361&lt;0,IF(I363="",S361,0),S361)+W358,S361)</f>
        <v>5.67</v>
      </c>
      <c r="X361" t="s" s="192">
        <f>IF(OR(SUM(R361:R363)=0,V361=W361),ROUND(IF(W361=0,0,W361/Y361)*100,2)&amp;"%",ROUND(IF(V361=0,0,V361/Y361)*100,2)&amp;"% a "&amp;ROUND(IF(W361=0,0,W361/Y361)*100,2)&amp;"%")</f>
        <v>309</v>
      </c>
      <c r="Y361" s="193">
        <f>IF($D361=$D358,Y358+SUM(O361:O363),SUM(O361:O363))</f>
        <v>43.37</v>
      </c>
      <c r="Z361" s="191">
        <f>IF($B361=" ",SUM(O361:O363),0)+Z358</f>
        <v>0</v>
      </c>
      <c r="AA361" s="191">
        <f>IF(G361="","",IF($B361="Anulado",LARGE(P361:P363,1)-SUM(O361:O363)+AA358,AA358))</f>
        <v>16.5099</v>
      </c>
      <c r="AB361" s="191">
        <f>IF($D361="","",AB358+S361)</f>
        <v>257.34</v>
      </c>
      <c r="AC361" s="194">
        <f>IF($D361="","",IF($B361=" ",IF(DAY(G361)=DAY(TODAY()),1+AC358,0+AC358),0+AC358))</f>
        <v>0</v>
      </c>
      <c r="AD361" s="195">
        <f>(((L362/(L362-1)-1)*(1-_xlfn.XLOOKUP(K362,'Janeiro 2023 - Valor Real'!A3:A15,'Janeiro 2023 - Valor Real'!C3:C15,0))+1))/(((L361-1)*(1-_xlfn.XLOOKUP(K361,'Janeiro 2023 - Valor Real'!A3:A15,'Janeiro 2023 - Valor Real'!C3:C15,0))+1)+((L362/(L362-1)-1)*(1-_xlfn.XLOOKUP(K362,'Janeiro 2023 - Valor Real'!A3:A15,'Janeiro 2023 - Valor Real'!C3:C15,0))+1))</f>
        <v>0.452802629176557</v>
      </c>
      <c r="AE361" s="196">
        <f>IF(L361="","",IF(L363&gt;0,(SUM(((L361-1)*(1-_xlfn.XLOOKUP(K361,'Janeiro 2023 - Valor Real'!A3:A15,'Janeiro 2023 - Valor Real'!C3:C15,0))+1),((L362-1)*(1-_xlfn.XLOOKUP(K362,'Janeiro 2023 - Valor Real'!A3:A15,'Janeiro 2023 - Valor Real'!C3:C15,0))+1),((L363-1)*(1-_xlfn.XLOOKUP(K363,'Janeiro 2023 - Valor Real'!A3:A15,'Janeiro 2023 - Valor Real'!C3:C15,0))+1))/((L361-1)*(1-_xlfn.XLOOKUP(K361,'Janeiro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Real'!C3:C15,0))+1))/((L361-1)*(1-_xlfn.XLOOKUP(K361,'Janeiro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Real'!C3:C15,0))+1))/((L362-1)*(1-_xlfn.XLOOKUP(K362,'Janeiro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Real'!C3:C15,0))+1))/((L363-1)*(1-_xlfn.XLOOKUP(K363,'Janeiro 2023 - Valor Real'!A3:A15,'Janeiro 2023 - Valor Real'!C3:C15,0))+1)),IF(I361="Lay",IF(I362="Lay",((L362/(L362-1)-1)*(1-_xlfn.XLOOKUP(K362,'Janeiro 2023 - Valor Real'!A3:A15,'Janeiro 2023 - Valor Real'!C3:C15,0))+1)/(((L362/(L362-1)-1)*(1-_xlfn.XLOOKUP(K362,'Janeiro 2023 - Valor Real'!A3:A15,'Janeiro 2023 - Valor Real'!C3:C15,0))+1)+((L361/(L361-1)-1)*(1-_xlfn.XLOOKUP(K361,'Janeiro 2023 - Valor Real'!A3:A15,'Janeiro 2023 - Valor Real'!C3:C15,0))+1)),((L362-1)*(1-_xlfn.XLOOKUP(K362,'Janeiro 2023 - Valor Real'!A3:A15,'Janeiro 2023 - Valor Real'!C3:C15,0))+1)/(((L362-1)*(1-_xlfn.XLOOKUP(K362,'Janeiro 2023 - Valor Real'!A3:A15,'Janeiro 2023 - Valor Real'!C3:C15,0))+1)+((L361/(L361-1)-1)*(1-_xlfn.XLOOKUP(K361,'Janeiro 2023 - Valor Real'!A3:A15,'Janeiro 2023 - Valor Real'!C3:C15,0))+1))),IF(I362="Lay",(((L362/(L362-1)-1)*(1-_xlfn.XLOOKUP(K362,'Janeiro 2023 - Valor Real'!A3:A15,'Janeiro 2023 - Valor Real'!C3:C15,0))+1))/(((L361-1)*(1-_xlfn.XLOOKUP(K361,'Janeiro 2023 - Valor Real'!A3:A15,'Janeiro 2023 - Valor Real'!C3:C15,0))+1)+((L362/(L362-1)-1)*(1-_xlfn.XLOOKUP(K362,'Janeiro 2023 - Valor Real'!A3:A15,'Janeiro 2023 - Valor Real'!C3:C15,0))+1)),((L362-1)*(1-_xlfn.XLOOKUP(K362,'Janeiro 2023 - Valor Real'!A3:A15,'Janeiro 2023 - Valor Real'!C3:C15,0))+1)/(((L362-1)*(1-_xlfn.XLOOKUP(K362,'Janeiro 2023 - Valor Real'!A3:A15,'Janeiro 2023 - Valor Real'!C3:C15,0))+1)+((L361-1)*(1-_xlfn.XLOOKUP(K361,'Janeiro 2023 - Valor Real'!A3:A15,'Janeiro 2023 - Valor Real'!C3:C15,0))+1))))))</f>
        <v>0.550499445061043</v>
      </c>
      <c r="AF361" s="197">
        <f>IF($K361=AF$3,ROUND(IF(OR($C361="W",$C361="1/2W",$C361="1/2L"),$P361-$O361,IF($C361="X",0,-$O361)),2),0)</f>
        <v>-17.07</v>
      </c>
      <c r="AG361" s="198">
        <f>IF($K361=AG$3,ROUND(IF(OR($C361="W",$C361="1/2W",$C361="1/2L"),$P361-$O361,IF($C361="X",0,-$O361)),2),0)</f>
        <v>0</v>
      </c>
      <c r="AH361" s="198">
        <f>IF($K361=AH$3,ROUND(IF(OR($C361="W",$C361="1/2W",$C361="1/2L"),$P361-$O361,IF($C361="X",0,-$O361)),2),0)</f>
        <v>0</v>
      </c>
      <c r="AI361" s="198">
        <f>IF($K361=AI$3,ROUND(IF(OR($C361="W",$C361="1/2W",$C361="1/2L"),$P361-$O361,IF($C361="X",0,-$O361)),2),0)</f>
        <v>0</v>
      </c>
      <c r="AJ361" s="198">
        <f>IF($K361=AJ$3,ROUND(IF(OR($C361="W",$C361="1/2W",$C361="1/2L"),$P361-$O361,IF($C361="X",0,-$O361)),2),0)</f>
        <v>0</v>
      </c>
      <c r="AK361" s="198">
        <f>IF($K361=AK$3,ROUND(IF(OR($C361="W",$C361="1/2W",$C361="1/2L"),$P361-$O361,IF($C361="X",0,-$O361)),2),0)</f>
        <v>0</v>
      </c>
      <c r="AL361" s="198">
        <f>IF($K361=AL$3,ROUND(IF(OR($C361="W",$C361="1/2W",$C361="1/2L"),$P361-$O361,IF($C361="X",0,-$O361)),2),0)</f>
        <v>0</v>
      </c>
      <c r="AM361" s="198">
        <f>IF($K361=AM$3,ROUND(IF(OR($C361="W",$C361="1/2W",$C361="1/2L"),$P361-$O361,IF($C361="X",0,-$O361)),2),0)</f>
        <v>0</v>
      </c>
      <c r="AN361" s="198">
        <f>IF($K361=AN$3,ROUND(IF(OR($C361="W",$C361="1/2W",$C361="1/2L"),$P361-$O361,IF($C361="X",0,-$O361)),2),0)</f>
        <v>0</v>
      </c>
      <c r="AO361" s="198">
        <f>IF($K361=AO$3,ROUND(IF(OR($C361="W",$C361="1/2W",$C361="1/2L"),$P361-$O361,IF($C361="X",0,-$O361)),2),0)</f>
        <v>0</v>
      </c>
      <c r="AP361" s="198">
        <f>IF($K361=AP$3,ROUND(IF(OR($C361="W",$C361="1/2W",$C361="1/2L"),$P361-$O361,IF($C361="X",0,-$O361)),2),0)</f>
        <v>0</v>
      </c>
      <c r="AQ361" s="198">
        <f>IF($K361=AQ$3,ROUND(IF(OR($C361="W",$C361="1/2W",$C361="1/2L"),$P361-$O361,IF($C361="X",0,-$O361)),2),0)</f>
        <v>0</v>
      </c>
      <c r="AR361" s="199">
        <f>IF($K361=AR$3,ROUND(IF(OR($C361="W",$C361="1/2W",$C361="1/2L"),$P361-$O361,IF($C361="X",0,-$O361)),2),0)</f>
        <v>0</v>
      </c>
      <c r="AS361" s="197">
        <f>IF(AND($B361=" ",$K361=AS$3),$O361,0)</f>
        <v>0</v>
      </c>
      <c r="AT361" s="198">
        <f>IF(AND($B361=" ",$K361=AT$3),$O361,0)</f>
        <v>0</v>
      </c>
      <c r="AU361" s="198">
        <f>IF(AND($B361=" ",$K361=AU$3),$O361,0)</f>
        <v>0</v>
      </c>
      <c r="AV361" s="198">
        <f>IF(AND($B361=" ",$K361=AV$3),$O361,0)</f>
        <v>0</v>
      </c>
      <c r="AW361" s="198">
        <f>IF(AND($B361=" ",$K361=AW$3),$O361,0)</f>
        <v>0</v>
      </c>
      <c r="AX361" s="198">
        <f>IF(AND($B361=" ",$K361=AX$3),$O361,0)</f>
        <v>0</v>
      </c>
      <c r="AY361" s="200">
        <f>IF(AND($B361=" ",$K361=AY$3),$O361,0)</f>
        <v>0</v>
      </c>
      <c r="AZ361" s="201">
        <f>IF(AND($B361=" ",$K361=AZ$3),$O361,0)</f>
        <v>0</v>
      </c>
      <c r="BA361" s="201">
        <f>IF(AND($B361=" ",$K361=BA$3),$O361,0)</f>
        <v>0</v>
      </c>
      <c r="BB361" s="201">
        <f>IF(AND($B361=" ",$K361=BB$3),$O361,0)</f>
        <v>0</v>
      </c>
      <c r="BC361" s="202">
        <f>IF(AND($B361=" ",$K361=BC$3),$O361,0)</f>
        <v>0</v>
      </c>
      <c r="BD361" s="198">
        <f>IF(AND($B361=" ",$K361=BD$3),$O361,0)</f>
        <v>0</v>
      </c>
      <c r="BE361" s="199">
        <f>IF(AND($B361=" ",$K361=BE$3),$O361,0)</f>
        <v>0</v>
      </c>
      <c r="BF361" s="203">
        <f>IF($K361=BF$3,IF($C361="X",0,$O361),0)</f>
        <v>17.07</v>
      </c>
      <c r="BG361" s="198">
        <f>IF($K361=BG$3,IF($C361="X",0,$O361),0)</f>
        <v>0</v>
      </c>
      <c r="BH361" s="198">
        <f>IF($K361=BH$3,IF($C361="X",0,$O361),0)</f>
        <v>0</v>
      </c>
      <c r="BI361" s="198">
        <f>IF($K361=BI$3,IF($C361="X",0,$O361),0)</f>
        <v>0</v>
      </c>
      <c r="BJ361" s="198">
        <f>IF($K361=BJ$3,IF($C361="X",0,$O361),0)</f>
        <v>0</v>
      </c>
      <c r="BK361" s="198">
        <f>IF($K361=BK$3,IF($C361="X",0,$O361),0)</f>
        <v>0</v>
      </c>
      <c r="BL361" s="198">
        <f>IF($K361=BL$3,IF($C361="X",0,$O361),0)</f>
        <v>0</v>
      </c>
      <c r="BM361" s="200">
        <f>IF($K361=BM$3,IF($C361="X",0,$O361),0)</f>
        <v>0</v>
      </c>
      <c r="BN361" s="201">
        <f>IF($K361=BN$3,IF($C361="X",0,$O361),0)</f>
        <v>0</v>
      </c>
      <c r="BO361" s="201">
        <f>IF($K361=BO$3,IF($C361="X",0,$O361),0)</f>
        <v>0</v>
      </c>
      <c r="BP361" s="201">
        <f>IF($K361=BP$3,IF($C361="X",0,$O361),0)</f>
        <v>0</v>
      </c>
      <c r="BQ361" s="202">
        <f>IF($K361=BQ$3,IF($C361="X",0,$O361),0)</f>
        <v>0</v>
      </c>
      <c r="BR361" s="199">
        <f>IF($K361=BR$3,IF($C361="X",0,$O361),0)</f>
        <v>0</v>
      </c>
      <c r="BS361" s="204">
        <f>IF($B361="LOSS",IF(AND($K361=BS$3,$C361="L"),-$O361,0)+IF(AND($K362=BS$3,$C362="L"),-$O362,0)+IF(AND($K363=BS$3,$C363="L"),-$O363,0),IF(OR(AND($K361=BS$3,OR($C361="W",$C361="1/2W")),AND($K362=BS$3,OR($C362="W",$C362="1/2W")),AND($K363=BS$3,OR($C363="W",$C363="1/2W"))),$S361,0))</f>
        <v>0</v>
      </c>
      <c r="BT361" s="201">
        <f>IF($B361="LOSS",IF(AND($K361=BT$3,$C361="L"),-$O361,0)+IF(AND($K362=BT$3,$C362="L"),-$O362,0)+IF(AND($K362=BT$3,$C363="L"),-$O363,0),IF(OR(AND($K362=BT$3,OR($C361="W",$C361="1/2W")),AND($K362=BT$3,OR($C362="W",$C362="1/2W")),AND($K362=BT$3,OR($C363="W",$C363="1/2W"))),$S361,0))</f>
        <v>0</v>
      </c>
      <c r="BU361" s="201">
        <f>IF($B361="LOSS",IF(AND($K361=BU$3,$C361="L"),-$O361,0)+IF(AND($K362=BU$3,$C362="L"),-$O362,0)+IF(AND($K362=BU$3,$C363="L"),-$O363,0),IF(OR(AND($K362=BU$3,OR($C361="W",$C361="1/2W")),AND($K362=BU$3,OR($C362="W",$C362="1/2W")),AND($K362=BU$3,OR($C363="W",$C363="1/2W"))),$S361,0))</f>
        <v>0</v>
      </c>
      <c r="BV361" s="201">
        <f>IF($B361="LOSS",IF(AND($K361=BV$3,$C361="L"),-$O361,0)+IF(AND($K362=BV$3,$C362="L"),-$O362,0)+IF(AND($K363=BV$3,$C363="L"),-$O363,0),IF(OR(AND($K361=BV$3,OR($C361="W",$C361="1/2W")),AND($K362=BV$3,OR($C362="W",$C362="1/2W")),AND($K363=BV$3,OR($C363="W",$C363="1/2W"))),$S361,0))</f>
        <v>0</v>
      </c>
      <c r="BW361" s="201">
        <f>IF($B361="LOSS",IF(AND($K361=BW$3,$C361="L"),-$O361,0)+IF(AND($K362=BW$3,$C362="L"),-$O362,0)+IF(AND($K363=BW$3,$C363="L"),-$O363,0),IF(OR(AND($K361=BW$3,OR($C361="W",$C361="1/2W")),AND($K362=BW$3,OR($C362="W",$C362="1/2W")),AND($K363=BW$3,OR($C363="W",$C363="1/2W"))),$S361,0))</f>
        <v>0</v>
      </c>
      <c r="BX361" s="201">
        <f>IF($B361="LOSS",IF(AND($K361=BX$3,$C361="L"),-$O361,0)+IF(AND($K362=BX$3,$C362="L"),-$O362,0)+IF(AND($K363=BX$3,$C363="L"),-$O363,0),IF(OR(AND($K361=BX$3,OR($C361="W",$C361="1/2W")),AND($K362=BX$3,OR($C362="W",$C362="1/2W")),AND($K363=BX$3,OR($C363="W",$C363="1/2W"))),$S361,0))</f>
        <v>0</v>
      </c>
      <c r="BY361" s="201">
        <f>IF($B361="LOSS",IF(AND($K361=BY$3,$C361="L"),-$O361,0)+IF(AND($K362=BY$3,$C362="L"),-$O362,0)+IF(AND($K363=BY$3,$C363="L"),-$O363,0),IF(OR(AND($K361=BY$3,OR($C361="W",$C361="1/2W")),AND($K362=BY$3,OR($C362="W",$C362="1/2W")),AND($K363=BY$3,OR($C363="W",$C363="1/2W"))),$S361,0))</f>
        <v>0</v>
      </c>
      <c r="BZ361" s="205">
        <f>IF($B361="LOSS",IF(AND($K361=BZ$3,$C361="L"),-$O361,0)+IF(AND($K362=BZ$3,$C362="L"),-$O362,0)+IF(AND($K363=BZ$3,$C363="L"),-$O363,0),IF(OR(AND($K361=BZ$3,OR($C361="W",$C361="1/2W")),AND($K362=BZ$3,OR($C362="W",$C362="1/2W")),AND($K363=BZ$3,OR($C363="W",$C363="1/2W"))),$S361,0))</f>
        <v>5.13</v>
      </c>
      <c r="CA361" s="205">
        <f>IF($B361="LOSS",IF(AND($K361=CA$3,$C361="L"),-$O361,0)+IF(AND($K362=CA$3,$C362="L"),-$O362,0)+IF(AND($K363=CA$3,$C363="L"),-$O363,0),IF(OR(AND($K361=CA$3,OR($C361="W",$C361="1/2W")),AND($K362=CA$3,OR($C362="W",$C362="1/2W")),AND($K363=CA$3,OR($C363="W",$C363="1/2W"))),$S361,0))</f>
        <v>0</v>
      </c>
      <c r="CB361" s="205">
        <f>IF($B361="LOSS",IF(AND($K361=CB$3,$C361="L"),-$O361,0)+IF(AND($K362=CB$3,$C362="L"),-$O362,0)+IF(AND($K363=CB$3,$C363="L"),-$O363,0),IF(OR(AND($K361=CB$3,OR($C361="W",$C361="1/2W")),AND($K362=CB$3,OR($C362="W",$C362="1/2W")),AND($K363=CB$3,OR($C363="W",$C363="1/2W"))),$S361,0))</f>
        <v>0</v>
      </c>
      <c r="CC361" s="205">
        <f>IF($B361="LOSS",IF(AND($K361=CC$3,$C361="L"),-$O361,0)+IF(AND($K362=CC$3,$C362="L"),-$O362,0)+IF(AND($K363=CC$3,$C363="L"),-$O363,0),IF(OR(AND($K361=CC$3,OR($C361="W",$C361="1/2W")),AND($K362=CC$3,OR($C362="W",$C362="1/2W")),AND($K363=CC$3,OR($C363="W",$C363="1/2W"))),$S361,0))</f>
        <v>0</v>
      </c>
      <c r="CD361" s="202">
        <f>IF($B361="LOSS",IF(AND($K361=CD$3,$C361="L"),-$O361,0)+IF(AND($K362=CD$3,$C362="L"),-$O362,0)+IF(AND($K363=CD$3,$C363="L"),-$O363,0),IF(OR(AND($K361=CD$3,OR($C361="W",$C361="1/2W")),AND($K362=CD$3,OR($C362="W",$C362="1/2W")),AND($K363=CD$3,OR($C363="W",$C363="1/2W"))),$S361,0))</f>
        <v>0</v>
      </c>
      <c r="CE361" s="199">
        <f>IF($B361="LOSS",IF(AND($K361=CE$3,$C361="L"),-$O361,0)+IF(AND($K362=CE$3,$C362="L"),-$O362,0)+IF(AND($K363=CE$3,$C363="L"),-$O363,0),IF(OR(AND($K361=CE$3,OR($C361="W",$C361="1/2W")),AND($K362=CE$3,OR($C362="W",$C362="1/2W")),AND($K363=CE$3,OR($C363="W",$C363="1/2W"))),$S361,0))</f>
        <v>0</v>
      </c>
      <c r="CF361" s="206">
        <f>IF(CF$3=$K361,IF($C361="W",1,IF($C361="1/2W",0.5,0)),0)</f>
        <v>0</v>
      </c>
      <c r="CG361" s="207">
        <f>IF(CF$3=$K361,IF($C361="L",1,IF($C361="1/2L",0.5,0)),0)</f>
        <v>1</v>
      </c>
      <c r="CH361" s="207">
        <f>IF(CH$3=$K361,IF($C361="W",1,IF($C361="1/2W",0.5,0)),0)</f>
        <v>0</v>
      </c>
      <c r="CI361" s="207">
        <f>IF(CH$3=$K361,IF($C361="L",1,IF($C361="1/2L",0.5,0)),0)</f>
        <v>0</v>
      </c>
      <c r="CJ361" s="207">
        <f>IF(CJ$3=$K361,IF($C361="W",1,IF($C361="1/2W",0.5,0)),0)</f>
        <v>0</v>
      </c>
      <c r="CK361" s="207">
        <f>IF(CJ$3=$K361,IF($C361="L",1,IF($C361="1/2L",0.5,0)),0)</f>
        <v>0</v>
      </c>
      <c r="CL361" s="207">
        <f>IF(CL$3=$K361,IF($C361="W",1,IF($C361="1/2W",0.5,0)),0)</f>
        <v>0</v>
      </c>
      <c r="CM361" s="207">
        <f>IF(CL$3=$K361,IF($C361="L",1,IF($C361="1/2L",0.5,0)),0)</f>
        <v>0</v>
      </c>
      <c r="CN361" s="207">
        <f>IF(CN$3=$K361,IF($C361="W",1,IF($C361="1/2W",0.5,0)),0)</f>
        <v>0</v>
      </c>
      <c r="CO361" s="207">
        <f>IF(CN$3=$K361,IF($C361="L",1,IF($C361="1/2L",0.5,0)),0)</f>
        <v>0</v>
      </c>
      <c r="CP361" s="207">
        <f>IF(CP$3=$K361,IF($C361="W",1,IF($C361="1/2W",0.5,0)),0)</f>
        <v>0</v>
      </c>
      <c r="CQ361" s="207">
        <f>IF(CP$3=$K361,IF($C361="L",1,IF($C361="1/2L",0.5,0)),0)</f>
        <v>0</v>
      </c>
      <c r="CR361" s="207">
        <f>IF(CR$3=$K361,IF($C361="W",1,IF($C361="1/2W",0.5,0)),0)</f>
        <v>0</v>
      </c>
      <c r="CS361" s="207">
        <f>IF(CR$3=$K361,IF($C361="L",1,IF($C361="1/2L",0.5,0)),0)</f>
        <v>0</v>
      </c>
      <c r="CT361" s="208">
        <f>IF(CT$3=$K361,IF($C361="W",1,IF($C361="1/2W",0.5,0)),0)</f>
        <v>0</v>
      </c>
      <c r="CU361" s="209">
        <f>IF(CT$3=$K361,IF($C361="L",1,IF($C361="1/2L",0.5,0)),0)</f>
        <v>0</v>
      </c>
      <c r="CV361" s="209">
        <f>IF(CV$3=$K361,IF($C361="W",1,IF($C361="1/2W",0.5,0)),0)</f>
        <v>0</v>
      </c>
      <c r="CW361" s="209">
        <f>IF(CV$3=$K361,IF($C361="L",1,IF($C361="1/2L",0.5,0)),0)</f>
        <v>0</v>
      </c>
      <c r="CX361" s="209">
        <f>IF(CX$3=$K361,IF($C361="W",1,IF($C361="1/2W",0.5,0)),0)</f>
        <v>0</v>
      </c>
      <c r="CY361" s="209">
        <f>IF(CX$3=$K361,IF($C361="L",1,IF($C361="1/2L",0.5,0)),0)</f>
        <v>0</v>
      </c>
      <c r="CZ361" s="209">
        <f>IF(CZ$3=$K361,IF($C361="W",1,IF($C361="1/2W",0.5,0)),0)</f>
        <v>0</v>
      </c>
      <c r="DA361" s="209">
        <f>IF(CZ$3=$K361,IF($C361="L",1,IF($C361="1/2L",0.5,0)),0)</f>
        <v>0</v>
      </c>
      <c r="DB361" s="209">
        <f>IF(DB$3=$K361,IF($C361="W",1,IF($C361="1/2W",0.5,0)),0)</f>
        <v>0</v>
      </c>
      <c r="DC361" s="209">
        <f>IF(DB$3=$K361,IF($C361="L",1,IF($C361="1/2L",0.5,0)),0)</f>
        <v>0</v>
      </c>
      <c r="DD361" s="209">
        <f>IF(DD$3=$K361,IF($C361="W",1,IF($C361="1/2W",0.5,0)),0)</f>
        <v>0</v>
      </c>
      <c r="DE361" s="210">
        <f>IF(DD$3=$K361,IF($C361="L",1,IF($C361="1/2L",0.5,0)),0)</f>
        <v>0</v>
      </c>
      <c r="DF361" s="211">
        <f>IF(AND(L361&lt;DF$3,$C361="W"),1+DF360,DF360)</f>
        <v>12</v>
      </c>
      <c r="DG361" s="198">
        <f>IF(DF361&gt;DF360,L361+DG360,DG360)</f>
        <v>15.718</v>
      </c>
      <c r="DH361" s="209">
        <f>IF(AND(L361&gt;DH$3,$C361="W"),1+DH360,0+DH360)</f>
        <v>8</v>
      </c>
      <c r="DI361" s="198">
        <f>IF(DH361&gt;DH360,L361+DI360,DI360)</f>
        <v>45.33</v>
      </c>
      <c r="DJ361" t="s" s="306">
        <f>IF($D361="","",$D361)</f>
        <v>307</v>
      </c>
      <c r="DK361" s="209">
        <f>IF(AND($B361=" ",$D361&lt;&gt;""),1,0)</f>
        <v>0</v>
      </c>
    </row>
    <row r="362" ht="14.55" customHeight="1">
      <c r="A362" s="107"/>
      <c r="B362" s="108"/>
      <c r="C362" t="s" s="213">
        <v>56</v>
      </c>
      <c r="D362" s="110"/>
      <c r="E362" s="111"/>
      <c r="F362" s="113"/>
      <c r="G362" s="214"/>
      <c r="H362" s="114"/>
      <c r="I362" t="s" s="215">
        <v>57</v>
      </c>
      <c r="J362" s="296">
        <f>IF(OR(I361="TO",I361="TU",I361="TO1",I361="TU1",I361="TO2",I361="TU2"),J361,IF(OR(I361="AH1",I361="AH2"),IF(OR(I362="AH1",I362="AH2"),-J361,IF(OR(I362="EH1",I362="EH2"),-J361+0.5,"")),IF(OR(I361="EH1",I361="EH2"),IF(OR(I362="AH1",I362="AH2"),-J361+0.5,IF(OR(I362="EH1",I362="EH2"),-J361+1,"")),IF(AND(OR(I361="DNB1",I361="DNB2"),OR(I362="AH1",I362="AH2")),0,IF(AND(I361="Not ScoreBoth",OR(I362="TO1",I362="TO2")),0.5,"")))))</f>
        <v>1</v>
      </c>
      <c r="K362" t="s" s="217">
        <v>44</v>
      </c>
      <c r="L362" s="218">
        <v>2.48</v>
      </c>
      <c r="M362" s="219">
        <v>15</v>
      </c>
      <c r="N362" s="120"/>
      <c r="O362" s="220">
        <f>IF(OR(AE361="",AE362=""),"",ROUND(IF(L363&gt;0,IF(M362&gt;0,M362,IF(M361&gt;0,IF(N361=TRUE,ROUND((M361*AE362)/AE361,0),(M361*AE362)/AE361),IF(M362&gt;0,ROUND(M362,IF(N361=0,2,IF(N361=0.1,1,0))),IF(M363&gt;0,ROUND(O363*AE362/AE363,IF(N361=0,2,IF(N361=0.1,1,0))),0)))),IF(M362&gt;0,M362,ROUND((M361*AE362)/AE361,IF(N361=0,2,IF(N361=0.1,1,0))))),2))</f>
        <v>15</v>
      </c>
      <c r="P362" s="221">
        <f>IF(OR(L362="",O362=""),"",IF($C362="1/2W",O362/2+O362/2*L362,IF($C362="1/2L",O362/2,IF(I362="Lay",((O362*(L362/(L362-1)))-O362)*(1-_xlfn.XLOOKUP(K362,'Janeiro 2023 - Valor Real'!A3:A15,'Janeiro 2023 - Valor Real'!C3:C15,0))+O362,(O362*L362-O362)*(1-_xlfn.XLOOKUP(K362,'Janeiro 2023 - Valor Real'!A3:A15,'Janeiro 2023 - Valor Real'!C3:C15,0))+O362))))</f>
        <v>37.2</v>
      </c>
      <c r="Q362" s="222">
        <f>IF(K362="","",IF(_xlfn.XLOOKUP(K362,K$111:K123,DJ$111:DJ123,0,,-1)=DJ362,_xlfn.XLOOKUP(K362,K$111:K123,Q$111:Q123,1,,-1)+1,1))</f>
        <v>1</v>
      </c>
      <c r="R362" s="223">
        <f>IF(K362="","",_xlfn.XLOOKUP(K362,K$111:K123,R$111:R123,0,,-1)+IF($C362=" ",1,0))</f>
        <v>0</v>
      </c>
      <c r="S362" s="125"/>
      <c r="T362" s="126"/>
      <c r="U362" s="126"/>
      <c r="V362" s="224"/>
      <c r="W362" s="126"/>
      <c r="X362" s="127"/>
      <c r="Y362" s="128"/>
      <c r="Z362" s="129"/>
      <c r="AA362" s="129"/>
      <c r="AB362" s="129"/>
      <c r="AC362" s="129"/>
      <c r="AD362" s="225">
        <f>(((L362/(L362-1)-1)*(1-_xlfn.XLOOKUP(K362,'Janeiro 2023 - Valor Real'!A3:A15,'Janeiro 2023 - Valor Real'!C3:C15,0))+1))</f>
        <v>1.67567567567568</v>
      </c>
      <c r="AE362" s="226">
        <f>IF(L362="","",IF(L363&gt;0,(SUM(((L361-1)*(1-_xlfn.XLOOKUP(K361,'Janeiro 2023 - Valor Real'!A3:A15,'Janeiro 2023 - Valor Real'!C3:C15,0))+1),((L362-1)*(1-_xlfn.XLOOKUP(K362,'Janeiro 2023 - Valor Real'!A3:A15,'Janeiro 2023 - Valor Real'!C3:C15,0))+1),((L363-1)*(1-_xlfn.XLOOKUP(K363,'Janeiro 2023 - Valor Real'!A3:A15,'Janeiro 2023 - Valor Real'!C3:C15,0))+1))/((L362-1)*(1-_xlfn.XLOOKUP(K362,'Janeiro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Real'!C3:C15,0))+1))/((L361-1)*(1-_xlfn.XLOOKUP(K361,'Janeiro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Real'!C3:C15,0))+1))/((L362-1)*(1-_xlfn.XLOOKUP(K362,'Janeiro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Real'!C3:C15,0))+1))/((L363-1)*(1-_xlfn.XLOOKUP(K363,'Janeiro 2023 - Valor Real'!A3:A15,'Janeiro 2023 - Valor Real'!C3:C15,0))+1)),IF(I362="Lay",IF(I361="Lay",((L361/(L361-1)-1)*(1-_xlfn.XLOOKUP(K361,'Janeiro 2023 - Valor Real'!A3:A15,'Janeiro 2023 - Valor Real'!C3:C15,0))+1)/(((L361/(L361-1)-1)*(1-_xlfn.XLOOKUP(K361,'Janeiro 2023 - Valor Real'!A3:A15,'Janeiro 2023 - Valor Real'!C3:C15,0))+1)+((L362/(L362-1)-1)*(1-_xlfn.XLOOKUP(K362,'Janeiro 2023 - Valor Real'!A3:A15,'Janeiro 2023 - Valor Real'!C3:C15,0))+1)),((L361-1)*(1-_xlfn.XLOOKUP(K361,'Janeiro 2023 - Valor Real'!A3:A15,'Janeiro 2023 - Valor Real'!C3:C15,0))+1)/(((L361-1)*(1-_xlfn.XLOOKUP(K361,'Janeiro 2023 - Valor Real'!A3:A15,'Janeiro 2023 - Valor Real'!C3:C15,0))+1)+((L362/(L362-1)-1)*(1-_xlfn.XLOOKUP(K362,'Janeiro 2023 - Valor Real'!A3:A15,'Janeiro 2023 - Valor Real'!C3:C15,0))+1))),IF(I361="Lay",((L361/(L361-1)-1)*(1-_xlfn.XLOOKUP(K361,'Janeiro 2023 - Valor Real'!A3:A15,'Janeiro 2023 - Valor Real'!C3:C15,0))+1)/((((L361/(L361-1)-1)*(1-_xlfn.XLOOKUP(K361,'Janeiro 2023 - Valor Real'!A3:A15,'Janeiro 2023 - Valor Real'!C3:C15,0))+1))+((L362-1)*(1-_xlfn.XLOOKUP(K362,'Janeiro 2023 - Valor Real'!A3:A15,'Janeiro 2023 - Valor Real'!C3:C15,0))+1)),((L361-1)*(1-_xlfn.XLOOKUP(K361,'Janeiro 2023 - Valor Real'!A3:A15,'Janeiro 2023 - Valor Real'!C3:C15,0))+1)/(((L361-1)*(1-_xlfn.XLOOKUP(K361,'Janeiro 2023 - Valor Real'!A3:A15,'Janeiro 2023 - Valor Real'!C3:C15,0))+1)+((L362-1)*(1-_xlfn.XLOOKUP(K362,'Janeiro 2023 - Valor Real'!A3:A15,'Janeiro 2023 - Valor Real'!C3:C15,0))+1))))))</f>
        <v>0.449500554938957</v>
      </c>
      <c r="AF362" s="197">
        <f>IF($K362=AF$3,ROUND(IF(OR($C362="W",$C362="1/2W",$C362="1/2L"),$P362-$O362,IF($C362="X",0,-$O362)),2),0)</f>
        <v>0</v>
      </c>
      <c r="AG362" s="198">
        <f>IF($K362=AG$3,ROUND(IF(OR($C362="W",$C362="1/2W",$C362="1/2L"),$P362-$O362,IF($C362="X",0,-$O362)),2),0)</f>
        <v>0</v>
      </c>
      <c r="AH362" s="198">
        <f>IF($K362=AH$3,ROUND(IF(OR($C362="W",$C362="1/2W",$C362="1/2L"),$P362-$O362,IF($C362="X",0,-$O362)),2),0)</f>
        <v>0</v>
      </c>
      <c r="AI362" s="198">
        <f>IF($K362=AI$3,ROUND(IF(OR($C362="W",$C362="1/2W",$C362="1/2L"),$P362-$O362,IF($C362="X",0,-$O362)),2),0)</f>
        <v>0</v>
      </c>
      <c r="AJ362" s="198">
        <f>IF($K362=AJ$3,ROUND(IF(OR($C362="W",$C362="1/2W",$C362="1/2L"),$P362-$O362,IF($C362="X",0,-$O362)),2),0)</f>
        <v>0</v>
      </c>
      <c r="AK362" s="198">
        <f>IF($K362=AK$3,ROUND(IF(OR($C362="W",$C362="1/2W",$C362="1/2L"),$P362-$O362,IF($C362="X",0,-$O362)),2),0)</f>
        <v>0</v>
      </c>
      <c r="AL362" s="198">
        <f>IF($K362=AL$3,ROUND(IF(OR($C362="W",$C362="1/2W",$C362="1/2L"),$P362-$O362,IF($C362="X",0,-$O362)),2),0)</f>
        <v>0</v>
      </c>
      <c r="AM362" s="198">
        <f>IF($K362=AM$3,ROUND(IF(OR($C362="W",$C362="1/2W",$C362="1/2L"),$P362-$O362,IF($C362="X",0,-$O362)),2),0)</f>
        <v>22.2</v>
      </c>
      <c r="AN362" s="198">
        <f>IF($K362=AN$3,ROUND(IF(OR($C362="W",$C362="1/2W",$C362="1/2L"),$P362-$O362,IF($C362="X",0,-$O362)),2),0)</f>
        <v>0</v>
      </c>
      <c r="AO362" s="198">
        <f>IF($K362=AO$3,ROUND(IF(OR($C362="W",$C362="1/2W",$C362="1/2L"),$P362-$O362,IF($C362="X",0,-$O362)),2),0)</f>
        <v>0</v>
      </c>
      <c r="AP362" s="198">
        <f>IF($K362=AP$3,ROUND(IF(OR($C362="W",$C362="1/2W",$C362="1/2L"),$P362-$O362,IF($C362="X",0,-$O362)),2),0)</f>
        <v>0</v>
      </c>
      <c r="AQ362" s="198">
        <f>IF($K362=AQ$3,ROUND(IF(OR($C362="W",$C362="1/2W",$C362="1/2L"),$P362-$O362,IF($C362="X",0,-$O362)),2),0)</f>
        <v>0</v>
      </c>
      <c r="AR362" s="199">
        <f>IF($K362=AR$3,ROUND(IF(OR($C362="W",$C362="1/2W",$C362="1/2L"),$P362-$O362,IF($C362="X",0,-$O362)),2),0)</f>
        <v>0</v>
      </c>
      <c r="AS362" s="197">
        <f>IF(AND($B361=" ",$K362=AS$3),$O362,0)</f>
        <v>0</v>
      </c>
      <c r="AT362" s="198">
        <f>IF(AND($B361=" ",K362=AT$3),$O362,0)</f>
        <v>0</v>
      </c>
      <c r="AU362" s="198">
        <f>IF(AND($B361=" ",$K362=AU$3),$O362,0)</f>
        <v>0</v>
      </c>
      <c r="AV362" s="198">
        <f>IF(AND($B361=" ",$K362=AV$3),$O362,0)</f>
        <v>0</v>
      </c>
      <c r="AW362" s="198">
        <f>IF(AND($B361=" ",$K362=AW$3),$O362,0)</f>
        <v>0</v>
      </c>
      <c r="AX362" s="198">
        <f>IF(AND($B361=" ",$K362=AX$3),$O362,0)</f>
        <v>0</v>
      </c>
      <c r="AY362" s="200">
        <f>IF(AND($B361=" ",$K362=AY$3),$O362,0)</f>
        <v>0</v>
      </c>
      <c r="AZ362" s="201">
        <f>IF(AND($B361=" ",$K362=AZ$3),$O362,0)</f>
        <v>0</v>
      </c>
      <c r="BA362" s="201">
        <f>IF(AND($B361=" ",$K362=BA$3),$O362,0)</f>
        <v>0</v>
      </c>
      <c r="BB362" s="201">
        <f>IF(AND($B361=" ",$K362=BB$3),$O362,0)</f>
        <v>0</v>
      </c>
      <c r="BC362" s="202">
        <f>IF(AND($B361=" ",$K362=BC$3),$O362,0)</f>
        <v>0</v>
      </c>
      <c r="BD362" s="198">
        <f>IF(AND($B361=" ",$K362=BD$3),$O362,0)</f>
        <v>0</v>
      </c>
      <c r="BE362" s="199">
        <f>IF(AND($B361=" ",$K362=BE$3),$O362,0)</f>
        <v>0</v>
      </c>
      <c r="BF362" s="197">
        <f>IF($K362=BF$3,IF($C362="X",0,$O362),0)</f>
        <v>0</v>
      </c>
      <c r="BG362" s="198">
        <f>IF($K362=BG$3,IF($C362="X",0,$O362),0)</f>
        <v>0</v>
      </c>
      <c r="BH362" s="198">
        <f>IF($K362=BH$3,IF($C362="X",0,$O362),0)</f>
        <v>0</v>
      </c>
      <c r="BI362" s="198">
        <f>IF($K362=BI$3,IF($C362="X",0,$O362),0)</f>
        <v>0</v>
      </c>
      <c r="BJ362" s="198">
        <f>IF($K362=BJ$3,IF($C362="X",0,$O362),0)</f>
        <v>0</v>
      </c>
      <c r="BK362" s="198">
        <f>IF($K362=BK$3,IF($C362="X",0,$O362),0)</f>
        <v>0</v>
      </c>
      <c r="BL362" s="198">
        <f>IF($K362=BL$3,IF($C362="X",0,$O362),0)</f>
        <v>0</v>
      </c>
      <c r="BM362" s="227">
        <f>IF($K362=BM$3,IF($C362="X",0,$O362),0)</f>
        <v>15</v>
      </c>
      <c r="BN362" s="205">
        <f>IF($K362=BN$3,IF($C362="X",0,$O362),0)</f>
        <v>0</v>
      </c>
      <c r="BO362" s="205">
        <f>IF($K362=BO$3,IF($C362="X",0,$O362),0)</f>
        <v>0</v>
      </c>
      <c r="BP362" s="205">
        <f>IF($K362=BP$3,IF($C362="X",0,$O362),0)</f>
        <v>0</v>
      </c>
      <c r="BQ362" s="202">
        <f>IF($K362=BQ$3,IF($C362="X",0,$O362),0)</f>
        <v>0</v>
      </c>
      <c r="BR362" s="199">
        <f>IF($K362=BR$3,IF($C362="X",0,$O362),0)</f>
        <v>0</v>
      </c>
      <c r="BS362" s="228"/>
      <c r="BT362" s="229"/>
      <c r="BU362" s="140"/>
      <c r="BV362" s="229"/>
      <c r="BW362" s="140"/>
      <c r="BX362" s="140"/>
      <c r="BY362" s="140"/>
      <c r="BZ362" s="229"/>
      <c r="CA362" s="140"/>
      <c r="CB362" s="140"/>
      <c r="CC362" s="140"/>
      <c r="CD362" s="141"/>
      <c r="CE362" s="142"/>
      <c r="CF362" s="230">
        <f>IF(CF$3=$K362,IF($C362="W",1,IF($C362="1/2W",0.5,0)),0)</f>
        <v>0</v>
      </c>
      <c r="CG362" s="231">
        <f>IF(CF$3=$K362,IF($C362="L",1,IF($C362="1/2L",0.5,0)),0)</f>
        <v>0</v>
      </c>
      <c r="CH362" s="231">
        <f>IF(CH$3=$K362,IF($C362="W",1,IF($C362="1/2W",0.5,0)),0)</f>
        <v>0</v>
      </c>
      <c r="CI362" s="231">
        <f>IF(CH$3=$K362,IF($C362="L",1,IF($C362="1/2L",0.5,0)),0)</f>
        <v>0</v>
      </c>
      <c r="CJ362" s="231">
        <f>IF(CJ$3=$K362,IF($C362="W",1,IF($C362="1/2W",0.5,0)),0)</f>
        <v>0</v>
      </c>
      <c r="CK362" s="231">
        <f>IF(CJ$3=$K362,IF($C362="L",1,IF($C362="1/2L",0.5,0)),0)</f>
        <v>0</v>
      </c>
      <c r="CL362" s="231">
        <f>IF(CL$3=$K362,IF($C362="W",1,IF($C362="1/2W",0.5,0)),0)</f>
        <v>0</v>
      </c>
      <c r="CM362" s="231">
        <f>IF(CL$3=$K362,IF($C362="L",1,IF($C362="1/2L",0.5,0)),0)</f>
        <v>0</v>
      </c>
      <c r="CN362" s="231">
        <f>IF(CN$3=$K362,IF($C362="W",1,IF($C362="1/2W",0.5,0)),0)</f>
        <v>0</v>
      </c>
      <c r="CO362" s="231">
        <f>IF(CN$3=$K362,IF($C362="L",1,IF($C362="1/2L",0.5,0)),0)</f>
        <v>0</v>
      </c>
      <c r="CP362" s="231">
        <f>IF(CP$3=$K362,IF($C362="W",1,IF($C362="1/2W",0.5,0)),0)</f>
        <v>0</v>
      </c>
      <c r="CQ362" s="231">
        <f>IF(CP$3=$K362,IF($C362="L",1,IF($C362="1/2L",0.5,0)),0)</f>
        <v>0</v>
      </c>
      <c r="CR362" s="231">
        <f>IF(CR$3=$K362,IF($C362="W",1,IF($C362="1/2W",0.5,0)),0)</f>
        <v>0</v>
      </c>
      <c r="CS362" s="231">
        <f>IF(CR$3=$K362,IF($C362="L",1,IF($C362="1/2L",0.5,0)),0)</f>
        <v>0</v>
      </c>
      <c r="CT362" s="208">
        <f>IF(CT$3=$K362,IF($C362="W",1,IF($C362="1/2W",0.5,0)),0)</f>
        <v>1</v>
      </c>
      <c r="CU362" s="209">
        <f>IF(CT$3=$K362,IF($C362="L",1,IF($C362="1/2L",0.5,0)),0)</f>
        <v>0</v>
      </c>
      <c r="CV362" s="209">
        <f>IF(CV$3=$K362,IF($C362="W",1,IF($C362="1/2W",0.5,0)),0)</f>
        <v>0</v>
      </c>
      <c r="CW362" s="209">
        <f>IF(CV$3=$K362,IF($C362="L",1,IF($C362="1/2L",0.5,0)),0)</f>
        <v>0</v>
      </c>
      <c r="CX362" s="209">
        <f>IF(CX$3=$K362,IF($C362="W",1,IF($C362="1/2W",0.5,0)),0)</f>
        <v>0</v>
      </c>
      <c r="CY362" s="209">
        <f>IF(CX$3=$K362,IF($C362="L",1,IF($C362="1/2L",0.5,0)),0)</f>
        <v>0</v>
      </c>
      <c r="CZ362" s="209">
        <f>IF(CZ$3=$K362,IF($C362="W",1,IF($C362="1/2W",0.5,0)),0)</f>
        <v>0</v>
      </c>
      <c r="DA362" s="209">
        <f>IF(CZ$3=$K362,IF($C362="L",1,IF($C362="1/2L",0.5,0)),0)</f>
        <v>0</v>
      </c>
      <c r="DB362" s="209">
        <f>IF(DB$3=$K362,IF($C362="W",1,IF($C362="1/2W",0.5,0)),0)</f>
        <v>0</v>
      </c>
      <c r="DC362" s="209">
        <f>IF(DB$3=$K362,IF($C362="L",1,IF($C362="1/2L",0.5,0)),0)</f>
        <v>0</v>
      </c>
      <c r="DD362" s="209">
        <f>IF(DD$3=$K362,IF($C362="W",1,IF($C362="1/2W",0.5,0)),0)</f>
        <v>0</v>
      </c>
      <c r="DE362" s="210">
        <f>IF(DD$3=$K362,IF($C362="L",1,IF($C362="1/2L",0.5,0)),0)</f>
        <v>0</v>
      </c>
      <c r="DF362" s="211">
        <f>IF(AND(L362&lt;DF$3,$C362="W"),1+DF361,DF361)</f>
        <v>12</v>
      </c>
      <c r="DG362" s="198">
        <f>IF(DF362&gt;DF361,L362+DG361,DG361)</f>
        <v>15.718</v>
      </c>
      <c r="DH362" s="209">
        <f>IF(AND(L362&gt;DH$3,$C362="W"),1+DH361,0+DH361)</f>
        <v>8</v>
      </c>
      <c r="DI362" s="198">
        <f>IF(DH362&gt;DH361,L362+DI361,DI361)</f>
        <v>45.33</v>
      </c>
      <c r="DJ362" t="s" s="306">
        <f>IF($D361="","",$D361)</f>
        <v>307</v>
      </c>
      <c r="DK362" s="232"/>
    </row>
    <row r="363" ht="14.55" customHeight="1">
      <c r="A363" s="149"/>
      <c r="B363" s="150"/>
      <c r="C363" t="s" s="233">
        <v>58</v>
      </c>
      <c r="D363" s="152"/>
      <c r="E363" s="153"/>
      <c r="F363" s="155"/>
      <c r="G363" s="234"/>
      <c r="H363" s="156"/>
      <c r="I363" s="235"/>
      <c r="J363" s="236"/>
      <c r="K363" s="237"/>
      <c r="L363" s="238"/>
      <c r="M363" s="239"/>
      <c r="N363" s="161"/>
      <c r="O363" t="s" s="240">
        <f>IF(OR(AE361="",AE362=""),"",IF(L363&gt;0,ROUND(IF(M363&gt;0,M363,IF(M361&gt;0,ROUND((M361*AE363)/AE361,IF(N361=0,2,IF(N361=0.1,1,0))),IF(M362&gt;0,ROUND((M362*AE363)/AE362,IF(N361=0,2,IF(N361=0.1,1,0))),IF(M363&gt;0,M363,0)))),2),""))</f>
      </c>
      <c r="P363" t="s" s="241">
        <f>IF(I362="Lay",O362*(L362/(L362-1))-O362,IF(I361="Lay",O361*(L361/(L361-1))-O361,IF(OR(L363="",O363=""),"",IF($C363="1/2W",O363/2+O363/2*L363,IF($C363="1/2L",O363/2,(O363*L363-O363)*(1-_xlfn.XLOOKUP(K363,'Janeiro 2023 - Valor Real'!A3:A15,'Janeiro 2023 - Valor Real'!C3:C15,0))+O363)))))</f>
      </c>
      <c r="Q363" t="s" s="242">
        <f>IF(K363="","",IF(_xlfn.XLOOKUP(K363,K$112:K124,DJ$112:DJ124,0,,-1)=DJ363,_xlfn.XLOOKUP(K363,K$112:K124,Q$112:Q124,1,,-1)+1,1))</f>
      </c>
      <c r="R363" t="s" s="243">
        <f>IF(K363="","",_xlfn.XLOOKUP(K363,K$112:K124,R$112:R124,0,,-1)+IF($C363=" ",1,0))</f>
      </c>
      <c r="S363" s="166"/>
      <c r="T363" s="155"/>
      <c r="U363" s="155"/>
      <c r="V363" s="166"/>
      <c r="W363" s="155"/>
      <c r="X363" s="167"/>
      <c r="Y363" s="128"/>
      <c r="Z363" s="129"/>
      <c r="AA363" s="129"/>
      <c r="AB363" s="129"/>
      <c r="AC363" s="129"/>
      <c r="AD363" s="244">
        <f>((L362/(L362-1)-1))</f>
        <v>0.675675675675676</v>
      </c>
      <c r="AE363" t="s" s="245">
        <f>IF(L363="","",(SUM(((L361-1)*(1-_xlfn.XLOOKUP(K361,'Janeiro 2023 - Valor Real'!A3:A15,'Janeiro 2023 - Valor Real'!C3:C15,0))+1),((L362-1)*(1-_xlfn.XLOOKUP(K362,'Janeiro 2023 - Valor Real'!A3:A15,'Janeiro 2023 - Valor Real'!C3:C15,0))+1),((L363-1)*(1-_xlfn.XLOOKUP(K363,'Janeiro 2023 - Valor Real'!A3:A15,'Janeiro 2023 - Valor Real'!C3:C15,0))+1))/((L363-1)*(1-_xlfn.XLOOKUP(K363,'Janeiro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Real'!C3:C15,0))+1))/((L361-1)*(1-_xlfn.XLOOKUP(K361,'Janeiro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Real'!C3:C15,0))+1))/((L362-1)*(1-_xlfn.XLOOKUP(K362,'Janeiro 2023 - Valor Real'!A3:A15,'Janeiro 2023 - Valor Real'!C3:C15,0))+1)+SUM(((L361-1)*(1-_xlfn.XLOOKUP(K361,'Janeiro 2023 - Valor Real'!A3:A15,'Janeiro 2023 - Valor Real'!C3:C15,0))+1),((L362-1)*(1-_xlfn.XLOOKUP(K362,'Janeiro 2023 - Valor Real'!A3:A15,'Janeiro 2023 - Valor Real'!C3:C15,0))+1),((L363-1)*(1-_xlfn.XLOOKUP(K363,'Janeiro 2023 - Valor Real'!A3:A15,'Janeiro 2023 - Valor Real'!C3:C15,0))+1))/((L363-1)*(1-_xlfn.XLOOKUP(K363,'Janeiro 2023 - Valor Real'!A3:A15,'Janeiro 2023 - Valor Real'!C3:C15,0))+1)))</f>
      </c>
      <c r="AF363" s="197">
        <f>IF($K363=AF$3,ROUND(IF(OR($C363="W",$C363="1/2W",$C363="1/2L"),$P363-$O363,IF($C363="X",0,-$O363)),2),0)</f>
        <v>0</v>
      </c>
      <c r="AG363" s="198">
        <f>IF($K363=AG$3,ROUND(IF(OR($C363="W",$C363="1/2W",$C363="1/2L"),$P363-$O363,IF($C363="X",0,-$O363)),2),0)</f>
        <v>0</v>
      </c>
      <c r="AH363" s="198">
        <f>IF($K363=AH$3,ROUND(IF(OR($C363="W",$C363="1/2W",$C363="1/2L"),$P363-$O363,IF($C363="X",0,-$O363)),2),0)</f>
        <v>0</v>
      </c>
      <c r="AI363" s="198">
        <f>IF($K363=AI$3,ROUND(IF(OR($C363="W",$C363="1/2W",$C363="1/2L"),$P363-$O363,IF($C363="X",0,-$O363)),2),0)</f>
        <v>0</v>
      </c>
      <c r="AJ363" s="198">
        <f>IF($K363=AJ$3,ROUND(IF(OR($C363="W",$C363="1/2W",$C363="1/2L"),$P363-$O363,IF($C363="X",0,-$O363)),2),0)</f>
        <v>0</v>
      </c>
      <c r="AK363" s="198">
        <f>IF($K363=AK$3,ROUND(IF(OR($C363="W",$C363="1/2W",$C363="1/2L"),$P363-$O363,IF($C363="X",0,-$O363)),2),0)</f>
        <v>0</v>
      </c>
      <c r="AL363" s="198">
        <f>IF($K363=AL$3,ROUND(IF(OR($C363="W",$C363="1/2W",$C363="1/2L"),$P363-$O363,IF($C363="X",0,-$O363)),2),0)</f>
        <v>0</v>
      </c>
      <c r="AM363" s="198">
        <f>IF($K363=AM$3,ROUND(IF(OR($C363="W",$C363="1/2W",$C363="1/2L"),$P363-$O363,IF($C363="X",0,-$O363)),2),0)</f>
        <v>0</v>
      </c>
      <c r="AN363" s="198">
        <f>IF($K363=AN$3,ROUND(IF(OR($C363="W",$C363="1/2W",$C363="1/2L"),$P363-$O363,IF($C363="X",0,-$O363)),2),0)</f>
        <v>0</v>
      </c>
      <c r="AO363" s="198">
        <f>IF($K363=AO$3,ROUND(IF(OR($C363="W",$C363="1/2W",$C363="1/2L"),$P363-$O363,IF($C363="X",0,-$O363)),2),0)</f>
        <v>0</v>
      </c>
      <c r="AP363" s="198">
        <f>IF($K363=AP$3,ROUND(IF(OR($C363="W",$C363="1/2W",$C363="1/2L"),$P363-$O363,IF($C363="X",0,-$O363)),2),0)</f>
        <v>0</v>
      </c>
      <c r="AQ363" s="198">
        <f>IF($K363=AQ$3,ROUND(IF(OR($C363="W",$C363="1/2W",$C363="1/2L"),$P363-$O363,IF($C363="X",0,-$O363)),2),0)</f>
        <v>0</v>
      </c>
      <c r="AR363" s="199">
        <f>IF($K363=AR$3,ROUND(IF(OR($C363="W",$C363="1/2W",$C363="1/2L"),$P363-$O363,IF($C363="X",0,-$O363)),2),0)</f>
        <v>0</v>
      </c>
      <c r="AS363" s="197">
        <f>IF(AND($B361=" ",$K363=AS$3),$O363,0)</f>
        <v>0</v>
      </c>
      <c r="AT363" s="198">
        <f>IF(AND($B361=" ",K363=AT$3),$O363,0)</f>
        <v>0</v>
      </c>
      <c r="AU363" s="198">
        <f>IF(AND($B361=" ",$K363=AU$3),$O363,0)</f>
        <v>0</v>
      </c>
      <c r="AV363" s="198">
        <f>IF(AND($B361=" ",$K363=AV$3),$O363,0)</f>
        <v>0</v>
      </c>
      <c r="AW363" s="198">
        <f>IF(AND($B361=" ",$K363=AW$3),$O363,0)</f>
        <v>0</v>
      </c>
      <c r="AX363" s="198">
        <f>IF(AND($B361=" ",$K363=AX$3),$O363,0)</f>
        <v>0</v>
      </c>
      <c r="AY363" s="200">
        <f>IF(AND($B361=" ",$K363=AY$3),$O363,0)</f>
        <v>0</v>
      </c>
      <c r="AZ363" s="201">
        <f>IF(AND($B361=" ",$K363=AZ$3),$O363,0)</f>
        <v>0</v>
      </c>
      <c r="BA363" s="201">
        <f>IF(AND($B361=" ",$K363=BA$3),$O363,0)</f>
        <v>0</v>
      </c>
      <c r="BB363" s="201">
        <f>IF(AND($B361=" ",$K363=BB$3),$O363,0)</f>
        <v>0</v>
      </c>
      <c r="BC363" s="202">
        <f>IF(AND($B361=" ",$K363=BC$3),$O363,0)</f>
        <v>0</v>
      </c>
      <c r="BD363" s="198">
        <f>IF(AND($B361=" ",$K363=BD$3),$O363,0)</f>
        <v>0</v>
      </c>
      <c r="BE363" s="199">
        <f>IF(AND($B361=" ",$K363=BE$3),$O363,0)</f>
        <v>0</v>
      </c>
      <c r="BF363" s="197">
        <f>IF($K363=BF$3,IF($C363="X",0,$O363),0)</f>
        <v>0</v>
      </c>
      <c r="BG363" s="198">
        <f>IF($K363=BG$3,IF($C363="X",0,$O363),0)</f>
        <v>0</v>
      </c>
      <c r="BH363" s="198">
        <f>IF($K363=BH$3,IF($C363="X",0,$O363),0)</f>
        <v>0</v>
      </c>
      <c r="BI363" s="198">
        <f>IF($K363=BI$3,IF($C363="X",0,$O363),0)</f>
        <v>0</v>
      </c>
      <c r="BJ363" s="198">
        <f>IF($K363=BJ$3,IF($C363="X",0,$O363),0)</f>
        <v>0</v>
      </c>
      <c r="BK363" s="198">
        <f>IF($K363=BK$3,IF($C363="X",0,$O363),0)</f>
        <v>0</v>
      </c>
      <c r="BL363" s="198">
        <f>IF($K363=BL$3,IF($C363="X",0,$O363),0)</f>
        <v>0</v>
      </c>
      <c r="BM363" s="200">
        <f>IF($K363=BM$3,IF($C363="X",0,$O363),0)</f>
        <v>0</v>
      </c>
      <c r="BN363" s="201">
        <f>IF($K363=BN$3,IF($C363="X",0,$O363),0)</f>
        <v>0</v>
      </c>
      <c r="BO363" s="201">
        <f>IF($K363=BO$3,IF($C363="X",0,$O363),0)</f>
        <v>0</v>
      </c>
      <c r="BP363" s="201">
        <f>IF($K363=BP$3,IF($C363="X",0,$O363),0)</f>
        <v>0</v>
      </c>
      <c r="BQ363" s="202">
        <f>IF($K363=BQ$3,IF($C363="X",0,$O363),0)</f>
        <v>0</v>
      </c>
      <c r="BR363" s="199">
        <f>IF($K363=BR$3,IF($C363="X",0,$O363),0)</f>
        <v>0</v>
      </c>
      <c r="BS363" s="228"/>
      <c r="BT363" s="229"/>
      <c r="BU363" s="140"/>
      <c r="BV363" s="229"/>
      <c r="BW363" s="140"/>
      <c r="BX363" s="140"/>
      <c r="BY363" s="140"/>
      <c r="BZ363" s="229"/>
      <c r="CA363" s="140"/>
      <c r="CB363" s="140"/>
      <c r="CC363" s="140"/>
      <c r="CD363" s="141"/>
      <c r="CE363" s="142"/>
      <c r="CF363" s="230">
        <f>IF(CF$3=$K363,IF($C363="W",1,IF($C363="1/2W",0.5,0)),0)</f>
        <v>0</v>
      </c>
      <c r="CG363" s="231">
        <f>IF(CF$3=$K363,IF($C363="L",1,IF($C363="1/2L",0.5,0)),0)</f>
        <v>0</v>
      </c>
      <c r="CH363" s="231">
        <f>IF(CH$3=$K363,IF($C363="W",1,IF($C363="1/2W",0.5,0)),0)</f>
        <v>0</v>
      </c>
      <c r="CI363" s="231">
        <f>IF(CH$3=$K363,IF($C363="L",1,IF($C363="1/2L",0.5,0)),0)</f>
        <v>0</v>
      </c>
      <c r="CJ363" s="231">
        <f>IF(CJ$3=$K363,IF($C363="W",1,IF($C363="1/2W",0.5,0)),0)</f>
        <v>0</v>
      </c>
      <c r="CK363" s="231">
        <f>IF(CJ$3=$K363,IF($C363="L",1,IF($C363="1/2L",0.5,0)),0)</f>
        <v>0</v>
      </c>
      <c r="CL363" s="231">
        <f>IF(CL$3=$K363,IF($C363="W",1,IF($C363="1/2W",0.5,0)),0)</f>
        <v>0</v>
      </c>
      <c r="CM363" s="231">
        <f>IF(CL$3=$K363,IF($C363="L",1,IF($C363="1/2L",0.5,0)),0)</f>
        <v>0</v>
      </c>
      <c r="CN363" s="231">
        <f>IF(CN$3=$K363,IF($C363="W",1,IF($C363="1/2W",0.5,0)),0)</f>
        <v>0</v>
      </c>
      <c r="CO363" s="231">
        <f>IF(CN$3=$K363,IF($C363="L",1,IF($C363="1/2L",0.5,0)),0)</f>
        <v>0</v>
      </c>
      <c r="CP363" s="231">
        <f>IF(CP$3=$K363,IF($C363="W",1,IF($C363="1/2W",0.5,0)),0)</f>
        <v>0</v>
      </c>
      <c r="CQ363" s="231">
        <f>IF(CP$3=$K363,IF($C363="L",1,IF($C363="1/2L",0.5,0)),0)</f>
        <v>0</v>
      </c>
      <c r="CR363" s="231">
        <f>IF(CR$3=$K363,IF($C363="W",1,IF($C363="1/2W",0.5,0)),0)</f>
        <v>0</v>
      </c>
      <c r="CS363" s="231">
        <f>IF(CR$3=$K363,IF($C363="L",1,IF($C363="1/2L",0.5,0)),0)</f>
        <v>0</v>
      </c>
      <c r="CT363" s="208">
        <f>IF(CT$3=$K363,IF($C363="W",1,IF($C363="1/2W",0.5,0)),0)</f>
        <v>0</v>
      </c>
      <c r="CU363" s="209">
        <f>IF(CT$3=$K363,IF($C363="L",1,IF($C363="1/2L",0.5,0)),0)</f>
        <v>0</v>
      </c>
      <c r="CV363" s="209">
        <f>IF(CV$3=$K363,IF($C363="W",1,IF($C363="1/2W",0.5,0)),0)</f>
        <v>0</v>
      </c>
      <c r="CW363" s="209">
        <f>IF(CV$3=$K363,IF($C363="L",1,IF($C363="1/2L",0.5,0)),0)</f>
        <v>0</v>
      </c>
      <c r="CX363" s="209">
        <f>IF(CX$3=$K363,IF($C363="W",1,IF($C363="1/2W",0.5,0)),0)</f>
        <v>0</v>
      </c>
      <c r="CY363" s="209">
        <f>IF(CX$3=$K363,IF($C363="L",1,IF($C363="1/2L",0.5,0)),0)</f>
        <v>0</v>
      </c>
      <c r="CZ363" s="209">
        <f>IF(CZ$3=$K363,IF($C363="W",1,IF($C363="1/2W",0.5,0)),0)</f>
        <v>0</v>
      </c>
      <c r="DA363" s="209">
        <f>IF(CZ$3=$K363,IF($C363="L",1,IF($C363="1/2L",0.5,0)),0)</f>
        <v>0</v>
      </c>
      <c r="DB363" s="209">
        <f>IF(DB$3=$K363,IF($C363="W",1,IF($C363="1/2W",0.5,0)),0)</f>
        <v>0</v>
      </c>
      <c r="DC363" s="209">
        <f>IF(DB$3=$K363,IF($C363="L",1,IF($C363="1/2L",0.5,0)),0)</f>
        <v>0</v>
      </c>
      <c r="DD363" s="209">
        <f>IF(DD$3=$K363,IF($C363="W",1,IF($C363="1/2W",0.5,0)),0)</f>
        <v>0</v>
      </c>
      <c r="DE363" s="210">
        <f>IF(DD$3=$K363,IF($C363="L",1,IF($C363="1/2L",0.5,0)),0)</f>
        <v>0</v>
      </c>
      <c r="DF363" s="211">
        <f>IF(AND(L363&lt;DF$3,$C363="W"),1+DF362,DF362)</f>
        <v>12</v>
      </c>
      <c r="DG363" s="198">
        <f>IF(DF363&gt;DF362,L363+DG362,DG362)</f>
        <v>15.718</v>
      </c>
      <c r="DH363" s="209">
        <f>IF(AND(L363&gt;DH$3,$C363="W"),1+DH362,0+DH362)</f>
        <v>8</v>
      </c>
      <c r="DI363" s="198">
        <f>IF(DH363&gt;DH362,L363+DI362,DI362)</f>
        <v>45.33</v>
      </c>
      <c r="DJ363" t="s" s="306">
        <f>IF($D361="","",$D361)</f>
        <v>307</v>
      </c>
      <c r="DK363" s="232"/>
    </row>
    <row r="364" ht="14.55" customHeight="1">
      <c r="A364" s="246">
        <f>$A361+1</f>
        <v>121</v>
      </c>
      <c r="B364" t="s" s="247">
        <f>IF(AND(_xlfn.XLOOKUP(H364,H$107:H143,G$107:G143,0)=G364,_xlfn.XLOOKUP("TempoBet",K364:K366,L364:L366,0)&gt;0),"X",IF(OR(C364="W",C365="W",C366="W",C364="1/2W",C365="1/2W",C366="1/2W",C364="1/2L",C365="1/2L",C366="1/2L"),"OK",IF(OR(C364="L",C365="L",C366="L"),"LOSS",IF(OR(C364="X",C365="X",C366="X"),"Anulado"," "))))</f>
        <v>50</v>
      </c>
      <c r="C364" t="s" s="248">
        <v>51</v>
      </c>
      <c r="D364" t="s" s="303">
        <f>IF(G364="","",$D361)</f>
        <v>307</v>
      </c>
      <c r="E364" t="s" s="250">
        <v>63</v>
      </c>
      <c r="F364" t="s" s="251"/>
      <c r="G364" s="252">
        <v>44949.479166666664</v>
      </c>
      <c r="H364" t="s" s="253">
        <v>310</v>
      </c>
      <c r="I364" s="292">
        <v>1</v>
      </c>
      <c r="J364" s="293"/>
      <c r="K364" t="s" s="256">
        <v>41</v>
      </c>
      <c r="L364" s="257">
        <v>1.35</v>
      </c>
      <c r="M364" s="258"/>
      <c r="N364" s="259">
        <v>0.1</v>
      </c>
      <c r="O364" s="260">
        <f>IF(OR(AE364="",AE365=""),"",ROUND(IF(L366&gt;0,IF(M364&gt;0,M364,IF(M365&gt;0,ROUND((M365*AE364)/AE365,IF(N364=0,2,IF(N364=0.1,1,0))),ROUND((M366*AE364)/AE366,IF(N364=0,2,IF(N364=0.1,1,0))))),IF(M364&gt;0,M364,ROUND((M365*AE364)/AE365,IF(N364=0,2,IF(N364=0.1,1,0))))),2))</f>
        <v>16.7</v>
      </c>
      <c r="P364" s="261">
        <f>IF(OR(L364="",O364=""),"",IF($C364="1/2W",O364/2+O364/2*L364,IF($C364="1/2L",O364/2,IF(I364="Lay",(O364*(L364/(L364-1))-O364)*(1-_xlfn.XLOOKUP(K364,'Janeiro 2023 - Valor Real'!A3:A15,'Janeiro 2023 - Valor Real'!C3:C15,0))+O364,(O364*L364-O364)*(1-_xlfn.XLOOKUP(K364,'Janeiro 2023 - Valor Real'!A3:A15,'Janeiro 2023 - Valor Real'!C3:C15,0))+O364))))</f>
        <v>22.545</v>
      </c>
      <c r="Q364" s="262">
        <f>IF(K364="","",IF(_xlfn.XLOOKUP(K364,K$107:K143,DJ$107:DJ143,0,,-1)=DJ364,_xlfn.XLOOKUP(K364,K$107:K143,Q$107:Q143,1,,-1)+1,1))</f>
        <v>1</v>
      </c>
      <c r="R364" s="263">
        <f>IF(K364="","",_xlfn.XLOOKUP(K364,K$107:K143,R$107:R143,0,,-1)+IF($C364=" ",1,0))</f>
        <v>0</v>
      </c>
      <c r="S364" s="264">
        <f>IF($B364="Anulado",0,ROUND(IF(OR($B364="LOSS",$B364="OK"),IF(OR($C364="W",$C364="1/2W",$C364="1/2L"),P364-O364,IF($C364="L",-O364,0))+IF(OR($C365="W",$C365="1/2W",$C365="1/2L"),P365-O365,IF($C365="L",-O365,0))+IF(OR($C366="W",$C366="1/2W",$C366="1/2L"),P366-O366,IF($C366="L",-O366,0)),IF(AND(OR($C364="W",$C364="1/2W",$C364="1/2L"),C365="W"),P364+P365-SUM(O364:O366)+_xlfn.XLOOKUP("X",C364:C366,O364:O366,0),IF(AND(C364=TRUE,C366="W"),P364+P366-SUM(O364:O366),IF(AND(C365="W",C366="W"),P365+P366-SUM(O364:O366)+_xlfn.XLOOKUP("X",C364:C366,O364:O366,0),IF(L366&gt;0,IF(OR($C364="W",$C364="1/2W",$C364="1/2L"),P364-SUM(O364:O366)+_xlfn.XLOOKUP("X",C364:C366,O364:O366,0),IF(OR($C364="W",$C364="1/2W",$C364="1/2L"),P365-SUM(O364:O366)+_xlfn.XLOOKUP("X",C364:C366,O364:O366,0),IF(OR($C364="W",$C364="1/2W",$C364="1/2L"),P366-SUM(O364:O366)+_xlfn.XLOOKUP("X",C364:C366,O364:O366,0),IF(SUM(P364:P366)/3-SUM(O364:O366)+_xlfn.XLOOKUP("X",C364:C366,O364:O366,0)&gt;0,SUM(P364:P366)/3-SUM(O364:O366)+_xlfn.XLOOKUP("X",C364:C366,O364:O366,0),LARGE(P364:P366,1)-SUM(O364:O366))))),IF(OR($C364="W",$C364="1/2W",$C364="1/2L"),P364-SUM(O364:O365)+_xlfn.XLOOKUP("X",C364:C366,O364:O366,0),IF(OR($C364="W",$C364="1/2W",$C364="1/2L"),P365-SUM(O364:O365)+_xlfn.XLOOKUP("X",C364:C366,O364:O366,0),SUM(P364:P365)/2-SUM(O364:O365)+_xlfn.XLOOKUP("X",C364:C366,O364:O366,0)))))))),2))</f>
        <v>0.8</v>
      </c>
      <c r="T364" s="265">
        <f>IF(S364=0,0,S364/SUM(O364:O366))</f>
        <v>0.0368663594470046</v>
      </c>
      <c r="U364" s="266">
        <f>IF($D364=$D361,IF(OR($B364="LOSS",$B364="OK",$B364="Anulada"),S364,0)+U361,IF(OR($B364="LOSS",$B364="OK",$B364="Anulada"),S364,0))</f>
        <v>6.47</v>
      </c>
      <c r="V364" s="266">
        <f>IF($D364="",0,IF($D364=$D361,IF($B364=" ",IF(I366="",IF(OR(AND(I364="DNB1",I365="DNB2"),AND(OR(I364="DNB1",I364="DNB2"),J365=0),AND(OR(I365="DNB1",I365="DNB2"),J364=0),AND(I364="DNB2",I365="DNB1"),AND(IF(J364=0,(J364+1)/ROUND(J364+1,0),J364/ROUND(J364,0))=1,IF(J365=0,(J365+1)/ROUND(IF(J365="",0,J365)+1,0),IF(J365="",0,J365)/ROUND(IF(J365="",1,J365),0))=1,OR(J364&lt;&gt;""),J365&lt;&gt;"")),0,IF(S364&lt;0,IF(I366="",SMALL(P364:P365,1)-SUM(O364:O365),0),SMALL(P364:P365,1)-SUM(O364:O365))),IF(S364&lt;0,IF(I366="",SMALL(P364:P366,1)-SUM(O364:O366),0),LARGE(P364:P366,1)-SUM(O364:O366))),S364)+V361,IF(I366="",IF(OR(AND(I364="DNB1",I365="DNB2"),AND(OR(I364="DNB1",I364="DNB2"),J365=0),AND(OR(I365="DNB1",I365="DNB2"),J364=0),AND(I364="DNB2",I365="DNB1"),AND(IF(J364=0,(J364+1)/ROUND(J364+1,0),J364/ROUND(J364,0))=1,IF(J365=0,(IF(J365="",0,J365)+1)/ROUND(IF(J365="",0,J365)+1,0),IF(J365="",0,J365)/ROUND(IF(J365="",0,J365)+1,0))=1,OR(J364&lt;&gt;""),J365&lt;&gt;"")),0,IF(S364&lt;0,IF(I366="",SMALL(P364:P365,1)-SUM(O364:O365),0),SMALL(P364:P366,1)-SUM(O364:O366))),IF(S364&lt;0,IF(I366="",SMALL(P364:P366,1)-SUM(O364:O366),0),LARGE(P364:P366,1)-SUM(O364:O366)))))</f>
        <v>6.47225</v>
      </c>
      <c r="W364" s="266">
        <f>IF($D364=$D361,IF(S364&lt;0,IF(I366="",S364,0),S364)+W361,S364)</f>
        <v>6.47</v>
      </c>
      <c r="X364" t="s" s="267">
        <f>IF(OR(SUM(R364:R366)=0,V364=W364),ROUND(IF(W364=0,0,W364/Y364)*100,2)&amp;"%",ROUND(IF(V364=0,0,V364/Y364)*100,2)&amp;"% a "&amp;ROUND(IF(W364=0,0,W364/Y364)*100,2)&amp;"%")</f>
        <v>311</v>
      </c>
      <c r="Y364" s="268">
        <f>IF($D364=$D361,Y361+SUM(O364:O366),SUM(O364:O366))</f>
        <v>65.06999999999999</v>
      </c>
      <c r="Z364" s="266">
        <f>IF($B364=" ",SUM(O364:O366),0)+Z361</f>
        <v>0</v>
      </c>
      <c r="AA364" s="266">
        <f>IF(G364="","",IF($B364="Anulado",LARGE(P364:P366,1)-SUM(O364:O366)+AA361,AA361))</f>
        <v>16.5099</v>
      </c>
      <c r="AB364" s="266">
        <f>IF($D364="","",AB361+S364)</f>
        <v>258.14</v>
      </c>
      <c r="AC364" s="269">
        <f>IF($D364="","",IF($B364=" ",IF(DAY(G364)=DAY(TODAY()),1+AC361,0+AC361),0+AC361))</f>
        <v>0</v>
      </c>
      <c r="AD364" s="270">
        <f>(1-_xlfn.XLOOKUP(K362,'Janeiro 2023 - Valor Real'!A3:A15,'Janeiro 2023 - Valor Real'!C3:C15,0))+1</f>
        <v>2</v>
      </c>
      <c r="AE364" s="271">
        <f>IF(L364="","",IF(L366&gt;0,(SUM(((L364-1)*(1-_xlfn.XLOOKUP(K364,'Janeiro 2023 - Valor Real'!A3:A15,'Janeiro 2023 - Valor Real'!C3:C15,0))+1),((L365-1)*(1-_xlfn.XLOOKUP(K365,'Janeiro 2023 - Valor Real'!A3:A15,'Janeiro 2023 - Valor Real'!C3:C15,0))+1),((L366-1)*(1-_xlfn.XLOOKUP(K366,'Janeiro 2023 - Valor Real'!A3:A15,'Janeiro 2023 - Valor Real'!C3:C15,0))+1))/((L364-1)*(1-_xlfn.XLOOKUP(K364,'Janeiro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Real'!C3:C15,0))+1))/((L364-1)*(1-_xlfn.XLOOKUP(K364,'Janeiro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Real'!C3:C15,0))+1))/((L365-1)*(1-_xlfn.XLOOKUP(K365,'Janeiro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Real'!C3:C15,0))+1))/((L366-1)*(1-_xlfn.XLOOKUP(K366,'Janeiro 2023 - Valor Real'!A3:A15,'Janeiro 2023 - Valor Real'!C3:C15,0))+1)),IF(I364="Lay",IF(I365="Lay",((L365/(L365-1)-1)*(1-_xlfn.XLOOKUP(K365,'Janeiro 2023 - Valor Real'!A3:A15,'Janeiro 2023 - Valor Real'!C3:C15,0))+1)/(((L365/(L365-1)-1)*(1-_xlfn.XLOOKUP(K365,'Janeiro 2023 - Valor Real'!A3:A15,'Janeiro 2023 - Valor Real'!C3:C15,0))+1)+((L364/(L364-1)-1)*(1-_xlfn.XLOOKUP(K364,'Janeiro 2023 - Valor Real'!A3:A15,'Janeiro 2023 - Valor Real'!C3:C15,0))+1)),((L365-1)*(1-_xlfn.XLOOKUP(K365,'Janeiro 2023 - Valor Real'!A3:A15,'Janeiro 2023 - Valor Real'!C3:C15,0))+1)/(((L365-1)*(1-_xlfn.XLOOKUP(K365,'Janeiro 2023 - Valor Real'!A3:A15,'Janeiro 2023 - Valor Real'!C3:C15,0))+1)+((L364/(L364-1)-1)*(1-_xlfn.XLOOKUP(K364,'Janeiro 2023 - Valor Real'!A3:A15,'Janeiro 2023 - Valor Real'!C3:C15,0))+1))),IF(I365="Lay",(((L365/(L365-1)-1)*(1-_xlfn.XLOOKUP(K365,'Janeiro 2023 - Valor Real'!A3:A15,'Janeiro 2023 - Valor Real'!C3:C15,0))+1))/(((L364-1)*(1-_xlfn.XLOOKUP(K364,'Janeiro 2023 - Valor Real'!A3:A15,'Janeiro 2023 - Valor Real'!C3:C15,0))+1)+((L365/(L365-1)-1)*(1-_xlfn.XLOOKUP(K365,'Janeiro 2023 - Valor Real'!A3:A15,'Janeiro 2023 - Valor Real'!C3:C15,0))+1)),((L365-1)*(1-_xlfn.XLOOKUP(K365,'Janeiro 2023 - Valor Real'!A3:A15,'Janeiro 2023 - Valor Real'!C3:C15,0))+1)/(((L365-1)*(1-_xlfn.XLOOKUP(K365,'Janeiro 2023 - Valor Real'!A3:A15,'Janeiro 2023 - Valor Real'!C3:C15,0))+1)+((L364-1)*(1-_xlfn.XLOOKUP(K364,'Janeiro 2023 - Valor Real'!A3:A15,'Janeiro 2023 - Valor Real'!C3:C15,0))+1))))))</f>
        <v>0.7692307692307691</v>
      </c>
      <c r="AF364" s="132">
        <f>IF($K364=AF$3,ROUND(IF(OR($C364="W",$C364="1/2W",$C364="1/2L"),$P364-$O364,IF($C364="X",0,-$O364)),2),0)</f>
        <v>0</v>
      </c>
      <c r="AG364" s="133">
        <f>IF($K364=AG$3,ROUND(IF(OR($C364="W",$C364="1/2W",$C364="1/2L"),$P364-$O364,IF($C364="X",0,-$O364)),2),0)</f>
        <v>0</v>
      </c>
      <c r="AH364" s="133">
        <f>IF($K364=AH$3,ROUND(IF(OR($C364="W",$C364="1/2W",$C364="1/2L"),$P364-$O364,IF($C364="X",0,-$O364)),2),0)</f>
        <v>0</v>
      </c>
      <c r="AI364" s="133">
        <f>IF($K364=AI$3,ROUND(IF(OR($C364="W",$C364="1/2W",$C364="1/2L"),$P364-$O364,IF($C364="X",0,-$O364)),2),0)</f>
        <v>0</v>
      </c>
      <c r="AJ364" s="133">
        <f>IF($K364=AJ$3,ROUND(IF(OR($C364="W",$C364="1/2W",$C364="1/2L"),$P364-$O364,IF($C364="X",0,-$O364)),2),0)</f>
        <v>-16.7</v>
      </c>
      <c r="AK364" s="133">
        <f>IF($K364=AK$3,ROUND(IF(OR($C364="W",$C364="1/2W",$C364="1/2L"),$P364-$O364,IF($C364="X",0,-$O364)),2),0)</f>
        <v>0</v>
      </c>
      <c r="AL364" s="133">
        <f>IF($K364=AL$3,ROUND(IF(OR($C364="W",$C364="1/2W",$C364="1/2L"),$P364-$O364,IF($C364="X",0,-$O364)),2),0)</f>
        <v>0</v>
      </c>
      <c r="AM364" s="133">
        <f>IF($K364=AM$3,ROUND(IF(OR($C364="W",$C364="1/2W",$C364="1/2L"),$P364-$O364,IF($C364="X",0,-$O364)),2),0)</f>
        <v>0</v>
      </c>
      <c r="AN364" s="133">
        <f>IF($K364=AN$3,ROUND(IF(OR($C364="W",$C364="1/2W",$C364="1/2L"),$P364-$O364,IF($C364="X",0,-$O364)),2),0)</f>
        <v>0</v>
      </c>
      <c r="AO364" s="133">
        <f>IF($K364=AO$3,ROUND(IF(OR($C364="W",$C364="1/2W",$C364="1/2L"),$P364-$O364,IF($C364="X",0,-$O364)),2),0)</f>
        <v>0</v>
      </c>
      <c r="AP364" s="133">
        <f>IF($K364=AP$3,ROUND(IF(OR($C364="W",$C364="1/2W",$C364="1/2L"),$P364-$O364,IF($C364="X",0,-$O364)),2),0)</f>
        <v>0</v>
      </c>
      <c r="AQ364" s="133">
        <f>IF($K364=AQ$3,ROUND(IF(OR($C364="W",$C364="1/2W",$C364="1/2L"),$P364-$O364,IF($C364="X",0,-$O364)),2),0)</f>
        <v>0</v>
      </c>
      <c r="AR364" s="134">
        <f>IF($K364=AR$3,ROUND(IF(OR($C364="W",$C364="1/2W",$C364="1/2L"),$P364-$O364,IF($C364="X",0,-$O364)),2),0)</f>
        <v>0</v>
      </c>
      <c r="AS364" s="132">
        <f>IF(AND($B364=" ",$K364=AS$3),$O364,0)</f>
        <v>0</v>
      </c>
      <c r="AT364" s="133">
        <f>IF(AND($B364=" ",$K364=AT$3),$O364,0)</f>
        <v>0</v>
      </c>
      <c r="AU364" s="133">
        <f>IF(AND($B364=" ",$K364=AU$3),$O364,0)</f>
        <v>0</v>
      </c>
      <c r="AV364" s="133">
        <f>IF(AND($B364=" ",$K364=AV$3),$O364,0)</f>
        <v>0</v>
      </c>
      <c r="AW364" s="133">
        <f>IF(AND($B364=" ",$K364=AW$3),$O364,0)</f>
        <v>0</v>
      </c>
      <c r="AX364" s="133">
        <f>IF(AND($B364=" ",$K364=AX$3),$O364,0)</f>
        <v>0</v>
      </c>
      <c r="AY364" s="135">
        <f>IF(AND($B364=" ",$K364=AY$3),$O364,0)</f>
        <v>0</v>
      </c>
      <c r="AZ364" s="136">
        <f>IF(AND($B364=" ",$K364=AZ$3),$O364,0)</f>
        <v>0</v>
      </c>
      <c r="BA364" s="136">
        <f>IF(AND($B364=" ",$K364=BA$3),$O364,0)</f>
        <v>0</v>
      </c>
      <c r="BB364" s="136">
        <f>IF(AND($B364=" ",$K364=BB$3),$O364,0)</f>
        <v>0</v>
      </c>
      <c r="BC364" s="137">
        <f>IF(AND($B364=" ",$K364=BC$3),$O364,0)</f>
        <v>0</v>
      </c>
      <c r="BD364" s="133">
        <f>IF(AND($B364=" ",$K364=BD$3),$O364,0)</f>
        <v>0</v>
      </c>
      <c r="BE364" s="134">
        <f>IF(AND($B364=" ",$K364=BE$3),$O364,0)</f>
        <v>0</v>
      </c>
      <c r="BF364" s="132">
        <f>IF($K364=BF$3,IF($C364="X",0,$O364),0)</f>
        <v>0</v>
      </c>
      <c r="BG364" s="133">
        <f>IF($K364=BG$3,IF($C364="X",0,$O364),0)</f>
        <v>0</v>
      </c>
      <c r="BH364" s="133">
        <f>IF($K364=BH$3,IF($C364="X",0,$O364),0)</f>
        <v>0</v>
      </c>
      <c r="BI364" s="133">
        <f>IF($K364=BI$3,IF($C364="X",0,$O364),0)</f>
        <v>0</v>
      </c>
      <c r="BJ364" s="133">
        <f>IF($K364=BJ$3,IF($C364="X",0,$O364),0)</f>
        <v>16.7</v>
      </c>
      <c r="BK364" s="133">
        <f>IF($K364=BK$3,IF($C364="X",0,$O364),0)</f>
        <v>0</v>
      </c>
      <c r="BL364" s="133">
        <f>IF($K364=BL$3,IF($C364="X",0,$O364),0)</f>
        <v>0</v>
      </c>
      <c r="BM364" s="135">
        <f>IF($K364=BM$3,IF($C364="X",0,$O364),0)</f>
        <v>0</v>
      </c>
      <c r="BN364" s="136">
        <f>IF($K364=BN$3,IF($C364="X",0,$O364),0)</f>
        <v>0</v>
      </c>
      <c r="BO364" s="136">
        <f>IF($K364=BO$3,IF($C364="X",0,$O364),0)</f>
        <v>0</v>
      </c>
      <c r="BP364" s="136">
        <f>IF($K364=BP$3,IF($C364="X",0,$O364),0)</f>
        <v>0</v>
      </c>
      <c r="BQ364" s="137">
        <f>IF($K364=BQ$3,IF($C364="X",0,$O364),0)</f>
        <v>0</v>
      </c>
      <c r="BR364" s="134">
        <f>IF($K364=BR$3,IF($C364="X",0,$O364),0)</f>
        <v>0</v>
      </c>
      <c r="BS364" s="170">
        <f>IF($B364="LOSS",IF(AND($K364=BS$3,$C364="L"),-$O364,0)+IF(AND($K365=BS$3,$C365="L"),-$O365,0)+IF(AND($K366=BS$3,$C366="L"),-$O366,0),IF(OR(AND($K364=BS$3,OR($C364="W",$C364="1/2W")),AND($K365=BS$3,OR($C365="W",$C365="1/2W")),AND($K366=BS$3,OR($C366="W",$C366="1/2W"))),$S364,0))</f>
        <v>0.8</v>
      </c>
      <c r="BT364" s="272">
        <f>IF($B364="LOSS",IF(AND($K364=BT$3,$C364="L"),-$O364,0)+IF(AND($K365=BT$3,$C365="L"),-$O365,0)+IF(AND($K365=BT$3,$C366="L"),-$O366,0),IF(OR(AND($K365=BT$3,OR($C364="W",$C364="1/2W")),AND($K365=BT$3,OR($C365="W",$C365="1/2W")),AND($K365=BT$3,OR($C366="W",$C366="1/2W"))),$S364,0))</f>
        <v>0</v>
      </c>
      <c r="BU364" s="136">
        <f>IF($B364="LOSS",IF(AND($K364=BU$3,$C364="L"),-$O364,0)+IF(AND($K365=BU$3,$C365="L"),-$O365,0)+IF(AND($K365=BU$3,$C366="L"),-$O366,0),IF(OR(AND($K365=BU$3,OR($C364="W",$C364="1/2W")),AND($K365=BU$3,OR($C365="W",$C365="1/2W")),AND($K365=BU$3,OR($C366="W",$C366="1/2W"))),$S364,0))</f>
        <v>0</v>
      </c>
      <c r="BV364" s="136">
        <f>IF($B364="LOSS",IF(AND($K364=BV$3,$C364="L"),-$O364,0)+IF(AND($K365=BV$3,$C365="L"),-$O365,0)+IF(AND($K366=BV$3,$C366="L"),-$O366,0),IF(OR(AND($K364=BV$3,OR($C364="W",$C364="1/2W")),AND($K365=BV$3,OR($C365="W",$C365="1/2W")),AND($K366=BV$3,OR($C366="W",$C366="1/2W"))),$S364,0))</f>
        <v>0</v>
      </c>
      <c r="BW364" s="136">
        <f>IF($B364="LOSS",IF(AND($K364=BW$3,$C364="L"),-$O364,0)+IF(AND($K365=BW$3,$C365="L"),-$O365,0)+IF(AND($K366=BW$3,$C366="L"),-$O366,0),IF(OR(AND($K364=BW$3,OR($C364="W",$C364="1/2W")),AND($K365=BW$3,OR($C365="W",$C365="1/2W")),AND($K366=BW$3,OR($C366="W",$C366="1/2W"))),$S364,0))</f>
        <v>0</v>
      </c>
      <c r="BX364" s="136">
        <f>IF($B364="LOSS",IF(AND($K364=BX$3,$C364="L"),-$O364,0)+IF(AND($K365=BX$3,$C365="L"),-$O365,0)+IF(AND($K366=BX$3,$C366="L"),-$O366,0),IF(OR(AND($K364=BX$3,OR($C364="W",$C364="1/2W")),AND($K365=BX$3,OR($C365="W",$C365="1/2W")),AND($K366=BX$3,OR($C366="W",$C366="1/2W"))),$S364,0))</f>
        <v>0</v>
      </c>
      <c r="BY364" s="136">
        <f>IF($B364="LOSS",IF(AND($K364=BY$3,$C364="L"),-$O364,0)+IF(AND($K365=BY$3,$C365="L"),-$O365,0)+IF(AND($K366=BY$3,$C366="L"),-$O366,0),IF(OR(AND($K364=BY$3,OR($C364="W",$C364="1/2W")),AND($K365=BY$3,OR($C365="W",$C365="1/2W")),AND($K366=BY$3,OR($C366="W",$C366="1/2W"))),$S364,0))</f>
        <v>0</v>
      </c>
      <c r="BZ364" s="136">
        <f>IF($B364="LOSS",IF(AND($K364=BZ$3,$C364="L"),-$O364,0)+IF(AND($K365=BZ$3,$C365="L"),-$O365,0)+IF(AND($K366=BZ$3,$C366="L"),-$O366,0),IF(OR(AND($K364=BZ$3,OR($C364="W",$C364="1/2W")),AND($K365=BZ$3,OR($C365="W",$C365="1/2W")),AND($K366=BZ$3,OR($C366="W",$C366="1/2W"))),$S364,0))</f>
        <v>0</v>
      </c>
      <c r="CA364" s="136">
        <f>IF($B364="LOSS",IF(AND($K364=CA$3,$C364="L"),-$O364,0)+IF(AND($K365=CA$3,$C365="L"),-$O365,0)+IF(AND($K366=CA$3,$C366="L"),-$O366,0),IF(OR(AND($K364=CA$3,OR($C364="W",$C364="1/2W")),AND($K365=CA$3,OR($C365="W",$C365="1/2W")),AND($K366=CA$3,OR($C366="W",$C366="1/2W"))),$S364,0))</f>
        <v>0</v>
      </c>
      <c r="CB364" s="136">
        <f>IF($B364="LOSS",IF(AND($K364=CB$3,$C364="L"),-$O364,0)+IF(AND($K365=CB$3,$C365="L"),-$O365,0)+IF(AND($K366=CB$3,$C366="L"),-$O366,0),IF(OR(AND($K364=CB$3,OR($C364="W",$C364="1/2W")),AND($K365=CB$3,OR($C365="W",$C365="1/2W")),AND($K366=CB$3,OR($C366="W",$C366="1/2W"))),$S364,0))</f>
        <v>0</v>
      </c>
      <c r="CC364" s="136">
        <f>IF($B364="LOSS",IF(AND($K364=CC$3,$C364="L"),-$O364,0)+IF(AND($K365=CC$3,$C365="L"),-$O365,0)+IF(AND($K366=CC$3,$C366="L"),-$O366,0),IF(OR(AND($K364=CC$3,OR($C364="W",$C364="1/2W")),AND($K365=CC$3,OR($C365="W",$C365="1/2W")),AND($K366=CC$3,OR($C366="W",$C366="1/2W"))),$S364,0))</f>
        <v>0</v>
      </c>
      <c r="CD364" s="137">
        <f>IF($B364="LOSS",IF(AND($K364=CD$3,$C364="L"),-$O364,0)+IF(AND($K365=CD$3,$C365="L"),-$O365,0)+IF(AND($K366=CD$3,$C366="L"),-$O366,0),IF(OR(AND($K364=CD$3,OR($C364="W",$C364="1/2W")),AND($K365=CD$3,OR($C365="W",$C365="1/2W")),AND($K366=CD$3,OR($C366="W",$C366="1/2W"))),$S364,0))</f>
        <v>0</v>
      </c>
      <c r="CE364" s="134">
        <f>IF($B364="LOSS",IF(AND($K364=CE$3,$C364="L"),-$O364,0)+IF(AND($K365=CE$3,$C365="L"),-$O365,0)+IF(AND($K366=CE$3,$C366="L"),-$O366,0),IF(OR(AND($K364=CE$3,OR($C364="W",$C364="1/2W")),AND($K365=CE$3,OR($C365="W",$C365="1/2W")),AND($K366=CE$3,OR($C366="W",$C366="1/2W"))),$S364,0))</f>
        <v>0</v>
      </c>
      <c r="CF364" s="273">
        <f>IF(CF$3=$K364,IF($C364="W",1,IF($C364="1/2W",0.5,0)),0)</f>
        <v>0</v>
      </c>
      <c r="CG364" s="274">
        <f>IF(CF$3=$K364,IF($C364="L",1,IF($C364="1/2L",0.5,0)),0)</f>
        <v>0</v>
      </c>
      <c r="CH364" s="274">
        <f>IF(CH$3=$K364,IF($C364="W",1,IF($C364="1/2W",0.5,0)),0)</f>
        <v>0</v>
      </c>
      <c r="CI364" s="274">
        <f>IF(CH$3=$K364,IF($C364="L",1,IF($C364="1/2L",0.5,0)),0)</f>
        <v>0</v>
      </c>
      <c r="CJ364" s="274">
        <f>IF(CJ$3=$K364,IF($C364="W",1,IF($C364="1/2W",0.5,0)),0)</f>
        <v>0</v>
      </c>
      <c r="CK364" s="274">
        <f>IF(CJ$3=$K364,IF($C364="L",1,IF($C364="1/2L",0.5,0)),0)</f>
        <v>0</v>
      </c>
      <c r="CL364" s="274">
        <f>IF(CL$3=$K364,IF($C364="W",1,IF($C364="1/2W",0.5,0)),0)</f>
        <v>0</v>
      </c>
      <c r="CM364" s="274">
        <f>IF(CL$3=$K364,IF($C364="L",1,IF($C364="1/2L",0.5,0)),0)</f>
        <v>0</v>
      </c>
      <c r="CN364" s="274">
        <f>IF(CN$3=$K364,IF($C364="W",1,IF($C364="1/2W",0.5,0)),0)</f>
        <v>0</v>
      </c>
      <c r="CO364" s="274">
        <f>IF(CN$3=$K364,IF($C364="L",1,IF($C364="1/2L",0.5,0)),0)</f>
        <v>1</v>
      </c>
      <c r="CP364" s="274">
        <f>IF(CP$3=$K364,IF($C364="W",1,IF($C364="1/2W",0.5,0)),0)</f>
        <v>0</v>
      </c>
      <c r="CQ364" s="274">
        <f>IF(CP$3=$K364,IF($C364="L",1,IF($C364="1/2L",0.5,0)),0)</f>
        <v>0</v>
      </c>
      <c r="CR364" s="274">
        <f>IF(CR$3=$K364,IF($C364="W",1,IF($C364="1/2W",0.5,0)),0)</f>
        <v>0</v>
      </c>
      <c r="CS364" s="274">
        <f>IF(CR$3=$K364,IF($C364="L",1,IF($C364="1/2L",0.5,0)),0)</f>
        <v>0</v>
      </c>
      <c r="CT364" s="145">
        <f>IF(CT$3=$K364,IF($C364="W",1,IF($C364="1/2W",0.5,0)),0)</f>
        <v>0</v>
      </c>
      <c r="CU364" s="146">
        <f>IF(CT$3=$K364,IF($C364="L",1,IF($C364="1/2L",0.5,0)),0)</f>
        <v>0</v>
      </c>
      <c r="CV364" s="146">
        <f>IF(CV$3=$K364,IF($C364="W",1,IF($C364="1/2W",0.5,0)),0)</f>
        <v>0</v>
      </c>
      <c r="CW364" s="146">
        <f>IF(CV$3=$K364,IF($C364="L",1,IF($C364="1/2L",0.5,0)),0)</f>
        <v>0</v>
      </c>
      <c r="CX364" s="146">
        <f>IF(CX$3=$K364,IF($C364="W",1,IF($C364="1/2W",0.5,0)),0)</f>
        <v>0</v>
      </c>
      <c r="CY364" s="146">
        <f>IF(CX$3=$K364,IF($C364="L",1,IF($C364="1/2L",0.5,0)),0)</f>
        <v>0</v>
      </c>
      <c r="CZ364" s="146">
        <f>IF(CZ$3=$K364,IF($C364="W",1,IF($C364="1/2W",0.5,0)),0)</f>
        <v>0</v>
      </c>
      <c r="DA364" s="146">
        <f>IF(CZ$3=$K364,IF($C364="L",1,IF($C364="1/2L",0.5,0)),0)</f>
        <v>0</v>
      </c>
      <c r="DB364" s="146">
        <f>IF(DB$3=$K364,IF($C364="W",1,IF($C364="1/2W",0.5,0)),0)</f>
        <v>0</v>
      </c>
      <c r="DC364" s="146">
        <f>IF(DB$3=$K364,IF($C364="L",1,IF($C364="1/2L",0.5,0)),0)</f>
        <v>0</v>
      </c>
      <c r="DD364" s="146">
        <f>IF(DD$3=$K364,IF($C364="W",1,IF($C364="1/2W",0.5,0)),0)</f>
        <v>0</v>
      </c>
      <c r="DE364" s="147">
        <f>IF(DD$3=$K364,IF($C364="L",1,IF($C364="1/2L",0.5,0)),0)</f>
        <v>0</v>
      </c>
      <c r="DF364" s="143">
        <f>IF(AND(L364&lt;DF$3,$C364="W"),1+DF363,DF363)</f>
        <v>12</v>
      </c>
      <c r="DG364" s="133">
        <f>IF(DF364&gt;DF363,L364+DG363,DG363)</f>
        <v>15.718</v>
      </c>
      <c r="DH364" s="146">
        <f>IF(AND(L364&gt;DH$3,$C364="W"),1+DH363,0+DH363)</f>
        <v>8</v>
      </c>
      <c r="DI364" s="133">
        <f>IF(DH364&gt;DH363,L364+DI363,DI363)</f>
        <v>45.33</v>
      </c>
      <c r="DJ364" t="s" s="304">
        <f>IF($D364="","",$D364)</f>
        <v>307</v>
      </c>
      <c r="DK364" s="146">
        <f>IF(AND($B364=" ",$D364&lt;&gt;""),1,0)</f>
        <v>0</v>
      </c>
    </row>
    <row r="365" ht="14.55" customHeight="1">
      <c r="A365" s="107"/>
      <c r="B365" s="108"/>
      <c r="C365" t="s" s="109">
        <v>56</v>
      </c>
      <c r="D365" s="110"/>
      <c r="E365" s="111"/>
      <c r="F365" s="113"/>
      <c r="G365" s="252"/>
      <c r="H365" s="114"/>
      <c r="I365" t="s" s="275">
        <v>87</v>
      </c>
      <c r="J365" t="s" s="295">
        <f>IF(OR(I364="TO",I364="TU",I364="TO1",I364="TU1",I364="TO2",I364="TU2"),J364,IF(OR(I364="AH1",I364="AH2"),IF(OR(I365="AH1",I365="AH2"),-J364,IF(OR(I365="EH1",I365="EH2"),-J364+0.5,"")),IF(OR(I364="EH1",I364="EH2"),IF(OR(I365="AH1",I365="AH2"),-J364+0.5,IF(OR(I365="EH1",I365="EH2"),-J364+1,"")),IF(AND(OR(I364="DNB1",I364="DNB2"),OR(I365="AH1",I365="AH2")),0,IF(AND(I364="Not ScoreBoth",OR(I365="TO1",I365="TO2")),0.5,"")))))</f>
      </c>
      <c r="K365" t="s" s="117">
        <v>37</v>
      </c>
      <c r="L365" s="277">
        <v>4.5</v>
      </c>
      <c r="M365" s="278">
        <v>5</v>
      </c>
      <c r="N365" s="120"/>
      <c r="O365" s="121">
        <f>IF(OR(AE364="",AE365=""),"",ROUND(IF(L366&gt;0,IF(M365&gt;0,M365,IF(M364&gt;0,IF(N364=TRUE,ROUND((M364*AE365)/AE364,0),(M364*AE365)/AE364),IF(M365&gt;0,ROUND(M365,IF(N364=0,2,IF(N364=0.1,1,0))),IF(M366&gt;0,ROUND(O366*AE365/AE366,IF(N364=0,2,IF(N364=0.1,1,0))),0)))),IF(M365&gt;0,M365,ROUND((M364*AE365)/AE364,IF(N364=0,2,IF(N364=0.1,1,0))))),2))</f>
        <v>5</v>
      </c>
      <c r="P365" s="122">
        <f>IF(OR(L365="",O365=""),"",IF($C365="1/2W",O365/2+O365/2*L365,IF($C365="1/2L",O365/2,IF(I365="Lay",((O365*(L365/(L365-1)))-O365)*(1-_xlfn.XLOOKUP(K365,'Janeiro 2023 - Valor Real'!A3:A15,'Janeiro 2023 - Valor Real'!C3:C15,0))+O365,(O365*L365-O365)*(1-_xlfn.XLOOKUP(K365,'Janeiro 2023 - Valor Real'!A3:A15,'Janeiro 2023 - Valor Real'!C3:C15,0))+O365))))</f>
        <v>22.5</v>
      </c>
      <c r="Q365" s="279">
        <f>IF(K365="","",IF(_xlfn.XLOOKUP(K365,K$120:K144,DJ$120:DJ144,0,,-1)=DJ365,_xlfn.XLOOKUP(K365,K$120:K144,Q$120:Q144,1,,-1)+1,1))</f>
        <v>1</v>
      </c>
      <c r="R365" s="280">
        <f>IF(K365="","",_xlfn.XLOOKUP(K365,K$120:K144,R$120:R144,0,,-1)+IF($C365=" ",1,0))</f>
        <v>0</v>
      </c>
      <c r="S365" s="125"/>
      <c r="T365" s="126"/>
      <c r="U365" s="126"/>
      <c r="V365" s="224"/>
      <c r="W365" s="126"/>
      <c r="X365" s="127"/>
      <c r="Y365" s="128"/>
      <c r="Z365" s="129"/>
      <c r="AA365" s="129"/>
      <c r="AB365" s="129"/>
      <c r="AC365" s="129"/>
      <c r="AD365" s="130"/>
      <c r="AE365" s="131">
        <f>IF(L365="","",IF(L366&gt;0,(SUM(((L364-1)*(1-_xlfn.XLOOKUP(K364,'Janeiro 2023 - Valor Real'!A3:A15,'Janeiro 2023 - Valor Real'!C3:C15,0))+1),((L365-1)*(1-_xlfn.XLOOKUP(K365,'Janeiro 2023 - Valor Real'!A3:A15,'Janeiro 2023 - Valor Real'!C3:C15,0))+1),((L366-1)*(1-_xlfn.XLOOKUP(K366,'Janeiro 2023 - Valor Real'!A3:A15,'Janeiro 2023 - Valor Real'!C3:C15,0))+1))/((L365-1)*(1-_xlfn.XLOOKUP(K365,'Janeiro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Real'!C3:C15,0))+1))/((L364-1)*(1-_xlfn.XLOOKUP(K364,'Janeiro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Real'!C3:C15,0))+1))/((L365-1)*(1-_xlfn.XLOOKUP(K365,'Janeiro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Real'!C3:C15,0))+1))/((L366-1)*(1-_xlfn.XLOOKUP(K366,'Janeiro 2023 - Valor Real'!A3:A15,'Janeiro 2023 - Valor Real'!C3:C15,0))+1)),IF(I365="Lay",IF(I364="Lay",((L364/(L364-1)-1)*(1-_xlfn.XLOOKUP(K364,'Janeiro 2023 - Valor Real'!A3:A15,'Janeiro 2023 - Valor Real'!C3:C15,0))+1)/(((L364/(L364-1)-1)*(1-_xlfn.XLOOKUP(K364,'Janeiro 2023 - Valor Real'!A3:A15,'Janeiro 2023 - Valor Real'!C3:C15,0))+1)+((L365/(L365-1)-1)*(1-_xlfn.XLOOKUP(K365,'Janeiro 2023 - Valor Real'!A3:A15,'Janeiro 2023 - Valor Real'!C3:C15,0))+1)),((L364-1)*(1-_xlfn.XLOOKUP(K364,'Janeiro 2023 - Valor Real'!A3:A15,'Janeiro 2023 - Valor Real'!C3:C15,0))+1)/(((L364-1)*(1-_xlfn.XLOOKUP(K364,'Janeiro 2023 - Valor Real'!A3:A15,'Janeiro 2023 - Valor Real'!C3:C15,0))+1)+((L365/(L365-1)-1)*(1-_xlfn.XLOOKUP(K365,'Janeiro 2023 - Valor Real'!A3:A15,'Janeiro 2023 - Valor Real'!C3:C15,0))+1))),IF(I364="Lay",((L364/(L364-1)-1)*(1-_xlfn.XLOOKUP(K364,'Janeiro 2023 - Valor Real'!A3:A15,'Janeiro 2023 - Valor Real'!C3:C15,0))+1)/((((L364/(L364-1)-1)*(1-_xlfn.XLOOKUP(K364,'Janeiro 2023 - Valor Real'!A3:A15,'Janeiro 2023 - Valor Real'!C3:C15,0))+1))+((L365-1)*(1-_xlfn.XLOOKUP(K365,'Janeiro 2023 - Valor Real'!A3:A15,'Janeiro 2023 - Valor Real'!C3:C15,0))+1)),((L364-1)*(1-_xlfn.XLOOKUP(K364,'Janeiro 2023 - Valor Real'!A3:A15,'Janeiro 2023 - Valor Real'!C3:C15,0))+1)/(((L364-1)*(1-_xlfn.XLOOKUP(K364,'Janeiro 2023 - Valor Real'!A3:A15,'Janeiro 2023 - Valor Real'!C3:C15,0))+1)+((L365-1)*(1-_xlfn.XLOOKUP(K365,'Janeiro 2023 - Valor Real'!A3:A15,'Janeiro 2023 - Valor Real'!C3:C15,0))+1))))))</f>
        <v>0.230769230769231</v>
      </c>
      <c r="AF365" s="132">
        <f>IF($K365=AF$3,ROUND(IF(OR($C365="W",$C365="1/2W",$C365="1/2L"),$P365-$O365,IF($C365="X",0,-$O365)),2),0)</f>
        <v>17.5</v>
      </c>
      <c r="AG365" s="133">
        <f>IF($K365=AG$3,ROUND(IF(OR($C365="W",$C365="1/2W",$C365="1/2L"),$P365-$O365,IF($C365="X",0,-$O365)),2),0)</f>
        <v>0</v>
      </c>
      <c r="AH365" s="133">
        <f>IF($K365=AH$3,ROUND(IF(OR($C365="W",$C365="1/2W",$C365="1/2L"),$P365-$O365,IF($C365="X",0,-$O365)),2),0)</f>
        <v>0</v>
      </c>
      <c r="AI365" s="133">
        <f>IF($K365=AI$3,ROUND(IF(OR($C365="W",$C365="1/2W",$C365="1/2L"),$P365-$O365,IF($C365="X",0,-$O365)),2),0)</f>
        <v>0</v>
      </c>
      <c r="AJ365" s="133">
        <f>IF($K365=AJ$3,ROUND(IF(OR($C365="W",$C365="1/2W",$C365="1/2L"),$P365-$O365,IF($C365="X",0,-$O365)),2),0)</f>
        <v>0</v>
      </c>
      <c r="AK365" s="133">
        <f>IF($K365=AK$3,ROUND(IF(OR($C365="W",$C365="1/2W",$C365="1/2L"),$P365-$O365,IF($C365="X",0,-$O365)),2),0)</f>
        <v>0</v>
      </c>
      <c r="AL365" s="133">
        <f>IF($K365=AL$3,ROUND(IF(OR($C365="W",$C365="1/2W",$C365="1/2L"),$P365-$O365,IF($C365="X",0,-$O365)),2),0)</f>
        <v>0</v>
      </c>
      <c r="AM365" s="133">
        <f>IF($K365=AM$3,ROUND(IF(OR($C365="W",$C365="1/2W",$C365="1/2L"),$P365-$O365,IF($C365="X",0,-$O365)),2),0)</f>
        <v>0</v>
      </c>
      <c r="AN365" s="133">
        <f>IF($K365=AN$3,ROUND(IF(OR($C365="W",$C365="1/2W",$C365="1/2L"),$P365-$O365,IF($C365="X",0,-$O365)),2),0)</f>
        <v>0</v>
      </c>
      <c r="AO365" s="133">
        <f>IF($K365=AO$3,ROUND(IF(OR($C365="W",$C365="1/2W",$C365="1/2L"),$P365-$O365,IF($C365="X",0,-$O365)),2),0)</f>
        <v>0</v>
      </c>
      <c r="AP365" s="133">
        <f>IF($K365=AP$3,ROUND(IF(OR($C365="W",$C365="1/2W",$C365="1/2L"),$P365-$O365,IF($C365="X",0,-$O365)),2),0)</f>
        <v>0</v>
      </c>
      <c r="AQ365" s="133">
        <f>IF($K365=AQ$3,ROUND(IF(OR($C365="W",$C365="1/2W",$C365="1/2L"),$P365-$O365,IF($C365="X",0,-$O365)),2),0)</f>
        <v>0</v>
      </c>
      <c r="AR365" s="134">
        <f>IF($K365=AR$3,ROUND(IF(OR($C365="W",$C365="1/2W",$C365="1/2L"),$P365-$O365,IF($C365="X",0,-$O365)),2),0)</f>
        <v>0</v>
      </c>
      <c r="AS365" s="132">
        <f>IF(AND($B364=" ",$K365=AS$3),$O365,0)</f>
        <v>0</v>
      </c>
      <c r="AT365" s="133">
        <f>IF(AND($B364=" ",K365=AT$3),$O365,0)</f>
        <v>0</v>
      </c>
      <c r="AU365" s="133">
        <f>IF(AND($B364=" ",$K365=AU$3),$O365,0)</f>
        <v>0</v>
      </c>
      <c r="AV365" s="133">
        <f>IF(AND($B364=" ",$K365=AV$3),$O365,0)</f>
        <v>0</v>
      </c>
      <c r="AW365" s="133">
        <f>IF(AND($B364=" ",$K365=AW$3),$O365,0)</f>
        <v>0</v>
      </c>
      <c r="AX365" s="133">
        <f>IF(AND($B364=" ",$K365=AX$3),$O365,0)</f>
        <v>0</v>
      </c>
      <c r="AY365" s="135">
        <f>IF(AND($B364=" ",$K365=AY$3),$O365,0)</f>
        <v>0</v>
      </c>
      <c r="AZ365" s="136">
        <f>IF(AND($B364=" ",$K365=AZ$3),$O365,0)</f>
        <v>0</v>
      </c>
      <c r="BA365" s="136">
        <f>IF(AND($B364=" ",$K365=BA$3),$O365,0)</f>
        <v>0</v>
      </c>
      <c r="BB365" s="136">
        <f>IF(AND($B364=" ",$K365=BB$3),$O365,0)</f>
        <v>0</v>
      </c>
      <c r="BC365" s="137">
        <f>IF(AND($B364=" ",$K365=BC$3),$O365,0)</f>
        <v>0</v>
      </c>
      <c r="BD365" s="133">
        <f>IF(AND($B364=" ",$K365=BD$3),$O365,0)</f>
        <v>0</v>
      </c>
      <c r="BE365" s="134">
        <f>IF(AND($B364=" ",$K365=BE$3),$O365,0)</f>
        <v>0</v>
      </c>
      <c r="BF365" s="132">
        <f>IF($K365=BF$3,IF($C365="X",0,$O365),0)</f>
        <v>5</v>
      </c>
      <c r="BG365" s="281">
        <f>IF($K365=BG$3,IF($C365="X",0,$O365),0)</f>
        <v>0</v>
      </c>
      <c r="BH365" s="133">
        <f>IF($K365=BH$3,IF($C365="X",0,$O365),0)</f>
        <v>0</v>
      </c>
      <c r="BI365" s="133">
        <f>IF($K365=BI$3,IF($C365="X",0,$O365),0)</f>
        <v>0</v>
      </c>
      <c r="BJ365" s="133">
        <f>IF($K365=BJ$3,IF($C365="X",0,$O365),0)</f>
        <v>0</v>
      </c>
      <c r="BK365" s="133">
        <f>IF($K365=BK$3,IF($C365="X",0,$O365),0)</f>
        <v>0</v>
      </c>
      <c r="BL365" s="133">
        <f>IF($K365=BL$3,IF($C365="X",0,$O365),0)</f>
        <v>0</v>
      </c>
      <c r="BM365" s="135">
        <f>IF($K365=BM$3,IF($C365="X",0,$O365),0)</f>
        <v>0</v>
      </c>
      <c r="BN365" s="136">
        <f>IF($K365=BN$3,IF($C365="X",0,$O365),0)</f>
        <v>0</v>
      </c>
      <c r="BO365" s="136">
        <f>IF($K365=BO$3,IF($C365="X",0,$O365),0)</f>
        <v>0</v>
      </c>
      <c r="BP365" s="136">
        <f>IF($K365=BP$3,IF($C365="X",0,$O365),0)</f>
        <v>0</v>
      </c>
      <c r="BQ365" s="137">
        <f>IF($K365=BQ$3,IF($C365="X",0,$O365),0)</f>
        <v>0</v>
      </c>
      <c r="BR365" s="134">
        <f>IF($K365=BR$3,IF($C365="X",0,$O365),0)</f>
        <v>0</v>
      </c>
      <c r="BS365" s="282"/>
      <c r="BT365" s="283"/>
      <c r="BU365" s="140"/>
      <c r="BV365" s="283"/>
      <c r="BW365" s="140"/>
      <c r="BX365" s="140"/>
      <c r="BY365" s="140"/>
      <c r="BZ365" s="283"/>
      <c r="CA365" s="140"/>
      <c r="CB365" s="140"/>
      <c r="CC365" s="140"/>
      <c r="CD365" s="141"/>
      <c r="CE365" s="142"/>
      <c r="CF365" s="284">
        <f>IF(CF$3=$K365,IF($C365="W",1,IF($C365="1/2W",0.5,0)),0)</f>
        <v>1</v>
      </c>
      <c r="CG365" s="285">
        <f>IF(CF$3=$K365,IF($C365="L",1,IF($C365="1/2L",0.5,0)),0)</f>
        <v>0</v>
      </c>
      <c r="CH365" s="285">
        <f>IF(CH$3=$K365,IF($C365="W",1,IF($C365="1/2W",0.5,0)),0)</f>
        <v>0</v>
      </c>
      <c r="CI365" s="285">
        <f>IF(CH$3=$K365,IF($C365="L",1,IF($C365="1/2L",0.5,0)),0)</f>
        <v>0</v>
      </c>
      <c r="CJ365" s="285">
        <f>IF(CJ$3=$K365,IF($C365="W",1,IF($C365="1/2W",0.5,0)),0)</f>
        <v>0</v>
      </c>
      <c r="CK365" s="285">
        <f>IF(CJ$3=$K365,IF($C365="L",1,IF($C365="1/2L",0.5,0)),0)</f>
        <v>0</v>
      </c>
      <c r="CL365" s="285">
        <f>IF(CL$3=$K365,IF($C365="W",1,IF($C365="1/2W",0.5,0)),0)</f>
        <v>0</v>
      </c>
      <c r="CM365" s="285">
        <f>IF(CL$3=$K365,IF($C365="L",1,IF($C365="1/2L",0.5,0)),0)</f>
        <v>0</v>
      </c>
      <c r="CN365" s="285">
        <f>IF(CN$3=$K365,IF($C365="W",1,IF($C365="1/2W",0.5,0)),0)</f>
        <v>0</v>
      </c>
      <c r="CO365" s="285">
        <f>IF(CN$3=$K365,IF($C365="L",1,IF($C365="1/2L",0.5,0)),0)</f>
        <v>0</v>
      </c>
      <c r="CP365" s="285">
        <f>IF(CP$3=$K365,IF($C365="W",1,IF($C365="1/2W",0.5,0)),0)</f>
        <v>0</v>
      </c>
      <c r="CQ365" s="285">
        <f>IF(CP$3=$K365,IF($C365="L",1,IF($C365="1/2L",0.5,0)),0)</f>
        <v>0</v>
      </c>
      <c r="CR365" s="285">
        <f>IF(CR$3=$K365,IF($C365="W",1,IF($C365="1/2W",0.5,0)),0)</f>
        <v>0</v>
      </c>
      <c r="CS365" s="285">
        <f>IF(CR$3=$K365,IF($C365="L",1,IF($C365="1/2L",0.5,0)),0)</f>
        <v>0</v>
      </c>
      <c r="CT365" s="145">
        <f>IF(CT$3=$K365,IF($C365="W",1,IF($C365="1/2W",0.5,0)),0)</f>
        <v>0</v>
      </c>
      <c r="CU365" s="146">
        <f>IF(CT$3=$K365,IF($C365="L",1,IF($C365="1/2L",0.5,0)),0)</f>
        <v>0</v>
      </c>
      <c r="CV365" s="146">
        <f>IF(CV$3=$K365,IF($C365="W",1,IF($C365="1/2W",0.5,0)),0)</f>
        <v>0</v>
      </c>
      <c r="CW365" s="146">
        <f>IF(CV$3=$K365,IF($C365="L",1,IF($C365="1/2L",0.5,0)),0)</f>
        <v>0</v>
      </c>
      <c r="CX365" s="146">
        <f>IF(CX$3=$K365,IF($C365="W",1,IF($C365="1/2W",0.5,0)),0)</f>
        <v>0</v>
      </c>
      <c r="CY365" s="146">
        <f>IF(CX$3=$K365,IF($C365="L",1,IF($C365="1/2L",0.5,0)),0)</f>
        <v>0</v>
      </c>
      <c r="CZ365" s="146">
        <f>IF(CZ$3=$K365,IF($C365="W",1,IF($C365="1/2W",0.5,0)),0)</f>
        <v>0</v>
      </c>
      <c r="DA365" s="146">
        <f>IF(CZ$3=$K365,IF($C365="L",1,IF($C365="1/2L",0.5,0)),0)</f>
        <v>0</v>
      </c>
      <c r="DB365" s="146">
        <f>IF(DB$3=$K365,IF($C365="W",1,IF($C365="1/2W",0.5,0)),0)</f>
        <v>0</v>
      </c>
      <c r="DC365" s="146">
        <f>IF(DB$3=$K365,IF($C365="L",1,IF($C365="1/2L",0.5,0)),0)</f>
        <v>0</v>
      </c>
      <c r="DD365" s="146">
        <f>IF(DD$3=$K365,IF($C365="W",1,IF($C365="1/2W",0.5,0)),0)</f>
        <v>0</v>
      </c>
      <c r="DE365" s="147">
        <f>IF(DD$3=$K365,IF($C365="L",1,IF($C365="1/2L",0.5,0)),0)</f>
        <v>0</v>
      </c>
      <c r="DF365" s="143">
        <f>IF(AND(L365&lt;DF$3,$C365="W"),1+DF364,DF364)</f>
        <v>12</v>
      </c>
      <c r="DG365" s="133">
        <f>IF(DF365&gt;DF364,L365+DG364,DG364)</f>
        <v>15.718</v>
      </c>
      <c r="DH365" s="146">
        <f>IF(AND(L365&gt;DH$3,$C365="W"),1+DH364,0+DH364)</f>
        <v>9</v>
      </c>
      <c r="DI365" s="133">
        <f>IF(DH365&gt;DH364,L365+DI364,DI364)</f>
        <v>49.83</v>
      </c>
      <c r="DJ365" t="s" s="304">
        <f>IF($D364="","",$D364)</f>
        <v>307</v>
      </c>
      <c r="DK365" s="286"/>
    </row>
    <row r="366" ht="14.55" customHeight="1">
      <c r="A366" s="149"/>
      <c r="B366" s="150"/>
      <c r="C366" t="s" s="151">
        <v>58</v>
      </c>
      <c r="D366" s="152"/>
      <c r="E366" s="153"/>
      <c r="F366" s="155"/>
      <c r="G366" s="252"/>
      <c r="H366" s="156"/>
      <c r="I366" s="287"/>
      <c r="J366" s="288"/>
      <c r="K366" s="156"/>
      <c r="L366" s="289"/>
      <c r="M366" s="290"/>
      <c r="N366" s="161"/>
      <c r="O366" t="s" s="162">
        <f>IF(OR(AE364="",AE365=""),"",IF(L366&gt;0,ROUND(IF(M366&gt;0,M366,IF(M364&gt;0,ROUND((M364*AE366)/AE364,IF(N364=0,2,IF(N364=0.1,1,0))),IF(M365&gt;0,ROUND((M365*AE366)/AE365,IF(N364=0,2,IF(N364=0.1,1,0))),IF(M366&gt;0,M366,0)))),2),""))</f>
      </c>
      <c r="P366" t="s" s="163">
        <f>IF(I365="Lay",O365*(L365/(L365-1))-O365,IF(I364="Lay",O364*(L364/(L364-1))-O364,IF(OR(L366="",O366=""),"",IF($C366="1/2W",O366/2+O366/2*L366,IF($C366="1/2L",O366/2,(O366*L366-O366)*(1-_xlfn.XLOOKUP(K366,'Janeiro 2023 - Valor Real'!A3:A15,'Janeiro 2023 - Valor Real'!C3:C15,0))+O366)))))</f>
      </c>
      <c r="Q366" t="s" s="154">
        <f>IF(K366="","",IF(_xlfn.XLOOKUP(K366,K$121:K145,DJ$121:DJ145,0,,-1)=DJ366,_xlfn.XLOOKUP(K366,K$121:K145,Q$121:Q145,1,,-1)+1,1))</f>
      </c>
      <c r="R366" t="s" s="163">
        <f>IF(K366="","",_xlfn.XLOOKUP(K366,K$121:K145,R$121:R145,0,,-1)+IF($C366=" ",1,0))</f>
      </c>
      <c r="S366" s="166"/>
      <c r="T366" s="155"/>
      <c r="U366" s="155"/>
      <c r="V366" s="166"/>
      <c r="W366" s="155"/>
      <c r="X366" s="167"/>
      <c r="Y366" s="128"/>
      <c r="Z366" s="129"/>
      <c r="AA366" s="129"/>
      <c r="AB366" s="129"/>
      <c r="AC366" s="129"/>
      <c r="AD366" s="168"/>
      <c r="AE366" t="s" s="169">
        <f>IF(L366="","",(SUM(((L364-1)*(1-_xlfn.XLOOKUP(K364,'Janeiro 2023 - Valor Real'!A3:A15,'Janeiro 2023 - Valor Real'!C3:C15,0))+1),((L365-1)*(1-_xlfn.XLOOKUP(K365,'Janeiro 2023 - Valor Real'!A3:A15,'Janeiro 2023 - Valor Real'!C3:C15,0))+1),((L366-1)*(1-_xlfn.XLOOKUP(K366,'Janeiro 2023 - Valor Real'!A3:A15,'Janeiro 2023 - Valor Real'!C3:C15,0))+1))/((L366-1)*(1-_xlfn.XLOOKUP(K366,'Janeiro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Real'!C3:C15,0))+1))/((L364-1)*(1-_xlfn.XLOOKUP(K364,'Janeiro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Real'!C3:C15,0))+1))/((L365-1)*(1-_xlfn.XLOOKUP(K365,'Janeiro 2023 - Valor Real'!A3:A15,'Janeiro 2023 - Valor Real'!C3:C15,0))+1)+SUM(((L364-1)*(1-_xlfn.XLOOKUP(K364,'Janeiro 2023 - Valor Real'!A3:A15,'Janeiro 2023 - Valor Real'!C3:C15,0))+1),((L365-1)*(1-_xlfn.XLOOKUP(K365,'Janeiro 2023 - Valor Real'!A3:A15,'Janeiro 2023 - Valor Real'!C3:C15,0))+1),((L366-1)*(1-_xlfn.XLOOKUP(K366,'Janeiro 2023 - Valor Real'!A3:A15,'Janeiro 2023 - Valor Real'!C3:C15,0))+1))/((L366-1)*(1-_xlfn.XLOOKUP(K366,'Janeiro 2023 - Valor Real'!A3:A15,'Janeiro 2023 - Valor Real'!C3:C15,0))+1)))</f>
      </c>
      <c r="AF366" s="132">
        <f>IF($K366=AF$3,ROUND(IF(OR($C366="W",$C366="1/2W",$C366="1/2L"),$P366-$O366,IF($C366="X",0,-$O366)),2),0)</f>
        <v>0</v>
      </c>
      <c r="AG366" s="133">
        <f>IF($K366=AG$3,ROUND(IF(OR($C366="W",$C366="1/2W",$C366="1/2L"),$P366-$O366,IF($C366="X",0,-$O366)),2),0)</f>
        <v>0</v>
      </c>
      <c r="AH366" s="133">
        <f>IF($K366=AH$3,ROUND(IF(OR($C366="W",$C366="1/2W",$C366="1/2L"),$P366-$O366,IF($C366="X",0,-$O366)),2),0)</f>
        <v>0</v>
      </c>
      <c r="AI366" s="133">
        <f>IF($K366=AI$3,ROUND(IF(OR($C366="W",$C366="1/2W",$C366="1/2L"),$P366-$O366,IF($C366="X",0,-$O366)),2),0)</f>
        <v>0</v>
      </c>
      <c r="AJ366" s="133">
        <f>IF($K366=AJ$3,ROUND(IF(OR($C366="W",$C366="1/2W",$C366="1/2L"),$P366-$O366,IF($C366="X",0,-$O366)),2),0)</f>
        <v>0</v>
      </c>
      <c r="AK366" s="133">
        <f>IF($K366=AK$3,ROUND(IF(OR($C366="W",$C366="1/2W",$C366="1/2L"),$P366-$O366,IF($C366="X",0,-$O366)),2),0)</f>
        <v>0</v>
      </c>
      <c r="AL366" s="133">
        <f>IF($K366=AL$3,ROUND(IF(OR($C366="W",$C366="1/2W",$C366="1/2L"),$P366-$O366,IF($C366="X",0,-$O366)),2),0)</f>
        <v>0</v>
      </c>
      <c r="AM366" s="133">
        <f>IF($K366=AM$3,ROUND(IF(OR($C366="W",$C366="1/2W",$C366="1/2L"),$P366-$O366,IF($C366="X",0,-$O366)),2),0)</f>
        <v>0</v>
      </c>
      <c r="AN366" s="133">
        <f>IF($K366=AN$3,ROUND(IF(OR($C366="W",$C366="1/2W",$C366="1/2L"),$P366-$O366,IF($C366="X",0,-$O366)),2),0)</f>
        <v>0</v>
      </c>
      <c r="AO366" s="133">
        <f>IF($K366=AO$3,ROUND(IF(OR($C366="W",$C366="1/2W",$C366="1/2L"),$P366-$O366,IF($C366="X",0,-$O366)),2),0)</f>
        <v>0</v>
      </c>
      <c r="AP366" s="133">
        <f>IF($K366=AP$3,ROUND(IF(OR($C366="W",$C366="1/2W",$C366="1/2L"),$P366-$O366,IF($C366="X",0,-$O366)),2),0)</f>
        <v>0</v>
      </c>
      <c r="AQ366" s="133">
        <f>IF($K366=AQ$3,ROUND(IF(OR($C366="W",$C366="1/2W",$C366="1/2L"),$P366-$O366,IF($C366="X",0,-$O366)),2),0)</f>
        <v>0</v>
      </c>
      <c r="AR366" s="134">
        <f>IF($K366=AR$3,ROUND(IF(OR($C366="W",$C366="1/2W",$C366="1/2L"),$P366-$O366,IF($C366="X",0,-$O366)),2),0)</f>
        <v>0</v>
      </c>
      <c r="AS366" s="132">
        <f>IF(AND($B364=" ",$K366=AS$3),$O366,0)</f>
        <v>0</v>
      </c>
      <c r="AT366" s="133">
        <f>IF(AND($B364=" ",K366=AT$3),$O366,0)</f>
        <v>0</v>
      </c>
      <c r="AU366" s="133">
        <f>IF(AND($B364=" ",$K366=AU$3),$O366,0)</f>
        <v>0</v>
      </c>
      <c r="AV366" s="133">
        <f>IF(AND($B364=" ",$K366=AV$3),$O366,0)</f>
        <v>0</v>
      </c>
      <c r="AW366" s="133">
        <f>IF(AND($B364=" ",$K366=AW$3),$O366,0)</f>
        <v>0</v>
      </c>
      <c r="AX366" s="133">
        <f>IF(AND($B364=" ",$K366=AX$3),$O366,0)</f>
        <v>0</v>
      </c>
      <c r="AY366" s="135">
        <f>IF(AND($B364=" ",$K366=AY$3),$O366,0)</f>
        <v>0</v>
      </c>
      <c r="AZ366" s="136">
        <f>IF(AND($B364=" ",$K366=AZ$3),$O366,0)</f>
        <v>0</v>
      </c>
      <c r="BA366" s="136">
        <f>IF(AND($B364=" ",$K366=BA$3),$O366,0)</f>
        <v>0</v>
      </c>
      <c r="BB366" s="136">
        <f>IF(AND($B364=" ",$K366=BB$3),$O366,0)</f>
        <v>0</v>
      </c>
      <c r="BC366" s="137">
        <f>IF(AND($B364=" ",$K366=BC$3),$O366,0)</f>
        <v>0</v>
      </c>
      <c r="BD366" s="133">
        <f>IF(AND($B364=" ",$K366=BD$3),$O366,0)</f>
        <v>0</v>
      </c>
      <c r="BE366" s="134">
        <f>IF(AND($B364=" ",$K366=BE$3),$O366,0)</f>
        <v>0</v>
      </c>
      <c r="BF366" s="132">
        <f>IF($K366=BF$3,IF($C366="X",0,$O366),0)</f>
        <v>0</v>
      </c>
      <c r="BG366" s="281">
        <f>IF($K366=BG$3,IF($C366="X",0,$O366),0)</f>
        <v>0</v>
      </c>
      <c r="BH366" s="133">
        <f>IF($K366=BH$3,IF($C366="X",0,$O366),0)</f>
        <v>0</v>
      </c>
      <c r="BI366" s="133">
        <f>IF($K366=BI$3,IF($C366="X",0,$O366),0)</f>
        <v>0</v>
      </c>
      <c r="BJ366" s="133">
        <f>IF($K366=BJ$3,IF($C366="X",0,$O366),0)</f>
        <v>0</v>
      </c>
      <c r="BK366" s="133">
        <f>IF($K366=BK$3,IF($C366="X",0,$O366),0)</f>
        <v>0</v>
      </c>
      <c r="BL366" s="133">
        <f>IF($K366=BL$3,IF($C366="X",0,$O366),0)</f>
        <v>0</v>
      </c>
      <c r="BM366" s="135">
        <f>IF($K366=BM$3,IF($C366="X",0,$O366),0)</f>
        <v>0</v>
      </c>
      <c r="BN366" s="136">
        <f>IF($K366=BN$3,IF($C366="X",0,$O366),0)</f>
        <v>0</v>
      </c>
      <c r="BO366" s="136">
        <f>IF($K366=BO$3,IF($C366="X",0,$O366),0)</f>
        <v>0</v>
      </c>
      <c r="BP366" s="136">
        <f>IF($K366=BP$3,IF($C366="X",0,$O366),0)</f>
        <v>0</v>
      </c>
      <c r="BQ366" s="137">
        <f>IF($K366=BQ$3,IF($C366="X",0,$O366),0)</f>
        <v>0</v>
      </c>
      <c r="BR366" s="134">
        <f>IF($K366=BR$3,IF($C366="X",0,$O366),0)</f>
        <v>0</v>
      </c>
      <c r="BS366" s="282"/>
      <c r="BT366" s="283"/>
      <c r="BU366" s="140"/>
      <c r="BV366" s="283"/>
      <c r="BW366" s="140"/>
      <c r="BX366" s="140"/>
      <c r="BY366" s="140"/>
      <c r="BZ366" s="283"/>
      <c r="CA366" s="140"/>
      <c r="CB366" s="140"/>
      <c r="CC366" s="140"/>
      <c r="CD366" s="141"/>
      <c r="CE366" s="142"/>
      <c r="CF366" s="284">
        <f>IF(CF$3=$K366,IF($C366="W",1,IF($C366="1/2W",0.5,0)),0)</f>
        <v>0</v>
      </c>
      <c r="CG366" s="285">
        <f>IF(CF$3=$K366,IF($C366="L",1,IF($C366="1/2L",0.5,0)),0)</f>
        <v>0</v>
      </c>
      <c r="CH366" s="285">
        <f>IF(CH$3=$K366,IF($C366="W",1,IF($C366="1/2W",0.5,0)),0)</f>
        <v>0</v>
      </c>
      <c r="CI366" s="285">
        <f>IF(CH$3=$K366,IF($C366="L",1,IF($C366="1/2L",0.5,0)),0)</f>
        <v>0</v>
      </c>
      <c r="CJ366" s="285">
        <f>IF(CJ$3=$K366,IF($C366="W",1,IF($C366="1/2W",0.5,0)),0)</f>
        <v>0</v>
      </c>
      <c r="CK366" s="285">
        <f>IF(CJ$3=$K366,IF($C366="L",1,IF($C366="1/2L",0.5,0)),0)</f>
        <v>0</v>
      </c>
      <c r="CL366" s="285">
        <f>IF(CL$3=$K366,IF($C366="W",1,IF($C366="1/2W",0.5,0)),0)</f>
        <v>0</v>
      </c>
      <c r="CM366" s="285">
        <f>IF(CL$3=$K366,IF($C366="L",1,IF($C366="1/2L",0.5,0)),0)</f>
        <v>0</v>
      </c>
      <c r="CN366" s="285">
        <f>IF(CN$3=$K366,IF($C366="W",1,IF($C366="1/2W",0.5,0)),0)</f>
        <v>0</v>
      </c>
      <c r="CO366" s="285">
        <f>IF(CN$3=$K366,IF($C366="L",1,IF($C366="1/2L",0.5,0)),0)</f>
        <v>0</v>
      </c>
      <c r="CP366" s="285">
        <f>IF(CP$3=$K366,IF($C366="W",1,IF($C366="1/2W",0.5,0)),0)</f>
        <v>0</v>
      </c>
      <c r="CQ366" s="285">
        <f>IF(CP$3=$K366,IF($C366="L",1,IF($C366="1/2L",0.5,0)),0)</f>
        <v>0</v>
      </c>
      <c r="CR366" s="285">
        <f>IF(CR$3=$K366,IF($C366="W",1,IF($C366="1/2W",0.5,0)),0)</f>
        <v>0</v>
      </c>
      <c r="CS366" s="285">
        <f>IF(CR$3=$K366,IF($C366="L",1,IF($C366="1/2L",0.5,0)),0)</f>
        <v>0</v>
      </c>
      <c r="CT366" s="145">
        <f>IF(CT$3=$K366,IF($C366="W",1,IF($C366="1/2W",0.5,0)),0)</f>
        <v>0</v>
      </c>
      <c r="CU366" s="146">
        <f>IF(CT$3=$K366,IF($C366="L",1,IF($C366="1/2L",0.5,0)),0)</f>
        <v>0</v>
      </c>
      <c r="CV366" s="146">
        <f>IF(CV$3=$K366,IF($C366="W",1,IF($C366="1/2W",0.5,0)),0)</f>
        <v>0</v>
      </c>
      <c r="CW366" s="146">
        <f>IF(CV$3=$K366,IF($C366="L",1,IF($C366="1/2L",0.5,0)),0)</f>
        <v>0</v>
      </c>
      <c r="CX366" s="146">
        <f>IF(CX$3=$K366,IF($C366="W",1,IF($C366="1/2W",0.5,0)),0)</f>
        <v>0</v>
      </c>
      <c r="CY366" s="146">
        <f>IF(CX$3=$K366,IF($C366="L",1,IF($C366="1/2L",0.5,0)),0)</f>
        <v>0</v>
      </c>
      <c r="CZ366" s="146">
        <f>IF(CZ$3=$K366,IF($C366="W",1,IF($C366="1/2W",0.5,0)),0)</f>
        <v>0</v>
      </c>
      <c r="DA366" s="146">
        <f>IF(CZ$3=$K366,IF($C366="L",1,IF($C366="1/2L",0.5,0)),0)</f>
        <v>0</v>
      </c>
      <c r="DB366" s="146">
        <f>IF(DB$3=$K366,IF($C366="W",1,IF($C366="1/2W",0.5,0)),0)</f>
        <v>0</v>
      </c>
      <c r="DC366" s="146">
        <f>IF(DB$3=$K366,IF($C366="L",1,IF($C366="1/2L",0.5,0)),0)</f>
        <v>0</v>
      </c>
      <c r="DD366" s="146">
        <f>IF(DD$3=$K366,IF($C366="W",1,IF($C366="1/2W",0.5,0)),0)</f>
        <v>0</v>
      </c>
      <c r="DE366" s="147">
        <f>IF(DD$3=$K366,IF($C366="L",1,IF($C366="1/2L",0.5,0)),0)</f>
        <v>0</v>
      </c>
      <c r="DF366" s="143">
        <f>IF(AND(L366&lt;DF$3,$C366="W"),1+DF365,DF365)</f>
        <v>12</v>
      </c>
      <c r="DG366" s="133">
        <f>IF(DF366&gt;DF365,L366+DG365,DG365)</f>
        <v>15.718</v>
      </c>
      <c r="DH366" s="146">
        <f>IF(AND(L366&gt;DH$3,$C366="W"),1+DH365,0+DH365)</f>
        <v>9</v>
      </c>
      <c r="DI366" s="133">
        <f>IF(DH366&gt;DH365,L366+DI365,DI365)</f>
        <v>49.83</v>
      </c>
      <c r="DJ366" t="s" s="304">
        <f>IF($D364="","",$D364)</f>
        <v>307</v>
      </c>
      <c r="DK366" s="286"/>
    </row>
    <row r="367" ht="14.55" customHeight="1">
      <c r="A367" s="171">
        <f>$A364+1</f>
        <v>122</v>
      </c>
      <c r="B367" t="s" s="172">
        <f>IF(AND(_xlfn.XLOOKUP(H367,H$122:H140,G$122:G140,0)=G367,_xlfn.XLOOKUP("TempoBet",K367:K369,L367:L369,0)&gt;0),"X",IF(OR(C367="W",C368="W",C369="W",C367="1/2W",C368="1/2W",C369="1/2W",C367="1/2L",C368="1/2L",C369="1/2L"),"OK",IF(OR(C367="L",C368="L",C369="L"),"LOSS",IF(OR(C367="X",C368="X",C369="X"),"Anulado"," "))))</f>
        <v>50</v>
      </c>
      <c r="C367" t="s" s="173">
        <v>51</v>
      </c>
      <c r="D367" t="s" s="305">
        <f>IF(G367="","",$D364)</f>
        <v>307</v>
      </c>
      <c r="E367" t="s" s="175">
        <f>IF(G367=""," ","– "&amp;COUNTIF(D$4:D369,$D367))</f>
        <v>106</v>
      </c>
      <c r="F367" t="s" s="176"/>
      <c r="G367" s="177">
        <v>44949.697916666664</v>
      </c>
      <c r="H367" t="s" s="178">
        <v>305</v>
      </c>
      <c r="I367" t="s" s="179">
        <v>65</v>
      </c>
      <c r="J367" s="291">
        <v>5.5</v>
      </c>
      <c r="K367" t="s" s="181">
        <v>38</v>
      </c>
      <c r="L367" s="182">
        <v>3.5</v>
      </c>
      <c r="M367" s="183">
        <v>3.07</v>
      </c>
      <c r="N367" s="184">
        <v>0</v>
      </c>
      <c r="O367" s="185">
        <f>IF(OR(AE367="",AE368=""),"",ROUND(IF(L369&gt;0,IF(M367&gt;0,M367,IF(M368&gt;0,ROUND((M368*AE367)/AE368,IF(N367=0,2,IF(N367=0.1,1,0))),ROUND((M369*AE367)/AE369,IF(N367=0,2,IF(N367=0.1,1,0))))),IF(M367&gt;0,M367,ROUND((M368*AE367)/AE368,IF(N367=0,2,IF(N367=0.1,1,0))))),2))</f>
        <v>3.07</v>
      </c>
      <c r="P367" s="186">
        <f>IF(OR(L367="",O367=""),"",IF($C367="1/2W",O367/2+O367/2*L367,IF($C367="1/2L",O367/2,IF(I367="Lay",(O367*(L367/(L367-1))-O367)*(1-_xlfn.XLOOKUP(K367,'Janeiro 2023 - Valor Real'!A3:A15,'Janeiro 2023 - Valor Real'!C3:C15,0))+O367,(O367*L367-O367)*(1-_xlfn.XLOOKUP(K367,'Janeiro 2023 - Valor Real'!A3:A15,'Janeiro 2023 - Valor Real'!C3:C15,0))+O367))))</f>
        <v>10.745</v>
      </c>
      <c r="Q367" s="187">
        <f>IF(K367="","",IF(_xlfn.XLOOKUP(K367,K$122:K140,DJ$122:DJ140,0,,-1)=DJ367,_xlfn.XLOOKUP(K367,K$122:K140,Q$122:Q140,1,,-1)+1,1))</f>
        <v>1</v>
      </c>
      <c r="R367" s="188">
        <f>IF(K367="","",_xlfn.XLOOKUP(K367,K$122:K140,R$122:R140,0,,-1)+IF($C367=" ",1,0))</f>
        <v>0</v>
      </c>
      <c r="S367" s="189">
        <f>IF($B367="Anulado",0,ROUND(IF(OR($B367="LOSS",$B367="OK"),IF(OR($C367="W",$C367="1/2W",$C367="1/2L"),P367-O367,IF($C367="L",-O367,0))+IF(OR($C368="W",$C368="1/2W",$C368="1/2L"),P368-O368,IF($C368="L",-O368,0))+IF(OR($C369="W",$C369="1/2W",$C369="1/2L"),P369-O369,IF($C369="L",-O369,0)),IF(AND(OR($C367="W",$C367="1/2W",$C367="1/2L"),C368="W"),P367+P368-SUM(O367:O369)+_xlfn.XLOOKUP("X",C367:C369,O367:O369,0),IF(AND(C367=TRUE,C369="W"),P367+P369-SUM(O367:O369),IF(AND(C368="W",C369="W"),P368+P369-SUM(O367:O369)+_xlfn.XLOOKUP("X",C367:C369,O367:O369,0),IF(L369&gt;0,IF(OR($C367="W",$C367="1/2W",$C367="1/2L"),P367-SUM(O367:O369)+_xlfn.XLOOKUP("X",C367:C369,O367:O369,0),IF(OR($C367="W",$C367="1/2W",$C367="1/2L"),P368-SUM(O367:O369)+_xlfn.XLOOKUP("X",C367:C369,O367:O369,0),IF(OR($C367="W",$C367="1/2W",$C367="1/2L"),P369-SUM(O367:O369)+_xlfn.XLOOKUP("X",C367:C369,O367:O369,0),IF(SUM(P367:P369)/3-SUM(O367:O369)+_xlfn.XLOOKUP("X",C367:C369,O367:O369,0)&gt;0,SUM(P367:P369)/3-SUM(O367:O369)+_xlfn.XLOOKUP("X",C367:C369,O367:O369,0),LARGE(P367:P369,1)-SUM(O367:O369))))),IF(OR($C367="W",$C367="1/2W",$C367="1/2L"),P367-SUM(O367:O368)+_xlfn.XLOOKUP("X",C367:C369,O367:O369,0),IF(OR($C367="W",$C367="1/2W",$C367="1/2L"),P368-SUM(O367:O368)+_xlfn.XLOOKUP("X",C367:C369,O367:O369,0),SUM(P367:P368)/2-SUM(O367:O368)+_xlfn.XLOOKUP("X",C367:C369,O367:O369,0)))))))),2))</f>
        <v>0.75</v>
      </c>
      <c r="T367" s="190">
        <f>IF(S367=0,0,S367/SUM(O367:O369))</f>
        <v>0.0750750750750751</v>
      </c>
      <c r="U367" s="191">
        <f>IF($D367=$D364,IF(OR($B367="LOSS",$B367="OK",$B367="Anulada"),S367,0)+U364,IF(OR($B367="LOSS",$B367="OK",$B367="Anulada"),S367,0))</f>
        <v>7.22</v>
      </c>
      <c r="V367" s="191">
        <f>IF($D367="",0,IF($D367=$D364,IF($B367=" ",IF(I369="",IF(OR(AND(I367="DNB1",I368="DNB2"),AND(OR(I367="DNB1",I367="DNB2"),J368=0),AND(OR(I368="DNB1",I368="DNB2"),J367=0),AND(I367="DNB2",I368="DNB1"),AND(IF(J367=0,(J367+1)/ROUND(J367+1,0),J367/ROUND(J367,0))=1,IF(J368=0,(J368+1)/ROUND(IF(J368="",0,J368)+1,0),IF(J368="",0,J368)/ROUND(IF(J368="",1,J368),0))=1,OR(J367&lt;&gt;""),J368&lt;&gt;"")),0,IF(S367&lt;0,IF(I369="",SMALL(P367:P368,1)-SUM(O367:O368),0),SMALL(P367:P368,1)-SUM(O367:O368))),IF(S367&lt;0,IF(I369="",SMALL(P367:P369,1)-SUM(O367:O369),0),LARGE(P367:P369,1)-SUM(O367:O369))),S367)+V364,IF(I369="",IF(OR(AND(I367="DNB1",I368="DNB2"),AND(OR(I367="DNB1",I367="DNB2"),J368=0),AND(OR(I368="DNB1",I368="DNB2"),J367=0),AND(I367="DNB2",I368="DNB1"),AND(IF(J367=0,(J367+1)/ROUND(J367+1,0),J367/ROUND(J367,0))=1,IF(J368=0,(IF(J368="",0,J368)+1)/ROUND(IF(J368="",0,J368)+1,0),IF(J368="",0,J368)/ROUND(IF(J368="",0,J368)+1,0))=1,OR(J367&lt;&gt;""),J368&lt;&gt;"")),0,IF(S367&lt;0,IF(I369="",SMALL(P367:P368,1)-SUM(O367:O368),0),SMALL(P367:P369,1)-SUM(O367:O369))),IF(S367&lt;0,IF(I369="",SMALL(P367:P369,1)-SUM(O367:O369),0),LARGE(P367:P369,1)-SUM(O367:O369)))))</f>
        <v>7.22225</v>
      </c>
      <c r="W367" s="191">
        <f>IF($D367=$D364,IF(S367&lt;0,IF(I369="",S367,0),S367)+W364,S367)</f>
        <v>7.22</v>
      </c>
      <c r="X367" t="s" s="192">
        <f>IF(OR(SUM(R367:R369)=0,V367=W367),ROUND(IF(W367=0,0,W367/Y367)*100,2)&amp;"%",ROUND(IF(V367=0,0,V367/Y367)*100,2)&amp;"% a "&amp;ROUND(IF(W367=0,0,W367/Y367)*100,2)&amp;"%")</f>
        <v>312</v>
      </c>
      <c r="Y367" s="193">
        <f>IF($D367=$D364,Y364+SUM(O367:O369),SUM(O367:O369))</f>
        <v>75.06</v>
      </c>
      <c r="Z367" s="191">
        <f>IF($B367=" ",SUM(O367:O369),0)+Z364</f>
        <v>0</v>
      </c>
      <c r="AA367" s="191">
        <f>IF(G367="","",IF($B367="Anulado",LARGE(P367:P369,1)-SUM(O367:O369)+AA364,AA364))</f>
        <v>16.5099</v>
      </c>
      <c r="AB367" s="191">
        <f>IF($D367="","",AB364+S367)</f>
        <v>258.89</v>
      </c>
      <c r="AC367" s="194">
        <f>IF($D367="","",IF($B367=" ",IF(DAY(G367)=DAY(TODAY()),1+AC364,0+AC364),0+AC364))</f>
        <v>0</v>
      </c>
      <c r="AD367" s="195">
        <f>(((L368/(L368-1)-1)*(1-_xlfn.XLOOKUP(K368,'Janeiro 2023 - Valor Real'!A3:A15,'Janeiro 2023 - Valor Real'!C3:C15,0))+1))/(((L367-1)*(1-_xlfn.XLOOKUP(K367,'Janeiro 2023 - Valor Real'!A3:A15,'Janeiro 2023 - Valor Real'!C3:C15,0))+1)+((L368/(L368-1)-1)*(1-_xlfn.XLOOKUP(K368,'Janeiro 2023 - Valor Real'!A3:A15,'Janeiro 2023 - Valor Real'!C3:C15,0))+1))</f>
        <v>0.445464982778416</v>
      </c>
      <c r="AE367" s="196">
        <f>IF(L367="","",IF(L369&gt;0,(SUM(((L367-1)*(1-_xlfn.XLOOKUP(K367,'Janeiro 2023 - Valor Real'!A3:A15,'Janeiro 2023 - Valor Real'!C3:C15,0))+1),((L368-1)*(1-_xlfn.XLOOKUP(K368,'Janeiro 2023 - Valor Real'!A3:A15,'Janeiro 2023 - Valor Real'!C3:C15,0))+1),((L369-1)*(1-_xlfn.XLOOKUP(K369,'Janeiro 2023 - Valor Real'!A3:A15,'Janeiro 2023 - Valor Real'!C3:C15,0))+1))/((L367-1)*(1-_xlfn.XLOOKUP(K367,'Janeiro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Real'!C3:C15,0))+1))/((L367-1)*(1-_xlfn.XLOOKUP(K367,'Janeiro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Real'!C3:C15,0))+1))/((L368-1)*(1-_xlfn.XLOOKUP(K368,'Janeiro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Real'!C3:C15,0))+1))/((L369-1)*(1-_xlfn.XLOOKUP(K369,'Janeiro 2023 - Valor Real'!A3:A15,'Janeiro 2023 - Valor Real'!C3:C15,0))+1)),IF(I367="Lay",IF(I368="Lay",((L368/(L368-1)-1)*(1-_xlfn.XLOOKUP(K368,'Janeiro 2023 - Valor Real'!A3:A15,'Janeiro 2023 - Valor Real'!C3:C15,0))+1)/(((L368/(L368-1)-1)*(1-_xlfn.XLOOKUP(K368,'Janeiro 2023 - Valor Real'!A3:A15,'Janeiro 2023 - Valor Real'!C3:C15,0))+1)+((L367/(L367-1)-1)*(1-_xlfn.XLOOKUP(K367,'Janeiro 2023 - Valor Real'!A3:A15,'Janeiro 2023 - Valor Real'!C3:C15,0))+1)),((L368-1)*(1-_xlfn.XLOOKUP(K368,'Janeiro 2023 - Valor Real'!A3:A15,'Janeiro 2023 - Valor Real'!C3:C15,0))+1)/(((L368-1)*(1-_xlfn.XLOOKUP(K368,'Janeiro 2023 - Valor Real'!A3:A15,'Janeiro 2023 - Valor Real'!C3:C15,0))+1)+((L367/(L367-1)-1)*(1-_xlfn.XLOOKUP(K367,'Janeiro 2023 - Valor Real'!A3:A15,'Janeiro 2023 - Valor Real'!C3:C15,0))+1))),IF(I368="Lay",(((L368/(L368-1)-1)*(1-_xlfn.XLOOKUP(K368,'Janeiro 2023 - Valor Real'!A3:A15,'Janeiro 2023 - Valor Real'!C3:C15,0))+1))/(((L367-1)*(1-_xlfn.XLOOKUP(K367,'Janeiro 2023 - Valor Real'!A3:A15,'Janeiro 2023 - Valor Real'!C3:C15,0))+1)+((L368/(L368-1)-1)*(1-_xlfn.XLOOKUP(K368,'Janeiro 2023 - Valor Real'!A3:A15,'Janeiro 2023 - Valor Real'!C3:C15,0))+1)),((L368-1)*(1-_xlfn.XLOOKUP(K368,'Janeiro 2023 - Valor Real'!A3:A15,'Janeiro 2023 - Valor Real'!C3:C15,0))+1)/(((L368-1)*(1-_xlfn.XLOOKUP(K368,'Janeiro 2023 - Valor Real'!A3:A15,'Janeiro 2023 - Valor Real'!C3:C15,0))+1)+((L367-1)*(1-_xlfn.XLOOKUP(K367,'Janeiro 2023 - Valor Real'!A3:A15,'Janeiro 2023 - Valor Real'!C3:C15,0))+1))))))</f>
        <v>0.307205067300079</v>
      </c>
      <c r="AF367" s="197">
        <f>IF($K367=AF$3,ROUND(IF(OR($C367="W",$C367="1/2W",$C367="1/2L"),$P367-$O367,IF($C367="X",0,-$O367)),2),0)</f>
        <v>0</v>
      </c>
      <c r="AG367" s="198">
        <f>IF($K367=AG$3,ROUND(IF(OR($C367="W",$C367="1/2W",$C367="1/2L"),$P367-$O367,IF($C367="X",0,-$O367)),2),0)</f>
        <v>-3.07</v>
      </c>
      <c r="AH367" s="198">
        <f>IF($K367=AH$3,ROUND(IF(OR($C367="W",$C367="1/2W",$C367="1/2L"),$P367-$O367,IF($C367="X",0,-$O367)),2),0)</f>
        <v>0</v>
      </c>
      <c r="AI367" s="198">
        <f>IF($K367=AI$3,ROUND(IF(OR($C367="W",$C367="1/2W",$C367="1/2L"),$P367-$O367,IF($C367="X",0,-$O367)),2),0)</f>
        <v>0</v>
      </c>
      <c r="AJ367" s="198">
        <f>IF($K367=AJ$3,ROUND(IF(OR($C367="W",$C367="1/2W",$C367="1/2L"),$P367-$O367,IF($C367="X",0,-$O367)),2),0)</f>
        <v>0</v>
      </c>
      <c r="AK367" s="198">
        <f>IF($K367=AK$3,ROUND(IF(OR($C367="W",$C367="1/2W",$C367="1/2L"),$P367-$O367,IF($C367="X",0,-$O367)),2),0)</f>
        <v>0</v>
      </c>
      <c r="AL367" s="198">
        <f>IF($K367=AL$3,ROUND(IF(OR($C367="W",$C367="1/2W",$C367="1/2L"),$P367-$O367,IF($C367="X",0,-$O367)),2),0)</f>
        <v>0</v>
      </c>
      <c r="AM367" s="198">
        <f>IF($K367=AM$3,ROUND(IF(OR($C367="W",$C367="1/2W",$C367="1/2L"),$P367-$O367,IF($C367="X",0,-$O367)),2),0)</f>
        <v>0</v>
      </c>
      <c r="AN367" s="198">
        <f>IF($K367=AN$3,ROUND(IF(OR($C367="W",$C367="1/2W",$C367="1/2L"),$P367-$O367,IF($C367="X",0,-$O367)),2),0)</f>
        <v>0</v>
      </c>
      <c r="AO367" s="198">
        <f>IF($K367=AO$3,ROUND(IF(OR($C367="W",$C367="1/2W",$C367="1/2L"),$P367-$O367,IF($C367="X",0,-$O367)),2),0)</f>
        <v>0</v>
      </c>
      <c r="AP367" s="198">
        <f>IF($K367=AP$3,ROUND(IF(OR($C367="W",$C367="1/2W",$C367="1/2L"),$P367-$O367,IF($C367="X",0,-$O367)),2),0)</f>
        <v>0</v>
      </c>
      <c r="AQ367" s="198">
        <f>IF($K367=AQ$3,ROUND(IF(OR($C367="W",$C367="1/2W",$C367="1/2L"),$P367-$O367,IF($C367="X",0,-$O367)),2),0)</f>
        <v>0</v>
      </c>
      <c r="AR367" s="199">
        <f>IF($K367=AR$3,ROUND(IF(OR($C367="W",$C367="1/2W",$C367="1/2L"),$P367-$O367,IF($C367="X",0,-$O367)),2),0)</f>
        <v>0</v>
      </c>
      <c r="AS367" s="197">
        <f>IF(AND($B367=" ",$K367=AS$3),$O367,0)</f>
        <v>0</v>
      </c>
      <c r="AT367" s="198">
        <f>IF(AND($B367=" ",$K367=AT$3),$O367,0)</f>
        <v>0</v>
      </c>
      <c r="AU367" s="198">
        <f>IF(AND($B367=" ",$K367=AU$3),$O367,0)</f>
        <v>0</v>
      </c>
      <c r="AV367" s="198">
        <f>IF(AND($B367=" ",$K367=AV$3),$O367,0)</f>
        <v>0</v>
      </c>
      <c r="AW367" s="198">
        <f>IF(AND($B367=" ",$K367=AW$3),$O367,0)</f>
        <v>0</v>
      </c>
      <c r="AX367" s="198">
        <f>IF(AND($B367=" ",$K367=AX$3),$O367,0)</f>
        <v>0</v>
      </c>
      <c r="AY367" s="200">
        <f>IF(AND($B367=" ",$K367=AY$3),$O367,0)</f>
        <v>0</v>
      </c>
      <c r="AZ367" s="201">
        <f>IF(AND($B367=" ",$K367=AZ$3),$O367,0)</f>
        <v>0</v>
      </c>
      <c r="BA367" s="201">
        <f>IF(AND($B367=" ",$K367=BA$3),$O367,0)</f>
        <v>0</v>
      </c>
      <c r="BB367" s="201">
        <f>IF(AND($B367=" ",$K367=BB$3),$O367,0)</f>
        <v>0</v>
      </c>
      <c r="BC367" s="202">
        <f>IF(AND($B367=" ",$K367=BC$3),$O367,0)</f>
        <v>0</v>
      </c>
      <c r="BD367" s="198">
        <f>IF(AND($B367=" ",$K367=BD$3),$O367,0)</f>
        <v>0</v>
      </c>
      <c r="BE367" s="199">
        <f>IF(AND($B367=" ",$K367=BE$3),$O367,0)</f>
        <v>0</v>
      </c>
      <c r="BF367" s="203">
        <f>IF($K367=BF$3,IF($C367="X",0,$O367),0)</f>
        <v>0</v>
      </c>
      <c r="BG367" s="198">
        <f>IF($K367=BG$3,IF($C367="X",0,$O367),0)</f>
        <v>3.07</v>
      </c>
      <c r="BH367" s="198">
        <f>IF($K367=BH$3,IF($C367="X",0,$O367),0)</f>
        <v>0</v>
      </c>
      <c r="BI367" s="198">
        <f>IF($K367=BI$3,IF($C367="X",0,$O367),0)</f>
        <v>0</v>
      </c>
      <c r="BJ367" s="198">
        <f>IF($K367=BJ$3,IF($C367="X",0,$O367),0)</f>
        <v>0</v>
      </c>
      <c r="BK367" s="198">
        <f>IF($K367=BK$3,IF($C367="X",0,$O367),0)</f>
        <v>0</v>
      </c>
      <c r="BL367" s="198">
        <f>IF($K367=BL$3,IF($C367="X",0,$O367),0)</f>
        <v>0</v>
      </c>
      <c r="BM367" s="200">
        <f>IF($K367=BM$3,IF($C367="X",0,$O367),0)</f>
        <v>0</v>
      </c>
      <c r="BN367" s="201">
        <f>IF($K367=BN$3,IF($C367="X",0,$O367),0)</f>
        <v>0</v>
      </c>
      <c r="BO367" s="201">
        <f>IF($K367=BO$3,IF($C367="X",0,$O367),0)</f>
        <v>0</v>
      </c>
      <c r="BP367" s="201">
        <f>IF($K367=BP$3,IF($C367="X",0,$O367),0)</f>
        <v>0</v>
      </c>
      <c r="BQ367" s="202">
        <f>IF($K367=BQ$3,IF($C367="X",0,$O367),0)</f>
        <v>0</v>
      </c>
      <c r="BR367" s="199">
        <f>IF($K367=BR$3,IF($C367="X",0,$O367),0)</f>
        <v>0</v>
      </c>
      <c r="BS367" s="204">
        <f>IF($B367="LOSS",IF(AND($K367=BS$3,$C367="L"),-$O367,0)+IF(AND($K368=BS$3,$C368="L"),-$O368,0)+IF(AND($K369=BS$3,$C369="L"),-$O369,0),IF(OR(AND($K367=BS$3,OR($C367="W",$C367="1/2W")),AND($K368=BS$3,OR($C368="W",$C368="1/2W")),AND($K369=BS$3,OR($C369="W",$C369="1/2W"))),$S367,0))</f>
        <v>0</v>
      </c>
      <c r="BT367" s="201">
        <f>IF($B367="LOSS",IF(AND($K367=BT$3,$C367="L"),-$O367,0)+IF(AND($K368=BT$3,$C368="L"),-$O368,0)+IF(AND($K368=BT$3,$C369="L"),-$O369,0),IF(OR(AND($K368=BT$3,OR($C367="W",$C367="1/2W")),AND($K368=BT$3,OR($C368="W",$C368="1/2W")),AND($K368=BT$3,OR($C369="W",$C369="1/2W"))),$S367,0))</f>
        <v>0</v>
      </c>
      <c r="BU367" s="201">
        <f>IF($B367="LOSS",IF(AND($K367=BU$3,$C367="L"),-$O367,0)+IF(AND($K368=BU$3,$C368="L"),-$O368,0)+IF(AND($K368=BU$3,$C369="L"),-$O369,0),IF(OR(AND($K368=BU$3,OR($C367="W",$C367="1/2W")),AND($K368=BU$3,OR($C368="W",$C368="1/2W")),AND($K368=BU$3,OR($C369="W",$C369="1/2W"))),$S367,0))</f>
        <v>0</v>
      </c>
      <c r="BV367" s="201">
        <f>IF($B367="LOSS",IF(AND($K367=BV$3,$C367="L"),-$O367,0)+IF(AND($K368=BV$3,$C368="L"),-$O368,0)+IF(AND($K369=BV$3,$C369="L"),-$O369,0),IF(OR(AND($K367=BV$3,OR($C367="W",$C367="1/2W")),AND($K368=BV$3,OR($C368="W",$C368="1/2W")),AND($K369=BV$3,OR($C369="W",$C369="1/2W"))),$S367,0))</f>
        <v>0</v>
      </c>
      <c r="BW367" s="201">
        <f>IF($B367="LOSS",IF(AND($K367=BW$3,$C367="L"),-$O367,0)+IF(AND($K368=BW$3,$C368="L"),-$O368,0)+IF(AND($K369=BW$3,$C369="L"),-$O369,0),IF(OR(AND($K367=BW$3,OR($C367="W",$C367="1/2W")),AND($K368=BW$3,OR($C368="W",$C368="1/2W")),AND($K369=BW$3,OR($C369="W",$C369="1/2W"))),$S367,0))</f>
        <v>0</v>
      </c>
      <c r="BX367" s="201">
        <f>IF($B367="LOSS",IF(AND($K367=BX$3,$C367="L"),-$O367,0)+IF(AND($K368=BX$3,$C368="L"),-$O368,0)+IF(AND($K369=BX$3,$C369="L"),-$O369,0),IF(OR(AND($K367=BX$3,OR($C367="W",$C367="1/2W")),AND($K368=BX$3,OR($C368="W",$C368="1/2W")),AND($K369=BX$3,OR($C369="W",$C369="1/2W"))),$S367,0))</f>
        <v>0</v>
      </c>
      <c r="BY367" s="201">
        <f>IF($B367="LOSS",IF(AND($K367=BY$3,$C367="L"),-$O367,0)+IF(AND($K368=BY$3,$C368="L"),-$O368,0)+IF(AND($K369=BY$3,$C369="L"),-$O369,0),IF(OR(AND($K367=BY$3,OR($C367="W",$C367="1/2W")),AND($K368=BY$3,OR($C368="W",$C368="1/2W")),AND($K369=BY$3,OR($C369="W",$C369="1/2W"))),$S367,0))</f>
        <v>0</v>
      </c>
      <c r="BZ367" s="205">
        <f>IF($B367="LOSS",IF(AND($K367=BZ$3,$C367="L"),-$O367,0)+IF(AND($K368=BZ$3,$C368="L"),-$O368,0)+IF(AND($K369=BZ$3,$C369="L"),-$O369,0),IF(OR(AND($K367=BZ$3,OR($C367="W",$C367="1/2W")),AND($K368=BZ$3,OR($C368="W",$C368="1/2W")),AND($K369=BZ$3,OR($C369="W",$C369="1/2W"))),$S367,0))</f>
        <v>0.75</v>
      </c>
      <c r="CA367" s="205">
        <f>IF($B367="LOSS",IF(AND($K367=CA$3,$C367="L"),-$O367,0)+IF(AND($K368=CA$3,$C368="L"),-$O368,0)+IF(AND($K369=CA$3,$C369="L"),-$O369,0),IF(OR(AND($K367=CA$3,OR($C367="W",$C367="1/2W")),AND($K368=CA$3,OR($C368="W",$C368="1/2W")),AND($K369=CA$3,OR($C369="W",$C369="1/2W"))),$S367,0))</f>
        <v>0</v>
      </c>
      <c r="CB367" s="205">
        <f>IF($B367="LOSS",IF(AND($K367=CB$3,$C367="L"),-$O367,0)+IF(AND($K368=CB$3,$C368="L"),-$O368,0)+IF(AND($K369=CB$3,$C369="L"),-$O369,0),IF(OR(AND($K367=CB$3,OR($C367="W",$C367="1/2W")),AND($K368=CB$3,OR($C368="W",$C368="1/2W")),AND($K369=CB$3,OR($C369="W",$C369="1/2W"))),$S367,0))</f>
        <v>0</v>
      </c>
      <c r="CC367" s="205">
        <f>IF($B367="LOSS",IF(AND($K367=CC$3,$C367="L"),-$O367,0)+IF(AND($K368=CC$3,$C368="L"),-$O368,0)+IF(AND($K369=CC$3,$C369="L"),-$O369,0),IF(OR(AND($K367=CC$3,OR($C367="W",$C367="1/2W")),AND($K368=CC$3,OR($C368="W",$C368="1/2W")),AND($K369=CC$3,OR($C369="W",$C369="1/2W"))),$S367,0))</f>
        <v>0</v>
      </c>
      <c r="CD367" s="202">
        <f>IF($B367="LOSS",IF(AND($K367=CD$3,$C367="L"),-$O367,0)+IF(AND($K368=CD$3,$C368="L"),-$O368,0)+IF(AND($K369=CD$3,$C369="L"),-$O369,0),IF(OR(AND($K367=CD$3,OR($C367="W",$C367="1/2W")),AND($K368=CD$3,OR($C368="W",$C368="1/2W")),AND($K369=CD$3,OR($C369="W",$C369="1/2W"))),$S367,0))</f>
        <v>0</v>
      </c>
      <c r="CE367" s="199">
        <f>IF($B367="LOSS",IF(AND($K367=CE$3,$C367="L"),-$O367,0)+IF(AND($K368=CE$3,$C368="L"),-$O368,0)+IF(AND($K369=CE$3,$C369="L"),-$O369,0),IF(OR(AND($K367=CE$3,OR($C367="W",$C367="1/2W")),AND($K368=CE$3,OR($C368="W",$C368="1/2W")),AND($K369=CE$3,OR($C369="W",$C369="1/2W"))),$S367,0))</f>
        <v>0</v>
      </c>
      <c r="CF367" s="206">
        <f>IF(CF$3=$K367,IF($C367="W",1,IF($C367="1/2W",0.5,0)),0)</f>
        <v>0</v>
      </c>
      <c r="CG367" s="207">
        <f>IF(CF$3=$K367,IF($C367="L",1,IF($C367="1/2L",0.5,0)),0)</f>
        <v>0</v>
      </c>
      <c r="CH367" s="207">
        <f>IF(CH$3=$K367,IF($C367="W",1,IF($C367="1/2W",0.5,0)),0)</f>
        <v>0</v>
      </c>
      <c r="CI367" s="207">
        <f>IF(CH$3=$K367,IF($C367="L",1,IF($C367="1/2L",0.5,0)),0)</f>
        <v>1</v>
      </c>
      <c r="CJ367" s="207">
        <f>IF(CJ$3=$K367,IF($C367="W",1,IF($C367="1/2W",0.5,0)),0)</f>
        <v>0</v>
      </c>
      <c r="CK367" s="207">
        <f>IF(CJ$3=$K367,IF($C367="L",1,IF($C367="1/2L",0.5,0)),0)</f>
        <v>0</v>
      </c>
      <c r="CL367" s="207">
        <f>IF(CL$3=$K367,IF($C367="W",1,IF($C367="1/2W",0.5,0)),0)</f>
        <v>0</v>
      </c>
      <c r="CM367" s="207">
        <f>IF(CL$3=$K367,IF($C367="L",1,IF($C367="1/2L",0.5,0)),0)</f>
        <v>0</v>
      </c>
      <c r="CN367" s="207">
        <f>IF(CN$3=$K367,IF($C367="W",1,IF($C367="1/2W",0.5,0)),0)</f>
        <v>0</v>
      </c>
      <c r="CO367" s="207">
        <f>IF(CN$3=$K367,IF($C367="L",1,IF($C367="1/2L",0.5,0)),0)</f>
        <v>0</v>
      </c>
      <c r="CP367" s="207">
        <f>IF(CP$3=$K367,IF($C367="W",1,IF($C367="1/2W",0.5,0)),0)</f>
        <v>0</v>
      </c>
      <c r="CQ367" s="207">
        <f>IF(CP$3=$K367,IF($C367="L",1,IF($C367="1/2L",0.5,0)),0)</f>
        <v>0</v>
      </c>
      <c r="CR367" s="207">
        <f>IF(CR$3=$K367,IF($C367="W",1,IF($C367="1/2W",0.5,0)),0)</f>
        <v>0</v>
      </c>
      <c r="CS367" s="207">
        <f>IF(CR$3=$K367,IF($C367="L",1,IF($C367="1/2L",0.5,0)),0)</f>
        <v>0</v>
      </c>
      <c r="CT367" s="208">
        <f>IF(CT$3=$K367,IF($C367="W",1,IF($C367="1/2W",0.5,0)),0)</f>
        <v>0</v>
      </c>
      <c r="CU367" s="209">
        <f>IF(CT$3=$K367,IF($C367="L",1,IF($C367="1/2L",0.5,0)),0)</f>
        <v>0</v>
      </c>
      <c r="CV367" s="209">
        <f>IF(CV$3=$K367,IF($C367="W",1,IF($C367="1/2W",0.5,0)),0)</f>
        <v>0</v>
      </c>
      <c r="CW367" s="209">
        <f>IF(CV$3=$K367,IF($C367="L",1,IF($C367="1/2L",0.5,0)),0)</f>
        <v>0</v>
      </c>
      <c r="CX367" s="209">
        <f>IF(CX$3=$K367,IF($C367="W",1,IF($C367="1/2W",0.5,0)),0)</f>
        <v>0</v>
      </c>
      <c r="CY367" s="209">
        <f>IF(CX$3=$K367,IF($C367="L",1,IF($C367="1/2L",0.5,0)),0)</f>
        <v>0</v>
      </c>
      <c r="CZ367" s="209">
        <f>IF(CZ$3=$K367,IF($C367="W",1,IF($C367="1/2W",0.5,0)),0)</f>
        <v>0</v>
      </c>
      <c r="DA367" s="209">
        <f>IF(CZ$3=$K367,IF($C367="L",1,IF($C367="1/2L",0.5,0)),0)</f>
        <v>0</v>
      </c>
      <c r="DB367" s="209">
        <f>IF(DB$3=$K367,IF($C367="W",1,IF($C367="1/2W",0.5,0)),0)</f>
        <v>0</v>
      </c>
      <c r="DC367" s="209">
        <f>IF(DB$3=$K367,IF($C367="L",1,IF($C367="1/2L",0.5,0)),0)</f>
        <v>0</v>
      </c>
      <c r="DD367" s="209">
        <f>IF(DD$3=$K367,IF($C367="W",1,IF($C367="1/2W",0.5,0)),0)</f>
        <v>0</v>
      </c>
      <c r="DE367" s="210">
        <f>IF(DD$3=$K367,IF($C367="L",1,IF($C367="1/2L",0.5,0)),0)</f>
        <v>0</v>
      </c>
      <c r="DF367" s="211">
        <f>IF(AND(L367&lt;DF$3,$C367="W"),1+DF366,DF366)</f>
        <v>12</v>
      </c>
      <c r="DG367" s="198">
        <f>IF(DF367&gt;DF366,L367+DG366,DG366)</f>
        <v>15.718</v>
      </c>
      <c r="DH367" s="209">
        <f>IF(AND(L367&gt;DH$3,$C367="W"),1+DH366,0+DH366)</f>
        <v>9</v>
      </c>
      <c r="DI367" s="198">
        <f>IF(DH367&gt;DH366,L367+DI366,DI366)</f>
        <v>49.83</v>
      </c>
      <c r="DJ367" t="s" s="306">
        <f>IF($D367="","",$D367)</f>
        <v>307</v>
      </c>
      <c r="DK367" s="209">
        <f>IF(AND($B367=" ",$D367&lt;&gt;""),1,0)</f>
        <v>0</v>
      </c>
    </row>
    <row r="368" ht="14.55" customHeight="1">
      <c r="A368" s="107"/>
      <c r="B368" s="108"/>
      <c r="C368" t="s" s="213">
        <v>56</v>
      </c>
      <c r="D368" s="110"/>
      <c r="E368" s="111"/>
      <c r="F368" s="112"/>
      <c r="G368" s="214"/>
      <c r="H368" s="114"/>
      <c r="I368" t="s" s="215">
        <v>67</v>
      </c>
      <c r="J368" s="296">
        <f>IF(OR(I367="TO",I367="TU",I367="TO1",I367="TU1",I367="TO2",I367="TU2"),J367,IF(OR(I367="AH1",I367="AH2"),IF(OR(I368="AH1",I368="AH2"),-J367,IF(OR(I368="EH1",I368="EH2"),-J367+0.5,"")),IF(OR(I367="EH1",I367="EH2"),IF(OR(I368="AH1",I368="AH2"),-J367+0.5,IF(OR(I368="EH1",I368="EH2"),-J367+1,"")),IF(AND(OR(I367="DNB1",I367="DNB2"),OR(I368="AH1",I368="AH2")),0,IF(AND(I367="Not ScoreBoth",OR(I368="TO1",I368="TO2")),0.5,"")))))</f>
        <v>5.5</v>
      </c>
      <c r="K368" t="s" s="217">
        <v>44</v>
      </c>
      <c r="L368" s="218">
        <v>1.552</v>
      </c>
      <c r="M368" s="219"/>
      <c r="N368" s="120"/>
      <c r="O368" s="220">
        <f>IF(OR(AE367="",AE368=""),"",ROUND(IF(L369&gt;0,IF(M368&gt;0,M368,IF(M367&gt;0,IF(N367=TRUE,ROUND((M367*AE368)/AE367,0),(M367*AE368)/AE367),IF(M368&gt;0,ROUND(M368,IF(N367=0,2,IF(N367=0.1,1,0))),IF(M369&gt;0,ROUND(O369*AE368/AE369,IF(N367=0,2,IF(N367=0.1,1,0))),0)))),IF(M368&gt;0,M368,ROUND((M367*AE368)/AE367,IF(N367=0,2,IF(N367=0.1,1,0))))),2))</f>
        <v>6.92</v>
      </c>
      <c r="P368" s="221">
        <f>IF(OR(L368="",O368=""),"",IF($C368="1/2W",O368/2+O368/2*L368,IF($C368="1/2L",O368/2,IF(I368="Lay",((O368*(L368/(L368-1)))-O368)*(1-_xlfn.XLOOKUP(K368,'Janeiro 2023 - Valor Real'!A3:A15,'Janeiro 2023 - Valor Real'!C3:C15,0))+O368,(O368*L368-O368)*(1-_xlfn.XLOOKUP(K368,'Janeiro 2023 - Valor Real'!A3:A15,'Janeiro 2023 - Valor Real'!C3:C15,0))+O368))))</f>
        <v>10.73984</v>
      </c>
      <c r="Q368" s="222">
        <f>IF(K368="","",IF(_xlfn.XLOOKUP(K368,K$123:K141,DJ$123:DJ141,0,,-1)=DJ368,_xlfn.XLOOKUP(K368,K$123:K141,Q$123:Q141,1,,-1)+1,1))</f>
        <v>1</v>
      </c>
      <c r="R368" s="223">
        <f>IF(K368="","",_xlfn.XLOOKUP(K368,K$123:K141,R$123:R141,0,,-1)+IF($C368=" ",1,0))</f>
        <v>0</v>
      </c>
      <c r="S368" s="125"/>
      <c r="T368" s="126"/>
      <c r="U368" s="126"/>
      <c r="V368" s="224"/>
      <c r="W368" s="126"/>
      <c r="X368" s="127"/>
      <c r="Y368" s="128"/>
      <c r="Z368" s="129"/>
      <c r="AA368" s="129"/>
      <c r="AB368" s="129"/>
      <c r="AC368" s="129"/>
      <c r="AD368" s="225">
        <f>(((L368/(L368-1)-1)*(1-_xlfn.XLOOKUP(K368,'Janeiro 2023 - Valor Real'!A3:A15,'Janeiro 2023 - Valor Real'!C3:C15,0))+1))</f>
        <v>2.81159420289855</v>
      </c>
      <c r="AE368" s="226">
        <f>IF(L368="","",IF(L369&gt;0,(SUM(((L367-1)*(1-_xlfn.XLOOKUP(K367,'Janeiro 2023 - Valor Real'!A3:A15,'Janeiro 2023 - Valor Real'!C3:C15,0))+1),((L368-1)*(1-_xlfn.XLOOKUP(K368,'Janeiro 2023 - Valor Real'!A3:A15,'Janeiro 2023 - Valor Real'!C3:C15,0))+1),((L369-1)*(1-_xlfn.XLOOKUP(K369,'Janeiro 2023 - Valor Real'!A3:A15,'Janeiro 2023 - Valor Real'!C3:C15,0))+1))/((L368-1)*(1-_xlfn.XLOOKUP(K368,'Janeiro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Real'!C3:C15,0))+1))/((L367-1)*(1-_xlfn.XLOOKUP(K367,'Janeiro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Real'!C3:C15,0))+1))/((L368-1)*(1-_xlfn.XLOOKUP(K368,'Janeiro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Real'!C3:C15,0))+1))/((L369-1)*(1-_xlfn.XLOOKUP(K369,'Janeiro 2023 - Valor Real'!A3:A15,'Janeiro 2023 - Valor Real'!C3:C15,0))+1)),IF(I368="Lay",IF(I367="Lay",((L367/(L367-1)-1)*(1-_xlfn.XLOOKUP(K367,'Janeiro 2023 - Valor Real'!A3:A15,'Janeiro 2023 - Valor Real'!C3:C15,0))+1)/(((L367/(L367-1)-1)*(1-_xlfn.XLOOKUP(K367,'Janeiro 2023 - Valor Real'!A3:A15,'Janeiro 2023 - Valor Real'!C3:C15,0))+1)+((L368/(L368-1)-1)*(1-_xlfn.XLOOKUP(K368,'Janeiro 2023 - Valor Real'!A3:A15,'Janeiro 2023 - Valor Real'!C3:C15,0))+1)),((L367-1)*(1-_xlfn.XLOOKUP(K367,'Janeiro 2023 - Valor Real'!A3:A15,'Janeiro 2023 - Valor Real'!C3:C15,0))+1)/(((L367-1)*(1-_xlfn.XLOOKUP(K367,'Janeiro 2023 - Valor Real'!A3:A15,'Janeiro 2023 - Valor Real'!C3:C15,0))+1)+((L368/(L368-1)-1)*(1-_xlfn.XLOOKUP(K368,'Janeiro 2023 - Valor Real'!A3:A15,'Janeiro 2023 - Valor Real'!C3:C15,0))+1))),IF(I367="Lay",((L367/(L367-1)-1)*(1-_xlfn.XLOOKUP(K367,'Janeiro 2023 - Valor Real'!A3:A15,'Janeiro 2023 - Valor Real'!C3:C15,0))+1)/((((L367/(L367-1)-1)*(1-_xlfn.XLOOKUP(K367,'Janeiro 2023 - Valor Real'!A3:A15,'Janeiro 2023 - Valor Real'!C3:C15,0))+1))+((L368-1)*(1-_xlfn.XLOOKUP(K368,'Janeiro 2023 - Valor Real'!A3:A15,'Janeiro 2023 - Valor Real'!C3:C15,0))+1)),((L367-1)*(1-_xlfn.XLOOKUP(K367,'Janeiro 2023 - Valor Real'!A3:A15,'Janeiro 2023 - Valor Real'!C3:C15,0))+1)/(((L367-1)*(1-_xlfn.XLOOKUP(K367,'Janeiro 2023 - Valor Real'!A3:A15,'Janeiro 2023 - Valor Real'!C3:C15,0))+1)+((L368-1)*(1-_xlfn.XLOOKUP(K368,'Janeiro 2023 - Valor Real'!A3:A15,'Janeiro 2023 - Valor Real'!C3:C15,0))+1))))))</f>
        <v>0.692794932699921</v>
      </c>
      <c r="AF368" s="197">
        <f>IF($K368=AF$3,ROUND(IF(OR($C368="W",$C368="1/2W",$C368="1/2L"),$P368-$O368,IF($C368="X",0,-$O368)),2),0)</f>
        <v>0</v>
      </c>
      <c r="AG368" s="198">
        <f>IF($K368=AG$3,ROUND(IF(OR($C368="W",$C368="1/2W",$C368="1/2L"),$P368-$O368,IF($C368="X",0,-$O368)),2),0)</f>
        <v>0</v>
      </c>
      <c r="AH368" s="198">
        <f>IF($K368=AH$3,ROUND(IF(OR($C368="W",$C368="1/2W",$C368="1/2L"),$P368-$O368,IF($C368="X",0,-$O368)),2),0)</f>
        <v>0</v>
      </c>
      <c r="AI368" s="198">
        <f>IF($K368=AI$3,ROUND(IF(OR($C368="W",$C368="1/2W",$C368="1/2L"),$P368-$O368,IF($C368="X",0,-$O368)),2),0)</f>
        <v>0</v>
      </c>
      <c r="AJ368" s="198">
        <f>IF($K368=AJ$3,ROUND(IF(OR($C368="W",$C368="1/2W",$C368="1/2L"),$P368-$O368,IF($C368="X",0,-$O368)),2),0)</f>
        <v>0</v>
      </c>
      <c r="AK368" s="198">
        <f>IF($K368=AK$3,ROUND(IF(OR($C368="W",$C368="1/2W",$C368="1/2L"),$P368-$O368,IF($C368="X",0,-$O368)),2),0)</f>
        <v>0</v>
      </c>
      <c r="AL368" s="198">
        <f>IF($K368=AL$3,ROUND(IF(OR($C368="W",$C368="1/2W",$C368="1/2L"),$P368-$O368,IF($C368="X",0,-$O368)),2),0)</f>
        <v>0</v>
      </c>
      <c r="AM368" s="198">
        <f>IF($K368=AM$3,ROUND(IF(OR($C368="W",$C368="1/2W",$C368="1/2L"),$P368-$O368,IF($C368="X",0,-$O368)),2),0)</f>
        <v>3.82</v>
      </c>
      <c r="AN368" s="198">
        <f>IF($K368=AN$3,ROUND(IF(OR($C368="W",$C368="1/2W",$C368="1/2L"),$P368-$O368,IF($C368="X",0,-$O368)),2),0)</f>
        <v>0</v>
      </c>
      <c r="AO368" s="198">
        <f>IF($K368=AO$3,ROUND(IF(OR($C368="W",$C368="1/2W",$C368="1/2L"),$P368-$O368,IF($C368="X",0,-$O368)),2),0)</f>
        <v>0</v>
      </c>
      <c r="AP368" s="198">
        <f>IF($K368=AP$3,ROUND(IF(OR($C368="W",$C368="1/2W",$C368="1/2L"),$P368-$O368,IF($C368="X",0,-$O368)),2),0)</f>
        <v>0</v>
      </c>
      <c r="AQ368" s="198">
        <f>IF($K368=AQ$3,ROUND(IF(OR($C368="W",$C368="1/2W",$C368="1/2L"),$P368-$O368,IF($C368="X",0,-$O368)),2),0)</f>
        <v>0</v>
      </c>
      <c r="AR368" s="199">
        <f>IF($K368=AR$3,ROUND(IF(OR($C368="W",$C368="1/2W",$C368="1/2L"),$P368-$O368,IF($C368="X",0,-$O368)),2),0)</f>
        <v>0</v>
      </c>
      <c r="AS368" s="197">
        <f>IF(AND($B367=" ",$K368=AS$3),$O368,0)</f>
        <v>0</v>
      </c>
      <c r="AT368" s="198">
        <f>IF(AND($B367=" ",K368=AT$3),$O368,0)</f>
        <v>0</v>
      </c>
      <c r="AU368" s="198">
        <f>IF(AND($B367=" ",$K368=AU$3),$O368,0)</f>
        <v>0</v>
      </c>
      <c r="AV368" s="198">
        <f>IF(AND($B367=" ",$K368=AV$3),$O368,0)</f>
        <v>0</v>
      </c>
      <c r="AW368" s="198">
        <f>IF(AND($B367=" ",$K368=AW$3),$O368,0)</f>
        <v>0</v>
      </c>
      <c r="AX368" s="198">
        <f>IF(AND($B367=" ",$K368=AX$3),$O368,0)</f>
        <v>0</v>
      </c>
      <c r="AY368" s="200">
        <f>IF(AND($B367=" ",$K368=AY$3),$O368,0)</f>
        <v>0</v>
      </c>
      <c r="AZ368" s="201">
        <f>IF(AND($B367=" ",$K368=AZ$3),$O368,0)</f>
        <v>0</v>
      </c>
      <c r="BA368" s="201">
        <f>IF(AND($B367=" ",$K368=BA$3),$O368,0)</f>
        <v>0</v>
      </c>
      <c r="BB368" s="201">
        <f>IF(AND($B367=" ",$K368=BB$3),$O368,0)</f>
        <v>0</v>
      </c>
      <c r="BC368" s="202">
        <f>IF(AND($B367=" ",$K368=BC$3),$O368,0)</f>
        <v>0</v>
      </c>
      <c r="BD368" s="198">
        <f>IF(AND($B367=" ",$K368=BD$3),$O368,0)</f>
        <v>0</v>
      </c>
      <c r="BE368" s="199">
        <f>IF(AND($B367=" ",$K368=BE$3),$O368,0)</f>
        <v>0</v>
      </c>
      <c r="BF368" s="197">
        <f>IF($K368=BF$3,IF($C368="X",0,$O368),0)</f>
        <v>0</v>
      </c>
      <c r="BG368" s="198">
        <f>IF($K368=BG$3,IF($C368="X",0,$O368),0)</f>
        <v>0</v>
      </c>
      <c r="BH368" s="198">
        <f>IF($K368=BH$3,IF($C368="X",0,$O368),0)</f>
        <v>0</v>
      </c>
      <c r="BI368" s="198">
        <f>IF($K368=BI$3,IF($C368="X",0,$O368),0)</f>
        <v>0</v>
      </c>
      <c r="BJ368" s="198">
        <f>IF($K368=BJ$3,IF($C368="X",0,$O368),0)</f>
        <v>0</v>
      </c>
      <c r="BK368" s="198">
        <f>IF($K368=BK$3,IF($C368="X",0,$O368),0)</f>
        <v>0</v>
      </c>
      <c r="BL368" s="198">
        <f>IF($K368=BL$3,IF($C368="X",0,$O368),0)</f>
        <v>0</v>
      </c>
      <c r="BM368" s="227">
        <f>IF($K368=BM$3,IF($C368="X",0,$O368),0)</f>
        <v>6.92</v>
      </c>
      <c r="BN368" s="205">
        <f>IF($K368=BN$3,IF($C368="X",0,$O368),0)</f>
        <v>0</v>
      </c>
      <c r="BO368" s="205">
        <f>IF($K368=BO$3,IF($C368="X",0,$O368),0)</f>
        <v>0</v>
      </c>
      <c r="BP368" s="205">
        <f>IF($K368=BP$3,IF($C368="X",0,$O368),0)</f>
        <v>0</v>
      </c>
      <c r="BQ368" s="202">
        <f>IF($K368=BQ$3,IF($C368="X",0,$O368),0)</f>
        <v>0</v>
      </c>
      <c r="BR368" s="199">
        <f>IF($K368=BR$3,IF($C368="X",0,$O368),0)</f>
        <v>0</v>
      </c>
      <c r="BS368" s="228"/>
      <c r="BT368" s="229"/>
      <c r="BU368" s="140"/>
      <c r="BV368" s="229"/>
      <c r="BW368" s="140"/>
      <c r="BX368" s="140"/>
      <c r="BY368" s="140"/>
      <c r="BZ368" s="229"/>
      <c r="CA368" s="140"/>
      <c r="CB368" s="140"/>
      <c r="CC368" s="140"/>
      <c r="CD368" s="141"/>
      <c r="CE368" s="142"/>
      <c r="CF368" s="230">
        <f>IF(CF$3=$K368,IF($C368="W",1,IF($C368="1/2W",0.5,0)),0)</f>
        <v>0</v>
      </c>
      <c r="CG368" s="231">
        <f>IF(CF$3=$K368,IF($C368="L",1,IF($C368="1/2L",0.5,0)),0)</f>
        <v>0</v>
      </c>
      <c r="CH368" s="231">
        <f>IF(CH$3=$K368,IF($C368="W",1,IF($C368="1/2W",0.5,0)),0)</f>
        <v>0</v>
      </c>
      <c r="CI368" s="231">
        <f>IF(CH$3=$K368,IF($C368="L",1,IF($C368="1/2L",0.5,0)),0)</f>
        <v>0</v>
      </c>
      <c r="CJ368" s="231">
        <f>IF(CJ$3=$K368,IF($C368="W",1,IF($C368="1/2W",0.5,0)),0)</f>
        <v>0</v>
      </c>
      <c r="CK368" s="231">
        <f>IF(CJ$3=$K368,IF($C368="L",1,IF($C368="1/2L",0.5,0)),0)</f>
        <v>0</v>
      </c>
      <c r="CL368" s="231">
        <f>IF(CL$3=$K368,IF($C368="W",1,IF($C368="1/2W",0.5,0)),0)</f>
        <v>0</v>
      </c>
      <c r="CM368" s="231">
        <f>IF(CL$3=$K368,IF($C368="L",1,IF($C368="1/2L",0.5,0)),0)</f>
        <v>0</v>
      </c>
      <c r="CN368" s="231">
        <f>IF(CN$3=$K368,IF($C368="W",1,IF($C368="1/2W",0.5,0)),0)</f>
        <v>0</v>
      </c>
      <c r="CO368" s="231">
        <f>IF(CN$3=$K368,IF($C368="L",1,IF($C368="1/2L",0.5,0)),0)</f>
        <v>0</v>
      </c>
      <c r="CP368" s="231">
        <f>IF(CP$3=$K368,IF($C368="W",1,IF($C368="1/2W",0.5,0)),0)</f>
        <v>0</v>
      </c>
      <c r="CQ368" s="231">
        <f>IF(CP$3=$K368,IF($C368="L",1,IF($C368="1/2L",0.5,0)),0)</f>
        <v>0</v>
      </c>
      <c r="CR368" s="231">
        <f>IF(CR$3=$K368,IF($C368="W",1,IF($C368="1/2W",0.5,0)),0)</f>
        <v>0</v>
      </c>
      <c r="CS368" s="231">
        <f>IF(CR$3=$K368,IF($C368="L",1,IF($C368="1/2L",0.5,0)),0)</f>
        <v>0</v>
      </c>
      <c r="CT368" s="208">
        <f>IF(CT$3=$K368,IF($C368="W",1,IF($C368="1/2W",0.5,0)),0)</f>
        <v>1</v>
      </c>
      <c r="CU368" s="209">
        <f>IF(CT$3=$K368,IF($C368="L",1,IF($C368="1/2L",0.5,0)),0)</f>
        <v>0</v>
      </c>
      <c r="CV368" s="209">
        <f>IF(CV$3=$K368,IF($C368="W",1,IF($C368="1/2W",0.5,0)),0)</f>
        <v>0</v>
      </c>
      <c r="CW368" s="209">
        <f>IF(CV$3=$K368,IF($C368="L",1,IF($C368="1/2L",0.5,0)),0)</f>
        <v>0</v>
      </c>
      <c r="CX368" s="209">
        <f>IF(CX$3=$K368,IF($C368="W",1,IF($C368="1/2W",0.5,0)),0)</f>
        <v>0</v>
      </c>
      <c r="CY368" s="209">
        <f>IF(CX$3=$K368,IF($C368="L",1,IF($C368="1/2L",0.5,0)),0)</f>
        <v>0</v>
      </c>
      <c r="CZ368" s="209">
        <f>IF(CZ$3=$K368,IF($C368="W",1,IF($C368="1/2W",0.5,0)),0)</f>
        <v>0</v>
      </c>
      <c r="DA368" s="209">
        <f>IF(CZ$3=$K368,IF($C368="L",1,IF($C368="1/2L",0.5,0)),0)</f>
        <v>0</v>
      </c>
      <c r="DB368" s="209">
        <f>IF(DB$3=$K368,IF($C368="W",1,IF($C368="1/2W",0.5,0)),0)</f>
        <v>0</v>
      </c>
      <c r="DC368" s="209">
        <f>IF(DB$3=$K368,IF($C368="L",1,IF($C368="1/2L",0.5,0)),0)</f>
        <v>0</v>
      </c>
      <c r="DD368" s="209">
        <f>IF(DD$3=$K368,IF($C368="W",1,IF($C368="1/2W",0.5,0)),0)</f>
        <v>0</v>
      </c>
      <c r="DE368" s="210">
        <f>IF(DD$3=$K368,IF($C368="L",1,IF($C368="1/2L",0.5,0)),0)</f>
        <v>0</v>
      </c>
      <c r="DF368" s="211">
        <f>IF(AND(L368&lt;DF$3,$C368="W"),1+DF367,DF367)</f>
        <v>12</v>
      </c>
      <c r="DG368" s="198">
        <f>IF(DF368&gt;DF367,L368+DG367,DG367)</f>
        <v>15.718</v>
      </c>
      <c r="DH368" s="209">
        <f>IF(AND(L368&gt;DH$3,$C368="W"),1+DH367,0+DH367)</f>
        <v>9</v>
      </c>
      <c r="DI368" s="198">
        <f>IF(DH368&gt;DH367,L368+DI367,DI367)</f>
        <v>49.83</v>
      </c>
      <c r="DJ368" t="s" s="306">
        <f>IF($D367="","",$D367)</f>
        <v>307</v>
      </c>
      <c r="DK368" s="232"/>
    </row>
    <row r="369" ht="14.55" customHeight="1">
      <c r="A369" s="149"/>
      <c r="B369" s="150"/>
      <c r="C369" t="s" s="233">
        <v>58</v>
      </c>
      <c r="D369" s="152"/>
      <c r="E369" s="153"/>
      <c r="F369" s="154"/>
      <c r="G369" s="234"/>
      <c r="H369" s="156"/>
      <c r="I369" s="235"/>
      <c r="J369" s="236"/>
      <c r="K369" s="237"/>
      <c r="L369" s="238"/>
      <c r="M369" s="239"/>
      <c r="N369" s="161"/>
      <c r="O369" t="s" s="240">
        <f>IF(OR(AE367="",AE368=""),"",IF(L369&gt;0,ROUND(IF(M369&gt;0,M369,IF(M367&gt;0,ROUND((M367*AE369)/AE367,IF(N367=0,2,IF(N367=0.1,1,0))),IF(M368&gt;0,ROUND((M368*AE369)/AE368,IF(N367=0,2,IF(N367=0.1,1,0))),IF(M369&gt;0,M369,0)))),2),""))</f>
      </c>
      <c r="P369" t="s" s="241">
        <f>IF(I368="Lay",O368*(L368/(L368-1))-O368,IF(I367="Lay",O367*(L367/(L367-1))-O367,IF(OR(L369="",O369=""),"",IF($C369="1/2W",O369/2+O369/2*L369,IF($C369="1/2L",O369/2,(O369*L369-O369)*(1-_xlfn.XLOOKUP(K369,'Janeiro 2023 - Valor Real'!A3:A15,'Janeiro 2023 - Valor Real'!C3:C15,0))+O369)))))</f>
      </c>
      <c r="Q369" t="s" s="242">
        <f>IF(K369="","",IF(_xlfn.XLOOKUP(K369,K$124:K142,DJ$124:DJ142,0,,-1)=DJ369,_xlfn.XLOOKUP(K369,K$124:K142,Q$124:Q142,1,,-1)+1,1))</f>
      </c>
      <c r="R369" t="s" s="243">
        <f>IF(K369="","",_xlfn.XLOOKUP(K369,K$124:K142,R$124:R142,0,,-1)+IF($C369=" ",1,0))</f>
      </c>
      <c r="S369" s="166"/>
      <c r="T369" s="155"/>
      <c r="U369" s="155"/>
      <c r="V369" s="166"/>
      <c r="W369" s="155"/>
      <c r="X369" s="167"/>
      <c r="Y369" s="128"/>
      <c r="Z369" s="129"/>
      <c r="AA369" s="129"/>
      <c r="AB369" s="129"/>
      <c r="AC369" s="129"/>
      <c r="AD369" s="244">
        <f>((L368/(L368-1)-1))</f>
        <v>1.81159420289855</v>
      </c>
      <c r="AE369" t="s" s="245">
        <f>IF(L369="","",(SUM(((L367-1)*(1-_xlfn.XLOOKUP(K367,'Janeiro 2023 - Valor Real'!A3:A15,'Janeiro 2023 - Valor Real'!C3:C15,0))+1),((L368-1)*(1-_xlfn.XLOOKUP(K368,'Janeiro 2023 - Valor Real'!A3:A15,'Janeiro 2023 - Valor Real'!C3:C15,0))+1),((L369-1)*(1-_xlfn.XLOOKUP(K369,'Janeiro 2023 - Valor Real'!A3:A15,'Janeiro 2023 - Valor Real'!C3:C15,0))+1))/((L369-1)*(1-_xlfn.XLOOKUP(K369,'Janeiro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Real'!C3:C15,0))+1))/((L367-1)*(1-_xlfn.XLOOKUP(K367,'Janeiro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Real'!C3:C15,0))+1))/((L368-1)*(1-_xlfn.XLOOKUP(K368,'Janeiro 2023 - Valor Real'!A3:A15,'Janeiro 2023 - Valor Real'!C3:C15,0))+1)+SUM(((L367-1)*(1-_xlfn.XLOOKUP(K367,'Janeiro 2023 - Valor Real'!A3:A15,'Janeiro 2023 - Valor Real'!C3:C15,0))+1),((L368-1)*(1-_xlfn.XLOOKUP(K368,'Janeiro 2023 - Valor Real'!A3:A15,'Janeiro 2023 - Valor Real'!C3:C15,0))+1),((L369-1)*(1-_xlfn.XLOOKUP(K369,'Janeiro 2023 - Valor Real'!A3:A15,'Janeiro 2023 - Valor Real'!C3:C15,0))+1))/((L369-1)*(1-_xlfn.XLOOKUP(K369,'Janeiro 2023 - Valor Real'!A3:A15,'Janeiro 2023 - Valor Real'!C3:C15,0))+1)))</f>
      </c>
      <c r="AF369" s="197">
        <f>IF($K369=AF$3,ROUND(IF(OR($C369="W",$C369="1/2W",$C369="1/2L"),$P369-$O369,IF($C369="X",0,-$O369)),2),0)</f>
        <v>0</v>
      </c>
      <c r="AG369" s="198">
        <f>IF($K369=AG$3,ROUND(IF(OR($C369="W",$C369="1/2W",$C369="1/2L"),$P369-$O369,IF($C369="X",0,-$O369)),2),0)</f>
        <v>0</v>
      </c>
      <c r="AH369" s="198">
        <f>IF($K369=AH$3,ROUND(IF(OR($C369="W",$C369="1/2W",$C369="1/2L"),$P369-$O369,IF($C369="X",0,-$O369)),2),0)</f>
        <v>0</v>
      </c>
      <c r="AI369" s="198">
        <f>IF($K369=AI$3,ROUND(IF(OR($C369="W",$C369="1/2W",$C369="1/2L"),$P369-$O369,IF($C369="X",0,-$O369)),2),0)</f>
        <v>0</v>
      </c>
      <c r="AJ369" s="198">
        <f>IF($K369=AJ$3,ROUND(IF(OR($C369="W",$C369="1/2W",$C369="1/2L"),$P369-$O369,IF($C369="X",0,-$O369)),2),0)</f>
        <v>0</v>
      </c>
      <c r="AK369" s="198">
        <f>IF($K369=AK$3,ROUND(IF(OR($C369="W",$C369="1/2W",$C369="1/2L"),$P369-$O369,IF($C369="X",0,-$O369)),2),0)</f>
        <v>0</v>
      </c>
      <c r="AL369" s="198">
        <f>IF($K369=AL$3,ROUND(IF(OR($C369="W",$C369="1/2W",$C369="1/2L"),$P369-$O369,IF($C369="X",0,-$O369)),2),0)</f>
        <v>0</v>
      </c>
      <c r="AM369" s="198">
        <f>IF($K369=AM$3,ROUND(IF(OR($C369="W",$C369="1/2W",$C369="1/2L"),$P369-$O369,IF($C369="X",0,-$O369)),2),0)</f>
        <v>0</v>
      </c>
      <c r="AN369" s="198">
        <f>IF($K369=AN$3,ROUND(IF(OR($C369="W",$C369="1/2W",$C369="1/2L"),$P369-$O369,IF($C369="X",0,-$O369)),2),0)</f>
        <v>0</v>
      </c>
      <c r="AO369" s="198">
        <f>IF($K369=AO$3,ROUND(IF(OR($C369="W",$C369="1/2W",$C369="1/2L"),$P369-$O369,IF($C369="X",0,-$O369)),2),0)</f>
        <v>0</v>
      </c>
      <c r="AP369" s="198">
        <f>IF($K369=AP$3,ROUND(IF(OR($C369="W",$C369="1/2W",$C369="1/2L"),$P369-$O369,IF($C369="X",0,-$O369)),2),0)</f>
        <v>0</v>
      </c>
      <c r="AQ369" s="198">
        <f>IF($K369=AQ$3,ROUND(IF(OR($C369="W",$C369="1/2W",$C369="1/2L"),$P369-$O369,IF($C369="X",0,-$O369)),2),0)</f>
        <v>0</v>
      </c>
      <c r="AR369" s="199">
        <f>IF($K369=AR$3,ROUND(IF(OR($C369="W",$C369="1/2W",$C369="1/2L"),$P369-$O369,IF($C369="X",0,-$O369)),2),0)</f>
        <v>0</v>
      </c>
      <c r="AS369" s="197">
        <f>IF(AND($B367=" ",$K369=AS$3),$O369,0)</f>
        <v>0</v>
      </c>
      <c r="AT369" s="198">
        <f>IF(AND($B367=" ",K369=AT$3),$O369,0)</f>
        <v>0</v>
      </c>
      <c r="AU369" s="198">
        <f>IF(AND($B367=" ",$K369=AU$3),$O369,0)</f>
        <v>0</v>
      </c>
      <c r="AV369" s="198">
        <f>IF(AND($B367=" ",$K369=AV$3),$O369,0)</f>
        <v>0</v>
      </c>
      <c r="AW369" s="198">
        <f>IF(AND($B367=" ",$K369=AW$3),$O369,0)</f>
        <v>0</v>
      </c>
      <c r="AX369" s="198">
        <f>IF(AND($B367=" ",$K369=AX$3),$O369,0)</f>
        <v>0</v>
      </c>
      <c r="AY369" s="200">
        <f>IF(AND($B367=" ",$K369=AY$3),$O369,0)</f>
        <v>0</v>
      </c>
      <c r="AZ369" s="201">
        <f>IF(AND($B367=" ",$K369=AZ$3),$O369,0)</f>
        <v>0</v>
      </c>
      <c r="BA369" s="201">
        <f>IF(AND($B367=" ",$K369=BA$3),$O369,0)</f>
        <v>0</v>
      </c>
      <c r="BB369" s="201">
        <f>IF(AND($B367=" ",$K369=BB$3),$O369,0)</f>
        <v>0</v>
      </c>
      <c r="BC369" s="202">
        <f>IF(AND($B367=" ",$K369=BC$3),$O369,0)</f>
        <v>0</v>
      </c>
      <c r="BD369" s="198">
        <f>IF(AND($B367=" ",$K369=BD$3),$O369,0)</f>
        <v>0</v>
      </c>
      <c r="BE369" s="199">
        <f>IF(AND($B367=" ",$K369=BE$3),$O369,0)</f>
        <v>0</v>
      </c>
      <c r="BF369" s="197">
        <f>IF($K369=BF$3,IF($C369="X",0,$O369),0)</f>
        <v>0</v>
      </c>
      <c r="BG369" s="198">
        <f>IF($K369=BG$3,IF($C369="X",0,$O369),0)</f>
        <v>0</v>
      </c>
      <c r="BH369" s="198">
        <f>IF($K369=BH$3,IF($C369="X",0,$O369),0)</f>
        <v>0</v>
      </c>
      <c r="BI369" s="198">
        <f>IF($K369=BI$3,IF($C369="X",0,$O369),0)</f>
        <v>0</v>
      </c>
      <c r="BJ369" s="198">
        <f>IF($K369=BJ$3,IF($C369="X",0,$O369),0)</f>
        <v>0</v>
      </c>
      <c r="BK369" s="198">
        <f>IF($K369=BK$3,IF($C369="X",0,$O369),0)</f>
        <v>0</v>
      </c>
      <c r="BL369" s="198">
        <f>IF($K369=BL$3,IF($C369="X",0,$O369),0)</f>
        <v>0</v>
      </c>
      <c r="BM369" s="200">
        <f>IF($K369=BM$3,IF($C369="X",0,$O369),0)</f>
        <v>0</v>
      </c>
      <c r="BN369" s="201">
        <f>IF($K369=BN$3,IF($C369="X",0,$O369),0)</f>
        <v>0</v>
      </c>
      <c r="BO369" s="201">
        <f>IF($K369=BO$3,IF($C369="X",0,$O369),0)</f>
        <v>0</v>
      </c>
      <c r="BP369" s="201">
        <f>IF($K369=BP$3,IF($C369="X",0,$O369),0)</f>
        <v>0</v>
      </c>
      <c r="BQ369" s="202">
        <f>IF($K369=BQ$3,IF($C369="X",0,$O369),0)</f>
        <v>0</v>
      </c>
      <c r="BR369" s="199">
        <f>IF($K369=BR$3,IF($C369="X",0,$O369),0)</f>
        <v>0</v>
      </c>
      <c r="BS369" s="228"/>
      <c r="BT369" s="229"/>
      <c r="BU369" s="140"/>
      <c r="BV369" s="229"/>
      <c r="BW369" s="140"/>
      <c r="BX369" s="140"/>
      <c r="BY369" s="140"/>
      <c r="BZ369" s="229"/>
      <c r="CA369" s="140"/>
      <c r="CB369" s="140"/>
      <c r="CC369" s="140"/>
      <c r="CD369" s="141"/>
      <c r="CE369" s="142"/>
      <c r="CF369" s="230">
        <f>IF(CF$3=$K369,IF($C369="W",1,IF($C369="1/2W",0.5,0)),0)</f>
        <v>0</v>
      </c>
      <c r="CG369" s="231">
        <f>IF(CF$3=$K369,IF($C369="L",1,IF($C369="1/2L",0.5,0)),0)</f>
        <v>0</v>
      </c>
      <c r="CH369" s="231">
        <f>IF(CH$3=$K369,IF($C369="W",1,IF($C369="1/2W",0.5,0)),0)</f>
        <v>0</v>
      </c>
      <c r="CI369" s="231">
        <f>IF(CH$3=$K369,IF($C369="L",1,IF($C369="1/2L",0.5,0)),0)</f>
        <v>0</v>
      </c>
      <c r="CJ369" s="231">
        <f>IF(CJ$3=$K369,IF($C369="W",1,IF($C369="1/2W",0.5,0)),0)</f>
        <v>0</v>
      </c>
      <c r="CK369" s="231">
        <f>IF(CJ$3=$K369,IF($C369="L",1,IF($C369="1/2L",0.5,0)),0)</f>
        <v>0</v>
      </c>
      <c r="CL369" s="231">
        <f>IF(CL$3=$K369,IF($C369="W",1,IF($C369="1/2W",0.5,0)),0)</f>
        <v>0</v>
      </c>
      <c r="CM369" s="231">
        <f>IF(CL$3=$K369,IF($C369="L",1,IF($C369="1/2L",0.5,0)),0)</f>
        <v>0</v>
      </c>
      <c r="CN369" s="231">
        <f>IF(CN$3=$K369,IF($C369="W",1,IF($C369="1/2W",0.5,0)),0)</f>
        <v>0</v>
      </c>
      <c r="CO369" s="231">
        <f>IF(CN$3=$K369,IF($C369="L",1,IF($C369="1/2L",0.5,0)),0)</f>
        <v>0</v>
      </c>
      <c r="CP369" s="231">
        <f>IF(CP$3=$K369,IF($C369="W",1,IF($C369="1/2W",0.5,0)),0)</f>
        <v>0</v>
      </c>
      <c r="CQ369" s="231">
        <f>IF(CP$3=$K369,IF($C369="L",1,IF($C369="1/2L",0.5,0)),0)</f>
        <v>0</v>
      </c>
      <c r="CR369" s="231">
        <f>IF(CR$3=$K369,IF($C369="W",1,IF($C369="1/2W",0.5,0)),0)</f>
        <v>0</v>
      </c>
      <c r="CS369" s="231">
        <f>IF(CR$3=$K369,IF($C369="L",1,IF($C369="1/2L",0.5,0)),0)</f>
        <v>0</v>
      </c>
      <c r="CT369" s="208">
        <f>IF(CT$3=$K369,IF($C369="W",1,IF($C369="1/2W",0.5,0)),0)</f>
        <v>0</v>
      </c>
      <c r="CU369" s="209">
        <f>IF(CT$3=$K369,IF($C369="L",1,IF($C369="1/2L",0.5,0)),0)</f>
        <v>0</v>
      </c>
      <c r="CV369" s="209">
        <f>IF(CV$3=$K369,IF($C369="W",1,IF($C369="1/2W",0.5,0)),0)</f>
        <v>0</v>
      </c>
      <c r="CW369" s="209">
        <f>IF(CV$3=$K369,IF($C369="L",1,IF($C369="1/2L",0.5,0)),0)</f>
        <v>0</v>
      </c>
      <c r="CX369" s="209">
        <f>IF(CX$3=$K369,IF($C369="W",1,IF($C369="1/2W",0.5,0)),0)</f>
        <v>0</v>
      </c>
      <c r="CY369" s="209">
        <f>IF(CX$3=$K369,IF($C369="L",1,IF($C369="1/2L",0.5,0)),0)</f>
        <v>0</v>
      </c>
      <c r="CZ369" s="209">
        <f>IF(CZ$3=$K369,IF($C369="W",1,IF($C369="1/2W",0.5,0)),0)</f>
        <v>0</v>
      </c>
      <c r="DA369" s="209">
        <f>IF(CZ$3=$K369,IF($C369="L",1,IF($C369="1/2L",0.5,0)),0)</f>
        <v>0</v>
      </c>
      <c r="DB369" s="209">
        <f>IF(DB$3=$K369,IF($C369="W",1,IF($C369="1/2W",0.5,0)),0)</f>
        <v>0</v>
      </c>
      <c r="DC369" s="209">
        <f>IF(DB$3=$K369,IF($C369="L",1,IF($C369="1/2L",0.5,0)),0)</f>
        <v>0</v>
      </c>
      <c r="DD369" s="209">
        <f>IF(DD$3=$K369,IF($C369="W",1,IF($C369="1/2W",0.5,0)),0)</f>
        <v>0</v>
      </c>
      <c r="DE369" s="210">
        <f>IF(DD$3=$K369,IF($C369="L",1,IF($C369="1/2L",0.5,0)),0)</f>
        <v>0</v>
      </c>
      <c r="DF369" s="211">
        <f>IF(AND(L369&lt;DF$3,$C369="W"),1+DF368,DF368)</f>
        <v>12</v>
      </c>
      <c r="DG369" s="198">
        <f>IF(DF369&gt;DF368,L369+DG368,DG368)</f>
        <v>15.718</v>
      </c>
      <c r="DH369" s="209">
        <f>IF(AND(L369&gt;DH$3,$C369="W"),1+DH368,0+DH368)</f>
        <v>9</v>
      </c>
      <c r="DI369" s="198">
        <f>IF(DH369&gt;DH368,L369+DI368,DI368)</f>
        <v>49.83</v>
      </c>
      <c r="DJ369" t="s" s="306">
        <f>IF($D367="","",$D367)</f>
        <v>307</v>
      </c>
      <c r="DK369" s="232"/>
    </row>
    <row r="370" ht="14.55" customHeight="1">
      <c r="A370" s="246">
        <f>$A367+1</f>
        <v>123</v>
      </c>
      <c r="B370" t="s" s="247">
        <f>IF(AND(_xlfn.XLOOKUP(H370,H$107:H137,G$107:G137,0)=G370,_xlfn.XLOOKUP("TempoBet",K370:K372,L370:L372,0)&gt;0),"X",IF(OR(C370="W",C371="W",C372="W",C370="1/2W",C371="1/2W",C372="1/2W",C370="1/2L",C371="1/2L",C372="1/2L"),"OK",IF(OR(C370="L",C371="L",C372="L"),"LOSS",IF(OR(C370="X",C371="X",C372="X"),"Anulado"," "))))</f>
        <v>50</v>
      </c>
      <c r="C370" t="s" s="248">
        <v>56</v>
      </c>
      <c r="D370" t="s" s="303">
        <f>IF(G370="","",$D367)</f>
        <v>307</v>
      </c>
      <c r="E370" t="s" s="250">
        <v>108</v>
      </c>
      <c r="F370" t="s" s="251"/>
      <c r="G370" s="252">
        <v>44950.697916666664</v>
      </c>
      <c r="H370" t="s" s="253">
        <v>313</v>
      </c>
      <c r="I370" t="s" s="254">
        <v>57</v>
      </c>
      <c r="J370" s="255">
        <v>1.5</v>
      </c>
      <c r="K370" t="s" s="256">
        <v>44</v>
      </c>
      <c r="L370" s="257">
        <v>1.74</v>
      </c>
      <c r="M370" s="258"/>
      <c r="N370" s="259">
        <v>0</v>
      </c>
      <c r="O370" s="260">
        <f>IF(OR(AE370="",AE371=""),"",ROUND(IF(L372&gt;0,IF(M370&gt;0,M370,IF(M371&gt;0,ROUND((M371*AE370)/AE371,IF(N370=0,2,IF(N370=0.1,1,0))),ROUND((M372*AE370)/AE372,IF(N370=0,2,IF(N370=0.1,1,0))))),IF(M370&gt;0,M370,ROUND((M371*AE370)/AE371,IF(N370=0,2,IF(N370=0.1,1,0))))),2))</f>
        <v>5.38</v>
      </c>
      <c r="P370" s="261">
        <f>IF(OR(L370="",O370=""),"",IF($C370="1/2W",O370/2+O370/2*L370,IF($C370="1/2L",O370/2,IF(I370="Lay",(O370*(L370/(L370-1))-O370)*(1-_xlfn.XLOOKUP(K370,'Janeiro 2023 - Valor Real'!A3:A15,'Janeiro 2023 - Valor Real'!C3:C15,0))+O370,(O370*L370-O370)*(1-_xlfn.XLOOKUP(K370,'Janeiro 2023 - Valor Real'!A3:A15,'Janeiro 2023 - Valor Real'!C3:C15,0))+O370))))</f>
        <v>9.3612</v>
      </c>
      <c r="Q370" s="262">
        <f>IF(K370="","",IF(_xlfn.XLOOKUP(K370,K$107:K137,DJ$107:DJ137,0,,-1)=DJ370,_xlfn.XLOOKUP(K370,K$107:K137,Q$107:Q137,1,,-1)+1,1))</f>
        <v>1</v>
      </c>
      <c r="R370" s="263">
        <f>IF(K370="","",_xlfn.XLOOKUP(K370,K$107:K137,R$107:R137,0,,-1)+IF($C370=" ",1,0))</f>
        <v>0</v>
      </c>
      <c r="S370" s="264">
        <f>IF($B370="Anulado",0,ROUND(IF(OR($B370="LOSS",$B370="OK"),IF(OR($C370="W",$C370="1/2W",$C370="1/2L"),P370-O370,IF($C370="L",-O370,0))+IF(OR($C371="W",$C371="1/2W",$C371="1/2L"),P371-O371,IF($C371="L",-O371,0))+IF(OR($C372="W",$C372="1/2W",$C372="1/2L"),P372-O372,IF($C372="L",-O372,0)),IF(AND(OR($C370="W",$C370="1/2W",$C370="1/2L"),C371="W"),P370+P371-SUM(O370:O372)+_xlfn.XLOOKUP("X",C370:C372,O370:O372,0),IF(AND(C370=TRUE,C372="W"),P370+P372-SUM(O370:O372),IF(AND(C371="W",C372="W"),P371+P372-SUM(O370:O372)+_xlfn.XLOOKUP("X",C370:C372,O370:O372,0),IF(L372&gt;0,IF(OR($C370="W",$C370="1/2W",$C370="1/2L"),P370-SUM(O370:O372)+_xlfn.XLOOKUP("X",C370:C372,O370:O372,0),IF(OR($C370="W",$C370="1/2W",$C370="1/2L"),P371-SUM(O370:O372)+_xlfn.XLOOKUP("X",C370:C372,O370:O372,0),IF(OR($C370="W",$C370="1/2W",$C370="1/2L"),P372-SUM(O370:O372)+_xlfn.XLOOKUP("X",C370:C372,O370:O372,0),IF(SUM(P370:P372)/3-SUM(O370:O372)+_xlfn.XLOOKUP("X",C370:C372,O370:O372,0)&gt;0,SUM(P370:P372)/3-SUM(O370:O372)+_xlfn.XLOOKUP("X",C370:C372,O370:O372,0),LARGE(P370:P372,1)-SUM(O370:O372))))),IF(OR($C370="W",$C370="1/2W",$C370="1/2L"),P370-SUM(O370:O371)+_xlfn.XLOOKUP("X",C370:C372,O370:O372,0),IF(OR($C370="W",$C370="1/2W",$C370="1/2L"),P371-SUM(O370:O371)+_xlfn.XLOOKUP("X",C370:C372,O370:O372,0),SUM(P370:P371)/2-SUM(O370:O371)+_xlfn.XLOOKUP("X",C370:C372,O370:O372,0)))))))),2))</f>
        <v>0.42</v>
      </c>
      <c r="T370" s="265">
        <f>IF(S370=0,0,S370/SUM(O370:O372))</f>
        <v>0.0469798657718121</v>
      </c>
      <c r="U370" s="266">
        <f>IF($D370=$D367,IF(OR($B370="LOSS",$B370="OK",$B370="Anulada"),S370,0)+U367,IF(OR($B370="LOSS",$B370="OK",$B370="Anulada"),S370,0))</f>
        <v>7.64</v>
      </c>
      <c r="V370" s="266">
        <f>IF($D370="",0,IF($D370=$D367,IF($B370=" ",IF(I372="",IF(OR(AND(I370="DNB1",I371="DNB2"),AND(OR(I370="DNB1",I370="DNB2"),J371=0),AND(OR(I371="DNB1",I371="DNB2"),J370=0),AND(I370="DNB2",I371="DNB1"),AND(IF(J370=0,(J370+1)/ROUND(J370+1,0),J370/ROUND(J370,0))=1,IF(J371=0,(J371+1)/ROUND(IF(J371="",0,J371)+1,0),IF(J371="",0,J371)/ROUND(IF(J371="",1,J371),0))=1,OR(J370&lt;&gt;""),J371&lt;&gt;"")),0,IF(S370&lt;0,IF(I372="",SMALL(P370:P371,1)-SUM(O370:O371),0),SMALL(P370:P371,1)-SUM(O370:O371))),IF(S370&lt;0,IF(I372="",SMALL(P370:P372,1)-SUM(O370:O372),0),LARGE(P370:P372,1)-SUM(O370:O372))),S370)+V367,IF(I372="",IF(OR(AND(I370="DNB1",I371="DNB2"),AND(OR(I370="DNB1",I370="DNB2"),J371=0),AND(OR(I371="DNB1",I371="DNB2"),J370=0),AND(I370="DNB2",I371="DNB1"),AND(IF(J370=0,(J370+1)/ROUND(J370+1,0),J370/ROUND(J370,0))=1,IF(J371=0,(IF(J371="",0,J371)+1)/ROUND(IF(J371="",0,J371)+1,0),IF(J371="",0,J371)/ROUND(IF(J371="",0,J371)+1,0))=1,OR(J370&lt;&gt;""),J371&lt;&gt;"")),0,IF(S370&lt;0,IF(I372="",SMALL(P370:P371,1)-SUM(O370:O371),0),SMALL(P370:P372,1)-SUM(O370:O372))),IF(S370&lt;0,IF(I372="",SMALL(P370:P372,1)-SUM(O370:O372),0),LARGE(P370:P372,1)-SUM(O370:O372)))))</f>
        <v>7.64225</v>
      </c>
      <c r="W370" s="266">
        <f>IF($D370=$D367,IF(S370&lt;0,IF(I372="",S370,0),S370)+W367,S370)</f>
        <v>7.64</v>
      </c>
      <c r="X370" t="s" s="267">
        <f>IF(OR(SUM(R370:R372)=0,V370=W370),ROUND(IF(W370=0,0,W370/Y370)*100,2)&amp;"%",ROUND(IF(V370=0,0,V370/Y370)*100,2)&amp;"% a "&amp;ROUND(IF(W370=0,0,W370/Y370)*100,2)&amp;"%")</f>
        <v>314</v>
      </c>
      <c r="Y370" s="268">
        <f>IF($D370=$D367,Y367+SUM(O370:O372),SUM(O370:O372))</f>
        <v>84</v>
      </c>
      <c r="Z370" s="266">
        <f>IF($B370=" ",SUM(O370:O372),0)+Z367</f>
        <v>0</v>
      </c>
      <c r="AA370" s="266">
        <f>IF(G370="","",IF($B370="Anulado",LARGE(P370:P372,1)-SUM(O370:O372)+AA367,AA367))</f>
        <v>16.5099</v>
      </c>
      <c r="AB370" s="266">
        <f>IF($D370="","",AB367+S370)</f>
        <v>259.31</v>
      </c>
      <c r="AC370" s="269">
        <f>IF($D370="","",IF($B370=" ",IF(DAY(G370)=DAY(TODAY()),1+AC367,0+AC367),0+AC367))</f>
        <v>0</v>
      </c>
      <c r="AD370" s="270">
        <f>(1-_xlfn.XLOOKUP(K368,'Janeiro 2023 - Valor Real'!A3:A15,'Janeiro 2023 - Valor Real'!C3:C15,0))+1</f>
        <v>2</v>
      </c>
      <c r="AE370" s="271">
        <f>IF(L370="","",IF(L372&gt;0,(SUM(((L370-1)*(1-_xlfn.XLOOKUP(K370,'Janeiro 2023 - Valor Real'!A3:A15,'Janeiro 2023 - Valor Real'!C3:C15,0))+1),((L371-1)*(1-_xlfn.XLOOKUP(K371,'Janeiro 2023 - Valor Real'!A3:A15,'Janeiro 2023 - Valor Real'!C3:C15,0))+1),((L372-1)*(1-_xlfn.XLOOKUP(K372,'Janeiro 2023 - Valor Real'!A3:A15,'Janeiro 2023 - Valor Real'!C3:C15,0))+1))/((L370-1)*(1-_xlfn.XLOOKUP(K370,'Janeiro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Real'!C3:C15,0))+1))/((L370-1)*(1-_xlfn.XLOOKUP(K370,'Janeiro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Real'!C3:C15,0))+1))/((L371-1)*(1-_xlfn.XLOOKUP(K371,'Janeiro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Real'!C3:C15,0))+1))/((L372-1)*(1-_xlfn.XLOOKUP(K372,'Janeiro 2023 - Valor Real'!A3:A15,'Janeiro 2023 - Valor Real'!C3:C15,0))+1)),IF(I370="Lay",IF(I371="Lay",((L371/(L371-1)-1)*(1-_xlfn.XLOOKUP(K371,'Janeiro 2023 - Valor Real'!A3:A15,'Janeiro 2023 - Valor Real'!C3:C15,0))+1)/(((L371/(L371-1)-1)*(1-_xlfn.XLOOKUP(K371,'Janeiro 2023 - Valor Real'!A3:A15,'Janeiro 2023 - Valor Real'!C3:C15,0))+1)+((L370/(L370-1)-1)*(1-_xlfn.XLOOKUP(K370,'Janeiro 2023 - Valor Real'!A3:A15,'Janeiro 2023 - Valor Real'!C3:C15,0))+1)),((L371-1)*(1-_xlfn.XLOOKUP(K371,'Janeiro 2023 - Valor Real'!A3:A15,'Janeiro 2023 - Valor Real'!C3:C15,0))+1)/(((L371-1)*(1-_xlfn.XLOOKUP(K371,'Janeiro 2023 - Valor Real'!A3:A15,'Janeiro 2023 - Valor Real'!C3:C15,0))+1)+((L370/(L370-1)-1)*(1-_xlfn.XLOOKUP(K370,'Janeiro 2023 - Valor Real'!A3:A15,'Janeiro 2023 - Valor Real'!C3:C15,0))+1))),IF(I371="Lay",(((L371/(L371-1)-1)*(1-_xlfn.XLOOKUP(K371,'Janeiro 2023 - Valor Real'!A3:A15,'Janeiro 2023 - Valor Real'!C3:C15,0))+1))/(((L370-1)*(1-_xlfn.XLOOKUP(K370,'Janeiro 2023 - Valor Real'!A3:A15,'Janeiro 2023 - Valor Real'!C3:C15,0))+1)+((L371/(L371-1)-1)*(1-_xlfn.XLOOKUP(K371,'Janeiro 2023 - Valor Real'!A3:A15,'Janeiro 2023 - Valor Real'!C3:C15,0))+1)),((L371-1)*(1-_xlfn.XLOOKUP(K371,'Janeiro 2023 - Valor Real'!A3:A15,'Janeiro 2023 - Valor Real'!C3:C15,0))+1)/(((L371-1)*(1-_xlfn.XLOOKUP(K371,'Janeiro 2023 - Valor Real'!A3:A15,'Janeiro 2023 - Valor Real'!C3:C15,0))+1)+((L370-1)*(1-_xlfn.XLOOKUP(K370,'Janeiro 2023 - Valor Real'!A3:A15,'Janeiro 2023 - Valor Real'!C3:C15,0))+1))))))</f>
        <v>0.601830663615561</v>
      </c>
      <c r="AF370" s="132">
        <f>IF($K370=AF$3,ROUND(IF(OR($C370="W",$C370="1/2W",$C370="1/2L"),$P370-$O370,IF($C370="X",0,-$O370)),2),0)</f>
        <v>0</v>
      </c>
      <c r="AG370" s="133">
        <f>IF($K370=AG$3,ROUND(IF(OR($C370="W",$C370="1/2W",$C370="1/2L"),$P370-$O370,IF($C370="X",0,-$O370)),2),0)</f>
        <v>0</v>
      </c>
      <c r="AH370" s="133">
        <f>IF($K370=AH$3,ROUND(IF(OR($C370="W",$C370="1/2W",$C370="1/2L"),$P370-$O370,IF($C370="X",0,-$O370)),2),0)</f>
        <v>0</v>
      </c>
      <c r="AI370" s="133">
        <f>IF($K370=AI$3,ROUND(IF(OR($C370="W",$C370="1/2W",$C370="1/2L"),$P370-$O370,IF($C370="X",0,-$O370)),2),0)</f>
        <v>0</v>
      </c>
      <c r="AJ370" s="133">
        <f>IF($K370=AJ$3,ROUND(IF(OR($C370="W",$C370="1/2W",$C370="1/2L"),$P370-$O370,IF($C370="X",0,-$O370)),2),0)</f>
        <v>0</v>
      </c>
      <c r="AK370" s="133">
        <f>IF($K370=AK$3,ROUND(IF(OR($C370="W",$C370="1/2W",$C370="1/2L"),$P370-$O370,IF($C370="X",0,-$O370)),2),0)</f>
        <v>0</v>
      </c>
      <c r="AL370" s="133">
        <f>IF($K370=AL$3,ROUND(IF(OR($C370="W",$C370="1/2W",$C370="1/2L"),$P370-$O370,IF($C370="X",0,-$O370)),2),0)</f>
        <v>0</v>
      </c>
      <c r="AM370" s="133">
        <f>IF($K370=AM$3,ROUND(IF(OR($C370="W",$C370="1/2W",$C370="1/2L"),$P370-$O370,IF($C370="X",0,-$O370)),2),0)</f>
        <v>3.98</v>
      </c>
      <c r="AN370" s="133">
        <f>IF($K370=AN$3,ROUND(IF(OR($C370="W",$C370="1/2W",$C370="1/2L"),$P370-$O370,IF($C370="X",0,-$O370)),2),0)</f>
        <v>0</v>
      </c>
      <c r="AO370" s="133">
        <f>IF($K370=AO$3,ROUND(IF(OR($C370="W",$C370="1/2W",$C370="1/2L"),$P370-$O370,IF($C370="X",0,-$O370)),2),0)</f>
        <v>0</v>
      </c>
      <c r="AP370" s="133">
        <f>IF($K370=AP$3,ROUND(IF(OR($C370="W",$C370="1/2W",$C370="1/2L"),$P370-$O370,IF($C370="X",0,-$O370)),2),0)</f>
        <v>0</v>
      </c>
      <c r="AQ370" s="133">
        <f>IF($K370=AQ$3,ROUND(IF(OR($C370="W",$C370="1/2W",$C370="1/2L"),$P370-$O370,IF($C370="X",0,-$O370)),2),0)</f>
        <v>0</v>
      </c>
      <c r="AR370" s="134">
        <f>IF($K370=AR$3,ROUND(IF(OR($C370="W",$C370="1/2W",$C370="1/2L"),$P370-$O370,IF($C370="X",0,-$O370)),2),0)</f>
        <v>0</v>
      </c>
      <c r="AS370" s="132">
        <f>IF(AND($B370=" ",$K370=AS$3),$O370,0)</f>
        <v>0</v>
      </c>
      <c r="AT370" s="133">
        <f>IF(AND($B370=" ",$K370=AT$3),$O370,0)</f>
        <v>0</v>
      </c>
      <c r="AU370" s="133">
        <f>IF(AND($B370=" ",$K370=AU$3),$O370,0)</f>
        <v>0</v>
      </c>
      <c r="AV370" s="133">
        <f>IF(AND($B370=" ",$K370=AV$3),$O370,0)</f>
        <v>0</v>
      </c>
      <c r="AW370" s="133">
        <f>IF(AND($B370=" ",$K370=AW$3),$O370,0)</f>
        <v>0</v>
      </c>
      <c r="AX370" s="133">
        <f>IF(AND($B370=" ",$K370=AX$3),$O370,0)</f>
        <v>0</v>
      </c>
      <c r="AY370" s="135">
        <f>IF(AND($B370=" ",$K370=AY$3),$O370,0)</f>
        <v>0</v>
      </c>
      <c r="AZ370" s="136">
        <f>IF(AND($B370=" ",$K370=AZ$3),$O370,0)</f>
        <v>0</v>
      </c>
      <c r="BA370" s="136">
        <f>IF(AND($B370=" ",$K370=BA$3),$O370,0)</f>
        <v>0</v>
      </c>
      <c r="BB370" s="136">
        <f>IF(AND($B370=" ",$K370=BB$3),$O370,0)</f>
        <v>0</v>
      </c>
      <c r="BC370" s="137">
        <f>IF(AND($B370=" ",$K370=BC$3),$O370,0)</f>
        <v>0</v>
      </c>
      <c r="BD370" s="133">
        <f>IF(AND($B370=" ",$K370=BD$3),$O370,0)</f>
        <v>0</v>
      </c>
      <c r="BE370" s="134">
        <f>IF(AND($B370=" ",$K370=BE$3),$O370,0)</f>
        <v>0</v>
      </c>
      <c r="BF370" s="132">
        <f>IF($K370=BF$3,IF($C370="X",0,$O370),0)</f>
        <v>0</v>
      </c>
      <c r="BG370" s="133">
        <f>IF($K370=BG$3,IF($C370="X",0,$O370),0)</f>
        <v>0</v>
      </c>
      <c r="BH370" s="133">
        <f>IF($K370=BH$3,IF($C370="X",0,$O370),0)</f>
        <v>0</v>
      </c>
      <c r="BI370" s="133">
        <f>IF($K370=BI$3,IF($C370="X",0,$O370),0)</f>
        <v>0</v>
      </c>
      <c r="BJ370" s="133">
        <f>IF($K370=BJ$3,IF($C370="X",0,$O370),0)</f>
        <v>0</v>
      </c>
      <c r="BK370" s="133">
        <f>IF($K370=BK$3,IF($C370="X",0,$O370),0)</f>
        <v>0</v>
      </c>
      <c r="BL370" s="133">
        <f>IF($K370=BL$3,IF($C370="X",0,$O370),0)</f>
        <v>0</v>
      </c>
      <c r="BM370" s="135">
        <f>IF($K370=BM$3,IF($C370="X",0,$O370),0)</f>
        <v>5.38</v>
      </c>
      <c r="BN370" s="136">
        <f>IF($K370=BN$3,IF($C370="X",0,$O370),0)</f>
        <v>0</v>
      </c>
      <c r="BO370" s="136">
        <f>IF($K370=BO$3,IF($C370="X",0,$O370),0)</f>
        <v>0</v>
      </c>
      <c r="BP370" s="136">
        <f>IF($K370=BP$3,IF($C370="X",0,$O370),0)</f>
        <v>0</v>
      </c>
      <c r="BQ370" s="137">
        <f>IF($K370=BQ$3,IF($C370="X",0,$O370),0)</f>
        <v>0</v>
      </c>
      <c r="BR370" s="134">
        <f>IF($K370=BR$3,IF($C370="X",0,$O370),0)</f>
        <v>0</v>
      </c>
      <c r="BS370" s="170">
        <f>IF($B370="LOSS",IF(AND($K370=BS$3,$C370="L"),-$O370,0)+IF(AND($K371=BS$3,$C371="L"),-$O371,0)+IF(AND($K372=BS$3,$C372="L"),-$O372,0),IF(OR(AND($K370=BS$3,OR($C370="W",$C370="1/2W")),AND($K371=BS$3,OR($C371="W",$C371="1/2W")),AND($K372=BS$3,OR($C372="W",$C372="1/2W"))),$S370,0))</f>
        <v>0</v>
      </c>
      <c r="BT370" s="272">
        <f>IF($B370="LOSS",IF(AND($K370=BT$3,$C370="L"),-$O370,0)+IF(AND($K371=BT$3,$C371="L"),-$O371,0)+IF(AND($K371=BT$3,$C372="L"),-$O372,0),IF(OR(AND($K371=BT$3,OR($C370="W",$C370="1/2W")),AND($K371=BT$3,OR($C371="W",$C371="1/2W")),AND($K371=BT$3,OR($C372="W",$C372="1/2W"))),$S370,0))</f>
        <v>0.42</v>
      </c>
      <c r="BU370" s="136">
        <f>IF($B370="LOSS",IF(AND($K370=BU$3,$C370="L"),-$O370,0)+IF(AND($K371=BU$3,$C371="L"),-$O371,0)+IF(AND($K371=BU$3,$C372="L"),-$O372,0),IF(OR(AND($K371=BU$3,OR($C370="W",$C370="1/2W")),AND($K371=BU$3,OR($C371="W",$C371="1/2W")),AND($K371=BU$3,OR($C372="W",$C372="1/2W"))),$S370,0))</f>
        <v>0</v>
      </c>
      <c r="BV370" s="136">
        <f>IF($B370="LOSS",IF(AND($K370=BV$3,$C370="L"),-$O370,0)+IF(AND($K371=BV$3,$C371="L"),-$O371,0)+IF(AND($K372=BV$3,$C372="L"),-$O372,0),IF(OR(AND($K370=BV$3,OR($C370="W",$C370="1/2W")),AND($K371=BV$3,OR($C371="W",$C371="1/2W")),AND($K372=BV$3,OR($C372="W",$C372="1/2W"))),$S370,0))</f>
        <v>0</v>
      </c>
      <c r="BW370" s="136">
        <f>IF($B370="LOSS",IF(AND($K370=BW$3,$C370="L"),-$O370,0)+IF(AND($K371=BW$3,$C371="L"),-$O371,0)+IF(AND($K372=BW$3,$C372="L"),-$O372,0),IF(OR(AND($K370=BW$3,OR($C370="W",$C370="1/2W")),AND($K371=BW$3,OR($C371="W",$C371="1/2W")),AND($K372=BW$3,OR($C372="W",$C372="1/2W"))),$S370,0))</f>
        <v>0</v>
      </c>
      <c r="BX370" s="136">
        <f>IF($B370="LOSS",IF(AND($K370=BX$3,$C370="L"),-$O370,0)+IF(AND($K371=BX$3,$C371="L"),-$O371,0)+IF(AND($K372=BX$3,$C372="L"),-$O372,0),IF(OR(AND($K370=BX$3,OR($C370="W",$C370="1/2W")),AND($K371=BX$3,OR($C371="W",$C371="1/2W")),AND($K372=BX$3,OR($C372="W",$C372="1/2W"))),$S370,0))</f>
        <v>0</v>
      </c>
      <c r="BY370" s="136">
        <f>IF($B370="LOSS",IF(AND($K370=BY$3,$C370="L"),-$O370,0)+IF(AND($K371=BY$3,$C371="L"),-$O371,0)+IF(AND($K372=BY$3,$C372="L"),-$O372,0),IF(OR(AND($K370=BY$3,OR($C370="W",$C370="1/2W")),AND($K371=BY$3,OR($C371="W",$C371="1/2W")),AND($K372=BY$3,OR($C372="W",$C372="1/2W"))),$S370,0))</f>
        <v>0</v>
      </c>
      <c r="BZ370" s="136">
        <f>IF($B370="LOSS",IF(AND($K370=BZ$3,$C370="L"),-$O370,0)+IF(AND($K371=BZ$3,$C371="L"),-$O371,0)+IF(AND($K372=BZ$3,$C372="L"),-$O372,0),IF(OR(AND($K370=BZ$3,OR($C370="W",$C370="1/2W")),AND($K371=BZ$3,OR($C371="W",$C371="1/2W")),AND($K372=BZ$3,OR($C372="W",$C372="1/2W"))),$S370,0))</f>
        <v>0.42</v>
      </c>
      <c r="CA370" s="136">
        <f>IF($B370="LOSS",IF(AND($K370=CA$3,$C370="L"),-$O370,0)+IF(AND($K371=CA$3,$C371="L"),-$O371,0)+IF(AND($K372=CA$3,$C372="L"),-$O372,0),IF(OR(AND($K370=CA$3,OR($C370="W",$C370="1/2W")),AND($K371=CA$3,OR($C371="W",$C371="1/2W")),AND($K372=CA$3,OR($C372="W",$C372="1/2W"))),$S370,0))</f>
        <v>0</v>
      </c>
      <c r="CB370" s="136">
        <f>IF($B370="LOSS",IF(AND($K370=CB$3,$C370="L"),-$O370,0)+IF(AND($K371=CB$3,$C371="L"),-$O371,0)+IF(AND($K372=CB$3,$C372="L"),-$O372,0),IF(OR(AND($K370=CB$3,OR($C370="W",$C370="1/2W")),AND($K371=CB$3,OR($C371="W",$C371="1/2W")),AND($K372=CB$3,OR($C372="W",$C372="1/2W"))),$S370,0))</f>
        <v>0</v>
      </c>
      <c r="CC370" s="136">
        <f>IF($B370="LOSS",IF(AND($K370=CC$3,$C370="L"),-$O370,0)+IF(AND($K371=CC$3,$C371="L"),-$O371,0)+IF(AND($K372=CC$3,$C372="L"),-$O372,0),IF(OR(AND($K370=CC$3,OR($C370="W",$C370="1/2W")),AND($K371=CC$3,OR($C371="W",$C371="1/2W")),AND($K372=CC$3,OR($C372="W",$C372="1/2W"))),$S370,0))</f>
        <v>0</v>
      </c>
      <c r="CD370" s="137">
        <f>IF($B370="LOSS",IF(AND($K370=CD$3,$C370="L"),-$O370,0)+IF(AND($K371=CD$3,$C371="L"),-$O371,0)+IF(AND($K372=CD$3,$C372="L"),-$O372,0),IF(OR(AND($K370=CD$3,OR($C370="W",$C370="1/2W")),AND($K371=CD$3,OR($C371="W",$C371="1/2W")),AND($K372=CD$3,OR($C372="W",$C372="1/2W"))),$S370,0))</f>
        <v>0</v>
      </c>
      <c r="CE370" s="134">
        <f>IF($B370="LOSS",IF(AND($K370=CE$3,$C370="L"),-$O370,0)+IF(AND($K371=CE$3,$C371="L"),-$O371,0)+IF(AND($K372=CE$3,$C372="L"),-$O372,0),IF(OR(AND($K370=CE$3,OR($C370="W",$C370="1/2W")),AND($K371=CE$3,OR($C371="W",$C371="1/2W")),AND($K372=CE$3,OR($C372="W",$C372="1/2W"))),$S370,0))</f>
        <v>0</v>
      </c>
      <c r="CF370" s="273">
        <f>IF(CF$3=$K370,IF($C370="W",1,IF($C370="1/2W",0.5,0)),0)</f>
        <v>0</v>
      </c>
      <c r="CG370" s="274">
        <f>IF(CF$3=$K370,IF($C370="L",1,IF($C370="1/2L",0.5,0)),0)</f>
        <v>0</v>
      </c>
      <c r="CH370" s="274">
        <f>IF(CH$3=$K370,IF($C370="W",1,IF($C370="1/2W",0.5,0)),0)</f>
        <v>0</v>
      </c>
      <c r="CI370" s="274">
        <f>IF(CH$3=$K370,IF($C370="L",1,IF($C370="1/2L",0.5,0)),0)</f>
        <v>0</v>
      </c>
      <c r="CJ370" s="274">
        <f>IF(CJ$3=$K370,IF($C370="W",1,IF($C370="1/2W",0.5,0)),0)</f>
        <v>0</v>
      </c>
      <c r="CK370" s="274">
        <f>IF(CJ$3=$K370,IF($C370="L",1,IF($C370="1/2L",0.5,0)),0)</f>
        <v>0</v>
      </c>
      <c r="CL370" s="274">
        <f>IF(CL$3=$K370,IF($C370="W",1,IF($C370="1/2W",0.5,0)),0)</f>
        <v>0</v>
      </c>
      <c r="CM370" s="274">
        <f>IF(CL$3=$K370,IF($C370="L",1,IF($C370="1/2L",0.5,0)),0)</f>
        <v>0</v>
      </c>
      <c r="CN370" s="274">
        <f>IF(CN$3=$K370,IF($C370="W",1,IF($C370="1/2W",0.5,0)),0)</f>
        <v>0</v>
      </c>
      <c r="CO370" s="274">
        <f>IF(CN$3=$K370,IF($C370="L",1,IF($C370="1/2L",0.5,0)),0)</f>
        <v>0</v>
      </c>
      <c r="CP370" s="274">
        <f>IF(CP$3=$K370,IF($C370="W",1,IF($C370="1/2W",0.5,0)),0)</f>
        <v>0</v>
      </c>
      <c r="CQ370" s="274">
        <f>IF(CP$3=$K370,IF($C370="L",1,IF($C370="1/2L",0.5,0)),0)</f>
        <v>0</v>
      </c>
      <c r="CR370" s="274">
        <f>IF(CR$3=$K370,IF($C370="W",1,IF($C370="1/2W",0.5,0)),0)</f>
        <v>0</v>
      </c>
      <c r="CS370" s="274">
        <f>IF(CR$3=$K370,IF($C370="L",1,IF($C370="1/2L",0.5,0)),0)</f>
        <v>0</v>
      </c>
      <c r="CT370" s="145">
        <f>IF(CT$3=$K370,IF($C370="W",1,IF($C370="1/2W",0.5,0)),0)</f>
        <v>1</v>
      </c>
      <c r="CU370" s="146">
        <f>IF(CT$3=$K370,IF($C370="L",1,IF($C370="1/2L",0.5,0)),0)</f>
        <v>0</v>
      </c>
      <c r="CV370" s="146">
        <f>IF(CV$3=$K370,IF($C370="W",1,IF($C370="1/2W",0.5,0)),0)</f>
        <v>0</v>
      </c>
      <c r="CW370" s="146">
        <f>IF(CV$3=$K370,IF($C370="L",1,IF($C370="1/2L",0.5,0)),0)</f>
        <v>0</v>
      </c>
      <c r="CX370" s="146">
        <f>IF(CX$3=$K370,IF($C370="W",1,IF($C370="1/2W",0.5,0)),0)</f>
        <v>0</v>
      </c>
      <c r="CY370" s="146">
        <f>IF(CX$3=$K370,IF($C370="L",1,IF($C370="1/2L",0.5,0)),0)</f>
        <v>0</v>
      </c>
      <c r="CZ370" s="146">
        <f>IF(CZ$3=$K370,IF($C370="W",1,IF($C370="1/2W",0.5,0)),0)</f>
        <v>0</v>
      </c>
      <c r="DA370" s="146">
        <f>IF(CZ$3=$K370,IF($C370="L",1,IF($C370="1/2L",0.5,0)),0)</f>
        <v>0</v>
      </c>
      <c r="DB370" s="146">
        <f>IF(DB$3=$K370,IF($C370="W",1,IF($C370="1/2W",0.5,0)),0)</f>
        <v>0</v>
      </c>
      <c r="DC370" s="146">
        <f>IF(DB$3=$K370,IF($C370="L",1,IF($C370="1/2L",0.5,0)),0)</f>
        <v>0</v>
      </c>
      <c r="DD370" s="146">
        <f>IF(DD$3=$K370,IF($C370="W",1,IF($C370="1/2W",0.5,0)),0)</f>
        <v>0</v>
      </c>
      <c r="DE370" s="147">
        <f>IF(DD$3=$K370,IF($C370="L",1,IF($C370="1/2L",0.5,0)),0)</f>
        <v>0</v>
      </c>
      <c r="DF370" s="143">
        <f>IF(AND(L370&lt;DF$3,$C370="W"),1+DF369,DF369)</f>
        <v>12</v>
      </c>
      <c r="DG370" s="133">
        <f>IF(DF370&gt;DF369,L370+DG369,DG369)</f>
        <v>15.718</v>
      </c>
      <c r="DH370" s="146">
        <f>IF(AND(L370&gt;DH$3,$C370="W"),1+DH369,0+DH369)</f>
        <v>9</v>
      </c>
      <c r="DI370" s="133">
        <f>IF(DH370&gt;DH369,L370+DI369,DI369)</f>
        <v>49.83</v>
      </c>
      <c r="DJ370" t="s" s="304">
        <f>IF($D370="","",$D370)</f>
        <v>307</v>
      </c>
      <c r="DK370" s="146">
        <f>IF(AND($B370=" ",$D370&lt;&gt;""),1,0)</f>
        <v>0</v>
      </c>
    </row>
    <row r="371" ht="14.55" customHeight="1">
      <c r="A371" s="107"/>
      <c r="B371" s="108"/>
      <c r="C371" t="s" s="109">
        <v>51</v>
      </c>
      <c r="D371" s="110"/>
      <c r="E371" s="111"/>
      <c r="F371" s="113"/>
      <c r="G371" s="252"/>
      <c r="H371" s="114"/>
      <c r="I371" t="s" s="275">
        <v>140</v>
      </c>
      <c r="J371" s="276">
        <f>IF(OR(I370="TO",I370="TU",I370="TO1",I370="TU1",I370="TO2",I370="TU2"),J370,IF(OR(I370="AH1",I370="AH2"),IF(OR(I371="AH1",I371="AH2"),-J370,IF(OR(I371="EH1",I371="EH2"),-J370+0.5,"")),IF(OR(I370="EH1",I370="EH2"),IF(OR(I371="AH1",I371="AH2"),-J370+0.5,IF(OR(I371="EH1",I371="EH2"),-J370+1,"")),IF(AND(OR(I370="DNB1",I370="DNB2"),OR(I371="AH1",I371="AH2")),0,IF(AND(I370="Not ScoreBoth",OR(I371="TO1",I371="TO2")),0.5,"")))))</f>
        <v>-1</v>
      </c>
      <c r="K371" t="s" s="117">
        <v>38</v>
      </c>
      <c r="L371" s="277">
        <v>2.63</v>
      </c>
      <c r="M371" s="278">
        <v>3.56</v>
      </c>
      <c r="N371" s="120"/>
      <c r="O371" s="121">
        <f>IF(OR(AE370="",AE371=""),"",ROUND(IF(L372&gt;0,IF(M371&gt;0,M371,IF(M370&gt;0,IF(N370=TRUE,ROUND((M370*AE371)/AE370,0),(M370*AE371)/AE370),IF(M371&gt;0,ROUND(M371,IF(N370=0,2,IF(N370=0.1,1,0))),IF(M372&gt;0,ROUND(O372*AE371/AE372,IF(N370=0,2,IF(N370=0.1,1,0))),0)))),IF(M371&gt;0,M371,ROUND((M370*AE371)/AE370,IF(N370=0,2,IF(N370=0.1,1,0))))),2))</f>
        <v>3.56</v>
      </c>
      <c r="P371" s="122">
        <f>IF(OR(L371="",O371=""),"",IF($C371="1/2W",O371/2+O371/2*L371,IF($C371="1/2L",O371/2,IF(I371="Lay",((O371*(L371/(L371-1)))-O371)*(1-_xlfn.XLOOKUP(K371,'Janeiro 2023 - Valor Real'!A3:A15,'Janeiro 2023 - Valor Real'!C3:C15,0))+O371,(O371*L371-O371)*(1-_xlfn.XLOOKUP(K371,'Janeiro 2023 - Valor Real'!A3:A15,'Janeiro 2023 - Valor Real'!C3:C15,0))+O371))))</f>
        <v>9.3628</v>
      </c>
      <c r="Q371" s="279">
        <f>IF(K371="","",IF(_xlfn.XLOOKUP(K371,K$108:K138,DJ$108:DJ138,0,,-1)=DJ371,_xlfn.XLOOKUP(K371,K$108:K138,Q$108:Q138,1,,-1)+1,1))</f>
        <v>1</v>
      </c>
      <c r="R371" s="280">
        <f>IF(K371="","",_xlfn.XLOOKUP(K371,K$108:K138,R$108:R138,0,,-1)+IF($C371=" ",1,0))</f>
        <v>0</v>
      </c>
      <c r="S371" s="125"/>
      <c r="T371" s="126"/>
      <c r="U371" s="126"/>
      <c r="V371" s="224"/>
      <c r="W371" s="126"/>
      <c r="X371" s="127"/>
      <c r="Y371" s="128"/>
      <c r="Z371" s="129"/>
      <c r="AA371" s="129"/>
      <c r="AB371" s="129"/>
      <c r="AC371" s="129"/>
      <c r="AD371" s="130"/>
      <c r="AE371" s="131">
        <f>IF(L371="","",IF(L372&gt;0,(SUM(((L370-1)*(1-_xlfn.XLOOKUP(K370,'Janeiro 2023 - Valor Real'!A3:A15,'Janeiro 2023 - Valor Real'!C3:C15,0))+1),((L371-1)*(1-_xlfn.XLOOKUP(K371,'Janeiro 2023 - Valor Real'!A3:A15,'Janeiro 2023 - Valor Real'!C3:C15,0))+1),((L372-1)*(1-_xlfn.XLOOKUP(K372,'Janeiro 2023 - Valor Real'!A3:A15,'Janeiro 2023 - Valor Real'!C3:C15,0))+1))/((L371-1)*(1-_xlfn.XLOOKUP(K371,'Janeiro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Real'!C3:C15,0))+1))/((L370-1)*(1-_xlfn.XLOOKUP(K370,'Janeiro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Real'!C3:C15,0))+1))/((L371-1)*(1-_xlfn.XLOOKUP(K371,'Janeiro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Real'!C3:C15,0))+1))/((L372-1)*(1-_xlfn.XLOOKUP(K372,'Janeiro 2023 - Valor Real'!A3:A15,'Janeiro 2023 - Valor Real'!C3:C15,0))+1)),IF(I371="Lay",IF(I370="Lay",((L370/(L370-1)-1)*(1-_xlfn.XLOOKUP(K370,'Janeiro 2023 - Valor Real'!A3:A15,'Janeiro 2023 - Valor Real'!C3:C15,0))+1)/(((L370/(L370-1)-1)*(1-_xlfn.XLOOKUP(K370,'Janeiro 2023 - Valor Real'!A3:A15,'Janeiro 2023 - Valor Real'!C3:C15,0))+1)+((L371/(L371-1)-1)*(1-_xlfn.XLOOKUP(K371,'Janeiro 2023 - Valor Real'!A3:A15,'Janeiro 2023 - Valor Real'!C3:C15,0))+1)),((L370-1)*(1-_xlfn.XLOOKUP(K370,'Janeiro 2023 - Valor Real'!A3:A15,'Janeiro 2023 - Valor Real'!C3:C15,0))+1)/(((L370-1)*(1-_xlfn.XLOOKUP(K370,'Janeiro 2023 - Valor Real'!A3:A15,'Janeiro 2023 - Valor Real'!C3:C15,0))+1)+((L371/(L371-1)-1)*(1-_xlfn.XLOOKUP(K371,'Janeiro 2023 - Valor Real'!A3:A15,'Janeiro 2023 - Valor Real'!C3:C15,0))+1))),IF(I370="Lay",((L370/(L370-1)-1)*(1-_xlfn.XLOOKUP(K370,'Janeiro 2023 - Valor Real'!A3:A15,'Janeiro 2023 - Valor Real'!C3:C15,0))+1)/((((L370/(L370-1)-1)*(1-_xlfn.XLOOKUP(K370,'Janeiro 2023 - Valor Real'!A3:A15,'Janeiro 2023 - Valor Real'!C3:C15,0))+1))+((L371-1)*(1-_xlfn.XLOOKUP(K371,'Janeiro 2023 - Valor Real'!A3:A15,'Janeiro 2023 - Valor Real'!C3:C15,0))+1)),((L370-1)*(1-_xlfn.XLOOKUP(K370,'Janeiro 2023 - Valor Real'!A3:A15,'Janeiro 2023 - Valor Real'!C3:C15,0))+1)/(((L370-1)*(1-_xlfn.XLOOKUP(K370,'Janeiro 2023 - Valor Real'!A3:A15,'Janeiro 2023 - Valor Real'!C3:C15,0))+1)+((L371-1)*(1-_xlfn.XLOOKUP(K371,'Janeiro 2023 - Valor Real'!A3:A15,'Janeiro 2023 - Valor Real'!C3:C15,0))+1))))))</f>
        <v>0.398169336384439</v>
      </c>
      <c r="AF371" s="132">
        <f>IF($K371=AF$3,ROUND(IF(OR($C371="W",$C371="1/2W",$C371="1/2L"),$P371-$O371,IF($C371="X",0,-$O371)),2),0)</f>
        <v>0</v>
      </c>
      <c r="AG371" s="133">
        <f>IF($K371=AG$3,ROUND(IF(OR($C371="W",$C371="1/2W",$C371="1/2L"),$P371-$O371,IF($C371="X",0,-$O371)),2),0)</f>
        <v>-3.56</v>
      </c>
      <c r="AH371" s="133">
        <f>IF($K371=AH$3,ROUND(IF(OR($C371="W",$C371="1/2W",$C371="1/2L"),$P371-$O371,IF($C371="X",0,-$O371)),2),0)</f>
        <v>0</v>
      </c>
      <c r="AI371" s="133">
        <f>IF($K371=AI$3,ROUND(IF(OR($C371="W",$C371="1/2W",$C371="1/2L"),$P371-$O371,IF($C371="X",0,-$O371)),2),0)</f>
        <v>0</v>
      </c>
      <c r="AJ371" s="133">
        <f>IF($K371=AJ$3,ROUND(IF(OR($C371="W",$C371="1/2W",$C371="1/2L"),$P371-$O371,IF($C371="X",0,-$O371)),2),0)</f>
        <v>0</v>
      </c>
      <c r="AK371" s="133">
        <f>IF($K371=AK$3,ROUND(IF(OR($C371="W",$C371="1/2W",$C371="1/2L"),$P371-$O371,IF($C371="X",0,-$O371)),2),0)</f>
        <v>0</v>
      </c>
      <c r="AL371" s="133">
        <f>IF($K371=AL$3,ROUND(IF(OR($C371="W",$C371="1/2W",$C371="1/2L"),$P371-$O371,IF($C371="X",0,-$O371)),2),0)</f>
        <v>0</v>
      </c>
      <c r="AM371" s="133">
        <f>IF($K371=AM$3,ROUND(IF(OR($C371="W",$C371="1/2W",$C371="1/2L"),$P371-$O371,IF($C371="X",0,-$O371)),2),0)</f>
        <v>0</v>
      </c>
      <c r="AN371" s="133">
        <f>IF($K371=AN$3,ROUND(IF(OR($C371="W",$C371="1/2W",$C371="1/2L"),$P371-$O371,IF($C371="X",0,-$O371)),2),0)</f>
        <v>0</v>
      </c>
      <c r="AO371" s="133">
        <f>IF($K371=AO$3,ROUND(IF(OR($C371="W",$C371="1/2W",$C371="1/2L"),$P371-$O371,IF($C371="X",0,-$O371)),2),0)</f>
        <v>0</v>
      </c>
      <c r="AP371" s="133">
        <f>IF($K371=AP$3,ROUND(IF(OR($C371="W",$C371="1/2W",$C371="1/2L"),$P371-$O371,IF($C371="X",0,-$O371)),2),0)</f>
        <v>0</v>
      </c>
      <c r="AQ371" s="133">
        <f>IF($K371=AQ$3,ROUND(IF(OR($C371="W",$C371="1/2W",$C371="1/2L"),$P371-$O371,IF($C371="X",0,-$O371)),2),0)</f>
        <v>0</v>
      </c>
      <c r="AR371" s="134">
        <f>IF($K371=AR$3,ROUND(IF(OR($C371="W",$C371="1/2W",$C371="1/2L"),$P371-$O371,IF($C371="X",0,-$O371)),2),0)</f>
        <v>0</v>
      </c>
      <c r="AS371" s="132">
        <f>IF(AND($B370=" ",$K371=AS$3),$O371,0)</f>
        <v>0</v>
      </c>
      <c r="AT371" s="133">
        <f>IF(AND($B370=" ",K371=AT$3),$O371,0)</f>
        <v>0</v>
      </c>
      <c r="AU371" s="133">
        <f>IF(AND($B370=" ",$K371=AU$3),$O371,0)</f>
        <v>0</v>
      </c>
      <c r="AV371" s="133">
        <f>IF(AND($B370=" ",$K371=AV$3),$O371,0)</f>
        <v>0</v>
      </c>
      <c r="AW371" s="133">
        <f>IF(AND($B370=" ",$K371=AW$3),$O371,0)</f>
        <v>0</v>
      </c>
      <c r="AX371" s="133">
        <f>IF(AND($B370=" ",$K371=AX$3),$O371,0)</f>
        <v>0</v>
      </c>
      <c r="AY371" s="135">
        <f>IF(AND($B370=" ",$K371=AY$3),$O371,0)</f>
        <v>0</v>
      </c>
      <c r="AZ371" s="136">
        <f>IF(AND($B370=" ",$K371=AZ$3),$O371,0)</f>
        <v>0</v>
      </c>
      <c r="BA371" s="136">
        <f>IF(AND($B370=" ",$K371=BA$3),$O371,0)</f>
        <v>0</v>
      </c>
      <c r="BB371" s="136">
        <f>IF(AND($B370=" ",$K371=BB$3),$O371,0)</f>
        <v>0</v>
      </c>
      <c r="BC371" s="137">
        <f>IF(AND($B370=" ",$K371=BC$3),$O371,0)</f>
        <v>0</v>
      </c>
      <c r="BD371" s="133">
        <f>IF(AND($B370=" ",$K371=BD$3),$O371,0)</f>
        <v>0</v>
      </c>
      <c r="BE371" s="134">
        <f>IF(AND($B370=" ",$K371=BE$3),$O371,0)</f>
        <v>0</v>
      </c>
      <c r="BF371" s="132">
        <f>IF($K371=BF$3,IF($C371="X",0,$O371),0)</f>
        <v>0</v>
      </c>
      <c r="BG371" s="281">
        <f>IF($K371=BG$3,IF($C371="X",0,$O371),0)</f>
        <v>3.56</v>
      </c>
      <c r="BH371" s="133">
        <f>IF($K371=BH$3,IF($C371="X",0,$O371),0)</f>
        <v>0</v>
      </c>
      <c r="BI371" s="133">
        <f>IF($K371=BI$3,IF($C371="X",0,$O371),0)</f>
        <v>0</v>
      </c>
      <c r="BJ371" s="133">
        <f>IF($K371=BJ$3,IF($C371="X",0,$O371),0)</f>
        <v>0</v>
      </c>
      <c r="BK371" s="133">
        <f>IF($K371=BK$3,IF($C371="X",0,$O371),0)</f>
        <v>0</v>
      </c>
      <c r="BL371" s="133">
        <f>IF($K371=BL$3,IF($C371="X",0,$O371),0)</f>
        <v>0</v>
      </c>
      <c r="BM371" s="135">
        <f>IF($K371=BM$3,IF($C371="X",0,$O371),0)</f>
        <v>0</v>
      </c>
      <c r="BN371" s="136">
        <f>IF($K371=BN$3,IF($C371="X",0,$O371),0)</f>
        <v>0</v>
      </c>
      <c r="BO371" s="136">
        <f>IF($K371=BO$3,IF($C371="X",0,$O371),0)</f>
        <v>0</v>
      </c>
      <c r="BP371" s="136">
        <f>IF($K371=BP$3,IF($C371="X",0,$O371),0)</f>
        <v>0</v>
      </c>
      <c r="BQ371" s="137">
        <f>IF($K371=BQ$3,IF($C371="X",0,$O371),0)</f>
        <v>0</v>
      </c>
      <c r="BR371" s="134">
        <f>IF($K371=BR$3,IF($C371="X",0,$O371),0)</f>
        <v>0</v>
      </c>
      <c r="BS371" s="282"/>
      <c r="BT371" s="283"/>
      <c r="BU371" s="140"/>
      <c r="BV371" s="283"/>
      <c r="BW371" s="140"/>
      <c r="BX371" s="140"/>
      <c r="BY371" s="140"/>
      <c r="BZ371" s="283"/>
      <c r="CA371" s="140"/>
      <c r="CB371" s="140"/>
      <c r="CC371" s="140"/>
      <c r="CD371" s="141"/>
      <c r="CE371" s="142"/>
      <c r="CF371" s="284">
        <f>IF(CF$3=$K371,IF($C371="W",1,IF($C371="1/2W",0.5,0)),0)</f>
        <v>0</v>
      </c>
      <c r="CG371" s="285">
        <f>IF(CF$3=$K371,IF($C371="L",1,IF($C371="1/2L",0.5,0)),0)</f>
        <v>0</v>
      </c>
      <c r="CH371" s="285">
        <f>IF(CH$3=$K371,IF($C371="W",1,IF($C371="1/2W",0.5,0)),0)</f>
        <v>0</v>
      </c>
      <c r="CI371" s="285">
        <f>IF(CH$3=$K371,IF($C371="L",1,IF($C371="1/2L",0.5,0)),0)</f>
        <v>1</v>
      </c>
      <c r="CJ371" s="285">
        <f>IF(CJ$3=$K371,IF($C371="W",1,IF($C371="1/2W",0.5,0)),0)</f>
        <v>0</v>
      </c>
      <c r="CK371" s="285">
        <f>IF(CJ$3=$K371,IF($C371="L",1,IF($C371="1/2L",0.5,0)),0)</f>
        <v>0</v>
      </c>
      <c r="CL371" s="285">
        <f>IF(CL$3=$K371,IF($C371="W",1,IF($C371="1/2W",0.5,0)),0)</f>
        <v>0</v>
      </c>
      <c r="CM371" s="285">
        <f>IF(CL$3=$K371,IF($C371="L",1,IF($C371="1/2L",0.5,0)),0)</f>
        <v>0</v>
      </c>
      <c r="CN371" s="285">
        <f>IF(CN$3=$K371,IF($C371="W",1,IF($C371="1/2W",0.5,0)),0)</f>
        <v>0</v>
      </c>
      <c r="CO371" s="285">
        <f>IF(CN$3=$K371,IF($C371="L",1,IF($C371="1/2L",0.5,0)),0)</f>
        <v>0</v>
      </c>
      <c r="CP371" s="285">
        <f>IF(CP$3=$K371,IF($C371="W",1,IF($C371="1/2W",0.5,0)),0)</f>
        <v>0</v>
      </c>
      <c r="CQ371" s="285">
        <f>IF(CP$3=$K371,IF($C371="L",1,IF($C371="1/2L",0.5,0)),0)</f>
        <v>0</v>
      </c>
      <c r="CR371" s="285">
        <f>IF(CR$3=$K371,IF($C371="W",1,IF($C371="1/2W",0.5,0)),0)</f>
        <v>0</v>
      </c>
      <c r="CS371" s="285">
        <f>IF(CR$3=$K371,IF($C371="L",1,IF($C371="1/2L",0.5,0)),0)</f>
        <v>0</v>
      </c>
      <c r="CT371" s="145">
        <f>IF(CT$3=$K371,IF($C371="W",1,IF($C371="1/2W",0.5,0)),0)</f>
        <v>0</v>
      </c>
      <c r="CU371" s="146">
        <f>IF(CT$3=$K371,IF($C371="L",1,IF($C371="1/2L",0.5,0)),0)</f>
        <v>0</v>
      </c>
      <c r="CV371" s="146">
        <f>IF(CV$3=$K371,IF($C371="W",1,IF($C371="1/2W",0.5,0)),0)</f>
        <v>0</v>
      </c>
      <c r="CW371" s="146">
        <f>IF(CV$3=$K371,IF($C371="L",1,IF($C371="1/2L",0.5,0)),0)</f>
        <v>0</v>
      </c>
      <c r="CX371" s="146">
        <f>IF(CX$3=$K371,IF($C371="W",1,IF($C371="1/2W",0.5,0)),0)</f>
        <v>0</v>
      </c>
      <c r="CY371" s="146">
        <f>IF(CX$3=$K371,IF($C371="L",1,IF($C371="1/2L",0.5,0)),0)</f>
        <v>0</v>
      </c>
      <c r="CZ371" s="146">
        <f>IF(CZ$3=$K371,IF($C371="W",1,IF($C371="1/2W",0.5,0)),0)</f>
        <v>0</v>
      </c>
      <c r="DA371" s="146">
        <f>IF(CZ$3=$K371,IF($C371="L",1,IF($C371="1/2L",0.5,0)),0)</f>
        <v>0</v>
      </c>
      <c r="DB371" s="146">
        <f>IF(DB$3=$K371,IF($C371="W",1,IF($C371="1/2W",0.5,0)),0)</f>
        <v>0</v>
      </c>
      <c r="DC371" s="146">
        <f>IF(DB$3=$K371,IF($C371="L",1,IF($C371="1/2L",0.5,0)),0)</f>
        <v>0</v>
      </c>
      <c r="DD371" s="146">
        <f>IF(DD$3=$K371,IF($C371="W",1,IF($C371="1/2W",0.5,0)),0)</f>
        <v>0</v>
      </c>
      <c r="DE371" s="147">
        <f>IF(DD$3=$K371,IF($C371="L",1,IF($C371="1/2L",0.5,0)),0)</f>
        <v>0</v>
      </c>
      <c r="DF371" s="143">
        <f>IF(AND(L371&lt;DF$3,$C371="W"),1+DF370,DF370)</f>
        <v>12</v>
      </c>
      <c r="DG371" s="133">
        <f>IF(DF371&gt;DF370,L371+DG370,DG370)</f>
        <v>15.718</v>
      </c>
      <c r="DH371" s="146">
        <f>IF(AND(L371&gt;DH$3,$C371="W"),1+DH370,0+DH370)</f>
        <v>9</v>
      </c>
      <c r="DI371" s="133">
        <f>IF(DH371&gt;DH370,L371+DI370,DI370)</f>
        <v>49.83</v>
      </c>
      <c r="DJ371" t="s" s="304">
        <f>IF($D370="","",$D370)</f>
        <v>307</v>
      </c>
      <c r="DK371" s="286"/>
    </row>
    <row r="372" ht="14.55" customHeight="1">
      <c r="A372" s="149"/>
      <c r="B372" s="150"/>
      <c r="C372" t="s" s="151">
        <v>58</v>
      </c>
      <c r="D372" s="152"/>
      <c r="E372" s="153"/>
      <c r="F372" s="155"/>
      <c r="G372" s="252"/>
      <c r="H372" s="156"/>
      <c r="I372" s="287"/>
      <c r="J372" s="288"/>
      <c r="K372" s="156"/>
      <c r="L372" s="289"/>
      <c r="M372" s="290"/>
      <c r="N372" s="161"/>
      <c r="O372" t="s" s="162">
        <f>IF(OR(AE370="",AE371=""),"",IF(L372&gt;0,ROUND(IF(M372&gt;0,M372,IF(M370&gt;0,ROUND((M370*AE372)/AE370,IF(N370=0,2,IF(N370=0.1,1,0))),IF(M371&gt;0,ROUND((M371*AE372)/AE371,IF(N370=0,2,IF(N370=0.1,1,0))),IF(M372&gt;0,M372,0)))),2),""))</f>
      </c>
      <c r="P372" t="s" s="163">
        <f>IF(I371="Lay",O371*(L371/(L371-1))-O371,IF(I370="Lay",O370*(L370/(L370-1))-O370,IF(OR(L372="",O372=""),"",IF($C372="1/2W",O372/2+O372/2*L372,IF($C372="1/2L",O372/2,(O372*L372-O372)*(1-_xlfn.XLOOKUP(K372,'Janeiro 2023 - Valor Real'!A3:A15,'Janeiro 2023 - Valor Real'!C3:C15,0))+O372)))))</f>
      </c>
      <c r="Q372" t="s" s="154">
        <f>IF(K372="","",IF(_xlfn.XLOOKUP(K372,K$109:K139,DJ$109:DJ139,0,,-1)=DJ372,_xlfn.XLOOKUP(K372,K$109:K139,Q$109:Q139,1,,-1)+1,1))</f>
      </c>
      <c r="R372" t="s" s="163">
        <f>IF(K372="","",_xlfn.XLOOKUP(K372,K$109:K139,R$109:R139,0,,-1)+IF($C372=" ",1,0))</f>
      </c>
      <c r="S372" s="166"/>
      <c r="T372" s="155"/>
      <c r="U372" s="155"/>
      <c r="V372" s="166"/>
      <c r="W372" s="155"/>
      <c r="X372" s="167"/>
      <c r="Y372" s="128"/>
      <c r="Z372" s="129"/>
      <c r="AA372" s="129"/>
      <c r="AB372" s="129"/>
      <c r="AC372" s="129"/>
      <c r="AD372" s="168"/>
      <c r="AE372" t="s" s="169">
        <f>IF(L372="","",(SUM(((L370-1)*(1-_xlfn.XLOOKUP(K370,'Janeiro 2023 - Valor Real'!A3:A15,'Janeiro 2023 - Valor Real'!C3:C15,0))+1),((L371-1)*(1-_xlfn.XLOOKUP(K371,'Janeiro 2023 - Valor Real'!A3:A15,'Janeiro 2023 - Valor Real'!C3:C15,0))+1),((L372-1)*(1-_xlfn.XLOOKUP(K372,'Janeiro 2023 - Valor Real'!A3:A15,'Janeiro 2023 - Valor Real'!C3:C15,0))+1))/((L372-1)*(1-_xlfn.XLOOKUP(K372,'Janeiro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Real'!C3:C15,0))+1))/((L370-1)*(1-_xlfn.XLOOKUP(K370,'Janeiro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Real'!C3:C15,0))+1))/((L371-1)*(1-_xlfn.XLOOKUP(K371,'Janeiro 2023 - Valor Real'!A3:A15,'Janeiro 2023 - Valor Real'!C3:C15,0))+1)+SUM(((L370-1)*(1-_xlfn.XLOOKUP(K370,'Janeiro 2023 - Valor Real'!A3:A15,'Janeiro 2023 - Valor Real'!C3:C15,0))+1),((L371-1)*(1-_xlfn.XLOOKUP(K371,'Janeiro 2023 - Valor Real'!A3:A15,'Janeiro 2023 - Valor Real'!C3:C15,0))+1),((L372-1)*(1-_xlfn.XLOOKUP(K372,'Janeiro 2023 - Valor Real'!A3:A15,'Janeiro 2023 - Valor Real'!C3:C15,0))+1))/((L372-1)*(1-_xlfn.XLOOKUP(K372,'Janeiro 2023 - Valor Real'!A3:A15,'Janeiro 2023 - Valor Real'!C3:C15,0))+1)))</f>
      </c>
      <c r="AF372" s="132">
        <f>IF($K372=AF$3,ROUND(IF(OR($C372="W",$C372="1/2W",$C372="1/2L"),$P372-$O372,IF($C372="X",0,-$O372)),2),0)</f>
        <v>0</v>
      </c>
      <c r="AG372" s="133">
        <f>IF($K372=AG$3,ROUND(IF(OR($C372="W",$C372="1/2W",$C372="1/2L"),$P372-$O372,IF($C372="X",0,-$O372)),2),0)</f>
        <v>0</v>
      </c>
      <c r="AH372" s="133">
        <f>IF($K372=AH$3,ROUND(IF(OR($C372="W",$C372="1/2W",$C372="1/2L"),$P372-$O372,IF($C372="X",0,-$O372)),2),0)</f>
        <v>0</v>
      </c>
      <c r="AI372" s="133">
        <f>IF($K372=AI$3,ROUND(IF(OR($C372="W",$C372="1/2W",$C372="1/2L"),$P372-$O372,IF($C372="X",0,-$O372)),2),0)</f>
        <v>0</v>
      </c>
      <c r="AJ372" s="133">
        <f>IF($K372=AJ$3,ROUND(IF(OR($C372="W",$C372="1/2W",$C372="1/2L"),$P372-$O372,IF($C372="X",0,-$O372)),2),0)</f>
        <v>0</v>
      </c>
      <c r="AK372" s="133">
        <f>IF($K372=AK$3,ROUND(IF(OR($C372="W",$C372="1/2W",$C372="1/2L"),$P372-$O372,IF($C372="X",0,-$O372)),2),0)</f>
        <v>0</v>
      </c>
      <c r="AL372" s="133">
        <f>IF($K372=AL$3,ROUND(IF(OR($C372="W",$C372="1/2W",$C372="1/2L"),$P372-$O372,IF($C372="X",0,-$O372)),2),0)</f>
        <v>0</v>
      </c>
      <c r="AM372" s="133">
        <f>IF($K372=AM$3,ROUND(IF(OR($C372="W",$C372="1/2W",$C372="1/2L"),$P372-$O372,IF($C372="X",0,-$O372)),2),0)</f>
        <v>0</v>
      </c>
      <c r="AN372" s="133">
        <f>IF($K372=AN$3,ROUND(IF(OR($C372="W",$C372="1/2W",$C372="1/2L"),$P372-$O372,IF($C372="X",0,-$O372)),2),0)</f>
        <v>0</v>
      </c>
      <c r="AO372" s="133">
        <f>IF($K372=AO$3,ROUND(IF(OR($C372="W",$C372="1/2W",$C372="1/2L"),$P372-$O372,IF($C372="X",0,-$O372)),2),0)</f>
        <v>0</v>
      </c>
      <c r="AP372" s="133">
        <f>IF($K372=AP$3,ROUND(IF(OR($C372="W",$C372="1/2W",$C372="1/2L"),$P372-$O372,IF($C372="X",0,-$O372)),2),0)</f>
        <v>0</v>
      </c>
      <c r="AQ372" s="133">
        <f>IF($K372=AQ$3,ROUND(IF(OR($C372="W",$C372="1/2W",$C372="1/2L"),$P372-$O372,IF($C372="X",0,-$O372)),2),0)</f>
        <v>0</v>
      </c>
      <c r="AR372" s="134">
        <f>IF($K372=AR$3,ROUND(IF(OR($C372="W",$C372="1/2W",$C372="1/2L"),$P372-$O372,IF($C372="X",0,-$O372)),2),0)</f>
        <v>0</v>
      </c>
      <c r="AS372" s="132">
        <f>IF(AND($B370=" ",$K372=AS$3),$O372,0)</f>
        <v>0</v>
      </c>
      <c r="AT372" s="133">
        <f>IF(AND($B370=" ",K372=AT$3),$O372,0)</f>
        <v>0</v>
      </c>
      <c r="AU372" s="133">
        <f>IF(AND($B370=" ",$K372=AU$3),$O372,0)</f>
        <v>0</v>
      </c>
      <c r="AV372" s="133">
        <f>IF(AND($B370=" ",$K372=AV$3),$O372,0)</f>
        <v>0</v>
      </c>
      <c r="AW372" s="133">
        <f>IF(AND($B370=" ",$K372=AW$3),$O372,0)</f>
        <v>0</v>
      </c>
      <c r="AX372" s="133">
        <f>IF(AND($B370=" ",$K372=AX$3),$O372,0)</f>
        <v>0</v>
      </c>
      <c r="AY372" s="135">
        <f>IF(AND($B370=" ",$K372=AY$3),$O372,0)</f>
        <v>0</v>
      </c>
      <c r="AZ372" s="136">
        <f>IF(AND($B370=" ",$K372=AZ$3),$O372,0)</f>
        <v>0</v>
      </c>
      <c r="BA372" s="136">
        <f>IF(AND($B370=" ",$K372=BA$3),$O372,0)</f>
        <v>0</v>
      </c>
      <c r="BB372" s="136">
        <f>IF(AND($B370=" ",$K372=BB$3),$O372,0)</f>
        <v>0</v>
      </c>
      <c r="BC372" s="137">
        <f>IF(AND($B370=" ",$K372=BC$3),$O372,0)</f>
        <v>0</v>
      </c>
      <c r="BD372" s="133">
        <f>IF(AND($B370=" ",$K372=BD$3),$O372,0)</f>
        <v>0</v>
      </c>
      <c r="BE372" s="134">
        <f>IF(AND($B370=" ",$K372=BE$3),$O372,0)</f>
        <v>0</v>
      </c>
      <c r="BF372" s="132">
        <f>IF($K372=BF$3,IF($C372="X",0,$O372),0)</f>
        <v>0</v>
      </c>
      <c r="BG372" s="281">
        <f>IF($K372=BG$3,IF($C372="X",0,$O372),0)</f>
        <v>0</v>
      </c>
      <c r="BH372" s="133">
        <f>IF($K372=BH$3,IF($C372="X",0,$O372),0)</f>
        <v>0</v>
      </c>
      <c r="BI372" s="133">
        <f>IF($K372=BI$3,IF($C372="X",0,$O372),0)</f>
        <v>0</v>
      </c>
      <c r="BJ372" s="133">
        <f>IF($K372=BJ$3,IF($C372="X",0,$O372),0)</f>
        <v>0</v>
      </c>
      <c r="BK372" s="133">
        <f>IF($K372=BK$3,IF($C372="X",0,$O372),0)</f>
        <v>0</v>
      </c>
      <c r="BL372" s="133">
        <f>IF($K372=BL$3,IF($C372="X",0,$O372),0)</f>
        <v>0</v>
      </c>
      <c r="BM372" s="135">
        <f>IF($K372=BM$3,IF($C372="X",0,$O372),0)</f>
        <v>0</v>
      </c>
      <c r="BN372" s="136">
        <f>IF($K372=BN$3,IF($C372="X",0,$O372),0)</f>
        <v>0</v>
      </c>
      <c r="BO372" s="136">
        <f>IF($K372=BO$3,IF($C372="X",0,$O372),0)</f>
        <v>0</v>
      </c>
      <c r="BP372" s="136">
        <f>IF($K372=BP$3,IF($C372="X",0,$O372),0)</f>
        <v>0</v>
      </c>
      <c r="BQ372" s="137">
        <f>IF($K372=BQ$3,IF($C372="X",0,$O372),0)</f>
        <v>0</v>
      </c>
      <c r="BR372" s="134">
        <f>IF($K372=BR$3,IF($C372="X",0,$O372),0)</f>
        <v>0</v>
      </c>
      <c r="BS372" s="282"/>
      <c r="BT372" s="283"/>
      <c r="BU372" s="140"/>
      <c r="BV372" s="283"/>
      <c r="BW372" s="140"/>
      <c r="BX372" s="140"/>
      <c r="BY372" s="140"/>
      <c r="BZ372" s="283"/>
      <c r="CA372" s="140"/>
      <c r="CB372" s="140"/>
      <c r="CC372" s="140"/>
      <c r="CD372" s="141"/>
      <c r="CE372" s="142"/>
      <c r="CF372" s="284">
        <f>IF(CF$3=$K372,IF($C372="W",1,IF($C372="1/2W",0.5,0)),0)</f>
        <v>0</v>
      </c>
      <c r="CG372" s="285">
        <f>IF(CF$3=$K372,IF($C372="L",1,IF($C372="1/2L",0.5,0)),0)</f>
        <v>0</v>
      </c>
      <c r="CH372" s="285">
        <f>IF(CH$3=$K372,IF($C372="W",1,IF($C372="1/2W",0.5,0)),0)</f>
        <v>0</v>
      </c>
      <c r="CI372" s="285">
        <f>IF(CH$3=$K372,IF($C372="L",1,IF($C372="1/2L",0.5,0)),0)</f>
        <v>0</v>
      </c>
      <c r="CJ372" s="285">
        <f>IF(CJ$3=$K372,IF($C372="W",1,IF($C372="1/2W",0.5,0)),0)</f>
        <v>0</v>
      </c>
      <c r="CK372" s="285">
        <f>IF(CJ$3=$K372,IF($C372="L",1,IF($C372="1/2L",0.5,0)),0)</f>
        <v>0</v>
      </c>
      <c r="CL372" s="285">
        <f>IF(CL$3=$K372,IF($C372="W",1,IF($C372="1/2W",0.5,0)),0)</f>
        <v>0</v>
      </c>
      <c r="CM372" s="285">
        <f>IF(CL$3=$K372,IF($C372="L",1,IF($C372="1/2L",0.5,0)),0)</f>
        <v>0</v>
      </c>
      <c r="CN372" s="285">
        <f>IF(CN$3=$K372,IF($C372="W",1,IF($C372="1/2W",0.5,0)),0)</f>
        <v>0</v>
      </c>
      <c r="CO372" s="285">
        <f>IF(CN$3=$K372,IF($C372="L",1,IF($C372="1/2L",0.5,0)),0)</f>
        <v>0</v>
      </c>
      <c r="CP372" s="285">
        <f>IF(CP$3=$K372,IF($C372="W",1,IF($C372="1/2W",0.5,0)),0)</f>
        <v>0</v>
      </c>
      <c r="CQ372" s="285">
        <f>IF(CP$3=$K372,IF($C372="L",1,IF($C372="1/2L",0.5,0)),0)</f>
        <v>0</v>
      </c>
      <c r="CR372" s="285">
        <f>IF(CR$3=$K372,IF($C372="W",1,IF($C372="1/2W",0.5,0)),0)</f>
        <v>0</v>
      </c>
      <c r="CS372" s="285">
        <f>IF(CR$3=$K372,IF($C372="L",1,IF($C372="1/2L",0.5,0)),0)</f>
        <v>0</v>
      </c>
      <c r="CT372" s="145">
        <f>IF(CT$3=$K372,IF($C372="W",1,IF($C372="1/2W",0.5,0)),0)</f>
        <v>0</v>
      </c>
      <c r="CU372" s="146">
        <f>IF(CT$3=$K372,IF($C372="L",1,IF($C372="1/2L",0.5,0)),0)</f>
        <v>0</v>
      </c>
      <c r="CV372" s="146">
        <f>IF(CV$3=$K372,IF($C372="W",1,IF($C372="1/2W",0.5,0)),0)</f>
        <v>0</v>
      </c>
      <c r="CW372" s="146">
        <f>IF(CV$3=$K372,IF($C372="L",1,IF($C372="1/2L",0.5,0)),0)</f>
        <v>0</v>
      </c>
      <c r="CX372" s="146">
        <f>IF(CX$3=$K372,IF($C372="W",1,IF($C372="1/2W",0.5,0)),0)</f>
        <v>0</v>
      </c>
      <c r="CY372" s="146">
        <f>IF(CX$3=$K372,IF($C372="L",1,IF($C372="1/2L",0.5,0)),0)</f>
        <v>0</v>
      </c>
      <c r="CZ372" s="146">
        <f>IF(CZ$3=$K372,IF($C372="W",1,IF($C372="1/2W",0.5,0)),0)</f>
        <v>0</v>
      </c>
      <c r="DA372" s="146">
        <f>IF(CZ$3=$K372,IF($C372="L",1,IF($C372="1/2L",0.5,0)),0)</f>
        <v>0</v>
      </c>
      <c r="DB372" s="146">
        <f>IF(DB$3=$K372,IF($C372="W",1,IF($C372="1/2W",0.5,0)),0)</f>
        <v>0</v>
      </c>
      <c r="DC372" s="146">
        <f>IF(DB$3=$K372,IF($C372="L",1,IF($C372="1/2L",0.5,0)),0)</f>
        <v>0</v>
      </c>
      <c r="DD372" s="146">
        <f>IF(DD$3=$K372,IF($C372="W",1,IF($C372="1/2W",0.5,0)),0)</f>
        <v>0</v>
      </c>
      <c r="DE372" s="147">
        <f>IF(DD$3=$K372,IF($C372="L",1,IF($C372="1/2L",0.5,0)),0)</f>
        <v>0</v>
      </c>
      <c r="DF372" s="143">
        <f>IF(AND(L372&lt;DF$3,$C372="W"),1+DF371,DF371)</f>
        <v>12</v>
      </c>
      <c r="DG372" s="133">
        <f>IF(DF372&gt;DF371,L372+DG371,DG371)</f>
        <v>15.718</v>
      </c>
      <c r="DH372" s="146">
        <f>IF(AND(L372&gt;DH$3,$C372="W"),1+DH371,0+DH371)</f>
        <v>9</v>
      </c>
      <c r="DI372" s="133">
        <f>IF(DH372&gt;DH371,L372+DI371,DI371)</f>
        <v>49.83</v>
      </c>
      <c r="DJ372" t="s" s="304">
        <f>IF($D370="","",$D370)</f>
        <v>307</v>
      </c>
      <c r="DK372" s="286"/>
    </row>
    <row r="373" ht="14.55" customHeight="1">
      <c r="A373" s="171">
        <f>$A370+1</f>
        <v>124</v>
      </c>
      <c r="B373" t="s" s="172">
        <f>IF(AND(_xlfn.XLOOKUP(H373,H$110:H134,G$110:G134,0)=G373,_xlfn.XLOOKUP("TempoBet",K373:K375,L373:L375,0)&gt;0),"X",IF(OR(C373="W",C374="W",C375="W",C373="1/2W",C374="1/2W",C375="1/2W",C373="1/2L",C374="1/2L",C375="1/2L"),"OK",IF(OR(C373="L",C374="L",C375="L"),"LOSS",IF(OR(C373="X",C374="X",C375="X"),"Anulado"," "))))</f>
        <v>50</v>
      </c>
      <c r="C373" t="s" s="173">
        <v>56</v>
      </c>
      <c r="D373" t="s" s="305">
        <f>IF(G373="","",$D370)</f>
        <v>307</v>
      </c>
      <c r="E373" t="s" s="175">
        <f>IF(G373=""," ","– "&amp;COUNTIF(D$4:D375,$D373))</f>
        <v>111</v>
      </c>
      <c r="F373" t="s" s="176"/>
      <c r="G373" s="177">
        <v>44949.666666666664</v>
      </c>
      <c r="H373" t="s" s="178">
        <v>315</v>
      </c>
      <c r="I373" s="298">
        <v>1</v>
      </c>
      <c r="J373" s="180"/>
      <c r="K373" t="s" s="181">
        <v>38</v>
      </c>
      <c r="L373" s="182">
        <v>3.2</v>
      </c>
      <c r="M373" s="183">
        <v>6.6</v>
      </c>
      <c r="N373" s="184">
        <v>0</v>
      </c>
      <c r="O373" s="185">
        <f>IF(OR(AE373="",AE374=""),"",ROUND(IF(L375&gt;0,IF(M373&gt;0,M373,IF(M374&gt;0,ROUND((M374*AE373)/AE374,IF(N373=0,2,IF(N373=0.1,1,0))),ROUND((M375*AE373)/AE375,IF(N373=0,2,IF(N373=0.1,1,0))))),IF(M373&gt;0,M373,ROUND((M374*AE373)/AE374,IF(N373=0,2,IF(N373=0.1,1,0))))),2))</f>
        <v>6.6</v>
      </c>
      <c r="P373" s="186">
        <f>IF(OR(L373="",O373=""),"",IF($C373="1/2W",O373/2+O373/2*L373,IF($C373="1/2L",O373/2,IF(I373="Lay",(O373*(L373/(L373-1))-O373)*(1-_xlfn.XLOOKUP(K373,'Janeiro 2023 - Valor Real'!A3:A15,'Janeiro 2023 - Valor Real'!C3:C15,0))+O373,(O373*L373-O373)*(1-_xlfn.XLOOKUP(K373,'Janeiro 2023 - Valor Real'!A3:A15,'Janeiro 2023 - Valor Real'!C3:C15,0))+O373))))</f>
        <v>21.12</v>
      </c>
      <c r="Q373" s="187">
        <f>IF(K373="","",IF(_xlfn.XLOOKUP(K373,K$110:K134,DJ$110:DJ134,0,,-1)=DJ373,_xlfn.XLOOKUP(K373,K$110:K134,Q$110:Q134,1,,-1)+1,1))</f>
        <v>1</v>
      </c>
      <c r="R373" s="188">
        <f>IF(K373="","",_xlfn.XLOOKUP(K373,K$110:K134,R$110:R134,0,,-1)+IF($C373=" ",1,0))</f>
        <v>0</v>
      </c>
      <c r="S373" s="189">
        <f>IF($B373="Anulado",0,ROUND(IF(OR($B373="LOSS",$B373="OK"),IF(OR($C373="W",$C373="1/2W",$C373="1/2L"),P373-O373,IF($C373="L",-O373,0))+IF(OR($C374="W",$C374="1/2W",$C374="1/2L"),P374-O374,IF($C374="L",-O374,0))+IF(OR($C375="W",$C375="1/2W",$C375="1/2L"),P375-O375,IF($C375="L",-O375,0)),IF(AND(OR($C373="W",$C373="1/2W",$C373="1/2L"),C374="W"),P373+P374-SUM(O373:O375)+_xlfn.XLOOKUP("X",C373:C375,O373:O375,0),IF(AND(C373=TRUE,C375="W"),P373+P375-SUM(O373:O375),IF(AND(C374="W",C375="W"),P374+P375-SUM(O373:O375)+_xlfn.XLOOKUP("X",C373:C375,O373:O375,0),IF(L375&gt;0,IF(OR($C373="W",$C373="1/2W",$C373="1/2L"),P373-SUM(O373:O375)+_xlfn.XLOOKUP("X",C373:C375,O373:O375,0),IF(OR($C373="W",$C373="1/2W",$C373="1/2L"),P374-SUM(O373:O375)+_xlfn.XLOOKUP("X",C373:C375,O373:O375,0),IF(OR($C373="W",$C373="1/2W",$C373="1/2L"),P375-SUM(O373:O375)+_xlfn.XLOOKUP("X",C373:C375,O373:O375,0),IF(SUM(P373:P375)/3-SUM(O373:O375)+_xlfn.XLOOKUP("X",C373:C375,O373:O375,0)&gt;0,SUM(P373:P375)/3-SUM(O373:O375)+_xlfn.XLOOKUP("X",C373:C375,O373:O375,0),LARGE(P373:P375,1)-SUM(O373:O375))))),IF(OR($C373="W",$C373="1/2W",$C373="1/2L"),P373-SUM(O373:O374)+_xlfn.XLOOKUP("X",C373:C375,O373:O375,0),IF(OR($C373="W",$C373="1/2W",$C373="1/2L"),P374-SUM(O373:O374)+_xlfn.XLOOKUP("X",C373:C375,O373:O375,0),SUM(P373:P374)/2-SUM(O373:O374)+_xlfn.XLOOKUP("X",C373:C375,O373:O375,0)))))))),2))</f>
        <v>1.52</v>
      </c>
      <c r="T373" s="190">
        <f>IF(S373=0,0,S373/SUM(O373:O375))</f>
        <v>0.07755102040816329</v>
      </c>
      <c r="U373" s="191">
        <f>IF($D373=$D370,IF(OR($B373="LOSS",$B373="OK",$B373="Anulada"),S373,0)+U370,IF(OR($B373="LOSS",$B373="OK",$B373="Anulada"),S373,0))</f>
        <v>9.16</v>
      </c>
      <c r="V373" s="191">
        <f>IF($D373="",0,IF($D373=$D370,IF($B373=" ",IF(I375="",IF(OR(AND(I373="DNB1",I374="DNB2"),AND(OR(I373="DNB1",I373="DNB2"),J374=0),AND(OR(I374="DNB1",I374="DNB2"),J373=0),AND(I373="DNB2",I374="DNB1"),AND(IF(J373=0,(J373+1)/ROUND(J373+1,0),J373/ROUND(J373,0))=1,IF(J374=0,(J374+1)/ROUND(IF(J374="",0,J374)+1,0),IF(J374="",0,J374)/ROUND(IF(J374="",1,J374),0))=1,OR(J373&lt;&gt;""),J374&lt;&gt;"")),0,IF(S373&lt;0,IF(I375="",SMALL(P373:P374,1)-SUM(O373:O374),0),SMALL(P373:P374,1)-SUM(O373:O374))),IF(S373&lt;0,IF(I375="",SMALL(P373:P375,1)-SUM(O373:O375),0),LARGE(P373:P375,1)-SUM(O373:O375))),S373)+V370,IF(I375="",IF(OR(AND(I373="DNB1",I374="DNB2"),AND(OR(I373="DNB1",I373="DNB2"),J374=0),AND(OR(I374="DNB1",I374="DNB2"),J373=0),AND(I373="DNB2",I374="DNB1"),AND(IF(J373=0,(J373+1)/ROUND(J373+1,0),J373/ROUND(J373,0))=1,IF(J374=0,(IF(J374="",0,J374)+1)/ROUND(IF(J374="",0,J374)+1,0),IF(J374="",0,J374)/ROUND(IF(J374="",0,J374)+1,0))=1,OR(J373&lt;&gt;""),J374&lt;&gt;"")),0,IF(S373&lt;0,IF(I375="",SMALL(P373:P374,1)-SUM(O373:O374),0),SMALL(P373:P375,1)-SUM(O373:O375))),IF(S373&lt;0,IF(I375="",SMALL(P373:P375,1)-SUM(O373:O375),0),LARGE(P373:P375,1)-SUM(O373:O375)))))</f>
        <v>9.16225</v>
      </c>
      <c r="W373" s="191">
        <f>IF($D373=$D370,IF(S373&lt;0,IF(I375="",S373,0),S373)+W370,S373)</f>
        <v>9.16</v>
      </c>
      <c r="X373" t="s" s="192">
        <f>IF(OR(SUM(R373:R375)=0,V373=W373),ROUND(IF(W373=0,0,W373/Y373)*100,2)&amp;"%",ROUND(IF(V373=0,0,V373/Y373)*100,2)&amp;"% a "&amp;ROUND(IF(W373=0,0,W373/Y373)*100,2)&amp;"%")</f>
        <v>316</v>
      </c>
      <c r="Y373" s="193">
        <f>IF($D373=$D370,Y370+SUM(O373:O375),SUM(O373:O375))</f>
        <v>103.6</v>
      </c>
      <c r="Z373" s="191">
        <f>IF($B373=" ",SUM(O373:O375),0)+Z370</f>
        <v>0</v>
      </c>
      <c r="AA373" s="191">
        <f>IF(G373="","",IF($B373="Anulado",LARGE(P373:P375,1)-SUM(O373:O375)+AA370,AA370))</f>
        <v>16.5099</v>
      </c>
      <c r="AB373" s="191">
        <f>IF($D373="","",AB370+S373)</f>
        <v>260.83</v>
      </c>
      <c r="AC373" s="194">
        <f>IF($D373="","",IF($B373=" ",IF(DAY(G373)=DAY(TODAY()),1+AC370,0+AC370),0+AC370))</f>
        <v>0</v>
      </c>
      <c r="AD373" s="195">
        <f>(((L374/(L374-1)-1)*(1-_xlfn.XLOOKUP(K374,'Janeiro 2023 - Valor Real'!A3:A15,'Janeiro 2023 - Valor Real'!C3:C15,0))+1))/(((L373-1)*(1-_xlfn.XLOOKUP(K373,'Janeiro 2023 - Valor Real'!A3:A15,'Janeiro 2023 - Valor Real'!C3:C15,0))+1)+((L374/(L374-1)-1)*(1-_xlfn.XLOOKUP(K374,'Janeiro 2023 - Valor Real'!A3:A15,'Janeiro 2023 - Valor Real'!C3:C15,0))+1))</f>
        <v>0.448275862068966</v>
      </c>
      <c r="AE373" s="196">
        <f>IF(L373="","",IF(L375&gt;0,(SUM(((L373-1)*(1-_xlfn.XLOOKUP(K373,'Janeiro 2023 - Valor Real'!A3:A15,'Janeiro 2023 - Valor Real'!C3:C15,0))+1),((L374-1)*(1-_xlfn.XLOOKUP(K374,'Janeiro 2023 - Valor Real'!A3:A15,'Janeiro 2023 - Valor Real'!C3:C15,0))+1),((L375-1)*(1-_xlfn.XLOOKUP(K375,'Janeiro 2023 - Valor Real'!A3:A15,'Janeiro 2023 - Valor Real'!C3:C15,0))+1))/((L373-1)*(1-_xlfn.XLOOKUP(K373,'Janeiro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Real'!C3:C15,0))+1))/((L373-1)*(1-_xlfn.XLOOKUP(K373,'Janeiro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Real'!C3:C15,0))+1))/((L374-1)*(1-_xlfn.XLOOKUP(K374,'Janeiro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Real'!C3:C15,0))+1))/((L375-1)*(1-_xlfn.XLOOKUP(K375,'Janeiro 2023 - Valor Real'!A3:A15,'Janeiro 2023 - Valor Real'!C3:C15,0))+1)),IF(I373="Lay",IF(I374="Lay",((L374/(L374-1)-1)*(1-_xlfn.XLOOKUP(K374,'Janeiro 2023 - Valor Real'!A3:A15,'Janeiro 2023 - Valor Real'!C3:C15,0))+1)/(((L374/(L374-1)-1)*(1-_xlfn.XLOOKUP(K374,'Janeiro 2023 - Valor Real'!A3:A15,'Janeiro 2023 - Valor Real'!C3:C15,0))+1)+((L373/(L373-1)-1)*(1-_xlfn.XLOOKUP(K373,'Janeiro 2023 - Valor Real'!A3:A15,'Janeiro 2023 - Valor Real'!C3:C15,0))+1)),((L374-1)*(1-_xlfn.XLOOKUP(K374,'Janeiro 2023 - Valor Real'!A3:A15,'Janeiro 2023 - Valor Real'!C3:C15,0))+1)/(((L374-1)*(1-_xlfn.XLOOKUP(K374,'Janeiro 2023 - Valor Real'!A3:A15,'Janeiro 2023 - Valor Real'!C3:C15,0))+1)+((L373/(L373-1)-1)*(1-_xlfn.XLOOKUP(K373,'Janeiro 2023 - Valor Real'!A3:A15,'Janeiro 2023 - Valor Real'!C3:C15,0))+1))),IF(I374="Lay",(((L374/(L374-1)-1)*(1-_xlfn.XLOOKUP(K374,'Janeiro 2023 - Valor Real'!A3:A15,'Janeiro 2023 - Valor Real'!C3:C15,0))+1))/(((L373-1)*(1-_xlfn.XLOOKUP(K373,'Janeiro 2023 - Valor Real'!A3:A15,'Janeiro 2023 - Valor Real'!C3:C15,0))+1)+((L374/(L374-1)-1)*(1-_xlfn.XLOOKUP(K374,'Janeiro 2023 - Valor Real'!A3:A15,'Janeiro 2023 - Valor Real'!C3:C15,0))+1)),((L374-1)*(1-_xlfn.XLOOKUP(K374,'Janeiro 2023 - Valor Real'!A3:A15,'Janeiro 2023 - Valor Real'!C3:C15,0))+1)/(((L374-1)*(1-_xlfn.XLOOKUP(K374,'Janeiro 2023 - Valor Real'!A3:A15,'Janeiro 2023 - Valor Real'!C3:C15,0))+1)+((L373-1)*(1-_xlfn.XLOOKUP(K373,'Janeiro 2023 - Valor Real'!A3:A15,'Janeiro 2023 - Valor Real'!C3:C15,0))+1))))))</f>
        <v>0.336787564766839</v>
      </c>
      <c r="AF373" s="197">
        <f>IF($K373=AF$3,ROUND(IF(OR($C373="W",$C373="1/2W",$C373="1/2L"),$P373-$O373,IF($C373="X",0,-$O373)),2),0)</f>
        <v>0</v>
      </c>
      <c r="AG373" s="198">
        <f>IF($K373=AG$3,ROUND(IF(OR($C373="W",$C373="1/2W",$C373="1/2L"),$P373-$O373,IF($C373="X",0,-$O373)),2),0)</f>
        <v>14.52</v>
      </c>
      <c r="AH373" s="198">
        <f>IF($K373=AH$3,ROUND(IF(OR($C373="W",$C373="1/2W",$C373="1/2L"),$P373-$O373,IF($C373="X",0,-$O373)),2),0)</f>
        <v>0</v>
      </c>
      <c r="AI373" s="198">
        <f>IF($K373=AI$3,ROUND(IF(OR($C373="W",$C373="1/2W",$C373="1/2L"),$P373-$O373,IF($C373="X",0,-$O373)),2),0)</f>
        <v>0</v>
      </c>
      <c r="AJ373" s="198">
        <f>IF($K373=AJ$3,ROUND(IF(OR($C373="W",$C373="1/2W",$C373="1/2L"),$P373-$O373,IF($C373="X",0,-$O373)),2),0)</f>
        <v>0</v>
      </c>
      <c r="AK373" s="198">
        <f>IF($K373=AK$3,ROUND(IF(OR($C373="W",$C373="1/2W",$C373="1/2L"),$P373-$O373,IF($C373="X",0,-$O373)),2),0)</f>
        <v>0</v>
      </c>
      <c r="AL373" s="198">
        <f>IF($K373=AL$3,ROUND(IF(OR($C373="W",$C373="1/2W",$C373="1/2L"),$P373-$O373,IF($C373="X",0,-$O373)),2),0)</f>
        <v>0</v>
      </c>
      <c r="AM373" s="198">
        <f>IF($K373=AM$3,ROUND(IF(OR($C373="W",$C373="1/2W",$C373="1/2L"),$P373-$O373,IF($C373="X",0,-$O373)),2),0)</f>
        <v>0</v>
      </c>
      <c r="AN373" s="198">
        <f>IF($K373=AN$3,ROUND(IF(OR($C373="W",$C373="1/2W",$C373="1/2L"),$P373-$O373,IF($C373="X",0,-$O373)),2),0)</f>
        <v>0</v>
      </c>
      <c r="AO373" s="198">
        <f>IF($K373=AO$3,ROUND(IF(OR($C373="W",$C373="1/2W",$C373="1/2L"),$P373-$O373,IF($C373="X",0,-$O373)),2),0)</f>
        <v>0</v>
      </c>
      <c r="AP373" s="198">
        <f>IF($K373=AP$3,ROUND(IF(OR($C373="W",$C373="1/2W",$C373="1/2L"),$P373-$O373,IF($C373="X",0,-$O373)),2),0)</f>
        <v>0</v>
      </c>
      <c r="AQ373" s="198">
        <f>IF($K373=AQ$3,ROUND(IF(OR($C373="W",$C373="1/2W",$C373="1/2L"),$P373-$O373,IF($C373="X",0,-$O373)),2),0)</f>
        <v>0</v>
      </c>
      <c r="AR373" s="199">
        <f>IF($K373=AR$3,ROUND(IF(OR($C373="W",$C373="1/2W",$C373="1/2L"),$P373-$O373,IF($C373="X",0,-$O373)),2),0)</f>
        <v>0</v>
      </c>
      <c r="AS373" s="197">
        <f>IF(AND($B373=" ",$K373=AS$3),$O373,0)</f>
        <v>0</v>
      </c>
      <c r="AT373" s="198">
        <f>IF(AND($B373=" ",$K373=AT$3),$O373,0)</f>
        <v>0</v>
      </c>
      <c r="AU373" s="198">
        <f>IF(AND($B373=" ",$K373=AU$3),$O373,0)</f>
        <v>0</v>
      </c>
      <c r="AV373" s="198">
        <f>IF(AND($B373=" ",$K373=AV$3),$O373,0)</f>
        <v>0</v>
      </c>
      <c r="AW373" s="198">
        <f>IF(AND($B373=" ",$K373=AW$3),$O373,0)</f>
        <v>0</v>
      </c>
      <c r="AX373" s="198">
        <f>IF(AND($B373=" ",$K373=AX$3),$O373,0)</f>
        <v>0</v>
      </c>
      <c r="AY373" s="200">
        <f>IF(AND($B373=" ",$K373=AY$3),$O373,0)</f>
        <v>0</v>
      </c>
      <c r="AZ373" s="201">
        <f>IF(AND($B373=" ",$K373=AZ$3),$O373,0)</f>
        <v>0</v>
      </c>
      <c r="BA373" s="201">
        <f>IF(AND($B373=" ",$K373=BA$3),$O373,0)</f>
        <v>0</v>
      </c>
      <c r="BB373" s="201">
        <f>IF(AND($B373=" ",$K373=BB$3),$O373,0)</f>
        <v>0</v>
      </c>
      <c r="BC373" s="202">
        <f>IF(AND($B373=" ",$K373=BC$3),$O373,0)</f>
        <v>0</v>
      </c>
      <c r="BD373" s="198">
        <f>IF(AND($B373=" ",$K373=BD$3),$O373,0)</f>
        <v>0</v>
      </c>
      <c r="BE373" s="199">
        <f>IF(AND($B373=" ",$K373=BE$3),$O373,0)</f>
        <v>0</v>
      </c>
      <c r="BF373" s="203">
        <f>IF($K373=BF$3,IF($C373="X",0,$O373),0)</f>
        <v>0</v>
      </c>
      <c r="BG373" s="198">
        <f>IF($K373=BG$3,IF($C373="X",0,$O373),0)</f>
        <v>6.6</v>
      </c>
      <c r="BH373" s="198">
        <f>IF($K373=BH$3,IF($C373="X",0,$O373),0)</f>
        <v>0</v>
      </c>
      <c r="BI373" s="198">
        <f>IF($K373=BI$3,IF($C373="X",0,$O373),0)</f>
        <v>0</v>
      </c>
      <c r="BJ373" s="198">
        <f>IF($K373=BJ$3,IF($C373="X",0,$O373),0)</f>
        <v>0</v>
      </c>
      <c r="BK373" s="198">
        <f>IF($K373=BK$3,IF($C373="X",0,$O373),0)</f>
        <v>0</v>
      </c>
      <c r="BL373" s="198">
        <f>IF($K373=BL$3,IF($C373="X",0,$O373),0)</f>
        <v>0</v>
      </c>
      <c r="BM373" s="200">
        <f>IF($K373=BM$3,IF($C373="X",0,$O373),0)</f>
        <v>0</v>
      </c>
      <c r="BN373" s="201">
        <f>IF($K373=BN$3,IF($C373="X",0,$O373),0)</f>
        <v>0</v>
      </c>
      <c r="BO373" s="201">
        <f>IF($K373=BO$3,IF($C373="X",0,$O373),0)</f>
        <v>0</v>
      </c>
      <c r="BP373" s="201">
        <f>IF($K373=BP$3,IF($C373="X",0,$O373),0)</f>
        <v>0</v>
      </c>
      <c r="BQ373" s="202">
        <f>IF($K373=BQ$3,IF($C373="X",0,$O373),0)</f>
        <v>0</v>
      </c>
      <c r="BR373" s="199">
        <f>IF($K373=BR$3,IF($C373="X",0,$O373),0)</f>
        <v>0</v>
      </c>
      <c r="BS373" s="204">
        <f>IF($B373="LOSS",IF(AND($K373=BS$3,$C373="L"),-$O373,0)+IF(AND($K374=BS$3,$C374="L"),-$O374,0)+IF(AND($K375=BS$3,$C375="L"),-$O375,0),IF(OR(AND($K373=BS$3,OR($C373="W",$C373="1/2W")),AND($K374=BS$3,OR($C374="W",$C374="1/2W")),AND($K375=BS$3,OR($C375="W",$C375="1/2W"))),$S373,0))</f>
        <v>0</v>
      </c>
      <c r="BT373" s="201">
        <f>IF($B373="LOSS",IF(AND($K373=BT$3,$C373="L"),-$O373,0)+IF(AND($K374=BT$3,$C374="L"),-$O374,0)+IF(AND($K374=BT$3,$C375="L"),-$O375,0),IF(OR(AND($K374=BT$3,OR($C373="W",$C373="1/2W")),AND($K374=BT$3,OR($C374="W",$C374="1/2W")),AND($K374=BT$3,OR($C375="W",$C375="1/2W"))),$S373,0))</f>
        <v>0</v>
      </c>
      <c r="BU373" s="201">
        <f>IF($B373="LOSS",IF(AND($K373=BU$3,$C373="L"),-$O373,0)+IF(AND($K374=BU$3,$C374="L"),-$O374,0)+IF(AND($K374=BU$3,$C375="L"),-$O375,0),IF(OR(AND($K374=BU$3,OR($C373="W",$C373="1/2W")),AND($K374=BU$3,OR($C374="W",$C374="1/2W")),AND($K374=BU$3,OR($C375="W",$C375="1/2W"))),$S373,0))</f>
        <v>0</v>
      </c>
      <c r="BV373" s="201">
        <f>IF($B373="LOSS",IF(AND($K373=BV$3,$C373="L"),-$O373,0)+IF(AND($K374=BV$3,$C374="L"),-$O374,0)+IF(AND($K375=BV$3,$C375="L"),-$O375,0),IF(OR(AND($K373=BV$3,OR($C373="W",$C373="1/2W")),AND($K374=BV$3,OR($C374="W",$C374="1/2W")),AND($K375=BV$3,OR($C375="W",$C375="1/2W"))),$S373,0))</f>
        <v>0</v>
      </c>
      <c r="BW373" s="201">
        <f>IF($B373="LOSS",IF(AND($K373=BW$3,$C373="L"),-$O373,0)+IF(AND($K374=BW$3,$C374="L"),-$O374,0)+IF(AND($K375=BW$3,$C375="L"),-$O375,0),IF(OR(AND($K373=BW$3,OR($C373="W",$C373="1/2W")),AND($K374=BW$3,OR($C374="W",$C374="1/2W")),AND($K375=BW$3,OR($C375="W",$C375="1/2W"))),$S373,0))</f>
        <v>0</v>
      </c>
      <c r="BX373" s="201">
        <f>IF($B373="LOSS",IF(AND($K373=BX$3,$C373="L"),-$O373,0)+IF(AND($K374=BX$3,$C374="L"),-$O374,0)+IF(AND($K375=BX$3,$C375="L"),-$O375,0),IF(OR(AND($K373=BX$3,OR($C373="W",$C373="1/2W")),AND($K374=BX$3,OR($C374="W",$C374="1/2W")),AND($K375=BX$3,OR($C375="W",$C375="1/2W"))),$S373,0))</f>
        <v>0</v>
      </c>
      <c r="BY373" s="201">
        <f>IF($B373="LOSS",IF(AND($K373=BY$3,$C373="L"),-$O373,0)+IF(AND($K374=BY$3,$C374="L"),-$O374,0)+IF(AND($K375=BY$3,$C375="L"),-$O375,0),IF(OR(AND($K373=BY$3,OR($C373="W",$C373="1/2W")),AND($K374=BY$3,OR($C374="W",$C374="1/2W")),AND($K375=BY$3,OR($C375="W",$C375="1/2W"))),$S373,0))</f>
        <v>0</v>
      </c>
      <c r="BZ373" s="205">
        <f>IF($B373="LOSS",IF(AND($K373=BZ$3,$C373="L"),-$O373,0)+IF(AND($K374=BZ$3,$C374="L"),-$O374,0)+IF(AND($K375=BZ$3,$C375="L"),-$O375,0),IF(OR(AND($K373=BZ$3,OR($C373="W",$C373="1/2W")),AND($K374=BZ$3,OR($C374="W",$C374="1/2W")),AND($K375=BZ$3,OR($C375="W",$C375="1/2W"))),$S373,0))</f>
        <v>0</v>
      </c>
      <c r="CA373" s="205">
        <f>IF($B373="LOSS",IF(AND($K373=CA$3,$C373="L"),-$O373,0)+IF(AND($K374=CA$3,$C374="L"),-$O374,0)+IF(AND($K375=CA$3,$C375="L"),-$O375,0),IF(OR(AND($K373=CA$3,OR($C373="W",$C373="1/2W")),AND($K374=CA$3,OR($C374="W",$C374="1/2W")),AND($K375=CA$3,OR($C375="W",$C375="1/2W"))),$S373,0))</f>
        <v>0</v>
      </c>
      <c r="CB373" s="205">
        <f>IF($B373="LOSS",IF(AND($K373=CB$3,$C373="L"),-$O373,0)+IF(AND($K374=CB$3,$C374="L"),-$O374,0)+IF(AND($K375=CB$3,$C375="L"),-$O375,0),IF(OR(AND($K373=CB$3,OR($C373="W",$C373="1/2W")),AND($K374=CB$3,OR($C374="W",$C374="1/2W")),AND($K375=CB$3,OR($C375="W",$C375="1/2W"))),$S373,0))</f>
        <v>0</v>
      </c>
      <c r="CC373" s="205">
        <f>IF($B373="LOSS",IF(AND($K373=CC$3,$C373="L"),-$O373,0)+IF(AND($K374=CC$3,$C374="L"),-$O374,0)+IF(AND($K375=CC$3,$C375="L"),-$O375,0),IF(OR(AND($K373=CC$3,OR($C373="W",$C373="1/2W")),AND($K374=CC$3,OR($C374="W",$C374="1/2W")),AND($K375=CC$3,OR($C375="W",$C375="1/2W"))),$S373,0))</f>
        <v>0</v>
      </c>
      <c r="CD373" s="202">
        <f>IF($B373="LOSS",IF(AND($K373=CD$3,$C373="L"),-$O373,0)+IF(AND($K374=CD$3,$C374="L"),-$O374,0)+IF(AND($K375=CD$3,$C375="L"),-$O375,0),IF(OR(AND($K373=CD$3,OR($C373="W",$C373="1/2W")),AND($K374=CD$3,OR($C374="W",$C374="1/2W")),AND($K375=CD$3,OR($C375="W",$C375="1/2W"))),$S373,0))</f>
        <v>0</v>
      </c>
      <c r="CE373" s="199">
        <f>IF($B373="LOSS",IF(AND($K373=CE$3,$C373="L"),-$O373,0)+IF(AND($K374=CE$3,$C374="L"),-$O374,0)+IF(AND($K375=CE$3,$C375="L"),-$O375,0),IF(OR(AND($K373=CE$3,OR($C373="W",$C373="1/2W")),AND($K374=CE$3,OR($C374="W",$C374="1/2W")),AND($K375=CE$3,OR($C375="W",$C375="1/2W"))),$S373,0))</f>
        <v>0</v>
      </c>
      <c r="CF373" s="206">
        <f>IF(CF$3=$K373,IF($C373="W",1,IF($C373="1/2W",0.5,0)),0)</f>
        <v>0</v>
      </c>
      <c r="CG373" s="207">
        <f>IF(CF$3=$K373,IF($C373="L",1,IF($C373="1/2L",0.5,0)),0)</f>
        <v>0</v>
      </c>
      <c r="CH373" s="207">
        <f>IF(CH$3=$K373,IF($C373="W",1,IF($C373="1/2W",0.5,0)),0)</f>
        <v>1</v>
      </c>
      <c r="CI373" s="207">
        <f>IF(CH$3=$K373,IF($C373="L",1,IF($C373="1/2L",0.5,0)),0)</f>
        <v>0</v>
      </c>
      <c r="CJ373" s="207">
        <f>IF(CJ$3=$K373,IF($C373="W",1,IF($C373="1/2W",0.5,0)),0)</f>
        <v>0</v>
      </c>
      <c r="CK373" s="207">
        <f>IF(CJ$3=$K373,IF($C373="L",1,IF($C373="1/2L",0.5,0)),0)</f>
        <v>0</v>
      </c>
      <c r="CL373" s="207">
        <f>IF(CL$3=$K373,IF($C373="W",1,IF($C373="1/2W",0.5,0)),0)</f>
        <v>0</v>
      </c>
      <c r="CM373" s="207">
        <f>IF(CL$3=$K373,IF($C373="L",1,IF($C373="1/2L",0.5,0)),0)</f>
        <v>0</v>
      </c>
      <c r="CN373" s="207">
        <f>IF(CN$3=$K373,IF($C373="W",1,IF($C373="1/2W",0.5,0)),0)</f>
        <v>0</v>
      </c>
      <c r="CO373" s="207">
        <f>IF(CN$3=$K373,IF($C373="L",1,IF($C373="1/2L",0.5,0)),0)</f>
        <v>0</v>
      </c>
      <c r="CP373" s="207">
        <f>IF(CP$3=$K373,IF($C373="W",1,IF($C373="1/2W",0.5,0)),0)</f>
        <v>0</v>
      </c>
      <c r="CQ373" s="207">
        <f>IF(CP$3=$K373,IF($C373="L",1,IF($C373="1/2L",0.5,0)),0)</f>
        <v>0</v>
      </c>
      <c r="CR373" s="207">
        <f>IF(CR$3=$K373,IF($C373="W",1,IF($C373="1/2W",0.5,0)),0)</f>
        <v>0</v>
      </c>
      <c r="CS373" s="207">
        <f>IF(CR$3=$K373,IF($C373="L",1,IF($C373="1/2L",0.5,0)),0)</f>
        <v>0</v>
      </c>
      <c r="CT373" s="208">
        <f>IF(CT$3=$K373,IF($C373="W",1,IF($C373="1/2W",0.5,0)),0)</f>
        <v>0</v>
      </c>
      <c r="CU373" s="209">
        <f>IF(CT$3=$K373,IF($C373="L",1,IF($C373="1/2L",0.5,0)),0)</f>
        <v>0</v>
      </c>
      <c r="CV373" s="209">
        <f>IF(CV$3=$K373,IF($C373="W",1,IF($C373="1/2W",0.5,0)),0)</f>
        <v>0</v>
      </c>
      <c r="CW373" s="209">
        <f>IF(CV$3=$K373,IF($C373="L",1,IF($C373="1/2L",0.5,0)),0)</f>
        <v>0</v>
      </c>
      <c r="CX373" s="209">
        <f>IF(CX$3=$K373,IF($C373="W",1,IF($C373="1/2W",0.5,0)),0)</f>
        <v>0</v>
      </c>
      <c r="CY373" s="209">
        <f>IF(CX$3=$K373,IF($C373="L",1,IF($C373="1/2L",0.5,0)),0)</f>
        <v>0</v>
      </c>
      <c r="CZ373" s="209">
        <f>IF(CZ$3=$K373,IF($C373="W",1,IF($C373="1/2W",0.5,0)),0)</f>
        <v>0</v>
      </c>
      <c r="DA373" s="209">
        <f>IF(CZ$3=$K373,IF($C373="L",1,IF($C373="1/2L",0.5,0)),0)</f>
        <v>0</v>
      </c>
      <c r="DB373" s="209">
        <f>IF(DB$3=$K373,IF($C373="W",1,IF($C373="1/2W",0.5,0)),0)</f>
        <v>0</v>
      </c>
      <c r="DC373" s="209">
        <f>IF(DB$3=$K373,IF($C373="L",1,IF($C373="1/2L",0.5,0)),0)</f>
        <v>0</v>
      </c>
      <c r="DD373" s="209">
        <f>IF(DD$3=$K373,IF($C373="W",1,IF($C373="1/2W",0.5,0)),0)</f>
        <v>0</v>
      </c>
      <c r="DE373" s="210">
        <f>IF(DD$3=$K373,IF($C373="L",1,IF($C373="1/2L",0.5,0)),0)</f>
        <v>0</v>
      </c>
      <c r="DF373" s="211">
        <f>IF(AND(L373&lt;DF$3,$C373="W"),1+DF372,DF372)</f>
        <v>12</v>
      </c>
      <c r="DG373" s="198">
        <f>IF(DF373&gt;DF372,L373+DG372,DG372)</f>
        <v>15.718</v>
      </c>
      <c r="DH373" s="209">
        <f>IF(AND(L373&gt;DH$3,$C373="W"),1+DH372,0+DH372)</f>
        <v>9</v>
      </c>
      <c r="DI373" s="198">
        <f>IF(DH373&gt;DH372,L373+DI372,DI372)</f>
        <v>49.83</v>
      </c>
      <c r="DJ373" t="s" s="306">
        <f>IF($D373="","",$D373)</f>
        <v>307</v>
      </c>
      <c r="DK373" s="209">
        <f>IF(AND($B373=" ",$D373&lt;&gt;""),1,0)</f>
        <v>0</v>
      </c>
    </row>
    <row r="374" ht="14.55" customHeight="1">
      <c r="A374" s="107"/>
      <c r="B374" s="108"/>
      <c r="C374" t="s" s="213">
        <v>51</v>
      </c>
      <c r="D374" s="110"/>
      <c r="E374" s="111"/>
      <c r="F374" s="113"/>
      <c r="G374" s="214"/>
      <c r="H374" s="114"/>
      <c r="I374" s="299">
        <v>2</v>
      </c>
      <c r="J374" t="s" s="216">
        <f>IF(OR(I373="TO",I373="TU",I373="TO1",I373="TU1",I373="TO2",I373="TU2"),J373,IF(OR(I373="AH1",I373="AH2"),IF(OR(I374="AH1",I374="AH2"),-J373,IF(OR(I374="EH1",I374="EH2"),-J373+0.5,"")),IF(OR(I373="EH1",I373="EH2"),IF(OR(I374="AH1",I374="AH2"),-J373+0.5,IF(OR(I374="EH1",I374="EH2"),-J373+1,"")),IF(AND(OR(I373="DNB1",I373="DNB2"),OR(I374="AH1",I374="AH2")),0,IF(AND(I373="Not ScoreBoth",OR(I374="TO1",I374="TO2")),0.5,"")))))</f>
      </c>
      <c r="K374" t="s" s="217">
        <v>44</v>
      </c>
      <c r="L374" s="218">
        <v>1.625</v>
      </c>
      <c r="M374" s="219"/>
      <c r="N374" s="120"/>
      <c r="O374" s="220">
        <f>IF(OR(AE373="",AE374=""),"",ROUND(IF(L375&gt;0,IF(M374&gt;0,M374,IF(M373&gt;0,IF(N373=TRUE,ROUND((M373*AE374)/AE373,0),(M373*AE374)/AE373),IF(M374&gt;0,ROUND(M374,IF(N373=0,2,IF(N373=0.1,1,0))),IF(M375&gt;0,ROUND(O375*AE374/AE375,IF(N373=0,2,IF(N373=0.1,1,0))),0)))),IF(M374&gt;0,M374,ROUND((M373*AE374)/AE373,IF(N373=0,2,IF(N373=0.1,1,0))))),2))</f>
        <v>13</v>
      </c>
      <c r="P374" s="221">
        <f>IF(OR(L374="",O374=""),"",IF($C374="1/2W",O374/2+O374/2*L374,IF($C374="1/2L",O374/2,IF(I374="Lay",((O374*(L374/(L374-1)))-O374)*(1-_xlfn.XLOOKUP(K374,'Janeiro 2023 - Valor Real'!A3:A15,'Janeiro 2023 - Valor Real'!C3:C15,0))+O374,(O374*L374-O374)*(1-_xlfn.XLOOKUP(K374,'Janeiro 2023 - Valor Real'!A3:A15,'Janeiro 2023 - Valor Real'!C3:C15,0))+O374))))</f>
        <v>21.125</v>
      </c>
      <c r="Q374" s="222">
        <f>IF(K374="","",IF(_xlfn.XLOOKUP(K374,K$111:K135,DJ$111:DJ135,0,,-1)=DJ374,_xlfn.XLOOKUP(K374,K$111:K135,Q$111:Q135,1,,-1)+1,1))</f>
        <v>1</v>
      </c>
      <c r="R374" s="223">
        <f>IF(K374="","",_xlfn.XLOOKUP(K374,K$111:K135,R$111:R135,0,,-1)+IF($C374=" ",1,0))</f>
        <v>0</v>
      </c>
      <c r="S374" s="125"/>
      <c r="T374" s="126"/>
      <c r="U374" s="126"/>
      <c r="V374" s="224"/>
      <c r="W374" s="126"/>
      <c r="X374" s="127"/>
      <c r="Y374" s="128"/>
      <c r="Z374" s="129"/>
      <c r="AA374" s="129"/>
      <c r="AB374" s="129"/>
      <c r="AC374" s="129"/>
      <c r="AD374" s="225">
        <f>(((L374/(L374-1)-1)*(1-_xlfn.XLOOKUP(K374,'Janeiro 2023 - Valor Real'!A3:A15,'Janeiro 2023 - Valor Real'!C3:C15,0))+1))</f>
        <v>2.6</v>
      </c>
      <c r="AE374" s="226">
        <f>IF(L374="","",IF(L375&gt;0,(SUM(((L373-1)*(1-_xlfn.XLOOKUP(K373,'Janeiro 2023 - Valor Real'!A3:A15,'Janeiro 2023 - Valor Real'!C3:C15,0))+1),((L374-1)*(1-_xlfn.XLOOKUP(K374,'Janeiro 2023 - Valor Real'!A3:A15,'Janeiro 2023 - Valor Real'!C3:C15,0))+1),((L375-1)*(1-_xlfn.XLOOKUP(K375,'Janeiro 2023 - Valor Real'!A3:A15,'Janeiro 2023 - Valor Real'!C3:C15,0))+1))/((L374-1)*(1-_xlfn.XLOOKUP(K374,'Janeiro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Real'!C3:C15,0))+1))/((L373-1)*(1-_xlfn.XLOOKUP(K373,'Janeiro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Real'!C3:C15,0))+1))/((L374-1)*(1-_xlfn.XLOOKUP(K374,'Janeiro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Real'!C3:C15,0))+1))/((L375-1)*(1-_xlfn.XLOOKUP(K375,'Janeiro 2023 - Valor Real'!A3:A15,'Janeiro 2023 - Valor Real'!C3:C15,0))+1)),IF(I374="Lay",IF(I373="Lay",((L373/(L373-1)-1)*(1-_xlfn.XLOOKUP(K373,'Janeiro 2023 - Valor Real'!A3:A15,'Janeiro 2023 - Valor Real'!C3:C15,0))+1)/(((L373/(L373-1)-1)*(1-_xlfn.XLOOKUP(K373,'Janeiro 2023 - Valor Real'!A3:A15,'Janeiro 2023 - Valor Real'!C3:C15,0))+1)+((L374/(L374-1)-1)*(1-_xlfn.XLOOKUP(K374,'Janeiro 2023 - Valor Real'!A3:A15,'Janeiro 2023 - Valor Real'!C3:C15,0))+1)),((L373-1)*(1-_xlfn.XLOOKUP(K373,'Janeiro 2023 - Valor Real'!A3:A15,'Janeiro 2023 - Valor Real'!C3:C15,0))+1)/(((L373-1)*(1-_xlfn.XLOOKUP(K373,'Janeiro 2023 - Valor Real'!A3:A15,'Janeiro 2023 - Valor Real'!C3:C15,0))+1)+((L374/(L374-1)-1)*(1-_xlfn.XLOOKUP(K374,'Janeiro 2023 - Valor Real'!A3:A15,'Janeiro 2023 - Valor Real'!C3:C15,0))+1))),IF(I373="Lay",((L373/(L373-1)-1)*(1-_xlfn.XLOOKUP(K373,'Janeiro 2023 - Valor Real'!A3:A15,'Janeiro 2023 - Valor Real'!C3:C15,0))+1)/((((L373/(L373-1)-1)*(1-_xlfn.XLOOKUP(K373,'Janeiro 2023 - Valor Real'!A3:A15,'Janeiro 2023 - Valor Real'!C3:C15,0))+1))+((L374-1)*(1-_xlfn.XLOOKUP(K374,'Janeiro 2023 - Valor Real'!A3:A15,'Janeiro 2023 - Valor Real'!C3:C15,0))+1)),((L373-1)*(1-_xlfn.XLOOKUP(K373,'Janeiro 2023 - Valor Real'!A3:A15,'Janeiro 2023 - Valor Real'!C3:C15,0))+1)/(((L373-1)*(1-_xlfn.XLOOKUP(K373,'Janeiro 2023 - Valor Real'!A3:A15,'Janeiro 2023 - Valor Real'!C3:C15,0))+1)+((L374-1)*(1-_xlfn.XLOOKUP(K374,'Janeiro 2023 - Valor Real'!A3:A15,'Janeiro 2023 - Valor Real'!C3:C15,0))+1))))))</f>
        <v>0.663212435233161</v>
      </c>
      <c r="AF374" s="197">
        <f>IF($K374=AF$3,ROUND(IF(OR($C374="W",$C374="1/2W",$C374="1/2L"),$P374-$O374,IF($C374="X",0,-$O374)),2),0)</f>
        <v>0</v>
      </c>
      <c r="AG374" s="198">
        <f>IF($K374=AG$3,ROUND(IF(OR($C374="W",$C374="1/2W",$C374="1/2L"),$P374-$O374,IF($C374="X",0,-$O374)),2),0)</f>
        <v>0</v>
      </c>
      <c r="AH374" s="198">
        <f>IF($K374=AH$3,ROUND(IF(OR($C374="W",$C374="1/2W",$C374="1/2L"),$P374-$O374,IF($C374="X",0,-$O374)),2),0)</f>
        <v>0</v>
      </c>
      <c r="AI374" s="198">
        <f>IF($K374=AI$3,ROUND(IF(OR($C374="W",$C374="1/2W",$C374="1/2L"),$P374-$O374,IF($C374="X",0,-$O374)),2),0)</f>
        <v>0</v>
      </c>
      <c r="AJ374" s="198">
        <f>IF($K374=AJ$3,ROUND(IF(OR($C374="W",$C374="1/2W",$C374="1/2L"),$P374-$O374,IF($C374="X",0,-$O374)),2),0)</f>
        <v>0</v>
      </c>
      <c r="AK374" s="198">
        <f>IF($K374=AK$3,ROUND(IF(OR($C374="W",$C374="1/2W",$C374="1/2L"),$P374-$O374,IF($C374="X",0,-$O374)),2),0)</f>
        <v>0</v>
      </c>
      <c r="AL374" s="198">
        <f>IF($K374=AL$3,ROUND(IF(OR($C374="W",$C374="1/2W",$C374="1/2L"),$P374-$O374,IF($C374="X",0,-$O374)),2),0)</f>
        <v>0</v>
      </c>
      <c r="AM374" s="198">
        <f>IF($K374=AM$3,ROUND(IF(OR($C374="W",$C374="1/2W",$C374="1/2L"),$P374-$O374,IF($C374="X",0,-$O374)),2),0)</f>
        <v>-13</v>
      </c>
      <c r="AN374" s="198">
        <f>IF($K374=AN$3,ROUND(IF(OR($C374="W",$C374="1/2W",$C374="1/2L"),$P374-$O374,IF($C374="X",0,-$O374)),2),0)</f>
        <v>0</v>
      </c>
      <c r="AO374" s="198">
        <f>IF($K374=AO$3,ROUND(IF(OR($C374="W",$C374="1/2W",$C374="1/2L"),$P374-$O374,IF($C374="X",0,-$O374)),2),0)</f>
        <v>0</v>
      </c>
      <c r="AP374" s="198">
        <f>IF($K374=AP$3,ROUND(IF(OR($C374="W",$C374="1/2W",$C374="1/2L"),$P374-$O374,IF($C374="X",0,-$O374)),2),0)</f>
        <v>0</v>
      </c>
      <c r="AQ374" s="198">
        <f>IF($K374=AQ$3,ROUND(IF(OR($C374="W",$C374="1/2W",$C374="1/2L"),$P374-$O374,IF($C374="X",0,-$O374)),2),0)</f>
        <v>0</v>
      </c>
      <c r="AR374" s="199">
        <f>IF($K374=AR$3,ROUND(IF(OR($C374="W",$C374="1/2W",$C374="1/2L"),$P374-$O374,IF($C374="X",0,-$O374)),2),0)</f>
        <v>0</v>
      </c>
      <c r="AS374" s="197">
        <f>IF(AND($B373=" ",$K374=AS$3),$O374,0)</f>
        <v>0</v>
      </c>
      <c r="AT374" s="198">
        <f>IF(AND($B373=" ",K374=AT$3),$O374,0)</f>
        <v>0</v>
      </c>
      <c r="AU374" s="198">
        <f>IF(AND($B373=" ",$K374=AU$3),$O374,0)</f>
        <v>0</v>
      </c>
      <c r="AV374" s="198">
        <f>IF(AND($B373=" ",$K374=AV$3),$O374,0)</f>
        <v>0</v>
      </c>
      <c r="AW374" s="198">
        <f>IF(AND($B373=" ",$K374=AW$3),$O374,0)</f>
        <v>0</v>
      </c>
      <c r="AX374" s="198">
        <f>IF(AND($B373=" ",$K374=AX$3),$O374,0)</f>
        <v>0</v>
      </c>
      <c r="AY374" s="200">
        <f>IF(AND($B373=" ",$K374=AY$3),$O374,0)</f>
        <v>0</v>
      </c>
      <c r="AZ374" s="201">
        <f>IF(AND($B373=" ",$K374=AZ$3),$O374,0)</f>
        <v>0</v>
      </c>
      <c r="BA374" s="201">
        <f>IF(AND($B373=" ",$K374=BA$3),$O374,0)</f>
        <v>0</v>
      </c>
      <c r="BB374" s="201">
        <f>IF(AND($B373=" ",$K374=BB$3),$O374,0)</f>
        <v>0</v>
      </c>
      <c r="BC374" s="202">
        <f>IF(AND($B373=" ",$K374=BC$3),$O374,0)</f>
        <v>0</v>
      </c>
      <c r="BD374" s="198">
        <f>IF(AND($B373=" ",$K374=BD$3),$O374,0)</f>
        <v>0</v>
      </c>
      <c r="BE374" s="199">
        <f>IF(AND($B373=" ",$K374=BE$3),$O374,0)</f>
        <v>0</v>
      </c>
      <c r="BF374" s="197">
        <f>IF($K374=BF$3,IF($C374="X",0,$O374),0)</f>
        <v>0</v>
      </c>
      <c r="BG374" s="198">
        <f>IF($K374=BG$3,IF($C374="X",0,$O374),0)</f>
        <v>0</v>
      </c>
      <c r="BH374" s="198">
        <f>IF($K374=BH$3,IF($C374="X",0,$O374),0)</f>
        <v>0</v>
      </c>
      <c r="BI374" s="198">
        <f>IF($K374=BI$3,IF($C374="X",0,$O374),0)</f>
        <v>0</v>
      </c>
      <c r="BJ374" s="198">
        <f>IF($K374=BJ$3,IF($C374="X",0,$O374),0)</f>
        <v>0</v>
      </c>
      <c r="BK374" s="198">
        <f>IF($K374=BK$3,IF($C374="X",0,$O374),0)</f>
        <v>0</v>
      </c>
      <c r="BL374" s="198">
        <f>IF($K374=BL$3,IF($C374="X",0,$O374),0)</f>
        <v>0</v>
      </c>
      <c r="BM374" s="227">
        <f>IF($K374=BM$3,IF($C374="X",0,$O374),0)</f>
        <v>13</v>
      </c>
      <c r="BN374" s="205">
        <f>IF($K374=BN$3,IF($C374="X",0,$O374),0)</f>
        <v>0</v>
      </c>
      <c r="BO374" s="205">
        <f>IF($K374=BO$3,IF($C374="X",0,$O374),0)</f>
        <v>0</v>
      </c>
      <c r="BP374" s="205">
        <f>IF($K374=BP$3,IF($C374="X",0,$O374),0)</f>
        <v>0</v>
      </c>
      <c r="BQ374" s="202">
        <f>IF($K374=BQ$3,IF($C374="X",0,$O374),0)</f>
        <v>0</v>
      </c>
      <c r="BR374" s="199">
        <f>IF($K374=BR$3,IF($C374="X",0,$O374),0)</f>
        <v>0</v>
      </c>
      <c r="BS374" s="228"/>
      <c r="BT374" s="229"/>
      <c r="BU374" s="140"/>
      <c r="BV374" s="229"/>
      <c r="BW374" s="140"/>
      <c r="BX374" s="140"/>
      <c r="BY374" s="140"/>
      <c r="BZ374" s="229"/>
      <c r="CA374" s="140"/>
      <c r="CB374" s="140"/>
      <c r="CC374" s="140"/>
      <c r="CD374" s="141"/>
      <c r="CE374" s="142"/>
      <c r="CF374" s="230">
        <f>IF(CF$3=$K374,IF($C374="W",1,IF($C374="1/2W",0.5,0)),0)</f>
        <v>0</v>
      </c>
      <c r="CG374" s="231">
        <f>IF(CF$3=$K374,IF($C374="L",1,IF($C374="1/2L",0.5,0)),0)</f>
        <v>0</v>
      </c>
      <c r="CH374" s="231">
        <f>IF(CH$3=$K374,IF($C374="W",1,IF($C374="1/2W",0.5,0)),0)</f>
        <v>0</v>
      </c>
      <c r="CI374" s="231">
        <f>IF(CH$3=$K374,IF($C374="L",1,IF($C374="1/2L",0.5,0)),0)</f>
        <v>0</v>
      </c>
      <c r="CJ374" s="231">
        <f>IF(CJ$3=$K374,IF($C374="W",1,IF($C374="1/2W",0.5,0)),0)</f>
        <v>0</v>
      </c>
      <c r="CK374" s="231">
        <f>IF(CJ$3=$K374,IF($C374="L",1,IF($C374="1/2L",0.5,0)),0)</f>
        <v>0</v>
      </c>
      <c r="CL374" s="231">
        <f>IF(CL$3=$K374,IF($C374="W",1,IF($C374="1/2W",0.5,0)),0)</f>
        <v>0</v>
      </c>
      <c r="CM374" s="231">
        <f>IF(CL$3=$K374,IF($C374="L",1,IF($C374="1/2L",0.5,0)),0)</f>
        <v>0</v>
      </c>
      <c r="CN374" s="231">
        <f>IF(CN$3=$K374,IF($C374="W",1,IF($C374="1/2W",0.5,0)),0)</f>
        <v>0</v>
      </c>
      <c r="CO374" s="231">
        <f>IF(CN$3=$K374,IF($C374="L",1,IF($C374="1/2L",0.5,0)),0)</f>
        <v>0</v>
      </c>
      <c r="CP374" s="231">
        <f>IF(CP$3=$K374,IF($C374="W",1,IF($C374="1/2W",0.5,0)),0)</f>
        <v>0</v>
      </c>
      <c r="CQ374" s="231">
        <f>IF(CP$3=$K374,IF($C374="L",1,IF($C374="1/2L",0.5,0)),0)</f>
        <v>0</v>
      </c>
      <c r="CR374" s="231">
        <f>IF(CR$3=$K374,IF($C374="W",1,IF($C374="1/2W",0.5,0)),0)</f>
        <v>0</v>
      </c>
      <c r="CS374" s="231">
        <f>IF(CR$3=$K374,IF($C374="L",1,IF($C374="1/2L",0.5,0)),0)</f>
        <v>0</v>
      </c>
      <c r="CT374" s="208">
        <f>IF(CT$3=$K374,IF($C374="W",1,IF($C374="1/2W",0.5,0)),0)</f>
        <v>0</v>
      </c>
      <c r="CU374" s="209">
        <f>IF(CT$3=$K374,IF($C374="L",1,IF($C374="1/2L",0.5,0)),0)</f>
        <v>1</v>
      </c>
      <c r="CV374" s="209">
        <f>IF(CV$3=$K374,IF($C374="W",1,IF($C374="1/2W",0.5,0)),0)</f>
        <v>0</v>
      </c>
      <c r="CW374" s="209">
        <f>IF(CV$3=$K374,IF($C374="L",1,IF($C374="1/2L",0.5,0)),0)</f>
        <v>0</v>
      </c>
      <c r="CX374" s="209">
        <f>IF(CX$3=$K374,IF($C374="W",1,IF($C374="1/2W",0.5,0)),0)</f>
        <v>0</v>
      </c>
      <c r="CY374" s="209">
        <f>IF(CX$3=$K374,IF($C374="L",1,IF($C374="1/2L",0.5,0)),0)</f>
        <v>0</v>
      </c>
      <c r="CZ374" s="209">
        <f>IF(CZ$3=$K374,IF($C374="W",1,IF($C374="1/2W",0.5,0)),0)</f>
        <v>0</v>
      </c>
      <c r="DA374" s="209">
        <f>IF(CZ$3=$K374,IF($C374="L",1,IF($C374="1/2L",0.5,0)),0)</f>
        <v>0</v>
      </c>
      <c r="DB374" s="209">
        <f>IF(DB$3=$K374,IF($C374="W",1,IF($C374="1/2W",0.5,0)),0)</f>
        <v>0</v>
      </c>
      <c r="DC374" s="209">
        <f>IF(DB$3=$K374,IF($C374="L",1,IF($C374="1/2L",0.5,0)),0)</f>
        <v>0</v>
      </c>
      <c r="DD374" s="209">
        <f>IF(DD$3=$K374,IF($C374="W",1,IF($C374="1/2W",0.5,0)),0)</f>
        <v>0</v>
      </c>
      <c r="DE374" s="210">
        <f>IF(DD$3=$K374,IF($C374="L",1,IF($C374="1/2L",0.5,0)),0)</f>
        <v>0</v>
      </c>
      <c r="DF374" s="211">
        <f>IF(AND(L374&lt;DF$3,$C374="W"),1+DF373,DF373)</f>
        <v>12</v>
      </c>
      <c r="DG374" s="198">
        <f>IF(DF374&gt;DF373,L374+DG373,DG373)</f>
        <v>15.718</v>
      </c>
      <c r="DH374" s="209">
        <f>IF(AND(L374&gt;DH$3,$C374="W"),1+DH373,0+DH373)</f>
        <v>9</v>
      </c>
      <c r="DI374" s="198">
        <f>IF(DH374&gt;DH373,L374+DI373,DI373)</f>
        <v>49.83</v>
      </c>
      <c r="DJ374" t="s" s="306">
        <f>IF($D373="","",$D373)</f>
        <v>307</v>
      </c>
      <c r="DK374" s="232"/>
    </row>
    <row r="375" ht="14.55" customHeight="1">
      <c r="A375" s="149"/>
      <c r="B375" s="150"/>
      <c r="C375" t="s" s="233">
        <v>58</v>
      </c>
      <c r="D375" s="152"/>
      <c r="E375" s="153"/>
      <c r="F375" s="155"/>
      <c r="G375" s="234"/>
      <c r="H375" s="156"/>
      <c r="I375" s="235"/>
      <c r="J375" s="236"/>
      <c r="K375" s="237"/>
      <c r="L375" s="238"/>
      <c r="M375" s="239"/>
      <c r="N375" s="161"/>
      <c r="O375" t="s" s="240">
        <f>IF(OR(AE373="",AE374=""),"",IF(L375&gt;0,ROUND(IF(M375&gt;0,M375,IF(M373&gt;0,ROUND((M373*AE375)/AE373,IF(N373=0,2,IF(N373=0.1,1,0))),IF(M374&gt;0,ROUND((M374*AE375)/AE374,IF(N373=0,2,IF(N373=0.1,1,0))),IF(M375&gt;0,M375,0)))),2),""))</f>
      </c>
      <c r="P375" t="s" s="241">
        <f>IF(I374="Lay",O374*(L374/(L374-1))-O374,IF(I373="Lay",O373*(L373/(L373-1))-O373,IF(OR(L375="",O375=""),"",IF($C375="1/2W",O375/2+O375/2*L375,IF($C375="1/2L",O375/2,(O375*L375-O375)*(1-_xlfn.XLOOKUP(K375,'Janeiro 2023 - Valor Real'!A3:A15,'Janeiro 2023 - Valor Real'!C3:C15,0))+O375)))))</f>
      </c>
      <c r="Q375" t="s" s="242">
        <f>IF(K375="","",IF(_xlfn.XLOOKUP(K375,K$112:K136,DJ$112:DJ136,0,,-1)=DJ375,_xlfn.XLOOKUP(K375,K$112:K136,Q$112:Q136,1,,-1)+1,1))</f>
      </c>
      <c r="R375" t="s" s="243">
        <f>IF(K375="","",_xlfn.XLOOKUP(K375,K$112:K136,R$112:R136,0,,-1)+IF($C375=" ",1,0))</f>
      </c>
      <c r="S375" s="166"/>
      <c r="T375" s="155"/>
      <c r="U375" s="155"/>
      <c r="V375" s="166"/>
      <c r="W375" s="155"/>
      <c r="X375" s="167"/>
      <c r="Y375" s="128"/>
      <c r="Z375" s="129"/>
      <c r="AA375" s="129"/>
      <c r="AB375" s="129"/>
      <c r="AC375" s="129"/>
      <c r="AD375" s="244">
        <f>((L374/(L374-1)-1))</f>
        <v>1.6</v>
      </c>
      <c r="AE375" t="s" s="245">
        <f>IF(L375="","",(SUM(((L373-1)*(1-_xlfn.XLOOKUP(K373,'Janeiro 2023 - Valor Real'!A3:A15,'Janeiro 2023 - Valor Real'!C3:C15,0))+1),((L374-1)*(1-_xlfn.XLOOKUP(K374,'Janeiro 2023 - Valor Real'!A3:A15,'Janeiro 2023 - Valor Real'!C3:C15,0))+1),((L375-1)*(1-_xlfn.XLOOKUP(K375,'Janeiro 2023 - Valor Real'!A3:A15,'Janeiro 2023 - Valor Real'!C3:C15,0))+1))/((L375-1)*(1-_xlfn.XLOOKUP(K375,'Janeiro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Real'!C3:C15,0))+1))/((L373-1)*(1-_xlfn.XLOOKUP(K373,'Janeiro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Real'!C3:C15,0))+1))/((L374-1)*(1-_xlfn.XLOOKUP(K374,'Janeiro 2023 - Valor Real'!A3:A15,'Janeiro 2023 - Valor Real'!C3:C15,0))+1)+SUM(((L373-1)*(1-_xlfn.XLOOKUP(K373,'Janeiro 2023 - Valor Real'!A3:A15,'Janeiro 2023 - Valor Real'!C3:C15,0))+1),((L374-1)*(1-_xlfn.XLOOKUP(K374,'Janeiro 2023 - Valor Real'!A3:A15,'Janeiro 2023 - Valor Real'!C3:C15,0))+1),((L375-1)*(1-_xlfn.XLOOKUP(K375,'Janeiro 2023 - Valor Real'!A3:A15,'Janeiro 2023 - Valor Real'!C3:C15,0))+1))/((L375-1)*(1-_xlfn.XLOOKUP(K375,'Janeiro 2023 - Valor Real'!A3:A15,'Janeiro 2023 - Valor Real'!C3:C15,0))+1)))</f>
      </c>
      <c r="AF375" s="197">
        <f>IF($K375=AF$3,ROUND(IF(OR($C375="W",$C375="1/2W",$C375="1/2L"),$P375-$O375,IF($C375="X",0,-$O375)),2),0)</f>
        <v>0</v>
      </c>
      <c r="AG375" s="198">
        <f>IF($K375=AG$3,ROUND(IF(OR($C375="W",$C375="1/2W",$C375="1/2L"),$P375-$O375,IF($C375="X",0,-$O375)),2),0)</f>
        <v>0</v>
      </c>
      <c r="AH375" s="198">
        <f>IF($K375=AH$3,ROUND(IF(OR($C375="W",$C375="1/2W",$C375="1/2L"),$P375-$O375,IF($C375="X",0,-$O375)),2),0)</f>
        <v>0</v>
      </c>
      <c r="AI375" s="198">
        <f>IF($K375=AI$3,ROUND(IF(OR($C375="W",$C375="1/2W",$C375="1/2L"),$P375-$O375,IF($C375="X",0,-$O375)),2),0)</f>
        <v>0</v>
      </c>
      <c r="AJ375" s="198">
        <f>IF($K375=AJ$3,ROUND(IF(OR($C375="W",$C375="1/2W",$C375="1/2L"),$P375-$O375,IF($C375="X",0,-$O375)),2),0)</f>
        <v>0</v>
      </c>
      <c r="AK375" s="198">
        <f>IF($K375=AK$3,ROUND(IF(OR($C375="W",$C375="1/2W",$C375="1/2L"),$P375-$O375,IF($C375="X",0,-$O375)),2),0)</f>
        <v>0</v>
      </c>
      <c r="AL375" s="198">
        <f>IF($K375=AL$3,ROUND(IF(OR($C375="W",$C375="1/2W",$C375="1/2L"),$P375-$O375,IF($C375="X",0,-$O375)),2),0)</f>
        <v>0</v>
      </c>
      <c r="AM375" s="198">
        <f>IF($K375=AM$3,ROUND(IF(OR($C375="W",$C375="1/2W",$C375="1/2L"),$P375-$O375,IF($C375="X",0,-$O375)),2),0)</f>
        <v>0</v>
      </c>
      <c r="AN375" s="198">
        <f>IF($K375=AN$3,ROUND(IF(OR($C375="W",$C375="1/2W",$C375="1/2L"),$P375-$O375,IF($C375="X",0,-$O375)),2),0)</f>
        <v>0</v>
      </c>
      <c r="AO375" s="198">
        <f>IF($K375=AO$3,ROUND(IF(OR($C375="W",$C375="1/2W",$C375="1/2L"),$P375-$O375,IF($C375="X",0,-$O375)),2),0)</f>
        <v>0</v>
      </c>
      <c r="AP375" s="198">
        <f>IF($K375=AP$3,ROUND(IF(OR($C375="W",$C375="1/2W",$C375="1/2L"),$P375-$O375,IF($C375="X",0,-$O375)),2),0)</f>
        <v>0</v>
      </c>
      <c r="AQ375" s="198">
        <f>IF($K375=AQ$3,ROUND(IF(OR($C375="W",$C375="1/2W",$C375="1/2L"),$P375-$O375,IF($C375="X",0,-$O375)),2),0)</f>
        <v>0</v>
      </c>
      <c r="AR375" s="199">
        <f>IF($K375=AR$3,ROUND(IF(OR($C375="W",$C375="1/2W",$C375="1/2L"),$P375-$O375,IF($C375="X",0,-$O375)),2),0)</f>
        <v>0</v>
      </c>
      <c r="AS375" s="197">
        <f>IF(AND($B373=" ",$K375=AS$3),$O375,0)</f>
        <v>0</v>
      </c>
      <c r="AT375" s="198">
        <f>IF(AND($B373=" ",K375=AT$3),$O375,0)</f>
        <v>0</v>
      </c>
      <c r="AU375" s="198">
        <f>IF(AND($B373=" ",$K375=AU$3),$O375,0)</f>
        <v>0</v>
      </c>
      <c r="AV375" s="198">
        <f>IF(AND($B373=" ",$K375=AV$3),$O375,0)</f>
        <v>0</v>
      </c>
      <c r="AW375" s="198">
        <f>IF(AND($B373=" ",$K375=AW$3),$O375,0)</f>
        <v>0</v>
      </c>
      <c r="AX375" s="198">
        <f>IF(AND($B373=" ",$K375=AX$3),$O375,0)</f>
        <v>0</v>
      </c>
      <c r="AY375" s="200">
        <f>IF(AND($B373=" ",$K375=AY$3),$O375,0)</f>
        <v>0</v>
      </c>
      <c r="AZ375" s="201">
        <f>IF(AND($B373=" ",$K375=AZ$3),$O375,0)</f>
        <v>0</v>
      </c>
      <c r="BA375" s="201">
        <f>IF(AND($B373=" ",$K375=BA$3),$O375,0)</f>
        <v>0</v>
      </c>
      <c r="BB375" s="201">
        <f>IF(AND($B373=" ",$K375=BB$3),$O375,0)</f>
        <v>0</v>
      </c>
      <c r="BC375" s="202">
        <f>IF(AND($B373=" ",$K375=BC$3),$O375,0)</f>
        <v>0</v>
      </c>
      <c r="BD375" s="198">
        <f>IF(AND($B373=" ",$K375=BD$3),$O375,0)</f>
        <v>0</v>
      </c>
      <c r="BE375" s="199">
        <f>IF(AND($B373=" ",$K375=BE$3),$O375,0)</f>
        <v>0</v>
      </c>
      <c r="BF375" s="197">
        <f>IF($K375=BF$3,IF($C375="X",0,$O375),0)</f>
        <v>0</v>
      </c>
      <c r="BG375" s="198">
        <f>IF($K375=BG$3,IF($C375="X",0,$O375),0)</f>
        <v>0</v>
      </c>
      <c r="BH375" s="198">
        <f>IF($K375=BH$3,IF($C375="X",0,$O375),0)</f>
        <v>0</v>
      </c>
      <c r="BI375" s="198">
        <f>IF($K375=BI$3,IF($C375="X",0,$O375),0)</f>
        <v>0</v>
      </c>
      <c r="BJ375" s="198">
        <f>IF($K375=BJ$3,IF($C375="X",0,$O375),0)</f>
        <v>0</v>
      </c>
      <c r="BK375" s="198">
        <f>IF($K375=BK$3,IF($C375="X",0,$O375),0)</f>
        <v>0</v>
      </c>
      <c r="BL375" s="198">
        <f>IF($K375=BL$3,IF($C375="X",0,$O375),0)</f>
        <v>0</v>
      </c>
      <c r="BM375" s="200">
        <f>IF($K375=BM$3,IF($C375="X",0,$O375),0)</f>
        <v>0</v>
      </c>
      <c r="BN375" s="201">
        <f>IF($K375=BN$3,IF($C375="X",0,$O375),0)</f>
        <v>0</v>
      </c>
      <c r="BO375" s="201">
        <f>IF($K375=BO$3,IF($C375="X",0,$O375),0)</f>
        <v>0</v>
      </c>
      <c r="BP375" s="201">
        <f>IF($K375=BP$3,IF($C375="X",0,$O375),0)</f>
        <v>0</v>
      </c>
      <c r="BQ375" s="202">
        <f>IF($K375=BQ$3,IF($C375="X",0,$O375),0)</f>
        <v>0</v>
      </c>
      <c r="BR375" s="199">
        <f>IF($K375=BR$3,IF($C375="X",0,$O375),0)</f>
        <v>0</v>
      </c>
      <c r="BS375" s="228"/>
      <c r="BT375" s="229"/>
      <c r="BU375" s="140"/>
      <c r="BV375" s="229"/>
      <c r="BW375" s="140"/>
      <c r="BX375" s="140"/>
      <c r="BY375" s="140"/>
      <c r="BZ375" s="229"/>
      <c r="CA375" s="140"/>
      <c r="CB375" s="140"/>
      <c r="CC375" s="140"/>
      <c r="CD375" s="141"/>
      <c r="CE375" s="142"/>
      <c r="CF375" s="230">
        <f>IF(CF$3=$K375,IF($C375="W",1,IF($C375="1/2W",0.5,0)),0)</f>
        <v>0</v>
      </c>
      <c r="CG375" s="231">
        <f>IF(CF$3=$K375,IF($C375="L",1,IF($C375="1/2L",0.5,0)),0)</f>
        <v>0</v>
      </c>
      <c r="CH375" s="231">
        <f>IF(CH$3=$K375,IF($C375="W",1,IF($C375="1/2W",0.5,0)),0)</f>
        <v>0</v>
      </c>
      <c r="CI375" s="231">
        <f>IF(CH$3=$K375,IF($C375="L",1,IF($C375="1/2L",0.5,0)),0)</f>
        <v>0</v>
      </c>
      <c r="CJ375" s="231">
        <f>IF(CJ$3=$K375,IF($C375="W",1,IF($C375="1/2W",0.5,0)),0)</f>
        <v>0</v>
      </c>
      <c r="CK375" s="231">
        <f>IF(CJ$3=$K375,IF($C375="L",1,IF($C375="1/2L",0.5,0)),0)</f>
        <v>0</v>
      </c>
      <c r="CL375" s="231">
        <f>IF(CL$3=$K375,IF($C375="W",1,IF($C375="1/2W",0.5,0)),0)</f>
        <v>0</v>
      </c>
      <c r="CM375" s="231">
        <f>IF(CL$3=$K375,IF($C375="L",1,IF($C375="1/2L",0.5,0)),0)</f>
        <v>0</v>
      </c>
      <c r="CN375" s="231">
        <f>IF(CN$3=$K375,IF($C375="W",1,IF($C375="1/2W",0.5,0)),0)</f>
        <v>0</v>
      </c>
      <c r="CO375" s="231">
        <f>IF(CN$3=$K375,IF($C375="L",1,IF($C375="1/2L",0.5,0)),0)</f>
        <v>0</v>
      </c>
      <c r="CP375" s="231">
        <f>IF(CP$3=$K375,IF($C375="W",1,IF($C375="1/2W",0.5,0)),0)</f>
        <v>0</v>
      </c>
      <c r="CQ375" s="231">
        <f>IF(CP$3=$K375,IF($C375="L",1,IF($C375="1/2L",0.5,0)),0)</f>
        <v>0</v>
      </c>
      <c r="CR375" s="231">
        <f>IF(CR$3=$K375,IF($C375="W",1,IF($C375="1/2W",0.5,0)),0)</f>
        <v>0</v>
      </c>
      <c r="CS375" s="231">
        <f>IF(CR$3=$K375,IF($C375="L",1,IF($C375="1/2L",0.5,0)),0)</f>
        <v>0</v>
      </c>
      <c r="CT375" s="208">
        <f>IF(CT$3=$K375,IF($C375="W",1,IF($C375="1/2W",0.5,0)),0)</f>
        <v>0</v>
      </c>
      <c r="CU375" s="209">
        <f>IF(CT$3=$K375,IF($C375="L",1,IF($C375="1/2L",0.5,0)),0)</f>
        <v>0</v>
      </c>
      <c r="CV375" s="209">
        <f>IF(CV$3=$K375,IF($C375="W",1,IF($C375="1/2W",0.5,0)),0)</f>
        <v>0</v>
      </c>
      <c r="CW375" s="209">
        <f>IF(CV$3=$K375,IF($C375="L",1,IF($C375="1/2L",0.5,0)),0)</f>
        <v>0</v>
      </c>
      <c r="CX375" s="209">
        <f>IF(CX$3=$K375,IF($C375="W",1,IF($C375="1/2W",0.5,0)),0)</f>
        <v>0</v>
      </c>
      <c r="CY375" s="209">
        <f>IF(CX$3=$K375,IF($C375="L",1,IF($C375="1/2L",0.5,0)),0)</f>
        <v>0</v>
      </c>
      <c r="CZ375" s="209">
        <f>IF(CZ$3=$K375,IF($C375="W",1,IF($C375="1/2W",0.5,0)),0)</f>
        <v>0</v>
      </c>
      <c r="DA375" s="209">
        <f>IF(CZ$3=$K375,IF($C375="L",1,IF($C375="1/2L",0.5,0)),0)</f>
        <v>0</v>
      </c>
      <c r="DB375" s="209">
        <f>IF(DB$3=$K375,IF($C375="W",1,IF($C375="1/2W",0.5,0)),0)</f>
        <v>0</v>
      </c>
      <c r="DC375" s="209">
        <f>IF(DB$3=$K375,IF($C375="L",1,IF($C375="1/2L",0.5,0)),0)</f>
        <v>0</v>
      </c>
      <c r="DD375" s="209">
        <f>IF(DD$3=$K375,IF($C375="W",1,IF($C375="1/2W",0.5,0)),0)</f>
        <v>0</v>
      </c>
      <c r="DE375" s="210">
        <f>IF(DD$3=$K375,IF($C375="L",1,IF($C375="1/2L",0.5,0)),0)</f>
        <v>0</v>
      </c>
      <c r="DF375" s="211">
        <f>IF(AND(L375&lt;DF$3,$C375="W"),1+DF374,DF374)</f>
        <v>12</v>
      </c>
      <c r="DG375" s="198">
        <f>IF(DF375&gt;DF374,L375+DG374,DG374)</f>
        <v>15.718</v>
      </c>
      <c r="DH375" s="209">
        <f>IF(AND(L375&gt;DH$3,$C375="W"),1+DH374,0+DH374)</f>
        <v>9</v>
      </c>
      <c r="DI375" s="198">
        <f>IF(DH375&gt;DH374,L375+DI374,DI374)</f>
        <v>49.83</v>
      </c>
      <c r="DJ375" t="s" s="306">
        <f>IF($D373="","",$D373)</f>
        <v>307</v>
      </c>
      <c r="DK375" s="232"/>
    </row>
    <row r="376" ht="14.55" customHeight="1">
      <c r="A376" s="246">
        <f>$A373+1</f>
        <v>125</v>
      </c>
      <c r="B376" t="s" s="247">
        <f>IF(AND(_xlfn.XLOOKUP(H376,H$107:H155,G$107:G155,0)=G376,_xlfn.XLOOKUP("TempoBet",K376:K378,L376:L378,0)&gt;0),"X",IF(OR(C376="W",C377="W",C378="W",C376="1/2W",C377="1/2W",C378="1/2W",C376="1/2L",C377="1/2L",C378="1/2L"),"OK",IF(OR(C376="L",C377="L",C378="L"),"LOSS",IF(OR(C376="X",C377="X",C378="X"),"Anulado"," "))))</f>
        <v>50</v>
      </c>
      <c r="C376" t="s" s="248">
        <v>51</v>
      </c>
      <c r="D376" t="s" s="303">
        <f>IF(G376="","",$D373)</f>
        <v>307</v>
      </c>
      <c r="E376" t="s" s="250">
        <v>115</v>
      </c>
      <c r="F376" t="s" s="251"/>
      <c r="G376" s="252">
        <v>44951.583333333336</v>
      </c>
      <c r="H376" t="s" s="253">
        <v>317</v>
      </c>
      <c r="I376" t="s" s="254">
        <v>65</v>
      </c>
      <c r="J376" s="255">
        <v>1.5</v>
      </c>
      <c r="K376" t="s" s="256">
        <v>37</v>
      </c>
      <c r="L376" s="257">
        <v>4</v>
      </c>
      <c r="M376" s="258"/>
      <c r="N376" s="259">
        <v>0</v>
      </c>
      <c r="O376" s="260">
        <f>IF(OR(AE376="",AE377=""),"",ROUND(IF(L378&gt;0,IF(M376&gt;0,M376,IF(M377&gt;0,ROUND((M377*AE376)/AE377,IF(N376=0,2,IF(N376=0.1,1,0))),ROUND((M378*AE376)/AE378,IF(N376=0,2,IF(N376=0.1,1,0))))),IF(M376&gt;0,M376,ROUND((M377*AE376)/AE377,IF(N376=0,2,IF(N376=0.1,1,0))))),2))</f>
        <v>2</v>
      </c>
      <c r="P376" s="261">
        <f>IF(OR(L376="",O376=""),"",IF($C376="1/2W",O376/2+O376/2*L376,IF($C376="1/2L",O376/2,IF(I376="Lay",(O376*(L376/(L376-1))-O376)*(1-_xlfn.XLOOKUP(K376,'Janeiro 2023 - Valor Real'!A3:A15,'Janeiro 2023 - Valor Real'!C3:C15,0))+O376,(O376*L376-O376)*(1-_xlfn.XLOOKUP(K376,'Janeiro 2023 - Valor Real'!A3:A15,'Janeiro 2023 - Valor Real'!C3:C15,0))+O376))))</f>
        <v>8</v>
      </c>
      <c r="Q376" s="262">
        <f>IF(K376="","",IF(_xlfn.XLOOKUP(K376,K$107:K155,DJ$107:DJ155,0,,-1)=DJ376,_xlfn.XLOOKUP(K376,K$107:K155,Q$107:Q155,1,,-1)+1,1))</f>
        <v>1</v>
      </c>
      <c r="R376" s="263">
        <f>IF(K376="","",_xlfn.XLOOKUP(K376,K$107:K155,R$107:R155,0,,-1)+IF($C376=" ",1,0))</f>
        <v>0</v>
      </c>
      <c r="S376" s="264">
        <f>IF($B376="Anulado",0,ROUND(IF(OR($B376="LOSS",$B376="OK"),IF(OR($C376="W",$C376="1/2W",$C376="1/2L"),P376-O376,IF($C376="L",-O376,0))+IF(OR($C377="W",$C377="1/2W",$C377="1/2L"),P377-O377,IF($C377="L",-O377,0))+IF(OR($C378="W",$C378="1/2W",$C378="1/2L"),P378-O378,IF($C378="L",-O378,0)),IF(AND(OR($C376="W",$C376="1/2W",$C376="1/2L"),C377="W"),P376+P377-SUM(O376:O378)+_xlfn.XLOOKUP("X",C376:C378,O376:O378,0),IF(AND(C376=TRUE,C378="W"),P376+P378-SUM(O376:O378),IF(AND(C377="W",C378="W"),P377+P378-SUM(O376:O378)+_xlfn.XLOOKUP("X",C376:C378,O376:O378,0),IF(L378&gt;0,IF(OR($C376="W",$C376="1/2W",$C376="1/2L"),P376-SUM(O376:O378)+_xlfn.XLOOKUP("X",C376:C378,O376:O378,0),IF(OR($C376="W",$C376="1/2W",$C376="1/2L"),P377-SUM(O376:O378)+_xlfn.XLOOKUP("X",C376:C378,O376:O378,0),IF(OR($C376="W",$C376="1/2W",$C376="1/2L"),P378-SUM(O376:O378)+_xlfn.XLOOKUP("X",C376:C378,O376:O378,0),IF(SUM(P376:P378)/3-SUM(O376:O378)+_xlfn.XLOOKUP("X",C376:C378,O376:O378,0)&gt;0,SUM(P376:P378)/3-SUM(O376:O378)+_xlfn.XLOOKUP("X",C376:C378,O376:O378,0),LARGE(P376:P378,1)-SUM(O376:O378))))),IF(OR($C376="W",$C376="1/2W",$C376="1/2L"),P376-SUM(O376:O377)+_xlfn.XLOOKUP("X",C376:C378,O376:O378,0),IF(OR($C376="W",$C376="1/2W",$C376="1/2L"),P377-SUM(O376:O377)+_xlfn.XLOOKUP("X",C376:C378,O376:O378,0),SUM(P376:P377)/2-SUM(O376:O377)+_xlfn.XLOOKUP("X",C376:C378,O376:O378,0)))))))),2))</f>
        <v>1.37</v>
      </c>
      <c r="T376" s="265">
        <f>IF(S376=0,0,S376/SUM(O376:O378))</f>
        <v>0.206948640483384</v>
      </c>
      <c r="U376" s="266">
        <f>IF($D376=$D373,IF(OR($B376="LOSS",$B376="OK",$B376="Anulada"),S376,0)+U373,IF(OR($B376="LOSS",$B376="OK",$B376="Anulada"),S376,0))</f>
        <v>10.53</v>
      </c>
      <c r="V376" s="266">
        <f>IF($D376="",0,IF($D376=$D373,IF($B376=" ",IF(I378="",IF(OR(AND(I376="DNB1",I377="DNB2"),AND(OR(I376="DNB1",I376="DNB2"),J377=0),AND(OR(I377="DNB1",I377="DNB2"),J376=0),AND(I376="DNB2",I377="DNB1"),AND(IF(J376=0,(J376+1)/ROUND(J376+1,0),J376/ROUND(J376,0))=1,IF(J377=0,(J377+1)/ROUND(IF(J377="",0,J377)+1,0),IF(J377="",0,J377)/ROUND(IF(J377="",1,J377),0))=1,OR(J376&lt;&gt;""),J377&lt;&gt;"")),0,IF(S376&lt;0,IF(I378="",SMALL(P376:P377,1)-SUM(O376:O377),0),SMALL(P376:P377,1)-SUM(O376:O377))),IF(S376&lt;0,IF(I378="",SMALL(P376:P378,1)-SUM(O376:O378),0),LARGE(P376:P378,1)-SUM(O376:O378))),S376)+V373,IF(I378="",IF(OR(AND(I376="DNB1",I377="DNB2"),AND(OR(I376="DNB1",I376="DNB2"),J377=0),AND(OR(I377="DNB1",I377="DNB2"),J376=0),AND(I376="DNB2",I377="DNB1"),AND(IF(J376=0,(J376+1)/ROUND(J376+1,0),J376/ROUND(J376,0))=1,IF(J377=0,(IF(J377="",0,J377)+1)/ROUND(IF(J377="",0,J377)+1,0),IF(J377="",0,J377)/ROUND(IF(J377="",0,J377)+1,0))=1,OR(J376&lt;&gt;""),J377&lt;&gt;"")),0,IF(S376&lt;0,IF(I378="",SMALL(P376:P377,1)-SUM(O376:O377),0),SMALL(P376:P378,1)-SUM(O376:O378))),IF(S376&lt;0,IF(I378="",SMALL(P376:P378,1)-SUM(O376:O378),0),LARGE(P376:P378,1)-SUM(O376:O378)))))</f>
        <v>10.53225</v>
      </c>
      <c r="W376" s="266">
        <f>IF($D376=$D373,IF(S376&lt;0,IF(I378="",S376,0),S376)+W373,S376)</f>
        <v>10.53</v>
      </c>
      <c r="X376" t="s" s="267">
        <f>IF(OR(SUM(R376:R378)=0,V376=W376),ROUND(IF(W376=0,0,W376/Y376)*100,2)&amp;"%",ROUND(IF(V376=0,0,V376/Y376)*100,2)&amp;"% a "&amp;ROUND(IF(W376=0,0,W376/Y376)*100,2)&amp;"%")</f>
        <v>318</v>
      </c>
      <c r="Y376" s="268">
        <f>IF($D376=$D373,Y373+SUM(O376:O378),SUM(O376:O378))</f>
        <v>110.22</v>
      </c>
      <c r="Z376" s="266">
        <f>IF($B376=" ",SUM(O376:O378),0)+Z373</f>
        <v>0</v>
      </c>
      <c r="AA376" s="266">
        <f>IF(G376="","",IF($B376="Anulado",LARGE(P376:P378,1)-SUM(O376:O378)+AA373,AA373))</f>
        <v>16.5099</v>
      </c>
      <c r="AB376" s="266">
        <f>IF($D376="","",AB373+S376)</f>
        <v>262.2</v>
      </c>
      <c r="AC376" s="269">
        <f>IF($D376="","",IF($B376=" ",IF(DAY(G376)=DAY(TODAY()),1+AC373,0+AC373),0+AC373))</f>
        <v>0</v>
      </c>
      <c r="AD376" s="270">
        <f>(1-_xlfn.XLOOKUP(K374,'Janeiro 2023 - Valor Real'!A3:A15,'Janeiro 2023 - Valor Real'!C3:C15,0))+1</f>
        <v>2</v>
      </c>
      <c r="AE376" s="271">
        <f>IF(L376="","",IF(L378&gt;0,(SUM(((L376-1)*(1-_xlfn.XLOOKUP(K376,'Janeiro 2023 - Valor Real'!A3:A15,'Janeiro 2023 - Valor Real'!C3:C15,0))+1),((L377-1)*(1-_xlfn.XLOOKUP(K377,'Janeiro 2023 - Valor Real'!A3:A15,'Janeiro 2023 - Valor Real'!C3:C15,0))+1),((L378-1)*(1-_xlfn.XLOOKUP(K378,'Janeiro 2023 - Valor Real'!A3:A15,'Janeiro 2023 - Valor Real'!C3:C15,0))+1))/((L376-1)*(1-_xlfn.XLOOKUP(K376,'Janeiro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Real'!C3:C15,0))+1))/((L376-1)*(1-_xlfn.XLOOKUP(K376,'Janeiro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Real'!C3:C15,0))+1))/((L377-1)*(1-_xlfn.XLOOKUP(K377,'Janeiro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Real'!C3:C15,0))+1))/((L378-1)*(1-_xlfn.XLOOKUP(K378,'Janeiro 2023 - Valor Real'!A3:A15,'Janeiro 2023 - Valor Real'!C3:C15,0))+1)),IF(I376="Lay",IF(I377="Lay",((L377/(L377-1)-1)*(1-_xlfn.XLOOKUP(K377,'Janeiro 2023 - Valor Real'!A3:A15,'Janeiro 2023 - Valor Real'!C3:C15,0))+1)/(((L377/(L377-1)-1)*(1-_xlfn.XLOOKUP(K377,'Janeiro 2023 - Valor Real'!A3:A15,'Janeiro 2023 - Valor Real'!C3:C15,0))+1)+((L376/(L376-1)-1)*(1-_xlfn.XLOOKUP(K376,'Janeiro 2023 - Valor Real'!A3:A15,'Janeiro 2023 - Valor Real'!C3:C15,0))+1)),((L377-1)*(1-_xlfn.XLOOKUP(K377,'Janeiro 2023 - Valor Real'!A3:A15,'Janeiro 2023 - Valor Real'!C3:C15,0))+1)/(((L377-1)*(1-_xlfn.XLOOKUP(K377,'Janeiro 2023 - Valor Real'!A3:A15,'Janeiro 2023 - Valor Real'!C3:C15,0))+1)+((L376/(L376-1)-1)*(1-_xlfn.XLOOKUP(K376,'Janeiro 2023 - Valor Real'!A3:A15,'Janeiro 2023 - Valor Real'!C3:C15,0))+1))),IF(I377="Lay",(((L377/(L377-1)-1)*(1-_xlfn.XLOOKUP(K377,'Janeiro 2023 - Valor Real'!A3:A15,'Janeiro 2023 - Valor Real'!C3:C15,0))+1))/(((L376-1)*(1-_xlfn.XLOOKUP(K376,'Janeiro 2023 - Valor Real'!A3:A15,'Janeiro 2023 - Valor Real'!C3:C15,0))+1)+((L377/(L377-1)-1)*(1-_xlfn.XLOOKUP(K377,'Janeiro 2023 - Valor Real'!A3:A15,'Janeiro 2023 - Valor Real'!C3:C15,0))+1)),((L377-1)*(1-_xlfn.XLOOKUP(K377,'Janeiro 2023 - Valor Real'!A3:A15,'Janeiro 2023 - Valor Real'!C3:C15,0))+1)/(((L377-1)*(1-_xlfn.XLOOKUP(K377,'Janeiro 2023 - Valor Real'!A3:A15,'Janeiro 2023 - Valor Real'!C3:C15,0))+1)+((L376-1)*(1-_xlfn.XLOOKUP(K376,'Janeiro 2023 - Valor Real'!A3:A15,'Janeiro 2023 - Valor Real'!C3:C15,0))+1))))))</f>
        <v>0.301919720767888</v>
      </c>
      <c r="AF376" s="132">
        <f>IF($K376=AF$3,ROUND(IF(OR($C376="W",$C376="1/2W",$C376="1/2L"),$P376-$O376,IF($C376="X",0,-$O376)),2),0)</f>
        <v>-2</v>
      </c>
      <c r="AG376" s="133">
        <f>IF($K376=AG$3,ROUND(IF(OR($C376="W",$C376="1/2W",$C376="1/2L"),$P376-$O376,IF($C376="X",0,-$O376)),2),0)</f>
        <v>0</v>
      </c>
      <c r="AH376" s="133">
        <f>IF($K376=AH$3,ROUND(IF(OR($C376="W",$C376="1/2W",$C376="1/2L"),$P376-$O376,IF($C376="X",0,-$O376)),2),0)</f>
        <v>0</v>
      </c>
      <c r="AI376" s="133">
        <f>IF($K376=AI$3,ROUND(IF(OR($C376="W",$C376="1/2W",$C376="1/2L"),$P376-$O376,IF($C376="X",0,-$O376)),2),0)</f>
        <v>0</v>
      </c>
      <c r="AJ376" s="133">
        <f>IF($K376=AJ$3,ROUND(IF(OR($C376="W",$C376="1/2W",$C376="1/2L"),$P376-$O376,IF($C376="X",0,-$O376)),2),0)</f>
        <v>0</v>
      </c>
      <c r="AK376" s="133">
        <f>IF($K376=AK$3,ROUND(IF(OR($C376="W",$C376="1/2W",$C376="1/2L"),$P376-$O376,IF($C376="X",0,-$O376)),2),0)</f>
        <v>0</v>
      </c>
      <c r="AL376" s="133">
        <f>IF($K376=AL$3,ROUND(IF(OR($C376="W",$C376="1/2W",$C376="1/2L"),$P376-$O376,IF($C376="X",0,-$O376)),2),0)</f>
        <v>0</v>
      </c>
      <c r="AM376" s="133">
        <f>IF($K376=AM$3,ROUND(IF(OR($C376="W",$C376="1/2W",$C376="1/2L"),$P376-$O376,IF($C376="X",0,-$O376)),2),0)</f>
        <v>0</v>
      </c>
      <c r="AN376" s="133">
        <f>IF($K376=AN$3,ROUND(IF(OR($C376="W",$C376="1/2W",$C376="1/2L"),$P376-$O376,IF($C376="X",0,-$O376)),2),0)</f>
        <v>0</v>
      </c>
      <c r="AO376" s="133">
        <f>IF($K376=AO$3,ROUND(IF(OR($C376="W",$C376="1/2W",$C376="1/2L"),$P376-$O376,IF($C376="X",0,-$O376)),2),0)</f>
        <v>0</v>
      </c>
      <c r="AP376" s="133">
        <f>IF($K376=AP$3,ROUND(IF(OR($C376="W",$C376="1/2W",$C376="1/2L"),$P376-$O376,IF($C376="X",0,-$O376)),2),0)</f>
        <v>0</v>
      </c>
      <c r="AQ376" s="133">
        <f>IF($K376=AQ$3,ROUND(IF(OR($C376="W",$C376="1/2W",$C376="1/2L"),$P376-$O376,IF($C376="X",0,-$O376)),2),0)</f>
        <v>0</v>
      </c>
      <c r="AR376" s="134">
        <f>IF($K376=AR$3,ROUND(IF(OR($C376="W",$C376="1/2W",$C376="1/2L"),$P376-$O376,IF($C376="X",0,-$O376)),2),0)</f>
        <v>0</v>
      </c>
      <c r="AS376" s="132">
        <f>IF(AND($B376=" ",$K376=AS$3),$O376,0)</f>
        <v>0</v>
      </c>
      <c r="AT376" s="133">
        <f>IF(AND($B376=" ",$K376=AT$3),$O376,0)</f>
        <v>0</v>
      </c>
      <c r="AU376" s="133">
        <f>IF(AND($B376=" ",$K376=AU$3),$O376,0)</f>
        <v>0</v>
      </c>
      <c r="AV376" s="133">
        <f>IF(AND($B376=" ",$K376=AV$3),$O376,0)</f>
        <v>0</v>
      </c>
      <c r="AW376" s="133">
        <f>IF(AND($B376=" ",$K376=AW$3),$O376,0)</f>
        <v>0</v>
      </c>
      <c r="AX376" s="133">
        <f>IF(AND($B376=" ",$K376=AX$3),$O376,0)</f>
        <v>0</v>
      </c>
      <c r="AY376" s="135">
        <f>IF(AND($B376=" ",$K376=AY$3),$O376,0)</f>
        <v>0</v>
      </c>
      <c r="AZ376" s="136">
        <f>IF(AND($B376=" ",$K376=AZ$3),$O376,0)</f>
        <v>0</v>
      </c>
      <c r="BA376" s="136">
        <f>IF(AND($B376=" ",$K376=BA$3),$O376,0)</f>
        <v>0</v>
      </c>
      <c r="BB376" s="136">
        <f>IF(AND($B376=" ",$K376=BB$3),$O376,0)</f>
        <v>0</v>
      </c>
      <c r="BC376" s="137">
        <f>IF(AND($B376=" ",$K376=BC$3),$O376,0)</f>
        <v>0</v>
      </c>
      <c r="BD376" s="133">
        <f>IF(AND($B376=" ",$K376=BD$3),$O376,0)</f>
        <v>0</v>
      </c>
      <c r="BE376" s="134">
        <f>IF(AND($B376=" ",$K376=BE$3),$O376,0)</f>
        <v>0</v>
      </c>
      <c r="BF376" s="132">
        <f>IF($K376=BF$3,IF($C376="X",0,$O376),0)</f>
        <v>2</v>
      </c>
      <c r="BG376" s="133">
        <f>IF($K376=BG$3,IF($C376="X",0,$O376),0)</f>
        <v>0</v>
      </c>
      <c r="BH376" s="133">
        <f>IF($K376=BH$3,IF($C376="X",0,$O376),0)</f>
        <v>0</v>
      </c>
      <c r="BI376" s="133">
        <f>IF($K376=BI$3,IF($C376="X",0,$O376),0)</f>
        <v>0</v>
      </c>
      <c r="BJ376" s="133">
        <f>IF($K376=BJ$3,IF($C376="X",0,$O376),0)</f>
        <v>0</v>
      </c>
      <c r="BK376" s="133">
        <f>IF($K376=BK$3,IF($C376="X",0,$O376),0)</f>
        <v>0</v>
      </c>
      <c r="BL376" s="133">
        <f>IF($K376=BL$3,IF($C376="X",0,$O376),0)</f>
        <v>0</v>
      </c>
      <c r="BM376" s="135">
        <f>IF($K376=BM$3,IF($C376="X",0,$O376),0)</f>
        <v>0</v>
      </c>
      <c r="BN376" s="136">
        <f>IF($K376=BN$3,IF($C376="X",0,$O376),0)</f>
        <v>0</v>
      </c>
      <c r="BO376" s="136">
        <f>IF($K376=BO$3,IF($C376="X",0,$O376),0)</f>
        <v>0</v>
      </c>
      <c r="BP376" s="136">
        <f>IF($K376=BP$3,IF($C376="X",0,$O376),0)</f>
        <v>0</v>
      </c>
      <c r="BQ376" s="137">
        <f>IF($K376=BQ$3,IF($C376="X",0,$O376),0)</f>
        <v>0</v>
      </c>
      <c r="BR376" s="134">
        <f>IF($K376=BR$3,IF($C376="X",0,$O376),0)</f>
        <v>0</v>
      </c>
      <c r="BS376" s="170">
        <f>IF($B376="LOSS",IF(AND($K376=BS$3,$C376="L"),-$O376,0)+IF(AND($K377=BS$3,$C377="L"),-$O377,0)+IF(AND($K378=BS$3,$C378="L"),-$O378,0),IF(OR(AND($K376=BS$3,OR($C376="W",$C376="1/2W")),AND($K377=BS$3,OR($C377="W",$C377="1/2W")),AND($K378=BS$3,OR($C378="W",$C378="1/2W"))),$S376,0))</f>
        <v>0</v>
      </c>
      <c r="BT376" s="272">
        <f>IF($B376="LOSS",IF(AND($K376=BT$3,$C376="L"),-$O376,0)+IF(AND($K377=BT$3,$C377="L"),-$O377,0)+IF(AND($K377=BT$3,$C378="L"),-$O378,0),IF(OR(AND($K377=BT$3,OR($C376="W",$C376="1/2W")),AND($K377=BT$3,OR($C377="W",$C377="1/2W")),AND($K377=BT$3,OR($C378="W",$C378="1/2W"))),$S376,0))</f>
        <v>0</v>
      </c>
      <c r="BU376" s="136">
        <f>IF($B376="LOSS",IF(AND($K376=BU$3,$C376="L"),-$O376,0)+IF(AND($K377=BU$3,$C377="L"),-$O377,0)+IF(AND($K377=BU$3,$C378="L"),-$O378,0),IF(OR(AND($K377=BU$3,OR($C376="W",$C376="1/2W")),AND($K377=BU$3,OR($C377="W",$C377="1/2W")),AND($K377=BU$3,OR($C378="W",$C378="1/2W"))),$S376,0))</f>
        <v>0</v>
      </c>
      <c r="BV376" s="136">
        <f>IF($B376="LOSS",IF(AND($K376=BV$3,$C376="L"),-$O376,0)+IF(AND($K377=BV$3,$C377="L"),-$O377,0)+IF(AND($K378=BV$3,$C378="L"),-$O378,0),IF(OR(AND($K376=BV$3,OR($C376="W",$C376="1/2W")),AND($K377=BV$3,OR($C377="W",$C377="1/2W")),AND($K378=BV$3,OR($C378="W",$C378="1/2W"))),$S376,0))</f>
        <v>0</v>
      </c>
      <c r="BW376" s="136">
        <f>IF($B376="LOSS",IF(AND($K376=BW$3,$C376="L"),-$O376,0)+IF(AND($K377=BW$3,$C377="L"),-$O377,0)+IF(AND($K378=BW$3,$C378="L"),-$O378,0),IF(OR(AND($K376=BW$3,OR($C376="W",$C376="1/2W")),AND($K377=BW$3,OR($C377="W",$C377="1/2W")),AND($K378=BW$3,OR($C378="W",$C378="1/2W"))),$S376,0))</f>
        <v>1.37</v>
      </c>
      <c r="BX376" s="136">
        <f>IF($B376="LOSS",IF(AND($K376=BX$3,$C376="L"),-$O376,0)+IF(AND($K377=BX$3,$C377="L"),-$O377,0)+IF(AND($K378=BX$3,$C378="L"),-$O378,0),IF(OR(AND($K376=BX$3,OR($C376="W",$C376="1/2W")),AND($K377=BX$3,OR($C377="W",$C377="1/2W")),AND($K378=BX$3,OR($C378="W",$C378="1/2W"))),$S376,0))</f>
        <v>0</v>
      </c>
      <c r="BY376" s="136">
        <f>IF($B376="LOSS",IF(AND($K376=BY$3,$C376="L"),-$O376,0)+IF(AND($K377=BY$3,$C377="L"),-$O377,0)+IF(AND($K378=BY$3,$C378="L"),-$O378,0),IF(OR(AND($K376=BY$3,OR($C376="W",$C376="1/2W")),AND($K377=BY$3,OR($C377="W",$C377="1/2W")),AND($K378=BY$3,OR($C378="W",$C378="1/2W"))),$S376,0))</f>
        <v>0</v>
      </c>
      <c r="BZ376" s="136">
        <f>IF($B376="LOSS",IF(AND($K376=BZ$3,$C376="L"),-$O376,0)+IF(AND($K377=BZ$3,$C377="L"),-$O377,0)+IF(AND($K378=BZ$3,$C378="L"),-$O378,0),IF(OR(AND($K376=BZ$3,OR($C376="W",$C376="1/2W")),AND($K377=BZ$3,OR($C377="W",$C377="1/2W")),AND($K378=BZ$3,OR($C378="W",$C378="1/2W"))),$S376,0))</f>
        <v>0</v>
      </c>
      <c r="CA376" s="136">
        <f>IF($B376="LOSS",IF(AND($K376=CA$3,$C376="L"),-$O376,0)+IF(AND($K377=CA$3,$C377="L"),-$O377,0)+IF(AND($K378=CA$3,$C378="L"),-$O378,0),IF(OR(AND($K376=CA$3,OR($C376="W",$C376="1/2W")),AND($K377=CA$3,OR($C377="W",$C377="1/2W")),AND($K378=CA$3,OR($C378="W",$C378="1/2W"))),$S376,0))</f>
        <v>0</v>
      </c>
      <c r="CB376" s="136">
        <f>IF($B376="LOSS",IF(AND($K376=CB$3,$C376="L"),-$O376,0)+IF(AND($K377=CB$3,$C377="L"),-$O377,0)+IF(AND($K378=CB$3,$C378="L"),-$O378,0),IF(OR(AND($K376=CB$3,OR($C376="W",$C376="1/2W")),AND($K377=CB$3,OR($C377="W",$C377="1/2W")),AND($K378=CB$3,OR($C378="W",$C378="1/2W"))),$S376,0))</f>
        <v>0</v>
      </c>
      <c r="CC376" s="136">
        <f>IF($B376="LOSS",IF(AND($K376=CC$3,$C376="L"),-$O376,0)+IF(AND($K377=CC$3,$C377="L"),-$O377,0)+IF(AND($K378=CC$3,$C378="L"),-$O378,0),IF(OR(AND($K376=CC$3,OR($C376="W",$C376="1/2W")),AND($K377=CC$3,OR($C377="W",$C377="1/2W")),AND($K378=CC$3,OR($C378="W",$C378="1/2W"))),$S376,0))</f>
        <v>0</v>
      </c>
      <c r="CD376" s="137">
        <f>IF($B376="LOSS",IF(AND($K376=CD$3,$C376="L"),-$O376,0)+IF(AND($K377=CD$3,$C377="L"),-$O377,0)+IF(AND($K378=CD$3,$C378="L"),-$O378,0),IF(OR(AND($K376=CD$3,OR($C376="W",$C376="1/2W")),AND($K377=CD$3,OR($C377="W",$C377="1/2W")),AND($K378=CD$3,OR($C378="W",$C378="1/2W"))),$S376,0))</f>
        <v>0</v>
      </c>
      <c r="CE376" s="134">
        <f>IF($B376="LOSS",IF(AND($K376=CE$3,$C376="L"),-$O376,0)+IF(AND($K377=CE$3,$C377="L"),-$O377,0)+IF(AND($K378=CE$3,$C378="L"),-$O378,0),IF(OR(AND($K376=CE$3,OR($C376="W",$C376="1/2W")),AND($K377=CE$3,OR($C377="W",$C377="1/2W")),AND($K378=CE$3,OR($C378="W",$C378="1/2W"))),$S376,0))</f>
        <v>0</v>
      </c>
      <c r="CF376" s="273">
        <f>IF(CF$3=$K376,IF($C376="W",1,IF($C376="1/2W",0.5,0)),0)</f>
        <v>0</v>
      </c>
      <c r="CG376" s="274">
        <f>IF(CF$3=$K376,IF($C376="L",1,IF($C376="1/2L",0.5,0)),0)</f>
        <v>1</v>
      </c>
      <c r="CH376" s="274">
        <f>IF(CH$3=$K376,IF($C376="W",1,IF($C376="1/2W",0.5,0)),0)</f>
        <v>0</v>
      </c>
      <c r="CI376" s="274">
        <f>IF(CH$3=$K376,IF($C376="L",1,IF($C376="1/2L",0.5,0)),0)</f>
        <v>0</v>
      </c>
      <c r="CJ376" s="274">
        <f>IF(CJ$3=$K376,IF($C376="W",1,IF($C376="1/2W",0.5,0)),0)</f>
        <v>0</v>
      </c>
      <c r="CK376" s="274">
        <f>IF(CJ$3=$K376,IF($C376="L",1,IF($C376="1/2L",0.5,0)),0)</f>
        <v>0</v>
      </c>
      <c r="CL376" s="274">
        <f>IF(CL$3=$K376,IF($C376="W",1,IF($C376="1/2W",0.5,0)),0)</f>
        <v>0</v>
      </c>
      <c r="CM376" s="274">
        <f>IF(CL$3=$K376,IF($C376="L",1,IF($C376="1/2L",0.5,0)),0)</f>
        <v>0</v>
      </c>
      <c r="CN376" s="274">
        <f>IF(CN$3=$K376,IF($C376="W",1,IF($C376="1/2W",0.5,0)),0)</f>
        <v>0</v>
      </c>
      <c r="CO376" s="274">
        <f>IF(CN$3=$K376,IF($C376="L",1,IF($C376="1/2L",0.5,0)),0)</f>
        <v>0</v>
      </c>
      <c r="CP376" s="274">
        <f>IF(CP$3=$K376,IF($C376="W",1,IF($C376="1/2W",0.5,0)),0)</f>
        <v>0</v>
      </c>
      <c r="CQ376" s="274">
        <f>IF(CP$3=$K376,IF($C376="L",1,IF($C376="1/2L",0.5,0)),0)</f>
        <v>0</v>
      </c>
      <c r="CR376" s="274">
        <f>IF(CR$3=$K376,IF($C376="W",1,IF($C376="1/2W",0.5,0)),0)</f>
        <v>0</v>
      </c>
      <c r="CS376" s="274">
        <f>IF(CR$3=$K376,IF($C376="L",1,IF($C376="1/2L",0.5,0)),0)</f>
        <v>0</v>
      </c>
      <c r="CT376" s="145">
        <f>IF(CT$3=$K376,IF($C376="W",1,IF($C376="1/2W",0.5,0)),0)</f>
        <v>0</v>
      </c>
      <c r="CU376" s="146">
        <f>IF(CT$3=$K376,IF($C376="L",1,IF($C376="1/2L",0.5,0)),0)</f>
        <v>0</v>
      </c>
      <c r="CV376" s="146">
        <f>IF(CV$3=$K376,IF($C376="W",1,IF($C376="1/2W",0.5,0)),0)</f>
        <v>0</v>
      </c>
      <c r="CW376" s="146">
        <f>IF(CV$3=$K376,IF($C376="L",1,IF($C376="1/2L",0.5,0)),0)</f>
        <v>0</v>
      </c>
      <c r="CX376" s="146">
        <f>IF(CX$3=$K376,IF($C376="W",1,IF($C376="1/2W",0.5,0)),0)</f>
        <v>0</v>
      </c>
      <c r="CY376" s="146">
        <f>IF(CX$3=$K376,IF($C376="L",1,IF($C376="1/2L",0.5,0)),0)</f>
        <v>0</v>
      </c>
      <c r="CZ376" s="146">
        <f>IF(CZ$3=$K376,IF($C376="W",1,IF($C376="1/2W",0.5,0)),0)</f>
        <v>0</v>
      </c>
      <c r="DA376" s="146">
        <f>IF(CZ$3=$K376,IF($C376="L",1,IF($C376="1/2L",0.5,0)),0)</f>
        <v>0</v>
      </c>
      <c r="DB376" s="146">
        <f>IF(DB$3=$K376,IF($C376="W",1,IF($C376="1/2W",0.5,0)),0)</f>
        <v>0</v>
      </c>
      <c r="DC376" s="146">
        <f>IF(DB$3=$K376,IF($C376="L",1,IF($C376="1/2L",0.5,0)),0)</f>
        <v>0</v>
      </c>
      <c r="DD376" s="146">
        <f>IF(DD$3=$K376,IF($C376="W",1,IF($C376="1/2W",0.5,0)),0)</f>
        <v>0</v>
      </c>
      <c r="DE376" s="147">
        <f>IF(DD$3=$K376,IF($C376="L",1,IF($C376="1/2L",0.5,0)),0)</f>
        <v>0</v>
      </c>
      <c r="DF376" s="143">
        <f>IF(AND(L376&lt;DF$3,$C376="W"),1+DF375,DF375)</f>
        <v>12</v>
      </c>
      <c r="DG376" s="133">
        <f>IF(DF376&gt;DF375,L376+DG375,DG375)</f>
        <v>15.718</v>
      </c>
      <c r="DH376" s="146">
        <f>IF(AND(L376&gt;DH$3,$C376="W"),1+DH375,0+DH375)</f>
        <v>9</v>
      </c>
      <c r="DI376" s="133">
        <f>IF(DH376&gt;DH375,L376+DI375,DI375)</f>
        <v>49.83</v>
      </c>
      <c r="DJ376" t="s" s="304">
        <f>IF($D376="","",$D376)</f>
        <v>307</v>
      </c>
      <c r="DK376" s="146">
        <f>IF(AND($B376=" ",$D376&lt;&gt;""),1,0)</f>
        <v>0</v>
      </c>
    </row>
    <row r="377" ht="14.55" customHeight="1">
      <c r="A377" s="107"/>
      <c r="B377" s="108"/>
      <c r="C377" t="s" s="109">
        <v>56</v>
      </c>
      <c r="D377" s="110"/>
      <c r="E377" s="111"/>
      <c r="F377" s="113"/>
      <c r="G377" s="252"/>
      <c r="H377" s="114"/>
      <c r="I377" t="s" s="275">
        <v>67</v>
      </c>
      <c r="J377" s="276">
        <f>IF(OR(I376="TO",I376="TU",I376="TO1",I376="TU1",I376="TO2",I376="TU2"),J376,IF(OR(I376="AH1",I376="AH2"),IF(OR(I377="AH1",I377="AH2"),-J376,IF(OR(I377="EH1",I377="EH2"),-J376+0.5,"")),IF(OR(I376="EH1",I376="EH2"),IF(OR(I377="AH1",I377="AH2"),-J376+0.5,IF(OR(I377="EH1",I377="EH2"),-J376+1,"")),IF(AND(OR(I376="DNB1",I376="DNB2"),OR(I377="AH1",I377="AH2")),0,IF(AND(I376="Not ScoreBoth",OR(I377="TO1",I377="TO2")),0.5,"")))))</f>
        <v>1.5</v>
      </c>
      <c r="K377" t="s" s="117">
        <v>41</v>
      </c>
      <c r="L377" s="277">
        <v>1.73</v>
      </c>
      <c r="M377" s="278">
        <v>4.62</v>
      </c>
      <c r="N377" s="120"/>
      <c r="O377" s="121">
        <f>IF(OR(AE376="",AE377=""),"",ROUND(IF(L378&gt;0,IF(M377&gt;0,M377,IF(M376&gt;0,IF(N376=TRUE,ROUND((M376*AE377)/AE376,0),(M376*AE377)/AE376),IF(M377&gt;0,ROUND(M377,IF(N376=0,2,IF(N376=0.1,1,0))),IF(M378&gt;0,ROUND(O378*AE377/AE378,IF(N376=0,2,IF(N376=0.1,1,0))),0)))),IF(M377&gt;0,M377,ROUND((M376*AE377)/AE376,IF(N376=0,2,IF(N376=0.1,1,0))))),2))</f>
        <v>4.62</v>
      </c>
      <c r="P377" s="122">
        <f>IF(OR(L377="",O377=""),"",IF($C377="1/2W",O377/2+O377/2*L377,IF($C377="1/2L",O377/2,IF(I377="Lay",((O377*(L377/(L377-1)))-O377)*(1-_xlfn.XLOOKUP(K377,'Janeiro 2023 - Valor Real'!A3:A15,'Janeiro 2023 - Valor Real'!C3:C15,0))+O377,(O377*L377-O377)*(1-_xlfn.XLOOKUP(K377,'Janeiro 2023 - Valor Real'!A3:A15,'Janeiro 2023 - Valor Real'!C3:C15,0))+O377))))</f>
        <v>7.9926</v>
      </c>
      <c r="Q377" s="279">
        <f>IF(K377="","",IF(_xlfn.XLOOKUP(K377,K$120:K156,DJ$120:DJ156,0,,-1)=DJ377,_xlfn.XLOOKUP(K377,K$120:K156,Q$120:Q156,1,,-1)+1,1))</f>
        <v>1</v>
      </c>
      <c r="R377" s="280">
        <f>IF(K377="","",_xlfn.XLOOKUP(K377,K$120:K156,R$120:R156,0,,-1)+IF($C377=" ",1,0))</f>
        <v>0</v>
      </c>
      <c r="S377" s="125"/>
      <c r="T377" s="126"/>
      <c r="U377" s="126"/>
      <c r="V377" s="224"/>
      <c r="W377" s="126"/>
      <c r="X377" s="127"/>
      <c r="Y377" s="128"/>
      <c r="Z377" s="129"/>
      <c r="AA377" s="129"/>
      <c r="AB377" s="129"/>
      <c r="AC377" s="129"/>
      <c r="AD377" s="130"/>
      <c r="AE377" s="131">
        <f>IF(L377="","",IF(L378&gt;0,(SUM(((L376-1)*(1-_xlfn.XLOOKUP(K376,'Janeiro 2023 - Valor Real'!A3:A15,'Janeiro 2023 - Valor Real'!C3:C15,0))+1),((L377-1)*(1-_xlfn.XLOOKUP(K377,'Janeiro 2023 - Valor Real'!A3:A15,'Janeiro 2023 - Valor Real'!C3:C15,0))+1),((L378-1)*(1-_xlfn.XLOOKUP(K378,'Janeiro 2023 - Valor Real'!A3:A15,'Janeiro 2023 - Valor Real'!C3:C15,0))+1))/((L377-1)*(1-_xlfn.XLOOKUP(K377,'Janeiro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Real'!C3:C15,0))+1))/((L376-1)*(1-_xlfn.XLOOKUP(K376,'Janeiro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Real'!C3:C15,0))+1))/((L377-1)*(1-_xlfn.XLOOKUP(K377,'Janeiro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Real'!C3:C15,0))+1))/((L378-1)*(1-_xlfn.XLOOKUP(K378,'Janeiro 2023 - Valor Real'!A3:A15,'Janeiro 2023 - Valor Real'!C3:C15,0))+1)),IF(I377="Lay",IF(I376="Lay",((L376/(L376-1)-1)*(1-_xlfn.XLOOKUP(K376,'Janeiro 2023 - Valor Real'!A3:A15,'Janeiro 2023 - Valor Real'!C3:C15,0))+1)/(((L376/(L376-1)-1)*(1-_xlfn.XLOOKUP(K376,'Janeiro 2023 - Valor Real'!A3:A15,'Janeiro 2023 - Valor Real'!C3:C15,0))+1)+((L377/(L377-1)-1)*(1-_xlfn.XLOOKUP(K377,'Janeiro 2023 - Valor Real'!A3:A15,'Janeiro 2023 - Valor Real'!C3:C15,0))+1)),((L376-1)*(1-_xlfn.XLOOKUP(K376,'Janeiro 2023 - Valor Real'!A3:A15,'Janeiro 2023 - Valor Real'!C3:C15,0))+1)/(((L376-1)*(1-_xlfn.XLOOKUP(K376,'Janeiro 2023 - Valor Real'!A3:A15,'Janeiro 2023 - Valor Real'!C3:C15,0))+1)+((L377/(L377-1)-1)*(1-_xlfn.XLOOKUP(K377,'Janeiro 2023 - Valor Real'!A3:A15,'Janeiro 2023 - Valor Real'!C3:C15,0))+1))),IF(I376="Lay",((L376/(L376-1)-1)*(1-_xlfn.XLOOKUP(K376,'Janeiro 2023 - Valor Real'!A3:A15,'Janeiro 2023 - Valor Real'!C3:C15,0))+1)/((((L376/(L376-1)-1)*(1-_xlfn.XLOOKUP(K376,'Janeiro 2023 - Valor Real'!A3:A15,'Janeiro 2023 - Valor Real'!C3:C15,0))+1))+((L377-1)*(1-_xlfn.XLOOKUP(K377,'Janeiro 2023 - Valor Real'!A3:A15,'Janeiro 2023 - Valor Real'!C3:C15,0))+1)),((L376-1)*(1-_xlfn.XLOOKUP(K376,'Janeiro 2023 - Valor Real'!A3:A15,'Janeiro 2023 - Valor Real'!C3:C15,0))+1)/(((L376-1)*(1-_xlfn.XLOOKUP(K376,'Janeiro 2023 - Valor Real'!A3:A15,'Janeiro 2023 - Valor Real'!C3:C15,0))+1)+((L377-1)*(1-_xlfn.XLOOKUP(K377,'Janeiro 2023 - Valor Real'!A3:A15,'Janeiro 2023 - Valor Real'!C3:C15,0))+1))))))</f>
        <v>0.698080279232112</v>
      </c>
      <c r="AF377" s="132">
        <f>IF($K377=AF$3,ROUND(IF(OR($C377="W",$C377="1/2W",$C377="1/2L"),$P377-$O377,IF($C377="X",0,-$O377)),2),0)</f>
        <v>0</v>
      </c>
      <c r="AG377" s="133">
        <f>IF($K377=AG$3,ROUND(IF(OR($C377="W",$C377="1/2W",$C377="1/2L"),$P377-$O377,IF($C377="X",0,-$O377)),2),0)</f>
        <v>0</v>
      </c>
      <c r="AH377" s="133">
        <f>IF($K377=AH$3,ROUND(IF(OR($C377="W",$C377="1/2W",$C377="1/2L"),$P377-$O377,IF($C377="X",0,-$O377)),2),0)</f>
        <v>0</v>
      </c>
      <c r="AI377" s="133">
        <f>IF($K377=AI$3,ROUND(IF(OR($C377="W",$C377="1/2W",$C377="1/2L"),$P377-$O377,IF($C377="X",0,-$O377)),2),0)</f>
        <v>0</v>
      </c>
      <c r="AJ377" s="133">
        <f>IF($K377=AJ$3,ROUND(IF(OR($C377="W",$C377="1/2W",$C377="1/2L"),$P377-$O377,IF($C377="X",0,-$O377)),2),0)</f>
        <v>3.37</v>
      </c>
      <c r="AK377" s="133">
        <f>IF($K377=AK$3,ROUND(IF(OR($C377="W",$C377="1/2W",$C377="1/2L"),$P377-$O377,IF($C377="X",0,-$O377)),2),0)</f>
        <v>0</v>
      </c>
      <c r="AL377" s="133">
        <f>IF($K377=AL$3,ROUND(IF(OR($C377="W",$C377="1/2W",$C377="1/2L"),$P377-$O377,IF($C377="X",0,-$O377)),2),0)</f>
        <v>0</v>
      </c>
      <c r="AM377" s="133">
        <f>IF($K377=AM$3,ROUND(IF(OR($C377="W",$C377="1/2W",$C377="1/2L"),$P377-$O377,IF($C377="X",0,-$O377)),2),0)</f>
        <v>0</v>
      </c>
      <c r="AN377" s="133">
        <f>IF($K377=AN$3,ROUND(IF(OR($C377="W",$C377="1/2W",$C377="1/2L"),$P377-$O377,IF($C377="X",0,-$O377)),2),0)</f>
        <v>0</v>
      </c>
      <c r="AO377" s="133">
        <f>IF($K377=AO$3,ROUND(IF(OR($C377="W",$C377="1/2W",$C377="1/2L"),$P377-$O377,IF($C377="X",0,-$O377)),2),0)</f>
        <v>0</v>
      </c>
      <c r="AP377" s="133">
        <f>IF($K377=AP$3,ROUND(IF(OR($C377="W",$C377="1/2W",$C377="1/2L"),$P377-$O377,IF($C377="X",0,-$O377)),2),0)</f>
        <v>0</v>
      </c>
      <c r="AQ377" s="133">
        <f>IF($K377=AQ$3,ROUND(IF(OR($C377="W",$C377="1/2W",$C377="1/2L"),$P377-$O377,IF($C377="X",0,-$O377)),2),0)</f>
        <v>0</v>
      </c>
      <c r="AR377" s="134">
        <f>IF($K377=AR$3,ROUND(IF(OR($C377="W",$C377="1/2W",$C377="1/2L"),$P377-$O377,IF($C377="X",0,-$O377)),2),0)</f>
        <v>0</v>
      </c>
      <c r="AS377" s="132">
        <f>IF(AND($B376=" ",$K377=AS$3),$O377,0)</f>
        <v>0</v>
      </c>
      <c r="AT377" s="133">
        <f>IF(AND($B376=" ",K377=AT$3),$O377,0)</f>
        <v>0</v>
      </c>
      <c r="AU377" s="133">
        <f>IF(AND($B376=" ",$K377=AU$3),$O377,0)</f>
        <v>0</v>
      </c>
      <c r="AV377" s="133">
        <f>IF(AND($B376=" ",$K377=AV$3),$O377,0)</f>
        <v>0</v>
      </c>
      <c r="AW377" s="133">
        <f>IF(AND($B376=" ",$K377=AW$3),$O377,0)</f>
        <v>0</v>
      </c>
      <c r="AX377" s="133">
        <f>IF(AND($B376=" ",$K377=AX$3),$O377,0)</f>
        <v>0</v>
      </c>
      <c r="AY377" s="135">
        <f>IF(AND($B376=" ",$K377=AY$3),$O377,0)</f>
        <v>0</v>
      </c>
      <c r="AZ377" s="136">
        <f>IF(AND($B376=" ",$K377=AZ$3),$O377,0)</f>
        <v>0</v>
      </c>
      <c r="BA377" s="136">
        <f>IF(AND($B376=" ",$K377=BA$3),$O377,0)</f>
        <v>0</v>
      </c>
      <c r="BB377" s="136">
        <f>IF(AND($B376=" ",$K377=BB$3),$O377,0)</f>
        <v>0</v>
      </c>
      <c r="BC377" s="137">
        <f>IF(AND($B376=" ",$K377=BC$3),$O377,0)</f>
        <v>0</v>
      </c>
      <c r="BD377" s="133">
        <f>IF(AND($B376=" ",$K377=BD$3),$O377,0)</f>
        <v>0</v>
      </c>
      <c r="BE377" s="134">
        <f>IF(AND($B376=" ",$K377=BE$3),$O377,0)</f>
        <v>0</v>
      </c>
      <c r="BF377" s="132">
        <f>IF($K377=BF$3,IF($C377="X",0,$O377),0)</f>
        <v>0</v>
      </c>
      <c r="BG377" s="281">
        <f>IF($K377=BG$3,IF($C377="X",0,$O377),0)</f>
        <v>0</v>
      </c>
      <c r="BH377" s="133">
        <f>IF($K377=BH$3,IF($C377="X",0,$O377),0)</f>
        <v>0</v>
      </c>
      <c r="BI377" s="133">
        <f>IF($K377=BI$3,IF($C377="X",0,$O377),0)</f>
        <v>0</v>
      </c>
      <c r="BJ377" s="133">
        <f>IF($K377=BJ$3,IF($C377="X",0,$O377),0)</f>
        <v>4.62</v>
      </c>
      <c r="BK377" s="133">
        <f>IF($K377=BK$3,IF($C377="X",0,$O377),0)</f>
        <v>0</v>
      </c>
      <c r="BL377" s="133">
        <f>IF($K377=BL$3,IF($C377="X",0,$O377),0)</f>
        <v>0</v>
      </c>
      <c r="BM377" s="135">
        <f>IF($K377=BM$3,IF($C377="X",0,$O377),0)</f>
        <v>0</v>
      </c>
      <c r="BN377" s="136">
        <f>IF($K377=BN$3,IF($C377="X",0,$O377),0)</f>
        <v>0</v>
      </c>
      <c r="BO377" s="136">
        <f>IF($K377=BO$3,IF($C377="X",0,$O377),0)</f>
        <v>0</v>
      </c>
      <c r="BP377" s="136">
        <f>IF($K377=BP$3,IF($C377="X",0,$O377),0)</f>
        <v>0</v>
      </c>
      <c r="BQ377" s="137">
        <f>IF($K377=BQ$3,IF($C377="X",0,$O377),0)</f>
        <v>0</v>
      </c>
      <c r="BR377" s="134">
        <f>IF($K377=BR$3,IF($C377="X",0,$O377),0)</f>
        <v>0</v>
      </c>
      <c r="BS377" s="282"/>
      <c r="BT377" s="283"/>
      <c r="BU377" s="140"/>
      <c r="BV377" s="283"/>
      <c r="BW377" s="140"/>
      <c r="BX377" s="140"/>
      <c r="BY377" s="140"/>
      <c r="BZ377" s="283"/>
      <c r="CA377" s="140"/>
      <c r="CB377" s="140"/>
      <c r="CC377" s="140"/>
      <c r="CD377" s="141"/>
      <c r="CE377" s="142"/>
      <c r="CF377" s="284">
        <f>IF(CF$3=$K377,IF($C377="W",1,IF($C377="1/2W",0.5,0)),0)</f>
        <v>0</v>
      </c>
      <c r="CG377" s="285">
        <f>IF(CF$3=$K377,IF($C377="L",1,IF($C377="1/2L",0.5,0)),0)</f>
        <v>0</v>
      </c>
      <c r="CH377" s="285">
        <f>IF(CH$3=$K377,IF($C377="W",1,IF($C377="1/2W",0.5,0)),0)</f>
        <v>0</v>
      </c>
      <c r="CI377" s="285">
        <f>IF(CH$3=$K377,IF($C377="L",1,IF($C377="1/2L",0.5,0)),0)</f>
        <v>0</v>
      </c>
      <c r="CJ377" s="285">
        <f>IF(CJ$3=$K377,IF($C377="W",1,IF($C377="1/2W",0.5,0)),0)</f>
        <v>0</v>
      </c>
      <c r="CK377" s="285">
        <f>IF(CJ$3=$K377,IF($C377="L",1,IF($C377="1/2L",0.5,0)),0)</f>
        <v>0</v>
      </c>
      <c r="CL377" s="285">
        <f>IF(CL$3=$K377,IF($C377="W",1,IF($C377="1/2W",0.5,0)),0)</f>
        <v>0</v>
      </c>
      <c r="CM377" s="285">
        <f>IF(CL$3=$K377,IF($C377="L",1,IF($C377="1/2L",0.5,0)),0)</f>
        <v>0</v>
      </c>
      <c r="CN377" s="285">
        <f>IF(CN$3=$K377,IF($C377="W",1,IF($C377="1/2W",0.5,0)),0)</f>
        <v>1</v>
      </c>
      <c r="CO377" s="285">
        <f>IF(CN$3=$K377,IF($C377="L",1,IF($C377="1/2L",0.5,0)),0)</f>
        <v>0</v>
      </c>
      <c r="CP377" s="285">
        <f>IF(CP$3=$K377,IF($C377="W",1,IF($C377="1/2W",0.5,0)),0)</f>
        <v>0</v>
      </c>
      <c r="CQ377" s="285">
        <f>IF(CP$3=$K377,IF($C377="L",1,IF($C377="1/2L",0.5,0)),0)</f>
        <v>0</v>
      </c>
      <c r="CR377" s="285">
        <f>IF(CR$3=$K377,IF($C377="W",1,IF($C377="1/2W",0.5,0)),0)</f>
        <v>0</v>
      </c>
      <c r="CS377" s="285">
        <f>IF(CR$3=$K377,IF($C377="L",1,IF($C377="1/2L",0.5,0)),0)</f>
        <v>0</v>
      </c>
      <c r="CT377" s="145">
        <f>IF(CT$3=$K377,IF($C377="W",1,IF($C377="1/2W",0.5,0)),0)</f>
        <v>0</v>
      </c>
      <c r="CU377" s="146">
        <f>IF(CT$3=$K377,IF($C377="L",1,IF($C377="1/2L",0.5,0)),0)</f>
        <v>0</v>
      </c>
      <c r="CV377" s="146">
        <f>IF(CV$3=$K377,IF($C377="W",1,IF($C377="1/2W",0.5,0)),0)</f>
        <v>0</v>
      </c>
      <c r="CW377" s="146">
        <f>IF(CV$3=$K377,IF($C377="L",1,IF($C377="1/2L",0.5,0)),0)</f>
        <v>0</v>
      </c>
      <c r="CX377" s="146">
        <f>IF(CX$3=$K377,IF($C377="W",1,IF($C377="1/2W",0.5,0)),0)</f>
        <v>0</v>
      </c>
      <c r="CY377" s="146">
        <f>IF(CX$3=$K377,IF($C377="L",1,IF($C377="1/2L",0.5,0)),0)</f>
        <v>0</v>
      </c>
      <c r="CZ377" s="146">
        <f>IF(CZ$3=$K377,IF($C377="W",1,IF($C377="1/2W",0.5,0)),0)</f>
        <v>0</v>
      </c>
      <c r="DA377" s="146">
        <f>IF(CZ$3=$K377,IF($C377="L",1,IF($C377="1/2L",0.5,0)),0)</f>
        <v>0</v>
      </c>
      <c r="DB377" s="146">
        <f>IF(DB$3=$K377,IF($C377="W",1,IF($C377="1/2W",0.5,0)),0)</f>
        <v>0</v>
      </c>
      <c r="DC377" s="146">
        <f>IF(DB$3=$K377,IF($C377="L",1,IF($C377="1/2L",0.5,0)),0)</f>
        <v>0</v>
      </c>
      <c r="DD377" s="146">
        <f>IF(DD$3=$K377,IF($C377="W",1,IF($C377="1/2W",0.5,0)),0)</f>
        <v>0</v>
      </c>
      <c r="DE377" s="147">
        <f>IF(DD$3=$K377,IF($C377="L",1,IF($C377="1/2L",0.5,0)),0)</f>
        <v>0</v>
      </c>
      <c r="DF377" s="143">
        <f>IF(AND(L377&lt;DF$3,$C377="W"),1+DF376,DF376)</f>
        <v>12</v>
      </c>
      <c r="DG377" s="133">
        <f>IF(DF377&gt;DF376,L377+DG376,DG376)</f>
        <v>15.718</v>
      </c>
      <c r="DH377" s="146">
        <f>IF(AND(L377&gt;DH$3,$C377="W"),1+DH376,0+DH376)</f>
        <v>9</v>
      </c>
      <c r="DI377" s="133">
        <f>IF(DH377&gt;DH376,L377+DI376,DI376)</f>
        <v>49.83</v>
      </c>
      <c r="DJ377" t="s" s="304">
        <f>IF($D376="","",$D376)</f>
        <v>307</v>
      </c>
      <c r="DK377" s="286"/>
    </row>
    <row r="378" ht="14.55" customHeight="1">
      <c r="A378" s="149"/>
      <c r="B378" s="150"/>
      <c r="C378" t="s" s="151">
        <v>58</v>
      </c>
      <c r="D378" s="152"/>
      <c r="E378" s="153"/>
      <c r="F378" s="155"/>
      <c r="G378" s="252"/>
      <c r="H378" s="156"/>
      <c r="I378" s="287"/>
      <c r="J378" s="288"/>
      <c r="K378" s="156"/>
      <c r="L378" s="289"/>
      <c r="M378" s="290"/>
      <c r="N378" s="161"/>
      <c r="O378" t="s" s="162">
        <f>IF(OR(AE376="",AE377=""),"",IF(L378&gt;0,ROUND(IF(M378&gt;0,M378,IF(M376&gt;0,ROUND((M376*AE378)/AE376,IF(N376=0,2,IF(N376=0.1,1,0))),IF(M377&gt;0,ROUND((M377*AE378)/AE377,IF(N376=0,2,IF(N376=0.1,1,0))),IF(M378&gt;0,M378,0)))),2),""))</f>
      </c>
      <c r="P378" t="s" s="163">
        <f>IF(I377="Lay",O377*(L377/(L377-1))-O377,IF(I376="Lay",O376*(L376/(L376-1))-O376,IF(OR(L378="",O378=""),"",IF($C378="1/2W",O378/2+O378/2*L378,IF($C378="1/2L",O378/2,(O378*L378-O378)*(1-_xlfn.XLOOKUP(K378,'Janeiro 2023 - Valor Real'!A3:A15,'Janeiro 2023 - Valor Real'!C3:C15,0))+O378)))))</f>
      </c>
      <c r="Q378" t="s" s="154">
        <f>IF(K378="","",IF(_xlfn.XLOOKUP(K378,K$121:K157,DJ$121:DJ157,0,,-1)=DJ378,_xlfn.XLOOKUP(K378,K$121:K157,Q$121:Q157,1,,-1)+1,1))</f>
      </c>
      <c r="R378" t="s" s="163">
        <f>IF(K378="","",_xlfn.XLOOKUP(K378,K$121:K157,R$121:R157,0,,-1)+IF($C378=" ",1,0))</f>
      </c>
      <c r="S378" s="166"/>
      <c r="T378" s="155"/>
      <c r="U378" s="155"/>
      <c r="V378" s="166"/>
      <c r="W378" s="155"/>
      <c r="X378" s="167"/>
      <c r="Y378" s="128"/>
      <c r="Z378" s="129"/>
      <c r="AA378" s="129"/>
      <c r="AB378" s="129"/>
      <c r="AC378" s="129"/>
      <c r="AD378" s="168"/>
      <c r="AE378" t="s" s="169">
        <f>IF(L378="","",(SUM(((L376-1)*(1-_xlfn.XLOOKUP(K376,'Janeiro 2023 - Valor Real'!A3:A15,'Janeiro 2023 - Valor Real'!C3:C15,0))+1),((L377-1)*(1-_xlfn.XLOOKUP(K377,'Janeiro 2023 - Valor Real'!A3:A15,'Janeiro 2023 - Valor Real'!C3:C15,0))+1),((L378-1)*(1-_xlfn.XLOOKUP(K378,'Janeiro 2023 - Valor Real'!A3:A15,'Janeiro 2023 - Valor Real'!C3:C15,0))+1))/((L378-1)*(1-_xlfn.XLOOKUP(K378,'Janeiro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Real'!C3:C15,0))+1))/((L376-1)*(1-_xlfn.XLOOKUP(K376,'Janeiro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Real'!C3:C15,0))+1))/((L377-1)*(1-_xlfn.XLOOKUP(K377,'Janeiro 2023 - Valor Real'!A3:A15,'Janeiro 2023 - Valor Real'!C3:C15,0))+1)+SUM(((L376-1)*(1-_xlfn.XLOOKUP(K376,'Janeiro 2023 - Valor Real'!A3:A15,'Janeiro 2023 - Valor Real'!C3:C15,0))+1),((L377-1)*(1-_xlfn.XLOOKUP(K377,'Janeiro 2023 - Valor Real'!A3:A15,'Janeiro 2023 - Valor Real'!C3:C15,0))+1),((L378-1)*(1-_xlfn.XLOOKUP(K378,'Janeiro 2023 - Valor Real'!A3:A15,'Janeiro 2023 - Valor Real'!C3:C15,0))+1))/((L378-1)*(1-_xlfn.XLOOKUP(K378,'Janeiro 2023 - Valor Real'!A3:A15,'Janeiro 2023 - Valor Real'!C3:C15,0))+1)))</f>
      </c>
      <c r="AF378" s="132">
        <f>IF($K378=AF$3,ROUND(IF(OR($C378="W",$C378="1/2W",$C378="1/2L"),$P378-$O378,IF($C378="X",0,-$O378)),2),0)</f>
        <v>0</v>
      </c>
      <c r="AG378" s="133">
        <f>IF($K378=AG$3,ROUND(IF(OR($C378="W",$C378="1/2W",$C378="1/2L"),$P378-$O378,IF($C378="X",0,-$O378)),2),0)</f>
        <v>0</v>
      </c>
      <c r="AH378" s="133">
        <f>IF($K378=AH$3,ROUND(IF(OR($C378="W",$C378="1/2W",$C378="1/2L"),$P378-$O378,IF($C378="X",0,-$O378)),2),0)</f>
        <v>0</v>
      </c>
      <c r="AI378" s="133">
        <f>IF($K378=AI$3,ROUND(IF(OR($C378="W",$C378="1/2W",$C378="1/2L"),$P378-$O378,IF($C378="X",0,-$O378)),2),0)</f>
        <v>0</v>
      </c>
      <c r="AJ378" s="133">
        <f>IF($K378=AJ$3,ROUND(IF(OR($C378="W",$C378="1/2W",$C378="1/2L"),$P378-$O378,IF($C378="X",0,-$O378)),2),0)</f>
        <v>0</v>
      </c>
      <c r="AK378" s="133">
        <f>IF($K378=AK$3,ROUND(IF(OR($C378="W",$C378="1/2W",$C378="1/2L"),$P378-$O378,IF($C378="X",0,-$O378)),2),0)</f>
        <v>0</v>
      </c>
      <c r="AL378" s="133">
        <f>IF($K378=AL$3,ROUND(IF(OR($C378="W",$C378="1/2W",$C378="1/2L"),$P378-$O378,IF($C378="X",0,-$O378)),2),0)</f>
        <v>0</v>
      </c>
      <c r="AM378" s="133">
        <f>IF($K378=AM$3,ROUND(IF(OR($C378="W",$C378="1/2W",$C378="1/2L"),$P378-$O378,IF($C378="X",0,-$O378)),2),0)</f>
        <v>0</v>
      </c>
      <c r="AN378" s="133">
        <f>IF($K378=AN$3,ROUND(IF(OR($C378="W",$C378="1/2W",$C378="1/2L"),$P378-$O378,IF($C378="X",0,-$O378)),2),0)</f>
        <v>0</v>
      </c>
      <c r="AO378" s="133">
        <f>IF($K378=AO$3,ROUND(IF(OR($C378="W",$C378="1/2W",$C378="1/2L"),$P378-$O378,IF($C378="X",0,-$O378)),2),0)</f>
        <v>0</v>
      </c>
      <c r="AP378" s="133">
        <f>IF($K378=AP$3,ROUND(IF(OR($C378="W",$C378="1/2W",$C378="1/2L"),$P378-$O378,IF($C378="X",0,-$O378)),2),0)</f>
        <v>0</v>
      </c>
      <c r="AQ378" s="133">
        <f>IF($K378=AQ$3,ROUND(IF(OR($C378="W",$C378="1/2W",$C378="1/2L"),$P378-$O378,IF($C378="X",0,-$O378)),2),0)</f>
        <v>0</v>
      </c>
      <c r="AR378" s="134">
        <f>IF($K378=AR$3,ROUND(IF(OR($C378="W",$C378="1/2W",$C378="1/2L"),$P378-$O378,IF($C378="X",0,-$O378)),2),0)</f>
        <v>0</v>
      </c>
      <c r="AS378" s="132">
        <f>IF(AND($B376=" ",$K378=AS$3),$O378,0)</f>
        <v>0</v>
      </c>
      <c r="AT378" s="133">
        <f>IF(AND($B376=" ",K378=AT$3),$O378,0)</f>
        <v>0</v>
      </c>
      <c r="AU378" s="133">
        <f>IF(AND($B376=" ",$K378=AU$3),$O378,0)</f>
        <v>0</v>
      </c>
      <c r="AV378" s="133">
        <f>IF(AND($B376=" ",$K378=AV$3),$O378,0)</f>
        <v>0</v>
      </c>
      <c r="AW378" s="133">
        <f>IF(AND($B376=" ",$K378=AW$3),$O378,0)</f>
        <v>0</v>
      </c>
      <c r="AX378" s="133">
        <f>IF(AND($B376=" ",$K378=AX$3),$O378,0)</f>
        <v>0</v>
      </c>
      <c r="AY378" s="135">
        <f>IF(AND($B376=" ",$K378=AY$3),$O378,0)</f>
        <v>0</v>
      </c>
      <c r="AZ378" s="136">
        <f>IF(AND($B376=" ",$K378=AZ$3),$O378,0)</f>
        <v>0</v>
      </c>
      <c r="BA378" s="136">
        <f>IF(AND($B376=" ",$K378=BA$3),$O378,0)</f>
        <v>0</v>
      </c>
      <c r="BB378" s="136">
        <f>IF(AND($B376=" ",$K378=BB$3),$O378,0)</f>
        <v>0</v>
      </c>
      <c r="BC378" s="137">
        <f>IF(AND($B376=" ",$K378=BC$3),$O378,0)</f>
        <v>0</v>
      </c>
      <c r="BD378" s="133">
        <f>IF(AND($B376=" ",$K378=BD$3),$O378,0)</f>
        <v>0</v>
      </c>
      <c r="BE378" s="134">
        <f>IF(AND($B376=" ",$K378=BE$3),$O378,0)</f>
        <v>0</v>
      </c>
      <c r="BF378" s="132">
        <f>IF($K378=BF$3,IF($C378="X",0,$O378),0)</f>
        <v>0</v>
      </c>
      <c r="BG378" s="281">
        <f>IF($K378=BG$3,IF($C378="X",0,$O378),0)</f>
        <v>0</v>
      </c>
      <c r="BH378" s="133">
        <f>IF($K378=BH$3,IF($C378="X",0,$O378),0)</f>
        <v>0</v>
      </c>
      <c r="BI378" s="133">
        <f>IF($K378=BI$3,IF($C378="X",0,$O378),0)</f>
        <v>0</v>
      </c>
      <c r="BJ378" s="133">
        <f>IF($K378=BJ$3,IF($C378="X",0,$O378),0)</f>
        <v>0</v>
      </c>
      <c r="BK378" s="133">
        <f>IF($K378=BK$3,IF($C378="X",0,$O378),0)</f>
        <v>0</v>
      </c>
      <c r="BL378" s="133">
        <f>IF($K378=BL$3,IF($C378="X",0,$O378),0)</f>
        <v>0</v>
      </c>
      <c r="BM378" s="135">
        <f>IF($K378=BM$3,IF($C378="X",0,$O378),0)</f>
        <v>0</v>
      </c>
      <c r="BN378" s="136">
        <f>IF($K378=BN$3,IF($C378="X",0,$O378),0)</f>
        <v>0</v>
      </c>
      <c r="BO378" s="136">
        <f>IF($K378=BO$3,IF($C378="X",0,$O378),0)</f>
        <v>0</v>
      </c>
      <c r="BP378" s="136">
        <f>IF($K378=BP$3,IF($C378="X",0,$O378),0)</f>
        <v>0</v>
      </c>
      <c r="BQ378" s="137">
        <f>IF($K378=BQ$3,IF($C378="X",0,$O378),0)</f>
        <v>0</v>
      </c>
      <c r="BR378" s="134">
        <f>IF($K378=BR$3,IF($C378="X",0,$O378),0)</f>
        <v>0</v>
      </c>
      <c r="BS378" s="282"/>
      <c r="BT378" s="283"/>
      <c r="BU378" s="140"/>
      <c r="BV378" s="283"/>
      <c r="BW378" s="140"/>
      <c r="BX378" s="140"/>
      <c r="BY378" s="140"/>
      <c r="BZ378" s="283"/>
      <c r="CA378" s="140"/>
      <c r="CB378" s="140"/>
      <c r="CC378" s="140"/>
      <c r="CD378" s="141"/>
      <c r="CE378" s="142"/>
      <c r="CF378" s="284">
        <f>IF(CF$3=$K378,IF($C378="W",1,IF($C378="1/2W",0.5,0)),0)</f>
        <v>0</v>
      </c>
      <c r="CG378" s="285">
        <f>IF(CF$3=$K378,IF($C378="L",1,IF($C378="1/2L",0.5,0)),0)</f>
        <v>0</v>
      </c>
      <c r="CH378" s="285">
        <f>IF(CH$3=$K378,IF($C378="W",1,IF($C378="1/2W",0.5,0)),0)</f>
        <v>0</v>
      </c>
      <c r="CI378" s="285">
        <f>IF(CH$3=$K378,IF($C378="L",1,IF($C378="1/2L",0.5,0)),0)</f>
        <v>0</v>
      </c>
      <c r="CJ378" s="285">
        <f>IF(CJ$3=$K378,IF($C378="W",1,IF($C378="1/2W",0.5,0)),0)</f>
        <v>0</v>
      </c>
      <c r="CK378" s="285">
        <f>IF(CJ$3=$K378,IF($C378="L",1,IF($C378="1/2L",0.5,0)),0)</f>
        <v>0</v>
      </c>
      <c r="CL378" s="285">
        <f>IF(CL$3=$K378,IF($C378="W",1,IF($C378="1/2W",0.5,0)),0)</f>
        <v>0</v>
      </c>
      <c r="CM378" s="285">
        <f>IF(CL$3=$K378,IF($C378="L",1,IF($C378="1/2L",0.5,0)),0)</f>
        <v>0</v>
      </c>
      <c r="CN378" s="285">
        <f>IF(CN$3=$K378,IF($C378="W",1,IF($C378="1/2W",0.5,0)),0)</f>
        <v>0</v>
      </c>
      <c r="CO378" s="285">
        <f>IF(CN$3=$K378,IF($C378="L",1,IF($C378="1/2L",0.5,0)),0)</f>
        <v>0</v>
      </c>
      <c r="CP378" s="285">
        <f>IF(CP$3=$K378,IF($C378="W",1,IF($C378="1/2W",0.5,0)),0)</f>
        <v>0</v>
      </c>
      <c r="CQ378" s="285">
        <f>IF(CP$3=$K378,IF($C378="L",1,IF($C378="1/2L",0.5,0)),0)</f>
        <v>0</v>
      </c>
      <c r="CR378" s="285">
        <f>IF(CR$3=$K378,IF($C378="W",1,IF($C378="1/2W",0.5,0)),0)</f>
        <v>0</v>
      </c>
      <c r="CS378" s="285">
        <f>IF(CR$3=$K378,IF($C378="L",1,IF($C378="1/2L",0.5,0)),0)</f>
        <v>0</v>
      </c>
      <c r="CT378" s="145">
        <f>IF(CT$3=$K378,IF($C378="W",1,IF($C378="1/2W",0.5,0)),0)</f>
        <v>0</v>
      </c>
      <c r="CU378" s="146">
        <f>IF(CT$3=$K378,IF($C378="L",1,IF($C378="1/2L",0.5,0)),0)</f>
        <v>0</v>
      </c>
      <c r="CV378" s="146">
        <f>IF(CV$3=$K378,IF($C378="W",1,IF($C378="1/2W",0.5,0)),0)</f>
        <v>0</v>
      </c>
      <c r="CW378" s="146">
        <f>IF(CV$3=$K378,IF($C378="L",1,IF($C378="1/2L",0.5,0)),0)</f>
        <v>0</v>
      </c>
      <c r="CX378" s="146">
        <f>IF(CX$3=$K378,IF($C378="W",1,IF($C378="1/2W",0.5,0)),0)</f>
        <v>0</v>
      </c>
      <c r="CY378" s="146">
        <f>IF(CX$3=$K378,IF($C378="L",1,IF($C378="1/2L",0.5,0)),0)</f>
        <v>0</v>
      </c>
      <c r="CZ378" s="146">
        <f>IF(CZ$3=$K378,IF($C378="W",1,IF($C378="1/2W",0.5,0)),0)</f>
        <v>0</v>
      </c>
      <c r="DA378" s="146">
        <f>IF(CZ$3=$K378,IF($C378="L",1,IF($C378="1/2L",0.5,0)),0)</f>
        <v>0</v>
      </c>
      <c r="DB378" s="146">
        <f>IF(DB$3=$K378,IF($C378="W",1,IF($C378="1/2W",0.5,0)),0)</f>
        <v>0</v>
      </c>
      <c r="DC378" s="146">
        <f>IF(DB$3=$K378,IF($C378="L",1,IF($C378="1/2L",0.5,0)),0)</f>
        <v>0</v>
      </c>
      <c r="DD378" s="146">
        <f>IF(DD$3=$K378,IF($C378="W",1,IF($C378="1/2W",0.5,0)),0)</f>
        <v>0</v>
      </c>
      <c r="DE378" s="147">
        <f>IF(DD$3=$K378,IF($C378="L",1,IF($C378="1/2L",0.5,0)),0)</f>
        <v>0</v>
      </c>
      <c r="DF378" s="143">
        <f>IF(AND(L378&lt;DF$3,$C378="W"),1+DF377,DF377)</f>
        <v>12</v>
      </c>
      <c r="DG378" s="133">
        <f>IF(DF378&gt;DF377,L378+DG377,DG377)</f>
        <v>15.718</v>
      </c>
      <c r="DH378" s="146">
        <f>IF(AND(L378&gt;DH$3,$C378="W"),1+DH377,0+DH377)</f>
        <v>9</v>
      </c>
      <c r="DI378" s="133">
        <f>IF(DH378&gt;DH377,L378+DI377,DI377)</f>
        <v>49.83</v>
      </c>
      <c r="DJ378" t="s" s="304">
        <f>IF($D376="","",$D376)</f>
        <v>307</v>
      </c>
      <c r="DK378" s="286"/>
    </row>
    <row r="379" ht="14.55" customHeight="1">
      <c r="A379" s="171">
        <f>$A376+1</f>
        <v>126</v>
      </c>
      <c r="B379" t="s" s="172">
        <f>IF(AND(_xlfn.XLOOKUP(H379,H$122:H152,G$122:G152,0)=G379,_xlfn.XLOOKUP("TempoBet",K379:K381,L379:L381,0)&gt;0),"X",IF(OR(C379="W",C380="W",C381="W",C379="1/2W",C380="1/2W",C381="1/2W",C379="1/2L",C380="1/2L",C381="1/2L"),"OK",IF(OR(C379="L",C380="L",C381="L"),"LOSS",IF(OR(C379="X",C380="X",C381="X"),"Anulado"," "))))</f>
        <v>50</v>
      </c>
      <c r="C379" t="s" s="173">
        <v>51</v>
      </c>
      <c r="D379" t="s" s="305">
        <f>IF(G379="","",$D376)</f>
        <v>307</v>
      </c>
      <c r="E379" t="s" s="175">
        <f>IF(G379=""," ","– "&amp;COUNTIF(D$4:D381,$D379))</f>
        <v>118</v>
      </c>
      <c r="F379" t="s" s="176"/>
      <c r="G379" s="177">
        <v>44951.583333333336</v>
      </c>
      <c r="H379" t="s" s="178">
        <v>317</v>
      </c>
      <c r="I379" t="s" s="179">
        <v>65</v>
      </c>
      <c r="J379" s="291">
        <v>1.5</v>
      </c>
      <c r="K379" t="s" s="181">
        <v>37</v>
      </c>
      <c r="L379" s="182">
        <v>4</v>
      </c>
      <c r="M379" s="183"/>
      <c r="N379" s="184">
        <v>0</v>
      </c>
      <c r="O379" s="185">
        <f>IF(OR(AE379="",AE380=""),"",ROUND(IF(L381&gt;0,IF(M379&gt;0,M379,IF(M380&gt;0,ROUND((M380*AE379)/AE380,IF(N379=0,2,IF(N379=0.1,1,0))),ROUND((M381*AE379)/AE381,IF(N379=0,2,IF(N379=0.1,1,0))))),IF(M379&gt;0,M379,ROUND((M380*AE379)/AE380,IF(N379=0,2,IF(N379=0.1,1,0))))),2))</f>
        <v>2</v>
      </c>
      <c r="P379" s="186">
        <f>IF(OR(L379="",O379=""),"",IF($C379="1/2W",O379/2+O379/2*L379,IF($C379="1/2L",O379/2,IF(I379="Lay",(O379*(L379/(L379-1))-O379)*(1-_xlfn.XLOOKUP(K379,'Janeiro 2023 - Valor Real'!A3:A15,'Janeiro 2023 - Valor Real'!C3:C15,0))+O379,(O379*L379-O379)*(1-_xlfn.XLOOKUP(K379,'Janeiro 2023 - Valor Real'!A3:A15,'Janeiro 2023 - Valor Real'!C3:C15,0))+O379))))</f>
        <v>8</v>
      </c>
      <c r="Q379" s="187">
        <f>IF(K379="","",IF(_xlfn.XLOOKUP(K379,K$122:K152,DJ$122:DJ152,0,,-1)=DJ379,_xlfn.XLOOKUP(K379,K$122:K152,Q$122:Q152,1,,-1)+1,1))</f>
        <v>1</v>
      </c>
      <c r="R379" s="188">
        <f>IF(K379="","",_xlfn.XLOOKUP(K379,K$122:K152,R$122:R152,0,,-1)+IF($C379=" ",1,0))</f>
        <v>0</v>
      </c>
      <c r="S379" s="189">
        <f>IF($B379="Anulado",0,ROUND(IF(OR($B379="LOSS",$B379="OK"),IF(OR($C379="W",$C379="1/2W",$C379="1/2L"),P379-O379,IF($C379="L",-O379,0))+IF(OR($C380="W",$C380="1/2W",$C380="1/2L"),P380-O380,IF($C380="L",-O380,0))+IF(OR($C381="W",$C381="1/2W",$C381="1/2L"),P381-O381,IF($C381="L",-O381,0)),IF(AND(OR($C379="W",$C379="1/2W",$C379="1/2L"),C380="W"),P379+P380-SUM(O379:O381)+_xlfn.XLOOKUP("X",C379:C381,O379:O381,0),IF(AND(C379=TRUE,C381="W"),P379+P381-SUM(O379:O381),IF(AND(C380="W",C381="W"),P380+P381-SUM(O379:O381)+_xlfn.XLOOKUP("X",C379:C381,O379:O381,0),IF(L381&gt;0,IF(OR($C379="W",$C379="1/2W",$C379="1/2L"),P379-SUM(O379:O381)+_xlfn.XLOOKUP("X",C379:C381,O379:O381,0),IF(OR($C379="W",$C379="1/2W",$C379="1/2L"),P380-SUM(O379:O381)+_xlfn.XLOOKUP("X",C379:C381,O379:O381,0),IF(OR($C379="W",$C379="1/2W",$C379="1/2L"),P381-SUM(O379:O381)+_xlfn.XLOOKUP("X",C379:C381,O379:O381,0),IF(SUM(P379:P381)/3-SUM(O379:O381)+_xlfn.XLOOKUP("X",C379:C381,O379:O381,0)&gt;0,SUM(P379:P381)/3-SUM(O379:O381)+_xlfn.XLOOKUP("X",C379:C381,O379:O381,0),LARGE(P379:P381,1)-SUM(O379:O381))))),IF(OR($C379="W",$C379="1/2W",$C379="1/2L"),P379-SUM(O379:O380)+_xlfn.XLOOKUP("X",C379:C381,O379:O381,0),IF(OR($C379="W",$C379="1/2W",$C379="1/2L"),P380-SUM(O379:O380)+_xlfn.XLOOKUP("X",C379:C381,O379:O381,0),SUM(P379:P380)/2-SUM(O379:O380)+_xlfn.XLOOKUP("X",C379:C381,O379:O381,0)))))))),2))</f>
        <v>1.37</v>
      </c>
      <c r="T379" s="190">
        <f>IF(S379=0,0,S379/SUM(O379:O381))</f>
        <v>0.206948640483384</v>
      </c>
      <c r="U379" s="191">
        <f>IF($D379=$D376,IF(OR($B379="LOSS",$B379="OK",$B379="Anulada"),S379,0)+U376,IF(OR($B379="LOSS",$B379="OK",$B379="Anulada"),S379,0))</f>
        <v>11.9</v>
      </c>
      <c r="V379" s="191">
        <f>IF($D379="",0,IF($D379=$D376,IF($B379=" ",IF(I381="",IF(OR(AND(I379="DNB1",I380="DNB2"),AND(OR(I379="DNB1",I379="DNB2"),J380=0),AND(OR(I380="DNB1",I380="DNB2"),J379=0),AND(I379="DNB2",I380="DNB1"),AND(IF(J379=0,(J379+1)/ROUND(J379+1,0),J379/ROUND(J379,0))=1,IF(J380=0,(J380+1)/ROUND(IF(J380="",0,J380)+1,0),IF(J380="",0,J380)/ROUND(IF(J380="",1,J380),0))=1,OR(J379&lt;&gt;""),J380&lt;&gt;"")),0,IF(S379&lt;0,IF(I381="",SMALL(P379:P380,1)-SUM(O379:O380),0),SMALL(P379:P380,1)-SUM(O379:O380))),IF(S379&lt;0,IF(I381="",SMALL(P379:P381,1)-SUM(O379:O381),0),LARGE(P379:P381,1)-SUM(O379:O381))),S379)+V376,IF(I381="",IF(OR(AND(I379="DNB1",I380="DNB2"),AND(OR(I379="DNB1",I379="DNB2"),J380=0),AND(OR(I380="DNB1",I380="DNB2"),J379=0),AND(I379="DNB2",I380="DNB1"),AND(IF(J379=0,(J379+1)/ROUND(J379+1,0),J379/ROUND(J379,0))=1,IF(J380=0,(IF(J380="",0,J380)+1)/ROUND(IF(J380="",0,J380)+1,0),IF(J380="",0,J380)/ROUND(IF(J380="",0,J380)+1,0))=1,OR(J379&lt;&gt;""),J380&lt;&gt;"")),0,IF(S379&lt;0,IF(I381="",SMALL(P379:P380,1)-SUM(O379:O380),0),SMALL(P379:P381,1)-SUM(O379:O381))),IF(S379&lt;0,IF(I381="",SMALL(P379:P381,1)-SUM(O379:O381),0),LARGE(P379:P381,1)-SUM(O379:O381)))))</f>
        <v>11.90225</v>
      </c>
      <c r="W379" s="191">
        <f>IF($D379=$D376,IF(S379&lt;0,IF(I381="",S379,0),S379)+W376,S379)</f>
        <v>11.9</v>
      </c>
      <c r="X379" t="s" s="192">
        <f>IF(OR(SUM(R379:R381)=0,V379=W379),ROUND(IF(W379=0,0,W379/Y379)*100,2)&amp;"%",ROUND(IF(V379=0,0,V379/Y379)*100,2)&amp;"% a "&amp;ROUND(IF(W379=0,0,W379/Y379)*100,2)&amp;"%")</f>
        <v>319</v>
      </c>
      <c r="Y379" s="193">
        <f>IF($D379=$D376,Y376+SUM(O379:O381),SUM(O379:O381))</f>
        <v>116.84</v>
      </c>
      <c r="Z379" s="191">
        <f>IF($B379=" ",SUM(O379:O381),0)+Z376</f>
        <v>0</v>
      </c>
      <c r="AA379" s="191">
        <f>IF(G379="","",IF($B379="Anulado",LARGE(P379:P381,1)-SUM(O379:O381)+AA376,AA376))</f>
        <v>16.5099</v>
      </c>
      <c r="AB379" s="191">
        <f>IF($D379="","",AB376+S379)</f>
        <v>263.57</v>
      </c>
      <c r="AC379" s="194">
        <f>IF($D379="","",IF($B379=" ",IF(DAY(G379)=DAY(TODAY()),1+AC376,0+AC376),0+AC376))</f>
        <v>0</v>
      </c>
      <c r="AD379" s="195">
        <f>(((L380/(L380-1)-1)*(1-_xlfn.XLOOKUP(K380,'Janeiro 2023 - Valor Real'!A3:A15,'Janeiro 2023 - Valor Real'!C3:C15,0))+1))/(((L379-1)*(1-_xlfn.XLOOKUP(K379,'Janeiro 2023 - Valor Real'!A3:A15,'Janeiro 2023 - Valor Real'!C3:C15,0))+1)+((L380/(L380-1)-1)*(1-_xlfn.XLOOKUP(K380,'Janeiro 2023 - Valor Real'!A3:A15,'Janeiro 2023 - Valor Real'!C3:C15,0))+1))</f>
        <v>0.372043010752688</v>
      </c>
      <c r="AE379" s="196">
        <f>IF(L379="","",IF(L381&gt;0,(SUM(((L379-1)*(1-_xlfn.XLOOKUP(K379,'Janeiro 2023 - Valor Real'!A3:A15,'Janeiro 2023 - Valor Real'!C3:C15,0))+1),((L380-1)*(1-_xlfn.XLOOKUP(K380,'Janeiro 2023 - Valor Real'!A3:A15,'Janeiro 2023 - Valor Real'!C3:C15,0))+1),((L381-1)*(1-_xlfn.XLOOKUP(K381,'Janeiro 2023 - Valor Real'!A3:A15,'Janeiro 2023 - Valor Real'!C3:C15,0))+1))/((L379-1)*(1-_xlfn.XLOOKUP(K379,'Janeiro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Real'!C3:C15,0))+1))/((L379-1)*(1-_xlfn.XLOOKUP(K379,'Janeiro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Real'!C3:C15,0))+1))/((L380-1)*(1-_xlfn.XLOOKUP(K380,'Janeiro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Real'!C3:C15,0))+1))/((L381-1)*(1-_xlfn.XLOOKUP(K381,'Janeiro 2023 - Valor Real'!A3:A15,'Janeiro 2023 - Valor Real'!C3:C15,0))+1)),IF(I379="Lay",IF(I380="Lay",((L380/(L380-1)-1)*(1-_xlfn.XLOOKUP(K380,'Janeiro 2023 - Valor Real'!A3:A15,'Janeiro 2023 - Valor Real'!C3:C15,0))+1)/(((L380/(L380-1)-1)*(1-_xlfn.XLOOKUP(K380,'Janeiro 2023 - Valor Real'!A3:A15,'Janeiro 2023 - Valor Real'!C3:C15,0))+1)+((L379/(L379-1)-1)*(1-_xlfn.XLOOKUP(K379,'Janeiro 2023 - Valor Real'!A3:A15,'Janeiro 2023 - Valor Real'!C3:C15,0))+1)),((L380-1)*(1-_xlfn.XLOOKUP(K380,'Janeiro 2023 - Valor Real'!A3:A15,'Janeiro 2023 - Valor Real'!C3:C15,0))+1)/(((L380-1)*(1-_xlfn.XLOOKUP(K380,'Janeiro 2023 - Valor Real'!A3:A15,'Janeiro 2023 - Valor Real'!C3:C15,0))+1)+((L379/(L379-1)-1)*(1-_xlfn.XLOOKUP(K379,'Janeiro 2023 - Valor Real'!A3:A15,'Janeiro 2023 - Valor Real'!C3:C15,0))+1))),IF(I380="Lay",(((L380/(L380-1)-1)*(1-_xlfn.XLOOKUP(K380,'Janeiro 2023 - Valor Real'!A3:A15,'Janeiro 2023 - Valor Real'!C3:C15,0))+1))/(((L379-1)*(1-_xlfn.XLOOKUP(K379,'Janeiro 2023 - Valor Real'!A3:A15,'Janeiro 2023 - Valor Real'!C3:C15,0))+1)+((L380/(L380-1)-1)*(1-_xlfn.XLOOKUP(K380,'Janeiro 2023 - Valor Real'!A3:A15,'Janeiro 2023 - Valor Real'!C3:C15,0))+1)),((L380-1)*(1-_xlfn.XLOOKUP(K380,'Janeiro 2023 - Valor Real'!A3:A15,'Janeiro 2023 - Valor Real'!C3:C15,0))+1)/(((L380-1)*(1-_xlfn.XLOOKUP(K380,'Janeiro 2023 - Valor Real'!A3:A15,'Janeiro 2023 - Valor Real'!C3:C15,0))+1)+((L379-1)*(1-_xlfn.XLOOKUP(K379,'Janeiro 2023 - Valor Real'!A3:A15,'Janeiro 2023 - Valor Real'!C3:C15,0))+1))))))</f>
        <v>0.301919720767888</v>
      </c>
      <c r="AF379" s="197">
        <f>IF($K379=AF$3,ROUND(IF(OR($C379="W",$C379="1/2W",$C379="1/2L"),$P379-$O379,IF($C379="X",0,-$O379)),2),0)</f>
        <v>-2</v>
      </c>
      <c r="AG379" s="198">
        <f>IF($K379=AG$3,ROUND(IF(OR($C379="W",$C379="1/2W",$C379="1/2L"),$P379-$O379,IF($C379="X",0,-$O379)),2),0)</f>
        <v>0</v>
      </c>
      <c r="AH379" s="198">
        <f>IF($K379=AH$3,ROUND(IF(OR($C379="W",$C379="1/2W",$C379="1/2L"),$P379-$O379,IF($C379="X",0,-$O379)),2),0)</f>
        <v>0</v>
      </c>
      <c r="AI379" s="198">
        <f>IF($K379=AI$3,ROUND(IF(OR($C379="W",$C379="1/2W",$C379="1/2L"),$P379-$O379,IF($C379="X",0,-$O379)),2),0)</f>
        <v>0</v>
      </c>
      <c r="AJ379" s="198">
        <f>IF($K379=AJ$3,ROUND(IF(OR($C379="W",$C379="1/2W",$C379="1/2L"),$P379-$O379,IF($C379="X",0,-$O379)),2),0)</f>
        <v>0</v>
      </c>
      <c r="AK379" s="198">
        <f>IF($K379=AK$3,ROUND(IF(OR($C379="W",$C379="1/2W",$C379="1/2L"),$P379-$O379,IF($C379="X",0,-$O379)),2),0)</f>
        <v>0</v>
      </c>
      <c r="AL379" s="198">
        <f>IF($K379=AL$3,ROUND(IF(OR($C379="W",$C379="1/2W",$C379="1/2L"),$P379-$O379,IF($C379="X",0,-$O379)),2),0)</f>
        <v>0</v>
      </c>
      <c r="AM379" s="198">
        <f>IF($K379=AM$3,ROUND(IF(OR($C379="W",$C379="1/2W",$C379="1/2L"),$P379-$O379,IF($C379="X",0,-$O379)),2),0)</f>
        <v>0</v>
      </c>
      <c r="AN379" s="198">
        <f>IF($K379=AN$3,ROUND(IF(OR($C379="W",$C379="1/2W",$C379="1/2L"),$P379-$O379,IF($C379="X",0,-$O379)),2),0)</f>
        <v>0</v>
      </c>
      <c r="AO379" s="198">
        <f>IF($K379=AO$3,ROUND(IF(OR($C379="W",$C379="1/2W",$C379="1/2L"),$P379-$O379,IF($C379="X",0,-$O379)),2),0)</f>
        <v>0</v>
      </c>
      <c r="AP379" s="198">
        <f>IF($K379=AP$3,ROUND(IF(OR($C379="W",$C379="1/2W",$C379="1/2L"),$P379-$O379,IF($C379="X",0,-$O379)),2),0)</f>
        <v>0</v>
      </c>
      <c r="AQ379" s="198">
        <f>IF($K379=AQ$3,ROUND(IF(OR($C379="W",$C379="1/2W",$C379="1/2L"),$P379-$O379,IF($C379="X",0,-$O379)),2),0)</f>
        <v>0</v>
      </c>
      <c r="AR379" s="199">
        <f>IF($K379=AR$3,ROUND(IF(OR($C379="W",$C379="1/2W",$C379="1/2L"),$P379-$O379,IF($C379="X",0,-$O379)),2),0)</f>
        <v>0</v>
      </c>
      <c r="AS379" s="197">
        <f>IF(AND($B379=" ",$K379=AS$3),$O379,0)</f>
        <v>0</v>
      </c>
      <c r="AT379" s="198">
        <f>IF(AND($B379=" ",$K379=AT$3),$O379,0)</f>
        <v>0</v>
      </c>
      <c r="AU379" s="198">
        <f>IF(AND($B379=" ",$K379=AU$3),$O379,0)</f>
        <v>0</v>
      </c>
      <c r="AV379" s="198">
        <f>IF(AND($B379=" ",$K379=AV$3),$O379,0)</f>
        <v>0</v>
      </c>
      <c r="AW379" s="198">
        <f>IF(AND($B379=" ",$K379=AW$3),$O379,0)</f>
        <v>0</v>
      </c>
      <c r="AX379" s="198">
        <f>IF(AND($B379=" ",$K379=AX$3),$O379,0)</f>
        <v>0</v>
      </c>
      <c r="AY379" s="200">
        <f>IF(AND($B379=" ",$K379=AY$3),$O379,0)</f>
        <v>0</v>
      </c>
      <c r="AZ379" s="201">
        <f>IF(AND($B379=" ",$K379=AZ$3),$O379,0)</f>
        <v>0</v>
      </c>
      <c r="BA379" s="201">
        <f>IF(AND($B379=" ",$K379=BA$3),$O379,0)</f>
        <v>0</v>
      </c>
      <c r="BB379" s="201">
        <f>IF(AND($B379=" ",$K379=BB$3),$O379,0)</f>
        <v>0</v>
      </c>
      <c r="BC379" s="202">
        <f>IF(AND($B379=" ",$K379=BC$3),$O379,0)</f>
        <v>0</v>
      </c>
      <c r="BD379" s="198">
        <f>IF(AND($B379=" ",$K379=BD$3),$O379,0)</f>
        <v>0</v>
      </c>
      <c r="BE379" s="199">
        <f>IF(AND($B379=" ",$K379=BE$3),$O379,0)</f>
        <v>0</v>
      </c>
      <c r="BF379" s="203">
        <f>IF($K379=BF$3,IF($C379="X",0,$O379),0)</f>
        <v>2</v>
      </c>
      <c r="BG379" s="198">
        <f>IF($K379=BG$3,IF($C379="X",0,$O379),0)</f>
        <v>0</v>
      </c>
      <c r="BH379" s="198">
        <f>IF($K379=BH$3,IF($C379="X",0,$O379),0)</f>
        <v>0</v>
      </c>
      <c r="BI379" s="198">
        <f>IF($K379=BI$3,IF($C379="X",0,$O379),0)</f>
        <v>0</v>
      </c>
      <c r="BJ379" s="198">
        <f>IF($K379=BJ$3,IF($C379="X",0,$O379),0)</f>
        <v>0</v>
      </c>
      <c r="BK379" s="198">
        <f>IF($K379=BK$3,IF($C379="X",0,$O379),0)</f>
        <v>0</v>
      </c>
      <c r="BL379" s="198">
        <f>IF($K379=BL$3,IF($C379="X",0,$O379),0)</f>
        <v>0</v>
      </c>
      <c r="BM379" s="200">
        <f>IF($K379=BM$3,IF($C379="X",0,$O379),0)</f>
        <v>0</v>
      </c>
      <c r="BN379" s="201">
        <f>IF($K379=BN$3,IF($C379="X",0,$O379),0)</f>
        <v>0</v>
      </c>
      <c r="BO379" s="201">
        <f>IF($K379=BO$3,IF($C379="X",0,$O379),0)</f>
        <v>0</v>
      </c>
      <c r="BP379" s="201">
        <f>IF($K379=BP$3,IF($C379="X",0,$O379),0)</f>
        <v>0</v>
      </c>
      <c r="BQ379" s="202">
        <f>IF($K379=BQ$3,IF($C379="X",0,$O379),0)</f>
        <v>0</v>
      </c>
      <c r="BR379" s="199">
        <f>IF($K379=BR$3,IF($C379="X",0,$O379),0)</f>
        <v>0</v>
      </c>
      <c r="BS379" s="204">
        <f>IF($B379="LOSS",IF(AND($K379=BS$3,$C379="L"),-$O379,0)+IF(AND($K380=BS$3,$C380="L"),-$O380,0)+IF(AND($K381=BS$3,$C381="L"),-$O381,0),IF(OR(AND($K379=BS$3,OR($C379="W",$C379="1/2W")),AND($K380=BS$3,OR($C380="W",$C380="1/2W")),AND($K381=BS$3,OR($C381="W",$C381="1/2W"))),$S379,0))</f>
        <v>0</v>
      </c>
      <c r="BT379" s="201">
        <f>IF($B379="LOSS",IF(AND($K379=BT$3,$C379="L"),-$O379,0)+IF(AND($K380=BT$3,$C380="L"),-$O380,0)+IF(AND($K380=BT$3,$C381="L"),-$O381,0),IF(OR(AND($K380=BT$3,OR($C379="W",$C379="1/2W")),AND($K380=BT$3,OR($C380="W",$C380="1/2W")),AND($K380=BT$3,OR($C381="W",$C381="1/2W"))),$S379,0))</f>
        <v>0</v>
      </c>
      <c r="BU379" s="201">
        <f>IF($B379="LOSS",IF(AND($K379=BU$3,$C379="L"),-$O379,0)+IF(AND($K380=BU$3,$C380="L"),-$O380,0)+IF(AND($K380=BU$3,$C381="L"),-$O381,0),IF(OR(AND($K380=BU$3,OR($C379="W",$C379="1/2W")),AND($K380=BU$3,OR($C380="W",$C380="1/2W")),AND($K380=BU$3,OR($C381="W",$C381="1/2W"))),$S379,0))</f>
        <v>0</v>
      </c>
      <c r="BV379" s="201">
        <f>IF($B379="LOSS",IF(AND($K379=BV$3,$C379="L"),-$O379,0)+IF(AND($K380=BV$3,$C380="L"),-$O380,0)+IF(AND($K381=BV$3,$C381="L"),-$O381,0),IF(OR(AND($K379=BV$3,OR($C379="W",$C379="1/2W")),AND($K380=BV$3,OR($C380="W",$C380="1/2W")),AND($K381=BV$3,OR($C381="W",$C381="1/2W"))),$S379,0))</f>
        <v>0</v>
      </c>
      <c r="BW379" s="201">
        <f>IF($B379="LOSS",IF(AND($K379=BW$3,$C379="L"),-$O379,0)+IF(AND($K380=BW$3,$C380="L"),-$O380,0)+IF(AND($K381=BW$3,$C381="L"),-$O381,0),IF(OR(AND($K379=BW$3,OR($C379="W",$C379="1/2W")),AND($K380=BW$3,OR($C380="W",$C380="1/2W")),AND($K381=BW$3,OR($C381="W",$C381="1/2W"))),$S379,0))</f>
        <v>1.37</v>
      </c>
      <c r="BX379" s="201">
        <f>IF($B379="LOSS",IF(AND($K379=BX$3,$C379="L"),-$O379,0)+IF(AND($K380=BX$3,$C380="L"),-$O380,0)+IF(AND($K381=BX$3,$C381="L"),-$O381,0),IF(OR(AND($K379=BX$3,OR($C379="W",$C379="1/2W")),AND($K380=BX$3,OR($C380="W",$C380="1/2W")),AND($K381=BX$3,OR($C381="W",$C381="1/2W"))),$S379,0))</f>
        <v>0</v>
      </c>
      <c r="BY379" s="201">
        <f>IF($B379="LOSS",IF(AND($K379=BY$3,$C379="L"),-$O379,0)+IF(AND($K380=BY$3,$C380="L"),-$O380,0)+IF(AND($K381=BY$3,$C381="L"),-$O381,0),IF(OR(AND($K379=BY$3,OR($C379="W",$C379="1/2W")),AND($K380=BY$3,OR($C380="W",$C380="1/2W")),AND($K381=BY$3,OR($C381="W",$C381="1/2W"))),$S379,0))</f>
        <v>0</v>
      </c>
      <c r="BZ379" s="205">
        <f>IF($B379="LOSS",IF(AND($K379=BZ$3,$C379="L"),-$O379,0)+IF(AND($K380=BZ$3,$C380="L"),-$O380,0)+IF(AND($K381=BZ$3,$C381="L"),-$O381,0),IF(OR(AND($K379=BZ$3,OR($C379="W",$C379="1/2W")),AND($K380=BZ$3,OR($C380="W",$C380="1/2W")),AND($K381=BZ$3,OR($C381="W",$C381="1/2W"))),$S379,0))</f>
        <v>0</v>
      </c>
      <c r="CA379" s="205">
        <f>IF($B379="LOSS",IF(AND($K379=CA$3,$C379="L"),-$O379,0)+IF(AND($K380=CA$3,$C380="L"),-$O380,0)+IF(AND($K381=CA$3,$C381="L"),-$O381,0),IF(OR(AND($K379=CA$3,OR($C379="W",$C379="1/2W")),AND($K380=CA$3,OR($C380="W",$C380="1/2W")),AND($K381=CA$3,OR($C381="W",$C381="1/2W"))),$S379,0))</f>
        <v>0</v>
      </c>
      <c r="CB379" s="205">
        <f>IF($B379="LOSS",IF(AND($K379=CB$3,$C379="L"),-$O379,0)+IF(AND($K380=CB$3,$C380="L"),-$O380,0)+IF(AND($K381=CB$3,$C381="L"),-$O381,0),IF(OR(AND($K379=CB$3,OR($C379="W",$C379="1/2W")),AND($K380=CB$3,OR($C380="W",$C380="1/2W")),AND($K381=CB$3,OR($C381="W",$C381="1/2W"))),$S379,0))</f>
        <v>0</v>
      </c>
      <c r="CC379" s="205">
        <f>IF($B379="LOSS",IF(AND($K379=CC$3,$C379="L"),-$O379,0)+IF(AND($K380=CC$3,$C380="L"),-$O380,0)+IF(AND($K381=CC$3,$C381="L"),-$O381,0),IF(OR(AND($K379=CC$3,OR($C379="W",$C379="1/2W")),AND($K380=CC$3,OR($C380="W",$C380="1/2W")),AND($K381=CC$3,OR($C381="W",$C381="1/2W"))),$S379,0))</f>
        <v>0</v>
      </c>
      <c r="CD379" s="202">
        <f>IF($B379="LOSS",IF(AND($K379=CD$3,$C379="L"),-$O379,0)+IF(AND($K380=CD$3,$C380="L"),-$O380,0)+IF(AND($K381=CD$3,$C381="L"),-$O381,0),IF(OR(AND($K379=CD$3,OR($C379="W",$C379="1/2W")),AND($K380=CD$3,OR($C380="W",$C380="1/2W")),AND($K381=CD$3,OR($C381="W",$C381="1/2W"))),$S379,0))</f>
        <v>0</v>
      </c>
      <c r="CE379" s="199">
        <f>IF($B379="LOSS",IF(AND($K379=CE$3,$C379="L"),-$O379,0)+IF(AND($K380=CE$3,$C380="L"),-$O380,0)+IF(AND($K381=CE$3,$C381="L"),-$O381,0),IF(OR(AND($K379=CE$3,OR($C379="W",$C379="1/2W")),AND($K380=CE$3,OR($C380="W",$C380="1/2W")),AND($K381=CE$3,OR($C381="W",$C381="1/2W"))),$S379,0))</f>
        <v>0</v>
      </c>
      <c r="CF379" s="206">
        <f>IF(CF$3=$K379,IF($C379="W",1,IF($C379="1/2W",0.5,0)),0)</f>
        <v>0</v>
      </c>
      <c r="CG379" s="207">
        <f>IF(CF$3=$K379,IF($C379="L",1,IF($C379="1/2L",0.5,0)),0)</f>
        <v>1</v>
      </c>
      <c r="CH379" s="207">
        <f>IF(CH$3=$K379,IF($C379="W",1,IF($C379="1/2W",0.5,0)),0)</f>
        <v>0</v>
      </c>
      <c r="CI379" s="207">
        <f>IF(CH$3=$K379,IF($C379="L",1,IF($C379="1/2L",0.5,0)),0)</f>
        <v>0</v>
      </c>
      <c r="CJ379" s="207">
        <f>IF(CJ$3=$K379,IF($C379="W",1,IF($C379="1/2W",0.5,0)),0)</f>
        <v>0</v>
      </c>
      <c r="CK379" s="207">
        <f>IF(CJ$3=$K379,IF($C379="L",1,IF($C379="1/2L",0.5,0)),0)</f>
        <v>0</v>
      </c>
      <c r="CL379" s="207">
        <f>IF(CL$3=$K379,IF($C379="W",1,IF($C379="1/2W",0.5,0)),0)</f>
        <v>0</v>
      </c>
      <c r="CM379" s="207">
        <f>IF(CL$3=$K379,IF($C379="L",1,IF($C379="1/2L",0.5,0)),0)</f>
        <v>0</v>
      </c>
      <c r="CN379" s="207">
        <f>IF(CN$3=$K379,IF($C379="W",1,IF($C379="1/2W",0.5,0)),0)</f>
        <v>0</v>
      </c>
      <c r="CO379" s="207">
        <f>IF(CN$3=$K379,IF($C379="L",1,IF($C379="1/2L",0.5,0)),0)</f>
        <v>0</v>
      </c>
      <c r="CP379" s="207">
        <f>IF(CP$3=$K379,IF($C379="W",1,IF($C379="1/2W",0.5,0)),0)</f>
        <v>0</v>
      </c>
      <c r="CQ379" s="207">
        <f>IF(CP$3=$K379,IF($C379="L",1,IF($C379="1/2L",0.5,0)),0)</f>
        <v>0</v>
      </c>
      <c r="CR379" s="207">
        <f>IF(CR$3=$K379,IF($C379="W",1,IF($C379="1/2W",0.5,0)),0)</f>
        <v>0</v>
      </c>
      <c r="CS379" s="207">
        <f>IF(CR$3=$K379,IF($C379="L",1,IF($C379="1/2L",0.5,0)),0)</f>
        <v>0</v>
      </c>
      <c r="CT379" s="208">
        <f>IF(CT$3=$K379,IF($C379="W",1,IF($C379="1/2W",0.5,0)),0)</f>
        <v>0</v>
      </c>
      <c r="CU379" s="209">
        <f>IF(CT$3=$K379,IF($C379="L",1,IF($C379="1/2L",0.5,0)),0)</f>
        <v>0</v>
      </c>
      <c r="CV379" s="209">
        <f>IF(CV$3=$K379,IF($C379="W",1,IF($C379="1/2W",0.5,0)),0)</f>
        <v>0</v>
      </c>
      <c r="CW379" s="209">
        <f>IF(CV$3=$K379,IF($C379="L",1,IF($C379="1/2L",0.5,0)),0)</f>
        <v>0</v>
      </c>
      <c r="CX379" s="209">
        <f>IF(CX$3=$K379,IF($C379="W",1,IF($C379="1/2W",0.5,0)),0)</f>
        <v>0</v>
      </c>
      <c r="CY379" s="209">
        <f>IF(CX$3=$K379,IF($C379="L",1,IF($C379="1/2L",0.5,0)),0)</f>
        <v>0</v>
      </c>
      <c r="CZ379" s="209">
        <f>IF(CZ$3=$K379,IF($C379="W",1,IF($C379="1/2W",0.5,0)),0)</f>
        <v>0</v>
      </c>
      <c r="DA379" s="209">
        <f>IF(CZ$3=$K379,IF($C379="L",1,IF($C379="1/2L",0.5,0)),0)</f>
        <v>0</v>
      </c>
      <c r="DB379" s="209">
        <f>IF(DB$3=$K379,IF($C379="W",1,IF($C379="1/2W",0.5,0)),0)</f>
        <v>0</v>
      </c>
      <c r="DC379" s="209">
        <f>IF(DB$3=$K379,IF($C379="L",1,IF($C379="1/2L",0.5,0)),0)</f>
        <v>0</v>
      </c>
      <c r="DD379" s="209">
        <f>IF(DD$3=$K379,IF($C379="W",1,IF($C379="1/2W",0.5,0)),0)</f>
        <v>0</v>
      </c>
      <c r="DE379" s="210">
        <f>IF(DD$3=$K379,IF($C379="L",1,IF($C379="1/2L",0.5,0)),0)</f>
        <v>0</v>
      </c>
      <c r="DF379" s="211">
        <f>IF(AND(L379&lt;DF$3,$C379="W"),1+DF378,DF378)</f>
        <v>12</v>
      </c>
      <c r="DG379" s="198">
        <f>IF(DF379&gt;DF378,L379+DG378,DG378)</f>
        <v>15.718</v>
      </c>
      <c r="DH379" s="209">
        <f>IF(AND(L379&gt;DH$3,$C379="W"),1+DH378,0+DH378)</f>
        <v>9</v>
      </c>
      <c r="DI379" s="198">
        <f>IF(DH379&gt;DH378,L379+DI378,DI378)</f>
        <v>49.83</v>
      </c>
      <c r="DJ379" t="s" s="306">
        <f>IF($D379="","",$D379)</f>
        <v>307</v>
      </c>
      <c r="DK379" s="209">
        <f>IF(AND($B379=" ",$D379&lt;&gt;""),1,0)</f>
        <v>0</v>
      </c>
    </row>
    <row r="380" ht="14.55" customHeight="1">
      <c r="A380" s="107"/>
      <c r="B380" s="108"/>
      <c r="C380" t="s" s="213">
        <v>56</v>
      </c>
      <c r="D380" s="110"/>
      <c r="E380" s="111"/>
      <c r="F380" s="113"/>
      <c r="G380" s="214"/>
      <c r="H380" s="114"/>
      <c r="I380" t="s" s="215">
        <v>67</v>
      </c>
      <c r="J380" s="296">
        <f>IF(OR(I379="TO",I379="TU",I379="TO1",I379="TU1",I379="TO2",I379="TU2"),J379,IF(OR(I379="AH1",I379="AH2"),IF(OR(I380="AH1",I380="AH2"),-J379,IF(OR(I380="EH1",I380="EH2"),-J379+0.5,"")),IF(OR(I379="EH1",I379="EH2"),IF(OR(I380="AH1",I380="AH2"),-J379+0.5,IF(OR(I380="EH1",I380="EH2"),-J379+1,"")),IF(AND(OR(I379="DNB1",I379="DNB2"),OR(I380="AH1",I380="AH2")),0,IF(AND(I379="Not ScoreBoth",OR(I380="TO1",I380="TO2")),0.5,"")))))</f>
        <v>1.5</v>
      </c>
      <c r="K380" t="s" s="217">
        <v>41</v>
      </c>
      <c r="L380" s="218">
        <v>1.73</v>
      </c>
      <c r="M380" s="219">
        <v>4.62</v>
      </c>
      <c r="N380" s="120"/>
      <c r="O380" s="220">
        <f>IF(OR(AE379="",AE380=""),"",ROUND(IF(L381&gt;0,IF(M380&gt;0,M380,IF(M379&gt;0,IF(N379=TRUE,ROUND((M379*AE380)/AE379,0),(M379*AE380)/AE379),IF(M380&gt;0,ROUND(M380,IF(N379=0,2,IF(N379=0.1,1,0))),IF(M381&gt;0,ROUND(O381*AE380/AE381,IF(N379=0,2,IF(N379=0.1,1,0))),0)))),IF(M380&gt;0,M380,ROUND((M379*AE380)/AE379,IF(N379=0,2,IF(N379=0.1,1,0))))),2))</f>
        <v>4.62</v>
      </c>
      <c r="P380" s="221">
        <f>IF(OR(L380="",O380=""),"",IF($C380="1/2W",O380/2+O380/2*L380,IF($C380="1/2L",O380/2,IF(I380="Lay",((O380*(L380/(L380-1)))-O380)*(1-_xlfn.XLOOKUP(K380,'Janeiro 2023 - Valor Real'!A3:A15,'Janeiro 2023 - Valor Real'!C3:C15,0))+O380,(O380*L380-O380)*(1-_xlfn.XLOOKUP(K380,'Janeiro 2023 - Valor Real'!A3:A15,'Janeiro 2023 - Valor Real'!C3:C15,0))+O380))))</f>
        <v>7.9926</v>
      </c>
      <c r="Q380" s="222">
        <f>IF(K380="","",IF(_xlfn.XLOOKUP(K380,K$123:K153,DJ$123:DJ153,0,,-1)=DJ380,_xlfn.XLOOKUP(K380,K$123:K153,Q$123:Q153,1,,-1)+1,1))</f>
        <v>1</v>
      </c>
      <c r="R380" s="223">
        <f>IF(K380="","",_xlfn.XLOOKUP(K380,K$123:K153,R$123:R153,0,,-1)+IF($C380=" ",1,0))</f>
        <v>0</v>
      </c>
      <c r="S380" s="125"/>
      <c r="T380" s="126"/>
      <c r="U380" s="126"/>
      <c r="V380" s="224"/>
      <c r="W380" s="126"/>
      <c r="X380" s="127"/>
      <c r="Y380" s="128"/>
      <c r="Z380" s="129"/>
      <c r="AA380" s="129"/>
      <c r="AB380" s="129"/>
      <c r="AC380" s="129"/>
      <c r="AD380" s="225">
        <f>(((L380/(L380-1)-1)*(1-_xlfn.XLOOKUP(K380,'Janeiro 2023 - Valor Real'!A3:A15,'Janeiro 2023 - Valor Real'!C3:C15,0))+1))</f>
        <v>2.36986301369863</v>
      </c>
      <c r="AE380" s="226">
        <f>IF(L380="","",IF(L381&gt;0,(SUM(((L379-1)*(1-_xlfn.XLOOKUP(K379,'Janeiro 2023 - Valor Real'!A3:A15,'Janeiro 2023 - Valor Real'!C3:C15,0))+1),((L380-1)*(1-_xlfn.XLOOKUP(K380,'Janeiro 2023 - Valor Real'!A3:A15,'Janeiro 2023 - Valor Real'!C3:C15,0))+1),((L381-1)*(1-_xlfn.XLOOKUP(K381,'Janeiro 2023 - Valor Real'!A3:A15,'Janeiro 2023 - Valor Real'!C3:C15,0))+1))/((L380-1)*(1-_xlfn.XLOOKUP(K380,'Janeiro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Real'!C3:C15,0))+1))/((L379-1)*(1-_xlfn.XLOOKUP(K379,'Janeiro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Real'!C3:C15,0))+1))/((L380-1)*(1-_xlfn.XLOOKUP(K380,'Janeiro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Real'!C3:C15,0))+1))/((L381-1)*(1-_xlfn.XLOOKUP(K381,'Janeiro 2023 - Valor Real'!A3:A15,'Janeiro 2023 - Valor Real'!C3:C15,0))+1)),IF(I380="Lay",IF(I379="Lay",((L379/(L379-1)-1)*(1-_xlfn.XLOOKUP(K379,'Janeiro 2023 - Valor Real'!A3:A15,'Janeiro 2023 - Valor Real'!C3:C15,0))+1)/(((L379/(L379-1)-1)*(1-_xlfn.XLOOKUP(K379,'Janeiro 2023 - Valor Real'!A3:A15,'Janeiro 2023 - Valor Real'!C3:C15,0))+1)+((L380/(L380-1)-1)*(1-_xlfn.XLOOKUP(K380,'Janeiro 2023 - Valor Real'!A3:A15,'Janeiro 2023 - Valor Real'!C3:C15,0))+1)),((L379-1)*(1-_xlfn.XLOOKUP(K379,'Janeiro 2023 - Valor Real'!A3:A15,'Janeiro 2023 - Valor Real'!C3:C15,0))+1)/(((L379-1)*(1-_xlfn.XLOOKUP(K379,'Janeiro 2023 - Valor Real'!A3:A15,'Janeiro 2023 - Valor Real'!C3:C15,0))+1)+((L380/(L380-1)-1)*(1-_xlfn.XLOOKUP(K380,'Janeiro 2023 - Valor Real'!A3:A15,'Janeiro 2023 - Valor Real'!C3:C15,0))+1))),IF(I379="Lay",((L379/(L379-1)-1)*(1-_xlfn.XLOOKUP(K379,'Janeiro 2023 - Valor Real'!A3:A15,'Janeiro 2023 - Valor Real'!C3:C15,0))+1)/((((L379/(L379-1)-1)*(1-_xlfn.XLOOKUP(K379,'Janeiro 2023 - Valor Real'!A3:A15,'Janeiro 2023 - Valor Real'!C3:C15,0))+1))+((L380-1)*(1-_xlfn.XLOOKUP(K380,'Janeiro 2023 - Valor Real'!A3:A15,'Janeiro 2023 - Valor Real'!C3:C15,0))+1)),((L379-1)*(1-_xlfn.XLOOKUP(K379,'Janeiro 2023 - Valor Real'!A3:A15,'Janeiro 2023 - Valor Real'!C3:C15,0))+1)/(((L379-1)*(1-_xlfn.XLOOKUP(K379,'Janeiro 2023 - Valor Real'!A3:A15,'Janeiro 2023 - Valor Real'!C3:C15,0))+1)+((L380-1)*(1-_xlfn.XLOOKUP(K380,'Janeiro 2023 - Valor Real'!A3:A15,'Janeiro 2023 - Valor Real'!C3:C15,0))+1))))))</f>
        <v>0.698080279232112</v>
      </c>
      <c r="AF380" s="197">
        <f>IF($K380=AF$3,ROUND(IF(OR($C380="W",$C380="1/2W",$C380="1/2L"),$P380-$O380,IF($C380="X",0,-$O380)),2),0)</f>
        <v>0</v>
      </c>
      <c r="AG380" s="198">
        <f>IF($K380=AG$3,ROUND(IF(OR($C380="W",$C380="1/2W",$C380="1/2L"),$P380-$O380,IF($C380="X",0,-$O380)),2),0)</f>
        <v>0</v>
      </c>
      <c r="AH380" s="198">
        <f>IF($K380=AH$3,ROUND(IF(OR($C380="W",$C380="1/2W",$C380="1/2L"),$P380-$O380,IF($C380="X",0,-$O380)),2),0)</f>
        <v>0</v>
      </c>
      <c r="AI380" s="198">
        <f>IF($K380=AI$3,ROUND(IF(OR($C380="W",$C380="1/2W",$C380="1/2L"),$P380-$O380,IF($C380="X",0,-$O380)),2),0)</f>
        <v>0</v>
      </c>
      <c r="AJ380" s="198">
        <f>IF($K380=AJ$3,ROUND(IF(OR($C380="W",$C380="1/2W",$C380="1/2L"),$P380-$O380,IF($C380="X",0,-$O380)),2),0)</f>
        <v>3.37</v>
      </c>
      <c r="AK380" s="198">
        <f>IF($K380=AK$3,ROUND(IF(OR($C380="W",$C380="1/2W",$C380="1/2L"),$P380-$O380,IF($C380="X",0,-$O380)),2),0)</f>
        <v>0</v>
      </c>
      <c r="AL380" s="198">
        <f>IF($K380=AL$3,ROUND(IF(OR($C380="W",$C380="1/2W",$C380="1/2L"),$P380-$O380,IF($C380="X",0,-$O380)),2),0)</f>
        <v>0</v>
      </c>
      <c r="AM380" s="198">
        <f>IF($K380=AM$3,ROUND(IF(OR($C380="W",$C380="1/2W",$C380="1/2L"),$P380-$O380,IF($C380="X",0,-$O380)),2),0)</f>
        <v>0</v>
      </c>
      <c r="AN380" s="198">
        <f>IF($K380=AN$3,ROUND(IF(OR($C380="W",$C380="1/2W",$C380="1/2L"),$P380-$O380,IF($C380="X",0,-$O380)),2),0)</f>
        <v>0</v>
      </c>
      <c r="AO380" s="198">
        <f>IF($K380=AO$3,ROUND(IF(OR($C380="W",$C380="1/2W",$C380="1/2L"),$P380-$O380,IF($C380="X",0,-$O380)),2),0)</f>
        <v>0</v>
      </c>
      <c r="AP380" s="198">
        <f>IF($K380=AP$3,ROUND(IF(OR($C380="W",$C380="1/2W",$C380="1/2L"),$P380-$O380,IF($C380="X",0,-$O380)),2),0)</f>
        <v>0</v>
      </c>
      <c r="AQ380" s="198">
        <f>IF($K380=AQ$3,ROUND(IF(OR($C380="W",$C380="1/2W",$C380="1/2L"),$P380-$O380,IF($C380="X",0,-$O380)),2),0)</f>
        <v>0</v>
      </c>
      <c r="AR380" s="199">
        <f>IF($K380=AR$3,ROUND(IF(OR($C380="W",$C380="1/2W",$C380="1/2L"),$P380-$O380,IF($C380="X",0,-$O380)),2),0)</f>
        <v>0</v>
      </c>
      <c r="AS380" s="197">
        <f>IF(AND($B379=" ",$K380=AS$3),$O380,0)</f>
        <v>0</v>
      </c>
      <c r="AT380" s="198">
        <f>IF(AND($B379=" ",K380=AT$3),$O380,0)</f>
        <v>0</v>
      </c>
      <c r="AU380" s="198">
        <f>IF(AND($B379=" ",$K380=AU$3),$O380,0)</f>
        <v>0</v>
      </c>
      <c r="AV380" s="198">
        <f>IF(AND($B379=" ",$K380=AV$3),$O380,0)</f>
        <v>0</v>
      </c>
      <c r="AW380" s="198">
        <f>IF(AND($B379=" ",$K380=AW$3),$O380,0)</f>
        <v>0</v>
      </c>
      <c r="AX380" s="198">
        <f>IF(AND($B379=" ",$K380=AX$3),$O380,0)</f>
        <v>0</v>
      </c>
      <c r="AY380" s="200">
        <f>IF(AND($B379=" ",$K380=AY$3),$O380,0)</f>
        <v>0</v>
      </c>
      <c r="AZ380" s="201">
        <f>IF(AND($B379=" ",$K380=AZ$3),$O380,0)</f>
        <v>0</v>
      </c>
      <c r="BA380" s="201">
        <f>IF(AND($B379=" ",$K380=BA$3),$O380,0)</f>
        <v>0</v>
      </c>
      <c r="BB380" s="201">
        <f>IF(AND($B379=" ",$K380=BB$3),$O380,0)</f>
        <v>0</v>
      </c>
      <c r="BC380" s="202">
        <f>IF(AND($B379=" ",$K380=BC$3),$O380,0)</f>
        <v>0</v>
      </c>
      <c r="BD380" s="198">
        <f>IF(AND($B379=" ",$K380=BD$3),$O380,0)</f>
        <v>0</v>
      </c>
      <c r="BE380" s="199">
        <f>IF(AND($B379=" ",$K380=BE$3),$O380,0)</f>
        <v>0</v>
      </c>
      <c r="BF380" s="197">
        <f>IF($K380=BF$3,IF($C380="X",0,$O380),0)</f>
        <v>0</v>
      </c>
      <c r="BG380" s="198">
        <f>IF($K380=BG$3,IF($C380="X",0,$O380),0)</f>
        <v>0</v>
      </c>
      <c r="BH380" s="198">
        <f>IF($K380=BH$3,IF($C380="X",0,$O380),0)</f>
        <v>0</v>
      </c>
      <c r="BI380" s="198">
        <f>IF($K380=BI$3,IF($C380="X",0,$O380),0)</f>
        <v>0</v>
      </c>
      <c r="BJ380" s="198">
        <f>IF($K380=BJ$3,IF($C380="X",0,$O380),0)</f>
        <v>4.62</v>
      </c>
      <c r="BK380" s="198">
        <f>IF($K380=BK$3,IF($C380="X",0,$O380),0)</f>
        <v>0</v>
      </c>
      <c r="BL380" s="198">
        <f>IF($K380=BL$3,IF($C380="X",0,$O380),0)</f>
        <v>0</v>
      </c>
      <c r="BM380" s="227">
        <f>IF($K380=BM$3,IF($C380="X",0,$O380),0)</f>
        <v>0</v>
      </c>
      <c r="BN380" s="205">
        <f>IF($K380=BN$3,IF($C380="X",0,$O380),0)</f>
        <v>0</v>
      </c>
      <c r="BO380" s="205">
        <f>IF($K380=BO$3,IF($C380="X",0,$O380),0)</f>
        <v>0</v>
      </c>
      <c r="BP380" s="205">
        <f>IF($K380=BP$3,IF($C380="X",0,$O380),0)</f>
        <v>0</v>
      </c>
      <c r="BQ380" s="202">
        <f>IF($K380=BQ$3,IF($C380="X",0,$O380),0)</f>
        <v>0</v>
      </c>
      <c r="BR380" s="199">
        <f>IF($K380=BR$3,IF($C380="X",0,$O380),0)</f>
        <v>0</v>
      </c>
      <c r="BS380" s="228"/>
      <c r="BT380" s="229"/>
      <c r="BU380" s="140"/>
      <c r="BV380" s="229"/>
      <c r="BW380" s="140"/>
      <c r="BX380" s="140"/>
      <c r="BY380" s="140"/>
      <c r="BZ380" s="229"/>
      <c r="CA380" s="140"/>
      <c r="CB380" s="140"/>
      <c r="CC380" s="140"/>
      <c r="CD380" s="141"/>
      <c r="CE380" s="142"/>
      <c r="CF380" s="230">
        <f>IF(CF$3=$K380,IF($C380="W",1,IF($C380="1/2W",0.5,0)),0)</f>
        <v>0</v>
      </c>
      <c r="CG380" s="231">
        <f>IF(CF$3=$K380,IF($C380="L",1,IF($C380="1/2L",0.5,0)),0)</f>
        <v>0</v>
      </c>
      <c r="CH380" s="231">
        <f>IF(CH$3=$K380,IF($C380="W",1,IF($C380="1/2W",0.5,0)),0)</f>
        <v>0</v>
      </c>
      <c r="CI380" s="231">
        <f>IF(CH$3=$K380,IF($C380="L",1,IF($C380="1/2L",0.5,0)),0)</f>
        <v>0</v>
      </c>
      <c r="CJ380" s="231">
        <f>IF(CJ$3=$K380,IF($C380="W",1,IF($C380="1/2W",0.5,0)),0)</f>
        <v>0</v>
      </c>
      <c r="CK380" s="231">
        <f>IF(CJ$3=$K380,IF($C380="L",1,IF($C380="1/2L",0.5,0)),0)</f>
        <v>0</v>
      </c>
      <c r="CL380" s="231">
        <f>IF(CL$3=$K380,IF($C380="W",1,IF($C380="1/2W",0.5,0)),0)</f>
        <v>0</v>
      </c>
      <c r="CM380" s="231">
        <f>IF(CL$3=$K380,IF($C380="L",1,IF($C380="1/2L",0.5,0)),0)</f>
        <v>0</v>
      </c>
      <c r="CN380" s="231">
        <f>IF(CN$3=$K380,IF($C380="W",1,IF($C380="1/2W",0.5,0)),0)</f>
        <v>1</v>
      </c>
      <c r="CO380" s="231">
        <f>IF(CN$3=$K380,IF($C380="L",1,IF($C380="1/2L",0.5,0)),0)</f>
        <v>0</v>
      </c>
      <c r="CP380" s="231">
        <f>IF(CP$3=$K380,IF($C380="W",1,IF($C380="1/2W",0.5,0)),0)</f>
        <v>0</v>
      </c>
      <c r="CQ380" s="231">
        <f>IF(CP$3=$K380,IF($C380="L",1,IF($C380="1/2L",0.5,0)),0)</f>
        <v>0</v>
      </c>
      <c r="CR380" s="231">
        <f>IF(CR$3=$K380,IF($C380="W",1,IF($C380="1/2W",0.5,0)),0)</f>
        <v>0</v>
      </c>
      <c r="CS380" s="231">
        <f>IF(CR$3=$K380,IF($C380="L",1,IF($C380="1/2L",0.5,0)),0)</f>
        <v>0</v>
      </c>
      <c r="CT380" s="208">
        <f>IF(CT$3=$K380,IF($C380="W",1,IF($C380="1/2W",0.5,0)),0)</f>
        <v>0</v>
      </c>
      <c r="CU380" s="209">
        <f>IF(CT$3=$K380,IF($C380="L",1,IF($C380="1/2L",0.5,0)),0)</f>
        <v>0</v>
      </c>
      <c r="CV380" s="209">
        <f>IF(CV$3=$K380,IF($C380="W",1,IF($C380="1/2W",0.5,0)),0)</f>
        <v>0</v>
      </c>
      <c r="CW380" s="209">
        <f>IF(CV$3=$K380,IF($C380="L",1,IF($C380="1/2L",0.5,0)),0)</f>
        <v>0</v>
      </c>
      <c r="CX380" s="209">
        <f>IF(CX$3=$K380,IF($C380="W",1,IF($C380="1/2W",0.5,0)),0)</f>
        <v>0</v>
      </c>
      <c r="CY380" s="209">
        <f>IF(CX$3=$K380,IF($C380="L",1,IF($C380="1/2L",0.5,0)),0)</f>
        <v>0</v>
      </c>
      <c r="CZ380" s="209">
        <f>IF(CZ$3=$K380,IF($C380="W",1,IF($C380="1/2W",0.5,0)),0)</f>
        <v>0</v>
      </c>
      <c r="DA380" s="209">
        <f>IF(CZ$3=$K380,IF($C380="L",1,IF($C380="1/2L",0.5,0)),0)</f>
        <v>0</v>
      </c>
      <c r="DB380" s="209">
        <f>IF(DB$3=$K380,IF($C380="W",1,IF($C380="1/2W",0.5,0)),0)</f>
        <v>0</v>
      </c>
      <c r="DC380" s="209">
        <f>IF(DB$3=$K380,IF($C380="L",1,IF($C380="1/2L",0.5,0)),0)</f>
        <v>0</v>
      </c>
      <c r="DD380" s="209">
        <f>IF(DD$3=$K380,IF($C380="W",1,IF($C380="1/2W",0.5,0)),0)</f>
        <v>0</v>
      </c>
      <c r="DE380" s="210">
        <f>IF(DD$3=$K380,IF($C380="L",1,IF($C380="1/2L",0.5,0)),0)</f>
        <v>0</v>
      </c>
      <c r="DF380" s="211">
        <f>IF(AND(L380&lt;DF$3,$C380="W"),1+DF379,DF379)</f>
        <v>12</v>
      </c>
      <c r="DG380" s="198">
        <f>IF(DF380&gt;DF379,L380+DG379,DG379)</f>
        <v>15.718</v>
      </c>
      <c r="DH380" s="209">
        <f>IF(AND(L380&gt;DH$3,$C380="W"),1+DH379,0+DH379)</f>
        <v>9</v>
      </c>
      <c r="DI380" s="198">
        <f>IF(DH380&gt;DH379,L380+DI379,DI379)</f>
        <v>49.83</v>
      </c>
      <c r="DJ380" t="s" s="306">
        <f>IF($D379="","",$D379)</f>
        <v>307</v>
      </c>
      <c r="DK380" s="232"/>
    </row>
    <row r="381" ht="14.55" customHeight="1">
      <c r="A381" s="149"/>
      <c r="B381" s="150"/>
      <c r="C381" t="s" s="233">
        <v>58</v>
      </c>
      <c r="D381" s="152"/>
      <c r="E381" s="153"/>
      <c r="F381" s="155"/>
      <c r="G381" s="234"/>
      <c r="H381" s="156"/>
      <c r="I381" s="235"/>
      <c r="J381" s="236"/>
      <c r="K381" s="237"/>
      <c r="L381" s="238"/>
      <c r="M381" s="239"/>
      <c r="N381" s="161"/>
      <c r="O381" t="s" s="240">
        <f>IF(OR(AE379="",AE380=""),"",IF(L381&gt;0,ROUND(IF(M381&gt;0,M381,IF(M379&gt;0,ROUND((M379*AE381)/AE379,IF(N379=0,2,IF(N379=0.1,1,0))),IF(M380&gt;0,ROUND((M380*AE381)/AE380,IF(N379=0,2,IF(N379=0.1,1,0))),IF(M381&gt;0,M381,0)))),2),""))</f>
      </c>
      <c r="P381" t="s" s="241">
        <f>IF(I380="Lay",O380*(L380/(L380-1))-O380,IF(I379="Lay",O379*(L379/(L379-1))-O379,IF(OR(L381="",O381=""),"",IF($C381="1/2W",O381/2+O381/2*L381,IF($C381="1/2L",O381/2,(O381*L381-O381)*(1-_xlfn.XLOOKUP(K381,'Janeiro 2023 - Valor Real'!A3:A15,'Janeiro 2023 - Valor Real'!C3:C15,0))+O381)))))</f>
      </c>
      <c r="Q381" t="s" s="242">
        <f>IF(K381="","",IF(_xlfn.XLOOKUP(K381,K$124:K154,DJ$124:DJ154,0,,-1)=DJ381,_xlfn.XLOOKUP(K381,K$124:K154,Q$124:Q154,1,,-1)+1,1))</f>
      </c>
      <c r="R381" t="s" s="243">
        <f>IF(K381="","",_xlfn.XLOOKUP(K381,K$124:K154,R$124:R154,0,,-1)+IF($C381=" ",1,0))</f>
      </c>
      <c r="S381" s="166"/>
      <c r="T381" s="155"/>
      <c r="U381" s="155"/>
      <c r="V381" s="166"/>
      <c r="W381" s="155"/>
      <c r="X381" s="167"/>
      <c r="Y381" s="128"/>
      <c r="Z381" s="129"/>
      <c r="AA381" s="129"/>
      <c r="AB381" s="129"/>
      <c r="AC381" s="129"/>
      <c r="AD381" s="244">
        <f>((L380/(L380-1)-1))</f>
        <v>1.36986301369863</v>
      </c>
      <c r="AE381" t="s" s="245">
        <f>IF(L381="","",(SUM(((L379-1)*(1-_xlfn.XLOOKUP(K379,'Janeiro 2023 - Valor Real'!A3:A15,'Janeiro 2023 - Valor Real'!C3:C15,0))+1),((L380-1)*(1-_xlfn.XLOOKUP(K380,'Janeiro 2023 - Valor Real'!A3:A15,'Janeiro 2023 - Valor Real'!C3:C15,0))+1),((L381-1)*(1-_xlfn.XLOOKUP(K381,'Janeiro 2023 - Valor Real'!A3:A15,'Janeiro 2023 - Valor Real'!C3:C15,0))+1))/((L381-1)*(1-_xlfn.XLOOKUP(K381,'Janeiro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Real'!C3:C15,0))+1))/((L379-1)*(1-_xlfn.XLOOKUP(K379,'Janeiro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Real'!C3:C15,0))+1))/((L380-1)*(1-_xlfn.XLOOKUP(K380,'Janeiro 2023 - Valor Real'!A3:A15,'Janeiro 2023 - Valor Real'!C3:C15,0))+1)+SUM(((L379-1)*(1-_xlfn.XLOOKUP(K379,'Janeiro 2023 - Valor Real'!A3:A15,'Janeiro 2023 - Valor Real'!C3:C15,0))+1),((L380-1)*(1-_xlfn.XLOOKUP(K380,'Janeiro 2023 - Valor Real'!A3:A15,'Janeiro 2023 - Valor Real'!C3:C15,0))+1),((L381-1)*(1-_xlfn.XLOOKUP(K381,'Janeiro 2023 - Valor Real'!A3:A15,'Janeiro 2023 - Valor Real'!C3:C15,0))+1))/((L381-1)*(1-_xlfn.XLOOKUP(K381,'Janeiro 2023 - Valor Real'!A3:A15,'Janeiro 2023 - Valor Real'!C3:C15,0))+1)))</f>
      </c>
      <c r="AF381" s="197">
        <f>IF($K381=AF$3,ROUND(IF(OR($C381="W",$C381="1/2W",$C381="1/2L"),$P381-$O381,IF($C381="X",0,-$O381)),2),0)</f>
        <v>0</v>
      </c>
      <c r="AG381" s="198">
        <f>IF($K381=AG$3,ROUND(IF(OR($C381="W",$C381="1/2W",$C381="1/2L"),$P381-$O381,IF($C381="X",0,-$O381)),2),0)</f>
        <v>0</v>
      </c>
      <c r="AH381" s="198">
        <f>IF($K381=AH$3,ROUND(IF(OR($C381="W",$C381="1/2W",$C381="1/2L"),$P381-$O381,IF($C381="X",0,-$O381)),2),0)</f>
        <v>0</v>
      </c>
      <c r="AI381" s="198">
        <f>IF($K381=AI$3,ROUND(IF(OR($C381="W",$C381="1/2W",$C381="1/2L"),$P381-$O381,IF($C381="X",0,-$O381)),2),0)</f>
        <v>0</v>
      </c>
      <c r="AJ381" s="198">
        <f>IF($K381=AJ$3,ROUND(IF(OR($C381="W",$C381="1/2W",$C381="1/2L"),$P381-$O381,IF($C381="X",0,-$O381)),2),0)</f>
        <v>0</v>
      </c>
      <c r="AK381" s="198">
        <f>IF($K381=AK$3,ROUND(IF(OR($C381="W",$C381="1/2W",$C381="1/2L"),$P381-$O381,IF($C381="X",0,-$O381)),2),0)</f>
        <v>0</v>
      </c>
      <c r="AL381" s="198">
        <f>IF($K381=AL$3,ROUND(IF(OR($C381="W",$C381="1/2W",$C381="1/2L"),$P381-$O381,IF($C381="X",0,-$O381)),2),0)</f>
        <v>0</v>
      </c>
      <c r="AM381" s="198">
        <f>IF($K381=AM$3,ROUND(IF(OR($C381="W",$C381="1/2W",$C381="1/2L"),$P381-$O381,IF($C381="X",0,-$O381)),2),0)</f>
        <v>0</v>
      </c>
      <c r="AN381" s="198">
        <f>IF($K381=AN$3,ROUND(IF(OR($C381="W",$C381="1/2W",$C381="1/2L"),$P381-$O381,IF($C381="X",0,-$O381)),2),0)</f>
        <v>0</v>
      </c>
      <c r="AO381" s="198">
        <f>IF($K381=AO$3,ROUND(IF(OR($C381="W",$C381="1/2W",$C381="1/2L"),$P381-$O381,IF($C381="X",0,-$O381)),2),0)</f>
        <v>0</v>
      </c>
      <c r="AP381" s="198">
        <f>IF($K381=AP$3,ROUND(IF(OR($C381="W",$C381="1/2W",$C381="1/2L"),$P381-$O381,IF($C381="X",0,-$O381)),2),0)</f>
        <v>0</v>
      </c>
      <c r="AQ381" s="198">
        <f>IF($K381=AQ$3,ROUND(IF(OR($C381="W",$C381="1/2W",$C381="1/2L"),$P381-$O381,IF($C381="X",0,-$O381)),2),0)</f>
        <v>0</v>
      </c>
      <c r="AR381" s="199">
        <f>IF($K381=AR$3,ROUND(IF(OR($C381="W",$C381="1/2W",$C381="1/2L"),$P381-$O381,IF($C381="X",0,-$O381)),2),0)</f>
        <v>0</v>
      </c>
      <c r="AS381" s="197">
        <f>IF(AND($B379=" ",$K381=AS$3),$O381,0)</f>
        <v>0</v>
      </c>
      <c r="AT381" s="198">
        <f>IF(AND($B379=" ",K381=AT$3),$O381,0)</f>
        <v>0</v>
      </c>
      <c r="AU381" s="198">
        <f>IF(AND($B379=" ",$K381=AU$3),$O381,0)</f>
        <v>0</v>
      </c>
      <c r="AV381" s="198">
        <f>IF(AND($B379=" ",$K381=AV$3),$O381,0)</f>
        <v>0</v>
      </c>
      <c r="AW381" s="198">
        <f>IF(AND($B379=" ",$K381=AW$3),$O381,0)</f>
        <v>0</v>
      </c>
      <c r="AX381" s="198">
        <f>IF(AND($B379=" ",$K381=AX$3),$O381,0)</f>
        <v>0</v>
      </c>
      <c r="AY381" s="200">
        <f>IF(AND($B379=" ",$K381=AY$3),$O381,0)</f>
        <v>0</v>
      </c>
      <c r="AZ381" s="201">
        <f>IF(AND($B379=" ",$K381=AZ$3),$O381,0)</f>
        <v>0</v>
      </c>
      <c r="BA381" s="201">
        <f>IF(AND($B379=" ",$K381=BA$3),$O381,0)</f>
        <v>0</v>
      </c>
      <c r="BB381" s="201">
        <f>IF(AND($B379=" ",$K381=BB$3),$O381,0)</f>
        <v>0</v>
      </c>
      <c r="BC381" s="202">
        <f>IF(AND($B379=" ",$K381=BC$3),$O381,0)</f>
        <v>0</v>
      </c>
      <c r="BD381" s="198">
        <f>IF(AND($B379=" ",$K381=BD$3),$O381,0)</f>
        <v>0</v>
      </c>
      <c r="BE381" s="199">
        <f>IF(AND($B379=" ",$K381=BE$3),$O381,0)</f>
        <v>0</v>
      </c>
      <c r="BF381" s="197">
        <f>IF($K381=BF$3,IF($C381="X",0,$O381),0)</f>
        <v>0</v>
      </c>
      <c r="BG381" s="198">
        <f>IF($K381=BG$3,IF($C381="X",0,$O381),0)</f>
        <v>0</v>
      </c>
      <c r="BH381" s="198">
        <f>IF($K381=BH$3,IF($C381="X",0,$O381),0)</f>
        <v>0</v>
      </c>
      <c r="BI381" s="198">
        <f>IF($K381=BI$3,IF($C381="X",0,$O381),0)</f>
        <v>0</v>
      </c>
      <c r="BJ381" s="198">
        <f>IF($K381=BJ$3,IF($C381="X",0,$O381),0)</f>
        <v>0</v>
      </c>
      <c r="BK381" s="198">
        <f>IF($K381=BK$3,IF($C381="X",0,$O381),0)</f>
        <v>0</v>
      </c>
      <c r="BL381" s="198">
        <f>IF($K381=BL$3,IF($C381="X",0,$O381),0)</f>
        <v>0</v>
      </c>
      <c r="BM381" s="200">
        <f>IF($K381=BM$3,IF($C381="X",0,$O381),0)</f>
        <v>0</v>
      </c>
      <c r="BN381" s="201">
        <f>IF($K381=BN$3,IF($C381="X",0,$O381),0)</f>
        <v>0</v>
      </c>
      <c r="BO381" s="201">
        <f>IF($K381=BO$3,IF($C381="X",0,$O381),0)</f>
        <v>0</v>
      </c>
      <c r="BP381" s="201">
        <f>IF($K381=BP$3,IF($C381="X",0,$O381),0)</f>
        <v>0</v>
      </c>
      <c r="BQ381" s="202">
        <f>IF($K381=BQ$3,IF($C381="X",0,$O381),0)</f>
        <v>0</v>
      </c>
      <c r="BR381" s="199">
        <f>IF($K381=BR$3,IF($C381="X",0,$O381),0)</f>
        <v>0</v>
      </c>
      <c r="BS381" s="228"/>
      <c r="BT381" s="229"/>
      <c r="BU381" s="140"/>
      <c r="BV381" s="229"/>
      <c r="BW381" s="140"/>
      <c r="BX381" s="140"/>
      <c r="BY381" s="140"/>
      <c r="BZ381" s="229"/>
      <c r="CA381" s="140"/>
      <c r="CB381" s="140"/>
      <c r="CC381" s="140"/>
      <c r="CD381" s="141"/>
      <c r="CE381" s="142"/>
      <c r="CF381" s="230">
        <f>IF(CF$3=$K381,IF($C381="W",1,IF($C381="1/2W",0.5,0)),0)</f>
        <v>0</v>
      </c>
      <c r="CG381" s="231">
        <f>IF(CF$3=$K381,IF($C381="L",1,IF($C381="1/2L",0.5,0)),0)</f>
        <v>0</v>
      </c>
      <c r="CH381" s="231">
        <f>IF(CH$3=$K381,IF($C381="W",1,IF($C381="1/2W",0.5,0)),0)</f>
        <v>0</v>
      </c>
      <c r="CI381" s="231">
        <f>IF(CH$3=$K381,IF($C381="L",1,IF($C381="1/2L",0.5,0)),0)</f>
        <v>0</v>
      </c>
      <c r="CJ381" s="231">
        <f>IF(CJ$3=$K381,IF($C381="W",1,IF($C381="1/2W",0.5,0)),0)</f>
        <v>0</v>
      </c>
      <c r="CK381" s="231">
        <f>IF(CJ$3=$K381,IF($C381="L",1,IF($C381="1/2L",0.5,0)),0)</f>
        <v>0</v>
      </c>
      <c r="CL381" s="231">
        <f>IF(CL$3=$K381,IF($C381="W",1,IF($C381="1/2W",0.5,0)),0)</f>
        <v>0</v>
      </c>
      <c r="CM381" s="231">
        <f>IF(CL$3=$K381,IF($C381="L",1,IF($C381="1/2L",0.5,0)),0)</f>
        <v>0</v>
      </c>
      <c r="CN381" s="231">
        <f>IF(CN$3=$K381,IF($C381="W",1,IF($C381="1/2W",0.5,0)),0)</f>
        <v>0</v>
      </c>
      <c r="CO381" s="231">
        <f>IF(CN$3=$K381,IF($C381="L",1,IF($C381="1/2L",0.5,0)),0)</f>
        <v>0</v>
      </c>
      <c r="CP381" s="231">
        <f>IF(CP$3=$K381,IF($C381="W",1,IF($C381="1/2W",0.5,0)),0)</f>
        <v>0</v>
      </c>
      <c r="CQ381" s="231">
        <f>IF(CP$3=$K381,IF($C381="L",1,IF($C381="1/2L",0.5,0)),0)</f>
        <v>0</v>
      </c>
      <c r="CR381" s="231">
        <f>IF(CR$3=$K381,IF($C381="W",1,IF($C381="1/2W",0.5,0)),0)</f>
        <v>0</v>
      </c>
      <c r="CS381" s="231">
        <f>IF(CR$3=$K381,IF($C381="L",1,IF($C381="1/2L",0.5,0)),0)</f>
        <v>0</v>
      </c>
      <c r="CT381" s="208">
        <f>IF(CT$3=$K381,IF($C381="W",1,IF($C381="1/2W",0.5,0)),0)</f>
        <v>0</v>
      </c>
      <c r="CU381" s="209">
        <f>IF(CT$3=$K381,IF($C381="L",1,IF($C381="1/2L",0.5,0)),0)</f>
        <v>0</v>
      </c>
      <c r="CV381" s="209">
        <f>IF(CV$3=$K381,IF($C381="W",1,IF($C381="1/2W",0.5,0)),0)</f>
        <v>0</v>
      </c>
      <c r="CW381" s="209">
        <f>IF(CV$3=$K381,IF($C381="L",1,IF($C381="1/2L",0.5,0)),0)</f>
        <v>0</v>
      </c>
      <c r="CX381" s="209">
        <f>IF(CX$3=$K381,IF($C381="W",1,IF($C381="1/2W",0.5,0)),0)</f>
        <v>0</v>
      </c>
      <c r="CY381" s="209">
        <f>IF(CX$3=$K381,IF($C381="L",1,IF($C381="1/2L",0.5,0)),0)</f>
        <v>0</v>
      </c>
      <c r="CZ381" s="209">
        <f>IF(CZ$3=$K381,IF($C381="W",1,IF($C381="1/2W",0.5,0)),0)</f>
        <v>0</v>
      </c>
      <c r="DA381" s="209">
        <f>IF(CZ$3=$K381,IF($C381="L",1,IF($C381="1/2L",0.5,0)),0)</f>
        <v>0</v>
      </c>
      <c r="DB381" s="209">
        <f>IF(DB$3=$K381,IF($C381="W",1,IF($C381="1/2W",0.5,0)),0)</f>
        <v>0</v>
      </c>
      <c r="DC381" s="209">
        <f>IF(DB$3=$K381,IF($C381="L",1,IF($C381="1/2L",0.5,0)),0)</f>
        <v>0</v>
      </c>
      <c r="DD381" s="209">
        <f>IF(DD$3=$K381,IF($C381="W",1,IF($C381="1/2W",0.5,0)),0)</f>
        <v>0</v>
      </c>
      <c r="DE381" s="210">
        <f>IF(DD$3=$K381,IF($C381="L",1,IF($C381="1/2L",0.5,0)),0)</f>
        <v>0</v>
      </c>
      <c r="DF381" s="211">
        <f>IF(AND(L381&lt;DF$3,$C381="W"),1+DF380,DF380)</f>
        <v>12</v>
      </c>
      <c r="DG381" s="198">
        <f>IF(DF381&gt;DF380,L381+DG380,DG380)</f>
        <v>15.718</v>
      </c>
      <c r="DH381" s="209">
        <f>IF(AND(L381&gt;DH$3,$C381="W"),1+DH380,0+DH380)</f>
        <v>9</v>
      </c>
      <c r="DI381" s="198">
        <f>IF(DH381&gt;DH380,L381+DI380,DI380)</f>
        <v>49.83</v>
      </c>
      <c r="DJ381" t="s" s="306">
        <f>IF($D379="","",$D379)</f>
        <v>307</v>
      </c>
      <c r="DK381" s="232"/>
    </row>
    <row r="382" ht="14.55" customHeight="1">
      <c r="A382" s="246">
        <f>$A379+1</f>
        <v>127</v>
      </c>
      <c r="B382" t="s" s="247">
        <f>IF(AND(_xlfn.XLOOKUP(H382,H$107:H149,G$107:G149,0)=G382,_xlfn.XLOOKUP("TempoBet",K382:K384,L382:L384,0)&gt;0),"X",IF(OR(C382="W",C383="W",C384="W",C382="1/2W",C383="1/2W",C384="1/2W",C382="1/2L",C383="1/2L",C384="1/2L"),"OK",IF(OR(C382="L",C383="L",C384="L"),"LOSS",IF(OR(C382="X",C383="X",C384="X"),"Anulado"," "))))</f>
        <v>50</v>
      </c>
      <c r="C382" t="s" s="248">
        <v>56</v>
      </c>
      <c r="D382" t="s" s="303">
        <f>IF(G382="","",$D379)</f>
        <v>307</v>
      </c>
      <c r="E382" t="s" s="250">
        <v>121</v>
      </c>
      <c r="F382" t="s" s="251"/>
      <c r="G382" s="252">
        <v>44950.697916666664</v>
      </c>
      <c r="H382" t="s" s="253">
        <v>320</v>
      </c>
      <c r="I382" t="s" s="254">
        <v>65</v>
      </c>
      <c r="J382" s="255">
        <v>10.5</v>
      </c>
      <c r="K382" t="s" s="256">
        <v>38</v>
      </c>
      <c r="L382" s="257">
        <v>2.7</v>
      </c>
      <c r="M382" s="258">
        <v>10.19</v>
      </c>
      <c r="N382" s="259">
        <v>0</v>
      </c>
      <c r="O382" s="260">
        <f>IF(OR(AE382="",AE383=""),"",ROUND(IF(L384&gt;0,IF(M382&gt;0,M382,IF(M383&gt;0,ROUND((M383*AE382)/AE383,IF(N382=0,2,IF(N382=0.1,1,0))),ROUND((M384*AE382)/AE384,IF(N382=0,2,IF(N382=0.1,1,0))))),IF(M382&gt;0,M382,ROUND((M383*AE382)/AE383,IF(N382=0,2,IF(N382=0.1,1,0))))),2))</f>
        <v>10.19</v>
      </c>
      <c r="P382" s="261">
        <f>IF(OR(L382="",O382=""),"",IF($C382="1/2W",O382/2+O382/2*L382,IF($C382="1/2L",O382/2,IF(I382="Lay",(O382*(L382/(L382-1))-O382)*(1-_xlfn.XLOOKUP(K382,'Janeiro 2023 - Valor Real'!A3:A15,'Janeiro 2023 - Valor Real'!C3:C15,0))+O382,(O382*L382-O382)*(1-_xlfn.XLOOKUP(K382,'Janeiro 2023 - Valor Real'!A3:A15,'Janeiro 2023 - Valor Real'!C3:C15,0))+O382))))</f>
        <v>27.513</v>
      </c>
      <c r="Q382" s="262">
        <f>IF(K382="","",IF(_xlfn.XLOOKUP(K382,K$107:K149,DJ$107:DJ149,0,,-1)=DJ382,_xlfn.XLOOKUP(K382,K$107:K149,Q$107:Q149,1,,-1)+1,1))</f>
        <v>1</v>
      </c>
      <c r="R382" s="263">
        <f>IF(K382="","",_xlfn.XLOOKUP(K382,K$107:K149,R$107:R149,0,,-1)+IF($C382=" ",1,0))</f>
        <v>0</v>
      </c>
      <c r="S382" s="264">
        <f>IF($B382="Anulado",0,ROUND(IF(OR($B382="LOSS",$B382="OK"),IF(OR($C382="W",$C382="1/2W",$C382="1/2L"),P382-O382,IF($C382="L",-O382,0))+IF(OR($C383="W",$C383="1/2W",$C383="1/2L"),P383-O383,IF($C383="L",-O383,0))+IF(OR($C384="W",$C384="1/2W",$C384="1/2L"),P384-O384,IF($C384="L",-O384,0)),IF(AND(OR($C382="W",$C382="1/2W",$C382="1/2L"),C383="W"),P382+P383-SUM(O382:O384)+_xlfn.XLOOKUP("X",C382:C384,O382:O384,0),IF(AND(C382=TRUE,C384="W"),P382+P384-SUM(O382:O384),IF(AND(C383="W",C384="W"),P383+P384-SUM(O382:O384)+_xlfn.XLOOKUP("X",C382:C384,O382:O384,0),IF(L384&gt;0,IF(OR($C382="W",$C382="1/2W",$C382="1/2L"),P382-SUM(O382:O384)+_xlfn.XLOOKUP("X",C382:C384,O382:O384,0),IF(OR($C382="W",$C382="1/2W",$C382="1/2L"),P383-SUM(O382:O384)+_xlfn.XLOOKUP("X",C382:C384,O382:O384,0),IF(OR($C382="W",$C382="1/2W",$C382="1/2L"),P384-SUM(O382:O384)+_xlfn.XLOOKUP("X",C382:C384,O382:O384,0),IF(SUM(P382:P384)/3-SUM(O382:O384)+_xlfn.XLOOKUP("X",C382:C384,O382:O384,0)&gt;0,SUM(P382:P384)/3-SUM(O382:O384)+_xlfn.XLOOKUP("X",C382:C384,O382:O384,0),LARGE(P382:P384,1)-SUM(O382:O384))))),IF(OR($C382="W",$C382="1/2W",$C382="1/2L"),P382-SUM(O382:O383)+_xlfn.XLOOKUP("X",C382:C384,O382:O384,0),IF(OR($C382="W",$C382="1/2W",$C382="1/2L"),P383-SUM(O382:O383)+_xlfn.XLOOKUP("X",C382:C384,O382:O384,0),SUM(P382:P383)/2-SUM(O382:O383)+_xlfn.XLOOKUP("X",C382:C384,O382:O384,0)))))))),2))</f>
        <v>1.17</v>
      </c>
      <c r="T382" s="265">
        <f>IF(S382=0,0,S382/SUM(O382:O384))</f>
        <v>0.0444191343963554</v>
      </c>
      <c r="U382" s="266">
        <f>IF($D382=$D379,IF(OR($B382="LOSS",$B382="OK",$B382="Anulada"),S382,0)+U379,IF(OR($B382="LOSS",$B382="OK",$B382="Anulada"),S382,0))</f>
        <v>13.07</v>
      </c>
      <c r="V382" s="266">
        <f>IF($D382="",0,IF($D382=$D379,IF($B382=" ",IF(I384="",IF(OR(AND(I382="DNB1",I383="DNB2"),AND(OR(I382="DNB1",I382="DNB2"),J383=0),AND(OR(I383="DNB1",I383="DNB2"),J382=0),AND(I382="DNB2",I383="DNB1"),AND(IF(J382=0,(J382+1)/ROUND(J382+1,0),J382/ROUND(J382,0))=1,IF(J383=0,(J383+1)/ROUND(IF(J383="",0,J383)+1,0),IF(J383="",0,J383)/ROUND(IF(J383="",1,J383),0))=1,OR(J382&lt;&gt;""),J383&lt;&gt;"")),0,IF(S382&lt;0,IF(I384="",SMALL(P382:P383,1)-SUM(O382:O383),0),SMALL(P382:P383,1)-SUM(O382:O383))),IF(S382&lt;0,IF(I384="",SMALL(P382:P384,1)-SUM(O382:O384),0),LARGE(P382:P384,1)-SUM(O382:O384))),S382)+V379,IF(I384="",IF(OR(AND(I382="DNB1",I383="DNB2"),AND(OR(I382="DNB1",I382="DNB2"),J383=0),AND(OR(I383="DNB1",I383="DNB2"),J382=0),AND(I382="DNB2",I383="DNB1"),AND(IF(J382=0,(J382+1)/ROUND(J382+1,0),J382/ROUND(J382,0))=1,IF(J383=0,(IF(J383="",0,J383)+1)/ROUND(IF(J383="",0,J383)+1,0),IF(J383="",0,J383)/ROUND(IF(J383="",0,J383)+1,0))=1,OR(J382&lt;&gt;""),J383&lt;&gt;"")),0,IF(S382&lt;0,IF(I384="",SMALL(P382:P383,1)-SUM(O382:O383),0),SMALL(P382:P384,1)-SUM(O382:O384))),IF(S382&lt;0,IF(I384="",SMALL(P382:P384,1)-SUM(O382:O384),0),LARGE(P382:P384,1)-SUM(O382:O384)))))</f>
        <v>13.07225</v>
      </c>
      <c r="W382" s="266">
        <f>IF($D382=$D379,IF(S382&lt;0,IF(I384="",S382,0),S382)+W379,S382)</f>
        <v>13.07</v>
      </c>
      <c r="X382" t="s" s="267">
        <f>IF(OR(SUM(R382:R384)=0,V382=W382),ROUND(IF(W382=0,0,W382/Y382)*100,2)&amp;"%",ROUND(IF(V382=0,0,V382/Y382)*100,2)&amp;"% a "&amp;ROUND(IF(W382=0,0,W382/Y382)*100,2)&amp;"%")</f>
        <v>321</v>
      </c>
      <c r="Y382" s="268">
        <f>IF($D382=$D379,Y379+SUM(O382:O384),SUM(O382:O384))</f>
        <v>143.18</v>
      </c>
      <c r="Z382" s="266">
        <f>IF($B382=" ",SUM(O382:O384),0)+Z379</f>
        <v>0</v>
      </c>
      <c r="AA382" s="266">
        <f>IF(G382="","",IF($B382="Anulado",LARGE(P382:P384,1)-SUM(O382:O384)+AA379,AA379))</f>
        <v>16.5099</v>
      </c>
      <c r="AB382" s="266">
        <f>IF($D382="","",AB379+S382)</f>
        <v>264.74</v>
      </c>
      <c r="AC382" s="269">
        <f>IF($D382="","",IF($B382=" ",IF(DAY(G382)=DAY(TODAY()),1+AC379,0+AC379),0+AC379))</f>
        <v>0</v>
      </c>
      <c r="AD382" s="270">
        <f>(1-_xlfn.XLOOKUP(K380,'Janeiro 2023 - Valor Real'!A3:A15,'Janeiro 2023 - Valor Real'!C3:C15,0))+1</f>
        <v>2</v>
      </c>
      <c r="AE382" s="271">
        <f>IF(L382="","",IF(L384&gt;0,(SUM(((L382-1)*(1-_xlfn.XLOOKUP(K382,'Janeiro 2023 - Valor Real'!A3:A15,'Janeiro 2023 - Valor Real'!C3:C15,0))+1),((L383-1)*(1-_xlfn.XLOOKUP(K383,'Janeiro 2023 - Valor Real'!A3:A15,'Janeiro 2023 - Valor Real'!C3:C15,0))+1),((L384-1)*(1-_xlfn.XLOOKUP(K384,'Janeiro 2023 - Valor Real'!A3:A15,'Janeiro 2023 - Valor Real'!C3:C15,0))+1))/((L382-1)*(1-_xlfn.XLOOKUP(K382,'Janeiro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Real'!C3:C15,0))+1))/((L382-1)*(1-_xlfn.XLOOKUP(K382,'Janeiro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Real'!C3:C15,0))+1))/((L383-1)*(1-_xlfn.XLOOKUP(K383,'Janeiro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Real'!C3:C15,0))+1))/((L384-1)*(1-_xlfn.XLOOKUP(K384,'Janeiro 2023 - Valor Real'!A3:A15,'Janeiro 2023 - Valor Real'!C3:C15,0))+1)),IF(I382="Lay",IF(I383="Lay",((L383/(L383-1)-1)*(1-_xlfn.XLOOKUP(K383,'Janeiro 2023 - Valor Real'!A3:A15,'Janeiro 2023 - Valor Real'!C3:C15,0))+1)/(((L383/(L383-1)-1)*(1-_xlfn.XLOOKUP(K383,'Janeiro 2023 - Valor Real'!A3:A15,'Janeiro 2023 - Valor Real'!C3:C15,0))+1)+((L382/(L382-1)-1)*(1-_xlfn.XLOOKUP(K382,'Janeiro 2023 - Valor Real'!A3:A15,'Janeiro 2023 - Valor Real'!C3:C15,0))+1)),((L383-1)*(1-_xlfn.XLOOKUP(K383,'Janeiro 2023 - Valor Real'!A3:A15,'Janeiro 2023 - Valor Real'!C3:C15,0))+1)/(((L383-1)*(1-_xlfn.XLOOKUP(K383,'Janeiro 2023 - Valor Real'!A3:A15,'Janeiro 2023 - Valor Real'!C3:C15,0))+1)+((L382/(L382-1)-1)*(1-_xlfn.XLOOKUP(K382,'Janeiro 2023 - Valor Real'!A3:A15,'Janeiro 2023 - Valor Real'!C3:C15,0))+1))),IF(I383="Lay",(((L383/(L383-1)-1)*(1-_xlfn.XLOOKUP(K383,'Janeiro 2023 - Valor Real'!A3:A15,'Janeiro 2023 - Valor Real'!C3:C15,0))+1))/(((L382-1)*(1-_xlfn.XLOOKUP(K382,'Janeiro 2023 - Valor Real'!A3:A15,'Janeiro 2023 - Valor Real'!C3:C15,0))+1)+((L383/(L383-1)-1)*(1-_xlfn.XLOOKUP(K383,'Janeiro 2023 - Valor Real'!A3:A15,'Janeiro 2023 - Valor Real'!C3:C15,0))+1)),((L383-1)*(1-_xlfn.XLOOKUP(K383,'Janeiro 2023 - Valor Real'!A3:A15,'Janeiro 2023 - Valor Real'!C3:C15,0))+1)/(((L383-1)*(1-_xlfn.XLOOKUP(K383,'Janeiro 2023 - Valor Real'!A3:A15,'Janeiro 2023 - Valor Real'!C3:C15,0))+1)+((L382-1)*(1-_xlfn.XLOOKUP(K382,'Janeiro 2023 - Valor Real'!A3:A15,'Janeiro 2023 - Valor Real'!C3:C15,0))+1))))))</f>
        <v>0.386920980926431</v>
      </c>
      <c r="AF382" s="132">
        <f>IF($K382=AF$3,ROUND(IF(OR($C382="W",$C382="1/2W",$C382="1/2L"),$P382-$O382,IF($C382="X",0,-$O382)),2),0)</f>
        <v>0</v>
      </c>
      <c r="AG382" s="133">
        <f>IF($K382=AG$3,ROUND(IF(OR($C382="W",$C382="1/2W",$C382="1/2L"),$P382-$O382,IF($C382="X",0,-$O382)),2),0)</f>
        <v>17.32</v>
      </c>
      <c r="AH382" s="133">
        <f>IF($K382=AH$3,ROUND(IF(OR($C382="W",$C382="1/2W",$C382="1/2L"),$P382-$O382,IF($C382="X",0,-$O382)),2),0)</f>
        <v>0</v>
      </c>
      <c r="AI382" s="133">
        <f>IF($K382=AI$3,ROUND(IF(OR($C382="W",$C382="1/2W",$C382="1/2L"),$P382-$O382,IF($C382="X",0,-$O382)),2),0)</f>
        <v>0</v>
      </c>
      <c r="AJ382" s="133">
        <f>IF($K382=AJ$3,ROUND(IF(OR($C382="W",$C382="1/2W",$C382="1/2L"),$P382-$O382,IF($C382="X",0,-$O382)),2),0)</f>
        <v>0</v>
      </c>
      <c r="AK382" s="133">
        <f>IF($K382=AK$3,ROUND(IF(OR($C382="W",$C382="1/2W",$C382="1/2L"),$P382-$O382,IF($C382="X",0,-$O382)),2),0)</f>
        <v>0</v>
      </c>
      <c r="AL382" s="133">
        <f>IF($K382=AL$3,ROUND(IF(OR($C382="W",$C382="1/2W",$C382="1/2L"),$P382-$O382,IF($C382="X",0,-$O382)),2),0)</f>
        <v>0</v>
      </c>
      <c r="AM382" s="133">
        <f>IF($K382=AM$3,ROUND(IF(OR($C382="W",$C382="1/2W",$C382="1/2L"),$P382-$O382,IF($C382="X",0,-$O382)),2),0)</f>
        <v>0</v>
      </c>
      <c r="AN382" s="133">
        <f>IF($K382=AN$3,ROUND(IF(OR($C382="W",$C382="1/2W",$C382="1/2L"),$P382-$O382,IF($C382="X",0,-$O382)),2),0)</f>
        <v>0</v>
      </c>
      <c r="AO382" s="133">
        <f>IF($K382=AO$3,ROUND(IF(OR($C382="W",$C382="1/2W",$C382="1/2L"),$P382-$O382,IF($C382="X",0,-$O382)),2),0)</f>
        <v>0</v>
      </c>
      <c r="AP382" s="133">
        <f>IF($K382=AP$3,ROUND(IF(OR($C382="W",$C382="1/2W",$C382="1/2L"),$P382-$O382,IF($C382="X",0,-$O382)),2),0)</f>
        <v>0</v>
      </c>
      <c r="AQ382" s="133">
        <f>IF($K382=AQ$3,ROUND(IF(OR($C382="W",$C382="1/2W",$C382="1/2L"),$P382-$O382,IF($C382="X",0,-$O382)),2),0)</f>
        <v>0</v>
      </c>
      <c r="AR382" s="134">
        <f>IF($K382=AR$3,ROUND(IF(OR($C382="W",$C382="1/2W",$C382="1/2L"),$P382-$O382,IF($C382="X",0,-$O382)),2),0)</f>
        <v>0</v>
      </c>
      <c r="AS382" s="132">
        <f>IF(AND($B382=" ",$K382=AS$3),$O382,0)</f>
        <v>0</v>
      </c>
      <c r="AT382" s="133">
        <f>IF(AND($B382=" ",$K382=AT$3),$O382,0)</f>
        <v>0</v>
      </c>
      <c r="AU382" s="133">
        <f>IF(AND($B382=" ",$K382=AU$3),$O382,0)</f>
        <v>0</v>
      </c>
      <c r="AV382" s="133">
        <f>IF(AND($B382=" ",$K382=AV$3),$O382,0)</f>
        <v>0</v>
      </c>
      <c r="AW382" s="133">
        <f>IF(AND($B382=" ",$K382=AW$3),$O382,0)</f>
        <v>0</v>
      </c>
      <c r="AX382" s="133">
        <f>IF(AND($B382=" ",$K382=AX$3),$O382,0)</f>
        <v>0</v>
      </c>
      <c r="AY382" s="135">
        <f>IF(AND($B382=" ",$K382=AY$3),$O382,0)</f>
        <v>0</v>
      </c>
      <c r="AZ382" s="136">
        <f>IF(AND($B382=" ",$K382=AZ$3),$O382,0)</f>
        <v>0</v>
      </c>
      <c r="BA382" s="136">
        <f>IF(AND($B382=" ",$K382=BA$3),$O382,0)</f>
        <v>0</v>
      </c>
      <c r="BB382" s="136">
        <f>IF(AND($B382=" ",$K382=BB$3),$O382,0)</f>
        <v>0</v>
      </c>
      <c r="BC382" s="137">
        <f>IF(AND($B382=" ",$K382=BC$3),$O382,0)</f>
        <v>0</v>
      </c>
      <c r="BD382" s="133">
        <f>IF(AND($B382=" ",$K382=BD$3),$O382,0)</f>
        <v>0</v>
      </c>
      <c r="BE382" s="134">
        <f>IF(AND($B382=" ",$K382=BE$3),$O382,0)</f>
        <v>0</v>
      </c>
      <c r="BF382" s="132">
        <f>IF($K382=BF$3,IF($C382="X",0,$O382),0)</f>
        <v>0</v>
      </c>
      <c r="BG382" s="133">
        <f>IF($K382=BG$3,IF($C382="X",0,$O382),0)</f>
        <v>10.19</v>
      </c>
      <c r="BH382" s="133">
        <f>IF($K382=BH$3,IF($C382="X",0,$O382),0)</f>
        <v>0</v>
      </c>
      <c r="BI382" s="133">
        <f>IF($K382=BI$3,IF($C382="X",0,$O382),0)</f>
        <v>0</v>
      </c>
      <c r="BJ382" s="133">
        <f>IF($K382=BJ$3,IF($C382="X",0,$O382),0)</f>
        <v>0</v>
      </c>
      <c r="BK382" s="133">
        <f>IF($K382=BK$3,IF($C382="X",0,$O382),0)</f>
        <v>0</v>
      </c>
      <c r="BL382" s="133">
        <f>IF($K382=BL$3,IF($C382="X",0,$O382),0)</f>
        <v>0</v>
      </c>
      <c r="BM382" s="135">
        <f>IF($K382=BM$3,IF($C382="X",0,$O382),0)</f>
        <v>0</v>
      </c>
      <c r="BN382" s="136">
        <f>IF($K382=BN$3,IF($C382="X",0,$O382),0)</f>
        <v>0</v>
      </c>
      <c r="BO382" s="136">
        <f>IF($K382=BO$3,IF($C382="X",0,$O382),0)</f>
        <v>0</v>
      </c>
      <c r="BP382" s="136">
        <f>IF($K382=BP$3,IF($C382="X",0,$O382),0)</f>
        <v>0</v>
      </c>
      <c r="BQ382" s="137">
        <f>IF($K382=BQ$3,IF($C382="X",0,$O382),0)</f>
        <v>0</v>
      </c>
      <c r="BR382" s="134">
        <f>IF($K382=BR$3,IF($C382="X",0,$O382),0)</f>
        <v>0</v>
      </c>
      <c r="BS382" s="170">
        <f>IF($B382="LOSS",IF(AND($K382=BS$3,$C382="L"),-$O382,0)+IF(AND($K383=BS$3,$C383="L"),-$O383,0)+IF(AND($K384=BS$3,$C384="L"),-$O384,0),IF(OR(AND($K382=BS$3,OR($C382="W",$C382="1/2W")),AND($K383=BS$3,OR($C383="W",$C383="1/2W")),AND($K384=BS$3,OR($C384="W",$C384="1/2W"))),$S382,0))</f>
        <v>0</v>
      </c>
      <c r="BT382" s="272">
        <f>IF($B382="LOSS",IF(AND($K382=BT$3,$C382="L"),-$O382,0)+IF(AND($K383=BT$3,$C383="L"),-$O383,0)+IF(AND($K383=BT$3,$C384="L"),-$O384,0),IF(OR(AND($K383=BT$3,OR($C382="W",$C382="1/2W")),AND($K383=BT$3,OR($C383="W",$C383="1/2W")),AND($K383=BT$3,OR($C384="W",$C384="1/2W"))),$S382,0))</f>
        <v>0</v>
      </c>
      <c r="BU382" s="136">
        <f>IF($B382="LOSS",IF(AND($K382=BU$3,$C382="L"),-$O382,0)+IF(AND($K383=BU$3,$C383="L"),-$O383,0)+IF(AND($K383=BU$3,$C384="L"),-$O384,0),IF(OR(AND($K383=BU$3,OR($C382="W",$C382="1/2W")),AND($K383=BU$3,OR($C383="W",$C383="1/2W")),AND($K383=BU$3,OR($C384="W",$C384="1/2W"))),$S382,0))</f>
        <v>0</v>
      </c>
      <c r="BV382" s="136">
        <f>IF($B382="LOSS",IF(AND($K382=BV$3,$C382="L"),-$O382,0)+IF(AND($K383=BV$3,$C383="L"),-$O383,0)+IF(AND($K384=BV$3,$C384="L"),-$O384,0),IF(OR(AND($K382=BV$3,OR($C382="W",$C382="1/2W")),AND($K383=BV$3,OR($C383="W",$C383="1/2W")),AND($K384=BV$3,OR($C384="W",$C384="1/2W"))),$S382,0))</f>
        <v>0</v>
      </c>
      <c r="BW382" s="136">
        <f>IF($B382="LOSS",IF(AND($K382=BW$3,$C382="L"),-$O382,0)+IF(AND($K383=BW$3,$C383="L"),-$O383,0)+IF(AND($K384=BW$3,$C384="L"),-$O384,0),IF(OR(AND($K382=BW$3,OR($C382="W",$C382="1/2W")),AND($K383=BW$3,OR($C383="W",$C383="1/2W")),AND($K384=BW$3,OR($C384="W",$C384="1/2W"))),$S382,0))</f>
        <v>0</v>
      </c>
      <c r="BX382" s="136">
        <f>IF($B382="LOSS",IF(AND($K382=BX$3,$C382="L"),-$O382,0)+IF(AND($K383=BX$3,$C383="L"),-$O383,0)+IF(AND($K384=BX$3,$C384="L"),-$O384,0),IF(OR(AND($K382=BX$3,OR($C382="W",$C382="1/2W")),AND($K383=BX$3,OR($C383="W",$C383="1/2W")),AND($K384=BX$3,OR($C384="W",$C384="1/2W"))),$S382,0))</f>
        <v>0</v>
      </c>
      <c r="BY382" s="136">
        <f>IF($B382="LOSS",IF(AND($K382=BY$3,$C382="L"),-$O382,0)+IF(AND($K383=BY$3,$C383="L"),-$O383,0)+IF(AND($K384=BY$3,$C384="L"),-$O384,0),IF(OR(AND($K382=BY$3,OR($C382="W",$C382="1/2W")),AND($K383=BY$3,OR($C383="W",$C383="1/2W")),AND($K384=BY$3,OR($C384="W",$C384="1/2W"))),$S382,0))</f>
        <v>0</v>
      </c>
      <c r="BZ382" s="136">
        <f>IF($B382="LOSS",IF(AND($K382=BZ$3,$C382="L"),-$O382,0)+IF(AND($K383=BZ$3,$C383="L"),-$O383,0)+IF(AND($K384=BZ$3,$C384="L"),-$O384,0),IF(OR(AND($K382=BZ$3,OR($C382="W",$C382="1/2W")),AND($K383=BZ$3,OR($C383="W",$C383="1/2W")),AND($K384=BZ$3,OR($C384="W",$C384="1/2W"))),$S382,0))</f>
        <v>0</v>
      </c>
      <c r="CA382" s="136">
        <f>IF($B382="LOSS",IF(AND($K382=CA$3,$C382="L"),-$O382,0)+IF(AND($K383=CA$3,$C383="L"),-$O383,0)+IF(AND($K384=CA$3,$C384="L"),-$O384,0),IF(OR(AND($K382=CA$3,OR($C382="W",$C382="1/2W")),AND($K383=CA$3,OR($C383="W",$C383="1/2W")),AND($K384=CA$3,OR($C384="W",$C384="1/2W"))),$S382,0))</f>
        <v>0</v>
      </c>
      <c r="CB382" s="136">
        <f>IF($B382="LOSS",IF(AND($K382=CB$3,$C382="L"),-$O382,0)+IF(AND($K383=CB$3,$C383="L"),-$O383,0)+IF(AND($K384=CB$3,$C384="L"),-$O384,0),IF(OR(AND($K382=CB$3,OR($C382="W",$C382="1/2W")),AND($K383=CB$3,OR($C383="W",$C383="1/2W")),AND($K384=CB$3,OR($C384="W",$C384="1/2W"))),$S382,0))</f>
        <v>0</v>
      </c>
      <c r="CC382" s="136">
        <f>IF($B382="LOSS",IF(AND($K382=CC$3,$C382="L"),-$O382,0)+IF(AND($K383=CC$3,$C383="L"),-$O383,0)+IF(AND($K384=CC$3,$C384="L"),-$O384,0),IF(OR(AND($K382=CC$3,OR($C382="W",$C382="1/2W")),AND($K383=CC$3,OR($C383="W",$C383="1/2W")),AND($K384=CC$3,OR($C384="W",$C384="1/2W"))),$S382,0))</f>
        <v>0</v>
      </c>
      <c r="CD382" s="137">
        <f>IF($B382="LOSS",IF(AND($K382=CD$3,$C382="L"),-$O382,0)+IF(AND($K383=CD$3,$C383="L"),-$O383,0)+IF(AND($K384=CD$3,$C384="L"),-$O384,0),IF(OR(AND($K382=CD$3,OR($C382="W",$C382="1/2W")),AND($K383=CD$3,OR($C383="W",$C383="1/2W")),AND($K384=CD$3,OR($C384="W",$C384="1/2W"))),$S382,0))</f>
        <v>0</v>
      </c>
      <c r="CE382" s="134">
        <f>IF($B382="LOSS",IF(AND($K382=CE$3,$C382="L"),-$O382,0)+IF(AND($K383=CE$3,$C383="L"),-$O383,0)+IF(AND($K384=CE$3,$C384="L"),-$O384,0),IF(OR(AND($K382=CE$3,OR($C382="W",$C382="1/2W")),AND($K383=CE$3,OR($C383="W",$C383="1/2W")),AND($K384=CE$3,OR($C384="W",$C384="1/2W"))),$S382,0))</f>
        <v>0</v>
      </c>
      <c r="CF382" s="273">
        <f>IF(CF$3=$K382,IF($C382="W",1,IF($C382="1/2W",0.5,0)),0)</f>
        <v>0</v>
      </c>
      <c r="CG382" s="274">
        <f>IF(CF$3=$K382,IF($C382="L",1,IF($C382="1/2L",0.5,0)),0)</f>
        <v>0</v>
      </c>
      <c r="CH382" s="274">
        <f>IF(CH$3=$K382,IF($C382="W",1,IF($C382="1/2W",0.5,0)),0)</f>
        <v>1</v>
      </c>
      <c r="CI382" s="274">
        <f>IF(CH$3=$K382,IF($C382="L",1,IF($C382="1/2L",0.5,0)),0)</f>
        <v>0</v>
      </c>
      <c r="CJ382" s="274">
        <f>IF(CJ$3=$K382,IF($C382="W",1,IF($C382="1/2W",0.5,0)),0)</f>
        <v>0</v>
      </c>
      <c r="CK382" s="274">
        <f>IF(CJ$3=$K382,IF($C382="L",1,IF($C382="1/2L",0.5,0)),0)</f>
        <v>0</v>
      </c>
      <c r="CL382" s="274">
        <f>IF(CL$3=$K382,IF($C382="W",1,IF($C382="1/2W",0.5,0)),0)</f>
        <v>0</v>
      </c>
      <c r="CM382" s="274">
        <f>IF(CL$3=$K382,IF($C382="L",1,IF($C382="1/2L",0.5,0)),0)</f>
        <v>0</v>
      </c>
      <c r="CN382" s="274">
        <f>IF(CN$3=$K382,IF($C382="W",1,IF($C382="1/2W",0.5,0)),0)</f>
        <v>0</v>
      </c>
      <c r="CO382" s="274">
        <f>IF(CN$3=$K382,IF($C382="L",1,IF($C382="1/2L",0.5,0)),0)</f>
        <v>0</v>
      </c>
      <c r="CP382" s="274">
        <f>IF(CP$3=$K382,IF($C382="W",1,IF($C382="1/2W",0.5,0)),0)</f>
        <v>0</v>
      </c>
      <c r="CQ382" s="274">
        <f>IF(CP$3=$K382,IF($C382="L",1,IF($C382="1/2L",0.5,0)),0)</f>
        <v>0</v>
      </c>
      <c r="CR382" s="274">
        <f>IF(CR$3=$K382,IF($C382="W",1,IF($C382="1/2W",0.5,0)),0)</f>
        <v>0</v>
      </c>
      <c r="CS382" s="274">
        <f>IF(CR$3=$K382,IF($C382="L",1,IF($C382="1/2L",0.5,0)),0)</f>
        <v>0</v>
      </c>
      <c r="CT382" s="145">
        <f>IF(CT$3=$K382,IF($C382="W",1,IF($C382="1/2W",0.5,0)),0)</f>
        <v>0</v>
      </c>
      <c r="CU382" s="146">
        <f>IF(CT$3=$K382,IF($C382="L",1,IF($C382="1/2L",0.5,0)),0)</f>
        <v>0</v>
      </c>
      <c r="CV382" s="146">
        <f>IF(CV$3=$K382,IF($C382="W",1,IF($C382="1/2W",0.5,0)),0)</f>
        <v>0</v>
      </c>
      <c r="CW382" s="146">
        <f>IF(CV$3=$K382,IF($C382="L",1,IF($C382="1/2L",0.5,0)),0)</f>
        <v>0</v>
      </c>
      <c r="CX382" s="146">
        <f>IF(CX$3=$K382,IF($C382="W",1,IF($C382="1/2W",0.5,0)),0)</f>
        <v>0</v>
      </c>
      <c r="CY382" s="146">
        <f>IF(CX$3=$K382,IF($C382="L",1,IF($C382="1/2L",0.5,0)),0)</f>
        <v>0</v>
      </c>
      <c r="CZ382" s="146">
        <f>IF(CZ$3=$K382,IF($C382="W",1,IF($C382="1/2W",0.5,0)),0)</f>
        <v>0</v>
      </c>
      <c r="DA382" s="146">
        <f>IF(CZ$3=$K382,IF($C382="L",1,IF($C382="1/2L",0.5,0)),0)</f>
        <v>0</v>
      </c>
      <c r="DB382" s="146">
        <f>IF(DB$3=$K382,IF($C382="W",1,IF($C382="1/2W",0.5,0)),0)</f>
        <v>0</v>
      </c>
      <c r="DC382" s="146">
        <f>IF(DB$3=$K382,IF($C382="L",1,IF($C382="1/2L",0.5,0)),0)</f>
        <v>0</v>
      </c>
      <c r="DD382" s="146">
        <f>IF(DD$3=$K382,IF($C382="W",1,IF($C382="1/2W",0.5,0)),0)</f>
        <v>0</v>
      </c>
      <c r="DE382" s="147">
        <f>IF(DD$3=$K382,IF($C382="L",1,IF($C382="1/2L",0.5,0)),0)</f>
        <v>0</v>
      </c>
      <c r="DF382" s="143">
        <f>IF(AND(L382&lt;DF$3,$C382="W"),1+DF381,DF381)</f>
        <v>12</v>
      </c>
      <c r="DG382" s="133">
        <f>IF(DF382&gt;DF381,L382+DG381,DG381)</f>
        <v>15.718</v>
      </c>
      <c r="DH382" s="146">
        <f>IF(AND(L382&gt;DH$3,$C382="W"),1+DH381,0+DH381)</f>
        <v>9</v>
      </c>
      <c r="DI382" s="133">
        <f>IF(DH382&gt;DH381,L382+DI381,DI381)</f>
        <v>49.83</v>
      </c>
      <c r="DJ382" t="s" s="304">
        <f>IF($D382="","",$D382)</f>
        <v>307</v>
      </c>
      <c r="DK382" s="146">
        <f>IF(AND($B382=" ",$D382&lt;&gt;""),1,0)</f>
        <v>0</v>
      </c>
    </row>
    <row r="383" ht="14.55" customHeight="1">
      <c r="A383" s="107"/>
      <c r="B383" s="108"/>
      <c r="C383" t="s" s="109">
        <v>51</v>
      </c>
      <c r="D383" s="110"/>
      <c r="E383" s="111"/>
      <c r="F383" s="113"/>
      <c r="G383" s="252"/>
      <c r="H383" s="114"/>
      <c r="I383" t="s" s="275">
        <v>67</v>
      </c>
      <c r="J383" s="276">
        <f>IF(OR(I382="TO",I382="TU",I382="TO1",I382="TU1",I382="TO2",I382="TU2"),J382,IF(OR(I382="AH1",I382="AH2"),IF(OR(I383="AH1",I383="AH2"),-J382,IF(OR(I383="EH1",I383="EH2"),-J382+0.5,"")),IF(OR(I382="EH1",I382="EH2"),IF(OR(I383="AH1",I383="AH2"),-J382+0.5,IF(OR(I383="EH1",I383="EH2"),-J382+1,"")),IF(AND(OR(I382="DNB1",I382="DNB2"),OR(I383="AH1",I383="AH2")),0,IF(AND(I382="Not ScoreBoth",OR(I383="TO1",I383="TO2")),0.5,"")))))</f>
        <v>10.5</v>
      </c>
      <c r="K383" t="s" s="117">
        <v>44</v>
      </c>
      <c r="L383" s="277">
        <v>1.704</v>
      </c>
      <c r="M383" s="278"/>
      <c r="N383" s="120"/>
      <c r="O383" s="121">
        <f>IF(OR(AE382="",AE383=""),"",ROUND(IF(L384&gt;0,IF(M383&gt;0,M383,IF(M382&gt;0,IF(N382=TRUE,ROUND((M382*AE383)/AE382,0),(M382*AE383)/AE382),IF(M383&gt;0,ROUND(M383,IF(N382=0,2,IF(N382=0.1,1,0))),IF(M384&gt;0,ROUND(O384*AE383/AE384,IF(N382=0,2,IF(N382=0.1,1,0))),0)))),IF(M383&gt;0,M383,ROUND((M382*AE383)/AE382,IF(N382=0,2,IF(N382=0.1,1,0))))),2))</f>
        <v>16.15</v>
      </c>
      <c r="P383" s="122">
        <f>IF(OR(L383="",O383=""),"",IF($C383="1/2W",O383/2+O383/2*L383,IF($C383="1/2L",O383/2,IF(I383="Lay",((O383*(L383/(L383-1)))-O383)*(1-_xlfn.XLOOKUP(K383,'Janeiro 2023 - Valor Real'!A3:A15,'Janeiro 2023 - Valor Real'!C3:C15,0))+O383,(O383*L383-O383)*(1-_xlfn.XLOOKUP(K383,'Janeiro 2023 - Valor Real'!A3:A15,'Janeiro 2023 - Valor Real'!C3:C15,0))+O383))))</f>
        <v>27.5196</v>
      </c>
      <c r="Q383" s="279">
        <f>IF(K383="","",IF(_xlfn.XLOOKUP(K383,K$108:K150,DJ$108:DJ150,0,,-1)=DJ383,_xlfn.XLOOKUP(K383,K$108:K150,Q$108:Q150,1,,-1)+1,1))</f>
        <v>1</v>
      </c>
      <c r="R383" s="280">
        <f>IF(K383="","",_xlfn.XLOOKUP(K383,K$108:K150,R$108:R150,0,,-1)+IF($C383=" ",1,0))</f>
        <v>0</v>
      </c>
      <c r="S383" s="125"/>
      <c r="T383" s="126"/>
      <c r="U383" s="126"/>
      <c r="V383" s="224"/>
      <c r="W383" s="126"/>
      <c r="X383" s="127"/>
      <c r="Y383" s="128"/>
      <c r="Z383" s="129"/>
      <c r="AA383" s="129"/>
      <c r="AB383" s="129"/>
      <c r="AC383" s="129"/>
      <c r="AD383" s="130"/>
      <c r="AE383" s="131">
        <f>IF(L383="","",IF(L384&gt;0,(SUM(((L382-1)*(1-_xlfn.XLOOKUP(K382,'Janeiro 2023 - Valor Real'!A3:A15,'Janeiro 2023 - Valor Real'!C3:C15,0))+1),((L383-1)*(1-_xlfn.XLOOKUP(K383,'Janeiro 2023 - Valor Real'!A3:A15,'Janeiro 2023 - Valor Real'!C3:C15,0))+1),((L384-1)*(1-_xlfn.XLOOKUP(K384,'Janeiro 2023 - Valor Real'!A3:A15,'Janeiro 2023 - Valor Real'!C3:C15,0))+1))/((L383-1)*(1-_xlfn.XLOOKUP(K383,'Janeiro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Real'!C3:C15,0))+1))/((L382-1)*(1-_xlfn.XLOOKUP(K382,'Janeiro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Real'!C3:C15,0))+1))/((L383-1)*(1-_xlfn.XLOOKUP(K383,'Janeiro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Real'!C3:C15,0))+1))/((L384-1)*(1-_xlfn.XLOOKUP(K384,'Janeiro 2023 - Valor Real'!A3:A15,'Janeiro 2023 - Valor Real'!C3:C15,0))+1)),IF(I383="Lay",IF(I382="Lay",((L382/(L382-1)-1)*(1-_xlfn.XLOOKUP(K382,'Janeiro 2023 - Valor Real'!A3:A15,'Janeiro 2023 - Valor Real'!C3:C15,0))+1)/(((L382/(L382-1)-1)*(1-_xlfn.XLOOKUP(K382,'Janeiro 2023 - Valor Real'!A3:A15,'Janeiro 2023 - Valor Real'!C3:C15,0))+1)+((L383/(L383-1)-1)*(1-_xlfn.XLOOKUP(K383,'Janeiro 2023 - Valor Real'!A3:A15,'Janeiro 2023 - Valor Real'!C3:C15,0))+1)),((L382-1)*(1-_xlfn.XLOOKUP(K382,'Janeiro 2023 - Valor Real'!A3:A15,'Janeiro 2023 - Valor Real'!C3:C15,0))+1)/(((L382-1)*(1-_xlfn.XLOOKUP(K382,'Janeiro 2023 - Valor Real'!A3:A15,'Janeiro 2023 - Valor Real'!C3:C15,0))+1)+((L383/(L383-1)-1)*(1-_xlfn.XLOOKUP(K383,'Janeiro 2023 - Valor Real'!A3:A15,'Janeiro 2023 - Valor Real'!C3:C15,0))+1))),IF(I382="Lay",((L382/(L382-1)-1)*(1-_xlfn.XLOOKUP(K382,'Janeiro 2023 - Valor Real'!A3:A15,'Janeiro 2023 - Valor Real'!C3:C15,0))+1)/((((L382/(L382-1)-1)*(1-_xlfn.XLOOKUP(K382,'Janeiro 2023 - Valor Real'!A3:A15,'Janeiro 2023 - Valor Real'!C3:C15,0))+1))+((L383-1)*(1-_xlfn.XLOOKUP(K383,'Janeiro 2023 - Valor Real'!A3:A15,'Janeiro 2023 - Valor Real'!C3:C15,0))+1)),((L382-1)*(1-_xlfn.XLOOKUP(K382,'Janeiro 2023 - Valor Real'!A3:A15,'Janeiro 2023 - Valor Real'!C3:C15,0))+1)/(((L382-1)*(1-_xlfn.XLOOKUP(K382,'Janeiro 2023 - Valor Real'!A3:A15,'Janeiro 2023 - Valor Real'!C3:C15,0))+1)+((L383-1)*(1-_xlfn.XLOOKUP(K383,'Janeiro 2023 - Valor Real'!A3:A15,'Janeiro 2023 - Valor Real'!C3:C15,0))+1))))))</f>
        <v>0.613079019073569</v>
      </c>
      <c r="AF383" s="132">
        <f>IF($K383=AF$3,ROUND(IF(OR($C383="W",$C383="1/2W",$C383="1/2L"),$P383-$O383,IF($C383="X",0,-$O383)),2),0)</f>
        <v>0</v>
      </c>
      <c r="AG383" s="133">
        <f>IF($K383=AG$3,ROUND(IF(OR($C383="W",$C383="1/2W",$C383="1/2L"),$P383-$O383,IF($C383="X",0,-$O383)),2),0)</f>
        <v>0</v>
      </c>
      <c r="AH383" s="133">
        <f>IF($K383=AH$3,ROUND(IF(OR($C383="W",$C383="1/2W",$C383="1/2L"),$P383-$O383,IF($C383="X",0,-$O383)),2),0)</f>
        <v>0</v>
      </c>
      <c r="AI383" s="133">
        <f>IF($K383=AI$3,ROUND(IF(OR($C383="W",$C383="1/2W",$C383="1/2L"),$P383-$O383,IF($C383="X",0,-$O383)),2),0)</f>
        <v>0</v>
      </c>
      <c r="AJ383" s="133">
        <f>IF($K383=AJ$3,ROUND(IF(OR($C383="W",$C383="1/2W",$C383="1/2L"),$P383-$O383,IF($C383="X",0,-$O383)),2),0)</f>
        <v>0</v>
      </c>
      <c r="AK383" s="133">
        <f>IF($K383=AK$3,ROUND(IF(OR($C383="W",$C383="1/2W",$C383="1/2L"),$P383-$O383,IF($C383="X",0,-$O383)),2),0)</f>
        <v>0</v>
      </c>
      <c r="AL383" s="133">
        <f>IF($K383=AL$3,ROUND(IF(OR($C383="W",$C383="1/2W",$C383="1/2L"),$P383-$O383,IF($C383="X",0,-$O383)),2),0)</f>
        <v>0</v>
      </c>
      <c r="AM383" s="133">
        <f>IF($K383=AM$3,ROUND(IF(OR($C383="W",$C383="1/2W",$C383="1/2L"),$P383-$O383,IF($C383="X",0,-$O383)),2),0)</f>
        <v>-16.15</v>
      </c>
      <c r="AN383" s="133">
        <f>IF($K383=AN$3,ROUND(IF(OR($C383="W",$C383="1/2W",$C383="1/2L"),$P383-$O383,IF($C383="X",0,-$O383)),2),0)</f>
        <v>0</v>
      </c>
      <c r="AO383" s="133">
        <f>IF($K383=AO$3,ROUND(IF(OR($C383="W",$C383="1/2W",$C383="1/2L"),$P383-$O383,IF($C383="X",0,-$O383)),2),0)</f>
        <v>0</v>
      </c>
      <c r="AP383" s="133">
        <f>IF($K383=AP$3,ROUND(IF(OR($C383="W",$C383="1/2W",$C383="1/2L"),$P383-$O383,IF($C383="X",0,-$O383)),2),0)</f>
        <v>0</v>
      </c>
      <c r="AQ383" s="133">
        <f>IF($K383=AQ$3,ROUND(IF(OR($C383="W",$C383="1/2W",$C383="1/2L"),$P383-$O383,IF($C383="X",0,-$O383)),2),0)</f>
        <v>0</v>
      </c>
      <c r="AR383" s="134">
        <f>IF($K383=AR$3,ROUND(IF(OR($C383="W",$C383="1/2W",$C383="1/2L"),$P383-$O383,IF($C383="X",0,-$O383)),2),0)</f>
        <v>0</v>
      </c>
      <c r="AS383" s="132">
        <f>IF(AND($B382=" ",$K383=AS$3),$O383,0)</f>
        <v>0</v>
      </c>
      <c r="AT383" s="133">
        <f>IF(AND($B382=" ",K383=AT$3),$O383,0)</f>
        <v>0</v>
      </c>
      <c r="AU383" s="133">
        <f>IF(AND($B382=" ",$K383=AU$3),$O383,0)</f>
        <v>0</v>
      </c>
      <c r="AV383" s="133">
        <f>IF(AND($B382=" ",$K383=AV$3),$O383,0)</f>
        <v>0</v>
      </c>
      <c r="AW383" s="133">
        <f>IF(AND($B382=" ",$K383=AW$3),$O383,0)</f>
        <v>0</v>
      </c>
      <c r="AX383" s="133">
        <f>IF(AND($B382=" ",$K383=AX$3),$O383,0)</f>
        <v>0</v>
      </c>
      <c r="AY383" s="135">
        <f>IF(AND($B382=" ",$K383=AY$3),$O383,0)</f>
        <v>0</v>
      </c>
      <c r="AZ383" s="136">
        <f>IF(AND($B382=" ",$K383=AZ$3),$O383,0)</f>
        <v>0</v>
      </c>
      <c r="BA383" s="136">
        <f>IF(AND($B382=" ",$K383=BA$3),$O383,0)</f>
        <v>0</v>
      </c>
      <c r="BB383" s="136">
        <f>IF(AND($B382=" ",$K383=BB$3),$O383,0)</f>
        <v>0</v>
      </c>
      <c r="BC383" s="137">
        <f>IF(AND($B382=" ",$K383=BC$3),$O383,0)</f>
        <v>0</v>
      </c>
      <c r="BD383" s="133">
        <f>IF(AND($B382=" ",$K383=BD$3),$O383,0)</f>
        <v>0</v>
      </c>
      <c r="BE383" s="134">
        <f>IF(AND($B382=" ",$K383=BE$3),$O383,0)</f>
        <v>0</v>
      </c>
      <c r="BF383" s="132">
        <f>IF($K383=BF$3,IF($C383="X",0,$O383),0)</f>
        <v>0</v>
      </c>
      <c r="BG383" s="281">
        <f>IF($K383=BG$3,IF($C383="X",0,$O383),0)</f>
        <v>0</v>
      </c>
      <c r="BH383" s="133">
        <f>IF($K383=BH$3,IF($C383="X",0,$O383),0)</f>
        <v>0</v>
      </c>
      <c r="BI383" s="133">
        <f>IF($K383=BI$3,IF($C383="X",0,$O383),0)</f>
        <v>0</v>
      </c>
      <c r="BJ383" s="133">
        <f>IF($K383=BJ$3,IF($C383="X",0,$O383),0)</f>
        <v>0</v>
      </c>
      <c r="BK383" s="133">
        <f>IF($K383=BK$3,IF($C383="X",0,$O383),0)</f>
        <v>0</v>
      </c>
      <c r="BL383" s="133">
        <f>IF($K383=BL$3,IF($C383="X",0,$O383),0)</f>
        <v>0</v>
      </c>
      <c r="BM383" s="135">
        <f>IF($K383=BM$3,IF($C383="X",0,$O383),0)</f>
        <v>16.15</v>
      </c>
      <c r="BN383" s="136">
        <f>IF($K383=BN$3,IF($C383="X",0,$O383),0)</f>
        <v>0</v>
      </c>
      <c r="BO383" s="136">
        <f>IF($K383=BO$3,IF($C383="X",0,$O383),0)</f>
        <v>0</v>
      </c>
      <c r="BP383" s="136">
        <f>IF($K383=BP$3,IF($C383="X",0,$O383),0)</f>
        <v>0</v>
      </c>
      <c r="BQ383" s="137">
        <f>IF($K383=BQ$3,IF($C383="X",0,$O383),0)</f>
        <v>0</v>
      </c>
      <c r="BR383" s="134">
        <f>IF($K383=BR$3,IF($C383="X",0,$O383),0)</f>
        <v>0</v>
      </c>
      <c r="BS383" s="282"/>
      <c r="BT383" s="283"/>
      <c r="BU383" s="140"/>
      <c r="BV383" s="283"/>
      <c r="BW383" s="140"/>
      <c r="BX383" s="140"/>
      <c r="BY383" s="140"/>
      <c r="BZ383" s="283"/>
      <c r="CA383" s="140"/>
      <c r="CB383" s="140"/>
      <c r="CC383" s="140"/>
      <c r="CD383" s="141"/>
      <c r="CE383" s="142"/>
      <c r="CF383" s="284">
        <f>IF(CF$3=$K383,IF($C383="W",1,IF($C383="1/2W",0.5,0)),0)</f>
        <v>0</v>
      </c>
      <c r="CG383" s="285">
        <f>IF(CF$3=$K383,IF($C383="L",1,IF($C383="1/2L",0.5,0)),0)</f>
        <v>0</v>
      </c>
      <c r="CH383" s="285">
        <f>IF(CH$3=$K383,IF($C383="W",1,IF($C383="1/2W",0.5,0)),0)</f>
        <v>0</v>
      </c>
      <c r="CI383" s="285">
        <f>IF(CH$3=$K383,IF($C383="L",1,IF($C383="1/2L",0.5,0)),0)</f>
        <v>0</v>
      </c>
      <c r="CJ383" s="285">
        <f>IF(CJ$3=$K383,IF($C383="W",1,IF($C383="1/2W",0.5,0)),0)</f>
        <v>0</v>
      </c>
      <c r="CK383" s="285">
        <f>IF(CJ$3=$K383,IF($C383="L",1,IF($C383="1/2L",0.5,0)),0)</f>
        <v>0</v>
      </c>
      <c r="CL383" s="285">
        <f>IF(CL$3=$K383,IF($C383="W",1,IF($C383="1/2W",0.5,0)),0)</f>
        <v>0</v>
      </c>
      <c r="CM383" s="285">
        <f>IF(CL$3=$K383,IF($C383="L",1,IF($C383="1/2L",0.5,0)),0)</f>
        <v>0</v>
      </c>
      <c r="CN383" s="285">
        <f>IF(CN$3=$K383,IF($C383="W",1,IF($C383="1/2W",0.5,0)),0)</f>
        <v>0</v>
      </c>
      <c r="CO383" s="285">
        <f>IF(CN$3=$K383,IF($C383="L",1,IF($C383="1/2L",0.5,0)),0)</f>
        <v>0</v>
      </c>
      <c r="CP383" s="285">
        <f>IF(CP$3=$K383,IF($C383="W",1,IF($C383="1/2W",0.5,0)),0)</f>
        <v>0</v>
      </c>
      <c r="CQ383" s="285">
        <f>IF(CP$3=$K383,IF($C383="L",1,IF($C383="1/2L",0.5,0)),0)</f>
        <v>0</v>
      </c>
      <c r="CR383" s="285">
        <f>IF(CR$3=$K383,IF($C383="W",1,IF($C383="1/2W",0.5,0)),0)</f>
        <v>0</v>
      </c>
      <c r="CS383" s="285">
        <f>IF(CR$3=$K383,IF($C383="L",1,IF($C383="1/2L",0.5,0)),0)</f>
        <v>0</v>
      </c>
      <c r="CT383" s="145">
        <f>IF(CT$3=$K383,IF($C383="W",1,IF($C383="1/2W",0.5,0)),0)</f>
        <v>0</v>
      </c>
      <c r="CU383" s="146">
        <f>IF(CT$3=$K383,IF($C383="L",1,IF($C383="1/2L",0.5,0)),0)</f>
        <v>1</v>
      </c>
      <c r="CV383" s="146">
        <f>IF(CV$3=$K383,IF($C383="W",1,IF($C383="1/2W",0.5,0)),0)</f>
        <v>0</v>
      </c>
      <c r="CW383" s="146">
        <f>IF(CV$3=$K383,IF($C383="L",1,IF($C383="1/2L",0.5,0)),0)</f>
        <v>0</v>
      </c>
      <c r="CX383" s="146">
        <f>IF(CX$3=$K383,IF($C383="W",1,IF($C383="1/2W",0.5,0)),0)</f>
        <v>0</v>
      </c>
      <c r="CY383" s="146">
        <f>IF(CX$3=$K383,IF($C383="L",1,IF($C383="1/2L",0.5,0)),0)</f>
        <v>0</v>
      </c>
      <c r="CZ383" s="146">
        <f>IF(CZ$3=$K383,IF($C383="W",1,IF($C383="1/2W",0.5,0)),0)</f>
        <v>0</v>
      </c>
      <c r="DA383" s="146">
        <f>IF(CZ$3=$K383,IF($C383="L",1,IF($C383="1/2L",0.5,0)),0)</f>
        <v>0</v>
      </c>
      <c r="DB383" s="146">
        <f>IF(DB$3=$K383,IF($C383="W",1,IF($C383="1/2W",0.5,0)),0)</f>
        <v>0</v>
      </c>
      <c r="DC383" s="146">
        <f>IF(DB$3=$K383,IF($C383="L",1,IF($C383="1/2L",0.5,0)),0)</f>
        <v>0</v>
      </c>
      <c r="DD383" s="146">
        <f>IF(DD$3=$K383,IF($C383="W",1,IF($C383="1/2W",0.5,0)),0)</f>
        <v>0</v>
      </c>
      <c r="DE383" s="147">
        <f>IF(DD$3=$K383,IF($C383="L",1,IF($C383="1/2L",0.5,0)),0)</f>
        <v>0</v>
      </c>
      <c r="DF383" s="143">
        <f>IF(AND(L383&lt;DF$3,$C383="W"),1+DF382,DF382)</f>
        <v>12</v>
      </c>
      <c r="DG383" s="133">
        <f>IF(DF383&gt;DF382,L383+DG382,DG382)</f>
        <v>15.718</v>
      </c>
      <c r="DH383" s="146">
        <f>IF(AND(L383&gt;DH$3,$C383="W"),1+DH382,0+DH382)</f>
        <v>9</v>
      </c>
      <c r="DI383" s="133">
        <f>IF(DH383&gt;DH382,L383+DI382,DI382)</f>
        <v>49.83</v>
      </c>
      <c r="DJ383" t="s" s="304">
        <f>IF($D382="","",$D382)</f>
        <v>307</v>
      </c>
      <c r="DK383" s="286"/>
    </row>
    <row r="384" ht="14.55" customHeight="1">
      <c r="A384" s="149"/>
      <c r="B384" s="150"/>
      <c r="C384" t="s" s="151">
        <v>58</v>
      </c>
      <c r="D384" s="152"/>
      <c r="E384" s="153"/>
      <c r="F384" s="155"/>
      <c r="G384" s="252"/>
      <c r="H384" s="156"/>
      <c r="I384" s="287"/>
      <c r="J384" s="288"/>
      <c r="K384" s="156"/>
      <c r="L384" s="289"/>
      <c r="M384" s="290"/>
      <c r="N384" s="161"/>
      <c r="O384" t="s" s="162">
        <f>IF(OR(AE382="",AE383=""),"",IF(L384&gt;0,ROUND(IF(M384&gt;0,M384,IF(M382&gt;0,ROUND((M382*AE384)/AE382,IF(N382=0,2,IF(N382=0.1,1,0))),IF(M383&gt;0,ROUND((M383*AE384)/AE383,IF(N382=0,2,IF(N382=0.1,1,0))),IF(M384&gt;0,M384,0)))),2),""))</f>
      </c>
      <c r="P384" t="s" s="163">
        <f>IF(I383="Lay",O383*(L383/(L383-1))-O383,IF(I382="Lay",O382*(L382/(L382-1))-O382,IF(OR(L384="",O384=""),"",IF($C384="1/2W",O384/2+O384/2*L384,IF($C384="1/2L",O384/2,(O384*L384-O384)*(1-_xlfn.XLOOKUP(K384,'Janeiro 2023 - Valor Real'!A3:A15,'Janeiro 2023 - Valor Real'!C3:C15,0))+O384)))))</f>
      </c>
      <c r="Q384" t="s" s="154">
        <f>IF(K384="","",IF(_xlfn.XLOOKUP(K384,K$109:K151,DJ$109:DJ151,0,,-1)=DJ384,_xlfn.XLOOKUP(K384,K$109:K151,Q$109:Q151,1,,-1)+1,1))</f>
      </c>
      <c r="R384" t="s" s="163">
        <f>IF(K384="","",_xlfn.XLOOKUP(K384,K$109:K151,R$109:R151,0,,-1)+IF($C384=" ",1,0))</f>
      </c>
      <c r="S384" s="166"/>
      <c r="T384" s="155"/>
      <c r="U384" s="155"/>
      <c r="V384" s="166"/>
      <c r="W384" s="155"/>
      <c r="X384" s="167"/>
      <c r="Y384" s="128"/>
      <c r="Z384" s="129"/>
      <c r="AA384" s="129"/>
      <c r="AB384" s="129"/>
      <c r="AC384" s="129"/>
      <c r="AD384" s="168"/>
      <c r="AE384" t="s" s="169">
        <f>IF(L384="","",(SUM(((L382-1)*(1-_xlfn.XLOOKUP(K382,'Janeiro 2023 - Valor Real'!A3:A15,'Janeiro 2023 - Valor Real'!C3:C15,0))+1),((L383-1)*(1-_xlfn.XLOOKUP(K383,'Janeiro 2023 - Valor Real'!A3:A15,'Janeiro 2023 - Valor Real'!C3:C15,0))+1),((L384-1)*(1-_xlfn.XLOOKUP(K384,'Janeiro 2023 - Valor Real'!A3:A15,'Janeiro 2023 - Valor Real'!C3:C15,0))+1))/((L384-1)*(1-_xlfn.XLOOKUP(K384,'Janeiro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Real'!C3:C15,0))+1))/((L382-1)*(1-_xlfn.XLOOKUP(K382,'Janeiro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Real'!C3:C15,0))+1))/((L383-1)*(1-_xlfn.XLOOKUP(K383,'Janeiro 2023 - Valor Real'!A3:A15,'Janeiro 2023 - Valor Real'!C3:C15,0))+1)+SUM(((L382-1)*(1-_xlfn.XLOOKUP(K382,'Janeiro 2023 - Valor Real'!A3:A15,'Janeiro 2023 - Valor Real'!C3:C15,0))+1),((L383-1)*(1-_xlfn.XLOOKUP(K383,'Janeiro 2023 - Valor Real'!A3:A15,'Janeiro 2023 - Valor Real'!C3:C15,0))+1),((L384-1)*(1-_xlfn.XLOOKUP(K384,'Janeiro 2023 - Valor Real'!A3:A15,'Janeiro 2023 - Valor Real'!C3:C15,0))+1))/((L384-1)*(1-_xlfn.XLOOKUP(K384,'Janeiro 2023 - Valor Real'!A3:A15,'Janeiro 2023 - Valor Real'!C3:C15,0))+1)))</f>
      </c>
      <c r="AF384" s="132">
        <f>IF($K384=AF$3,ROUND(IF(OR($C384="W",$C384="1/2W",$C384="1/2L"),$P384-$O384,IF($C384="X",0,-$O384)),2),0)</f>
        <v>0</v>
      </c>
      <c r="AG384" s="133">
        <f>IF($K384=AG$3,ROUND(IF(OR($C384="W",$C384="1/2W",$C384="1/2L"),$P384-$O384,IF($C384="X",0,-$O384)),2),0)</f>
        <v>0</v>
      </c>
      <c r="AH384" s="133">
        <f>IF($K384=AH$3,ROUND(IF(OR($C384="W",$C384="1/2W",$C384="1/2L"),$P384-$O384,IF($C384="X",0,-$O384)),2),0)</f>
        <v>0</v>
      </c>
      <c r="AI384" s="133">
        <f>IF($K384=AI$3,ROUND(IF(OR($C384="W",$C384="1/2W",$C384="1/2L"),$P384-$O384,IF($C384="X",0,-$O384)),2),0)</f>
        <v>0</v>
      </c>
      <c r="AJ384" s="133">
        <f>IF($K384=AJ$3,ROUND(IF(OR($C384="W",$C384="1/2W",$C384="1/2L"),$P384-$O384,IF($C384="X",0,-$O384)),2),0)</f>
        <v>0</v>
      </c>
      <c r="AK384" s="133">
        <f>IF($K384=AK$3,ROUND(IF(OR($C384="W",$C384="1/2W",$C384="1/2L"),$P384-$O384,IF($C384="X",0,-$O384)),2),0)</f>
        <v>0</v>
      </c>
      <c r="AL384" s="133">
        <f>IF($K384=AL$3,ROUND(IF(OR($C384="W",$C384="1/2W",$C384="1/2L"),$P384-$O384,IF($C384="X",0,-$O384)),2),0)</f>
        <v>0</v>
      </c>
      <c r="AM384" s="133">
        <f>IF($K384=AM$3,ROUND(IF(OR($C384="W",$C384="1/2W",$C384="1/2L"),$P384-$O384,IF($C384="X",0,-$O384)),2),0)</f>
        <v>0</v>
      </c>
      <c r="AN384" s="133">
        <f>IF($K384=AN$3,ROUND(IF(OR($C384="W",$C384="1/2W",$C384="1/2L"),$P384-$O384,IF($C384="X",0,-$O384)),2),0)</f>
        <v>0</v>
      </c>
      <c r="AO384" s="133">
        <f>IF($K384=AO$3,ROUND(IF(OR($C384="W",$C384="1/2W",$C384="1/2L"),$P384-$O384,IF($C384="X",0,-$O384)),2),0)</f>
        <v>0</v>
      </c>
      <c r="AP384" s="133">
        <f>IF($K384=AP$3,ROUND(IF(OR($C384="W",$C384="1/2W",$C384="1/2L"),$P384-$O384,IF($C384="X",0,-$O384)),2),0)</f>
        <v>0</v>
      </c>
      <c r="AQ384" s="133">
        <f>IF($K384=AQ$3,ROUND(IF(OR($C384="W",$C384="1/2W",$C384="1/2L"),$P384-$O384,IF($C384="X",0,-$O384)),2),0)</f>
        <v>0</v>
      </c>
      <c r="AR384" s="134">
        <f>IF($K384=AR$3,ROUND(IF(OR($C384="W",$C384="1/2W",$C384="1/2L"),$P384-$O384,IF($C384="X",0,-$O384)),2),0)</f>
        <v>0</v>
      </c>
      <c r="AS384" s="132">
        <f>IF(AND($B382=" ",$K384=AS$3),$O384,0)</f>
        <v>0</v>
      </c>
      <c r="AT384" s="133">
        <f>IF(AND($B382=" ",K384=AT$3),$O384,0)</f>
        <v>0</v>
      </c>
      <c r="AU384" s="133">
        <f>IF(AND($B382=" ",$K384=AU$3),$O384,0)</f>
        <v>0</v>
      </c>
      <c r="AV384" s="133">
        <f>IF(AND($B382=" ",$K384=AV$3),$O384,0)</f>
        <v>0</v>
      </c>
      <c r="AW384" s="133">
        <f>IF(AND($B382=" ",$K384=AW$3),$O384,0)</f>
        <v>0</v>
      </c>
      <c r="AX384" s="133">
        <f>IF(AND($B382=" ",$K384=AX$3),$O384,0)</f>
        <v>0</v>
      </c>
      <c r="AY384" s="135">
        <f>IF(AND($B382=" ",$K384=AY$3),$O384,0)</f>
        <v>0</v>
      </c>
      <c r="AZ384" s="136">
        <f>IF(AND($B382=" ",$K384=AZ$3),$O384,0)</f>
        <v>0</v>
      </c>
      <c r="BA384" s="136">
        <f>IF(AND($B382=" ",$K384=BA$3),$O384,0)</f>
        <v>0</v>
      </c>
      <c r="BB384" s="136">
        <f>IF(AND($B382=" ",$K384=BB$3),$O384,0)</f>
        <v>0</v>
      </c>
      <c r="BC384" s="137">
        <f>IF(AND($B382=" ",$K384=BC$3),$O384,0)</f>
        <v>0</v>
      </c>
      <c r="BD384" s="133">
        <f>IF(AND($B382=" ",$K384=BD$3),$O384,0)</f>
        <v>0</v>
      </c>
      <c r="BE384" s="134">
        <f>IF(AND($B382=" ",$K384=BE$3),$O384,0)</f>
        <v>0</v>
      </c>
      <c r="BF384" s="132">
        <f>IF($K384=BF$3,IF($C384="X",0,$O384),0)</f>
        <v>0</v>
      </c>
      <c r="BG384" s="281">
        <f>IF($K384=BG$3,IF($C384="X",0,$O384),0)</f>
        <v>0</v>
      </c>
      <c r="BH384" s="133">
        <f>IF($K384=BH$3,IF($C384="X",0,$O384),0)</f>
        <v>0</v>
      </c>
      <c r="BI384" s="133">
        <f>IF($K384=BI$3,IF($C384="X",0,$O384),0)</f>
        <v>0</v>
      </c>
      <c r="BJ384" s="133">
        <f>IF($K384=BJ$3,IF($C384="X",0,$O384),0)</f>
        <v>0</v>
      </c>
      <c r="BK384" s="133">
        <f>IF($K384=BK$3,IF($C384="X",0,$O384),0)</f>
        <v>0</v>
      </c>
      <c r="BL384" s="133">
        <f>IF($K384=BL$3,IF($C384="X",0,$O384),0)</f>
        <v>0</v>
      </c>
      <c r="BM384" s="135">
        <f>IF($K384=BM$3,IF($C384="X",0,$O384),0)</f>
        <v>0</v>
      </c>
      <c r="BN384" s="136">
        <f>IF($K384=BN$3,IF($C384="X",0,$O384),0)</f>
        <v>0</v>
      </c>
      <c r="BO384" s="136">
        <f>IF($K384=BO$3,IF($C384="X",0,$O384),0)</f>
        <v>0</v>
      </c>
      <c r="BP384" s="136">
        <f>IF($K384=BP$3,IF($C384="X",0,$O384),0)</f>
        <v>0</v>
      </c>
      <c r="BQ384" s="137">
        <f>IF($K384=BQ$3,IF($C384="X",0,$O384),0)</f>
        <v>0</v>
      </c>
      <c r="BR384" s="134">
        <f>IF($K384=BR$3,IF($C384="X",0,$O384),0)</f>
        <v>0</v>
      </c>
      <c r="BS384" s="282"/>
      <c r="BT384" s="283"/>
      <c r="BU384" s="140"/>
      <c r="BV384" s="283"/>
      <c r="BW384" s="140"/>
      <c r="BX384" s="140"/>
      <c r="BY384" s="140"/>
      <c r="BZ384" s="283"/>
      <c r="CA384" s="140"/>
      <c r="CB384" s="140"/>
      <c r="CC384" s="140"/>
      <c r="CD384" s="141"/>
      <c r="CE384" s="142"/>
      <c r="CF384" s="284">
        <f>IF(CF$3=$K384,IF($C384="W",1,IF($C384="1/2W",0.5,0)),0)</f>
        <v>0</v>
      </c>
      <c r="CG384" s="285">
        <f>IF(CF$3=$K384,IF($C384="L",1,IF($C384="1/2L",0.5,0)),0)</f>
        <v>0</v>
      </c>
      <c r="CH384" s="285">
        <f>IF(CH$3=$K384,IF($C384="W",1,IF($C384="1/2W",0.5,0)),0)</f>
        <v>0</v>
      </c>
      <c r="CI384" s="285">
        <f>IF(CH$3=$K384,IF($C384="L",1,IF($C384="1/2L",0.5,0)),0)</f>
        <v>0</v>
      </c>
      <c r="CJ384" s="285">
        <f>IF(CJ$3=$K384,IF($C384="W",1,IF($C384="1/2W",0.5,0)),0)</f>
        <v>0</v>
      </c>
      <c r="CK384" s="285">
        <f>IF(CJ$3=$K384,IF($C384="L",1,IF($C384="1/2L",0.5,0)),0)</f>
        <v>0</v>
      </c>
      <c r="CL384" s="285">
        <f>IF(CL$3=$K384,IF($C384="W",1,IF($C384="1/2W",0.5,0)),0)</f>
        <v>0</v>
      </c>
      <c r="CM384" s="285">
        <f>IF(CL$3=$K384,IF($C384="L",1,IF($C384="1/2L",0.5,0)),0)</f>
        <v>0</v>
      </c>
      <c r="CN384" s="285">
        <f>IF(CN$3=$K384,IF($C384="W",1,IF($C384="1/2W",0.5,0)),0)</f>
        <v>0</v>
      </c>
      <c r="CO384" s="285">
        <f>IF(CN$3=$K384,IF($C384="L",1,IF($C384="1/2L",0.5,0)),0)</f>
        <v>0</v>
      </c>
      <c r="CP384" s="285">
        <f>IF(CP$3=$K384,IF($C384="W",1,IF($C384="1/2W",0.5,0)),0)</f>
        <v>0</v>
      </c>
      <c r="CQ384" s="285">
        <f>IF(CP$3=$K384,IF($C384="L",1,IF($C384="1/2L",0.5,0)),0)</f>
        <v>0</v>
      </c>
      <c r="CR384" s="285">
        <f>IF(CR$3=$K384,IF($C384="W",1,IF($C384="1/2W",0.5,0)),0)</f>
        <v>0</v>
      </c>
      <c r="CS384" s="285">
        <f>IF(CR$3=$K384,IF($C384="L",1,IF($C384="1/2L",0.5,0)),0)</f>
        <v>0</v>
      </c>
      <c r="CT384" s="145">
        <f>IF(CT$3=$K384,IF($C384="W",1,IF($C384="1/2W",0.5,0)),0)</f>
        <v>0</v>
      </c>
      <c r="CU384" s="146">
        <f>IF(CT$3=$K384,IF($C384="L",1,IF($C384="1/2L",0.5,0)),0)</f>
        <v>0</v>
      </c>
      <c r="CV384" s="146">
        <f>IF(CV$3=$K384,IF($C384="W",1,IF($C384="1/2W",0.5,0)),0)</f>
        <v>0</v>
      </c>
      <c r="CW384" s="146">
        <f>IF(CV$3=$K384,IF($C384="L",1,IF($C384="1/2L",0.5,0)),0)</f>
        <v>0</v>
      </c>
      <c r="CX384" s="146">
        <f>IF(CX$3=$K384,IF($C384="W",1,IF($C384="1/2W",0.5,0)),0)</f>
        <v>0</v>
      </c>
      <c r="CY384" s="146">
        <f>IF(CX$3=$K384,IF($C384="L",1,IF($C384="1/2L",0.5,0)),0)</f>
        <v>0</v>
      </c>
      <c r="CZ384" s="146">
        <f>IF(CZ$3=$K384,IF($C384="W",1,IF($C384="1/2W",0.5,0)),0)</f>
        <v>0</v>
      </c>
      <c r="DA384" s="146">
        <f>IF(CZ$3=$K384,IF($C384="L",1,IF($C384="1/2L",0.5,0)),0)</f>
        <v>0</v>
      </c>
      <c r="DB384" s="146">
        <f>IF(DB$3=$K384,IF($C384="W",1,IF($C384="1/2W",0.5,0)),0)</f>
        <v>0</v>
      </c>
      <c r="DC384" s="146">
        <f>IF(DB$3=$K384,IF($C384="L",1,IF($C384="1/2L",0.5,0)),0)</f>
        <v>0</v>
      </c>
      <c r="DD384" s="146">
        <f>IF(DD$3=$K384,IF($C384="W",1,IF($C384="1/2W",0.5,0)),0)</f>
        <v>0</v>
      </c>
      <c r="DE384" s="147">
        <f>IF(DD$3=$K384,IF($C384="L",1,IF($C384="1/2L",0.5,0)),0)</f>
        <v>0</v>
      </c>
      <c r="DF384" s="143">
        <f>IF(AND(L384&lt;DF$3,$C384="W"),1+DF383,DF383)</f>
        <v>12</v>
      </c>
      <c r="DG384" s="133">
        <f>IF(DF384&gt;DF383,L384+DG383,DG383)</f>
        <v>15.718</v>
      </c>
      <c r="DH384" s="146">
        <f>IF(AND(L384&gt;DH$3,$C384="W"),1+DH383,0+DH383)</f>
        <v>9</v>
      </c>
      <c r="DI384" s="133">
        <f>IF(DH384&gt;DH383,L384+DI383,DI383)</f>
        <v>49.83</v>
      </c>
      <c r="DJ384" t="s" s="304">
        <f>IF($D382="","",$D382)</f>
        <v>307</v>
      </c>
      <c r="DK384" s="286"/>
    </row>
    <row r="385" ht="14.55" customHeight="1">
      <c r="A385" s="171">
        <f>$A382+1</f>
        <v>128</v>
      </c>
      <c r="B385" t="s" s="172">
        <f>IF(AND(_xlfn.XLOOKUP(H385,H$110:H146,G$110:G146,0)=G385,_xlfn.XLOOKUP("TempoBet",K385:K387,L385:L387,0)&gt;0),"X",IF(OR(C385="W",C386="W",C387="W",C385="1/2W",C386="1/2W",C387="1/2W",C385="1/2L",C386="1/2L",C387="1/2L"),"OK",IF(OR(C385="L",C386="L",C387="L"),"LOSS",IF(OR(C385="X",C386="X",C387="X"),"Anulado"," "))))</f>
        <v>50</v>
      </c>
      <c r="C385" t="s" s="173">
        <v>51</v>
      </c>
      <c r="D385" t="s" s="305">
        <f>IF(G385="","",$D382)</f>
        <v>307</v>
      </c>
      <c r="E385" t="s" s="175">
        <f>IF(G385=""," ","– "&amp;COUNTIF(D$4:D387,$D385))</f>
        <v>124</v>
      </c>
      <c r="F385" t="s" s="176"/>
      <c r="G385" s="177">
        <v>44954.5</v>
      </c>
      <c r="H385" t="s" s="178">
        <v>322</v>
      </c>
      <c r="I385" t="s" s="179">
        <v>60</v>
      </c>
      <c r="J385" s="180"/>
      <c r="K385" t="s" s="181">
        <v>37</v>
      </c>
      <c r="L385" s="182">
        <v>3</v>
      </c>
      <c r="M385" s="183"/>
      <c r="N385" s="184">
        <v>0</v>
      </c>
      <c r="O385" s="185">
        <f>IF(OR(AE385="",AE386=""),"",ROUND(IF(L387&gt;0,IF(M385&gt;0,M385,IF(M386&gt;0,ROUND((M386*AE385)/AE386,IF(N385=0,2,IF(N385=0.1,1,0))),ROUND((M387*AE385)/AE387,IF(N385=0,2,IF(N385=0.1,1,0))))),IF(M385&gt;0,M385,ROUND((M386*AE385)/AE386,IF(N385=0,2,IF(N385=0.1,1,0))))),2))</f>
        <v>12</v>
      </c>
      <c r="P385" s="186">
        <f>IF(OR(L385="",O385=""),"",IF($C385="1/2W",O385/2+O385/2*L385,IF($C385="1/2L",O385/2,IF(I385="Lay",(O385*(L385/(L385-1))-O385)*(1-_xlfn.XLOOKUP(K385,'Janeiro 2023 - Valor Real'!A3:A15,'Janeiro 2023 - Valor Real'!C3:C15,0))+O385,(O385*L385-O385)*(1-_xlfn.XLOOKUP(K385,'Janeiro 2023 - Valor Real'!A3:A15,'Janeiro 2023 - Valor Real'!C3:C15,0))+O385))))</f>
        <v>36</v>
      </c>
      <c r="Q385" s="187">
        <f>IF(K385="","",IF(_xlfn.XLOOKUP(K385,K$110:K146,DJ$110:DJ146,0,,-1)=DJ385,_xlfn.XLOOKUP(K385,K$110:K146,Q$110:Q146,1,,-1)+1,1))</f>
        <v>1</v>
      </c>
      <c r="R385" s="188">
        <f>IF(K385="","",_xlfn.XLOOKUP(K385,K$110:K146,R$110:R146,0,,-1)+IF($C385=" ",1,0))</f>
        <v>0</v>
      </c>
      <c r="S385" s="189">
        <f>IF($B385="Anulado",0,ROUND(IF(OR($B385="LOSS",$B385="OK"),IF(OR($C385="W",$C385="1/2W",$C385="1/2L"),P385-O385,IF($C385="L",-O385,0))+IF(OR($C386="W",$C386="1/2W",$C386="1/2L"),P386-O386,IF($C386="L",-O386,0))+IF(OR($C387="W",$C387="1/2W",$C387="1/2L"),P387-O387,IF($C387="L",-O387,0)),IF(AND(OR($C385="W",$C385="1/2W",$C385="1/2L"),C386="W"),P385+P386-SUM(O385:O387)+_xlfn.XLOOKUP("X",C385:C387,O385:O387,0),IF(AND(C385=TRUE,C387="W"),P385+P387-SUM(O385:O387),IF(AND(C386="W",C387="W"),P386+P387-SUM(O385:O387)+_xlfn.XLOOKUP("X",C385:C387,O385:O387,0),IF(L387&gt;0,IF(OR($C385="W",$C385="1/2W",$C385="1/2L"),P385-SUM(O385:O387)+_xlfn.XLOOKUP("X",C385:C387,O385:O387,0),IF(OR($C385="W",$C385="1/2W",$C385="1/2L"),P386-SUM(O385:O387)+_xlfn.XLOOKUP("X",C385:C387,O385:O387,0),IF(OR($C385="W",$C385="1/2W",$C385="1/2L"),P387-SUM(O385:O387)+_xlfn.XLOOKUP("X",C385:C387,O385:O387,0),IF(SUM(P385:P387)/3-SUM(O385:O387)+_xlfn.XLOOKUP("X",C385:C387,O385:O387,0)&gt;0,SUM(P385:P387)/3-SUM(O385:O387)+_xlfn.XLOOKUP("X",C385:C387,O385:O387,0),LARGE(P385:P387,1)-SUM(O385:O387))))),IF(OR($C385="W",$C385="1/2W",$C385="1/2L"),P385-SUM(O385:O386)+_xlfn.XLOOKUP("X",C385:C387,O385:O387,0),IF(OR($C385="W",$C385="1/2W",$C385="1/2L"),P386-SUM(O385:O386)+_xlfn.XLOOKUP("X",C385:C387,O385:O387,0),SUM(P385:P386)/2-SUM(O385:O386)+_xlfn.XLOOKUP("X",C385:C387,O385:O387,0)))))))),2))</f>
        <v>1.21</v>
      </c>
      <c r="T385" s="190">
        <f>IF(S385=0,0,S385/SUM(O385:O387))</f>
        <v>0.0347901092581944</v>
      </c>
      <c r="U385" s="191">
        <f>IF($D385=$D382,IF(OR($B385="LOSS",$B385="OK",$B385="Anulada"),S385,0)+U382,IF(OR($B385="LOSS",$B385="OK",$B385="Anulada"),S385,0))</f>
        <v>14.28</v>
      </c>
      <c r="V385" s="191">
        <f>IF($D385="",0,IF($D385=$D382,IF($B385=" ",IF(I387="",IF(OR(AND(I385="DNB1",I386="DNB2"),AND(OR(I385="DNB1",I385="DNB2"),J386=0),AND(OR(I386="DNB1",I386="DNB2"),J385=0),AND(I385="DNB2",I386="DNB1"),AND(IF(J385=0,(J385+1)/ROUND(J385+1,0),J385/ROUND(J385,0))=1,IF(J386=0,(J386+1)/ROUND(IF(J386="",0,J386)+1,0),IF(J386="",0,J386)/ROUND(IF(J386="",1,J386),0))=1,OR(J385&lt;&gt;""),J386&lt;&gt;"")),0,IF(S385&lt;0,IF(I387="",SMALL(P385:P386,1)-SUM(O385:O386),0),SMALL(P385:P386,1)-SUM(O385:O386))),IF(S385&lt;0,IF(I387="",SMALL(P385:P387,1)-SUM(O385:O387),0),LARGE(P385:P387,1)-SUM(O385:O387))),S385)+V382,IF(I387="",IF(OR(AND(I385="DNB1",I386="DNB2"),AND(OR(I385="DNB1",I385="DNB2"),J386=0),AND(OR(I386="DNB1",I386="DNB2"),J385=0),AND(I385="DNB2",I386="DNB1"),AND(IF(J385=0,(J385+1)/ROUND(J385+1,0),J385/ROUND(J385,0))=1,IF(J386=0,(IF(J386="",0,J386)+1)/ROUND(IF(J386="",0,J386)+1,0),IF(J386="",0,J386)/ROUND(IF(J386="",0,J386)+1,0))=1,OR(J385&lt;&gt;""),J386&lt;&gt;"")),0,IF(S385&lt;0,IF(I387="",SMALL(P385:P386,1)-SUM(O385:O386),0),SMALL(P385:P387,1)-SUM(O385:O387))),IF(S385&lt;0,IF(I387="",SMALL(P385:P387,1)-SUM(O385:O387),0),LARGE(P385:P387,1)-SUM(O385:O387)))))</f>
        <v>14.28225</v>
      </c>
      <c r="W385" s="191">
        <f>IF($D385=$D382,IF(S385&lt;0,IF(I387="",S385,0),S385)+W382,S385)</f>
        <v>14.28</v>
      </c>
      <c r="X385" t="s" s="192">
        <f>IF(OR(SUM(R385:R387)=0,V385=W385),ROUND(IF(W385=0,0,W385/Y385)*100,2)&amp;"%",ROUND(IF(V385=0,0,V385/Y385)*100,2)&amp;"% a "&amp;ROUND(IF(W385=0,0,W385/Y385)*100,2)&amp;"%")</f>
        <v>323</v>
      </c>
      <c r="Y385" s="193">
        <f>IF($D385=$D382,Y382+SUM(O385:O387),SUM(O385:O387))</f>
        <v>177.96</v>
      </c>
      <c r="Z385" s="191">
        <f>IF($B385=" ",SUM(O385:O387),0)+Z382</f>
        <v>0</v>
      </c>
      <c r="AA385" s="191">
        <f>IF(G385="","",IF($B385="Anulado",LARGE(P385:P387,1)-SUM(O385:O387)+AA382,AA382))</f>
        <v>16.5099</v>
      </c>
      <c r="AB385" s="191">
        <f>IF($D385="","",AB382+S385)</f>
        <v>265.95</v>
      </c>
      <c r="AC385" s="194">
        <f>IF($D385="","",IF($B385=" ",IF(DAY(G385)=DAY(TODAY()),1+AC382,0+AC382),0+AC382))</f>
        <v>0</v>
      </c>
      <c r="AD385" s="195">
        <f>(((L386/(L386-1)-1)*(1-_xlfn.XLOOKUP(K386,'Janeiro 2023 - Valor Real'!A3:A15,'Janeiro 2023 - Valor Real'!C3:C15,0))+1))/(((L385-1)*(1-_xlfn.XLOOKUP(K385,'Janeiro 2023 - Valor Real'!A3:A15,'Janeiro 2023 - Valor Real'!C3:C15,0))+1)+((L386/(L386-1)-1)*(1-_xlfn.XLOOKUP(K386,'Janeiro 2023 - Valor Real'!A3:A15,'Janeiro 2023 - Valor Real'!C3:C15,0))+1))</f>
        <v>0.475903614457831</v>
      </c>
      <c r="AE385" s="196">
        <f>IF(L385="","",IF(L387&gt;0,(SUM(((L385-1)*(1-_xlfn.XLOOKUP(K385,'Janeiro 2023 - Valor Real'!A3:A15,'Janeiro 2023 - Valor Real'!C3:C15,0))+1),((L386-1)*(1-_xlfn.XLOOKUP(K386,'Janeiro 2023 - Valor Real'!A3:A15,'Janeiro 2023 - Valor Real'!C3:C15,0))+1),((L387-1)*(1-_xlfn.XLOOKUP(K387,'Janeiro 2023 - Valor Real'!A3:A15,'Janeiro 2023 - Valor Real'!C3:C15,0))+1))/((L385-1)*(1-_xlfn.XLOOKUP(K385,'Janeiro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Real'!C3:C15,0))+1))/((L385-1)*(1-_xlfn.XLOOKUP(K385,'Janeiro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Real'!C3:C15,0))+1))/((L386-1)*(1-_xlfn.XLOOKUP(K386,'Janeiro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Real'!C3:C15,0))+1))/((L387-1)*(1-_xlfn.XLOOKUP(K387,'Janeiro 2023 - Valor Real'!A3:A15,'Janeiro 2023 - Valor Real'!C3:C15,0))+1)),IF(I385="Lay",IF(I386="Lay",((L386/(L386-1)-1)*(1-_xlfn.XLOOKUP(K386,'Janeiro 2023 - Valor Real'!A3:A15,'Janeiro 2023 - Valor Real'!C3:C15,0))+1)/(((L386/(L386-1)-1)*(1-_xlfn.XLOOKUP(K386,'Janeiro 2023 - Valor Real'!A3:A15,'Janeiro 2023 - Valor Real'!C3:C15,0))+1)+((L385/(L385-1)-1)*(1-_xlfn.XLOOKUP(K385,'Janeiro 2023 - Valor Real'!A3:A15,'Janeiro 2023 - Valor Real'!C3:C15,0))+1)),((L386-1)*(1-_xlfn.XLOOKUP(K386,'Janeiro 2023 - Valor Real'!A3:A15,'Janeiro 2023 - Valor Real'!C3:C15,0))+1)/(((L386-1)*(1-_xlfn.XLOOKUP(K386,'Janeiro 2023 - Valor Real'!A3:A15,'Janeiro 2023 - Valor Real'!C3:C15,0))+1)+((L385/(L385-1)-1)*(1-_xlfn.XLOOKUP(K385,'Janeiro 2023 - Valor Real'!A3:A15,'Janeiro 2023 - Valor Real'!C3:C15,0))+1))),IF(I386="Lay",(((L386/(L386-1)-1)*(1-_xlfn.XLOOKUP(K386,'Janeiro 2023 - Valor Real'!A3:A15,'Janeiro 2023 - Valor Real'!C3:C15,0))+1))/(((L385-1)*(1-_xlfn.XLOOKUP(K385,'Janeiro 2023 - Valor Real'!A3:A15,'Janeiro 2023 - Valor Real'!C3:C15,0))+1)+((L386/(L386-1)-1)*(1-_xlfn.XLOOKUP(K386,'Janeiro 2023 - Valor Real'!A3:A15,'Janeiro 2023 - Valor Real'!C3:C15,0))+1)),((L386-1)*(1-_xlfn.XLOOKUP(K386,'Janeiro 2023 - Valor Real'!A3:A15,'Janeiro 2023 - Valor Real'!C3:C15,0))+1)/(((L386-1)*(1-_xlfn.XLOOKUP(K386,'Janeiro 2023 - Valor Real'!A3:A15,'Janeiro 2023 - Valor Real'!C3:C15,0))+1)+((L385-1)*(1-_xlfn.XLOOKUP(K385,'Janeiro 2023 - Valor Real'!A3:A15,'Janeiro 2023 - Valor Real'!C3:C15,0))+1))))))</f>
        <v>0.344978165938865</v>
      </c>
      <c r="AF385" s="197">
        <f>IF($K385=AF$3,ROUND(IF(OR($C385="W",$C385="1/2W",$C385="1/2L"),$P385-$O385,IF($C385="X",0,-$O385)),2),0)</f>
        <v>-12</v>
      </c>
      <c r="AG385" s="198">
        <f>IF($K385=AG$3,ROUND(IF(OR($C385="W",$C385="1/2W",$C385="1/2L"),$P385-$O385,IF($C385="X",0,-$O385)),2),0)</f>
        <v>0</v>
      </c>
      <c r="AH385" s="198">
        <f>IF($K385=AH$3,ROUND(IF(OR($C385="W",$C385="1/2W",$C385="1/2L"),$P385-$O385,IF($C385="X",0,-$O385)),2),0)</f>
        <v>0</v>
      </c>
      <c r="AI385" s="198">
        <f>IF($K385=AI$3,ROUND(IF(OR($C385="W",$C385="1/2W",$C385="1/2L"),$P385-$O385,IF($C385="X",0,-$O385)),2),0)</f>
        <v>0</v>
      </c>
      <c r="AJ385" s="198">
        <f>IF($K385=AJ$3,ROUND(IF(OR($C385="W",$C385="1/2W",$C385="1/2L"),$P385-$O385,IF($C385="X",0,-$O385)),2),0)</f>
        <v>0</v>
      </c>
      <c r="AK385" s="198">
        <f>IF($K385=AK$3,ROUND(IF(OR($C385="W",$C385="1/2W",$C385="1/2L"),$P385-$O385,IF($C385="X",0,-$O385)),2),0)</f>
        <v>0</v>
      </c>
      <c r="AL385" s="198">
        <f>IF($K385=AL$3,ROUND(IF(OR($C385="W",$C385="1/2W",$C385="1/2L"),$P385-$O385,IF($C385="X",0,-$O385)),2),0)</f>
        <v>0</v>
      </c>
      <c r="AM385" s="198">
        <f>IF($K385=AM$3,ROUND(IF(OR($C385="W",$C385="1/2W",$C385="1/2L"),$P385-$O385,IF($C385="X",0,-$O385)),2),0)</f>
        <v>0</v>
      </c>
      <c r="AN385" s="198">
        <f>IF($K385=AN$3,ROUND(IF(OR($C385="W",$C385="1/2W",$C385="1/2L"),$P385-$O385,IF($C385="X",0,-$O385)),2),0)</f>
        <v>0</v>
      </c>
      <c r="AO385" s="198">
        <f>IF($K385=AO$3,ROUND(IF(OR($C385="W",$C385="1/2W",$C385="1/2L"),$P385-$O385,IF($C385="X",0,-$O385)),2),0)</f>
        <v>0</v>
      </c>
      <c r="AP385" s="198">
        <f>IF($K385=AP$3,ROUND(IF(OR($C385="W",$C385="1/2W",$C385="1/2L"),$P385-$O385,IF($C385="X",0,-$O385)),2),0)</f>
        <v>0</v>
      </c>
      <c r="AQ385" s="198">
        <f>IF($K385=AQ$3,ROUND(IF(OR($C385="W",$C385="1/2W",$C385="1/2L"),$P385-$O385,IF($C385="X",0,-$O385)),2),0)</f>
        <v>0</v>
      </c>
      <c r="AR385" s="199">
        <f>IF($K385=AR$3,ROUND(IF(OR($C385="W",$C385="1/2W",$C385="1/2L"),$P385-$O385,IF($C385="X",0,-$O385)),2),0)</f>
        <v>0</v>
      </c>
      <c r="AS385" s="197">
        <f>IF(AND($B385=" ",$K385=AS$3),$O385,0)</f>
        <v>0</v>
      </c>
      <c r="AT385" s="198">
        <f>IF(AND($B385=" ",$K385=AT$3),$O385,0)</f>
        <v>0</v>
      </c>
      <c r="AU385" s="198">
        <f>IF(AND($B385=" ",$K385=AU$3),$O385,0)</f>
        <v>0</v>
      </c>
      <c r="AV385" s="198">
        <f>IF(AND($B385=" ",$K385=AV$3),$O385,0)</f>
        <v>0</v>
      </c>
      <c r="AW385" s="198">
        <f>IF(AND($B385=" ",$K385=AW$3),$O385,0)</f>
        <v>0</v>
      </c>
      <c r="AX385" s="198">
        <f>IF(AND($B385=" ",$K385=AX$3),$O385,0)</f>
        <v>0</v>
      </c>
      <c r="AY385" s="200">
        <f>IF(AND($B385=" ",$K385=AY$3),$O385,0)</f>
        <v>0</v>
      </c>
      <c r="AZ385" s="201">
        <f>IF(AND($B385=" ",$K385=AZ$3),$O385,0)</f>
        <v>0</v>
      </c>
      <c r="BA385" s="201">
        <f>IF(AND($B385=" ",$K385=BA$3),$O385,0)</f>
        <v>0</v>
      </c>
      <c r="BB385" s="201">
        <f>IF(AND($B385=" ",$K385=BB$3),$O385,0)</f>
        <v>0</v>
      </c>
      <c r="BC385" s="202">
        <f>IF(AND($B385=" ",$K385=BC$3),$O385,0)</f>
        <v>0</v>
      </c>
      <c r="BD385" s="198">
        <f>IF(AND($B385=" ",$K385=BD$3),$O385,0)</f>
        <v>0</v>
      </c>
      <c r="BE385" s="199">
        <f>IF(AND($B385=" ",$K385=BE$3),$O385,0)</f>
        <v>0</v>
      </c>
      <c r="BF385" s="203">
        <f>IF($K385=BF$3,IF($C385="X",0,$O385),0)</f>
        <v>12</v>
      </c>
      <c r="BG385" s="198">
        <f>IF($K385=BG$3,IF($C385="X",0,$O385),0)</f>
        <v>0</v>
      </c>
      <c r="BH385" s="198">
        <f>IF($K385=BH$3,IF($C385="X",0,$O385),0)</f>
        <v>0</v>
      </c>
      <c r="BI385" s="198">
        <f>IF($K385=BI$3,IF($C385="X",0,$O385),0)</f>
        <v>0</v>
      </c>
      <c r="BJ385" s="198">
        <f>IF($K385=BJ$3,IF($C385="X",0,$O385),0)</f>
        <v>0</v>
      </c>
      <c r="BK385" s="198">
        <f>IF($K385=BK$3,IF($C385="X",0,$O385),0)</f>
        <v>0</v>
      </c>
      <c r="BL385" s="198">
        <f>IF($K385=BL$3,IF($C385="X",0,$O385),0)</f>
        <v>0</v>
      </c>
      <c r="BM385" s="200">
        <f>IF($K385=BM$3,IF($C385="X",0,$O385),0)</f>
        <v>0</v>
      </c>
      <c r="BN385" s="201">
        <f>IF($K385=BN$3,IF($C385="X",0,$O385),0)</f>
        <v>0</v>
      </c>
      <c r="BO385" s="201">
        <f>IF($K385=BO$3,IF($C385="X",0,$O385),0)</f>
        <v>0</v>
      </c>
      <c r="BP385" s="201">
        <f>IF($K385=BP$3,IF($C385="X",0,$O385),0)</f>
        <v>0</v>
      </c>
      <c r="BQ385" s="202">
        <f>IF($K385=BQ$3,IF($C385="X",0,$O385),0)</f>
        <v>0</v>
      </c>
      <c r="BR385" s="199">
        <f>IF($K385=BR$3,IF($C385="X",0,$O385),0)</f>
        <v>0</v>
      </c>
      <c r="BS385" s="204">
        <f>IF($B385="LOSS",IF(AND($K385=BS$3,$C385="L"),-$O385,0)+IF(AND($K386=BS$3,$C386="L"),-$O386,0)+IF(AND($K387=BS$3,$C387="L"),-$O387,0),IF(OR(AND($K385=BS$3,OR($C385="W",$C385="1/2W")),AND($K386=BS$3,OR($C386="W",$C386="1/2W")),AND($K387=BS$3,OR($C387="W",$C387="1/2W"))),$S385,0))</f>
        <v>0</v>
      </c>
      <c r="BT385" s="201">
        <f>IF($B385="LOSS",IF(AND($K385=BT$3,$C385="L"),-$O385,0)+IF(AND($K386=BT$3,$C386="L"),-$O386,0)+IF(AND($K386=BT$3,$C387="L"),-$O387,0),IF(OR(AND($K386=BT$3,OR($C385="W",$C385="1/2W")),AND($K386=BT$3,OR($C386="W",$C386="1/2W")),AND($K386=BT$3,OR($C387="W",$C387="1/2W"))),$S385,0))</f>
        <v>0</v>
      </c>
      <c r="BU385" s="201">
        <f>IF($B385="LOSS",IF(AND($K385=BU$3,$C385="L"),-$O385,0)+IF(AND($K386=BU$3,$C386="L"),-$O386,0)+IF(AND($K386=BU$3,$C387="L"),-$O387,0),IF(OR(AND($K386=BU$3,OR($C385="W",$C385="1/2W")),AND($K386=BU$3,OR($C386="W",$C386="1/2W")),AND($K386=BU$3,OR($C387="W",$C387="1/2W"))),$S385,0))</f>
        <v>0</v>
      </c>
      <c r="BV385" s="201">
        <f>IF($B385="LOSS",IF(AND($K385=BV$3,$C385="L"),-$O385,0)+IF(AND($K386=BV$3,$C386="L"),-$O386,0)+IF(AND($K387=BV$3,$C387="L"),-$O387,0),IF(OR(AND($K385=BV$3,OR($C385="W",$C385="1/2W")),AND($K386=BV$3,OR($C386="W",$C386="1/2W")),AND($K387=BV$3,OR($C387="W",$C387="1/2W"))),$S385,0))</f>
        <v>0</v>
      </c>
      <c r="BW385" s="201">
        <f>IF($B385="LOSS",IF(AND($K385=BW$3,$C385="L"),-$O385,0)+IF(AND($K386=BW$3,$C386="L"),-$O386,0)+IF(AND($K387=BW$3,$C387="L"),-$O387,0),IF(OR(AND($K385=BW$3,OR($C385="W",$C385="1/2W")),AND($K386=BW$3,OR($C386="W",$C386="1/2W")),AND($K387=BW$3,OR($C387="W",$C387="1/2W"))),$S385,0))</f>
        <v>0</v>
      </c>
      <c r="BX385" s="201">
        <f>IF($B385="LOSS",IF(AND($K385=BX$3,$C385="L"),-$O385,0)+IF(AND($K386=BX$3,$C386="L"),-$O386,0)+IF(AND($K387=BX$3,$C387="L"),-$O387,0),IF(OR(AND($K385=BX$3,OR($C385="W",$C385="1/2W")),AND($K386=BX$3,OR($C386="W",$C386="1/2W")),AND($K387=BX$3,OR($C387="W",$C387="1/2W"))),$S385,0))</f>
        <v>0</v>
      </c>
      <c r="BY385" s="201">
        <f>IF($B385="LOSS",IF(AND($K385=BY$3,$C385="L"),-$O385,0)+IF(AND($K386=BY$3,$C386="L"),-$O386,0)+IF(AND($K387=BY$3,$C387="L"),-$O387,0),IF(OR(AND($K385=BY$3,OR($C385="W",$C385="1/2W")),AND($K386=BY$3,OR($C386="W",$C386="1/2W")),AND($K387=BY$3,OR($C387="W",$C387="1/2W"))),$S385,0))</f>
        <v>0</v>
      </c>
      <c r="BZ385" s="205">
        <f>IF($B385="LOSS",IF(AND($K385=BZ$3,$C385="L"),-$O385,0)+IF(AND($K386=BZ$3,$C386="L"),-$O386,0)+IF(AND($K387=BZ$3,$C387="L"),-$O387,0),IF(OR(AND($K385=BZ$3,OR($C385="W",$C385="1/2W")),AND($K386=BZ$3,OR($C386="W",$C386="1/2W")),AND($K387=BZ$3,OR($C387="W",$C387="1/2W"))),$S385,0))</f>
        <v>0</v>
      </c>
      <c r="CA385" s="205">
        <f>IF($B385="LOSS",IF(AND($K385=CA$3,$C385="L"),-$O385,0)+IF(AND($K386=CA$3,$C386="L"),-$O386,0)+IF(AND($K387=CA$3,$C387="L"),-$O387,0),IF(OR(AND($K385=CA$3,OR($C385="W",$C385="1/2W")),AND($K386=CA$3,OR($C386="W",$C386="1/2W")),AND($K387=CA$3,OR($C387="W",$C387="1/2W"))),$S385,0))</f>
        <v>0</v>
      </c>
      <c r="CB385" s="205">
        <f>IF($B385="LOSS",IF(AND($K385=CB$3,$C385="L"),-$O385,0)+IF(AND($K386=CB$3,$C386="L"),-$O386,0)+IF(AND($K387=CB$3,$C387="L"),-$O387,0),IF(OR(AND($K385=CB$3,OR($C385="W",$C385="1/2W")),AND($K386=CB$3,OR($C386="W",$C386="1/2W")),AND($K387=CB$3,OR($C387="W",$C387="1/2W"))),$S385,0))</f>
        <v>0</v>
      </c>
      <c r="CC385" s="205">
        <f>IF($B385="LOSS",IF(AND($K385=CC$3,$C385="L"),-$O385,0)+IF(AND($K386=CC$3,$C386="L"),-$O386,0)+IF(AND($K387=CC$3,$C387="L"),-$O387,0),IF(OR(AND($K385=CC$3,OR($C385="W",$C385="1/2W")),AND($K386=CC$3,OR($C386="W",$C386="1/2W")),AND($K387=CC$3,OR($C387="W",$C387="1/2W"))),$S385,0))</f>
        <v>0</v>
      </c>
      <c r="CD385" s="202">
        <f>IF($B385="LOSS",IF(AND($K385=CD$3,$C385="L"),-$O385,0)+IF(AND($K386=CD$3,$C386="L"),-$O386,0)+IF(AND($K387=CD$3,$C387="L"),-$O387,0),IF(OR(AND($K385=CD$3,OR($C385="W",$C385="1/2W")),AND($K386=CD$3,OR($C386="W",$C386="1/2W")),AND($K387=CD$3,OR($C387="W",$C387="1/2W"))),$S385,0))</f>
        <v>1.21</v>
      </c>
      <c r="CE385" s="199">
        <f>IF($B385="LOSS",IF(AND($K385=CE$3,$C385="L"),-$O385,0)+IF(AND($K386=CE$3,$C386="L"),-$O386,0)+IF(AND($K387=CE$3,$C387="L"),-$O387,0),IF(OR(AND($K385=CE$3,OR($C385="W",$C385="1/2W")),AND($K386=CE$3,OR($C386="W",$C386="1/2W")),AND($K387=CE$3,OR($C387="W",$C387="1/2W"))),$S385,0))</f>
        <v>0</v>
      </c>
      <c r="CF385" s="206">
        <f>IF(CF$3=$K385,IF($C385="W",1,IF($C385="1/2W",0.5,0)),0)</f>
        <v>0</v>
      </c>
      <c r="CG385" s="207">
        <f>IF(CF$3=$K385,IF($C385="L",1,IF($C385="1/2L",0.5,0)),0)</f>
        <v>1</v>
      </c>
      <c r="CH385" s="207">
        <f>IF(CH$3=$K385,IF($C385="W",1,IF($C385="1/2W",0.5,0)),0)</f>
        <v>0</v>
      </c>
      <c r="CI385" s="207">
        <f>IF(CH$3=$K385,IF($C385="L",1,IF($C385="1/2L",0.5,0)),0)</f>
        <v>0</v>
      </c>
      <c r="CJ385" s="207">
        <f>IF(CJ$3=$K385,IF($C385="W",1,IF($C385="1/2W",0.5,0)),0)</f>
        <v>0</v>
      </c>
      <c r="CK385" s="207">
        <f>IF(CJ$3=$K385,IF($C385="L",1,IF($C385="1/2L",0.5,0)),0)</f>
        <v>0</v>
      </c>
      <c r="CL385" s="207">
        <f>IF(CL$3=$K385,IF($C385="W",1,IF($C385="1/2W",0.5,0)),0)</f>
        <v>0</v>
      </c>
      <c r="CM385" s="207">
        <f>IF(CL$3=$K385,IF($C385="L",1,IF($C385="1/2L",0.5,0)),0)</f>
        <v>0</v>
      </c>
      <c r="CN385" s="207">
        <f>IF(CN$3=$K385,IF($C385="W",1,IF($C385="1/2W",0.5,0)),0)</f>
        <v>0</v>
      </c>
      <c r="CO385" s="207">
        <f>IF(CN$3=$K385,IF($C385="L",1,IF($C385="1/2L",0.5,0)),0)</f>
        <v>0</v>
      </c>
      <c r="CP385" s="207">
        <f>IF(CP$3=$K385,IF($C385="W",1,IF($C385="1/2W",0.5,0)),0)</f>
        <v>0</v>
      </c>
      <c r="CQ385" s="207">
        <f>IF(CP$3=$K385,IF($C385="L",1,IF($C385="1/2L",0.5,0)),0)</f>
        <v>0</v>
      </c>
      <c r="CR385" s="207">
        <f>IF(CR$3=$K385,IF($C385="W",1,IF($C385="1/2W",0.5,0)),0)</f>
        <v>0</v>
      </c>
      <c r="CS385" s="207">
        <f>IF(CR$3=$K385,IF($C385="L",1,IF($C385="1/2L",0.5,0)),0)</f>
        <v>0</v>
      </c>
      <c r="CT385" s="208">
        <f>IF(CT$3=$K385,IF($C385="W",1,IF($C385="1/2W",0.5,0)),0)</f>
        <v>0</v>
      </c>
      <c r="CU385" s="209">
        <f>IF(CT$3=$K385,IF($C385="L",1,IF($C385="1/2L",0.5,0)),0)</f>
        <v>0</v>
      </c>
      <c r="CV385" s="209">
        <f>IF(CV$3=$K385,IF($C385="W",1,IF($C385="1/2W",0.5,0)),0)</f>
        <v>0</v>
      </c>
      <c r="CW385" s="209">
        <f>IF(CV$3=$K385,IF($C385="L",1,IF($C385="1/2L",0.5,0)),0)</f>
        <v>0</v>
      </c>
      <c r="CX385" s="209">
        <f>IF(CX$3=$K385,IF($C385="W",1,IF($C385="1/2W",0.5,0)),0)</f>
        <v>0</v>
      </c>
      <c r="CY385" s="209">
        <f>IF(CX$3=$K385,IF($C385="L",1,IF($C385="1/2L",0.5,0)),0)</f>
        <v>0</v>
      </c>
      <c r="CZ385" s="209">
        <f>IF(CZ$3=$K385,IF($C385="W",1,IF($C385="1/2W",0.5,0)),0)</f>
        <v>0</v>
      </c>
      <c r="DA385" s="209">
        <f>IF(CZ$3=$K385,IF($C385="L",1,IF($C385="1/2L",0.5,0)),0)</f>
        <v>0</v>
      </c>
      <c r="DB385" s="209">
        <f>IF(DB$3=$K385,IF($C385="W",1,IF($C385="1/2W",0.5,0)),0)</f>
        <v>0</v>
      </c>
      <c r="DC385" s="209">
        <f>IF(DB$3=$K385,IF($C385="L",1,IF($C385="1/2L",0.5,0)),0)</f>
        <v>0</v>
      </c>
      <c r="DD385" s="209">
        <f>IF(DD$3=$K385,IF($C385="W",1,IF($C385="1/2W",0.5,0)),0)</f>
        <v>0</v>
      </c>
      <c r="DE385" s="210">
        <f>IF(DD$3=$K385,IF($C385="L",1,IF($C385="1/2L",0.5,0)),0)</f>
        <v>0</v>
      </c>
      <c r="DF385" s="211">
        <f>IF(AND(L385&lt;DF$3,$C385="W"),1+DF384,DF384)</f>
        <v>12</v>
      </c>
      <c r="DG385" s="198">
        <f>IF(DF385&gt;DF384,L385+DG384,DG384)</f>
        <v>15.718</v>
      </c>
      <c r="DH385" s="209">
        <f>IF(AND(L385&gt;DH$3,$C385="W"),1+DH384,0+DH384)</f>
        <v>9</v>
      </c>
      <c r="DI385" s="198">
        <f>IF(DH385&gt;DH384,L385+DI384,DI384)</f>
        <v>49.83</v>
      </c>
      <c r="DJ385" t="s" s="306">
        <f>IF($D385="","",$D385)</f>
        <v>307</v>
      </c>
      <c r="DK385" s="209">
        <f>IF(AND($B385=" ",$D385&lt;&gt;""),1,0)</f>
        <v>0</v>
      </c>
    </row>
    <row r="386" ht="14.55" customHeight="1">
      <c r="A386" s="107"/>
      <c r="B386" s="108"/>
      <c r="C386" t="s" s="213">
        <v>56</v>
      </c>
      <c r="D386" s="110"/>
      <c r="E386" s="111"/>
      <c r="F386" s="112"/>
      <c r="G386" s="214"/>
      <c r="H386" s="114"/>
      <c r="I386" t="s" s="215">
        <v>57</v>
      </c>
      <c r="J386" s="296">
        <f>IF(OR(I385="TO",I385="TU",I385="TO1",I385="TU1",I385="TO2",I385="TU2"),J385,IF(OR(I385="AH1",I385="AH2"),IF(OR(I386="AH1",I386="AH2"),-J385,IF(OR(I386="EH1",I386="EH2"),-J385+0.5,"")),IF(OR(I385="EH1",I385="EH2"),IF(OR(I386="AH1",I386="AH2"),-J385+0.5,IF(OR(I386="EH1",I386="EH2"),-J385+1,"")),IF(AND(OR(I385="DNB1",I385="DNB2"),OR(I386="AH1",I386="AH2")),0,IF(AND(I385="Not ScoreBoth",OR(I386="TO1",I386="TO2")),0.5,"")))))</f>
        <v>0</v>
      </c>
      <c r="K386" t="s" s="217">
        <v>48</v>
      </c>
      <c r="L386" s="218">
        <v>1.58</v>
      </c>
      <c r="M386" s="219">
        <v>22.78</v>
      </c>
      <c r="N386" s="120"/>
      <c r="O386" s="220">
        <f>IF(OR(AE385="",AE386=""),"",ROUND(IF(L387&gt;0,IF(M386&gt;0,M386,IF(M385&gt;0,IF(N385=TRUE,ROUND((M385*AE386)/AE385,0),(M385*AE386)/AE385),IF(M386&gt;0,ROUND(M386,IF(N385=0,2,IF(N385=0.1,1,0))),IF(M387&gt;0,ROUND(O387*AE386/AE387,IF(N385=0,2,IF(N385=0.1,1,0))),0)))),IF(M386&gt;0,M386,ROUND((M385*AE386)/AE385,IF(N385=0,2,IF(N385=0.1,1,0))))),2))</f>
        <v>22.78</v>
      </c>
      <c r="P386" s="221">
        <f>IF(OR(L386="",O386=""),"",IF($C386="1/2W",O386/2+O386/2*L386,IF($C386="1/2L",O386/2,IF(I386="Lay",((O386*(L386/(L386-1)))-O386)*(1-_xlfn.XLOOKUP(K386,'Janeiro 2023 - Valor Real'!A3:A15,'Janeiro 2023 - Valor Real'!C3:C15,0))+O386,(O386*L386-O386)*(1-_xlfn.XLOOKUP(K386,'Janeiro 2023 - Valor Real'!A3:A15,'Janeiro 2023 - Valor Real'!C3:C15,0))+O386))))</f>
        <v>35.9924</v>
      </c>
      <c r="Q386" s="222">
        <f>IF(K386="","",IF(_xlfn.XLOOKUP(K386,K$111:K147,DJ$111:DJ147,0,,-1)=DJ386,_xlfn.XLOOKUP(K386,K$111:K147,Q$111:Q147,1,,-1)+1,1))</f>
        <v>1</v>
      </c>
      <c r="R386" s="223">
        <f>IF(K386="","",_xlfn.XLOOKUP(K386,K$111:K147,R$111:R147,0,,-1)+IF($C386=" ",1,0))</f>
        <v>0</v>
      </c>
      <c r="S386" s="125"/>
      <c r="T386" s="126"/>
      <c r="U386" s="126"/>
      <c r="V386" s="224"/>
      <c r="W386" s="126"/>
      <c r="X386" s="127"/>
      <c r="Y386" s="128"/>
      <c r="Z386" s="129"/>
      <c r="AA386" s="129"/>
      <c r="AB386" s="129"/>
      <c r="AC386" s="129"/>
      <c r="AD386" s="225">
        <f>(((L386/(L386-1)-1)*(1-_xlfn.XLOOKUP(K386,'Janeiro 2023 - Valor Real'!A3:A15,'Janeiro 2023 - Valor Real'!C3:C15,0))+1))</f>
        <v>2.72413793103448</v>
      </c>
      <c r="AE386" s="226">
        <f>IF(L386="","",IF(L387&gt;0,(SUM(((L385-1)*(1-_xlfn.XLOOKUP(K385,'Janeiro 2023 - Valor Real'!A3:A15,'Janeiro 2023 - Valor Real'!C3:C15,0))+1),((L386-1)*(1-_xlfn.XLOOKUP(K386,'Janeiro 2023 - Valor Real'!A3:A15,'Janeiro 2023 - Valor Real'!C3:C15,0))+1),((L387-1)*(1-_xlfn.XLOOKUP(K387,'Janeiro 2023 - Valor Real'!A3:A15,'Janeiro 2023 - Valor Real'!C3:C15,0))+1))/((L386-1)*(1-_xlfn.XLOOKUP(K386,'Janeiro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Real'!C3:C15,0))+1))/((L385-1)*(1-_xlfn.XLOOKUP(K385,'Janeiro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Real'!C3:C15,0))+1))/((L386-1)*(1-_xlfn.XLOOKUP(K386,'Janeiro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Real'!C3:C15,0))+1))/((L387-1)*(1-_xlfn.XLOOKUP(K387,'Janeiro 2023 - Valor Real'!A3:A15,'Janeiro 2023 - Valor Real'!C3:C15,0))+1)),IF(I386="Lay",IF(I385="Lay",((L385/(L385-1)-1)*(1-_xlfn.XLOOKUP(K385,'Janeiro 2023 - Valor Real'!A3:A15,'Janeiro 2023 - Valor Real'!C3:C15,0))+1)/(((L385/(L385-1)-1)*(1-_xlfn.XLOOKUP(K385,'Janeiro 2023 - Valor Real'!A3:A15,'Janeiro 2023 - Valor Real'!C3:C15,0))+1)+((L386/(L386-1)-1)*(1-_xlfn.XLOOKUP(K386,'Janeiro 2023 - Valor Real'!A3:A15,'Janeiro 2023 - Valor Real'!C3:C15,0))+1)),((L385-1)*(1-_xlfn.XLOOKUP(K385,'Janeiro 2023 - Valor Real'!A3:A15,'Janeiro 2023 - Valor Real'!C3:C15,0))+1)/(((L385-1)*(1-_xlfn.XLOOKUP(K385,'Janeiro 2023 - Valor Real'!A3:A15,'Janeiro 2023 - Valor Real'!C3:C15,0))+1)+((L386/(L386-1)-1)*(1-_xlfn.XLOOKUP(K386,'Janeiro 2023 - Valor Real'!A3:A15,'Janeiro 2023 - Valor Real'!C3:C15,0))+1))),IF(I385="Lay",((L385/(L385-1)-1)*(1-_xlfn.XLOOKUP(K385,'Janeiro 2023 - Valor Real'!A3:A15,'Janeiro 2023 - Valor Real'!C3:C15,0))+1)/((((L385/(L385-1)-1)*(1-_xlfn.XLOOKUP(K385,'Janeiro 2023 - Valor Real'!A3:A15,'Janeiro 2023 - Valor Real'!C3:C15,0))+1))+((L386-1)*(1-_xlfn.XLOOKUP(K386,'Janeiro 2023 - Valor Real'!A3:A15,'Janeiro 2023 - Valor Real'!C3:C15,0))+1)),((L385-1)*(1-_xlfn.XLOOKUP(K385,'Janeiro 2023 - Valor Real'!A3:A15,'Janeiro 2023 - Valor Real'!C3:C15,0))+1)/(((L385-1)*(1-_xlfn.XLOOKUP(K385,'Janeiro 2023 - Valor Real'!A3:A15,'Janeiro 2023 - Valor Real'!C3:C15,0))+1)+((L386-1)*(1-_xlfn.XLOOKUP(K386,'Janeiro 2023 - Valor Real'!A3:A15,'Janeiro 2023 - Valor Real'!C3:C15,0))+1))))))</f>
        <v>0.655021834061135</v>
      </c>
      <c r="AF386" s="197">
        <f>IF($K386=AF$3,ROUND(IF(OR($C386="W",$C386="1/2W",$C386="1/2L"),$P386-$O386,IF($C386="X",0,-$O386)),2),0)</f>
        <v>0</v>
      </c>
      <c r="AG386" s="198">
        <f>IF($K386=AG$3,ROUND(IF(OR($C386="W",$C386="1/2W",$C386="1/2L"),$P386-$O386,IF($C386="X",0,-$O386)),2),0)</f>
        <v>0</v>
      </c>
      <c r="AH386" s="198">
        <f>IF($K386=AH$3,ROUND(IF(OR($C386="W",$C386="1/2W",$C386="1/2L"),$P386-$O386,IF($C386="X",0,-$O386)),2),0)</f>
        <v>0</v>
      </c>
      <c r="AI386" s="198">
        <f>IF($K386=AI$3,ROUND(IF(OR($C386="W",$C386="1/2W",$C386="1/2L"),$P386-$O386,IF($C386="X",0,-$O386)),2),0)</f>
        <v>0</v>
      </c>
      <c r="AJ386" s="198">
        <f>IF($K386=AJ$3,ROUND(IF(OR($C386="W",$C386="1/2W",$C386="1/2L"),$P386-$O386,IF($C386="X",0,-$O386)),2),0)</f>
        <v>0</v>
      </c>
      <c r="AK386" s="198">
        <f>IF($K386=AK$3,ROUND(IF(OR($C386="W",$C386="1/2W",$C386="1/2L"),$P386-$O386,IF($C386="X",0,-$O386)),2),0)</f>
        <v>0</v>
      </c>
      <c r="AL386" s="198">
        <f>IF($K386=AL$3,ROUND(IF(OR($C386="W",$C386="1/2W",$C386="1/2L"),$P386-$O386,IF($C386="X",0,-$O386)),2),0)</f>
        <v>0</v>
      </c>
      <c r="AM386" s="198">
        <f>IF($K386=AM$3,ROUND(IF(OR($C386="W",$C386="1/2W",$C386="1/2L"),$P386-$O386,IF($C386="X",0,-$O386)),2),0)</f>
        <v>0</v>
      </c>
      <c r="AN386" s="198">
        <f>IF($K386=AN$3,ROUND(IF(OR($C386="W",$C386="1/2W",$C386="1/2L"),$P386-$O386,IF($C386="X",0,-$O386)),2),0)</f>
        <v>0</v>
      </c>
      <c r="AO386" s="198">
        <f>IF($K386=AO$3,ROUND(IF(OR($C386="W",$C386="1/2W",$C386="1/2L"),$P386-$O386,IF($C386="X",0,-$O386)),2),0)</f>
        <v>0</v>
      </c>
      <c r="AP386" s="198">
        <f>IF($K386=AP$3,ROUND(IF(OR($C386="W",$C386="1/2W",$C386="1/2L"),$P386-$O386,IF($C386="X",0,-$O386)),2),0)</f>
        <v>0</v>
      </c>
      <c r="AQ386" s="198">
        <f>IF($K386=AQ$3,ROUND(IF(OR($C386="W",$C386="1/2W",$C386="1/2L"),$P386-$O386,IF($C386="X",0,-$O386)),2),0)</f>
        <v>13.21</v>
      </c>
      <c r="AR386" s="199">
        <f>IF($K386=AR$3,ROUND(IF(OR($C386="W",$C386="1/2W",$C386="1/2L"),$P386-$O386,IF($C386="X",0,-$O386)),2),0)</f>
        <v>0</v>
      </c>
      <c r="AS386" s="197">
        <f>IF(AND($B385=" ",$K386=AS$3),$O386,0)</f>
        <v>0</v>
      </c>
      <c r="AT386" s="198">
        <f>IF(AND($B385=" ",K386=AT$3),$O386,0)</f>
        <v>0</v>
      </c>
      <c r="AU386" s="198">
        <f>IF(AND($B385=" ",$K386=AU$3),$O386,0)</f>
        <v>0</v>
      </c>
      <c r="AV386" s="198">
        <f>IF(AND($B385=" ",$K386=AV$3),$O386,0)</f>
        <v>0</v>
      </c>
      <c r="AW386" s="198">
        <f>IF(AND($B385=" ",$K386=AW$3),$O386,0)</f>
        <v>0</v>
      </c>
      <c r="AX386" s="198">
        <f>IF(AND($B385=" ",$K386=AX$3),$O386,0)</f>
        <v>0</v>
      </c>
      <c r="AY386" s="200">
        <f>IF(AND($B385=" ",$K386=AY$3),$O386,0)</f>
        <v>0</v>
      </c>
      <c r="AZ386" s="201">
        <f>IF(AND($B385=" ",$K386=AZ$3),$O386,0)</f>
        <v>0</v>
      </c>
      <c r="BA386" s="201">
        <f>IF(AND($B385=" ",$K386=BA$3),$O386,0)</f>
        <v>0</v>
      </c>
      <c r="BB386" s="201">
        <f>IF(AND($B385=" ",$K386=BB$3),$O386,0)</f>
        <v>0</v>
      </c>
      <c r="BC386" s="202">
        <f>IF(AND($B385=" ",$K386=BC$3),$O386,0)</f>
        <v>0</v>
      </c>
      <c r="BD386" s="198">
        <f>IF(AND($B385=" ",$K386=BD$3),$O386,0)</f>
        <v>0</v>
      </c>
      <c r="BE386" s="199">
        <f>IF(AND($B385=" ",$K386=BE$3),$O386,0)</f>
        <v>0</v>
      </c>
      <c r="BF386" s="197">
        <f>IF($K386=BF$3,IF($C386="X",0,$O386),0)</f>
        <v>0</v>
      </c>
      <c r="BG386" s="198">
        <f>IF($K386=BG$3,IF($C386="X",0,$O386),0)</f>
        <v>0</v>
      </c>
      <c r="BH386" s="198">
        <f>IF($K386=BH$3,IF($C386="X",0,$O386),0)</f>
        <v>0</v>
      </c>
      <c r="BI386" s="198">
        <f>IF($K386=BI$3,IF($C386="X",0,$O386),0)</f>
        <v>0</v>
      </c>
      <c r="BJ386" s="198">
        <f>IF($K386=BJ$3,IF($C386="X",0,$O386),0)</f>
        <v>0</v>
      </c>
      <c r="BK386" s="198">
        <f>IF($K386=BK$3,IF($C386="X",0,$O386),0)</f>
        <v>0</v>
      </c>
      <c r="BL386" s="198">
        <f>IF($K386=BL$3,IF($C386="X",0,$O386),0)</f>
        <v>0</v>
      </c>
      <c r="BM386" s="227">
        <f>IF($K386=BM$3,IF($C386="X",0,$O386),0)</f>
        <v>0</v>
      </c>
      <c r="BN386" s="205">
        <f>IF($K386=BN$3,IF($C386="X",0,$O386),0)</f>
        <v>0</v>
      </c>
      <c r="BO386" s="205">
        <f>IF($K386=BO$3,IF($C386="X",0,$O386),0)</f>
        <v>0</v>
      </c>
      <c r="BP386" s="205">
        <f>IF($K386=BP$3,IF($C386="X",0,$O386),0)</f>
        <v>0</v>
      </c>
      <c r="BQ386" s="202">
        <f>IF($K386=BQ$3,IF($C386="X",0,$O386),0)</f>
        <v>22.78</v>
      </c>
      <c r="BR386" s="199">
        <f>IF($K386=BR$3,IF($C386="X",0,$O386),0)</f>
        <v>0</v>
      </c>
      <c r="BS386" s="228"/>
      <c r="BT386" s="229"/>
      <c r="BU386" s="140"/>
      <c r="BV386" s="229"/>
      <c r="BW386" s="140"/>
      <c r="BX386" s="140"/>
      <c r="BY386" s="140"/>
      <c r="BZ386" s="229"/>
      <c r="CA386" s="140"/>
      <c r="CB386" s="140"/>
      <c r="CC386" s="140"/>
      <c r="CD386" s="141"/>
      <c r="CE386" s="142"/>
      <c r="CF386" s="230">
        <f>IF(CF$3=$K386,IF($C386="W",1,IF($C386="1/2W",0.5,0)),0)</f>
        <v>0</v>
      </c>
      <c r="CG386" s="231">
        <f>IF(CF$3=$K386,IF($C386="L",1,IF($C386="1/2L",0.5,0)),0)</f>
        <v>0</v>
      </c>
      <c r="CH386" s="231">
        <f>IF(CH$3=$K386,IF($C386="W",1,IF($C386="1/2W",0.5,0)),0)</f>
        <v>0</v>
      </c>
      <c r="CI386" s="231">
        <f>IF(CH$3=$K386,IF($C386="L",1,IF($C386="1/2L",0.5,0)),0)</f>
        <v>0</v>
      </c>
      <c r="CJ386" s="231">
        <f>IF(CJ$3=$K386,IF($C386="W",1,IF($C386="1/2W",0.5,0)),0)</f>
        <v>0</v>
      </c>
      <c r="CK386" s="231">
        <f>IF(CJ$3=$K386,IF($C386="L",1,IF($C386="1/2L",0.5,0)),0)</f>
        <v>0</v>
      </c>
      <c r="CL386" s="231">
        <f>IF(CL$3=$K386,IF($C386="W",1,IF($C386="1/2W",0.5,0)),0)</f>
        <v>0</v>
      </c>
      <c r="CM386" s="231">
        <f>IF(CL$3=$K386,IF($C386="L",1,IF($C386="1/2L",0.5,0)),0)</f>
        <v>0</v>
      </c>
      <c r="CN386" s="231">
        <f>IF(CN$3=$K386,IF($C386="W",1,IF($C386="1/2W",0.5,0)),0)</f>
        <v>0</v>
      </c>
      <c r="CO386" s="231">
        <f>IF(CN$3=$K386,IF($C386="L",1,IF($C386="1/2L",0.5,0)),0)</f>
        <v>0</v>
      </c>
      <c r="CP386" s="231">
        <f>IF(CP$3=$K386,IF($C386="W",1,IF($C386="1/2W",0.5,0)),0)</f>
        <v>0</v>
      </c>
      <c r="CQ386" s="231">
        <f>IF(CP$3=$K386,IF($C386="L",1,IF($C386="1/2L",0.5,0)),0)</f>
        <v>0</v>
      </c>
      <c r="CR386" s="231">
        <f>IF(CR$3=$K386,IF($C386="W",1,IF($C386="1/2W",0.5,0)),0)</f>
        <v>0</v>
      </c>
      <c r="CS386" s="231">
        <f>IF(CR$3=$K386,IF($C386="L",1,IF($C386="1/2L",0.5,0)),0)</f>
        <v>0</v>
      </c>
      <c r="CT386" s="208">
        <f>IF(CT$3=$K386,IF($C386="W",1,IF($C386="1/2W",0.5,0)),0)</f>
        <v>0</v>
      </c>
      <c r="CU386" s="209">
        <f>IF(CT$3=$K386,IF($C386="L",1,IF($C386="1/2L",0.5,0)),0)</f>
        <v>0</v>
      </c>
      <c r="CV386" s="209">
        <f>IF(CV$3=$K386,IF($C386="W",1,IF($C386="1/2W",0.5,0)),0)</f>
        <v>0</v>
      </c>
      <c r="CW386" s="209">
        <f>IF(CV$3=$K386,IF($C386="L",1,IF($C386="1/2L",0.5,0)),0)</f>
        <v>0</v>
      </c>
      <c r="CX386" s="209">
        <f>IF(CX$3=$K386,IF($C386="W",1,IF($C386="1/2W",0.5,0)),0)</f>
        <v>0</v>
      </c>
      <c r="CY386" s="209">
        <f>IF(CX$3=$K386,IF($C386="L",1,IF($C386="1/2L",0.5,0)),0)</f>
        <v>0</v>
      </c>
      <c r="CZ386" s="209">
        <f>IF(CZ$3=$K386,IF($C386="W",1,IF($C386="1/2W",0.5,0)),0)</f>
        <v>0</v>
      </c>
      <c r="DA386" s="209">
        <f>IF(CZ$3=$K386,IF($C386="L",1,IF($C386="1/2L",0.5,0)),0)</f>
        <v>0</v>
      </c>
      <c r="DB386" s="209">
        <f>IF(DB$3=$K386,IF($C386="W",1,IF($C386="1/2W",0.5,0)),0)</f>
        <v>1</v>
      </c>
      <c r="DC386" s="209">
        <f>IF(DB$3=$K386,IF($C386="L",1,IF($C386="1/2L",0.5,0)),0)</f>
        <v>0</v>
      </c>
      <c r="DD386" s="209">
        <f>IF(DD$3=$K386,IF($C386="W",1,IF($C386="1/2W",0.5,0)),0)</f>
        <v>0</v>
      </c>
      <c r="DE386" s="210">
        <f>IF(DD$3=$K386,IF($C386="L",1,IF($C386="1/2L",0.5,0)),0)</f>
        <v>0</v>
      </c>
      <c r="DF386" s="211">
        <f>IF(AND(L386&lt;DF$3,$C386="W"),1+DF385,DF385)</f>
        <v>12</v>
      </c>
      <c r="DG386" s="198">
        <f>IF(DF386&gt;DF385,L386+DG385,DG385)</f>
        <v>15.718</v>
      </c>
      <c r="DH386" s="209">
        <f>IF(AND(L386&gt;DH$3,$C386="W"),1+DH385,0+DH385)</f>
        <v>9</v>
      </c>
      <c r="DI386" s="198">
        <f>IF(DH386&gt;DH385,L386+DI385,DI385)</f>
        <v>49.83</v>
      </c>
      <c r="DJ386" t="s" s="306">
        <f>IF($D385="","",$D385)</f>
        <v>307</v>
      </c>
      <c r="DK386" s="232"/>
    </row>
    <row r="387" ht="14.55" customHeight="1">
      <c r="A387" s="149"/>
      <c r="B387" s="150"/>
      <c r="C387" t="s" s="233">
        <v>58</v>
      </c>
      <c r="D387" s="152"/>
      <c r="E387" s="153"/>
      <c r="F387" s="154"/>
      <c r="G387" s="234"/>
      <c r="H387" s="156"/>
      <c r="I387" s="235"/>
      <c r="J387" s="236"/>
      <c r="K387" s="237"/>
      <c r="L387" s="238"/>
      <c r="M387" s="239"/>
      <c r="N387" s="161"/>
      <c r="O387" t="s" s="240">
        <f>IF(OR(AE385="",AE386=""),"",IF(L387&gt;0,ROUND(IF(M387&gt;0,M387,IF(M385&gt;0,ROUND((M385*AE387)/AE385,IF(N385=0,2,IF(N385=0.1,1,0))),IF(M386&gt;0,ROUND((M386*AE387)/AE386,IF(N385=0,2,IF(N385=0.1,1,0))),IF(M387&gt;0,M387,0)))),2),""))</f>
      </c>
      <c r="P387" t="s" s="241">
        <f>IF(I386="Lay",O386*(L386/(L386-1))-O386,IF(I385="Lay",O385*(L385/(L385-1))-O385,IF(OR(L387="",O387=""),"",IF($C387="1/2W",O387/2+O387/2*L387,IF($C387="1/2L",O387/2,(O387*L387-O387)*(1-_xlfn.XLOOKUP(K387,'Janeiro 2023 - Valor Real'!A3:A15,'Janeiro 2023 - Valor Real'!C3:C15,0))+O387)))))</f>
      </c>
      <c r="Q387" t="s" s="242">
        <f>IF(K387="","",IF(_xlfn.XLOOKUP(K387,K$112:K148,DJ$112:DJ148,0,,-1)=DJ387,_xlfn.XLOOKUP(K387,K$112:K148,Q$112:Q148,1,,-1)+1,1))</f>
      </c>
      <c r="R387" t="s" s="243">
        <f>IF(K387="","",_xlfn.XLOOKUP(K387,K$112:K148,R$112:R148,0,,-1)+IF($C387=" ",1,0))</f>
      </c>
      <c r="S387" s="166"/>
      <c r="T387" s="155"/>
      <c r="U387" s="155"/>
      <c r="V387" s="166"/>
      <c r="W387" s="155"/>
      <c r="X387" s="167"/>
      <c r="Y387" s="128"/>
      <c r="Z387" s="129"/>
      <c r="AA387" s="129"/>
      <c r="AB387" s="129"/>
      <c r="AC387" s="129"/>
      <c r="AD387" s="244">
        <f>((L386/(L386-1)-1))</f>
        <v>1.72413793103448</v>
      </c>
      <c r="AE387" t="s" s="245">
        <f>IF(L387="","",(SUM(((L385-1)*(1-_xlfn.XLOOKUP(K385,'Janeiro 2023 - Valor Real'!A3:A15,'Janeiro 2023 - Valor Real'!C3:C15,0))+1),((L386-1)*(1-_xlfn.XLOOKUP(K386,'Janeiro 2023 - Valor Real'!A3:A15,'Janeiro 2023 - Valor Real'!C3:C15,0))+1),((L387-1)*(1-_xlfn.XLOOKUP(K387,'Janeiro 2023 - Valor Real'!A3:A15,'Janeiro 2023 - Valor Real'!C3:C15,0))+1))/((L387-1)*(1-_xlfn.XLOOKUP(K387,'Janeiro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Real'!C3:C15,0))+1))/((L385-1)*(1-_xlfn.XLOOKUP(K385,'Janeiro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Real'!C3:C15,0))+1))/((L386-1)*(1-_xlfn.XLOOKUP(K386,'Janeiro 2023 - Valor Real'!A3:A15,'Janeiro 2023 - Valor Real'!C3:C15,0))+1)+SUM(((L385-1)*(1-_xlfn.XLOOKUP(K385,'Janeiro 2023 - Valor Real'!A3:A15,'Janeiro 2023 - Valor Real'!C3:C15,0))+1),((L386-1)*(1-_xlfn.XLOOKUP(K386,'Janeiro 2023 - Valor Real'!A3:A15,'Janeiro 2023 - Valor Real'!C3:C15,0))+1),((L387-1)*(1-_xlfn.XLOOKUP(K387,'Janeiro 2023 - Valor Real'!A3:A15,'Janeiro 2023 - Valor Real'!C3:C15,0))+1))/((L387-1)*(1-_xlfn.XLOOKUP(K387,'Janeiro 2023 - Valor Real'!A3:A15,'Janeiro 2023 - Valor Real'!C3:C15,0))+1)))</f>
      </c>
      <c r="AF387" s="197">
        <f>IF($K387=AF$3,ROUND(IF(OR($C387="W",$C387="1/2W",$C387="1/2L"),$P387-$O387,IF($C387="X",0,-$O387)),2),0)</f>
        <v>0</v>
      </c>
      <c r="AG387" s="198">
        <f>IF($K387=AG$3,ROUND(IF(OR($C387="W",$C387="1/2W",$C387="1/2L"),$P387-$O387,IF($C387="X",0,-$O387)),2),0)</f>
        <v>0</v>
      </c>
      <c r="AH387" s="198">
        <f>IF($K387=AH$3,ROUND(IF(OR($C387="W",$C387="1/2W",$C387="1/2L"),$P387-$O387,IF($C387="X",0,-$O387)),2),0)</f>
        <v>0</v>
      </c>
      <c r="AI387" s="198">
        <f>IF($K387=AI$3,ROUND(IF(OR($C387="W",$C387="1/2W",$C387="1/2L"),$P387-$O387,IF($C387="X",0,-$O387)),2),0)</f>
        <v>0</v>
      </c>
      <c r="AJ387" s="198">
        <f>IF($K387=AJ$3,ROUND(IF(OR($C387="W",$C387="1/2W",$C387="1/2L"),$P387-$O387,IF($C387="X",0,-$O387)),2),0)</f>
        <v>0</v>
      </c>
      <c r="AK387" s="198">
        <f>IF($K387=AK$3,ROUND(IF(OR($C387="W",$C387="1/2W",$C387="1/2L"),$P387-$O387,IF($C387="X",0,-$O387)),2),0)</f>
        <v>0</v>
      </c>
      <c r="AL387" s="198">
        <f>IF($K387=AL$3,ROUND(IF(OR($C387="W",$C387="1/2W",$C387="1/2L"),$P387-$O387,IF($C387="X",0,-$O387)),2),0)</f>
        <v>0</v>
      </c>
      <c r="AM387" s="198">
        <f>IF($K387=AM$3,ROUND(IF(OR($C387="W",$C387="1/2W",$C387="1/2L"),$P387-$O387,IF($C387="X",0,-$O387)),2),0)</f>
        <v>0</v>
      </c>
      <c r="AN387" s="198">
        <f>IF($K387=AN$3,ROUND(IF(OR($C387="W",$C387="1/2W",$C387="1/2L"),$P387-$O387,IF($C387="X",0,-$O387)),2),0)</f>
        <v>0</v>
      </c>
      <c r="AO387" s="198">
        <f>IF($K387=AO$3,ROUND(IF(OR($C387="W",$C387="1/2W",$C387="1/2L"),$P387-$O387,IF($C387="X",0,-$O387)),2),0)</f>
        <v>0</v>
      </c>
      <c r="AP387" s="198">
        <f>IF($K387=AP$3,ROUND(IF(OR($C387="W",$C387="1/2W",$C387="1/2L"),$P387-$O387,IF($C387="X",0,-$O387)),2),0)</f>
        <v>0</v>
      </c>
      <c r="AQ387" s="198">
        <f>IF($K387=AQ$3,ROUND(IF(OR($C387="W",$C387="1/2W",$C387="1/2L"),$P387-$O387,IF($C387="X",0,-$O387)),2),0)</f>
        <v>0</v>
      </c>
      <c r="AR387" s="199">
        <f>IF($K387=AR$3,ROUND(IF(OR($C387="W",$C387="1/2W",$C387="1/2L"),$P387-$O387,IF($C387="X",0,-$O387)),2),0)</f>
        <v>0</v>
      </c>
      <c r="AS387" s="197">
        <f>IF(AND($B385=" ",$K387=AS$3),$O387,0)</f>
        <v>0</v>
      </c>
      <c r="AT387" s="198">
        <f>IF(AND($B385=" ",K387=AT$3),$O387,0)</f>
        <v>0</v>
      </c>
      <c r="AU387" s="198">
        <f>IF(AND($B385=" ",$K387=AU$3),$O387,0)</f>
        <v>0</v>
      </c>
      <c r="AV387" s="198">
        <f>IF(AND($B385=" ",$K387=AV$3),$O387,0)</f>
        <v>0</v>
      </c>
      <c r="AW387" s="198">
        <f>IF(AND($B385=" ",$K387=AW$3),$O387,0)</f>
        <v>0</v>
      </c>
      <c r="AX387" s="198">
        <f>IF(AND($B385=" ",$K387=AX$3),$O387,0)</f>
        <v>0</v>
      </c>
      <c r="AY387" s="200">
        <f>IF(AND($B385=" ",$K387=AY$3),$O387,0)</f>
        <v>0</v>
      </c>
      <c r="AZ387" s="201">
        <f>IF(AND($B385=" ",$K387=AZ$3),$O387,0)</f>
        <v>0</v>
      </c>
      <c r="BA387" s="201">
        <f>IF(AND($B385=" ",$K387=BA$3),$O387,0)</f>
        <v>0</v>
      </c>
      <c r="BB387" s="201">
        <f>IF(AND($B385=" ",$K387=BB$3),$O387,0)</f>
        <v>0</v>
      </c>
      <c r="BC387" s="202">
        <f>IF(AND($B385=" ",$K387=BC$3),$O387,0)</f>
        <v>0</v>
      </c>
      <c r="BD387" s="198">
        <f>IF(AND($B385=" ",$K387=BD$3),$O387,0)</f>
        <v>0</v>
      </c>
      <c r="BE387" s="199">
        <f>IF(AND($B385=" ",$K387=BE$3),$O387,0)</f>
        <v>0</v>
      </c>
      <c r="BF387" s="197">
        <f>IF($K387=BF$3,IF($C387="X",0,$O387),0)</f>
        <v>0</v>
      </c>
      <c r="BG387" s="198">
        <f>IF($K387=BG$3,IF($C387="X",0,$O387),0)</f>
        <v>0</v>
      </c>
      <c r="BH387" s="198">
        <f>IF($K387=BH$3,IF($C387="X",0,$O387),0)</f>
        <v>0</v>
      </c>
      <c r="BI387" s="198">
        <f>IF($K387=BI$3,IF($C387="X",0,$O387),0)</f>
        <v>0</v>
      </c>
      <c r="BJ387" s="198">
        <f>IF($K387=BJ$3,IF($C387="X",0,$O387),0)</f>
        <v>0</v>
      </c>
      <c r="BK387" s="198">
        <f>IF($K387=BK$3,IF($C387="X",0,$O387),0)</f>
        <v>0</v>
      </c>
      <c r="BL387" s="198">
        <f>IF($K387=BL$3,IF($C387="X",0,$O387),0)</f>
        <v>0</v>
      </c>
      <c r="BM387" s="200">
        <f>IF($K387=BM$3,IF($C387="X",0,$O387),0)</f>
        <v>0</v>
      </c>
      <c r="BN387" s="201">
        <f>IF($K387=BN$3,IF($C387="X",0,$O387),0)</f>
        <v>0</v>
      </c>
      <c r="BO387" s="201">
        <f>IF($K387=BO$3,IF($C387="X",0,$O387),0)</f>
        <v>0</v>
      </c>
      <c r="BP387" s="201">
        <f>IF($K387=BP$3,IF($C387="X",0,$O387),0)</f>
        <v>0</v>
      </c>
      <c r="BQ387" s="202">
        <f>IF($K387=BQ$3,IF($C387="X",0,$O387),0)</f>
        <v>0</v>
      </c>
      <c r="BR387" s="199">
        <f>IF($K387=BR$3,IF($C387="X",0,$O387),0)</f>
        <v>0</v>
      </c>
      <c r="BS387" s="228"/>
      <c r="BT387" s="229"/>
      <c r="BU387" s="140"/>
      <c r="BV387" s="229"/>
      <c r="BW387" s="140"/>
      <c r="BX387" s="140"/>
      <c r="BY387" s="140"/>
      <c r="BZ387" s="229"/>
      <c r="CA387" s="140"/>
      <c r="CB387" s="140"/>
      <c r="CC387" s="140"/>
      <c r="CD387" s="141"/>
      <c r="CE387" s="142"/>
      <c r="CF387" s="230">
        <f>IF(CF$3=$K387,IF($C387="W",1,IF($C387="1/2W",0.5,0)),0)</f>
        <v>0</v>
      </c>
      <c r="CG387" s="231">
        <f>IF(CF$3=$K387,IF($C387="L",1,IF($C387="1/2L",0.5,0)),0)</f>
        <v>0</v>
      </c>
      <c r="CH387" s="231">
        <f>IF(CH$3=$K387,IF($C387="W",1,IF($C387="1/2W",0.5,0)),0)</f>
        <v>0</v>
      </c>
      <c r="CI387" s="231">
        <f>IF(CH$3=$K387,IF($C387="L",1,IF($C387="1/2L",0.5,0)),0)</f>
        <v>0</v>
      </c>
      <c r="CJ387" s="231">
        <f>IF(CJ$3=$K387,IF($C387="W",1,IF($C387="1/2W",0.5,0)),0)</f>
        <v>0</v>
      </c>
      <c r="CK387" s="231">
        <f>IF(CJ$3=$K387,IF($C387="L",1,IF($C387="1/2L",0.5,0)),0)</f>
        <v>0</v>
      </c>
      <c r="CL387" s="231">
        <f>IF(CL$3=$K387,IF($C387="W",1,IF($C387="1/2W",0.5,0)),0)</f>
        <v>0</v>
      </c>
      <c r="CM387" s="231">
        <f>IF(CL$3=$K387,IF($C387="L",1,IF($C387="1/2L",0.5,0)),0)</f>
        <v>0</v>
      </c>
      <c r="CN387" s="231">
        <f>IF(CN$3=$K387,IF($C387="W",1,IF($C387="1/2W",0.5,0)),0)</f>
        <v>0</v>
      </c>
      <c r="CO387" s="231">
        <f>IF(CN$3=$K387,IF($C387="L",1,IF($C387="1/2L",0.5,0)),0)</f>
        <v>0</v>
      </c>
      <c r="CP387" s="231">
        <f>IF(CP$3=$K387,IF($C387="W",1,IF($C387="1/2W",0.5,0)),0)</f>
        <v>0</v>
      </c>
      <c r="CQ387" s="231">
        <f>IF(CP$3=$K387,IF($C387="L",1,IF($C387="1/2L",0.5,0)),0)</f>
        <v>0</v>
      </c>
      <c r="CR387" s="231">
        <f>IF(CR$3=$K387,IF($C387="W",1,IF($C387="1/2W",0.5,0)),0)</f>
        <v>0</v>
      </c>
      <c r="CS387" s="231">
        <f>IF(CR$3=$K387,IF($C387="L",1,IF($C387="1/2L",0.5,0)),0)</f>
        <v>0</v>
      </c>
      <c r="CT387" s="208">
        <f>IF(CT$3=$K387,IF($C387="W",1,IF($C387="1/2W",0.5,0)),0)</f>
        <v>0</v>
      </c>
      <c r="CU387" s="209">
        <f>IF(CT$3=$K387,IF($C387="L",1,IF($C387="1/2L",0.5,0)),0)</f>
        <v>0</v>
      </c>
      <c r="CV387" s="209">
        <f>IF(CV$3=$K387,IF($C387="W",1,IF($C387="1/2W",0.5,0)),0)</f>
        <v>0</v>
      </c>
      <c r="CW387" s="209">
        <f>IF(CV$3=$K387,IF($C387="L",1,IF($C387="1/2L",0.5,0)),0)</f>
        <v>0</v>
      </c>
      <c r="CX387" s="209">
        <f>IF(CX$3=$K387,IF($C387="W",1,IF($C387="1/2W",0.5,0)),0)</f>
        <v>0</v>
      </c>
      <c r="CY387" s="209">
        <f>IF(CX$3=$K387,IF($C387="L",1,IF($C387="1/2L",0.5,0)),0)</f>
        <v>0</v>
      </c>
      <c r="CZ387" s="209">
        <f>IF(CZ$3=$K387,IF($C387="W",1,IF($C387="1/2W",0.5,0)),0)</f>
        <v>0</v>
      </c>
      <c r="DA387" s="209">
        <f>IF(CZ$3=$K387,IF($C387="L",1,IF($C387="1/2L",0.5,0)),0)</f>
        <v>0</v>
      </c>
      <c r="DB387" s="209">
        <f>IF(DB$3=$K387,IF($C387="W",1,IF($C387="1/2W",0.5,0)),0)</f>
        <v>0</v>
      </c>
      <c r="DC387" s="209">
        <f>IF(DB$3=$K387,IF($C387="L",1,IF($C387="1/2L",0.5,0)),0)</f>
        <v>0</v>
      </c>
      <c r="DD387" s="209">
        <f>IF(DD$3=$K387,IF($C387="W",1,IF($C387="1/2W",0.5,0)),0)</f>
        <v>0</v>
      </c>
      <c r="DE387" s="210">
        <f>IF(DD$3=$K387,IF($C387="L",1,IF($C387="1/2L",0.5,0)),0)</f>
        <v>0</v>
      </c>
      <c r="DF387" s="211">
        <f>IF(AND(L387&lt;DF$3,$C387="W"),1+DF386,DF386)</f>
        <v>12</v>
      </c>
      <c r="DG387" s="198">
        <f>IF(DF387&gt;DF386,L387+DG386,DG386)</f>
        <v>15.718</v>
      </c>
      <c r="DH387" s="209">
        <f>IF(AND(L387&gt;DH$3,$C387="W"),1+DH386,0+DH386)</f>
        <v>9</v>
      </c>
      <c r="DI387" s="198">
        <f>IF(DH387&gt;DH386,L387+DI386,DI386)</f>
        <v>49.83</v>
      </c>
      <c r="DJ387" t="s" s="306">
        <f>IF($D385="","",$D385)</f>
        <v>307</v>
      </c>
      <c r="DK387" s="232"/>
    </row>
    <row r="388" ht="14.55" customHeight="1">
      <c r="A388" s="246">
        <f>$A385+1</f>
        <v>129</v>
      </c>
      <c r="B388" t="s" s="247">
        <f>IF(AND(_xlfn.XLOOKUP(H388,H$107:H167,G$107:G167,0)=G388,_xlfn.XLOOKUP("TempoBet",K388:K390,L388:L390,0)&gt;0),"X",IF(OR(C388="W",C389="W",C390="W",C388="1/2W",C389="1/2W",C390="1/2W",C388="1/2L",C389="1/2L",C390="1/2L"),"OK",IF(OR(C388="L",C389="L",C390="L"),"LOSS",IF(OR(C388="X",C389="X",C390="X"),"Anulado"," "))))</f>
        <v>50</v>
      </c>
      <c r="C388" t="s" s="248">
        <v>56</v>
      </c>
      <c r="D388" t="s" s="303">
        <f>IF(G388="","",$D385)</f>
        <v>307</v>
      </c>
      <c r="E388" t="s" s="250">
        <v>127</v>
      </c>
      <c r="F388" t="s" s="251"/>
      <c r="G388" s="252">
        <v>44956.666666666664</v>
      </c>
      <c r="H388" t="s" s="253">
        <v>324</v>
      </c>
      <c r="I388" t="s" s="254">
        <v>65</v>
      </c>
      <c r="J388" s="255">
        <v>1</v>
      </c>
      <c r="K388" t="s" s="256">
        <v>48</v>
      </c>
      <c r="L388" s="257">
        <v>1.9</v>
      </c>
      <c r="M388" s="258">
        <v>14.68</v>
      </c>
      <c r="N388" s="259">
        <v>0.1</v>
      </c>
      <c r="O388" s="260">
        <f>IF(OR(AE388="",AE389=""),"",ROUND(IF(L390&gt;0,IF(M388&gt;0,M388,IF(M389&gt;0,ROUND((M389*AE388)/AE389,IF(N388=0,2,IF(N388=0.1,1,0))),ROUND((M390*AE388)/AE390,IF(N388=0,2,IF(N388=0.1,1,0))))),IF(M388&gt;0,M388,ROUND((M389*AE388)/AE389,IF(N388=0,2,IF(N388=0.1,1,0))))),2))</f>
        <v>14.68</v>
      </c>
      <c r="P388" s="261">
        <f>IF(OR(L388="",O388=""),"",IF($C388="1/2W",O388/2+O388/2*L388,IF($C388="1/2L",O388/2,IF(I388="Lay",(O388*(L388/(L388-1))-O388)*(1-_xlfn.XLOOKUP(K388,'Janeiro 2023 - Valor Real'!A3:A15,'Janeiro 2023 - Valor Real'!C3:C15,0))+O388,(O388*L388-O388)*(1-_xlfn.XLOOKUP(K388,'Janeiro 2023 - Valor Real'!A3:A15,'Janeiro 2023 - Valor Real'!C3:C15,0))+O388))))</f>
        <v>27.892</v>
      </c>
      <c r="Q388" s="262">
        <f>IF(K388="","",IF(_xlfn.XLOOKUP(K388,K$107:K167,DJ$107:DJ167,0,,-1)=DJ388,_xlfn.XLOOKUP(K388,K$107:K167,Q$107:Q167,1,,-1)+1,1))</f>
        <v>1</v>
      </c>
      <c r="R388" s="263">
        <f>IF(K388="","",_xlfn.XLOOKUP(K388,K$107:K167,R$107:R167,0,,-1)+IF($C388=" ",1,0))</f>
        <v>0</v>
      </c>
      <c r="S388" s="264">
        <f>IF($B388="Anulado",0,ROUND(IF(OR($B388="LOSS",$B388="OK"),IF(OR($C388="W",$C388="1/2W",$C388="1/2L"),P388-O388,IF($C388="L",-O388,0))+IF(OR($C389="W",$C389="1/2W",$C389="1/2L"),P389-O389,IF($C389="L",-O389,0))+IF(OR($C390="W",$C390="1/2W",$C390="1/2L"),P390-O390,IF($C390="L",-O390,0)),IF(AND(OR($C388="W",$C388="1/2W",$C388="1/2L"),C389="W"),P388+P389-SUM(O388:O390)+_xlfn.XLOOKUP("X",C388:C390,O388:O390,0),IF(AND(C388=TRUE,C390="W"),P388+P390-SUM(O388:O390),IF(AND(C389="W",C390="W"),P389+P390-SUM(O388:O390)+_xlfn.XLOOKUP("X",C388:C390,O388:O390,0),IF(L390&gt;0,IF(OR($C388="W",$C388="1/2W",$C388="1/2L"),P388-SUM(O388:O390)+_xlfn.XLOOKUP("X",C388:C390,O388:O390,0),IF(OR($C388="W",$C388="1/2W",$C388="1/2L"),P389-SUM(O388:O390)+_xlfn.XLOOKUP("X",C388:C390,O388:O390,0),IF(OR($C388="W",$C388="1/2W",$C388="1/2L"),P390-SUM(O388:O390)+_xlfn.XLOOKUP("X",C388:C390,O388:O390,0),IF(SUM(P388:P390)/3-SUM(O388:O390)+_xlfn.XLOOKUP("X",C388:C390,O388:O390,0)&gt;0,SUM(P388:P390)/3-SUM(O388:O390)+_xlfn.XLOOKUP("X",C388:C390,O388:O390,0),LARGE(P388:P390,1)-SUM(O388:O390))))),IF(OR($C388="W",$C388="1/2W",$C388="1/2L"),P388-SUM(O388:O389)+_xlfn.XLOOKUP("X",C388:C390,O388:O390,0),IF(OR($C388="W",$C388="1/2W",$C388="1/2L"),P389-SUM(O388:O389)+_xlfn.XLOOKUP("X",C388:C390,O388:O390,0),SUM(P388:P389)/2-SUM(O388:O389)+_xlfn.XLOOKUP("X",C388:C390,O388:O390,0)))))))),2))</f>
        <v>1.11</v>
      </c>
      <c r="T388" s="265">
        <f>IF(S388=0,0,S388/SUM(O388:O390))</f>
        <v>0.0414488424197162</v>
      </c>
      <c r="U388" s="266">
        <f>IF($D388=$D385,IF(OR($B388="LOSS",$B388="OK",$B388="Anulada"),S388,0)+U385,IF(OR($B388="LOSS",$B388="OK",$B388="Anulada"),S388,0))</f>
        <v>15.39</v>
      </c>
      <c r="V388" s="266">
        <f>IF($D388="",0,IF($D388=$D385,IF($B388=" ",IF(I390="",IF(OR(AND(I388="DNB1",I389="DNB2"),AND(OR(I388="DNB1",I388="DNB2"),J389=0),AND(OR(I389="DNB1",I389="DNB2"),J388=0),AND(I388="DNB2",I389="DNB1"),AND(IF(J388=0,(J388+1)/ROUND(J388+1,0),J388/ROUND(J388,0))=1,IF(J389=0,(J389+1)/ROUND(IF(J389="",0,J389)+1,0),IF(J389="",0,J389)/ROUND(IF(J389="",1,J389),0))=1,OR(J388&lt;&gt;""),J389&lt;&gt;"")),0,IF(S388&lt;0,IF(I390="",SMALL(P388:P389,1)-SUM(O388:O389),0),SMALL(P388:P389,1)-SUM(O388:O389))),IF(S388&lt;0,IF(I390="",SMALL(P388:P390,1)-SUM(O388:O390),0),LARGE(P388:P390,1)-SUM(O388:O390))),S388)+V385,IF(I390="",IF(OR(AND(I388="DNB1",I389="DNB2"),AND(OR(I388="DNB1",I388="DNB2"),J389=0),AND(OR(I389="DNB1",I389="DNB2"),J388=0),AND(I388="DNB2",I389="DNB1"),AND(IF(J388=0,(J388+1)/ROUND(J388+1,0),J388/ROUND(J388,0))=1,IF(J389=0,(IF(J389="",0,J389)+1)/ROUND(IF(J389="",0,J389)+1,0),IF(J389="",0,J389)/ROUND(IF(J389="",0,J389)+1,0))=1,OR(J388&lt;&gt;""),J389&lt;&gt;"")),0,IF(S388&lt;0,IF(I390="",SMALL(P388:P389,1)-SUM(O388:O389),0),SMALL(P388:P390,1)-SUM(O388:O390))),IF(S388&lt;0,IF(I390="",SMALL(P388:P390,1)-SUM(O388:O390),0),LARGE(P388:P390,1)-SUM(O388:O390)))))</f>
        <v>15.39225</v>
      </c>
      <c r="W388" s="266">
        <f>IF($D388=$D385,IF(S388&lt;0,IF(I390="",S388,0),S388)+W385,S388)</f>
        <v>15.39</v>
      </c>
      <c r="X388" t="s" s="267">
        <f>IF(OR(SUM(R388:R390)=0,V388=W388),ROUND(IF(W388=0,0,W388/Y388)*100,2)&amp;"%",ROUND(IF(V388=0,0,V388/Y388)*100,2)&amp;"% a "&amp;ROUND(IF(W388=0,0,W388/Y388)*100,2)&amp;"%")</f>
        <v>192</v>
      </c>
      <c r="Y388" s="268">
        <f>IF($D388=$D385,Y385+SUM(O388:O390),SUM(O388:O390))</f>
        <v>204.74</v>
      </c>
      <c r="Z388" s="266">
        <f>IF($B388=" ",SUM(O388:O390),0)+Z385</f>
        <v>0</v>
      </c>
      <c r="AA388" s="266">
        <f>IF(G388="","",IF($B388="Anulado",LARGE(P388:P390,1)-SUM(O388:O390)+AA385,AA385))</f>
        <v>16.5099</v>
      </c>
      <c r="AB388" s="266">
        <f>IF($D388="","",AB385+S388)</f>
        <v>267.06</v>
      </c>
      <c r="AC388" s="269">
        <f>IF($D388="","",IF($B388=" ",IF(DAY(G388)=DAY(TODAY()),1+AC385,0+AC385),0+AC385))</f>
        <v>0</v>
      </c>
      <c r="AD388" s="270">
        <f>(1-_xlfn.XLOOKUP(K386,'Janeiro 2023 - Valor Real'!A3:A15,'Janeiro 2023 - Valor Real'!C3:C15,0))+1</f>
        <v>2</v>
      </c>
      <c r="AE388" s="271">
        <f>IF(L388="","",IF(L390&gt;0,(SUM(((L388-1)*(1-_xlfn.XLOOKUP(K388,'Janeiro 2023 - Valor Real'!A3:A15,'Janeiro 2023 - Valor Real'!C3:C15,0))+1),((L389-1)*(1-_xlfn.XLOOKUP(K389,'Janeiro 2023 - Valor Real'!A3:A15,'Janeiro 2023 - Valor Real'!C3:C15,0))+1),((L390-1)*(1-_xlfn.XLOOKUP(K390,'Janeiro 2023 - Valor Real'!A3:A15,'Janeiro 2023 - Valor Real'!C3:C15,0))+1))/((L388-1)*(1-_xlfn.XLOOKUP(K388,'Janeiro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Real'!C3:C15,0))+1))/((L388-1)*(1-_xlfn.XLOOKUP(K388,'Janeiro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Real'!C3:C15,0))+1))/((L389-1)*(1-_xlfn.XLOOKUP(K389,'Janeiro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Real'!C3:C15,0))+1))/((L390-1)*(1-_xlfn.XLOOKUP(K390,'Janeiro 2023 - Valor Real'!A3:A15,'Janeiro 2023 - Valor Real'!C3:C15,0))+1)),IF(I388="Lay",IF(I389="Lay",((L389/(L389-1)-1)*(1-_xlfn.XLOOKUP(K389,'Janeiro 2023 - Valor Real'!A3:A15,'Janeiro 2023 - Valor Real'!C3:C15,0))+1)/(((L389/(L389-1)-1)*(1-_xlfn.XLOOKUP(K389,'Janeiro 2023 - Valor Real'!A3:A15,'Janeiro 2023 - Valor Real'!C3:C15,0))+1)+((L388/(L388-1)-1)*(1-_xlfn.XLOOKUP(K388,'Janeiro 2023 - Valor Real'!A3:A15,'Janeiro 2023 - Valor Real'!C3:C15,0))+1)),((L389-1)*(1-_xlfn.XLOOKUP(K389,'Janeiro 2023 - Valor Real'!A3:A15,'Janeiro 2023 - Valor Real'!C3:C15,0))+1)/(((L389-1)*(1-_xlfn.XLOOKUP(K389,'Janeiro 2023 - Valor Real'!A3:A15,'Janeiro 2023 - Valor Real'!C3:C15,0))+1)+((L388/(L388-1)-1)*(1-_xlfn.XLOOKUP(K388,'Janeiro 2023 - Valor Real'!A3:A15,'Janeiro 2023 - Valor Real'!C3:C15,0))+1))),IF(I389="Lay",(((L389/(L389-1)-1)*(1-_xlfn.XLOOKUP(K389,'Janeiro 2023 - Valor Real'!A3:A15,'Janeiro 2023 - Valor Real'!C3:C15,0))+1))/(((L388-1)*(1-_xlfn.XLOOKUP(K388,'Janeiro 2023 - Valor Real'!A3:A15,'Janeiro 2023 - Valor Real'!C3:C15,0))+1)+((L389/(L389-1)-1)*(1-_xlfn.XLOOKUP(K389,'Janeiro 2023 - Valor Real'!A3:A15,'Janeiro 2023 - Valor Real'!C3:C15,0))+1)),((L389-1)*(1-_xlfn.XLOOKUP(K389,'Janeiro 2023 - Valor Real'!A3:A15,'Janeiro 2023 - Valor Real'!C3:C15,0))+1)/(((L389-1)*(1-_xlfn.XLOOKUP(K389,'Janeiro 2023 - Valor Real'!A3:A15,'Janeiro 2023 - Valor Real'!C3:C15,0))+1)+((L388-1)*(1-_xlfn.XLOOKUP(K388,'Janeiro 2023 - Valor Real'!A3:A15,'Janeiro 2023 - Valor Real'!C3:C15,0))+1))))))</f>
        <v>0.548693586698337</v>
      </c>
      <c r="AF388" s="132">
        <f>IF($K388=AF$3,ROUND(IF(OR($C388="W",$C388="1/2W",$C388="1/2L"),$P388-$O388,IF($C388="X",0,-$O388)),2),0)</f>
        <v>0</v>
      </c>
      <c r="AG388" s="133">
        <f>IF($K388=AG$3,ROUND(IF(OR($C388="W",$C388="1/2W",$C388="1/2L"),$P388-$O388,IF($C388="X",0,-$O388)),2),0)</f>
        <v>0</v>
      </c>
      <c r="AH388" s="133">
        <f>IF($K388=AH$3,ROUND(IF(OR($C388="W",$C388="1/2W",$C388="1/2L"),$P388-$O388,IF($C388="X",0,-$O388)),2),0)</f>
        <v>0</v>
      </c>
      <c r="AI388" s="133">
        <f>IF($K388=AI$3,ROUND(IF(OR($C388="W",$C388="1/2W",$C388="1/2L"),$P388-$O388,IF($C388="X",0,-$O388)),2),0)</f>
        <v>0</v>
      </c>
      <c r="AJ388" s="133">
        <f>IF($K388=AJ$3,ROUND(IF(OR($C388="W",$C388="1/2W",$C388="1/2L"),$P388-$O388,IF($C388="X",0,-$O388)),2),0)</f>
        <v>0</v>
      </c>
      <c r="AK388" s="133">
        <f>IF($K388=AK$3,ROUND(IF(OR($C388="W",$C388="1/2W",$C388="1/2L"),$P388-$O388,IF($C388="X",0,-$O388)),2),0)</f>
        <v>0</v>
      </c>
      <c r="AL388" s="133">
        <f>IF($K388=AL$3,ROUND(IF(OR($C388="W",$C388="1/2W",$C388="1/2L"),$P388-$O388,IF($C388="X",0,-$O388)),2),0)</f>
        <v>0</v>
      </c>
      <c r="AM388" s="133">
        <f>IF($K388=AM$3,ROUND(IF(OR($C388="W",$C388="1/2W",$C388="1/2L"),$P388-$O388,IF($C388="X",0,-$O388)),2),0)</f>
        <v>0</v>
      </c>
      <c r="AN388" s="133">
        <f>IF($K388=AN$3,ROUND(IF(OR($C388="W",$C388="1/2W",$C388="1/2L"),$P388-$O388,IF($C388="X",0,-$O388)),2),0)</f>
        <v>0</v>
      </c>
      <c r="AO388" s="133">
        <f>IF($K388=AO$3,ROUND(IF(OR($C388="W",$C388="1/2W",$C388="1/2L"),$P388-$O388,IF($C388="X",0,-$O388)),2),0)</f>
        <v>0</v>
      </c>
      <c r="AP388" s="133">
        <f>IF($K388=AP$3,ROUND(IF(OR($C388="W",$C388="1/2W",$C388="1/2L"),$P388-$O388,IF($C388="X",0,-$O388)),2),0)</f>
        <v>0</v>
      </c>
      <c r="AQ388" s="133">
        <f>IF($K388=AQ$3,ROUND(IF(OR($C388="W",$C388="1/2W",$C388="1/2L"),$P388-$O388,IF($C388="X",0,-$O388)),2),0)</f>
        <v>13.21</v>
      </c>
      <c r="AR388" s="134">
        <f>IF($K388=AR$3,ROUND(IF(OR($C388="W",$C388="1/2W",$C388="1/2L"),$P388-$O388,IF($C388="X",0,-$O388)),2),0)</f>
        <v>0</v>
      </c>
      <c r="AS388" s="132">
        <f>IF(AND($B388=" ",$K388=AS$3),$O388,0)</f>
        <v>0</v>
      </c>
      <c r="AT388" s="133">
        <f>IF(AND($B388=" ",$K388=AT$3),$O388,0)</f>
        <v>0</v>
      </c>
      <c r="AU388" s="133">
        <f>IF(AND($B388=" ",$K388=AU$3),$O388,0)</f>
        <v>0</v>
      </c>
      <c r="AV388" s="133">
        <f>IF(AND($B388=" ",$K388=AV$3),$O388,0)</f>
        <v>0</v>
      </c>
      <c r="AW388" s="133">
        <f>IF(AND($B388=" ",$K388=AW$3),$O388,0)</f>
        <v>0</v>
      </c>
      <c r="AX388" s="133">
        <f>IF(AND($B388=" ",$K388=AX$3),$O388,0)</f>
        <v>0</v>
      </c>
      <c r="AY388" s="135">
        <f>IF(AND($B388=" ",$K388=AY$3),$O388,0)</f>
        <v>0</v>
      </c>
      <c r="AZ388" s="136">
        <f>IF(AND($B388=" ",$K388=AZ$3),$O388,0)</f>
        <v>0</v>
      </c>
      <c r="BA388" s="136">
        <f>IF(AND($B388=" ",$K388=BA$3),$O388,0)</f>
        <v>0</v>
      </c>
      <c r="BB388" s="136">
        <f>IF(AND($B388=" ",$K388=BB$3),$O388,0)</f>
        <v>0</v>
      </c>
      <c r="BC388" s="137">
        <f>IF(AND($B388=" ",$K388=BC$3),$O388,0)</f>
        <v>0</v>
      </c>
      <c r="BD388" s="133">
        <f>IF(AND($B388=" ",$K388=BD$3),$O388,0)</f>
        <v>0</v>
      </c>
      <c r="BE388" s="134">
        <f>IF(AND($B388=" ",$K388=BE$3),$O388,0)</f>
        <v>0</v>
      </c>
      <c r="BF388" s="132">
        <f>IF($K388=BF$3,IF($C388="X",0,$O388),0)</f>
        <v>0</v>
      </c>
      <c r="BG388" s="133">
        <f>IF($K388=BG$3,IF($C388="X",0,$O388),0)</f>
        <v>0</v>
      </c>
      <c r="BH388" s="133">
        <f>IF($K388=BH$3,IF($C388="X",0,$O388),0)</f>
        <v>0</v>
      </c>
      <c r="BI388" s="133">
        <f>IF($K388=BI$3,IF($C388="X",0,$O388),0)</f>
        <v>0</v>
      </c>
      <c r="BJ388" s="133">
        <f>IF($K388=BJ$3,IF($C388="X",0,$O388),0)</f>
        <v>0</v>
      </c>
      <c r="BK388" s="133">
        <f>IF($K388=BK$3,IF($C388="X",0,$O388),0)</f>
        <v>0</v>
      </c>
      <c r="BL388" s="133">
        <f>IF($K388=BL$3,IF($C388="X",0,$O388),0)</f>
        <v>0</v>
      </c>
      <c r="BM388" s="135">
        <f>IF($K388=BM$3,IF($C388="X",0,$O388),0)</f>
        <v>0</v>
      </c>
      <c r="BN388" s="136">
        <f>IF($K388=BN$3,IF($C388="X",0,$O388),0)</f>
        <v>0</v>
      </c>
      <c r="BO388" s="136">
        <f>IF($K388=BO$3,IF($C388="X",0,$O388),0)</f>
        <v>0</v>
      </c>
      <c r="BP388" s="136">
        <f>IF($K388=BP$3,IF($C388="X",0,$O388),0)</f>
        <v>0</v>
      </c>
      <c r="BQ388" s="137">
        <f>IF($K388=BQ$3,IF($C388="X",0,$O388),0)</f>
        <v>14.68</v>
      </c>
      <c r="BR388" s="134">
        <f>IF($K388=BR$3,IF($C388="X",0,$O388),0)</f>
        <v>0</v>
      </c>
      <c r="BS388" s="170">
        <f>IF($B388="LOSS",IF(AND($K388=BS$3,$C388="L"),-$O388,0)+IF(AND($K389=BS$3,$C389="L"),-$O389,0)+IF(AND($K390=BS$3,$C390="L"),-$O390,0),IF(OR(AND($K388=BS$3,OR($C388="W",$C388="1/2W")),AND($K389=BS$3,OR($C389="W",$C389="1/2W")),AND($K390=BS$3,OR($C390="W",$C390="1/2W"))),$S388,0))</f>
        <v>0</v>
      </c>
      <c r="BT388" s="272">
        <f>IF($B388="LOSS",IF(AND($K388=BT$3,$C388="L"),-$O388,0)+IF(AND($K389=BT$3,$C389="L"),-$O389,0)+IF(AND($K389=BT$3,$C390="L"),-$O390,0),IF(OR(AND($K389=BT$3,OR($C388="W",$C388="1/2W")),AND($K389=BT$3,OR($C389="W",$C389="1/2W")),AND($K389=BT$3,OR($C390="W",$C390="1/2W"))),$S388,0))</f>
        <v>0</v>
      </c>
      <c r="BU388" s="136">
        <f>IF($B388="LOSS",IF(AND($K388=BU$3,$C388="L"),-$O388,0)+IF(AND($K389=BU$3,$C389="L"),-$O389,0)+IF(AND($K389=BU$3,$C390="L"),-$O390,0),IF(OR(AND($K389=BU$3,OR($C388="W",$C388="1/2W")),AND($K389=BU$3,OR($C389="W",$C389="1/2W")),AND($K389=BU$3,OR($C390="W",$C390="1/2W"))),$S388,0))</f>
        <v>0</v>
      </c>
      <c r="BV388" s="136">
        <f>IF($B388="LOSS",IF(AND($K388=BV$3,$C388="L"),-$O388,0)+IF(AND($K389=BV$3,$C389="L"),-$O389,0)+IF(AND($K390=BV$3,$C390="L"),-$O390,0),IF(OR(AND($K388=BV$3,OR($C388="W",$C388="1/2W")),AND($K389=BV$3,OR($C389="W",$C389="1/2W")),AND($K390=BV$3,OR($C390="W",$C390="1/2W"))),$S388,0))</f>
        <v>0</v>
      </c>
      <c r="BW388" s="136">
        <f>IF($B388="LOSS",IF(AND($K388=BW$3,$C388="L"),-$O388,0)+IF(AND($K389=BW$3,$C389="L"),-$O389,0)+IF(AND($K390=BW$3,$C390="L"),-$O390,0),IF(OR(AND($K388=BW$3,OR($C388="W",$C388="1/2W")),AND($K389=BW$3,OR($C389="W",$C389="1/2W")),AND($K390=BW$3,OR($C390="W",$C390="1/2W"))),$S388,0))</f>
        <v>0</v>
      </c>
      <c r="BX388" s="136">
        <f>IF($B388="LOSS",IF(AND($K388=BX$3,$C388="L"),-$O388,0)+IF(AND($K389=BX$3,$C389="L"),-$O389,0)+IF(AND($K390=BX$3,$C390="L"),-$O390,0),IF(OR(AND($K388=BX$3,OR($C388="W",$C388="1/2W")),AND($K389=BX$3,OR($C389="W",$C389="1/2W")),AND($K390=BX$3,OR($C390="W",$C390="1/2W"))),$S388,0))</f>
        <v>0</v>
      </c>
      <c r="BY388" s="136">
        <f>IF($B388="LOSS",IF(AND($K388=BY$3,$C388="L"),-$O388,0)+IF(AND($K389=BY$3,$C389="L"),-$O389,0)+IF(AND($K390=BY$3,$C390="L"),-$O390,0),IF(OR(AND($K388=BY$3,OR($C388="W",$C388="1/2W")),AND($K389=BY$3,OR($C389="W",$C389="1/2W")),AND($K390=BY$3,OR($C390="W",$C390="1/2W"))),$S388,0))</f>
        <v>0</v>
      </c>
      <c r="BZ388" s="136">
        <f>IF($B388="LOSS",IF(AND($K388=BZ$3,$C388="L"),-$O388,0)+IF(AND($K389=BZ$3,$C389="L"),-$O389,0)+IF(AND($K390=BZ$3,$C390="L"),-$O390,0),IF(OR(AND($K388=BZ$3,OR($C388="W",$C388="1/2W")),AND($K389=BZ$3,OR($C389="W",$C389="1/2W")),AND($K390=BZ$3,OR($C390="W",$C390="1/2W"))),$S388,0))</f>
        <v>0</v>
      </c>
      <c r="CA388" s="136">
        <f>IF($B388="LOSS",IF(AND($K388=CA$3,$C388="L"),-$O388,0)+IF(AND($K389=CA$3,$C389="L"),-$O389,0)+IF(AND($K390=CA$3,$C390="L"),-$O390,0),IF(OR(AND($K388=CA$3,OR($C388="W",$C388="1/2W")),AND($K389=CA$3,OR($C389="W",$C389="1/2W")),AND($K390=CA$3,OR($C390="W",$C390="1/2W"))),$S388,0))</f>
        <v>0</v>
      </c>
      <c r="CB388" s="136">
        <f>IF($B388="LOSS",IF(AND($K388=CB$3,$C388="L"),-$O388,0)+IF(AND($K389=CB$3,$C389="L"),-$O389,0)+IF(AND($K390=CB$3,$C390="L"),-$O390,0),IF(OR(AND($K388=CB$3,OR($C388="W",$C388="1/2W")),AND($K389=CB$3,OR($C389="W",$C389="1/2W")),AND($K390=CB$3,OR($C390="W",$C390="1/2W"))),$S388,0))</f>
        <v>0</v>
      </c>
      <c r="CC388" s="136">
        <f>IF($B388="LOSS",IF(AND($K388=CC$3,$C388="L"),-$O388,0)+IF(AND($K389=CC$3,$C389="L"),-$O389,0)+IF(AND($K390=CC$3,$C390="L"),-$O390,0),IF(OR(AND($K388=CC$3,OR($C388="W",$C388="1/2W")),AND($K389=CC$3,OR($C389="W",$C389="1/2W")),AND($K390=CC$3,OR($C390="W",$C390="1/2W"))),$S388,0))</f>
        <v>0</v>
      </c>
      <c r="CD388" s="137">
        <f>IF($B388="LOSS",IF(AND($K388=CD$3,$C388="L"),-$O388,0)+IF(AND($K389=CD$3,$C389="L"),-$O389,0)+IF(AND($K390=CD$3,$C390="L"),-$O390,0),IF(OR(AND($K388=CD$3,OR($C388="W",$C388="1/2W")),AND($K389=CD$3,OR($C389="W",$C389="1/2W")),AND($K390=CD$3,OR($C390="W",$C390="1/2W"))),$S388,0))</f>
        <v>1.11</v>
      </c>
      <c r="CE388" s="134">
        <f>IF($B388="LOSS",IF(AND($K388=CE$3,$C388="L"),-$O388,0)+IF(AND($K389=CE$3,$C389="L"),-$O389,0)+IF(AND($K390=CE$3,$C390="L"),-$O390,0),IF(OR(AND($K388=CE$3,OR($C388="W",$C388="1/2W")),AND($K389=CE$3,OR($C389="W",$C389="1/2W")),AND($K390=CE$3,OR($C390="W",$C390="1/2W"))),$S388,0))</f>
        <v>0</v>
      </c>
      <c r="CF388" s="273">
        <f>IF(CF$3=$K388,IF($C388="W",1,IF($C388="1/2W",0.5,0)),0)</f>
        <v>0</v>
      </c>
      <c r="CG388" s="274">
        <f>IF(CF$3=$K388,IF($C388="L",1,IF($C388="1/2L",0.5,0)),0)</f>
        <v>0</v>
      </c>
      <c r="CH388" s="274">
        <f>IF(CH$3=$K388,IF($C388="W",1,IF($C388="1/2W",0.5,0)),0)</f>
        <v>0</v>
      </c>
      <c r="CI388" s="274">
        <f>IF(CH$3=$K388,IF($C388="L",1,IF($C388="1/2L",0.5,0)),0)</f>
        <v>0</v>
      </c>
      <c r="CJ388" s="274">
        <f>IF(CJ$3=$K388,IF($C388="W",1,IF($C388="1/2W",0.5,0)),0)</f>
        <v>0</v>
      </c>
      <c r="CK388" s="274">
        <f>IF(CJ$3=$K388,IF($C388="L",1,IF($C388="1/2L",0.5,0)),0)</f>
        <v>0</v>
      </c>
      <c r="CL388" s="274">
        <f>IF(CL$3=$K388,IF($C388="W",1,IF($C388="1/2W",0.5,0)),0)</f>
        <v>0</v>
      </c>
      <c r="CM388" s="274">
        <f>IF(CL$3=$K388,IF($C388="L",1,IF($C388="1/2L",0.5,0)),0)</f>
        <v>0</v>
      </c>
      <c r="CN388" s="274">
        <f>IF(CN$3=$K388,IF($C388="W",1,IF($C388="1/2W",0.5,0)),0)</f>
        <v>0</v>
      </c>
      <c r="CO388" s="274">
        <f>IF(CN$3=$K388,IF($C388="L",1,IF($C388="1/2L",0.5,0)),0)</f>
        <v>0</v>
      </c>
      <c r="CP388" s="274">
        <f>IF(CP$3=$K388,IF($C388="W",1,IF($C388="1/2W",0.5,0)),0)</f>
        <v>0</v>
      </c>
      <c r="CQ388" s="274">
        <f>IF(CP$3=$K388,IF($C388="L",1,IF($C388="1/2L",0.5,0)),0)</f>
        <v>0</v>
      </c>
      <c r="CR388" s="274">
        <f>IF(CR$3=$K388,IF($C388="W",1,IF($C388="1/2W",0.5,0)),0)</f>
        <v>0</v>
      </c>
      <c r="CS388" s="274">
        <f>IF(CR$3=$K388,IF($C388="L",1,IF($C388="1/2L",0.5,0)),0)</f>
        <v>0</v>
      </c>
      <c r="CT388" s="145">
        <f>IF(CT$3=$K388,IF($C388="W",1,IF($C388="1/2W",0.5,0)),0)</f>
        <v>0</v>
      </c>
      <c r="CU388" s="146">
        <f>IF(CT$3=$K388,IF($C388="L",1,IF($C388="1/2L",0.5,0)),0)</f>
        <v>0</v>
      </c>
      <c r="CV388" s="146">
        <f>IF(CV$3=$K388,IF($C388="W",1,IF($C388="1/2W",0.5,0)),0)</f>
        <v>0</v>
      </c>
      <c r="CW388" s="146">
        <f>IF(CV$3=$K388,IF($C388="L",1,IF($C388="1/2L",0.5,0)),0)</f>
        <v>0</v>
      </c>
      <c r="CX388" s="146">
        <f>IF(CX$3=$K388,IF($C388="W",1,IF($C388="1/2W",0.5,0)),0)</f>
        <v>0</v>
      </c>
      <c r="CY388" s="146">
        <f>IF(CX$3=$K388,IF($C388="L",1,IF($C388="1/2L",0.5,0)),0)</f>
        <v>0</v>
      </c>
      <c r="CZ388" s="146">
        <f>IF(CZ$3=$K388,IF($C388="W",1,IF($C388="1/2W",0.5,0)),0)</f>
        <v>0</v>
      </c>
      <c r="DA388" s="146">
        <f>IF(CZ$3=$K388,IF($C388="L",1,IF($C388="1/2L",0.5,0)),0)</f>
        <v>0</v>
      </c>
      <c r="DB388" s="146">
        <f>IF(DB$3=$K388,IF($C388="W",1,IF($C388="1/2W",0.5,0)),0)</f>
        <v>1</v>
      </c>
      <c r="DC388" s="146">
        <f>IF(DB$3=$K388,IF($C388="L",1,IF($C388="1/2L",0.5,0)),0)</f>
        <v>0</v>
      </c>
      <c r="DD388" s="146">
        <f>IF(DD$3=$K388,IF($C388="W",1,IF($C388="1/2W",0.5,0)),0)</f>
        <v>0</v>
      </c>
      <c r="DE388" s="147">
        <f>IF(DD$3=$K388,IF($C388="L",1,IF($C388="1/2L",0.5,0)),0)</f>
        <v>0</v>
      </c>
      <c r="DF388" s="143">
        <f>IF(AND(L388&lt;DF$3,$C388="W"),1+DF387,DF387)</f>
        <v>12</v>
      </c>
      <c r="DG388" s="133">
        <f>IF(DF388&gt;DF387,L388+DG387,DG387)</f>
        <v>15.718</v>
      </c>
      <c r="DH388" s="146">
        <f>IF(AND(L388&gt;DH$3,$C388="W"),1+DH387,0+DH387)</f>
        <v>9</v>
      </c>
      <c r="DI388" s="133">
        <f>IF(DH388&gt;DH387,L388+DI387,DI387)</f>
        <v>49.83</v>
      </c>
      <c r="DJ388" t="s" s="304">
        <f>IF($D388="","",$D388)</f>
        <v>307</v>
      </c>
      <c r="DK388" s="146">
        <f>IF(AND($B388=" ",$D388&lt;&gt;""),1,0)</f>
        <v>0</v>
      </c>
    </row>
    <row r="389" ht="14.55" customHeight="1">
      <c r="A389" s="107"/>
      <c r="B389" s="108"/>
      <c r="C389" t="s" s="109">
        <v>51</v>
      </c>
      <c r="D389" s="110"/>
      <c r="E389" s="111"/>
      <c r="F389" s="113"/>
      <c r="G389" s="252"/>
      <c r="H389" s="114"/>
      <c r="I389" t="s" s="275">
        <v>67</v>
      </c>
      <c r="J389" s="276">
        <f>IF(OR(I388="TO",I388="TU",I388="TO1",I388="TU1",I388="TO2",I388="TU2"),J388,IF(OR(I388="AH1",I388="AH2"),IF(OR(I389="AH1",I389="AH2"),-J388,IF(OR(I389="EH1",I389="EH2"),-J388+0.5,"")),IF(OR(I388="EH1",I388="EH2"),IF(OR(I389="AH1",I389="AH2"),-J388+0.5,IF(OR(I389="EH1",I389="EH2"),-J388+1,"")),IF(AND(OR(I388="DNB1",I388="DNB2"),OR(I389="AH1",I389="AH2")),0,IF(AND(I388="Not ScoreBoth",OR(I389="TO1",I389="TO2")),0.5,"")))))</f>
        <v>1</v>
      </c>
      <c r="K389" t="s" s="117">
        <v>41</v>
      </c>
      <c r="L389" s="277">
        <v>2.31</v>
      </c>
      <c r="M389" s="278"/>
      <c r="N389" s="120"/>
      <c r="O389" s="121">
        <f>IF(OR(AE388="",AE389=""),"",ROUND(IF(L390&gt;0,IF(M389&gt;0,M389,IF(M388&gt;0,IF(N388=TRUE,ROUND((M388*AE389)/AE388,0),(M388*AE389)/AE388),IF(M389&gt;0,ROUND(M389,IF(N388=0,2,IF(N388=0.1,1,0))),IF(M390&gt;0,ROUND(O390*AE389/AE390,IF(N388=0,2,IF(N388=0.1,1,0))),0)))),IF(M389&gt;0,M389,ROUND((M388*AE389)/AE388,IF(N388=0,2,IF(N388=0.1,1,0))))),2))</f>
        <v>12.1</v>
      </c>
      <c r="P389" s="122">
        <f>IF(OR(L389="",O389=""),"",IF($C389="1/2W",O389/2+O389/2*L389,IF($C389="1/2L",O389/2,IF(I389="Lay",((O389*(L389/(L389-1)))-O389)*(1-_xlfn.XLOOKUP(K389,'Janeiro 2023 - Valor Real'!A3:A15,'Janeiro 2023 - Valor Real'!C3:C15,0))+O389,(O389*L389-O389)*(1-_xlfn.XLOOKUP(K389,'Janeiro 2023 - Valor Real'!A3:A15,'Janeiro 2023 - Valor Real'!C3:C15,0))+O389))))</f>
        <v>27.951</v>
      </c>
      <c r="Q389" s="279">
        <f>IF(K389="","",IF(_xlfn.XLOOKUP(K389,K$120:K168,DJ$120:DJ168,0,,-1)=DJ389,_xlfn.XLOOKUP(K389,K$120:K168,Q$120:Q168,1,,-1)+1,1))</f>
        <v>1</v>
      </c>
      <c r="R389" s="280">
        <f>IF(K389="","",_xlfn.XLOOKUP(K389,K$120:K168,R$120:R168,0,,-1)+IF($C389=" ",1,0))</f>
        <v>0</v>
      </c>
      <c r="S389" s="125"/>
      <c r="T389" s="126"/>
      <c r="U389" s="126"/>
      <c r="V389" s="224"/>
      <c r="W389" s="126"/>
      <c r="X389" s="127"/>
      <c r="Y389" s="128"/>
      <c r="Z389" s="129"/>
      <c r="AA389" s="129"/>
      <c r="AB389" s="129"/>
      <c r="AC389" s="129"/>
      <c r="AD389" s="130"/>
      <c r="AE389" s="131">
        <f>IF(L389="","",IF(L390&gt;0,(SUM(((L388-1)*(1-_xlfn.XLOOKUP(K388,'Janeiro 2023 - Valor Real'!A3:A15,'Janeiro 2023 - Valor Real'!C3:C15,0))+1),((L389-1)*(1-_xlfn.XLOOKUP(K389,'Janeiro 2023 - Valor Real'!A3:A15,'Janeiro 2023 - Valor Real'!C3:C15,0))+1),((L390-1)*(1-_xlfn.XLOOKUP(K390,'Janeiro 2023 - Valor Real'!A3:A15,'Janeiro 2023 - Valor Real'!C3:C15,0))+1))/((L389-1)*(1-_xlfn.XLOOKUP(K389,'Janeiro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Real'!C3:C15,0))+1))/((L388-1)*(1-_xlfn.XLOOKUP(K388,'Janeiro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Real'!C3:C15,0))+1))/((L389-1)*(1-_xlfn.XLOOKUP(K389,'Janeiro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Real'!C3:C15,0))+1))/((L390-1)*(1-_xlfn.XLOOKUP(K390,'Janeiro 2023 - Valor Real'!A3:A15,'Janeiro 2023 - Valor Real'!C3:C15,0))+1)),IF(I389="Lay",IF(I388="Lay",((L388/(L388-1)-1)*(1-_xlfn.XLOOKUP(K388,'Janeiro 2023 - Valor Real'!A3:A15,'Janeiro 2023 - Valor Real'!C3:C15,0))+1)/(((L388/(L388-1)-1)*(1-_xlfn.XLOOKUP(K388,'Janeiro 2023 - Valor Real'!A3:A15,'Janeiro 2023 - Valor Real'!C3:C15,0))+1)+((L389/(L389-1)-1)*(1-_xlfn.XLOOKUP(K389,'Janeiro 2023 - Valor Real'!A3:A15,'Janeiro 2023 - Valor Real'!C3:C15,0))+1)),((L388-1)*(1-_xlfn.XLOOKUP(K388,'Janeiro 2023 - Valor Real'!A3:A15,'Janeiro 2023 - Valor Real'!C3:C15,0))+1)/(((L388-1)*(1-_xlfn.XLOOKUP(K388,'Janeiro 2023 - Valor Real'!A3:A15,'Janeiro 2023 - Valor Real'!C3:C15,0))+1)+((L389/(L389-1)-1)*(1-_xlfn.XLOOKUP(K389,'Janeiro 2023 - Valor Real'!A3:A15,'Janeiro 2023 - Valor Real'!C3:C15,0))+1))),IF(I388="Lay",((L388/(L388-1)-1)*(1-_xlfn.XLOOKUP(K388,'Janeiro 2023 - Valor Real'!A3:A15,'Janeiro 2023 - Valor Real'!C3:C15,0))+1)/((((L388/(L388-1)-1)*(1-_xlfn.XLOOKUP(K388,'Janeiro 2023 - Valor Real'!A3:A15,'Janeiro 2023 - Valor Real'!C3:C15,0))+1))+((L389-1)*(1-_xlfn.XLOOKUP(K389,'Janeiro 2023 - Valor Real'!A3:A15,'Janeiro 2023 - Valor Real'!C3:C15,0))+1)),((L388-1)*(1-_xlfn.XLOOKUP(K388,'Janeiro 2023 - Valor Real'!A3:A15,'Janeiro 2023 - Valor Real'!C3:C15,0))+1)/(((L388-1)*(1-_xlfn.XLOOKUP(K388,'Janeiro 2023 - Valor Real'!A3:A15,'Janeiro 2023 - Valor Real'!C3:C15,0))+1)+((L389-1)*(1-_xlfn.XLOOKUP(K389,'Janeiro 2023 - Valor Real'!A3:A15,'Janeiro 2023 - Valor Real'!C3:C15,0))+1))))))</f>
        <v>0.451306413301663</v>
      </c>
      <c r="AF389" s="132">
        <f>IF($K389=AF$3,ROUND(IF(OR($C389="W",$C389="1/2W",$C389="1/2L"),$P389-$O389,IF($C389="X",0,-$O389)),2),0)</f>
        <v>0</v>
      </c>
      <c r="AG389" s="133">
        <f>IF($K389=AG$3,ROUND(IF(OR($C389="W",$C389="1/2W",$C389="1/2L"),$P389-$O389,IF($C389="X",0,-$O389)),2),0)</f>
        <v>0</v>
      </c>
      <c r="AH389" s="133">
        <f>IF($K389=AH$3,ROUND(IF(OR($C389="W",$C389="1/2W",$C389="1/2L"),$P389-$O389,IF($C389="X",0,-$O389)),2),0)</f>
        <v>0</v>
      </c>
      <c r="AI389" s="133">
        <f>IF($K389=AI$3,ROUND(IF(OR($C389="W",$C389="1/2W",$C389="1/2L"),$P389-$O389,IF($C389="X",0,-$O389)),2),0)</f>
        <v>0</v>
      </c>
      <c r="AJ389" s="133">
        <f>IF($K389=AJ$3,ROUND(IF(OR($C389="W",$C389="1/2W",$C389="1/2L"),$P389-$O389,IF($C389="X",0,-$O389)),2),0)</f>
        <v>-12.1</v>
      </c>
      <c r="AK389" s="133">
        <f>IF($K389=AK$3,ROUND(IF(OR($C389="W",$C389="1/2W",$C389="1/2L"),$P389-$O389,IF($C389="X",0,-$O389)),2),0)</f>
        <v>0</v>
      </c>
      <c r="AL389" s="133">
        <f>IF($K389=AL$3,ROUND(IF(OR($C389="W",$C389="1/2W",$C389="1/2L"),$P389-$O389,IF($C389="X",0,-$O389)),2),0)</f>
        <v>0</v>
      </c>
      <c r="AM389" s="133">
        <f>IF($K389=AM$3,ROUND(IF(OR($C389="W",$C389="1/2W",$C389="1/2L"),$P389-$O389,IF($C389="X",0,-$O389)),2),0)</f>
        <v>0</v>
      </c>
      <c r="AN389" s="133">
        <f>IF($K389=AN$3,ROUND(IF(OR($C389="W",$C389="1/2W",$C389="1/2L"),$P389-$O389,IF($C389="X",0,-$O389)),2),0)</f>
        <v>0</v>
      </c>
      <c r="AO389" s="133">
        <f>IF($K389=AO$3,ROUND(IF(OR($C389="W",$C389="1/2W",$C389="1/2L"),$P389-$O389,IF($C389="X",0,-$O389)),2),0)</f>
        <v>0</v>
      </c>
      <c r="AP389" s="133">
        <f>IF($K389=AP$3,ROUND(IF(OR($C389="W",$C389="1/2W",$C389="1/2L"),$P389-$O389,IF($C389="X",0,-$O389)),2),0)</f>
        <v>0</v>
      </c>
      <c r="AQ389" s="133">
        <f>IF($K389=AQ$3,ROUND(IF(OR($C389="W",$C389="1/2W",$C389="1/2L"),$P389-$O389,IF($C389="X",0,-$O389)),2),0)</f>
        <v>0</v>
      </c>
      <c r="AR389" s="134">
        <f>IF($K389=AR$3,ROUND(IF(OR($C389="W",$C389="1/2W",$C389="1/2L"),$P389-$O389,IF($C389="X",0,-$O389)),2),0)</f>
        <v>0</v>
      </c>
      <c r="AS389" s="132">
        <f>IF(AND($B388=" ",$K389=AS$3),$O389,0)</f>
        <v>0</v>
      </c>
      <c r="AT389" s="133">
        <f>IF(AND($B388=" ",K389=AT$3),$O389,0)</f>
        <v>0</v>
      </c>
      <c r="AU389" s="133">
        <f>IF(AND($B388=" ",$K389=AU$3),$O389,0)</f>
        <v>0</v>
      </c>
      <c r="AV389" s="133">
        <f>IF(AND($B388=" ",$K389=AV$3),$O389,0)</f>
        <v>0</v>
      </c>
      <c r="AW389" s="133">
        <f>IF(AND($B388=" ",$K389=AW$3),$O389,0)</f>
        <v>0</v>
      </c>
      <c r="AX389" s="133">
        <f>IF(AND($B388=" ",$K389=AX$3),$O389,0)</f>
        <v>0</v>
      </c>
      <c r="AY389" s="135">
        <f>IF(AND($B388=" ",$K389=AY$3),$O389,0)</f>
        <v>0</v>
      </c>
      <c r="AZ389" s="136">
        <f>IF(AND($B388=" ",$K389=AZ$3),$O389,0)</f>
        <v>0</v>
      </c>
      <c r="BA389" s="136">
        <f>IF(AND($B388=" ",$K389=BA$3),$O389,0)</f>
        <v>0</v>
      </c>
      <c r="BB389" s="136">
        <f>IF(AND($B388=" ",$K389=BB$3),$O389,0)</f>
        <v>0</v>
      </c>
      <c r="BC389" s="137">
        <f>IF(AND($B388=" ",$K389=BC$3),$O389,0)</f>
        <v>0</v>
      </c>
      <c r="BD389" s="133">
        <f>IF(AND($B388=" ",$K389=BD$3),$O389,0)</f>
        <v>0</v>
      </c>
      <c r="BE389" s="134">
        <f>IF(AND($B388=" ",$K389=BE$3),$O389,0)</f>
        <v>0</v>
      </c>
      <c r="BF389" s="132">
        <f>IF($K389=BF$3,IF($C389="X",0,$O389),0)</f>
        <v>0</v>
      </c>
      <c r="BG389" s="281">
        <f>IF($K389=BG$3,IF($C389="X",0,$O389),0)</f>
        <v>0</v>
      </c>
      <c r="BH389" s="133">
        <f>IF($K389=BH$3,IF($C389="X",0,$O389),0)</f>
        <v>0</v>
      </c>
      <c r="BI389" s="133">
        <f>IF($K389=BI$3,IF($C389="X",0,$O389),0)</f>
        <v>0</v>
      </c>
      <c r="BJ389" s="133">
        <f>IF($K389=BJ$3,IF($C389="X",0,$O389),0)</f>
        <v>12.1</v>
      </c>
      <c r="BK389" s="133">
        <f>IF($K389=BK$3,IF($C389="X",0,$O389),0)</f>
        <v>0</v>
      </c>
      <c r="BL389" s="133">
        <f>IF($K389=BL$3,IF($C389="X",0,$O389),0)</f>
        <v>0</v>
      </c>
      <c r="BM389" s="135">
        <f>IF($K389=BM$3,IF($C389="X",0,$O389),0)</f>
        <v>0</v>
      </c>
      <c r="BN389" s="136">
        <f>IF($K389=BN$3,IF($C389="X",0,$O389),0)</f>
        <v>0</v>
      </c>
      <c r="BO389" s="136">
        <f>IF($K389=BO$3,IF($C389="X",0,$O389),0)</f>
        <v>0</v>
      </c>
      <c r="BP389" s="136">
        <f>IF($K389=BP$3,IF($C389="X",0,$O389),0)</f>
        <v>0</v>
      </c>
      <c r="BQ389" s="137">
        <f>IF($K389=BQ$3,IF($C389="X",0,$O389),0)</f>
        <v>0</v>
      </c>
      <c r="BR389" s="134">
        <f>IF($K389=BR$3,IF($C389="X",0,$O389),0)</f>
        <v>0</v>
      </c>
      <c r="BS389" s="282"/>
      <c r="BT389" s="283"/>
      <c r="BU389" s="140"/>
      <c r="BV389" s="283"/>
      <c r="BW389" s="140"/>
      <c r="BX389" s="140"/>
      <c r="BY389" s="140"/>
      <c r="BZ389" s="283"/>
      <c r="CA389" s="140"/>
      <c r="CB389" s="140"/>
      <c r="CC389" s="140"/>
      <c r="CD389" s="141"/>
      <c r="CE389" s="142"/>
      <c r="CF389" s="284">
        <f>IF(CF$3=$K389,IF($C389="W",1,IF($C389="1/2W",0.5,0)),0)</f>
        <v>0</v>
      </c>
      <c r="CG389" s="285">
        <f>IF(CF$3=$K389,IF($C389="L",1,IF($C389="1/2L",0.5,0)),0)</f>
        <v>0</v>
      </c>
      <c r="CH389" s="285">
        <f>IF(CH$3=$K389,IF($C389="W",1,IF($C389="1/2W",0.5,0)),0)</f>
        <v>0</v>
      </c>
      <c r="CI389" s="285">
        <f>IF(CH$3=$K389,IF($C389="L",1,IF($C389="1/2L",0.5,0)),0)</f>
        <v>0</v>
      </c>
      <c r="CJ389" s="285">
        <f>IF(CJ$3=$K389,IF($C389="W",1,IF($C389="1/2W",0.5,0)),0)</f>
        <v>0</v>
      </c>
      <c r="CK389" s="285">
        <f>IF(CJ$3=$K389,IF($C389="L",1,IF($C389="1/2L",0.5,0)),0)</f>
        <v>0</v>
      </c>
      <c r="CL389" s="285">
        <f>IF(CL$3=$K389,IF($C389="W",1,IF($C389="1/2W",0.5,0)),0)</f>
        <v>0</v>
      </c>
      <c r="CM389" s="285">
        <f>IF(CL$3=$K389,IF($C389="L",1,IF($C389="1/2L",0.5,0)),0)</f>
        <v>0</v>
      </c>
      <c r="CN389" s="285">
        <f>IF(CN$3=$K389,IF($C389="W",1,IF($C389="1/2W",0.5,0)),0)</f>
        <v>0</v>
      </c>
      <c r="CO389" s="285">
        <f>IF(CN$3=$K389,IF($C389="L",1,IF($C389="1/2L",0.5,0)),0)</f>
        <v>1</v>
      </c>
      <c r="CP389" s="285">
        <f>IF(CP$3=$K389,IF($C389="W",1,IF($C389="1/2W",0.5,0)),0)</f>
        <v>0</v>
      </c>
      <c r="CQ389" s="285">
        <f>IF(CP$3=$K389,IF($C389="L",1,IF($C389="1/2L",0.5,0)),0)</f>
        <v>0</v>
      </c>
      <c r="CR389" s="285">
        <f>IF(CR$3=$K389,IF($C389="W",1,IF($C389="1/2W",0.5,0)),0)</f>
        <v>0</v>
      </c>
      <c r="CS389" s="285">
        <f>IF(CR$3=$K389,IF($C389="L",1,IF($C389="1/2L",0.5,0)),0)</f>
        <v>0</v>
      </c>
      <c r="CT389" s="145">
        <f>IF(CT$3=$K389,IF($C389="W",1,IF($C389="1/2W",0.5,0)),0)</f>
        <v>0</v>
      </c>
      <c r="CU389" s="146">
        <f>IF(CT$3=$K389,IF($C389="L",1,IF($C389="1/2L",0.5,0)),0)</f>
        <v>0</v>
      </c>
      <c r="CV389" s="146">
        <f>IF(CV$3=$K389,IF($C389="W",1,IF($C389="1/2W",0.5,0)),0)</f>
        <v>0</v>
      </c>
      <c r="CW389" s="146">
        <f>IF(CV$3=$K389,IF($C389="L",1,IF($C389="1/2L",0.5,0)),0)</f>
        <v>0</v>
      </c>
      <c r="CX389" s="146">
        <f>IF(CX$3=$K389,IF($C389="W",1,IF($C389="1/2W",0.5,0)),0)</f>
        <v>0</v>
      </c>
      <c r="CY389" s="146">
        <f>IF(CX$3=$K389,IF($C389="L",1,IF($C389="1/2L",0.5,0)),0)</f>
        <v>0</v>
      </c>
      <c r="CZ389" s="146">
        <f>IF(CZ$3=$K389,IF($C389="W",1,IF($C389="1/2W",0.5,0)),0)</f>
        <v>0</v>
      </c>
      <c r="DA389" s="146">
        <f>IF(CZ$3=$K389,IF($C389="L",1,IF($C389="1/2L",0.5,0)),0)</f>
        <v>0</v>
      </c>
      <c r="DB389" s="146">
        <f>IF(DB$3=$K389,IF($C389="W",1,IF($C389="1/2W",0.5,0)),0)</f>
        <v>0</v>
      </c>
      <c r="DC389" s="146">
        <f>IF(DB$3=$K389,IF($C389="L",1,IF($C389="1/2L",0.5,0)),0)</f>
        <v>0</v>
      </c>
      <c r="DD389" s="146">
        <f>IF(DD$3=$K389,IF($C389="W",1,IF($C389="1/2W",0.5,0)),0)</f>
        <v>0</v>
      </c>
      <c r="DE389" s="147">
        <f>IF(DD$3=$K389,IF($C389="L",1,IF($C389="1/2L",0.5,0)),0)</f>
        <v>0</v>
      </c>
      <c r="DF389" s="143">
        <f>IF(AND(L389&lt;DF$3,$C389="W"),1+DF388,DF388)</f>
        <v>12</v>
      </c>
      <c r="DG389" s="133">
        <f>IF(DF389&gt;DF388,L389+DG388,DG388)</f>
        <v>15.718</v>
      </c>
      <c r="DH389" s="146">
        <f>IF(AND(L389&gt;DH$3,$C389="W"),1+DH388,0+DH388)</f>
        <v>9</v>
      </c>
      <c r="DI389" s="133">
        <f>IF(DH389&gt;DH388,L389+DI388,DI388)</f>
        <v>49.83</v>
      </c>
      <c r="DJ389" t="s" s="304">
        <f>IF($D388="","",$D388)</f>
        <v>307</v>
      </c>
      <c r="DK389" s="286"/>
    </row>
    <row r="390" ht="14.55" customHeight="1">
      <c r="A390" s="149"/>
      <c r="B390" s="150"/>
      <c r="C390" t="s" s="151">
        <v>58</v>
      </c>
      <c r="D390" s="152"/>
      <c r="E390" s="153"/>
      <c r="F390" s="155"/>
      <c r="G390" s="252"/>
      <c r="H390" s="156"/>
      <c r="I390" s="287"/>
      <c r="J390" s="288"/>
      <c r="K390" s="156"/>
      <c r="L390" s="289"/>
      <c r="M390" s="290"/>
      <c r="N390" s="161"/>
      <c r="O390" t="s" s="162">
        <f>IF(OR(AE388="",AE389=""),"",IF(L390&gt;0,ROUND(IF(M390&gt;0,M390,IF(M388&gt;0,ROUND((M388*AE390)/AE388,IF(N388=0,2,IF(N388=0.1,1,0))),IF(M389&gt;0,ROUND((M389*AE390)/AE389,IF(N388=0,2,IF(N388=0.1,1,0))),IF(M390&gt;0,M390,0)))),2),""))</f>
      </c>
      <c r="P390" t="s" s="163">
        <f>IF(I389="Lay",O389*(L389/(L389-1))-O389,IF(I388="Lay",O388*(L388/(L388-1))-O388,IF(OR(L390="",O390=""),"",IF($C390="1/2W",O390/2+O390/2*L390,IF($C390="1/2L",O390/2,(O390*L390-O390)*(1-_xlfn.XLOOKUP(K390,'Janeiro 2023 - Valor Real'!A3:A15,'Janeiro 2023 - Valor Real'!C3:C15,0))+O390)))))</f>
      </c>
      <c r="Q390" t="s" s="154">
        <f>IF(K390="","",IF(_xlfn.XLOOKUP(K390,K$121:K169,DJ$121:DJ169,0,,-1)=DJ390,_xlfn.XLOOKUP(K390,K$121:K169,Q$121:Q169,1,,-1)+1,1))</f>
      </c>
      <c r="R390" t="s" s="163">
        <f>IF(K390="","",_xlfn.XLOOKUP(K390,K$121:K169,R$121:R169,0,,-1)+IF($C390=" ",1,0))</f>
      </c>
      <c r="S390" s="166"/>
      <c r="T390" s="155"/>
      <c r="U390" s="155"/>
      <c r="V390" s="166"/>
      <c r="W390" s="155"/>
      <c r="X390" s="167"/>
      <c r="Y390" s="128"/>
      <c r="Z390" s="129"/>
      <c r="AA390" s="129"/>
      <c r="AB390" s="129"/>
      <c r="AC390" s="129"/>
      <c r="AD390" s="168"/>
      <c r="AE390" t="s" s="169">
        <f>IF(L390="","",(SUM(((L388-1)*(1-_xlfn.XLOOKUP(K388,'Janeiro 2023 - Valor Real'!A3:A15,'Janeiro 2023 - Valor Real'!C3:C15,0))+1),((L389-1)*(1-_xlfn.XLOOKUP(K389,'Janeiro 2023 - Valor Real'!A3:A15,'Janeiro 2023 - Valor Real'!C3:C15,0))+1),((L390-1)*(1-_xlfn.XLOOKUP(K390,'Janeiro 2023 - Valor Real'!A3:A15,'Janeiro 2023 - Valor Real'!C3:C15,0))+1))/((L390-1)*(1-_xlfn.XLOOKUP(K390,'Janeiro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Real'!C3:C15,0))+1))/((L388-1)*(1-_xlfn.XLOOKUP(K388,'Janeiro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Real'!C3:C15,0))+1))/((L389-1)*(1-_xlfn.XLOOKUP(K389,'Janeiro 2023 - Valor Real'!A3:A15,'Janeiro 2023 - Valor Real'!C3:C15,0))+1)+SUM(((L388-1)*(1-_xlfn.XLOOKUP(K388,'Janeiro 2023 - Valor Real'!A3:A15,'Janeiro 2023 - Valor Real'!C3:C15,0))+1),((L389-1)*(1-_xlfn.XLOOKUP(K389,'Janeiro 2023 - Valor Real'!A3:A15,'Janeiro 2023 - Valor Real'!C3:C15,0))+1),((L390-1)*(1-_xlfn.XLOOKUP(K390,'Janeiro 2023 - Valor Real'!A3:A15,'Janeiro 2023 - Valor Real'!C3:C15,0))+1))/((L390-1)*(1-_xlfn.XLOOKUP(K390,'Janeiro 2023 - Valor Real'!A3:A15,'Janeiro 2023 - Valor Real'!C3:C15,0))+1)))</f>
      </c>
      <c r="AF390" s="132">
        <f>IF($K390=AF$3,ROUND(IF(OR($C390="W",$C390="1/2W",$C390="1/2L"),$P390-$O390,IF($C390="X",0,-$O390)),2),0)</f>
        <v>0</v>
      </c>
      <c r="AG390" s="133">
        <f>IF($K390=AG$3,ROUND(IF(OR($C390="W",$C390="1/2W",$C390="1/2L"),$P390-$O390,IF($C390="X",0,-$O390)),2),0)</f>
        <v>0</v>
      </c>
      <c r="AH390" s="133">
        <f>IF($K390=AH$3,ROUND(IF(OR($C390="W",$C390="1/2W",$C390="1/2L"),$P390-$O390,IF($C390="X",0,-$O390)),2),0)</f>
        <v>0</v>
      </c>
      <c r="AI390" s="133">
        <f>IF($K390=AI$3,ROUND(IF(OR($C390="W",$C390="1/2W",$C390="1/2L"),$P390-$O390,IF($C390="X",0,-$O390)),2),0)</f>
        <v>0</v>
      </c>
      <c r="AJ390" s="133">
        <f>IF($K390=AJ$3,ROUND(IF(OR($C390="W",$C390="1/2W",$C390="1/2L"),$P390-$O390,IF($C390="X",0,-$O390)),2),0)</f>
        <v>0</v>
      </c>
      <c r="AK390" s="133">
        <f>IF($K390=AK$3,ROUND(IF(OR($C390="W",$C390="1/2W",$C390="1/2L"),$P390-$O390,IF($C390="X",0,-$O390)),2),0)</f>
        <v>0</v>
      </c>
      <c r="AL390" s="133">
        <f>IF($K390=AL$3,ROUND(IF(OR($C390="W",$C390="1/2W",$C390="1/2L"),$P390-$O390,IF($C390="X",0,-$O390)),2),0)</f>
        <v>0</v>
      </c>
      <c r="AM390" s="133">
        <f>IF($K390=AM$3,ROUND(IF(OR($C390="W",$C390="1/2W",$C390="1/2L"),$P390-$O390,IF($C390="X",0,-$O390)),2),0)</f>
        <v>0</v>
      </c>
      <c r="AN390" s="133">
        <f>IF($K390=AN$3,ROUND(IF(OR($C390="W",$C390="1/2W",$C390="1/2L"),$P390-$O390,IF($C390="X",0,-$O390)),2),0)</f>
        <v>0</v>
      </c>
      <c r="AO390" s="133">
        <f>IF($K390=AO$3,ROUND(IF(OR($C390="W",$C390="1/2W",$C390="1/2L"),$P390-$O390,IF($C390="X",0,-$O390)),2),0)</f>
        <v>0</v>
      </c>
      <c r="AP390" s="133">
        <f>IF($K390=AP$3,ROUND(IF(OR($C390="W",$C390="1/2W",$C390="1/2L"),$P390-$O390,IF($C390="X",0,-$O390)),2),0)</f>
        <v>0</v>
      </c>
      <c r="AQ390" s="133">
        <f>IF($K390=AQ$3,ROUND(IF(OR($C390="W",$C390="1/2W",$C390="1/2L"),$P390-$O390,IF($C390="X",0,-$O390)),2),0)</f>
        <v>0</v>
      </c>
      <c r="AR390" s="134">
        <f>IF($K390=AR$3,ROUND(IF(OR($C390="W",$C390="1/2W",$C390="1/2L"),$P390-$O390,IF($C390="X",0,-$O390)),2),0)</f>
        <v>0</v>
      </c>
      <c r="AS390" s="132">
        <f>IF(AND($B388=" ",$K390=AS$3),$O390,0)</f>
        <v>0</v>
      </c>
      <c r="AT390" s="133">
        <f>IF(AND($B388=" ",K390=AT$3),$O390,0)</f>
        <v>0</v>
      </c>
      <c r="AU390" s="133">
        <f>IF(AND($B388=" ",$K390=AU$3),$O390,0)</f>
        <v>0</v>
      </c>
      <c r="AV390" s="133">
        <f>IF(AND($B388=" ",$K390=AV$3),$O390,0)</f>
        <v>0</v>
      </c>
      <c r="AW390" s="133">
        <f>IF(AND($B388=" ",$K390=AW$3),$O390,0)</f>
        <v>0</v>
      </c>
      <c r="AX390" s="133">
        <f>IF(AND($B388=" ",$K390=AX$3),$O390,0)</f>
        <v>0</v>
      </c>
      <c r="AY390" s="135">
        <f>IF(AND($B388=" ",$K390=AY$3),$O390,0)</f>
        <v>0</v>
      </c>
      <c r="AZ390" s="136">
        <f>IF(AND($B388=" ",$K390=AZ$3),$O390,0)</f>
        <v>0</v>
      </c>
      <c r="BA390" s="136">
        <f>IF(AND($B388=" ",$K390=BA$3),$O390,0)</f>
        <v>0</v>
      </c>
      <c r="BB390" s="136">
        <f>IF(AND($B388=" ",$K390=BB$3),$O390,0)</f>
        <v>0</v>
      </c>
      <c r="BC390" s="137">
        <f>IF(AND($B388=" ",$K390=BC$3),$O390,0)</f>
        <v>0</v>
      </c>
      <c r="BD390" s="133">
        <f>IF(AND($B388=" ",$K390=BD$3),$O390,0)</f>
        <v>0</v>
      </c>
      <c r="BE390" s="134">
        <f>IF(AND($B388=" ",$K390=BE$3),$O390,0)</f>
        <v>0</v>
      </c>
      <c r="BF390" s="132">
        <f>IF($K390=BF$3,IF($C390="X",0,$O390),0)</f>
        <v>0</v>
      </c>
      <c r="BG390" s="281">
        <f>IF($K390=BG$3,IF($C390="X",0,$O390),0)</f>
        <v>0</v>
      </c>
      <c r="BH390" s="133">
        <f>IF($K390=BH$3,IF($C390="X",0,$O390),0)</f>
        <v>0</v>
      </c>
      <c r="BI390" s="133">
        <f>IF($K390=BI$3,IF($C390="X",0,$O390),0)</f>
        <v>0</v>
      </c>
      <c r="BJ390" s="133">
        <f>IF($K390=BJ$3,IF($C390="X",0,$O390),0)</f>
        <v>0</v>
      </c>
      <c r="BK390" s="133">
        <f>IF($K390=BK$3,IF($C390="X",0,$O390),0)</f>
        <v>0</v>
      </c>
      <c r="BL390" s="133">
        <f>IF($K390=BL$3,IF($C390="X",0,$O390),0)</f>
        <v>0</v>
      </c>
      <c r="BM390" s="135">
        <f>IF($K390=BM$3,IF($C390="X",0,$O390),0)</f>
        <v>0</v>
      </c>
      <c r="BN390" s="136">
        <f>IF($K390=BN$3,IF($C390="X",0,$O390),0)</f>
        <v>0</v>
      </c>
      <c r="BO390" s="136">
        <f>IF($K390=BO$3,IF($C390="X",0,$O390),0)</f>
        <v>0</v>
      </c>
      <c r="BP390" s="136">
        <f>IF($K390=BP$3,IF($C390="X",0,$O390),0)</f>
        <v>0</v>
      </c>
      <c r="BQ390" s="137">
        <f>IF($K390=BQ$3,IF($C390="X",0,$O390),0)</f>
        <v>0</v>
      </c>
      <c r="BR390" s="134">
        <f>IF($K390=BR$3,IF($C390="X",0,$O390),0)</f>
        <v>0</v>
      </c>
      <c r="BS390" s="282"/>
      <c r="BT390" s="283"/>
      <c r="BU390" s="140"/>
      <c r="BV390" s="283"/>
      <c r="BW390" s="140"/>
      <c r="BX390" s="140"/>
      <c r="BY390" s="140"/>
      <c r="BZ390" s="283"/>
      <c r="CA390" s="140"/>
      <c r="CB390" s="140"/>
      <c r="CC390" s="140"/>
      <c r="CD390" s="141"/>
      <c r="CE390" s="142"/>
      <c r="CF390" s="284">
        <f>IF(CF$3=$K390,IF($C390="W",1,IF($C390="1/2W",0.5,0)),0)</f>
        <v>0</v>
      </c>
      <c r="CG390" s="285">
        <f>IF(CF$3=$K390,IF($C390="L",1,IF($C390="1/2L",0.5,0)),0)</f>
        <v>0</v>
      </c>
      <c r="CH390" s="285">
        <f>IF(CH$3=$K390,IF($C390="W",1,IF($C390="1/2W",0.5,0)),0)</f>
        <v>0</v>
      </c>
      <c r="CI390" s="285">
        <f>IF(CH$3=$K390,IF($C390="L",1,IF($C390="1/2L",0.5,0)),0)</f>
        <v>0</v>
      </c>
      <c r="CJ390" s="285">
        <f>IF(CJ$3=$K390,IF($C390="W",1,IF($C390="1/2W",0.5,0)),0)</f>
        <v>0</v>
      </c>
      <c r="CK390" s="285">
        <f>IF(CJ$3=$K390,IF($C390="L",1,IF($C390="1/2L",0.5,0)),0)</f>
        <v>0</v>
      </c>
      <c r="CL390" s="285">
        <f>IF(CL$3=$K390,IF($C390="W",1,IF($C390="1/2W",0.5,0)),0)</f>
        <v>0</v>
      </c>
      <c r="CM390" s="285">
        <f>IF(CL$3=$K390,IF($C390="L",1,IF($C390="1/2L",0.5,0)),0)</f>
        <v>0</v>
      </c>
      <c r="CN390" s="285">
        <f>IF(CN$3=$K390,IF($C390="W",1,IF($C390="1/2W",0.5,0)),0)</f>
        <v>0</v>
      </c>
      <c r="CO390" s="285">
        <f>IF(CN$3=$K390,IF($C390="L",1,IF($C390="1/2L",0.5,0)),0)</f>
        <v>0</v>
      </c>
      <c r="CP390" s="285">
        <f>IF(CP$3=$K390,IF($C390="W",1,IF($C390="1/2W",0.5,0)),0)</f>
        <v>0</v>
      </c>
      <c r="CQ390" s="285">
        <f>IF(CP$3=$K390,IF($C390="L",1,IF($C390="1/2L",0.5,0)),0)</f>
        <v>0</v>
      </c>
      <c r="CR390" s="285">
        <f>IF(CR$3=$K390,IF($C390="W",1,IF($C390="1/2W",0.5,0)),0)</f>
        <v>0</v>
      </c>
      <c r="CS390" s="285">
        <f>IF(CR$3=$K390,IF($C390="L",1,IF($C390="1/2L",0.5,0)),0)</f>
        <v>0</v>
      </c>
      <c r="CT390" s="145">
        <f>IF(CT$3=$K390,IF($C390="W",1,IF($C390="1/2W",0.5,0)),0)</f>
        <v>0</v>
      </c>
      <c r="CU390" s="146">
        <f>IF(CT$3=$K390,IF($C390="L",1,IF($C390="1/2L",0.5,0)),0)</f>
        <v>0</v>
      </c>
      <c r="CV390" s="146">
        <f>IF(CV$3=$K390,IF($C390="W",1,IF($C390="1/2W",0.5,0)),0)</f>
        <v>0</v>
      </c>
      <c r="CW390" s="146">
        <f>IF(CV$3=$K390,IF($C390="L",1,IF($C390="1/2L",0.5,0)),0)</f>
        <v>0</v>
      </c>
      <c r="CX390" s="146">
        <f>IF(CX$3=$K390,IF($C390="W",1,IF($C390="1/2W",0.5,0)),0)</f>
        <v>0</v>
      </c>
      <c r="CY390" s="146">
        <f>IF(CX$3=$K390,IF($C390="L",1,IF($C390="1/2L",0.5,0)),0)</f>
        <v>0</v>
      </c>
      <c r="CZ390" s="146">
        <f>IF(CZ$3=$K390,IF($C390="W",1,IF($C390="1/2W",0.5,0)),0)</f>
        <v>0</v>
      </c>
      <c r="DA390" s="146">
        <f>IF(CZ$3=$K390,IF($C390="L",1,IF($C390="1/2L",0.5,0)),0)</f>
        <v>0</v>
      </c>
      <c r="DB390" s="146">
        <f>IF(DB$3=$K390,IF($C390="W",1,IF($C390="1/2W",0.5,0)),0)</f>
        <v>0</v>
      </c>
      <c r="DC390" s="146">
        <f>IF(DB$3=$K390,IF($C390="L",1,IF($C390="1/2L",0.5,0)),0)</f>
        <v>0</v>
      </c>
      <c r="DD390" s="146">
        <f>IF(DD$3=$K390,IF($C390="W",1,IF($C390="1/2W",0.5,0)),0)</f>
        <v>0</v>
      </c>
      <c r="DE390" s="147">
        <f>IF(DD$3=$K390,IF($C390="L",1,IF($C390="1/2L",0.5,0)),0)</f>
        <v>0</v>
      </c>
      <c r="DF390" s="143">
        <f>IF(AND(L390&lt;DF$3,$C390="W"),1+DF389,DF389)</f>
        <v>12</v>
      </c>
      <c r="DG390" s="133">
        <f>IF(DF390&gt;DF389,L390+DG389,DG389)</f>
        <v>15.718</v>
      </c>
      <c r="DH390" s="146">
        <f>IF(AND(L390&gt;DH$3,$C390="W"),1+DH389,0+DH389)</f>
        <v>9</v>
      </c>
      <c r="DI390" s="133">
        <f>IF(DH390&gt;DH389,L390+DI389,DI389)</f>
        <v>49.83</v>
      </c>
      <c r="DJ390" t="s" s="304">
        <f>IF($D388="","",$D388)</f>
        <v>307</v>
      </c>
      <c r="DK390" s="286"/>
    </row>
    <row r="391" ht="14.55" customHeight="1">
      <c r="A391" s="171">
        <f>$A388+1</f>
        <v>130</v>
      </c>
      <c r="B391" t="s" s="172">
        <f>IF(AND(_xlfn.XLOOKUP(H391,H$122:H164,G$122:G164,0)=G391,_xlfn.XLOOKUP("TempoBet",K391:K393,L391:L393,0)&gt;0),"X",IF(OR(C391="W",C392="W",C393="W",C391="1/2W",C392="1/2W",C393="1/2W",C391="1/2L",C392="1/2L",C393="1/2L"),"OK",IF(OR(C391="L",C392="L",C393="L"),"LOSS",IF(OR(C391="X",C392="X",C393="X"),"Anulado"," "))))</f>
        <v>50</v>
      </c>
      <c r="C391" t="s" s="173">
        <v>56</v>
      </c>
      <c r="D391" t="s" s="305">
        <f>IF(G391="","",$D388)</f>
        <v>307</v>
      </c>
      <c r="E391" t="s" s="175">
        <f>IF(G391=""," ","– "&amp;COUNTIF(D$4:D393,$D391))</f>
        <v>130</v>
      </c>
      <c r="F391" t="s" s="176"/>
      <c r="G391" s="177">
        <v>44950.270833333336</v>
      </c>
      <c r="H391" t="s" s="178">
        <v>325</v>
      </c>
      <c r="I391" s="298">
        <v>1</v>
      </c>
      <c r="J391" s="180"/>
      <c r="K391" t="s" s="181">
        <v>41</v>
      </c>
      <c r="L391" s="182">
        <v>5.3</v>
      </c>
      <c r="M391" s="183">
        <v>5.23</v>
      </c>
      <c r="N391" s="184">
        <v>0</v>
      </c>
      <c r="O391" s="185">
        <f>IF(OR(AE391="",AE392=""),"",ROUND(IF(L393&gt;0,IF(M391&gt;0,M391,IF(M392&gt;0,ROUND((M392*AE391)/AE392,IF(N391=0,2,IF(N391=0.1,1,0))),ROUND((M393*AE391)/AE393,IF(N391=0,2,IF(N391=0.1,1,0))))),IF(M391&gt;0,M391,ROUND((M392*AE391)/AE392,IF(N391=0,2,IF(N391=0.1,1,0))))),2))</f>
        <v>5.23</v>
      </c>
      <c r="P391" s="186">
        <f>IF(OR(L391="",O391=""),"",IF($C391="1/2W",O391/2+O391/2*L391,IF($C391="1/2L",O391/2,IF(I391="Lay",(O391*(L391/(L391-1))-O391)*(1-_xlfn.XLOOKUP(K391,'Janeiro 2023 - Valor Real'!A3:A15,'Janeiro 2023 - Valor Real'!C3:C15,0))+O391,(O391*L391-O391)*(1-_xlfn.XLOOKUP(K391,'Janeiro 2023 - Valor Real'!A3:A15,'Janeiro 2023 - Valor Real'!C3:C15,0))+O391))))</f>
        <v>27.719</v>
      </c>
      <c r="Q391" s="187">
        <f>IF(K391="","",IF(_xlfn.XLOOKUP(K391,K$122:K164,DJ$122:DJ164,0,,-1)=DJ391,_xlfn.XLOOKUP(K391,K$122:K164,Q$122:Q164,1,,-1)+1,1))</f>
        <v>1</v>
      </c>
      <c r="R391" s="188">
        <f>IF(K391="","",_xlfn.XLOOKUP(K391,K$122:K164,R$122:R164,0,,-1)+IF($C391=" ",1,0))</f>
        <v>0</v>
      </c>
      <c r="S391" s="189">
        <f>IF($B391="Anulado",0,ROUND(IF(OR($B391="LOSS",$B391="OK"),IF(OR($C391="W",$C391="1/2W",$C391="1/2L"),P391-O391,IF($C391="L",-O391,0))+IF(OR($C392="W",$C392="1/2W",$C392="1/2L"),P392-O392,IF($C392="L",-O392,0))+IF(OR($C393="W",$C393="1/2W",$C393="1/2L"),P393-O393,IF($C393="L",-O393,0)),IF(AND(OR($C391="W",$C391="1/2W",$C391="1/2L"),C392="W"),P391+P392-SUM(O391:O393)+_xlfn.XLOOKUP("X",C391:C393,O391:O393,0),IF(AND(C391=TRUE,C393="W"),P391+P393-SUM(O391:O393),IF(AND(C392="W",C393="W"),P392+P393-SUM(O391:O393)+_xlfn.XLOOKUP("X",C391:C393,O391:O393,0),IF(L393&gt;0,IF(OR($C391="W",$C391="1/2W",$C391="1/2L"),P391-SUM(O391:O393)+_xlfn.XLOOKUP("X",C391:C393,O391:O393,0),IF(OR($C391="W",$C391="1/2W",$C391="1/2L"),P392-SUM(O391:O393)+_xlfn.XLOOKUP("X",C391:C393,O391:O393,0),IF(OR($C391="W",$C391="1/2W",$C391="1/2L"),P393-SUM(O391:O393)+_xlfn.XLOOKUP("X",C391:C393,O391:O393,0),IF(SUM(P391:P393)/3-SUM(O391:O393)+_xlfn.XLOOKUP("X",C391:C393,O391:O393,0)&gt;0,SUM(P391:P393)/3-SUM(O391:O393)+_xlfn.XLOOKUP("X",C391:C393,O391:O393,0),LARGE(P391:P393,1)-SUM(O391:O393))))),IF(OR($C391="W",$C391="1/2W",$C391="1/2L"),P391-SUM(O391:O392)+_xlfn.XLOOKUP("X",C391:C393,O391:O393,0),IF(OR($C391="W",$C391="1/2W",$C391="1/2L"),P392-SUM(O391:O392)+_xlfn.XLOOKUP("X",C391:C393,O391:O393,0),SUM(P391:P392)/2-SUM(O391:O392)+_xlfn.XLOOKUP("X",C391:C393,O391:O393,0)))))))),2))</f>
        <v>2.01</v>
      </c>
      <c r="T391" s="190">
        <f>IF(S391=0,0,S391/SUM(O391:O393))</f>
        <v>0.0781796966161027</v>
      </c>
      <c r="U391" s="191">
        <f>IF($D391=$D388,IF(OR($B391="LOSS",$B391="OK",$B391="Anulada"),S391,0)+U388,IF(OR($B391="LOSS",$B391="OK",$B391="Anulada"),S391,0))</f>
        <v>17.4</v>
      </c>
      <c r="V391" s="191">
        <f>IF($D391="",0,IF($D391=$D388,IF($B391=" ",IF(I393="",IF(OR(AND(I391="DNB1",I392="DNB2"),AND(OR(I391="DNB1",I391="DNB2"),J392=0),AND(OR(I392="DNB1",I392="DNB2"),J391=0),AND(I391="DNB2",I392="DNB1"),AND(IF(J391=0,(J391+1)/ROUND(J391+1,0),J391/ROUND(J391,0))=1,IF(J392=0,(J392+1)/ROUND(IF(J392="",0,J392)+1,0),IF(J392="",0,J392)/ROUND(IF(J392="",1,J392),0))=1,OR(J391&lt;&gt;""),J392&lt;&gt;"")),0,IF(S391&lt;0,IF(I393="",SMALL(P391:P392,1)-SUM(O391:O392),0),SMALL(P391:P392,1)-SUM(O391:O392))),IF(S391&lt;0,IF(I393="",SMALL(P391:P393,1)-SUM(O391:O393),0),LARGE(P391:P393,1)-SUM(O391:O393))),S391)+V388,IF(I393="",IF(OR(AND(I391="DNB1",I392="DNB2"),AND(OR(I391="DNB1",I391="DNB2"),J392=0),AND(OR(I392="DNB1",I392="DNB2"),J391=0),AND(I391="DNB2",I392="DNB1"),AND(IF(J391=0,(J391+1)/ROUND(J391+1,0),J391/ROUND(J391,0))=1,IF(J392=0,(IF(J392="",0,J392)+1)/ROUND(IF(J392="",0,J392)+1,0),IF(J392="",0,J392)/ROUND(IF(J392="",0,J392)+1,0))=1,OR(J391&lt;&gt;""),J392&lt;&gt;"")),0,IF(S391&lt;0,IF(I393="",SMALL(P391:P392,1)-SUM(O391:O392),0),SMALL(P391:P393,1)-SUM(O391:O393))),IF(S391&lt;0,IF(I393="",SMALL(P391:P393,1)-SUM(O391:O393),0),LARGE(P391:P393,1)-SUM(O391:O393)))))</f>
        <v>17.40225</v>
      </c>
      <c r="W391" s="191">
        <f>IF($D391=$D388,IF(S391&lt;0,IF(I393="",S391,0),S391)+W388,S391)</f>
        <v>17.4</v>
      </c>
      <c r="X391" t="s" s="192">
        <f>IF(OR(SUM(R391:R393)=0,V391=W391),ROUND(IF(W391=0,0,W391/Y391)*100,2)&amp;"%",ROUND(IF(V391=0,0,V391/Y391)*100,2)&amp;"% a "&amp;ROUND(IF(W391=0,0,W391/Y391)*100,2)&amp;"%")</f>
        <v>326</v>
      </c>
      <c r="Y391" s="193">
        <f>IF($D391=$D388,Y388+SUM(O391:O393),SUM(O391:O393))</f>
        <v>230.45</v>
      </c>
      <c r="Z391" s="191">
        <f>IF($B391=" ",SUM(O391:O393),0)+Z388</f>
        <v>0</v>
      </c>
      <c r="AA391" s="191">
        <f>IF(G391="","",IF($B391="Anulado",LARGE(P391:P393,1)-SUM(O391:O393)+AA388,AA388))</f>
        <v>16.5099</v>
      </c>
      <c r="AB391" s="191">
        <f>IF($D391="","",AB388+S391)</f>
        <v>269.07</v>
      </c>
      <c r="AC391" s="194">
        <f>IF($D391="","",IF($B391=" ",IF(DAY(G391)=DAY(TODAY()),1+AC388,0+AC388),0+AC388))</f>
        <v>0</v>
      </c>
      <c r="AD391" s="195">
        <f>(((L392/(L392-1)-1)*(1-_xlfn.XLOOKUP(K392,'Janeiro 2023 - Valor Real'!A3:A15,'Janeiro 2023 - Valor Real'!C3:C15,0))+1))/(((L391-1)*(1-_xlfn.XLOOKUP(K391,'Janeiro 2023 - Valor Real'!A3:A15,'Janeiro 2023 - Valor Real'!C3:C15,0))+1)+((L392/(L392-1)-1)*(1-_xlfn.XLOOKUP(K392,'Janeiro 2023 - Valor Real'!A3:A15,'Janeiro 2023 - Valor Real'!C3:C15,0))+1))</f>
        <v>0.19035175879397</v>
      </c>
      <c r="AE391" s="196">
        <f>IF(L391="","",IF(L393&gt;0,(SUM(((L391-1)*(1-_xlfn.XLOOKUP(K391,'Janeiro 2023 - Valor Real'!A3:A15,'Janeiro 2023 - Valor Real'!C3:C15,0))+1),((L392-1)*(1-_xlfn.XLOOKUP(K392,'Janeiro 2023 - Valor Real'!A3:A15,'Janeiro 2023 - Valor Real'!C3:C15,0))+1),((L393-1)*(1-_xlfn.XLOOKUP(K393,'Janeiro 2023 - Valor Real'!A3:A15,'Janeiro 2023 - Valor Real'!C3:C15,0))+1))/((L391-1)*(1-_xlfn.XLOOKUP(K391,'Janeiro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Real'!C3:C15,0))+1))/((L391-1)*(1-_xlfn.XLOOKUP(K391,'Janeiro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Real'!C3:C15,0))+1))/((L392-1)*(1-_xlfn.XLOOKUP(K392,'Janeiro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Real'!C3:C15,0))+1))/((L393-1)*(1-_xlfn.XLOOKUP(K393,'Janeiro 2023 - Valor Real'!A3:A15,'Janeiro 2023 - Valor Real'!C3:C15,0))+1)),IF(I391="Lay",IF(I392="Lay",((L392/(L392-1)-1)*(1-_xlfn.XLOOKUP(K392,'Janeiro 2023 - Valor Real'!A3:A15,'Janeiro 2023 - Valor Real'!C3:C15,0))+1)/(((L392/(L392-1)-1)*(1-_xlfn.XLOOKUP(K392,'Janeiro 2023 - Valor Real'!A3:A15,'Janeiro 2023 - Valor Real'!C3:C15,0))+1)+((L391/(L391-1)-1)*(1-_xlfn.XLOOKUP(K391,'Janeiro 2023 - Valor Real'!A3:A15,'Janeiro 2023 - Valor Real'!C3:C15,0))+1)),((L392-1)*(1-_xlfn.XLOOKUP(K392,'Janeiro 2023 - Valor Real'!A3:A15,'Janeiro 2023 - Valor Real'!C3:C15,0))+1)/(((L392-1)*(1-_xlfn.XLOOKUP(K392,'Janeiro 2023 - Valor Real'!A3:A15,'Janeiro 2023 - Valor Real'!C3:C15,0))+1)+((L391/(L391-1)-1)*(1-_xlfn.XLOOKUP(K391,'Janeiro 2023 - Valor Real'!A3:A15,'Janeiro 2023 - Valor Real'!C3:C15,0))+1))),IF(I392="Lay",(((L392/(L392-1)-1)*(1-_xlfn.XLOOKUP(K392,'Janeiro 2023 - Valor Real'!A3:A15,'Janeiro 2023 - Valor Real'!C3:C15,0))+1))/(((L391-1)*(1-_xlfn.XLOOKUP(K391,'Janeiro 2023 - Valor Real'!A3:A15,'Janeiro 2023 - Valor Real'!C3:C15,0))+1)+((L392/(L392-1)-1)*(1-_xlfn.XLOOKUP(K392,'Janeiro 2023 - Valor Real'!A3:A15,'Janeiro 2023 - Valor Real'!C3:C15,0))+1)),((L392-1)*(1-_xlfn.XLOOKUP(K392,'Janeiro 2023 - Valor Real'!A3:A15,'Janeiro 2023 - Valor Real'!C3:C15,0))+1)/(((L392-1)*(1-_xlfn.XLOOKUP(K392,'Janeiro 2023 - Valor Real'!A3:A15,'Janeiro 2023 - Valor Real'!C3:C15,0))+1)+((L391-1)*(1-_xlfn.XLOOKUP(K391,'Janeiro 2023 - Valor Real'!A3:A15,'Janeiro 2023 - Valor Real'!C3:C15,0))+1))))))</f>
        <v>0.19035175879397</v>
      </c>
      <c r="AF391" s="197">
        <f>IF($K391=AF$3,ROUND(IF(OR($C391="W",$C391="1/2W",$C391="1/2L"),$P391-$O391,IF($C391="X",0,-$O391)),2),0)</f>
        <v>0</v>
      </c>
      <c r="AG391" s="198">
        <f>IF($K391=AG$3,ROUND(IF(OR($C391="W",$C391="1/2W",$C391="1/2L"),$P391-$O391,IF($C391="X",0,-$O391)),2),0)</f>
        <v>0</v>
      </c>
      <c r="AH391" s="198">
        <f>IF($K391=AH$3,ROUND(IF(OR($C391="W",$C391="1/2W",$C391="1/2L"),$P391-$O391,IF($C391="X",0,-$O391)),2),0)</f>
        <v>0</v>
      </c>
      <c r="AI391" s="198">
        <f>IF($K391=AI$3,ROUND(IF(OR($C391="W",$C391="1/2W",$C391="1/2L"),$P391-$O391,IF($C391="X",0,-$O391)),2),0)</f>
        <v>0</v>
      </c>
      <c r="AJ391" s="198">
        <f>IF($K391=AJ$3,ROUND(IF(OR($C391="W",$C391="1/2W",$C391="1/2L"),$P391-$O391,IF($C391="X",0,-$O391)),2),0)</f>
        <v>22.49</v>
      </c>
      <c r="AK391" s="198">
        <f>IF($K391=AK$3,ROUND(IF(OR($C391="W",$C391="1/2W",$C391="1/2L"),$P391-$O391,IF($C391="X",0,-$O391)),2),0)</f>
        <v>0</v>
      </c>
      <c r="AL391" s="198">
        <f>IF($K391=AL$3,ROUND(IF(OR($C391="W",$C391="1/2W",$C391="1/2L"),$P391-$O391,IF($C391="X",0,-$O391)),2),0)</f>
        <v>0</v>
      </c>
      <c r="AM391" s="198">
        <f>IF($K391=AM$3,ROUND(IF(OR($C391="W",$C391="1/2W",$C391="1/2L"),$P391-$O391,IF($C391="X",0,-$O391)),2),0)</f>
        <v>0</v>
      </c>
      <c r="AN391" s="198">
        <f>IF($K391=AN$3,ROUND(IF(OR($C391="W",$C391="1/2W",$C391="1/2L"),$P391-$O391,IF($C391="X",0,-$O391)),2),0)</f>
        <v>0</v>
      </c>
      <c r="AO391" s="198">
        <f>IF($K391=AO$3,ROUND(IF(OR($C391="W",$C391="1/2W",$C391="1/2L"),$P391-$O391,IF($C391="X",0,-$O391)),2),0)</f>
        <v>0</v>
      </c>
      <c r="AP391" s="198">
        <f>IF($K391=AP$3,ROUND(IF(OR($C391="W",$C391="1/2W",$C391="1/2L"),$P391-$O391,IF($C391="X",0,-$O391)),2),0)</f>
        <v>0</v>
      </c>
      <c r="AQ391" s="198">
        <f>IF($K391=AQ$3,ROUND(IF(OR($C391="W",$C391="1/2W",$C391="1/2L"),$P391-$O391,IF($C391="X",0,-$O391)),2),0)</f>
        <v>0</v>
      </c>
      <c r="AR391" s="199">
        <f>IF($K391=AR$3,ROUND(IF(OR($C391="W",$C391="1/2W",$C391="1/2L"),$P391-$O391,IF($C391="X",0,-$O391)),2),0)</f>
        <v>0</v>
      </c>
      <c r="AS391" s="197">
        <f>IF(AND($B391=" ",$K391=AS$3),$O391,0)</f>
        <v>0</v>
      </c>
      <c r="AT391" s="198">
        <f>IF(AND($B391=" ",$K391=AT$3),$O391,0)</f>
        <v>0</v>
      </c>
      <c r="AU391" s="198">
        <f>IF(AND($B391=" ",$K391=AU$3),$O391,0)</f>
        <v>0</v>
      </c>
      <c r="AV391" s="198">
        <f>IF(AND($B391=" ",$K391=AV$3),$O391,0)</f>
        <v>0</v>
      </c>
      <c r="AW391" s="198">
        <f>IF(AND($B391=" ",$K391=AW$3),$O391,0)</f>
        <v>0</v>
      </c>
      <c r="AX391" s="198">
        <f>IF(AND($B391=" ",$K391=AX$3),$O391,0)</f>
        <v>0</v>
      </c>
      <c r="AY391" s="200">
        <f>IF(AND($B391=" ",$K391=AY$3),$O391,0)</f>
        <v>0</v>
      </c>
      <c r="AZ391" s="201">
        <f>IF(AND($B391=" ",$K391=AZ$3),$O391,0)</f>
        <v>0</v>
      </c>
      <c r="BA391" s="201">
        <f>IF(AND($B391=" ",$K391=BA$3),$O391,0)</f>
        <v>0</v>
      </c>
      <c r="BB391" s="201">
        <f>IF(AND($B391=" ",$K391=BB$3),$O391,0)</f>
        <v>0</v>
      </c>
      <c r="BC391" s="202">
        <f>IF(AND($B391=" ",$K391=BC$3),$O391,0)</f>
        <v>0</v>
      </c>
      <c r="BD391" s="198">
        <f>IF(AND($B391=" ",$K391=BD$3),$O391,0)</f>
        <v>0</v>
      </c>
      <c r="BE391" s="199">
        <f>IF(AND($B391=" ",$K391=BE$3),$O391,0)</f>
        <v>0</v>
      </c>
      <c r="BF391" s="203">
        <f>IF($K391=BF$3,IF($C391="X",0,$O391),0)</f>
        <v>0</v>
      </c>
      <c r="BG391" s="198">
        <f>IF($K391=BG$3,IF($C391="X",0,$O391),0)</f>
        <v>0</v>
      </c>
      <c r="BH391" s="198">
        <f>IF($K391=BH$3,IF($C391="X",0,$O391),0)</f>
        <v>0</v>
      </c>
      <c r="BI391" s="198">
        <f>IF($K391=BI$3,IF($C391="X",0,$O391),0)</f>
        <v>0</v>
      </c>
      <c r="BJ391" s="198">
        <f>IF($K391=BJ$3,IF($C391="X",0,$O391),0)</f>
        <v>5.23</v>
      </c>
      <c r="BK391" s="198">
        <f>IF($K391=BK$3,IF($C391="X",0,$O391),0)</f>
        <v>0</v>
      </c>
      <c r="BL391" s="198">
        <f>IF($K391=BL$3,IF($C391="X",0,$O391),0)</f>
        <v>0</v>
      </c>
      <c r="BM391" s="200">
        <f>IF($K391=BM$3,IF($C391="X",0,$O391),0)</f>
        <v>0</v>
      </c>
      <c r="BN391" s="201">
        <f>IF($K391=BN$3,IF($C391="X",0,$O391),0)</f>
        <v>0</v>
      </c>
      <c r="BO391" s="201">
        <f>IF($K391=BO$3,IF($C391="X",0,$O391),0)</f>
        <v>0</v>
      </c>
      <c r="BP391" s="201">
        <f>IF($K391=BP$3,IF($C391="X",0,$O391),0)</f>
        <v>0</v>
      </c>
      <c r="BQ391" s="202">
        <f>IF($K391=BQ$3,IF($C391="X",0,$O391),0)</f>
        <v>0</v>
      </c>
      <c r="BR391" s="199">
        <f>IF($K391=BR$3,IF($C391="X",0,$O391),0)</f>
        <v>0</v>
      </c>
      <c r="BS391" s="204">
        <f>IF($B391="LOSS",IF(AND($K391=BS$3,$C391="L"),-$O391,0)+IF(AND($K392=BS$3,$C392="L"),-$O392,0)+IF(AND($K393=BS$3,$C393="L"),-$O393,0),IF(OR(AND($K391=BS$3,OR($C391="W",$C391="1/2W")),AND($K392=BS$3,OR($C392="W",$C392="1/2W")),AND($K393=BS$3,OR($C393="W",$C393="1/2W"))),$S391,0))</f>
        <v>0</v>
      </c>
      <c r="BT391" s="201">
        <f>IF($B391="LOSS",IF(AND($K391=BT$3,$C391="L"),-$O391,0)+IF(AND($K392=BT$3,$C392="L"),-$O392,0)+IF(AND($K392=BT$3,$C393="L"),-$O393,0),IF(OR(AND($K392=BT$3,OR($C391="W",$C391="1/2W")),AND($K392=BT$3,OR($C392="W",$C392="1/2W")),AND($K392=BT$3,OR($C393="W",$C393="1/2W"))),$S391,0))</f>
        <v>0</v>
      </c>
      <c r="BU391" s="201">
        <f>IF($B391="LOSS",IF(AND($K391=BU$3,$C391="L"),-$O391,0)+IF(AND($K392=BU$3,$C392="L"),-$O392,0)+IF(AND($K392=BU$3,$C393="L"),-$O393,0),IF(OR(AND($K392=BU$3,OR($C391="W",$C391="1/2W")),AND($K392=BU$3,OR($C392="W",$C392="1/2W")),AND($K392=BU$3,OR($C393="W",$C393="1/2W"))),$S391,0))</f>
        <v>2.01</v>
      </c>
      <c r="BV391" s="201">
        <f>IF($B391="LOSS",IF(AND($K391=BV$3,$C391="L"),-$O391,0)+IF(AND($K392=BV$3,$C392="L"),-$O392,0)+IF(AND($K393=BV$3,$C393="L"),-$O393,0),IF(OR(AND($K391=BV$3,OR($C391="W",$C391="1/2W")),AND($K392=BV$3,OR($C392="W",$C392="1/2W")),AND($K393=BV$3,OR($C393="W",$C393="1/2W"))),$S391,0))</f>
        <v>0</v>
      </c>
      <c r="BW391" s="201">
        <f>IF($B391="LOSS",IF(AND($K391=BW$3,$C391="L"),-$O391,0)+IF(AND($K392=BW$3,$C392="L"),-$O392,0)+IF(AND($K393=BW$3,$C393="L"),-$O393,0),IF(OR(AND($K391=BW$3,OR($C391="W",$C391="1/2W")),AND($K392=BW$3,OR($C392="W",$C392="1/2W")),AND($K393=BW$3,OR($C393="W",$C393="1/2W"))),$S391,0))</f>
        <v>2.01</v>
      </c>
      <c r="BX391" s="201">
        <f>IF($B391="LOSS",IF(AND($K391=BX$3,$C391="L"),-$O391,0)+IF(AND($K392=BX$3,$C392="L"),-$O392,0)+IF(AND($K393=BX$3,$C393="L"),-$O393,0),IF(OR(AND($K391=BX$3,OR($C391="W",$C391="1/2W")),AND($K392=BX$3,OR($C392="W",$C392="1/2W")),AND($K393=BX$3,OR($C393="W",$C393="1/2W"))),$S391,0))</f>
        <v>0</v>
      </c>
      <c r="BY391" s="201">
        <f>IF($B391="LOSS",IF(AND($K391=BY$3,$C391="L"),-$O391,0)+IF(AND($K392=BY$3,$C392="L"),-$O392,0)+IF(AND($K393=BY$3,$C393="L"),-$O393,0),IF(OR(AND($K391=BY$3,OR($C391="W",$C391="1/2W")),AND($K392=BY$3,OR($C392="W",$C392="1/2W")),AND($K393=BY$3,OR($C393="W",$C393="1/2W"))),$S391,0))</f>
        <v>0</v>
      </c>
      <c r="BZ391" s="205">
        <f>IF($B391="LOSS",IF(AND($K391=BZ$3,$C391="L"),-$O391,0)+IF(AND($K392=BZ$3,$C392="L"),-$O392,0)+IF(AND($K393=BZ$3,$C393="L"),-$O393,0),IF(OR(AND($K391=BZ$3,OR($C391="W",$C391="1/2W")),AND($K392=BZ$3,OR($C392="W",$C392="1/2W")),AND($K393=BZ$3,OR($C393="W",$C393="1/2W"))),$S391,0))</f>
        <v>0</v>
      </c>
      <c r="CA391" s="205">
        <f>IF($B391="LOSS",IF(AND($K391=CA$3,$C391="L"),-$O391,0)+IF(AND($K392=CA$3,$C392="L"),-$O392,0)+IF(AND($K393=CA$3,$C393="L"),-$O393,0),IF(OR(AND($K391=CA$3,OR($C391="W",$C391="1/2W")),AND($K392=CA$3,OR($C392="W",$C392="1/2W")),AND($K393=CA$3,OR($C393="W",$C393="1/2W"))),$S391,0))</f>
        <v>0</v>
      </c>
      <c r="CB391" s="205">
        <f>IF($B391="LOSS",IF(AND($K391=CB$3,$C391="L"),-$O391,0)+IF(AND($K392=CB$3,$C392="L"),-$O392,0)+IF(AND($K393=CB$3,$C393="L"),-$O393,0),IF(OR(AND($K391=CB$3,OR($C391="W",$C391="1/2W")),AND($K392=CB$3,OR($C392="W",$C392="1/2W")),AND($K393=CB$3,OR($C393="W",$C393="1/2W"))),$S391,0))</f>
        <v>0</v>
      </c>
      <c r="CC391" s="205">
        <f>IF($B391="LOSS",IF(AND($K391=CC$3,$C391="L"),-$O391,0)+IF(AND($K392=CC$3,$C392="L"),-$O392,0)+IF(AND($K393=CC$3,$C393="L"),-$O393,0),IF(OR(AND($K391=CC$3,OR($C391="W",$C391="1/2W")),AND($K392=CC$3,OR($C392="W",$C392="1/2W")),AND($K393=CC$3,OR($C393="W",$C393="1/2W"))),$S391,0))</f>
        <v>0</v>
      </c>
      <c r="CD391" s="202">
        <f>IF($B391="LOSS",IF(AND($K391=CD$3,$C391="L"),-$O391,0)+IF(AND($K392=CD$3,$C392="L"),-$O392,0)+IF(AND($K393=CD$3,$C393="L"),-$O393,0),IF(OR(AND($K391=CD$3,OR($C391="W",$C391="1/2W")),AND($K392=CD$3,OR($C392="W",$C392="1/2W")),AND($K393=CD$3,OR($C393="W",$C393="1/2W"))),$S391,0))</f>
        <v>0</v>
      </c>
      <c r="CE391" s="199">
        <f>IF($B391="LOSS",IF(AND($K391=CE$3,$C391="L"),-$O391,0)+IF(AND($K392=CE$3,$C392="L"),-$O392,0)+IF(AND($K393=CE$3,$C393="L"),-$O393,0),IF(OR(AND($K391=CE$3,OR($C391="W",$C391="1/2W")),AND($K392=CE$3,OR($C392="W",$C392="1/2W")),AND($K393=CE$3,OR($C393="W",$C393="1/2W"))),$S391,0))</f>
        <v>0</v>
      </c>
      <c r="CF391" s="206">
        <f>IF(CF$3=$K391,IF($C391="W",1,IF($C391="1/2W",0.5,0)),0)</f>
        <v>0</v>
      </c>
      <c r="CG391" s="207">
        <f>IF(CF$3=$K391,IF($C391="L",1,IF($C391="1/2L",0.5,0)),0)</f>
        <v>0</v>
      </c>
      <c r="CH391" s="207">
        <f>IF(CH$3=$K391,IF($C391="W",1,IF($C391="1/2W",0.5,0)),0)</f>
        <v>0</v>
      </c>
      <c r="CI391" s="207">
        <f>IF(CH$3=$K391,IF($C391="L",1,IF($C391="1/2L",0.5,0)),0)</f>
        <v>0</v>
      </c>
      <c r="CJ391" s="207">
        <f>IF(CJ$3=$K391,IF($C391="W",1,IF($C391="1/2W",0.5,0)),0)</f>
        <v>0</v>
      </c>
      <c r="CK391" s="207">
        <f>IF(CJ$3=$K391,IF($C391="L",1,IF($C391="1/2L",0.5,0)),0)</f>
        <v>0</v>
      </c>
      <c r="CL391" s="207">
        <f>IF(CL$3=$K391,IF($C391="W",1,IF($C391="1/2W",0.5,0)),0)</f>
        <v>0</v>
      </c>
      <c r="CM391" s="207">
        <f>IF(CL$3=$K391,IF($C391="L",1,IF($C391="1/2L",0.5,0)),0)</f>
        <v>0</v>
      </c>
      <c r="CN391" s="207">
        <f>IF(CN$3=$K391,IF($C391="W",1,IF($C391="1/2W",0.5,0)),0)</f>
        <v>1</v>
      </c>
      <c r="CO391" s="207">
        <f>IF(CN$3=$K391,IF($C391="L",1,IF($C391="1/2L",0.5,0)),0)</f>
        <v>0</v>
      </c>
      <c r="CP391" s="207">
        <f>IF(CP$3=$K391,IF($C391="W",1,IF($C391="1/2W",0.5,0)),0)</f>
        <v>0</v>
      </c>
      <c r="CQ391" s="207">
        <f>IF(CP$3=$K391,IF($C391="L",1,IF($C391="1/2L",0.5,0)),0)</f>
        <v>0</v>
      </c>
      <c r="CR391" s="207">
        <f>IF(CR$3=$K391,IF($C391="W",1,IF($C391="1/2W",0.5,0)),0)</f>
        <v>0</v>
      </c>
      <c r="CS391" s="207">
        <f>IF(CR$3=$K391,IF($C391="L",1,IF($C391="1/2L",0.5,0)),0)</f>
        <v>0</v>
      </c>
      <c r="CT391" s="208">
        <f>IF(CT$3=$K391,IF($C391="W",1,IF($C391="1/2W",0.5,0)),0)</f>
        <v>0</v>
      </c>
      <c r="CU391" s="209">
        <f>IF(CT$3=$K391,IF($C391="L",1,IF($C391="1/2L",0.5,0)),0)</f>
        <v>0</v>
      </c>
      <c r="CV391" s="209">
        <f>IF(CV$3=$K391,IF($C391="W",1,IF($C391="1/2W",0.5,0)),0)</f>
        <v>0</v>
      </c>
      <c r="CW391" s="209">
        <f>IF(CV$3=$K391,IF($C391="L",1,IF($C391="1/2L",0.5,0)),0)</f>
        <v>0</v>
      </c>
      <c r="CX391" s="209">
        <f>IF(CX$3=$K391,IF($C391="W",1,IF($C391="1/2W",0.5,0)),0)</f>
        <v>0</v>
      </c>
      <c r="CY391" s="209">
        <f>IF(CX$3=$K391,IF($C391="L",1,IF($C391="1/2L",0.5,0)),0)</f>
        <v>0</v>
      </c>
      <c r="CZ391" s="209">
        <f>IF(CZ$3=$K391,IF($C391="W",1,IF($C391="1/2W",0.5,0)),0)</f>
        <v>0</v>
      </c>
      <c r="DA391" s="209">
        <f>IF(CZ$3=$K391,IF($C391="L",1,IF($C391="1/2L",0.5,0)),0)</f>
        <v>0</v>
      </c>
      <c r="DB391" s="209">
        <f>IF(DB$3=$K391,IF($C391="W",1,IF($C391="1/2W",0.5,0)),0)</f>
        <v>0</v>
      </c>
      <c r="DC391" s="209">
        <f>IF(DB$3=$K391,IF($C391="L",1,IF($C391="1/2L",0.5,0)),0)</f>
        <v>0</v>
      </c>
      <c r="DD391" s="209">
        <f>IF(DD$3=$K391,IF($C391="W",1,IF($C391="1/2W",0.5,0)),0)</f>
        <v>0</v>
      </c>
      <c r="DE391" s="210">
        <f>IF(DD$3=$K391,IF($C391="L",1,IF($C391="1/2L",0.5,0)),0)</f>
        <v>0</v>
      </c>
      <c r="DF391" s="211">
        <f>IF(AND(L391&lt;DF$3,$C391="W"),1+DF390,DF390)</f>
        <v>12</v>
      </c>
      <c r="DG391" s="198">
        <f>IF(DF391&gt;DF390,L391+DG390,DG390)</f>
        <v>15.718</v>
      </c>
      <c r="DH391" s="209">
        <f>IF(AND(L391&gt;DH$3,$C391="W"),1+DH390,0+DH390)</f>
        <v>10</v>
      </c>
      <c r="DI391" s="198">
        <f>IF(DH391&gt;DH390,L391+DI390,DI390)</f>
        <v>55.13</v>
      </c>
      <c r="DJ391" t="s" s="306">
        <f>IF($D391="","",$D391)</f>
        <v>307</v>
      </c>
      <c r="DK391" s="209">
        <f>IF(AND($B391=" ",$D391&lt;&gt;""),1,0)</f>
        <v>0</v>
      </c>
    </row>
    <row r="392" ht="14.55" customHeight="1">
      <c r="A392" s="107"/>
      <c r="B392" s="108"/>
      <c r="C392" t="s" s="213">
        <v>51</v>
      </c>
      <c r="D392" s="110"/>
      <c r="E392" s="111"/>
      <c r="F392" s="113"/>
      <c r="G392" s="214"/>
      <c r="H392" s="114"/>
      <c r="I392" t="s" s="215">
        <v>75</v>
      </c>
      <c r="J392" t="s" s="216">
        <f>IF(OR(I391="TO",I391="TU",I391="TO1",I391="TU1",I391="TO2",I391="TU2"),J391,IF(OR(I391="AH1",I391="AH2"),IF(OR(I392="AH1",I392="AH2"),-J391,IF(OR(I392="EH1",I392="EH2"),-J391+0.5,"")),IF(OR(I391="EH1",I391="EH2"),IF(OR(I392="AH1",I392="AH2"),-J391+0.5,IF(OR(I392="EH1",I392="EH2"),-J391+1,"")),IF(AND(OR(I391="DNB1",I391="DNB2"),OR(I392="AH1",I392="AH2")),0,IF(AND(I391="Not ScoreBoth",OR(I392="TO1",I392="TO2")),0.5,"")))))</f>
      </c>
      <c r="K392" t="s" s="217">
        <v>39</v>
      </c>
      <c r="L392" s="218">
        <v>4.8</v>
      </c>
      <c r="M392" s="219">
        <v>20.48</v>
      </c>
      <c r="N392" s="120"/>
      <c r="O392" s="220">
        <f>IF(OR(AE391="",AE392=""),"",ROUND(IF(L393&gt;0,IF(M392&gt;0,M392,IF(M391&gt;0,IF(N391=TRUE,ROUND((M391*AE392)/AE391,0),(M391*AE392)/AE391),IF(M392&gt;0,ROUND(M392,IF(N391=0,2,IF(N391=0.1,1,0))),IF(M393&gt;0,ROUND(O393*AE392/AE393,IF(N391=0,2,IF(N391=0.1,1,0))),0)))),IF(M392&gt;0,M392,ROUND((M391*AE392)/AE391,IF(N391=0,2,IF(N391=0.1,1,0))))),2))</f>
        <v>20.48</v>
      </c>
      <c r="P392" s="221">
        <f>IF(OR(L392="",O392=""),"",IF($C392="1/2W",O392/2+O392/2*L392,IF($C392="1/2L",O392/2,IF(I392="Lay",((O392*(L392/(L392-1)))-O392)*(1-_xlfn.XLOOKUP(K392,'Janeiro 2023 - Valor Real'!A3:A15,'Janeiro 2023 - Valor Real'!C3:C15,0))+O392,(O392*L392-O392)*(1-_xlfn.XLOOKUP(K392,'Janeiro 2023 - Valor Real'!A3:A15,'Janeiro 2023 - Valor Real'!C3:C15,0))+O392))))</f>
        <v>25.5191578947368</v>
      </c>
      <c r="Q392" s="222">
        <f>IF(K392="","",IF(_xlfn.XLOOKUP(K392,K$123:K165,DJ$123:DJ165,0,,-1)=DJ392,_xlfn.XLOOKUP(K392,K$123:K165,Q$123:Q165,1,,-1)+1,1))</f>
        <v>1</v>
      </c>
      <c r="R392" s="223">
        <f>IF(K392="","",_xlfn.XLOOKUP(K392,K$123:K165,R$123:R165,0,,-1)+IF($C392=" ",1,0))</f>
        <v>0</v>
      </c>
      <c r="S392" s="125"/>
      <c r="T392" s="126"/>
      <c r="U392" s="126"/>
      <c r="V392" s="224"/>
      <c r="W392" s="126"/>
      <c r="X392" s="127"/>
      <c r="Y392" s="128"/>
      <c r="Z392" s="129"/>
      <c r="AA392" s="129"/>
      <c r="AB392" s="129"/>
      <c r="AC392" s="129"/>
      <c r="AD392" s="225">
        <f>(((L392/(L392-1)-1)*(1-_xlfn.XLOOKUP(K392,'Janeiro 2023 - Valor Real'!A3:A15,'Janeiro 2023 - Valor Real'!C3:C15,0))+1))</f>
        <v>1.24605263157895</v>
      </c>
      <c r="AE392" s="226">
        <f>IF(L392="","",IF(L393&gt;0,(SUM(((L391-1)*(1-_xlfn.XLOOKUP(K391,'Janeiro 2023 - Valor Real'!A3:A15,'Janeiro 2023 - Valor Real'!C3:C15,0))+1),((L392-1)*(1-_xlfn.XLOOKUP(K392,'Janeiro 2023 - Valor Real'!A3:A15,'Janeiro 2023 - Valor Real'!C3:C15,0))+1),((L393-1)*(1-_xlfn.XLOOKUP(K393,'Janeiro 2023 - Valor Real'!A3:A15,'Janeiro 2023 - Valor Real'!C3:C15,0))+1))/((L392-1)*(1-_xlfn.XLOOKUP(K392,'Janeiro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Real'!C3:C15,0))+1))/((L391-1)*(1-_xlfn.XLOOKUP(K391,'Janeiro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Real'!C3:C15,0))+1))/((L392-1)*(1-_xlfn.XLOOKUP(K392,'Janeiro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Real'!C3:C15,0))+1))/((L393-1)*(1-_xlfn.XLOOKUP(K393,'Janeiro 2023 - Valor Real'!A3:A15,'Janeiro 2023 - Valor Real'!C3:C15,0))+1)),IF(I392="Lay",IF(I391="Lay",((L391/(L391-1)-1)*(1-_xlfn.XLOOKUP(K391,'Janeiro 2023 - Valor Real'!A3:A15,'Janeiro 2023 - Valor Real'!C3:C15,0))+1)/(((L391/(L391-1)-1)*(1-_xlfn.XLOOKUP(K391,'Janeiro 2023 - Valor Real'!A3:A15,'Janeiro 2023 - Valor Real'!C3:C15,0))+1)+((L392/(L392-1)-1)*(1-_xlfn.XLOOKUP(K392,'Janeiro 2023 - Valor Real'!A3:A15,'Janeiro 2023 - Valor Real'!C3:C15,0))+1)),((L391-1)*(1-_xlfn.XLOOKUP(K391,'Janeiro 2023 - Valor Real'!A3:A15,'Janeiro 2023 - Valor Real'!C3:C15,0))+1)/(((L391-1)*(1-_xlfn.XLOOKUP(K391,'Janeiro 2023 - Valor Real'!A3:A15,'Janeiro 2023 - Valor Real'!C3:C15,0))+1)+((L392/(L392-1)-1)*(1-_xlfn.XLOOKUP(K392,'Janeiro 2023 - Valor Real'!A3:A15,'Janeiro 2023 - Valor Real'!C3:C15,0))+1))),IF(I391="Lay",((L391/(L391-1)-1)*(1-_xlfn.XLOOKUP(K391,'Janeiro 2023 - Valor Real'!A3:A15,'Janeiro 2023 - Valor Real'!C3:C15,0))+1)/((((L391/(L391-1)-1)*(1-_xlfn.XLOOKUP(K391,'Janeiro 2023 - Valor Real'!A3:A15,'Janeiro 2023 - Valor Real'!C3:C15,0))+1))+((L392-1)*(1-_xlfn.XLOOKUP(K392,'Janeiro 2023 - Valor Real'!A3:A15,'Janeiro 2023 - Valor Real'!C3:C15,0))+1)),((L391-1)*(1-_xlfn.XLOOKUP(K391,'Janeiro 2023 - Valor Real'!A3:A15,'Janeiro 2023 - Valor Real'!C3:C15,0))+1)/(((L391-1)*(1-_xlfn.XLOOKUP(K391,'Janeiro 2023 - Valor Real'!A3:A15,'Janeiro 2023 - Valor Real'!C3:C15,0))+1)+((L392-1)*(1-_xlfn.XLOOKUP(K392,'Janeiro 2023 - Valor Real'!A3:A15,'Janeiro 2023 - Valor Real'!C3:C15,0))+1))))))</f>
        <v>0.80964824120603</v>
      </c>
      <c r="AF392" s="197">
        <f>IF($K392=AF$3,ROUND(IF(OR($C392="W",$C392="1/2W",$C392="1/2L"),$P392-$O392,IF($C392="X",0,-$O392)),2),0)</f>
        <v>0</v>
      </c>
      <c r="AG392" s="198">
        <f>IF($K392=AG$3,ROUND(IF(OR($C392="W",$C392="1/2W",$C392="1/2L"),$P392-$O392,IF($C392="X",0,-$O392)),2),0)</f>
        <v>0</v>
      </c>
      <c r="AH392" s="198">
        <f>IF($K392=AH$3,ROUND(IF(OR($C392="W",$C392="1/2W",$C392="1/2L"),$P392-$O392,IF($C392="X",0,-$O392)),2),0)</f>
        <v>-20.48</v>
      </c>
      <c r="AI392" s="198">
        <f>IF($K392=AI$3,ROUND(IF(OR($C392="W",$C392="1/2W",$C392="1/2L"),$P392-$O392,IF($C392="X",0,-$O392)),2),0)</f>
        <v>0</v>
      </c>
      <c r="AJ392" s="198">
        <f>IF($K392=AJ$3,ROUND(IF(OR($C392="W",$C392="1/2W",$C392="1/2L"),$P392-$O392,IF($C392="X",0,-$O392)),2),0)</f>
        <v>0</v>
      </c>
      <c r="AK392" s="198">
        <f>IF($K392=AK$3,ROUND(IF(OR($C392="W",$C392="1/2W",$C392="1/2L"),$P392-$O392,IF($C392="X",0,-$O392)),2),0)</f>
        <v>0</v>
      </c>
      <c r="AL392" s="198">
        <f>IF($K392=AL$3,ROUND(IF(OR($C392="W",$C392="1/2W",$C392="1/2L"),$P392-$O392,IF($C392="X",0,-$O392)),2),0)</f>
        <v>0</v>
      </c>
      <c r="AM392" s="198">
        <f>IF($K392=AM$3,ROUND(IF(OR($C392="W",$C392="1/2W",$C392="1/2L"),$P392-$O392,IF($C392="X",0,-$O392)),2),0)</f>
        <v>0</v>
      </c>
      <c r="AN392" s="198">
        <f>IF($K392=AN$3,ROUND(IF(OR($C392="W",$C392="1/2W",$C392="1/2L"),$P392-$O392,IF($C392="X",0,-$O392)),2),0)</f>
        <v>0</v>
      </c>
      <c r="AO392" s="198">
        <f>IF($K392=AO$3,ROUND(IF(OR($C392="W",$C392="1/2W",$C392="1/2L"),$P392-$O392,IF($C392="X",0,-$O392)),2),0)</f>
        <v>0</v>
      </c>
      <c r="AP392" s="198">
        <f>IF($K392=AP$3,ROUND(IF(OR($C392="W",$C392="1/2W",$C392="1/2L"),$P392-$O392,IF($C392="X",0,-$O392)),2),0)</f>
        <v>0</v>
      </c>
      <c r="AQ392" s="198">
        <f>IF($K392=AQ$3,ROUND(IF(OR($C392="W",$C392="1/2W",$C392="1/2L"),$P392-$O392,IF($C392="X",0,-$O392)),2),0)</f>
        <v>0</v>
      </c>
      <c r="AR392" s="199">
        <f>IF($K392=AR$3,ROUND(IF(OR($C392="W",$C392="1/2W",$C392="1/2L"),$P392-$O392,IF($C392="X",0,-$O392)),2),0)</f>
        <v>0</v>
      </c>
      <c r="AS392" s="197">
        <f>IF(AND($B391=" ",$K392=AS$3),$O392,0)</f>
        <v>0</v>
      </c>
      <c r="AT392" s="198">
        <f>IF(AND($B391=" ",K392=AT$3),$O392,0)</f>
        <v>0</v>
      </c>
      <c r="AU392" s="198">
        <f>IF(AND($B391=" ",$K392=AU$3),$O392,0)</f>
        <v>0</v>
      </c>
      <c r="AV392" s="198">
        <f>IF(AND($B391=" ",$K392=AV$3),$O392,0)</f>
        <v>0</v>
      </c>
      <c r="AW392" s="198">
        <f>IF(AND($B391=" ",$K392=AW$3),$O392,0)</f>
        <v>0</v>
      </c>
      <c r="AX392" s="198">
        <f>IF(AND($B391=" ",$K392=AX$3),$O392,0)</f>
        <v>0</v>
      </c>
      <c r="AY392" s="200">
        <f>IF(AND($B391=" ",$K392=AY$3),$O392,0)</f>
        <v>0</v>
      </c>
      <c r="AZ392" s="201">
        <f>IF(AND($B391=" ",$K392=AZ$3),$O392,0)</f>
        <v>0</v>
      </c>
      <c r="BA392" s="201">
        <f>IF(AND($B391=" ",$K392=BA$3),$O392,0)</f>
        <v>0</v>
      </c>
      <c r="BB392" s="201">
        <f>IF(AND($B391=" ",$K392=BB$3),$O392,0)</f>
        <v>0</v>
      </c>
      <c r="BC392" s="202">
        <f>IF(AND($B391=" ",$K392=BC$3),$O392,0)</f>
        <v>0</v>
      </c>
      <c r="BD392" s="198">
        <f>IF(AND($B391=" ",$K392=BD$3),$O392,0)</f>
        <v>0</v>
      </c>
      <c r="BE392" s="199">
        <f>IF(AND($B391=" ",$K392=BE$3),$O392,0)</f>
        <v>0</v>
      </c>
      <c r="BF392" s="197">
        <f>IF($K392=BF$3,IF($C392="X",0,$O392),0)</f>
        <v>0</v>
      </c>
      <c r="BG392" s="198">
        <f>IF($K392=BG$3,IF($C392="X",0,$O392),0)</f>
        <v>0</v>
      </c>
      <c r="BH392" s="198">
        <f>IF($K392=BH$3,IF($C392="X",0,$O392),0)</f>
        <v>20.48</v>
      </c>
      <c r="BI392" s="198">
        <f>IF($K392=BI$3,IF($C392="X",0,$O392),0)</f>
        <v>0</v>
      </c>
      <c r="BJ392" s="198">
        <f>IF($K392=BJ$3,IF($C392="X",0,$O392),0)</f>
        <v>0</v>
      </c>
      <c r="BK392" s="198">
        <f>IF($K392=BK$3,IF($C392="X",0,$O392),0)</f>
        <v>0</v>
      </c>
      <c r="BL392" s="198">
        <f>IF($K392=BL$3,IF($C392="X",0,$O392),0)</f>
        <v>0</v>
      </c>
      <c r="BM392" s="227">
        <f>IF($K392=BM$3,IF($C392="X",0,$O392),0)</f>
        <v>0</v>
      </c>
      <c r="BN392" s="205">
        <f>IF($K392=BN$3,IF($C392="X",0,$O392),0)</f>
        <v>0</v>
      </c>
      <c r="BO392" s="205">
        <f>IF($K392=BO$3,IF($C392="X",0,$O392),0)</f>
        <v>0</v>
      </c>
      <c r="BP392" s="205">
        <f>IF($K392=BP$3,IF($C392="X",0,$O392),0)</f>
        <v>0</v>
      </c>
      <c r="BQ392" s="202">
        <f>IF($K392=BQ$3,IF($C392="X",0,$O392),0)</f>
        <v>0</v>
      </c>
      <c r="BR392" s="199">
        <f>IF($K392=BR$3,IF($C392="X",0,$O392),0)</f>
        <v>0</v>
      </c>
      <c r="BS392" s="228"/>
      <c r="BT392" s="229"/>
      <c r="BU392" s="140"/>
      <c r="BV392" s="229"/>
      <c r="BW392" s="140"/>
      <c r="BX392" s="140"/>
      <c r="BY392" s="140"/>
      <c r="BZ392" s="229"/>
      <c r="CA392" s="140"/>
      <c r="CB392" s="140"/>
      <c r="CC392" s="140"/>
      <c r="CD392" s="141"/>
      <c r="CE392" s="142"/>
      <c r="CF392" s="230">
        <f>IF(CF$3=$K392,IF($C392="W",1,IF($C392="1/2W",0.5,0)),0)</f>
        <v>0</v>
      </c>
      <c r="CG392" s="231">
        <f>IF(CF$3=$K392,IF($C392="L",1,IF($C392="1/2L",0.5,0)),0)</f>
        <v>0</v>
      </c>
      <c r="CH392" s="231">
        <f>IF(CH$3=$K392,IF($C392="W",1,IF($C392="1/2W",0.5,0)),0)</f>
        <v>0</v>
      </c>
      <c r="CI392" s="231">
        <f>IF(CH$3=$K392,IF($C392="L",1,IF($C392="1/2L",0.5,0)),0)</f>
        <v>0</v>
      </c>
      <c r="CJ392" s="231">
        <f>IF(CJ$3=$K392,IF($C392="W",1,IF($C392="1/2W",0.5,0)),0)</f>
        <v>0</v>
      </c>
      <c r="CK392" s="231">
        <f>IF(CJ$3=$K392,IF($C392="L",1,IF($C392="1/2L",0.5,0)),0)</f>
        <v>1</v>
      </c>
      <c r="CL392" s="231">
        <f>IF(CL$3=$K392,IF($C392="W",1,IF($C392="1/2W",0.5,0)),0)</f>
        <v>0</v>
      </c>
      <c r="CM392" s="231">
        <f>IF(CL$3=$K392,IF($C392="L",1,IF($C392="1/2L",0.5,0)),0)</f>
        <v>0</v>
      </c>
      <c r="CN392" s="231">
        <f>IF(CN$3=$K392,IF($C392="W",1,IF($C392="1/2W",0.5,0)),0)</f>
        <v>0</v>
      </c>
      <c r="CO392" s="231">
        <f>IF(CN$3=$K392,IF($C392="L",1,IF($C392="1/2L",0.5,0)),0)</f>
        <v>0</v>
      </c>
      <c r="CP392" s="231">
        <f>IF(CP$3=$K392,IF($C392="W",1,IF($C392="1/2W",0.5,0)),0)</f>
        <v>0</v>
      </c>
      <c r="CQ392" s="231">
        <f>IF(CP$3=$K392,IF($C392="L",1,IF($C392="1/2L",0.5,0)),0)</f>
        <v>0</v>
      </c>
      <c r="CR392" s="231">
        <f>IF(CR$3=$K392,IF($C392="W",1,IF($C392="1/2W",0.5,0)),0)</f>
        <v>0</v>
      </c>
      <c r="CS392" s="231">
        <f>IF(CR$3=$K392,IF($C392="L",1,IF($C392="1/2L",0.5,0)),0)</f>
        <v>0</v>
      </c>
      <c r="CT392" s="208">
        <f>IF(CT$3=$K392,IF($C392="W",1,IF($C392="1/2W",0.5,0)),0)</f>
        <v>0</v>
      </c>
      <c r="CU392" s="209">
        <f>IF(CT$3=$K392,IF($C392="L",1,IF($C392="1/2L",0.5,0)),0)</f>
        <v>0</v>
      </c>
      <c r="CV392" s="209">
        <f>IF(CV$3=$K392,IF($C392="W",1,IF($C392="1/2W",0.5,0)),0)</f>
        <v>0</v>
      </c>
      <c r="CW392" s="209">
        <f>IF(CV$3=$K392,IF($C392="L",1,IF($C392="1/2L",0.5,0)),0)</f>
        <v>0</v>
      </c>
      <c r="CX392" s="209">
        <f>IF(CX$3=$K392,IF($C392="W",1,IF($C392="1/2W",0.5,0)),0)</f>
        <v>0</v>
      </c>
      <c r="CY392" s="209">
        <f>IF(CX$3=$K392,IF($C392="L",1,IF($C392="1/2L",0.5,0)),0)</f>
        <v>0</v>
      </c>
      <c r="CZ392" s="209">
        <f>IF(CZ$3=$K392,IF($C392="W",1,IF($C392="1/2W",0.5,0)),0)</f>
        <v>0</v>
      </c>
      <c r="DA392" s="209">
        <f>IF(CZ$3=$K392,IF($C392="L",1,IF($C392="1/2L",0.5,0)),0)</f>
        <v>0</v>
      </c>
      <c r="DB392" s="209">
        <f>IF(DB$3=$K392,IF($C392="W",1,IF($C392="1/2W",0.5,0)),0)</f>
        <v>0</v>
      </c>
      <c r="DC392" s="209">
        <f>IF(DB$3=$K392,IF($C392="L",1,IF($C392="1/2L",0.5,0)),0)</f>
        <v>0</v>
      </c>
      <c r="DD392" s="209">
        <f>IF(DD$3=$K392,IF($C392="W",1,IF($C392="1/2W",0.5,0)),0)</f>
        <v>0</v>
      </c>
      <c r="DE392" s="210">
        <f>IF(DD$3=$K392,IF($C392="L",1,IF($C392="1/2L",0.5,0)),0)</f>
        <v>0</v>
      </c>
      <c r="DF392" s="211">
        <f>IF(AND(L392&lt;DF$3,$C392="W"),1+DF391,DF391)</f>
        <v>12</v>
      </c>
      <c r="DG392" s="198">
        <f>IF(DF392&gt;DF391,L392+DG391,DG391)</f>
        <v>15.718</v>
      </c>
      <c r="DH392" s="209">
        <f>IF(AND(L392&gt;DH$3,$C392="W"),1+DH391,0+DH391)</f>
        <v>10</v>
      </c>
      <c r="DI392" s="198">
        <f>IF(DH392&gt;DH391,L392+DI391,DI391)</f>
        <v>55.13</v>
      </c>
      <c r="DJ392" t="s" s="306">
        <f>IF($D391="","",$D391)</f>
        <v>307</v>
      </c>
      <c r="DK392" s="232"/>
    </row>
    <row r="393" ht="14.55" customHeight="1">
      <c r="A393" s="149"/>
      <c r="B393" s="150"/>
      <c r="C393" t="s" s="233">
        <v>58</v>
      </c>
      <c r="D393" s="152"/>
      <c r="E393" s="153"/>
      <c r="F393" s="155"/>
      <c r="G393" s="234"/>
      <c r="H393" s="156"/>
      <c r="I393" s="235"/>
      <c r="J393" s="236"/>
      <c r="K393" s="237"/>
      <c r="L393" s="238"/>
      <c r="M393" s="239"/>
      <c r="N393" s="161"/>
      <c r="O393" t="s" s="240">
        <f>IF(OR(AE391="",AE392=""),"",IF(L393&gt;0,ROUND(IF(M393&gt;0,M393,IF(M391&gt;0,ROUND((M391*AE393)/AE391,IF(N391=0,2,IF(N391=0.1,1,0))),IF(M392&gt;0,ROUND((M392*AE393)/AE392,IF(N391=0,2,IF(N391=0.1,1,0))),IF(M393&gt;0,M393,0)))),2),""))</f>
      </c>
      <c r="P393" s="309">
        <f>IF(I392="Lay",O392*(L392/(L392-1))-O392,IF(I391="Lay",O391*(L391/(L391-1))-O391,IF(OR(L393="",O393=""),"",IF($C393="1/2W",O393/2+O393/2*L393,IF($C393="1/2L",O393/2,(O393*L393-O393)*(1-_xlfn.XLOOKUP(K393,'Janeiro 2023 - Valor Real'!A3:A15,'Janeiro 2023 - Valor Real'!C3:C15,0))+O393)))))</f>
        <v>5.38947368421053</v>
      </c>
      <c r="Q393" t="s" s="242">
        <f>IF(K393="","",IF(_xlfn.XLOOKUP(K393,K$124:K166,DJ$124:DJ166,0,,-1)=DJ393,_xlfn.XLOOKUP(K393,K$124:K166,Q$124:Q166,1,,-1)+1,1))</f>
      </c>
      <c r="R393" t="s" s="243">
        <f>IF(K393="","",_xlfn.XLOOKUP(K393,K$124:K166,R$124:R166,0,,-1)+IF($C393=" ",1,0))</f>
      </c>
      <c r="S393" s="166"/>
      <c r="T393" s="155"/>
      <c r="U393" s="155"/>
      <c r="V393" s="166"/>
      <c r="W393" s="155"/>
      <c r="X393" s="167"/>
      <c r="Y393" s="128"/>
      <c r="Z393" s="129"/>
      <c r="AA393" s="129"/>
      <c r="AB393" s="129"/>
      <c r="AC393" s="129"/>
      <c r="AD393" s="244">
        <f>((L392/(L392-1)-1))</f>
        <v>0.263157894736842</v>
      </c>
      <c r="AE393" t="s" s="245">
        <f>IF(L393="","",(SUM(((L391-1)*(1-_xlfn.XLOOKUP(K391,'Janeiro 2023 - Valor Real'!A3:A15,'Janeiro 2023 - Valor Real'!C3:C15,0))+1),((L392-1)*(1-_xlfn.XLOOKUP(K392,'Janeiro 2023 - Valor Real'!A3:A15,'Janeiro 2023 - Valor Real'!C3:C15,0))+1),((L393-1)*(1-_xlfn.XLOOKUP(K393,'Janeiro 2023 - Valor Real'!A3:A15,'Janeiro 2023 - Valor Real'!C3:C15,0))+1))/((L393-1)*(1-_xlfn.XLOOKUP(K393,'Janeiro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Real'!C3:C15,0))+1))/((L391-1)*(1-_xlfn.XLOOKUP(K391,'Janeiro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Real'!C3:C15,0))+1))/((L392-1)*(1-_xlfn.XLOOKUP(K392,'Janeiro 2023 - Valor Real'!A3:A15,'Janeiro 2023 - Valor Real'!C3:C15,0))+1)+SUM(((L391-1)*(1-_xlfn.XLOOKUP(K391,'Janeiro 2023 - Valor Real'!A3:A15,'Janeiro 2023 - Valor Real'!C3:C15,0))+1),((L392-1)*(1-_xlfn.XLOOKUP(K392,'Janeiro 2023 - Valor Real'!A3:A15,'Janeiro 2023 - Valor Real'!C3:C15,0))+1),((L393-1)*(1-_xlfn.XLOOKUP(K393,'Janeiro 2023 - Valor Real'!A3:A15,'Janeiro 2023 - Valor Real'!C3:C15,0))+1))/((L393-1)*(1-_xlfn.XLOOKUP(K393,'Janeiro 2023 - Valor Real'!A3:A15,'Janeiro 2023 - Valor Real'!C3:C15,0))+1)))</f>
      </c>
      <c r="AF393" s="197">
        <f>IF($K393=AF$3,ROUND(IF(OR($C393="W",$C393="1/2W",$C393="1/2L"),$P393-$O393,IF($C393="X",0,-$O393)),2),0)</f>
        <v>0</v>
      </c>
      <c r="AG393" s="198">
        <f>IF($K393=AG$3,ROUND(IF(OR($C393="W",$C393="1/2W",$C393="1/2L"),$P393-$O393,IF($C393="X",0,-$O393)),2),0)</f>
        <v>0</v>
      </c>
      <c r="AH393" s="198">
        <f>IF($K393=AH$3,ROUND(IF(OR($C393="W",$C393="1/2W",$C393="1/2L"),$P393-$O393,IF($C393="X",0,-$O393)),2),0)</f>
        <v>0</v>
      </c>
      <c r="AI393" s="198">
        <f>IF($K393=AI$3,ROUND(IF(OR($C393="W",$C393="1/2W",$C393="1/2L"),$P393-$O393,IF($C393="X",0,-$O393)),2),0)</f>
        <v>0</v>
      </c>
      <c r="AJ393" s="198">
        <f>IF($K393=AJ$3,ROUND(IF(OR($C393="W",$C393="1/2W",$C393="1/2L"),$P393-$O393,IF($C393="X",0,-$O393)),2),0)</f>
        <v>0</v>
      </c>
      <c r="AK393" s="198">
        <f>IF($K393=AK$3,ROUND(IF(OR($C393="W",$C393="1/2W",$C393="1/2L"),$P393-$O393,IF($C393="X",0,-$O393)),2),0)</f>
        <v>0</v>
      </c>
      <c r="AL393" s="198">
        <f>IF($K393=AL$3,ROUND(IF(OR($C393="W",$C393="1/2W",$C393="1/2L"),$P393-$O393,IF($C393="X",0,-$O393)),2),0)</f>
        <v>0</v>
      </c>
      <c r="AM393" s="198">
        <f>IF($K393=AM$3,ROUND(IF(OR($C393="W",$C393="1/2W",$C393="1/2L"),$P393-$O393,IF($C393="X",0,-$O393)),2),0)</f>
        <v>0</v>
      </c>
      <c r="AN393" s="198">
        <f>IF($K393=AN$3,ROUND(IF(OR($C393="W",$C393="1/2W",$C393="1/2L"),$P393-$O393,IF($C393="X",0,-$O393)),2),0)</f>
        <v>0</v>
      </c>
      <c r="AO393" s="198">
        <f>IF($K393=AO$3,ROUND(IF(OR($C393="W",$C393="1/2W",$C393="1/2L"),$P393-$O393,IF($C393="X",0,-$O393)),2),0)</f>
        <v>0</v>
      </c>
      <c r="AP393" s="198">
        <f>IF($K393=AP$3,ROUND(IF(OR($C393="W",$C393="1/2W",$C393="1/2L"),$P393-$O393,IF($C393="X",0,-$O393)),2),0)</f>
        <v>0</v>
      </c>
      <c r="AQ393" s="198">
        <f>IF($K393=AQ$3,ROUND(IF(OR($C393="W",$C393="1/2W",$C393="1/2L"),$P393-$O393,IF($C393="X",0,-$O393)),2),0)</f>
        <v>0</v>
      </c>
      <c r="AR393" s="199">
        <f>IF($K393=AR$3,ROUND(IF(OR($C393="W",$C393="1/2W",$C393="1/2L"),$P393-$O393,IF($C393="X",0,-$O393)),2),0)</f>
        <v>0</v>
      </c>
      <c r="AS393" s="197">
        <f>IF(AND($B391=" ",$K393=AS$3),$O393,0)</f>
        <v>0</v>
      </c>
      <c r="AT393" s="198">
        <f>IF(AND($B391=" ",K393=AT$3),$O393,0)</f>
        <v>0</v>
      </c>
      <c r="AU393" s="198">
        <f>IF(AND($B391=" ",$K393=AU$3),$O393,0)</f>
        <v>0</v>
      </c>
      <c r="AV393" s="198">
        <f>IF(AND($B391=" ",$K393=AV$3),$O393,0)</f>
        <v>0</v>
      </c>
      <c r="AW393" s="198">
        <f>IF(AND($B391=" ",$K393=AW$3),$O393,0)</f>
        <v>0</v>
      </c>
      <c r="AX393" s="198">
        <f>IF(AND($B391=" ",$K393=AX$3),$O393,0)</f>
        <v>0</v>
      </c>
      <c r="AY393" s="200">
        <f>IF(AND($B391=" ",$K393=AY$3),$O393,0)</f>
        <v>0</v>
      </c>
      <c r="AZ393" s="201">
        <f>IF(AND($B391=" ",$K393=AZ$3),$O393,0)</f>
        <v>0</v>
      </c>
      <c r="BA393" s="201">
        <f>IF(AND($B391=" ",$K393=BA$3),$O393,0)</f>
        <v>0</v>
      </c>
      <c r="BB393" s="201">
        <f>IF(AND($B391=" ",$K393=BB$3),$O393,0)</f>
        <v>0</v>
      </c>
      <c r="BC393" s="202">
        <f>IF(AND($B391=" ",$K393=BC$3),$O393,0)</f>
        <v>0</v>
      </c>
      <c r="BD393" s="198">
        <f>IF(AND($B391=" ",$K393=BD$3),$O393,0)</f>
        <v>0</v>
      </c>
      <c r="BE393" s="199">
        <f>IF(AND($B391=" ",$K393=BE$3),$O393,0)</f>
        <v>0</v>
      </c>
      <c r="BF393" s="197">
        <f>IF($K393=BF$3,IF($C393="X",0,$O393),0)</f>
        <v>0</v>
      </c>
      <c r="BG393" s="198">
        <f>IF($K393=BG$3,IF($C393="X",0,$O393),0)</f>
        <v>0</v>
      </c>
      <c r="BH393" s="198">
        <f>IF($K393=BH$3,IF($C393="X",0,$O393),0)</f>
        <v>0</v>
      </c>
      <c r="BI393" s="198">
        <f>IF($K393=BI$3,IF($C393="X",0,$O393),0)</f>
        <v>0</v>
      </c>
      <c r="BJ393" s="198">
        <f>IF($K393=BJ$3,IF($C393="X",0,$O393),0)</f>
        <v>0</v>
      </c>
      <c r="BK393" s="198">
        <f>IF($K393=BK$3,IF($C393="X",0,$O393),0)</f>
        <v>0</v>
      </c>
      <c r="BL393" s="198">
        <f>IF($K393=BL$3,IF($C393="X",0,$O393),0)</f>
        <v>0</v>
      </c>
      <c r="BM393" s="200">
        <f>IF($K393=BM$3,IF($C393="X",0,$O393),0)</f>
        <v>0</v>
      </c>
      <c r="BN393" s="201">
        <f>IF($K393=BN$3,IF($C393="X",0,$O393),0)</f>
        <v>0</v>
      </c>
      <c r="BO393" s="201">
        <f>IF($K393=BO$3,IF($C393="X",0,$O393),0)</f>
        <v>0</v>
      </c>
      <c r="BP393" s="201">
        <f>IF($K393=BP$3,IF($C393="X",0,$O393),0)</f>
        <v>0</v>
      </c>
      <c r="BQ393" s="202">
        <f>IF($K393=BQ$3,IF($C393="X",0,$O393),0)</f>
        <v>0</v>
      </c>
      <c r="BR393" s="199">
        <f>IF($K393=BR$3,IF($C393="X",0,$O393),0)</f>
        <v>0</v>
      </c>
      <c r="BS393" s="228"/>
      <c r="BT393" s="229"/>
      <c r="BU393" s="140"/>
      <c r="BV393" s="229"/>
      <c r="BW393" s="140"/>
      <c r="BX393" s="140"/>
      <c r="BY393" s="140"/>
      <c r="BZ393" s="229"/>
      <c r="CA393" s="140"/>
      <c r="CB393" s="140"/>
      <c r="CC393" s="140"/>
      <c r="CD393" s="141"/>
      <c r="CE393" s="142"/>
      <c r="CF393" s="230">
        <f>IF(CF$3=$K393,IF($C393="W",1,IF($C393="1/2W",0.5,0)),0)</f>
        <v>0</v>
      </c>
      <c r="CG393" s="231">
        <f>IF(CF$3=$K393,IF($C393="L",1,IF($C393="1/2L",0.5,0)),0)</f>
        <v>0</v>
      </c>
      <c r="CH393" s="231">
        <f>IF(CH$3=$K393,IF($C393="W",1,IF($C393="1/2W",0.5,0)),0)</f>
        <v>0</v>
      </c>
      <c r="CI393" s="231">
        <f>IF(CH$3=$K393,IF($C393="L",1,IF($C393="1/2L",0.5,0)),0)</f>
        <v>0</v>
      </c>
      <c r="CJ393" s="231">
        <f>IF(CJ$3=$K393,IF($C393="W",1,IF($C393="1/2W",0.5,0)),0)</f>
        <v>0</v>
      </c>
      <c r="CK393" s="231">
        <f>IF(CJ$3=$K393,IF($C393="L",1,IF($C393="1/2L",0.5,0)),0)</f>
        <v>0</v>
      </c>
      <c r="CL393" s="231">
        <f>IF(CL$3=$K393,IF($C393="W",1,IF($C393="1/2W",0.5,0)),0)</f>
        <v>0</v>
      </c>
      <c r="CM393" s="231">
        <f>IF(CL$3=$K393,IF($C393="L",1,IF($C393="1/2L",0.5,0)),0)</f>
        <v>0</v>
      </c>
      <c r="CN393" s="231">
        <f>IF(CN$3=$K393,IF($C393="W",1,IF($C393="1/2W",0.5,0)),0)</f>
        <v>0</v>
      </c>
      <c r="CO393" s="231">
        <f>IF(CN$3=$K393,IF($C393="L",1,IF($C393="1/2L",0.5,0)),0)</f>
        <v>0</v>
      </c>
      <c r="CP393" s="231">
        <f>IF(CP$3=$K393,IF($C393="W",1,IF($C393="1/2W",0.5,0)),0)</f>
        <v>0</v>
      </c>
      <c r="CQ393" s="231">
        <f>IF(CP$3=$K393,IF($C393="L",1,IF($C393="1/2L",0.5,0)),0)</f>
        <v>0</v>
      </c>
      <c r="CR393" s="231">
        <f>IF(CR$3=$K393,IF($C393="W",1,IF($C393="1/2W",0.5,0)),0)</f>
        <v>0</v>
      </c>
      <c r="CS393" s="231">
        <f>IF(CR$3=$K393,IF($C393="L",1,IF($C393="1/2L",0.5,0)),0)</f>
        <v>0</v>
      </c>
      <c r="CT393" s="208">
        <f>IF(CT$3=$K393,IF($C393="W",1,IF($C393="1/2W",0.5,0)),0)</f>
        <v>0</v>
      </c>
      <c r="CU393" s="209">
        <f>IF(CT$3=$K393,IF($C393="L",1,IF($C393="1/2L",0.5,0)),0)</f>
        <v>0</v>
      </c>
      <c r="CV393" s="209">
        <f>IF(CV$3=$K393,IF($C393="W",1,IF($C393="1/2W",0.5,0)),0)</f>
        <v>0</v>
      </c>
      <c r="CW393" s="209">
        <f>IF(CV$3=$K393,IF($C393="L",1,IF($C393="1/2L",0.5,0)),0)</f>
        <v>0</v>
      </c>
      <c r="CX393" s="209">
        <f>IF(CX$3=$K393,IF($C393="W",1,IF($C393="1/2W",0.5,0)),0)</f>
        <v>0</v>
      </c>
      <c r="CY393" s="209">
        <f>IF(CX$3=$K393,IF($C393="L",1,IF($C393="1/2L",0.5,0)),0)</f>
        <v>0</v>
      </c>
      <c r="CZ393" s="209">
        <f>IF(CZ$3=$K393,IF($C393="W",1,IF($C393="1/2W",0.5,0)),0)</f>
        <v>0</v>
      </c>
      <c r="DA393" s="209">
        <f>IF(CZ$3=$K393,IF($C393="L",1,IF($C393="1/2L",0.5,0)),0)</f>
        <v>0</v>
      </c>
      <c r="DB393" s="209">
        <f>IF(DB$3=$K393,IF($C393="W",1,IF($C393="1/2W",0.5,0)),0)</f>
        <v>0</v>
      </c>
      <c r="DC393" s="209">
        <f>IF(DB$3=$K393,IF($C393="L",1,IF($C393="1/2L",0.5,0)),0)</f>
        <v>0</v>
      </c>
      <c r="DD393" s="209">
        <f>IF(DD$3=$K393,IF($C393="W",1,IF($C393="1/2W",0.5,0)),0)</f>
        <v>0</v>
      </c>
      <c r="DE393" s="210">
        <f>IF(DD$3=$K393,IF($C393="L",1,IF($C393="1/2L",0.5,0)),0)</f>
        <v>0</v>
      </c>
      <c r="DF393" s="211">
        <f>IF(AND(L393&lt;DF$3,$C393="W"),1+DF392,DF392)</f>
        <v>12</v>
      </c>
      <c r="DG393" s="198">
        <f>IF(DF393&gt;DF392,L393+DG392,DG392)</f>
        <v>15.718</v>
      </c>
      <c r="DH393" s="209">
        <f>IF(AND(L393&gt;DH$3,$C393="W"),1+DH392,0+DH392)</f>
        <v>10</v>
      </c>
      <c r="DI393" s="198">
        <f>IF(DH393&gt;DH392,L393+DI392,DI392)</f>
        <v>55.13</v>
      </c>
      <c r="DJ393" t="s" s="306">
        <f>IF($D391="","",$D391)</f>
        <v>307</v>
      </c>
      <c r="DK393" s="232"/>
    </row>
    <row r="394" ht="14.55" customHeight="1">
      <c r="A394" s="246">
        <f>$A391+1</f>
        <v>131</v>
      </c>
      <c r="B394" t="s" s="247">
        <f>IF(AND(_xlfn.XLOOKUP(H394,H$107:H161,G$107:G161,0)=G394,_xlfn.XLOOKUP("TempoBet",K394:K396,L394:L396,0)&gt;0),"X",IF(OR(C394="W",C395="W",C396="W",C394="1/2W",C395="1/2W",C396="1/2W",C394="1/2L",C395="1/2L",C396="1/2L"),"OK",IF(OR(C394="L",C395="L",C396="L"),"LOSS",IF(OR(C394="X",C395="X",C396="X"),"Anulado"," "))))</f>
        <v>50</v>
      </c>
      <c r="C394" t="s" s="248">
        <v>56</v>
      </c>
      <c r="D394" t="s" s="303">
        <f>IF(G394="","",$D391)</f>
        <v>307</v>
      </c>
      <c r="E394" t="s" s="250">
        <v>133</v>
      </c>
      <c r="F394" t="s" s="251"/>
      <c r="G394" s="252">
        <v>44950.84375</v>
      </c>
      <c r="H394" t="s" s="253">
        <v>327</v>
      </c>
      <c r="I394" t="s" s="254">
        <v>57</v>
      </c>
      <c r="J394" s="255">
        <v>1.5</v>
      </c>
      <c r="K394" t="s" s="256">
        <v>37</v>
      </c>
      <c r="L394" s="257">
        <v>1.9</v>
      </c>
      <c r="M394" s="258"/>
      <c r="N394" s="259">
        <v>0.1</v>
      </c>
      <c r="O394" s="260">
        <f>IF(OR(AE394="",AE395=""),"",ROUND(IF(L396&gt;0,IF(M394&gt;0,M394,IF(M395&gt;0,ROUND((M395*AE394)/AE395,IF(N394=0,2,IF(N394=0.1,1,0))),ROUND((M396*AE394)/AE396,IF(N394=0,2,IF(N394=0.1,1,0))))),IF(M394&gt;0,M394,ROUND((M395*AE394)/AE395,IF(N394=0,2,IF(N394=0.1,1,0))))),2))</f>
        <v>12.6</v>
      </c>
      <c r="P394" s="261">
        <f>IF(OR(L394="",O394=""),"",IF($C394="1/2W",O394/2+O394/2*L394,IF($C394="1/2L",O394/2,IF(I394="Lay",(O394*(L394/(L394-1))-O394)*(1-_xlfn.XLOOKUP(K394,'Janeiro 2023 - Valor Real'!A3:A15,'Janeiro 2023 - Valor Real'!C3:C15,0))+O394,(O394*L394-O394)*(1-_xlfn.XLOOKUP(K394,'Janeiro 2023 - Valor Real'!A3:A15,'Janeiro 2023 - Valor Real'!C3:C15,0))+O394))))</f>
        <v>23.94</v>
      </c>
      <c r="Q394" s="262">
        <f>IF(K394="","",IF(_xlfn.XLOOKUP(K394,K$107:K161,DJ$107:DJ161,0,,-1)=DJ394,_xlfn.XLOOKUP(K394,K$107:K161,Q$107:Q161,1,,-1)+1,1))</f>
        <v>1</v>
      </c>
      <c r="R394" s="263">
        <f>IF(K394="","",_xlfn.XLOOKUP(K394,K$107:K161,R$107:R161,0,,-1)+IF($C394=" ",1,0))</f>
        <v>0</v>
      </c>
      <c r="S394" s="264">
        <f>IF($B394="Anulado",0,ROUND(IF(OR($B394="LOSS",$B394="OK"),IF(OR($C394="W",$C394="1/2W",$C394="1/2L"),P394-O394,IF($C394="L",-O394,0))+IF(OR($C395="W",$C395="1/2W",$C395="1/2L"),P395-O395,IF($C395="L",-O395,0))+IF(OR($C396="W",$C396="1/2W",$C396="1/2L"),P396-O396,IF($C396="L",-O396,0)),IF(AND(OR($C394="W",$C394="1/2W",$C394="1/2L"),C395="W"),P394+P395-SUM(O394:O396)+_xlfn.XLOOKUP("X",C394:C396,O394:O396,0),IF(AND(C394=TRUE,C396="W"),P394+P396-SUM(O394:O396),IF(AND(C395="W",C396="W"),P395+P396-SUM(O394:O396)+_xlfn.XLOOKUP("X",C394:C396,O394:O396,0),IF(L396&gt;0,IF(OR($C394="W",$C394="1/2W",$C394="1/2L"),P394-SUM(O394:O396)+_xlfn.XLOOKUP("X",C394:C396,O394:O396,0),IF(OR($C394="W",$C394="1/2W",$C394="1/2L"),P395-SUM(O394:O396)+_xlfn.XLOOKUP("X",C394:C396,O394:O396,0),IF(OR($C394="W",$C394="1/2W",$C394="1/2L"),P396-SUM(O394:O396)+_xlfn.XLOOKUP("X",C394:C396,O394:O396,0),IF(SUM(P394:P396)/3-SUM(O394:O396)+_xlfn.XLOOKUP("X",C394:C396,O394:O396,0)&gt;0,SUM(P394:P396)/3-SUM(O394:O396)+_xlfn.XLOOKUP("X",C394:C396,O394:O396,0),LARGE(P394:P396,1)-SUM(O394:O396))))),IF(OR($C394="W",$C394="1/2W",$C394="1/2L"),P394-SUM(O394:O395)+_xlfn.XLOOKUP("X",C394:C396,O394:O396,0),IF(OR($C394="W",$C394="1/2W",$C394="1/2L"),P395-SUM(O394:O395)+_xlfn.XLOOKUP("X",C394:C396,O394:O396,0),SUM(P394:P395)/2-SUM(O394:O395)+_xlfn.XLOOKUP("X",C394:C396,O394:O396,0)))))))),2))</f>
        <v>1.79</v>
      </c>
      <c r="T394" s="265">
        <f>IF(S394=0,0,S394/SUM(O394:O396))</f>
        <v>0.0808126410835214</v>
      </c>
      <c r="U394" s="266">
        <f>IF($D394=$D391,IF(OR($B394="LOSS",$B394="OK",$B394="Anulada"),S394,0)+U391,IF(OR($B394="LOSS",$B394="OK",$B394="Anulada"),S394,0))</f>
        <v>19.19</v>
      </c>
      <c r="V394" s="266">
        <f>IF($D394="",0,IF($D394=$D391,IF($B394=" ",IF(I396="",IF(OR(AND(I394="DNB1",I395="DNB2"),AND(OR(I394="DNB1",I394="DNB2"),J395=0),AND(OR(I395="DNB1",I395="DNB2"),J394=0),AND(I394="DNB2",I395="DNB1"),AND(IF(J394=0,(J394+1)/ROUND(J394+1,0),J394/ROUND(J394,0))=1,IF(J395=0,(J395+1)/ROUND(IF(J395="",0,J395)+1,0),IF(J395="",0,J395)/ROUND(IF(J395="",1,J395),0))=1,OR(J394&lt;&gt;""),J395&lt;&gt;"")),0,IF(S394&lt;0,IF(I396="",SMALL(P394:P395,1)-SUM(O394:O395),0),SMALL(P394:P395,1)-SUM(O394:O395))),IF(S394&lt;0,IF(I396="",SMALL(P394:P396,1)-SUM(O394:O396),0),LARGE(P394:P396,1)-SUM(O394:O396))),S394)+V391,IF(I396="",IF(OR(AND(I394="DNB1",I395="DNB2"),AND(OR(I394="DNB1",I394="DNB2"),J395=0),AND(OR(I395="DNB1",I395="DNB2"),J394=0),AND(I394="DNB2",I395="DNB1"),AND(IF(J394=0,(J394+1)/ROUND(J394+1,0),J394/ROUND(J394,0))=1,IF(J395=0,(IF(J395="",0,J395)+1)/ROUND(IF(J395="",0,J395)+1,0),IF(J395="",0,J395)/ROUND(IF(J395="",0,J395)+1,0))=1,OR(J394&lt;&gt;""),J395&lt;&gt;"")),0,IF(S394&lt;0,IF(I396="",SMALL(P394:P395,1)-SUM(O394:O395),0),SMALL(P394:P396,1)-SUM(O394:O396))),IF(S394&lt;0,IF(I396="",SMALL(P394:P396,1)-SUM(O394:O396),0),LARGE(P394:P396,1)-SUM(O394:O396)))))</f>
        <v>19.19225</v>
      </c>
      <c r="W394" s="266">
        <f>IF($D394=$D391,IF(S394&lt;0,IF(I396="",S394,0),S394)+W391,S394)</f>
        <v>19.19</v>
      </c>
      <c r="X394" t="s" s="267">
        <f>IF(OR(SUM(R394:R396)=0,V394=W394),ROUND(IF(W394=0,0,W394/Y394)*100,2)&amp;"%",ROUND(IF(V394=0,0,V394/Y394)*100,2)&amp;"% a "&amp;ROUND(IF(W394=0,0,W394/Y394)*100,2)&amp;"%")</f>
        <v>328</v>
      </c>
      <c r="Y394" s="268">
        <f>IF($D394=$D391,Y391+SUM(O394:O396),SUM(O394:O396))</f>
        <v>252.6</v>
      </c>
      <c r="Z394" s="266">
        <f>IF($B394=" ",SUM(O394:O396),0)+Z391</f>
        <v>0</v>
      </c>
      <c r="AA394" s="266">
        <f>IF(G394="","",IF($B394="Anulado",LARGE(P394:P396,1)-SUM(O394:O396)+AA391,AA391))</f>
        <v>16.5099</v>
      </c>
      <c r="AB394" s="266">
        <f>IF($D394="","",AB391+S394)</f>
        <v>270.86</v>
      </c>
      <c r="AC394" s="269">
        <f>IF($D394="","",IF($B394=" ",IF(DAY(G394)=DAY(TODAY()),1+AC391,0+AC391),0+AC391))</f>
        <v>0</v>
      </c>
      <c r="AD394" s="270">
        <f>(1-_xlfn.XLOOKUP(K392,'Janeiro 2023 - Valor Real'!A3:A15,'Janeiro 2023 - Valor Real'!C3:C15,0))+1</f>
        <v>1.935</v>
      </c>
      <c r="AE394" s="271">
        <f>IF(L394="","",IF(L396&gt;0,(SUM(((L394-1)*(1-_xlfn.XLOOKUP(K394,'Janeiro 2023 - Valor Real'!A3:A15,'Janeiro 2023 - Valor Real'!C3:C15,0))+1),((L395-1)*(1-_xlfn.XLOOKUP(K395,'Janeiro 2023 - Valor Real'!A3:A15,'Janeiro 2023 - Valor Real'!C3:C15,0))+1),((L396-1)*(1-_xlfn.XLOOKUP(K396,'Janeiro 2023 - Valor Real'!A3:A15,'Janeiro 2023 - Valor Real'!C3:C15,0))+1))/((L394-1)*(1-_xlfn.XLOOKUP(K394,'Janeiro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Real'!C3:C15,0))+1))/((L394-1)*(1-_xlfn.XLOOKUP(K394,'Janeiro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Real'!C3:C15,0))+1))/((L395-1)*(1-_xlfn.XLOOKUP(K395,'Janeiro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Real'!C3:C15,0))+1))/((L396-1)*(1-_xlfn.XLOOKUP(K396,'Janeiro 2023 - Valor Real'!A3:A15,'Janeiro 2023 - Valor Real'!C3:C15,0))+1)),IF(I394="Lay",IF(I395="Lay",((L395/(L395-1)-1)*(1-_xlfn.XLOOKUP(K395,'Janeiro 2023 - Valor Real'!A3:A15,'Janeiro 2023 - Valor Real'!C3:C15,0))+1)/(((L395/(L395-1)-1)*(1-_xlfn.XLOOKUP(K395,'Janeiro 2023 - Valor Real'!A3:A15,'Janeiro 2023 - Valor Real'!C3:C15,0))+1)+((L394/(L394-1)-1)*(1-_xlfn.XLOOKUP(K394,'Janeiro 2023 - Valor Real'!A3:A15,'Janeiro 2023 - Valor Real'!C3:C15,0))+1)),((L395-1)*(1-_xlfn.XLOOKUP(K395,'Janeiro 2023 - Valor Real'!A3:A15,'Janeiro 2023 - Valor Real'!C3:C15,0))+1)/(((L395-1)*(1-_xlfn.XLOOKUP(K395,'Janeiro 2023 - Valor Real'!A3:A15,'Janeiro 2023 - Valor Real'!C3:C15,0))+1)+((L394/(L394-1)-1)*(1-_xlfn.XLOOKUP(K394,'Janeiro 2023 - Valor Real'!A3:A15,'Janeiro 2023 - Valor Real'!C3:C15,0))+1))),IF(I395="Lay",(((L395/(L395-1)-1)*(1-_xlfn.XLOOKUP(K395,'Janeiro 2023 - Valor Real'!A3:A15,'Janeiro 2023 - Valor Real'!C3:C15,0))+1))/(((L394-1)*(1-_xlfn.XLOOKUP(K394,'Janeiro 2023 - Valor Real'!A3:A15,'Janeiro 2023 - Valor Real'!C3:C15,0))+1)+((L395/(L395-1)-1)*(1-_xlfn.XLOOKUP(K395,'Janeiro 2023 - Valor Real'!A3:A15,'Janeiro 2023 - Valor Real'!C3:C15,0))+1)),((L395-1)*(1-_xlfn.XLOOKUP(K395,'Janeiro 2023 - Valor Real'!A3:A15,'Janeiro 2023 - Valor Real'!C3:C15,0))+1)/(((L395-1)*(1-_xlfn.XLOOKUP(K395,'Janeiro 2023 - Valor Real'!A3:A15,'Janeiro 2023 - Valor Real'!C3:C15,0))+1)+((L394-1)*(1-_xlfn.XLOOKUP(K394,'Janeiro 2023 - Valor Real'!A3:A15,'Janeiro 2023 - Valor Real'!C3:C15,0))+1))))))</f>
        <v>0.568181818181818</v>
      </c>
      <c r="AF394" s="132">
        <f>IF($K394=AF$3,ROUND(IF(OR($C394="W",$C394="1/2W",$C394="1/2L"),$P394-$O394,IF($C394="X",0,-$O394)),2),0)</f>
        <v>11.34</v>
      </c>
      <c r="AG394" s="133">
        <f>IF($K394=AG$3,ROUND(IF(OR($C394="W",$C394="1/2W",$C394="1/2L"),$P394-$O394,IF($C394="X",0,-$O394)),2),0)</f>
        <v>0</v>
      </c>
      <c r="AH394" s="133">
        <f>IF($K394=AH$3,ROUND(IF(OR($C394="W",$C394="1/2W",$C394="1/2L"),$P394-$O394,IF($C394="X",0,-$O394)),2),0)</f>
        <v>0</v>
      </c>
      <c r="AI394" s="133">
        <f>IF($K394=AI$3,ROUND(IF(OR($C394="W",$C394="1/2W",$C394="1/2L"),$P394-$O394,IF($C394="X",0,-$O394)),2),0)</f>
        <v>0</v>
      </c>
      <c r="AJ394" s="133">
        <f>IF($K394=AJ$3,ROUND(IF(OR($C394="W",$C394="1/2W",$C394="1/2L"),$P394-$O394,IF($C394="X",0,-$O394)),2),0)</f>
        <v>0</v>
      </c>
      <c r="AK394" s="133">
        <f>IF($K394=AK$3,ROUND(IF(OR($C394="W",$C394="1/2W",$C394="1/2L"),$P394-$O394,IF($C394="X",0,-$O394)),2),0)</f>
        <v>0</v>
      </c>
      <c r="AL394" s="133">
        <f>IF($K394=AL$3,ROUND(IF(OR($C394="W",$C394="1/2W",$C394="1/2L"),$P394-$O394,IF($C394="X",0,-$O394)),2),0)</f>
        <v>0</v>
      </c>
      <c r="AM394" s="133">
        <f>IF($K394=AM$3,ROUND(IF(OR($C394="W",$C394="1/2W",$C394="1/2L"),$P394-$O394,IF($C394="X",0,-$O394)),2),0)</f>
        <v>0</v>
      </c>
      <c r="AN394" s="133">
        <f>IF($K394=AN$3,ROUND(IF(OR($C394="W",$C394="1/2W",$C394="1/2L"),$P394-$O394,IF($C394="X",0,-$O394)),2),0)</f>
        <v>0</v>
      </c>
      <c r="AO394" s="133">
        <f>IF($K394=AO$3,ROUND(IF(OR($C394="W",$C394="1/2W",$C394="1/2L"),$P394-$O394,IF($C394="X",0,-$O394)),2),0)</f>
        <v>0</v>
      </c>
      <c r="AP394" s="133">
        <f>IF($K394=AP$3,ROUND(IF(OR($C394="W",$C394="1/2W",$C394="1/2L"),$P394-$O394,IF($C394="X",0,-$O394)),2),0)</f>
        <v>0</v>
      </c>
      <c r="AQ394" s="133">
        <f>IF($K394=AQ$3,ROUND(IF(OR($C394="W",$C394="1/2W",$C394="1/2L"),$P394-$O394,IF($C394="X",0,-$O394)),2),0)</f>
        <v>0</v>
      </c>
      <c r="AR394" s="134">
        <f>IF($K394=AR$3,ROUND(IF(OR($C394="W",$C394="1/2W",$C394="1/2L"),$P394-$O394,IF($C394="X",0,-$O394)),2),0)</f>
        <v>0</v>
      </c>
      <c r="AS394" s="132">
        <f>IF(AND($B394=" ",$K394=AS$3),$O394,0)</f>
        <v>0</v>
      </c>
      <c r="AT394" s="133">
        <f>IF(AND($B394=" ",$K394=AT$3),$O394,0)</f>
        <v>0</v>
      </c>
      <c r="AU394" s="133">
        <f>IF(AND($B394=" ",$K394=AU$3),$O394,0)</f>
        <v>0</v>
      </c>
      <c r="AV394" s="133">
        <f>IF(AND($B394=" ",$K394=AV$3),$O394,0)</f>
        <v>0</v>
      </c>
      <c r="AW394" s="133">
        <f>IF(AND($B394=" ",$K394=AW$3),$O394,0)</f>
        <v>0</v>
      </c>
      <c r="AX394" s="133">
        <f>IF(AND($B394=" ",$K394=AX$3),$O394,0)</f>
        <v>0</v>
      </c>
      <c r="AY394" s="135">
        <f>IF(AND($B394=" ",$K394=AY$3),$O394,0)</f>
        <v>0</v>
      </c>
      <c r="AZ394" s="136">
        <f>IF(AND($B394=" ",$K394=AZ$3),$O394,0)</f>
        <v>0</v>
      </c>
      <c r="BA394" s="136">
        <f>IF(AND($B394=" ",$K394=BA$3),$O394,0)</f>
        <v>0</v>
      </c>
      <c r="BB394" s="136">
        <f>IF(AND($B394=" ",$K394=BB$3),$O394,0)</f>
        <v>0</v>
      </c>
      <c r="BC394" s="137">
        <f>IF(AND($B394=" ",$K394=BC$3),$O394,0)</f>
        <v>0</v>
      </c>
      <c r="BD394" s="133">
        <f>IF(AND($B394=" ",$K394=BD$3),$O394,0)</f>
        <v>0</v>
      </c>
      <c r="BE394" s="134">
        <f>IF(AND($B394=" ",$K394=BE$3),$O394,0)</f>
        <v>0</v>
      </c>
      <c r="BF394" s="132">
        <f>IF($K394=BF$3,IF($C394="X",0,$O394),0)</f>
        <v>12.6</v>
      </c>
      <c r="BG394" s="133">
        <f>IF($K394=BG$3,IF($C394="X",0,$O394),0)</f>
        <v>0</v>
      </c>
      <c r="BH394" s="133">
        <f>IF($K394=BH$3,IF($C394="X",0,$O394),0)</f>
        <v>0</v>
      </c>
      <c r="BI394" s="133">
        <f>IF($K394=BI$3,IF($C394="X",0,$O394),0)</f>
        <v>0</v>
      </c>
      <c r="BJ394" s="133">
        <f>IF($K394=BJ$3,IF($C394="X",0,$O394),0)</f>
        <v>0</v>
      </c>
      <c r="BK394" s="133">
        <f>IF($K394=BK$3,IF($C394="X",0,$O394),0)</f>
        <v>0</v>
      </c>
      <c r="BL394" s="133">
        <f>IF($K394=BL$3,IF($C394="X",0,$O394),0)</f>
        <v>0</v>
      </c>
      <c r="BM394" s="135">
        <f>IF($K394=BM$3,IF($C394="X",0,$O394),0)</f>
        <v>0</v>
      </c>
      <c r="BN394" s="136">
        <f>IF($K394=BN$3,IF($C394="X",0,$O394),0)</f>
        <v>0</v>
      </c>
      <c r="BO394" s="136">
        <f>IF($K394=BO$3,IF($C394="X",0,$O394),0)</f>
        <v>0</v>
      </c>
      <c r="BP394" s="136">
        <f>IF($K394=BP$3,IF($C394="X",0,$O394),0)</f>
        <v>0</v>
      </c>
      <c r="BQ394" s="137">
        <f>IF($K394=BQ$3,IF($C394="X",0,$O394),0)</f>
        <v>0</v>
      </c>
      <c r="BR394" s="134">
        <f>IF($K394=BR$3,IF($C394="X",0,$O394),0)</f>
        <v>0</v>
      </c>
      <c r="BS394" s="170">
        <f>IF($B394="LOSS",IF(AND($K394=BS$3,$C394="L"),-$O394,0)+IF(AND($K395=BS$3,$C395="L"),-$O395,0)+IF(AND($K396=BS$3,$C396="L"),-$O396,0),IF(OR(AND($K394=BS$3,OR($C394="W",$C394="1/2W")),AND($K395=BS$3,OR($C395="W",$C395="1/2W")),AND($K396=BS$3,OR($C396="W",$C396="1/2W"))),$S394,0))</f>
        <v>1.79</v>
      </c>
      <c r="BT394" s="272">
        <f>IF($B394="LOSS",IF(AND($K394=BT$3,$C394="L"),-$O394,0)+IF(AND($K395=BT$3,$C395="L"),-$O395,0)+IF(AND($K395=BT$3,$C396="L"),-$O396,0),IF(OR(AND($K395=BT$3,OR($C394="W",$C394="1/2W")),AND($K395=BT$3,OR($C395="W",$C395="1/2W")),AND($K395=BT$3,OR($C396="W",$C396="1/2W"))),$S394,0))</f>
        <v>1.79</v>
      </c>
      <c r="BU394" s="136">
        <f>IF($B394="LOSS",IF(AND($K394=BU$3,$C394="L"),-$O394,0)+IF(AND($K395=BU$3,$C395="L"),-$O395,0)+IF(AND($K395=BU$3,$C396="L"),-$O396,0),IF(OR(AND($K395=BU$3,OR($C394="W",$C394="1/2W")),AND($K395=BU$3,OR($C395="W",$C395="1/2W")),AND($K395=BU$3,OR($C396="W",$C396="1/2W"))),$S394,0))</f>
        <v>0</v>
      </c>
      <c r="BV394" s="136">
        <f>IF($B394="LOSS",IF(AND($K394=BV$3,$C394="L"),-$O394,0)+IF(AND($K395=BV$3,$C395="L"),-$O395,0)+IF(AND($K396=BV$3,$C396="L"),-$O396,0),IF(OR(AND($K394=BV$3,OR($C394="W",$C394="1/2W")),AND($K395=BV$3,OR($C395="W",$C395="1/2W")),AND($K396=BV$3,OR($C396="W",$C396="1/2W"))),$S394,0))</f>
        <v>0</v>
      </c>
      <c r="BW394" s="136">
        <f>IF($B394="LOSS",IF(AND($K394=BW$3,$C394="L"),-$O394,0)+IF(AND($K395=BW$3,$C395="L"),-$O395,0)+IF(AND($K396=BW$3,$C396="L"),-$O396,0),IF(OR(AND($K394=BW$3,OR($C394="W",$C394="1/2W")),AND($K395=BW$3,OR($C395="W",$C395="1/2W")),AND($K396=BW$3,OR($C396="W",$C396="1/2W"))),$S394,0))</f>
        <v>0</v>
      </c>
      <c r="BX394" s="136">
        <f>IF($B394="LOSS",IF(AND($K394=BX$3,$C394="L"),-$O394,0)+IF(AND($K395=BX$3,$C395="L"),-$O395,0)+IF(AND($K396=BX$3,$C396="L"),-$O396,0),IF(OR(AND($K394=BX$3,OR($C394="W",$C394="1/2W")),AND($K395=BX$3,OR($C395="W",$C395="1/2W")),AND($K396=BX$3,OR($C396="W",$C396="1/2W"))),$S394,0))</f>
        <v>0</v>
      </c>
      <c r="BY394" s="136">
        <f>IF($B394="LOSS",IF(AND($K394=BY$3,$C394="L"),-$O394,0)+IF(AND($K395=BY$3,$C395="L"),-$O395,0)+IF(AND($K396=BY$3,$C396="L"),-$O396,0),IF(OR(AND($K394=BY$3,OR($C394="W",$C394="1/2W")),AND($K395=BY$3,OR($C395="W",$C395="1/2W")),AND($K396=BY$3,OR($C396="W",$C396="1/2W"))),$S394,0))</f>
        <v>0</v>
      </c>
      <c r="BZ394" s="136">
        <f>IF($B394="LOSS",IF(AND($K394=BZ$3,$C394="L"),-$O394,0)+IF(AND($K395=BZ$3,$C395="L"),-$O395,0)+IF(AND($K396=BZ$3,$C396="L"),-$O396,0),IF(OR(AND($K394=BZ$3,OR($C394="W",$C394="1/2W")),AND($K395=BZ$3,OR($C395="W",$C395="1/2W")),AND($K396=BZ$3,OR($C396="W",$C396="1/2W"))),$S394,0))</f>
        <v>0</v>
      </c>
      <c r="CA394" s="136">
        <f>IF($B394="LOSS",IF(AND($K394=CA$3,$C394="L"),-$O394,0)+IF(AND($K395=CA$3,$C395="L"),-$O395,0)+IF(AND($K396=CA$3,$C396="L"),-$O396,0),IF(OR(AND($K394=CA$3,OR($C394="W",$C394="1/2W")),AND($K395=CA$3,OR($C395="W",$C395="1/2W")),AND($K396=CA$3,OR($C396="W",$C396="1/2W"))),$S394,0))</f>
        <v>0</v>
      </c>
      <c r="CB394" s="136">
        <f>IF($B394="LOSS",IF(AND($K394=CB$3,$C394="L"),-$O394,0)+IF(AND($K395=CB$3,$C395="L"),-$O395,0)+IF(AND($K396=CB$3,$C396="L"),-$O396,0),IF(OR(AND($K394=CB$3,OR($C394="W",$C394="1/2W")),AND($K395=CB$3,OR($C395="W",$C395="1/2W")),AND($K396=CB$3,OR($C396="W",$C396="1/2W"))),$S394,0))</f>
        <v>0</v>
      </c>
      <c r="CC394" s="136">
        <f>IF($B394="LOSS",IF(AND($K394=CC$3,$C394="L"),-$O394,0)+IF(AND($K395=CC$3,$C395="L"),-$O395,0)+IF(AND($K396=CC$3,$C396="L"),-$O396,0),IF(OR(AND($K394=CC$3,OR($C394="W",$C394="1/2W")),AND($K395=CC$3,OR($C395="W",$C395="1/2W")),AND($K396=CC$3,OR($C396="W",$C396="1/2W"))),$S394,0))</f>
        <v>0</v>
      </c>
      <c r="CD394" s="137">
        <f>IF($B394="LOSS",IF(AND($K394=CD$3,$C394="L"),-$O394,0)+IF(AND($K395=CD$3,$C395="L"),-$O395,0)+IF(AND($K396=CD$3,$C396="L"),-$O396,0),IF(OR(AND($K394=CD$3,OR($C394="W",$C394="1/2W")),AND($K395=CD$3,OR($C395="W",$C395="1/2W")),AND($K396=CD$3,OR($C396="W",$C396="1/2W"))),$S394,0))</f>
        <v>0</v>
      </c>
      <c r="CE394" s="134">
        <f>IF($B394="LOSS",IF(AND($K394=CE$3,$C394="L"),-$O394,0)+IF(AND($K395=CE$3,$C395="L"),-$O395,0)+IF(AND($K396=CE$3,$C396="L"),-$O396,0),IF(OR(AND($K394=CE$3,OR($C394="W",$C394="1/2W")),AND($K395=CE$3,OR($C395="W",$C395="1/2W")),AND($K396=CE$3,OR($C396="W",$C396="1/2W"))),$S394,0))</f>
        <v>0</v>
      </c>
      <c r="CF394" s="273">
        <f>IF(CF$3=$K394,IF($C394="W",1,IF($C394="1/2W",0.5,0)),0)</f>
        <v>1</v>
      </c>
      <c r="CG394" s="274">
        <f>IF(CF$3=$K394,IF($C394="L",1,IF($C394="1/2L",0.5,0)),0)</f>
        <v>0</v>
      </c>
      <c r="CH394" s="274">
        <f>IF(CH$3=$K394,IF($C394="W",1,IF($C394="1/2W",0.5,0)),0)</f>
        <v>0</v>
      </c>
      <c r="CI394" s="274">
        <f>IF(CH$3=$K394,IF($C394="L",1,IF($C394="1/2L",0.5,0)),0)</f>
        <v>0</v>
      </c>
      <c r="CJ394" s="274">
        <f>IF(CJ$3=$K394,IF($C394="W",1,IF($C394="1/2W",0.5,0)),0)</f>
        <v>0</v>
      </c>
      <c r="CK394" s="274">
        <f>IF(CJ$3=$K394,IF($C394="L",1,IF($C394="1/2L",0.5,0)),0)</f>
        <v>0</v>
      </c>
      <c r="CL394" s="274">
        <f>IF(CL$3=$K394,IF($C394="W",1,IF($C394="1/2W",0.5,0)),0)</f>
        <v>0</v>
      </c>
      <c r="CM394" s="274">
        <f>IF(CL$3=$K394,IF($C394="L",1,IF($C394="1/2L",0.5,0)),0)</f>
        <v>0</v>
      </c>
      <c r="CN394" s="274">
        <f>IF(CN$3=$K394,IF($C394="W",1,IF($C394="1/2W",0.5,0)),0)</f>
        <v>0</v>
      </c>
      <c r="CO394" s="274">
        <f>IF(CN$3=$K394,IF($C394="L",1,IF($C394="1/2L",0.5,0)),0)</f>
        <v>0</v>
      </c>
      <c r="CP394" s="274">
        <f>IF(CP$3=$K394,IF($C394="W",1,IF($C394="1/2W",0.5,0)),0)</f>
        <v>0</v>
      </c>
      <c r="CQ394" s="274">
        <f>IF(CP$3=$K394,IF($C394="L",1,IF($C394="1/2L",0.5,0)),0)</f>
        <v>0</v>
      </c>
      <c r="CR394" s="274">
        <f>IF(CR$3=$K394,IF($C394="W",1,IF($C394="1/2W",0.5,0)),0)</f>
        <v>0</v>
      </c>
      <c r="CS394" s="274">
        <f>IF(CR$3=$K394,IF($C394="L",1,IF($C394="1/2L",0.5,0)),0)</f>
        <v>0</v>
      </c>
      <c r="CT394" s="145">
        <f>IF(CT$3=$K394,IF($C394="W",1,IF($C394="1/2W",0.5,0)),0)</f>
        <v>0</v>
      </c>
      <c r="CU394" s="146">
        <f>IF(CT$3=$K394,IF($C394="L",1,IF($C394="1/2L",0.5,0)),0)</f>
        <v>0</v>
      </c>
      <c r="CV394" s="146">
        <f>IF(CV$3=$K394,IF($C394="W",1,IF($C394="1/2W",0.5,0)),0)</f>
        <v>0</v>
      </c>
      <c r="CW394" s="146">
        <f>IF(CV$3=$K394,IF($C394="L",1,IF($C394="1/2L",0.5,0)),0)</f>
        <v>0</v>
      </c>
      <c r="CX394" s="146">
        <f>IF(CX$3=$K394,IF($C394="W",1,IF($C394="1/2W",0.5,0)),0)</f>
        <v>0</v>
      </c>
      <c r="CY394" s="146">
        <f>IF(CX$3=$K394,IF($C394="L",1,IF($C394="1/2L",0.5,0)),0)</f>
        <v>0</v>
      </c>
      <c r="CZ394" s="146">
        <f>IF(CZ$3=$K394,IF($C394="W",1,IF($C394="1/2W",0.5,0)),0)</f>
        <v>0</v>
      </c>
      <c r="DA394" s="146">
        <f>IF(CZ$3=$K394,IF($C394="L",1,IF($C394="1/2L",0.5,0)),0)</f>
        <v>0</v>
      </c>
      <c r="DB394" s="146">
        <f>IF(DB$3=$K394,IF($C394="W",1,IF($C394="1/2W",0.5,0)),0)</f>
        <v>0</v>
      </c>
      <c r="DC394" s="146">
        <f>IF(DB$3=$K394,IF($C394="L",1,IF($C394="1/2L",0.5,0)),0)</f>
        <v>0</v>
      </c>
      <c r="DD394" s="146">
        <f>IF(DD$3=$K394,IF($C394="W",1,IF($C394="1/2W",0.5,0)),0)</f>
        <v>0</v>
      </c>
      <c r="DE394" s="147">
        <f>IF(DD$3=$K394,IF($C394="L",1,IF($C394="1/2L",0.5,0)),0)</f>
        <v>0</v>
      </c>
      <c r="DF394" s="143">
        <f>IF(AND(L394&lt;DF$3,$C394="W"),1+DF393,DF393)</f>
        <v>12</v>
      </c>
      <c r="DG394" s="133">
        <f>IF(DF394&gt;DF393,L394+DG393,DG393)</f>
        <v>15.718</v>
      </c>
      <c r="DH394" s="146">
        <f>IF(AND(L394&gt;DH$3,$C394="W"),1+DH393,0+DH393)</f>
        <v>10</v>
      </c>
      <c r="DI394" s="133">
        <f>IF(DH394&gt;DH393,L394+DI393,DI393)</f>
        <v>55.13</v>
      </c>
      <c r="DJ394" t="s" s="304">
        <f>IF($D394="","",$D394)</f>
        <v>307</v>
      </c>
      <c r="DK394" s="146">
        <f>IF(AND($B394=" ",$D394&lt;&gt;""),1,0)</f>
        <v>0</v>
      </c>
    </row>
    <row r="395" ht="14.55" customHeight="1">
      <c r="A395" s="107"/>
      <c r="B395" s="108"/>
      <c r="C395" t="s" s="109">
        <v>51</v>
      </c>
      <c r="D395" s="110"/>
      <c r="E395" s="111"/>
      <c r="F395" s="113"/>
      <c r="G395" s="252"/>
      <c r="H395" s="114"/>
      <c r="I395" t="s" s="275">
        <v>140</v>
      </c>
      <c r="J395" s="276">
        <f>IF(OR(I394="TO",I394="TU",I394="TO1",I394="TU1",I394="TO2",I394="TU2"),J394,IF(OR(I394="AH1",I394="AH2"),IF(OR(I395="AH1",I395="AH2"),-J394,IF(OR(I395="EH1",I395="EH2"),-J394+0.5,"")),IF(OR(I394="EH1",I394="EH2"),IF(OR(I395="AH1",I395="AH2"),-J394+0.5,IF(OR(I395="EH1",I395="EH2"),-J394+1,"")),IF(AND(OR(I394="DNB1",I394="DNB2"),OR(I395="AH1",I395="AH2")),0,IF(AND(I394="Not ScoreBoth",OR(I395="TO1",I395="TO2")),0.5,"")))))</f>
        <v>-1</v>
      </c>
      <c r="K395" t="s" s="117">
        <v>38</v>
      </c>
      <c r="L395" s="277">
        <v>2.5</v>
      </c>
      <c r="M395" s="278">
        <v>9.550000000000001</v>
      </c>
      <c r="N395" s="120"/>
      <c r="O395" s="121">
        <f>IF(OR(AE394="",AE395=""),"",ROUND(IF(L396&gt;0,IF(M395&gt;0,M395,IF(M394&gt;0,IF(N394=TRUE,ROUND((M394*AE395)/AE394,0),(M394*AE395)/AE394),IF(M395&gt;0,ROUND(M395,IF(N394=0,2,IF(N394=0.1,1,0))),IF(M396&gt;0,ROUND(O396*AE395/AE396,IF(N394=0,2,IF(N394=0.1,1,0))),0)))),IF(M395&gt;0,M395,ROUND((M394*AE395)/AE394,IF(N394=0,2,IF(N394=0.1,1,0))))),2))</f>
        <v>9.550000000000001</v>
      </c>
      <c r="P395" s="122">
        <f>IF(OR(L395="",O395=""),"",IF($C395="1/2W",O395/2+O395/2*L395,IF($C395="1/2L",O395/2,IF(I395="Lay",((O395*(L395/(L395-1)))-O395)*(1-_xlfn.XLOOKUP(K395,'Janeiro 2023 - Valor Real'!A3:A15,'Janeiro 2023 - Valor Real'!C3:C15,0))+O395,(O395*L395-O395)*(1-_xlfn.XLOOKUP(K395,'Janeiro 2023 - Valor Real'!A3:A15,'Janeiro 2023 - Valor Real'!C3:C15,0))+O395))))</f>
        <v>23.875</v>
      </c>
      <c r="Q395" s="279">
        <f>IF(K395="","",IF(_xlfn.XLOOKUP(K395,K$108:K162,DJ$108:DJ162,0,,-1)=DJ395,_xlfn.XLOOKUP(K395,K$108:K162,Q$108:Q162,1,,-1)+1,1))</f>
        <v>1</v>
      </c>
      <c r="R395" s="280">
        <f>IF(K395="","",_xlfn.XLOOKUP(K395,K$108:K162,R$108:R162,0,,-1)+IF($C395=" ",1,0))</f>
        <v>0</v>
      </c>
      <c r="S395" s="125"/>
      <c r="T395" s="126"/>
      <c r="U395" s="126"/>
      <c r="V395" s="224"/>
      <c r="W395" s="126"/>
      <c r="X395" s="127"/>
      <c r="Y395" s="128"/>
      <c r="Z395" s="129"/>
      <c r="AA395" s="129"/>
      <c r="AB395" s="129"/>
      <c r="AC395" s="129"/>
      <c r="AD395" s="130"/>
      <c r="AE395" s="131">
        <f>IF(L395="","",IF(L396&gt;0,(SUM(((L394-1)*(1-_xlfn.XLOOKUP(K394,'Janeiro 2023 - Valor Real'!A3:A15,'Janeiro 2023 - Valor Real'!C3:C15,0))+1),((L395-1)*(1-_xlfn.XLOOKUP(K395,'Janeiro 2023 - Valor Real'!A3:A15,'Janeiro 2023 - Valor Real'!C3:C15,0))+1),((L396-1)*(1-_xlfn.XLOOKUP(K396,'Janeiro 2023 - Valor Real'!A3:A15,'Janeiro 2023 - Valor Real'!C3:C15,0))+1))/((L395-1)*(1-_xlfn.XLOOKUP(K395,'Janeiro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Real'!C3:C15,0))+1))/((L394-1)*(1-_xlfn.XLOOKUP(K394,'Janeiro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Real'!C3:C15,0))+1))/((L395-1)*(1-_xlfn.XLOOKUP(K395,'Janeiro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Real'!C3:C15,0))+1))/((L396-1)*(1-_xlfn.XLOOKUP(K396,'Janeiro 2023 - Valor Real'!A3:A15,'Janeiro 2023 - Valor Real'!C3:C15,0))+1)),IF(I395="Lay",IF(I394="Lay",((L394/(L394-1)-1)*(1-_xlfn.XLOOKUP(K394,'Janeiro 2023 - Valor Real'!A3:A15,'Janeiro 2023 - Valor Real'!C3:C15,0))+1)/(((L394/(L394-1)-1)*(1-_xlfn.XLOOKUP(K394,'Janeiro 2023 - Valor Real'!A3:A15,'Janeiro 2023 - Valor Real'!C3:C15,0))+1)+((L395/(L395-1)-1)*(1-_xlfn.XLOOKUP(K395,'Janeiro 2023 - Valor Real'!A3:A15,'Janeiro 2023 - Valor Real'!C3:C15,0))+1)),((L394-1)*(1-_xlfn.XLOOKUP(K394,'Janeiro 2023 - Valor Real'!A3:A15,'Janeiro 2023 - Valor Real'!C3:C15,0))+1)/(((L394-1)*(1-_xlfn.XLOOKUP(K394,'Janeiro 2023 - Valor Real'!A3:A15,'Janeiro 2023 - Valor Real'!C3:C15,0))+1)+((L395/(L395-1)-1)*(1-_xlfn.XLOOKUP(K395,'Janeiro 2023 - Valor Real'!A3:A15,'Janeiro 2023 - Valor Real'!C3:C15,0))+1))),IF(I394="Lay",((L394/(L394-1)-1)*(1-_xlfn.XLOOKUP(K394,'Janeiro 2023 - Valor Real'!A3:A15,'Janeiro 2023 - Valor Real'!C3:C15,0))+1)/((((L394/(L394-1)-1)*(1-_xlfn.XLOOKUP(K394,'Janeiro 2023 - Valor Real'!A3:A15,'Janeiro 2023 - Valor Real'!C3:C15,0))+1))+((L395-1)*(1-_xlfn.XLOOKUP(K395,'Janeiro 2023 - Valor Real'!A3:A15,'Janeiro 2023 - Valor Real'!C3:C15,0))+1)),((L394-1)*(1-_xlfn.XLOOKUP(K394,'Janeiro 2023 - Valor Real'!A3:A15,'Janeiro 2023 - Valor Real'!C3:C15,0))+1)/(((L394-1)*(1-_xlfn.XLOOKUP(K394,'Janeiro 2023 - Valor Real'!A3:A15,'Janeiro 2023 - Valor Real'!C3:C15,0))+1)+((L395-1)*(1-_xlfn.XLOOKUP(K395,'Janeiro 2023 - Valor Real'!A3:A15,'Janeiro 2023 - Valor Real'!C3:C15,0))+1))))))</f>
        <v>0.431818181818182</v>
      </c>
      <c r="AF395" s="132">
        <f>IF($K395=AF$3,ROUND(IF(OR($C395="W",$C395="1/2W",$C395="1/2L"),$P395-$O395,IF($C395="X",0,-$O395)),2),0)</f>
        <v>0</v>
      </c>
      <c r="AG395" s="133">
        <f>IF($K395=AG$3,ROUND(IF(OR($C395="W",$C395="1/2W",$C395="1/2L"),$P395-$O395,IF($C395="X",0,-$O395)),2),0)</f>
        <v>-9.550000000000001</v>
      </c>
      <c r="AH395" s="133">
        <f>IF($K395=AH$3,ROUND(IF(OR($C395="W",$C395="1/2W",$C395="1/2L"),$P395-$O395,IF($C395="X",0,-$O395)),2),0)</f>
        <v>0</v>
      </c>
      <c r="AI395" s="133">
        <f>IF($K395=AI$3,ROUND(IF(OR($C395="W",$C395="1/2W",$C395="1/2L"),$P395-$O395,IF($C395="X",0,-$O395)),2),0)</f>
        <v>0</v>
      </c>
      <c r="AJ395" s="133">
        <f>IF($K395=AJ$3,ROUND(IF(OR($C395="W",$C395="1/2W",$C395="1/2L"),$P395-$O395,IF($C395="X",0,-$O395)),2),0)</f>
        <v>0</v>
      </c>
      <c r="AK395" s="133">
        <f>IF($K395=AK$3,ROUND(IF(OR($C395="W",$C395="1/2W",$C395="1/2L"),$P395-$O395,IF($C395="X",0,-$O395)),2),0)</f>
        <v>0</v>
      </c>
      <c r="AL395" s="133">
        <f>IF($K395=AL$3,ROUND(IF(OR($C395="W",$C395="1/2W",$C395="1/2L"),$P395-$O395,IF($C395="X",0,-$O395)),2),0)</f>
        <v>0</v>
      </c>
      <c r="AM395" s="133">
        <f>IF($K395=AM$3,ROUND(IF(OR($C395="W",$C395="1/2W",$C395="1/2L"),$P395-$O395,IF($C395="X",0,-$O395)),2),0)</f>
        <v>0</v>
      </c>
      <c r="AN395" s="133">
        <f>IF($K395=AN$3,ROUND(IF(OR($C395="W",$C395="1/2W",$C395="1/2L"),$P395-$O395,IF($C395="X",0,-$O395)),2),0)</f>
        <v>0</v>
      </c>
      <c r="AO395" s="133">
        <f>IF($K395=AO$3,ROUND(IF(OR($C395="W",$C395="1/2W",$C395="1/2L"),$P395-$O395,IF($C395="X",0,-$O395)),2),0)</f>
        <v>0</v>
      </c>
      <c r="AP395" s="133">
        <f>IF($K395=AP$3,ROUND(IF(OR($C395="W",$C395="1/2W",$C395="1/2L"),$P395-$O395,IF($C395="X",0,-$O395)),2),0)</f>
        <v>0</v>
      </c>
      <c r="AQ395" s="133">
        <f>IF($K395=AQ$3,ROUND(IF(OR($C395="W",$C395="1/2W",$C395="1/2L"),$P395-$O395,IF($C395="X",0,-$O395)),2),0)</f>
        <v>0</v>
      </c>
      <c r="AR395" s="134">
        <f>IF($K395=AR$3,ROUND(IF(OR($C395="W",$C395="1/2W",$C395="1/2L"),$P395-$O395,IF($C395="X",0,-$O395)),2),0)</f>
        <v>0</v>
      </c>
      <c r="AS395" s="132">
        <f>IF(AND($B394=" ",$K395=AS$3),$O395,0)</f>
        <v>0</v>
      </c>
      <c r="AT395" s="133">
        <f>IF(AND($B394=" ",K395=AT$3),$O395,0)</f>
        <v>0</v>
      </c>
      <c r="AU395" s="133">
        <f>IF(AND($B394=" ",$K395=AU$3),$O395,0)</f>
        <v>0</v>
      </c>
      <c r="AV395" s="133">
        <f>IF(AND($B394=" ",$K395=AV$3),$O395,0)</f>
        <v>0</v>
      </c>
      <c r="AW395" s="133">
        <f>IF(AND($B394=" ",$K395=AW$3),$O395,0)</f>
        <v>0</v>
      </c>
      <c r="AX395" s="133">
        <f>IF(AND($B394=" ",$K395=AX$3),$O395,0)</f>
        <v>0</v>
      </c>
      <c r="AY395" s="135">
        <f>IF(AND($B394=" ",$K395=AY$3),$O395,0)</f>
        <v>0</v>
      </c>
      <c r="AZ395" s="136">
        <f>IF(AND($B394=" ",$K395=AZ$3),$O395,0)</f>
        <v>0</v>
      </c>
      <c r="BA395" s="136">
        <f>IF(AND($B394=" ",$K395=BA$3),$O395,0)</f>
        <v>0</v>
      </c>
      <c r="BB395" s="136">
        <f>IF(AND($B394=" ",$K395=BB$3),$O395,0)</f>
        <v>0</v>
      </c>
      <c r="BC395" s="137">
        <f>IF(AND($B394=" ",$K395=BC$3),$O395,0)</f>
        <v>0</v>
      </c>
      <c r="BD395" s="133">
        <f>IF(AND($B394=" ",$K395=BD$3),$O395,0)</f>
        <v>0</v>
      </c>
      <c r="BE395" s="134">
        <f>IF(AND($B394=" ",$K395=BE$3),$O395,0)</f>
        <v>0</v>
      </c>
      <c r="BF395" s="132">
        <f>IF($K395=BF$3,IF($C395="X",0,$O395),0)</f>
        <v>0</v>
      </c>
      <c r="BG395" s="281">
        <f>IF($K395=BG$3,IF($C395="X",0,$O395),0)</f>
        <v>9.550000000000001</v>
      </c>
      <c r="BH395" s="133">
        <f>IF($K395=BH$3,IF($C395="X",0,$O395),0)</f>
        <v>0</v>
      </c>
      <c r="BI395" s="133">
        <f>IF($K395=BI$3,IF($C395="X",0,$O395),0)</f>
        <v>0</v>
      </c>
      <c r="BJ395" s="133">
        <f>IF($K395=BJ$3,IF($C395="X",0,$O395),0)</f>
        <v>0</v>
      </c>
      <c r="BK395" s="133">
        <f>IF($K395=BK$3,IF($C395="X",0,$O395),0)</f>
        <v>0</v>
      </c>
      <c r="BL395" s="133">
        <f>IF($K395=BL$3,IF($C395="X",0,$O395),0)</f>
        <v>0</v>
      </c>
      <c r="BM395" s="135">
        <f>IF($K395=BM$3,IF($C395="X",0,$O395),0)</f>
        <v>0</v>
      </c>
      <c r="BN395" s="136">
        <f>IF($K395=BN$3,IF($C395="X",0,$O395),0)</f>
        <v>0</v>
      </c>
      <c r="BO395" s="136">
        <f>IF($K395=BO$3,IF($C395="X",0,$O395),0)</f>
        <v>0</v>
      </c>
      <c r="BP395" s="136">
        <f>IF($K395=BP$3,IF($C395="X",0,$O395),0)</f>
        <v>0</v>
      </c>
      <c r="BQ395" s="137">
        <f>IF($K395=BQ$3,IF($C395="X",0,$O395),0)</f>
        <v>0</v>
      </c>
      <c r="BR395" s="134">
        <f>IF($K395=BR$3,IF($C395="X",0,$O395),0)</f>
        <v>0</v>
      </c>
      <c r="BS395" s="282"/>
      <c r="BT395" s="283"/>
      <c r="BU395" s="140"/>
      <c r="BV395" s="283"/>
      <c r="BW395" s="140"/>
      <c r="BX395" s="140"/>
      <c r="BY395" s="140"/>
      <c r="BZ395" s="283"/>
      <c r="CA395" s="140"/>
      <c r="CB395" s="140"/>
      <c r="CC395" s="140"/>
      <c r="CD395" s="141"/>
      <c r="CE395" s="142"/>
      <c r="CF395" s="284">
        <f>IF(CF$3=$K395,IF($C395="W",1,IF($C395="1/2W",0.5,0)),0)</f>
        <v>0</v>
      </c>
      <c r="CG395" s="285">
        <f>IF(CF$3=$K395,IF($C395="L",1,IF($C395="1/2L",0.5,0)),0)</f>
        <v>0</v>
      </c>
      <c r="CH395" s="285">
        <f>IF(CH$3=$K395,IF($C395="W",1,IF($C395="1/2W",0.5,0)),0)</f>
        <v>0</v>
      </c>
      <c r="CI395" s="285">
        <f>IF(CH$3=$K395,IF($C395="L",1,IF($C395="1/2L",0.5,0)),0)</f>
        <v>1</v>
      </c>
      <c r="CJ395" s="285">
        <f>IF(CJ$3=$K395,IF($C395="W",1,IF($C395="1/2W",0.5,0)),0)</f>
        <v>0</v>
      </c>
      <c r="CK395" s="285">
        <f>IF(CJ$3=$K395,IF($C395="L",1,IF($C395="1/2L",0.5,0)),0)</f>
        <v>0</v>
      </c>
      <c r="CL395" s="285">
        <f>IF(CL$3=$K395,IF($C395="W",1,IF($C395="1/2W",0.5,0)),0)</f>
        <v>0</v>
      </c>
      <c r="CM395" s="285">
        <f>IF(CL$3=$K395,IF($C395="L",1,IF($C395="1/2L",0.5,0)),0)</f>
        <v>0</v>
      </c>
      <c r="CN395" s="285">
        <f>IF(CN$3=$K395,IF($C395="W",1,IF($C395="1/2W",0.5,0)),0)</f>
        <v>0</v>
      </c>
      <c r="CO395" s="285">
        <f>IF(CN$3=$K395,IF($C395="L",1,IF($C395="1/2L",0.5,0)),0)</f>
        <v>0</v>
      </c>
      <c r="CP395" s="285">
        <f>IF(CP$3=$K395,IF($C395="W",1,IF($C395="1/2W",0.5,0)),0)</f>
        <v>0</v>
      </c>
      <c r="CQ395" s="285">
        <f>IF(CP$3=$K395,IF($C395="L",1,IF($C395="1/2L",0.5,0)),0)</f>
        <v>0</v>
      </c>
      <c r="CR395" s="285">
        <f>IF(CR$3=$K395,IF($C395="W",1,IF($C395="1/2W",0.5,0)),0)</f>
        <v>0</v>
      </c>
      <c r="CS395" s="285">
        <f>IF(CR$3=$K395,IF($C395="L",1,IF($C395="1/2L",0.5,0)),0)</f>
        <v>0</v>
      </c>
      <c r="CT395" s="145">
        <f>IF(CT$3=$K395,IF($C395="W",1,IF($C395="1/2W",0.5,0)),0)</f>
        <v>0</v>
      </c>
      <c r="CU395" s="146">
        <f>IF(CT$3=$K395,IF($C395="L",1,IF($C395="1/2L",0.5,0)),0)</f>
        <v>0</v>
      </c>
      <c r="CV395" s="146">
        <f>IF(CV$3=$K395,IF($C395="W",1,IF($C395="1/2W",0.5,0)),0)</f>
        <v>0</v>
      </c>
      <c r="CW395" s="146">
        <f>IF(CV$3=$K395,IF($C395="L",1,IF($C395="1/2L",0.5,0)),0)</f>
        <v>0</v>
      </c>
      <c r="CX395" s="146">
        <f>IF(CX$3=$K395,IF($C395="W",1,IF($C395="1/2W",0.5,0)),0)</f>
        <v>0</v>
      </c>
      <c r="CY395" s="146">
        <f>IF(CX$3=$K395,IF($C395="L",1,IF($C395="1/2L",0.5,0)),0)</f>
        <v>0</v>
      </c>
      <c r="CZ395" s="146">
        <f>IF(CZ$3=$K395,IF($C395="W",1,IF($C395="1/2W",0.5,0)),0)</f>
        <v>0</v>
      </c>
      <c r="DA395" s="146">
        <f>IF(CZ$3=$K395,IF($C395="L",1,IF($C395="1/2L",0.5,0)),0)</f>
        <v>0</v>
      </c>
      <c r="DB395" s="146">
        <f>IF(DB$3=$K395,IF($C395="W",1,IF($C395="1/2W",0.5,0)),0)</f>
        <v>0</v>
      </c>
      <c r="DC395" s="146">
        <f>IF(DB$3=$K395,IF($C395="L",1,IF($C395="1/2L",0.5,0)),0)</f>
        <v>0</v>
      </c>
      <c r="DD395" s="146">
        <f>IF(DD$3=$K395,IF($C395="W",1,IF($C395="1/2W",0.5,0)),0)</f>
        <v>0</v>
      </c>
      <c r="DE395" s="147">
        <f>IF(DD$3=$K395,IF($C395="L",1,IF($C395="1/2L",0.5,0)),0)</f>
        <v>0</v>
      </c>
      <c r="DF395" s="143">
        <f>IF(AND(L395&lt;DF$3,$C395="W"),1+DF394,DF394)</f>
        <v>12</v>
      </c>
      <c r="DG395" s="133">
        <f>IF(DF395&gt;DF394,L395+DG394,DG394)</f>
        <v>15.718</v>
      </c>
      <c r="DH395" s="146">
        <f>IF(AND(L395&gt;DH$3,$C395="W"),1+DH394,0+DH394)</f>
        <v>10</v>
      </c>
      <c r="DI395" s="133">
        <f>IF(DH395&gt;DH394,L395+DI394,DI394)</f>
        <v>55.13</v>
      </c>
      <c r="DJ395" t="s" s="304">
        <f>IF($D394="","",$D394)</f>
        <v>307</v>
      </c>
      <c r="DK395" s="286"/>
    </row>
    <row r="396" ht="14.55" customHeight="1">
      <c r="A396" s="149"/>
      <c r="B396" s="150"/>
      <c r="C396" t="s" s="151">
        <v>58</v>
      </c>
      <c r="D396" s="152"/>
      <c r="E396" s="153"/>
      <c r="F396" s="155"/>
      <c r="G396" s="252"/>
      <c r="H396" s="156"/>
      <c r="I396" s="287"/>
      <c r="J396" s="288"/>
      <c r="K396" s="156"/>
      <c r="L396" s="289"/>
      <c r="M396" s="290"/>
      <c r="N396" s="161"/>
      <c r="O396" t="s" s="162">
        <f>IF(OR(AE394="",AE395=""),"",IF(L396&gt;0,ROUND(IF(M396&gt;0,M396,IF(M394&gt;0,ROUND((M394*AE396)/AE394,IF(N394=0,2,IF(N394=0.1,1,0))),IF(M395&gt;0,ROUND((M395*AE396)/AE395,IF(N394=0,2,IF(N394=0.1,1,0))),IF(M396&gt;0,M396,0)))),2),""))</f>
      </c>
      <c r="P396" t="s" s="163">
        <f>IF(I395="Lay",O395*(L395/(L395-1))-O395,IF(I394="Lay",O394*(L394/(L394-1))-O394,IF(OR(L396="",O396=""),"",IF($C396="1/2W",O396/2+O396/2*L396,IF($C396="1/2L",O396/2,(O396*L396-O396)*(1-_xlfn.XLOOKUP(K396,'Janeiro 2023 - Valor Real'!A3:A15,'Janeiro 2023 - Valor Real'!C3:C15,0))+O396)))))</f>
      </c>
      <c r="Q396" t="s" s="154">
        <f>IF(K396="","",IF(_xlfn.XLOOKUP(K396,K$109:K163,DJ$109:DJ163,0,,-1)=DJ396,_xlfn.XLOOKUP(K396,K$109:K163,Q$109:Q163,1,,-1)+1,1))</f>
      </c>
      <c r="R396" t="s" s="163">
        <f>IF(K396="","",_xlfn.XLOOKUP(K396,K$109:K163,R$109:R163,0,,-1)+IF($C396=" ",1,0))</f>
      </c>
      <c r="S396" s="166"/>
      <c r="T396" s="155"/>
      <c r="U396" s="155"/>
      <c r="V396" s="166"/>
      <c r="W396" s="155"/>
      <c r="X396" s="167"/>
      <c r="Y396" s="128"/>
      <c r="Z396" s="129"/>
      <c r="AA396" s="129"/>
      <c r="AB396" s="129"/>
      <c r="AC396" s="129"/>
      <c r="AD396" s="168"/>
      <c r="AE396" t="s" s="169">
        <f>IF(L396="","",(SUM(((L394-1)*(1-_xlfn.XLOOKUP(K394,'Janeiro 2023 - Valor Real'!A3:A15,'Janeiro 2023 - Valor Real'!C3:C15,0))+1),((L395-1)*(1-_xlfn.XLOOKUP(K395,'Janeiro 2023 - Valor Real'!A3:A15,'Janeiro 2023 - Valor Real'!C3:C15,0))+1),((L396-1)*(1-_xlfn.XLOOKUP(K396,'Janeiro 2023 - Valor Real'!A3:A15,'Janeiro 2023 - Valor Real'!C3:C15,0))+1))/((L396-1)*(1-_xlfn.XLOOKUP(K396,'Janeiro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Real'!C3:C15,0))+1))/((L394-1)*(1-_xlfn.XLOOKUP(K394,'Janeiro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Real'!C3:C15,0))+1))/((L395-1)*(1-_xlfn.XLOOKUP(K395,'Janeiro 2023 - Valor Real'!A3:A15,'Janeiro 2023 - Valor Real'!C3:C15,0))+1)+SUM(((L394-1)*(1-_xlfn.XLOOKUP(K394,'Janeiro 2023 - Valor Real'!A3:A15,'Janeiro 2023 - Valor Real'!C3:C15,0))+1),((L395-1)*(1-_xlfn.XLOOKUP(K395,'Janeiro 2023 - Valor Real'!A3:A15,'Janeiro 2023 - Valor Real'!C3:C15,0))+1),((L396-1)*(1-_xlfn.XLOOKUP(K396,'Janeiro 2023 - Valor Real'!A3:A15,'Janeiro 2023 - Valor Real'!C3:C15,0))+1))/((L396-1)*(1-_xlfn.XLOOKUP(K396,'Janeiro 2023 - Valor Real'!A3:A15,'Janeiro 2023 - Valor Real'!C3:C15,0))+1)))</f>
      </c>
      <c r="AF396" s="132">
        <f>IF($K396=AF$3,ROUND(IF(OR($C396="W",$C396="1/2W",$C396="1/2L"),$P396-$O396,IF($C396="X",0,-$O396)),2),0)</f>
        <v>0</v>
      </c>
      <c r="AG396" s="133">
        <f>IF($K396=AG$3,ROUND(IF(OR($C396="W",$C396="1/2W",$C396="1/2L"),$P396-$O396,IF($C396="X",0,-$O396)),2),0)</f>
        <v>0</v>
      </c>
      <c r="AH396" s="133">
        <f>IF($K396=AH$3,ROUND(IF(OR($C396="W",$C396="1/2W",$C396="1/2L"),$P396-$O396,IF($C396="X",0,-$O396)),2),0)</f>
        <v>0</v>
      </c>
      <c r="AI396" s="133">
        <f>IF($K396=AI$3,ROUND(IF(OR($C396="W",$C396="1/2W",$C396="1/2L"),$P396-$O396,IF($C396="X",0,-$O396)),2),0)</f>
        <v>0</v>
      </c>
      <c r="AJ396" s="133">
        <f>IF($K396=AJ$3,ROUND(IF(OR($C396="W",$C396="1/2W",$C396="1/2L"),$P396-$O396,IF($C396="X",0,-$O396)),2),0)</f>
        <v>0</v>
      </c>
      <c r="AK396" s="133">
        <f>IF($K396=AK$3,ROUND(IF(OR($C396="W",$C396="1/2W",$C396="1/2L"),$P396-$O396,IF($C396="X",0,-$O396)),2),0)</f>
        <v>0</v>
      </c>
      <c r="AL396" s="133">
        <f>IF($K396=AL$3,ROUND(IF(OR($C396="W",$C396="1/2W",$C396="1/2L"),$P396-$O396,IF($C396="X",0,-$O396)),2),0)</f>
        <v>0</v>
      </c>
      <c r="AM396" s="133">
        <f>IF($K396=AM$3,ROUND(IF(OR($C396="W",$C396="1/2W",$C396="1/2L"),$P396-$O396,IF($C396="X",0,-$O396)),2),0)</f>
        <v>0</v>
      </c>
      <c r="AN396" s="133">
        <f>IF($K396=AN$3,ROUND(IF(OR($C396="W",$C396="1/2W",$C396="1/2L"),$P396-$O396,IF($C396="X",0,-$O396)),2),0)</f>
        <v>0</v>
      </c>
      <c r="AO396" s="133">
        <f>IF($K396=AO$3,ROUND(IF(OR($C396="W",$C396="1/2W",$C396="1/2L"),$P396-$O396,IF($C396="X",0,-$O396)),2),0)</f>
        <v>0</v>
      </c>
      <c r="AP396" s="133">
        <f>IF($K396=AP$3,ROUND(IF(OR($C396="W",$C396="1/2W",$C396="1/2L"),$P396-$O396,IF($C396="X",0,-$O396)),2),0)</f>
        <v>0</v>
      </c>
      <c r="AQ396" s="133">
        <f>IF($K396=AQ$3,ROUND(IF(OR($C396="W",$C396="1/2W",$C396="1/2L"),$P396-$O396,IF($C396="X",0,-$O396)),2),0)</f>
        <v>0</v>
      </c>
      <c r="AR396" s="134">
        <f>IF($K396=AR$3,ROUND(IF(OR($C396="W",$C396="1/2W",$C396="1/2L"),$P396-$O396,IF($C396="X",0,-$O396)),2),0)</f>
        <v>0</v>
      </c>
      <c r="AS396" s="132">
        <f>IF(AND($B394=" ",$K396=AS$3),$O396,0)</f>
        <v>0</v>
      </c>
      <c r="AT396" s="133">
        <f>IF(AND($B394=" ",K396=AT$3),$O396,0)</f>
        <v>0</v>
      </c>
      <c r="AU396" s="133">
        <f>IF(AND($B394=" ",$K396=AU$3),$O396,0)</f>
        <v>0</v>
      </c>
      <c r="AV396" s="133">
        <f>IF(AND($B394=" ",$K396=AV$3),$O396,0)</f>
        <v>0</v>
      </c>
      <c r="AW396" s="133">
        <f>IF(AND($B394=" ",$K396=AW$3),$O396,0)</f>
        <v>0</v>
      </c>
      <c r="AX396" s="133">
        <f>IF(AND($B394=" ",$K396=AX$3),$O396,0)</f>
        <v>0</v>
      </c>
      <c r="AY396" s="135">
        <f>IF(AND($B394=" ",$K396=AY$3),$O396,0)</f>
        <v>0</v>
      </c>
      <c r="AZ396" s="136">
        <f>IF(AND($B394=" ",$K396=AZ$3),$O396,0)</f>
        <v>0</v>
      </c>
      <c r="BA396" s="136">
        <f>IF(AND($B394=" ",$K396=BA$3),$O396,0)</f>
        <v>0</v>
      </c>
      <c r="BB396" s="136">
        <f>IF(AND($B394=" ",$K396=BB$3),$O396,0)</f>
        <v>0</v>
      </c>
      <c r="BC396" s="137">
        <f>IF(AND($B394=" ",$K396=BC$3),$O396,0)</f>
        <v>0</v>
      </c>
      <c r="BD396" s="133">
        <f>IF(AND($B394=" ",$K396=BD$3),$O396,0)</f>
        <v>0</v>
      </c>
      <c r="BE396" s="134">
        <f>IF(AND($B394=" ",$K396=BE$3),$O396,0)</f>
        <v>0</v>
      </c>
      <c r="BF396" s="132">
        <f>IF($K396=BF$3,IF($C396="X",0,$O396),0)</f>
        <v>0</v>
      </c>
      <c r="BG396" s="281">
        <f>IF($K396=BG$3,IF($C396="X",0,$O396),0)</f>
        <v>0</v>
      </c>
      <c r="BH396" s="133">
        <f>IF($K396=BH$3,IF($C396="X",0,$O396),0)</f>
        <v>0</v>
      </c>
      <c r="BI396" s="133">
        <f>IF($K396=BI$3,IF($C396="X",0,$O396),0)</f>
        <v>0</v>
      </c>
      <c r="BJ396" s="133">
        <f>IF($K396=BJ$3,IF($C396="X",0,$O396),0)</f>
        <v>0</v>
      </c>
      <c r="BK396" s="133">
        <f>IF($K396=BK$3,IF($C396="X",0,$O396),0)</f>
        <v>0</v>
      </c>
      <c r="BL396" s="133">
        <f>IF($K396=BL$3,IF($C396="X",0,$O396),0)</f>
        <v>0</v>
      </c>
      <c r="BM396" s="135">
        <f>IF($K396=BM$3,IF($C396="X",0,$O396),0)</f>
        <v>0</v>
      </c>
      <c r="BN396" s="136">
        <f>IF($K396=BN$3,IF($C396="X",0,$O396),0)</f>
        <v>0</v>
      </c>
      <c r="BO396" s="136">
        <f>IF($K396=BO$3,IF($C396="X",0,$O396),0)</f>
        <v>0</v>
      </c>
      <c r="BP396" s="136">
        <f>IF($K396=BP$3,IF($C396="X",0,$O396),0)</f>
        <v>0</v>
      </c>
      <c r="BQ396" s="137">
        <f>IF($K396=BQ$3,IF($C396="X",0,$O396),0)</f>
        <v>0</v>
      </c>
      <c r="BR396" s="134">
        <f>IF($K396=BR$3,IF($C396="X",0,$O396),0)</f>
        <v>0</v>
      </c>
      <c r="BS396" s="282"/>
      <c r="BT396" s="283"/>
      <c r="BU396" s="140"/>
      <c r="BV396" s="283"/>
      <c r="BW396" s="140"/>
      <c r="BX396" s="140"/>
      <c r="BY396" s="140"/>
      <c r="BZ396" s="283"/>
      <c r="CA396" s="140"/>
      <c r="CB396" s="140"/>
      <c r="CC396" s="140"/>
      <c r="CD396" s="141"/>
      <c r="CE396" s="142"/>
      <c r="CF396" s="284">
        <f>IF(CF$3=$K396,IF($C396="W",1,IF($C396="1/2W",0.5,0)),0)</f>
        <v>0</v>
      </c>
      <c r="CG396" s="285">
        <f>IF(CF$3=$K396,IF($C396="L",1,IF($C396="1/2L",0.5,0)),0)</f>
        <v>0</v>
      </c>
      <c r="CH396" s="285">
        <f>IF(CH$3=$K396,IF($C396="W",1,IF($C396="1/2W",0.5,0)),0)</f>
        <v>0</v>
      </c>
      <c r="CI396" s="285">
        <f>IF(CH$3=$K396,IF($C396="L",1,IF($C396="1/2L",0.5,0)),0)</f>
        <v>0</v>
      </c>
      <c r="CJ396" s="285">
        <f>IF(CJ$3=$K396,IF($C396="W",1,IF($C396="1/2W",0.5,0)),0)</f>
        <v>0</v>
      </c>
      <c r="CK396" s="285">
        <f>IF(CJ$3=$K396,IF($C396="L",1,IF($C396="1/2L",0.5,0)),0)</f>
        <v>0</v>
      </c>
      <c r="CL396" s="285">
        <f>IF(CL$3=$K396,IF($C396="W",1,IF($C396="1/2W",0.5,0)),0)</f>
        <v>0</v>
      </c>
      <c r="CM396" s="285">
        <f>IF(CL$3=$K396,IF($C396="L",1,IF($C396="1/2L",0.5,0)),0)</f>
        <v>0</v>
      </c>
      <c r="CN396" s="285">
        <f>IF(CN$3=$K396,IF($C396="W",1,IF($C396="1/2W",0.5,0)),0)</f>
        <v>0</v>
      </c>
      <c r="CO396" s="285">
        <f>IF(CN$3=$K396,IF($C396="L",1,IF($C396="1/2L",0.5,0)),0)</f>
        <v>0</v>
      </c>
      <c r="CP396" s="285">
        <f>IF(CP$3=$K396,IF($C396="W",1,IF($C396="1/2W",0.5,0)),0)</f>
        <v>0</v>
      </c>
      <c r="CQ396" s="285">
        <f>IF(CP$3=$K396,IF($C396="L",1,IF($C396="1/2L",0.5,0)),0)</f>
        <v>0</v>
      </c>
      <c r="CR396" s="285">
        <f>IF(CR$3=$K396,IF($C396="W",1,IF($C396="1/2W",0.5,0)),0)</f>
        <v>0</v>
      </c>
      <c r="CS396" s="285">
        <f>IF(CR$3=$K396,IF($C396="L",1,IF($C396="1/2L",0.5,0)),0)</f>
        <v>0</v>
      </c>
      <c r="CT396" s="145">
        <f>IF(CT$3=$K396,IF($C396="W",1,IF($C396="1/2W",0.5,0)),0)</f>
        <v>0</v>
      </c>
      <c r="CU396" s="146">
        <f>IF(CT$3=$K396,IF($C396="L",1,IF($C396="1/2L",0.5,0)),0)</f>
        <v>0</v>
      </c>
      <c r="CV396" s="146">
        <f>IF(CV$3=$K396,IF($C396="W",1,IF($C396="1/2W",0.5,0)),0)</f>
        <v>0</v>
      </c>
      <c r="CW396" s="146">
        <f>IF(CV$3=$K396,IF($C396="L",1,IF($C396="1/2L",0.5,0)),0)</f>
        <v>0</v>
      </c>
      <c r="CX396" s="146">
        <f>IF(CX$3=$K396,IF($C396="W",1,IF($C396="1/2W",0.5,0)),0)</f>
        <v>0</v>
      </c>
      <c r="CY396" s="146">
        <f>IF(CX$3=$K396,IF($C396="L",1,IF($C396="1/2L",0.5,0)),0)</f>
        <v>0</v>
      </c>
      <c r="CZ396" s="146">
        <f>IF(CZ$3=$K396,IF($C396="W",1,IF($C396="1/2W",0.5,0)),0)</f>
        <v>0</v>
      </c>
      <c r="DA396" s="146">
        <f>IF(CZ$3=$K396,IF($C396="L",1,IF($C396="1/2L",0.5,0)),0)</f>
        <v>0</v>
      </c>
      <c r="DB396" s="146">
        <f>IF(DB$3=$K396,IF($C396="W",1,IF($C396="1/2W",0.5,0)),0)</f>
        <v>0</v>
      </c>
      <c r="DC396" s="146">
        <f>IF(DB$3=$K396,IF($C396="L",1,IF($C396="1/2L",0.5,0)),0)</f>
        <v>0</v>
      </c>
      <c r="DD396" s="146">
        <f>IF(DD$3=$K396,IF($C396="W",1,IF($C396="1/2W",0.5,0)),0)</f>
        <v>0</v>
      </c>
      <c r="DE396" s="147">
        <f>IF(DD$3=$K396,IF($C396="L",1,IF($C396="1/2L",0.5,0)),0)</f>
        <v>0</v>
      </c>
      <c r="DF396" s="143">
        <f>IF(AND(L396&lt;DF$3,$C396="W"),1+DF395,DF395)</f>
        <v>12</v>
      </c>
      <c r="DG396" s="133">
        <f>IF(DF396&gt;DF395,L396+DG395,DG395)</f>
        <v>15.718</v>
      </c>
      <c r="DH396" s="146">
        <f>IF(AND(L396&gt;DH$3,$C396="W"),1+DH395,0+DH395)</f>
        <v>10</v>
      </c>
      <c r="DI396" s="133">
        <f>IF(DH396&gt;DH395,L396+DI395,DI395)</f>
        <v>55.13</v>
      </c>
      <c r="DJ396" t="s" s="304">
        <f>IF($D394="","",$D394)</f>
        <v>307</v>
      </c>
      <c r="DK396" s="286"/>
    </row>
    <row r="397" ht="14.55" customHeight="1">
      <c r="A397" s="171">
        <f>$A394+1</f>
        <v>132</v>
      </c>
      <c r="B397" t="s" s="172">
        <f>IF(AND(_xlfn.XLOOKUP(H397,H$110:H158,G$110:G158,0)=G397,_xlfn.XLOOKUP("TempoBet",K397:K399,L397:L399,0)&gt;0),"X",IF(OR(C397="W",C398="W",C399="W",C397="1/2W",C398="1/2W",C399="1/2W",C397="1/2L",C398="1/2L",C399="1/2L"),"OK",IF(OR(C397="L",C398="L",C399="L"),"LOSS",IF(OR(C397="X",C398="X",C399="X"),"Anulado"," "))))</f>
        <v>50</v>
      </c>
      <c r="C397" t="s" s="173">
        <v>56</v>
      </c>
      <c r="D397" t="s" s="305">
        <f>IF(G397="","",$D394)</f>
        <v>307</v>
      </c>
      <c r="E397" t="s" s="175">
        <f>IF(G397=""," ","– "&amp;COUNTIF(D$4:D399,$D397))</f>
        <v>135</v>
      </c>
      <c r="F397" t="s" s="176"/>
      <c r="G397" s="177">
        <v>44950.84375</v>
      </c>
      <c r="H397" t="s" s="178">
        <v>327</v>
      </c>
      <c r="I397" t="s" s="179">
        <v>57</v>
      </c>
      <c r="J397" s="180"/>
      <c r="K397" t="s" s="181">
        <v>37</v>
      </c>
      <c r="L397" s="182">
        <v>1.9</v>
      </c>
      <c r="M397" s="183"/>
      <c r="N397" s="184">
        <v>0.1</v>
      </c>
      <c r="O397" s="185">
        <f>IF(OR(AE397="",AE398=""),"",ROUND(IF(L399&gt;0,IF(M397&gt;0,M397,IF(M398&gt;0,ROUND((M398*AE397)/AE398,IF(N397=0,2,IF(N397=0.1,1,0))),ROUND((M399*AE397)/AE399,IF(N397=0,2,IF(N397=0.1,1,0))))),IF(M397&gt;0,M397,ROUND((M398*AE397)/AE398,IF(N397=0,2,IF(N397=0.1,1,0))))),2))</f>
        <v>9.9</v>
      </c>
      <c r="P397" s="186">
        <f>IF(OR(L397="",O397=""),"",IF($C397="1/2W",O397/2+O397/2*L397,IF($C397="1/2L",O397/2,IF(I397="Lay",(O397*(L397/(L397-1))-O397)*(1-_xlfn.XLOOKUP(K397,'Janeiro 2023 - Valor Real'!A3:A15,'Janeiro 2023 - Valor Real'!C3:C15,0))+O397,(O397*L397-O397)*(1-_xlfn.XLOOKUP(K397,'Janeiro 2023 - Valor Real'!A3:A15,'Janeiro 2023 - Valor Real'!C3:C15,0))+O397))))</f>
        <v>18.81</v>
      </c>
      <c r="Q397" s="187">
        <f>IF(K397="","",IF(_xlfn.XLOOKUP(K397,K$110:K158,DJ$110:DJ158,0,,-1)=DJ397,_xlfn.XLOOKUP(K397,K$110:K158,Q$110:Q158,1,,-1)+1,1))</f>
        <v>1</v>
      </c>
      <c r="R397" s="188">
        <f>IF(K397="","",_xlfn.XLOOKUP(K397,K$110:K158,R$110:R158,0,,-1)+IF($C397=" ",1,0))</f>
        <v>0</v>
      </c>
      <c r="S397" s="189">
        <f>IF($B397="Anulado",0,ROUND(IF(OR($B397="LOSS",$B397="OK"),IF(OR($C397="W",$C397="1/2W",$C397="1/2L"),P397-O397,IF($C397="L",-O397,0))+IF(OR($C398="W",$C398="1/2W",$C398="1/2L"),P398-O398,IF($C398="L",-O398,0))+IF(OR($C399="W",$C399="1/2W",$C399="1/2L"),P399-O399,IF($C399="L",-O399,0)),IF(AND(OR($C397="W",$C397="1/2W",$C397="1/2L"),C398="W"),P397+P398-SUM(O397:O399)+_xlfn.XLOOKUP("X",C397:C399,O397:O399,0),IF(AND(C397=TRUE,C399="W"),P397+P399-SUM(O397:O399),IF(AND(C398="W",C399="W"),P398+P399-SUM(O397:O399)+_xlfn.XLOOKUP("X",C397:C399,O397:O399,0),IF(L399&gt;0,IF(OR($C397="W",$C397="1/2W",$C397="1/2L"),P397-SUM(O397:O399)+_xlfn.XLOOKUP("X",C397:C399,O397:O399,0),IF(OR($C397="W",$C397="1/2W",$C397="1/2L"),P398-SUM(O397:O399)+_xlfn.XLOOKUP("X",C397:C399,O397:O399,0),IF(OR($C397="W",$C397="1/2W",$C397="1/2L"),P399-SUM(O397:O399)+_xlfn.XLOOKUP("X",C397:C399,O397:O399,0),IF(SUM(P397:P399)/3-SUM(O397:O399)+_xlfn.XLOOKUP("X",C397:C399,O397:O399,0)&gt;0,SUM(P397:P399)/3-SUM(O397:O399)+_xlfn.XLOOKUP("X",C397:C399,O397:O399,0),LARGE(P397:P399,1)-SUM(O397:O399))))),IF(OR($C397="W",$C397="1/2W",$C397="1/2L"),P397-SUM(O397:O398)+_xlfn.XLOOKUP("X",C397:C399,O397:O399,0),IF(OR($C397="W",$C397="1/2W",$C397="1/2L"),P398-SUM(O397:O398)+_xlfn.XLOOKUP("X",C397:C399,O397:O399,0),SUM(P397:P398)/2-SUM(O397:O398)+_xlfn.XLOOKUP("X",C397:C399,O397:O399,0)))))))),2))</f>
        <v>1.31</v>
      </c>
      <c r="T397" s="190">
        <f>IF(S397=0,0,S397/SUM(O397:O399))</f>
        <v>0.0748571428571429</v>
      </c>
      <c r="U397" s="191">
        <f>IF($D397=$D394,IF(OR($B397="LOSS",$B397="OK",$B397="Anulada"),S397,0)+U394,IF(OR($B397="LOSS",$B397="OK",$B397="Anulada"),S397,0))</f>
        <v>20.5</v>
      </c>
      <c r="V397" s="191">
        <f>IF($D397="",0,IF($D397=$D394,IF($B397=" ",IF(I399="",IF(OR(AND(I397="DNB1",I398="DNB2"),AND(OR(I397="DNB1",I397="DNB2"),J398=0),AND(OR(I398="DNB1",I398="DNB2"),J397=0),AND(I397="DNB2",I398="DNB1"),AND(IF(J397=0,(J397+1)/ROUND(J397+1,0),J397/ROUND(J397,0))=1,IF(J398=0,(J398+1)/ROUND(IF(J398="",0,J398)+1,0),IF(J398="",0,J398)/ROUND(IF(J398="",1,J398),0))=1,OR(J397&lt;&gt;""),J398&lt;&gt;"")),0,IF(S397&lt;0,IF(I399="",SMALL(P397:P398,1)-SUM(O397:O398),0),SMALL(P397:P398,1)-SUM(O397:O398))),IF(S397&lt;0,IF(I399="",SMALL(P397:P399,1)-SUM(O397:O399),0),LARGE(P397:P399,1)-SUM(O397:O399))),S397)+V394,IF(I399="",IF(OR(AND(I397="DNB1",I398="DNB2"),AND(OR(I397="DNB1",I397="DNB2"),J398=0),AND(OR(I398="DNB1",I398="DNB2"),J397=0),AND(I397="DNB2",I398="DNB1"),AND(IF(J397=0,(J397+1)/ROUND(J397+1,0),J397/ROUND(J397,0))=1,IF(J398=0,(IF(J398="",0,J398)+1)/ROUND(IF(J398="",0,J398)+1,0),IF(J398="",0,J398)/ROUND(IF(J398="",0,J398)+1,0))=1,OR(J397&lt;&gt;""),J398&lt;&gt;"")),0,IF(S397&lt;0,IF(I399="",SMALL(P397:P398,1)-SUM(O397:O398),0),SMALL(P397:P399,1)-SUM(O397:O399))),IF(S397&lt;0,IF(I399="",SMALL(P397:P399,1)-SUM(O397:O399),0),LARGE(P397:P399,1)-SUM(O397:O399)))))</f>
        <v>20.50225</v>
      </c>
      <c r="W397" s="191">
        <f>IF($D397=$D394,IF(S397&lt;0,IF(I399="",S397,0),S397)+W394,S397)</f>
        <v>20.5</v>
      </c>
      <c r="X397" t="s" s="192">
        <f>IF(OR(SUM(R397:R399)=0,V397=W397),ROUND(IF(W397=0,0,W397/Y397)*100,2)&amp;"%",ROUND(IF(V397=0,0,V397/Y397)*100,2)&amp;"% a "&amp;ROUND(IF(W397=0,0,W397/Y397)*100,2)&amp;"%")</f>
        <v>198</v>
      </c>
      <c r="Y397" s="193">
        <f>IF($D397=$D394,Y394+SUM(O397:O399),SUM(O397:O399))</f>
        <v>270.1</v>
      </c>
      <c r="Z397" s="191">
        <f>IF($B397=" ",SUM(O397:O399),0)+Z394</f>
        <v>0</v>
      </c>
      <c r="AA397" s="191">
        <f>IF(G397="","",IF($B397="Anulado",LARGE(P397:P399,1)-SUM(O397:O399)+AA394,AA394))</f>
        <v>16.5099</v>
      </c>
      <c r="AB397" s="191">
        <f>IF($D397="","",AB394+S397)</f>
        <v>272.17</v>
      </c>
      <c r="AC397" s="194">
        <f>IF($D397="","",IF($B397=" ",IF(DAY(G397)=DAY(TODAY()),1+AC394,0+AC394),0+AC394))</f>
        <v>0</v>
      </c>
      <c r="AD397" s="195">
        <f>(((L398/(L398-1)-1)*(1-_xlfn.XLOOKUP(K398,'Janeiro 2023 - Valor Real'!A3:A15,'Janeiro 2023 - Valor Real'!C3:C15,0))+1))/(((L397-1)*(1-_xlfn.XLOOKUP(K397,'Janeiro 2023 - Valor Real'!A3:A15,'Janeiro 2023 - Valor Real'!C3:C15,0))+1)+((L398/(L398-1)-1)*(1-_xlfn.XLOOKUP(K398,'Janeiro 2023 - Valor Real'!A3:A15,'Janeiro 2023 - Valor Real'!C3:C15,0))+1))</f>
        <v>0.468631897203326</v>
      </c>
      <c r="AE397" s="196">
        <f>IF(L397="","",IF(L399&gt;0,(SUM(((L397-1)*(1-_xlfn.XLOOKUP(K397,'Janeiro 2023 - Valor Real'!A3:A15,'Janeiro 2023 - Valor Real'!C3:C15,0))+1),((L398-1)*(1-_xlfn.XLOOKUP(K398,'Janeiro 2023 - Valor Real'!A3:A15,'Janeiro 2023 - Valor Real'!C3:C15,0))+1),((L399-1)*(1-_xlfn.XLOOKUP(K399,'Janeiro 2023 - Valor Real'!A3:A15,'Janeiro 2023 - Valor Real'!C3:C15,0))+1))/((L397-1)*(1-_xlfn.XLOOKUP(K397,'Janeiro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Real'!C3:C15,0))+1))/((L397-1)*(1-_xlfn.XLOOKUP(K397,'Janeiro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Real'!C3:C15,0))+1))/((L398-1)*(1-_xlfn.XLOOKUP(K398,'Janeiro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Real'!C3:C15,0))+1))/((L399-1)*(1-_xlfn.XLOOKUP(K399,'Janeiro 2023 - Valor Real'!A3:A15,'Janeiro 2023 - Valor Real'!C3:C15,0))+1)),IF(I397="Lay",IF(I398="Lay",((L398/(L398-1)-1)*(1-_xlfn.XLOOKUP(K398,'Janeiro 2023 - Valor Real'!A3:A15,'Janeiro 2023 - Valor Real'!C3:C15,0))+1)/(((L398/(L398-1)-1)*(1-_xlfn.XLOOKUP(K398,'Janeiro 2023 - Valor Real'!A3:A15,'Janeiro 2023 - Valor Real'!C3:C15,0))+1)+((L397/(L397-1)-1)*(1-_xlfn.XLOOKUP(K397,'Janeiro 2023 - Valor Real'!A3:A15,'Janeiro 2023 - Valor Real'!C3:C15,0))+1)),((L398-1)*(1-_xlfn.XLOOKUP(K398,'Janeiro 2023 - Valor Real'!A3:A15,'Janeiro 2023 - Valor Real'!C3:C15,0))+1)/(((L398-1)*(1-_xlfn.XLOOKUP(K398,'Janeiro 2023 - Valor Real'!A3:A15,'Janeiro 2023 - Valor Real'!C3:C15,0))+1)+((L397/(L397-1)-1)*(1-_xlfn.XLOOKUP(K397,'Janeiro 2023 - Valor Real'!A3:A15,'Janeiro 2023 - Valor Real'!C3:C15,0))+1))),IF(I398="Lay",(((L398/(L398-1)-1)*(1-_xlfn.XLOOKUP(K398,'Janeiro 2023 - Valor Real'!A3:A15,'Janeiro 2023 - Valor Real'!C3:C15,0))+1))/(((L397-1)*(1-_xlfn.XLOOKUP(K397,'Janeiro 2023 - Valor Real'!A3:A15,'Janeiro 2023 - Valor Real'!C3:C15,0))+1)+((L398/(L398-1)-1)*(1-_xlfn.XLOOKUP(K398,'Janeiro 2023 - Valor Real'!A3:A15,'Janeiro 2023 - Valor Real'!C3:C15,0))+1)),((L398-1)*(1-_xlfn.XLOOKUP(K398,'Janeiro 2023 - Valor Real'!A3:A15,'Janeiro 2023 - Valor Real'!C3:C15,0))+1)/(((L398-1)*(1-_xlfn.XLOOKUP(K398,'Janeiro 2023 - Valor Real'!A3:A15,'Janeiro 2023 - Valor Real'!C3:C15,0))+1)+((L397-1)*(1-_xlfn.XLOOKUP(K397,'Janeiro 2023 - Valor Real'!A3:A15,'Janeiro 2023 - Valor Real'!C3:C15,0))+1))))))</f>
        <v>0.5662100456621</v>
      </c>
      <c r="AF397" s="197">
        <f>IF($K397=AF$3,ROUND(IF(OR($C397="W",$C397="1/2W",$C397="1/2L"),$P397-$O397,IF($C397="X",0,-$O397)),2),0)</f>
        <v>8.91</v>
      </c>
      <c r="AG397" s="198">
        <f>IF($K397=AG$3,ROUND(IF(OR($C397="W",$C397="1/2W",$C397="1/2L"),$P397-$O397,IF($C397="X",0,-$O397)),2),0)</f>
        <v>0</v>
      </c>
      <c r="AH397" s="198">
        <f>IF($K397=AH$3,ROUND(IF(OR($C397="W",$C397="1/2W",$C397="1/2L"),$P397-$O397,IF($C397="X",0,-$O397)),2),0)</f>
        <v>0</v>
      </c>
      <c r="AI397" s="198">
        <f>IF($K397=AI$3,ROUND(IF(OR($C397="W",$C397="1/2W",$C397="1/2L"),$P397-$O397,IF($C397="X",0,-$O397)),2),0)</f>
        <v>0</v>
      </c>
      <c r="AJ397" s="198">
        <f>IF($K397=AJ$3,ROUND(IF(OR($C397="W",$C397="1/2W",$C397="1/2L"),$P397-$O397,IF($C397="X",0,-$O397)),2),0)</f>
        <v>0</v>
      </c>
      <c r="AK397" s="198">
        <f>IF($K397=AK$3,ROUND(IF(OR($C397="W",$C397="1/2W",$C397="1/2L"),$P397-$O397,IF($C397="X",0,-$O397)),2),0)</f>
        <v>0</v>
      </c>
      <c r="AL397" s="198">
        <f>IF($K397=AL$3,ROUND(IF(OR($C397="W",$C397="1/2W",$C397="1/2L"),$P397-$O397,IF($C397="X",0,-$O397)),2),0)</f>
        <v>0</v>
      </c>
      <c r="AM397" s="198">
        <f>IF($K397=AM$3,ROUND(IF(OR($C397="W",$C397="1/2W",$C397="1/2L"),$P397-$O397,IF($C397="X",0,-$O397)),2),0)</f>
        <v>0</v>
      </c>
      <c r="AN397" s="198">
        <f>IF($K397=AN$3,ROUND(IF(OR($C397="W",$C397="1/2W",$C397="1/2L"),$P397-$O397,IF($C397="X",0,-$O397)),2),0)</f>
        <v>0</v>
      </c>
      <c r="AO397" s="198">
        <f>IF($K397=AO$3,ROUND(IF(OR($C397="W",$C397="1/2W",$C397="1/2L"),$P397-$O397,IF($C397="X",0,-$O397)),2),0)</f>
        <v>0</v>
      </c>
      <c r="AP397" s="198">
        <f>IF($K397=AP$3,ROUND(IF(OR($C397="W",$C397="1/2W",$C397="1/2L"),$P397-$O397,IF($C397="X",0,-$O397)),2),0)</f>
        <v>0</v>
      </c>
      <c r="AQ397" s="198">
        <f>IF($K397=AQ$3,ROUND(IF(OR($C397="W",$C397="1/2W",$C397="1/2L"),$P397-$O397,IF($C397="X",0,-$O397)),2),0)</f>
        <v>0</v>
      </c>
      <c r="AR397" s="199">
        <f>IF($K397=AR$3,ROUND(IF(OR($C397="W",$C397="1/2W",$C397="1/2L"),$P397-$O397,IF($C397="X",0,-$O397)),2),0)</f>
        <v>0</v>
      </c>
      <c r="AS397" s="197">
        <f>IF(AND($B397=" ",$K397=AS$3),$O397,0)</f>
        <v>0</v>
      </c>
      <c r="AT397" s="198">
        <f>IF(AND($B397=" ",$K397=AT$3),$O397,0)</f>
        <v>0</v>
      </c>
      <c r="AU397" s="198">
        <f>IF(AND($B397=" ",$K397=AU$3),$O397,0)</f>
        <v>0</v>
      </c>
      <c r="AV397" s="198">
        <f>IF(AND($B397=" ",$K397=AV$3),$O397,0)</f>
        <v>0</v>
      </c>
      <c r="AW397" s="198">
        <f>IF(AND($B397=" ",$K397=AW$3),$O397,0)</f>
        <v>0</v>
      </c>
      <c r="AX397" s="198">
        <f>IF(AND($B397=" ",$K397=AX$3),$O397,0)</f>
        <v>0</v>
      </c>
      <c r="AY397" s="200">
        <f>IF(AND($B397=" ",$K397=AY$3),$O397,0)</f>
        <v>0</v>
      </c>
      <c r="AZ397" s="201">
        <f>IF(AND($B397=" ",$K397=AZ$3),$O397,0)</f>
        <v>0</v>
      </c>
      <c r="BA397" s="201">
        <f>IF(AND($B397=" ",$K397=BA$3),$O397,0)</f>
        <v>0</v>
      </c>
      <c r="BB397" s="201">
        <f>IF(AND($B397=" ",$K397=BB$3),$O397,0)</f>
        <v>0</v>
      </c>
      <c r="BC397" s="202">
        <f>IF(AND($B397=" ",$K397=BC$3),$O397,0)</f>
        <v>0</v>
      </c>
      <c r="BD397" s="198">
        <f>IF(AND($B397=" ",$K397=BD$3),$O397,0)</f>
        <v>0</v>
      </c>
      <c r="BE397" s="199">
        <f>IF(AND($B397=" ",$K397=BE$3),$O397,0)</f>
        <v>0</v>
      </c>
      <c r="BF397" s="203">
        <f>IF($K397=BF$3,IF($C397="X",0,$O397),0)</f>
        <v>9.9</v>
      </c>
      <c r="BG397" s="198">
        <f>IF($K397=BG$3,IF($C397="X",0,$O397),0)</f>
        <v>0</v>
      </c>
      <c r="BH397" s="198">
        <f>IF($K397=BH$3,IF($C397="X",0,$O397),0)</f>
        <v>0</v>
      </c>
      <c r="BI397" s="198">
        <f>IF($K397=BI$3,IF($C397="X",0,$O397),0)</f>
        <v>0</v>
      </c>
      <c r="BJ397" s="198">
        <f>IF($K397=BJ$3,IF($C397="X",0,$O397),0)</f>
        <v>0</v>
      </c>
      <c r="BK397" s="198">
        <f>IF($K397=BK$3,IF($C397="X",0,$O397),0)</f>
        <v>0</v>
      </c>
      <c r="BL397" s="198">
        <f>IF($K397=BL$3,IF($C397="X",0,$O397),0)</f>
        <v>0</v>
      </c>
      <c r="BM397" s="200">
        <f>IF($K397=BM$3,IF($C397="X",0,$O397),0)</f>
        <v>0</v>
      </c>
      <c r="BN397" s="201">
        <f>IF($K397=BN$3,IF($C397="X",0,$O397),0)</f>
        <v>0</v>
      </c>
      <c r="BO397" s="201">
        <f>IF($K397=BO$3,IF($C397="X",0,$O397),0)</f>
        <v>0</v>
      </c>
      <c r="BP397" s="201">
        <f>IF($K397=BP$3,IF($C397="X",0,$O397),0)</f>
        <v>0</v>
      </c>
      <c r="BQ397" s="202">
        <f>IF($K397=BQ$3,IF($C397="X",0,$O397),0)</f>
        <v>0</v>
      </c>
      <c r="BR397" s="199">
        <f>IF($K397=BR$3,IF($C397="X",0,$O397),0)</f>
        <v>0</v>
      </c>
      <c r="BS397" s="204">
        <f>IF($B397="LOSS",IF(AND($K397=BS$3,$C397="L"),-$O397,0)+IF(AND($K398=BS$3,$C398="L"),-$O398,0)+IF(AND($K399=BS$3,$C399="L"),-$O399,0),IF(OR(AND($K397=BS$3,OR($C397="W",$C397="1/2W")),AND($K398=BS$3,OR($C398="W",$C398="1/2W")),AND($K399=BS$3,OR($C399="W",$C399="1/2W"))),$S397,0))</f>
        <v>1.31</v>
      </c>
      <c r="BT397" s="201">
        <f>IF($B397="LOSS",IF(AND($K397=BT$3,$C397="L"),-$O397,0)+IF(AND($K398=BT$3,$C398="L"),-$O398,0)+IF(AND($K398=BT$3,$C399="L"),-$O399,0),IF(OR(AND($K398=BT$3,OR($C397="W",$C397="1/2W")),AND($K398=BT$3,OR($C398="W",$C398="1/2W")),AND($K398=BT$3,OR($C399="W",$C399="1/2W"))),$S397,0))</f>
        <v>0</v>
      </c>
      <c r="BU397" s="201">
        <f>IF($B397="LOSS",IF(AND($K397=BU$3,$C397="L"),-$O397,0)+IF(AND($K398=BU$3,$C398="L"),-$O398,0)+IF(AND($K398=BU$3,$C399="L"),-$O399,0),IF(OR(AND($K398=BU$3,OR($C397="W",$C397="1/2W")),AND($K398=BU$3,OR($C398="W",$C398="1/2W")),AND($K398=BU$3,OR($C399="W",$C399="1/2W"))),$S397,0))</f>
        <v>0</v>
      </c>
      <c r="BV397" s="201">
        <f>IF($B397="LOSS",IF(AND($K397=BV$3,$C397="L"),-$O397,0)+IF(AND($K398=BV$3,$C398="L"),-$O398,0)+IF(AND($K399=BV$3,$C399="L"),-$O399,0),IF(OR(AND($K397=BV$3,OR($C397="W",$C397="1/2W")),AND($K398=BV$3,OR($C398="W",$C398="1/2W")),AND($K399=BV$3,OR($C399="W",$C399="1/2W"))),$S397,0))</f>
        <v>0</v>
      </c>
      <c r="BW397" s="201">
        <f>IF($B397="LOSS",IF(AND($K397=BW$3,$C397="L"),-$O397,0)+IF(AND($K398=BW$3,$C398="L"),-$O398,0)+IF(AND($K399=BW$3,$C399="L"),-$O399,0),IF(OR(AND($K397=BW$3,OR($C397="W",$C397="1/2W")),AND($K398=BW$3,OR($C398="W",$C398="1/2W")),AND($K399=BW$3,OR($C399="W",$C399="1/2W"))),$S397,0))</f>
        <v>0</v>
      </c>
      <c r="BX397" s="201">
        <f>IF($B397="LOSS",IF(AND($K397=BX$3,$C397="L"),-$O397,0)+IF(AND($K398=BX$3,$C398="L"),-$O398,0)+IF(AND($K399=BX$3,$C399="L"),-$O399,0),IF(OR(AND($K397=BX$3,OR($C397="W",$C397="1/2W")),AND($K398=BX$3,OR($C398="W",$C398="1/2W")),AND($K399=BX$3,OR($C399="W",$C399="1/2W"))),$S397,0))</f>
        <v>0</v>
      </c>
      <c r="BY397" s="201">
        <f>IF($B397="LOSS",IF(AND($K397=BY$3,$C397="L"),-$O397,0)+IF(AND($K398=BY$3,$C398="L"),-$O398,0)+IF(AND($K399=BY$3,$C399="L"),-$O399,0),IF(OR(AND($K397=BY$3,OR($C397="W",$C397="1/2W")),AND($K398=BY$3,OR($C398="W",$C398="1/2W")),AND($K399=BY$3,OR($C399="W",$C399="1/2W"))),$S397,0))</f>
        <v>0</v>
      </c>
      <c r="BZ397" s="205">
        <f>IF($B397="LOSS",IF(AND($K397=BZ$3,$C397="L"),-$O397,0)+IF(AND($K398=BZ$3,$C398="L"),-$O398,0)+IF(AND($K399=BZ$3,$C399="L"),-$O399,0),IF(OR(AND($K397=BZ$3,OR($C397="W",$C397="1/2W")),AND($K398=BZ$3,OR($C398="W",$C398="1/2W")),AND($K399=BZ$3,OR($C399="W",$C399="1/2W"))),$S397,0))</f>
        <v>0</v>
      </c>
      <c r="CA397" s="205">
        <f>IF($B397="LOSS",IF(AND($K397=CA$3,$C397="L"),-$O397,0)+IF(AND($K398=CA$3,$C398="L"),-$O398,0)+IF(AND($K399=CA$3,$C399="L"),-$O399,0),IF(OR(AND($K397=CA$3,OR($C397="W",$C397="1/2W")),AND($K398=CA$3,OR($C398="W",$C398="1/2W")),AND($K399=CA$3,OR($C399="W",$C399="1/2W"))),$S397,0))</f>
        <v>0</v>
      </c>
      <c r="CB397" s="205">
        <f>IF($B397="LOSS",IF(AND($K397=CB$3,$C397="L"),-$O397,0)+IF(AND($K398=CB$3,$C398="L"),-$O398,0)+IF(AND($K399=CB$3,$C399="L"),-$O399,0),IF(OR(AND($K397=CB$3,OR($C397="W",$C397="1/2W")),AND($K398=CB$3,OR($C398="W",$C398="1/2W")),AND($K399=CB$3,OR($C399="W",$C399="1/2W"))),$S397,0))</f>
        <v>0</v>
      </c>
      <c r="CC397" s="205">
        <f>IF($B397="LOSS",IF(AND($K397=CC$3,$C397="L"),-$O397,0)+IF(AND($K398=CC$3,$C398="L"),-$O398,0)+IF(AND($K399=CC$3,$C399="L"),-$O399,0),IF(OR(AND($K397=CC$3,OR($C397="W",$C397="1/2W")),AND($K398=CC$3,OR($C398="W",$C398="1/2W")),AND($K399=CC$3,OR($C399="W",$C399="1/2W"))),$S397,0))</f>
        <v>0</v>
      </c>
      <c r="CD397" s="202">
        <f>IF($B397="LOSS",IF(AND($K397=CD$3,$C397="L"),-$O397,0)+IF(AND($K398=CD$3,$C398="L"),-$O398,0)+IF(AND($K399=CD$3,$C399="L"),-$O399,0),IF(OR(AND($K397=CD$3,OR($C397="W",$C397="1/2W")),AND($K398=CD$3,OR($C398="W",$C398="1/2W")),AND($K399=CD$3,OR($C399="W",$C399="1/2W"))),$S397,0))</f>
        <v>0</v>
      </c>
      <c r="CE397" s="199">
        <f>IF($B397="LOSS",IF(AND($K397=CE$3,$C397="L"),-$O397,0)+IF(AND($K398=CE$3,$C398="L"),-$O398,0)+IF(AND($K399=CE$3,$C399="L"),-$O399,0),IF(OR(AND($K397=CE$3,OR($C397="W",$C397="1/2W")),AND($K398=CE$3,OR($C398="W",$C398="1/2W")),AND($K399=CE$3,OR($C399="W",$C399="1/2W"))),$S397,0))</f>
        <v>0</v>
      </c>
      <c r="CF397" s="206">
        <f>IF(CF$3=$K397,IF($C397="W",1,IF($C397="1/2W",0.5,0)),0)</f>
        <v>1</v>
      </c>
      <c r="CG397" s="207">
        <f>IF(CF$3=$K397,IF($C397="L",1,IF($C397="1/2L",0.5,0)),0)</f>
        <v>0</v>
      </c>
      <c r="CH397" s="207">
        <f>IF(CH$3=$K397,IF($C397="W",1,IF($C397="1/2W",0.5,0)),0)</f>
        <v>0</v>
      </c>
      <c r="CI397" s="207">
        <f>IF(CH$3=$K397,IF($C397="L",1,IF($C397="1/2L",0.5,0)),0)</f>
        <v>0</v>
      </c>
      <c r="CJ397" s="207">
        <f>IF(CJ$3=$K397,IF($C397="W",1,IF($C397="1/2W",0.5,0)),0)</f>
        <v>0</v>
      </c>
      <c r="CK397" s="207">
        <f>IF(CJ$3=$K397,IF($C397="L",1,IF($C397="1/2L",0.5,0)),0)</f>
        <v>0</v>
      </c>
      <c r="CL397" s="207">
        <f>IF(CL$3=$K397,IF($C397="W",1,IF($C397="1/2W",0.5,0)),0)</f>
        <v>0</v>
      </c>
      <c r="CM397" s="207">
        <f>IF(CL$3=$K397,IF($C397="L",1,IF($C397="1/2L",0.5,0)),0)</f>
        <v>0</v>
      </c>
      <c r="CN397" s="207">
        <f>IF(CN$3=$K397,IF($C397="W",1,IF($C397="1/2W",0.5,0)),0)</f>
        <v>0</v>
      </c>
      <c r="CO397" s="207">
        <f>IF(CN$3=$K397,IF($C397="L",1,IF($C397="1/2L",0.5,0)),0)</f>
        <v>0</v>
      </c>
      <c r="CP397" s="207">
        <f>IF(CP$3=$K397,IF($C397="W",1,IF($C397="1/2W",0.5,0)),0)</f>
        <v>0</v>
      </c>
      <c r="CQ397" s="207">
        <f>IF(CP$3=$K397,IF($C397="L",1,IF($C397="1/2L",0.5,0)),0)</f>
        <v>0</v>
      </c>
      <c r="CR397" s="207">
        <f>IF(CR$3=$K397,IF($C397="W",1,IF($C397="1/2W",0.5,0)),0)</f>
        <v>0</v>
      </c>
      <c r="CS397" s="207">
        <f>IF(CR$3=$K397,IF($C397="L",1,IF($C397="1/2L",0.5,0)),0)</f>
        <v>0</v>
      </c>
      <c r="CT397" s="208">
        <f>IF(CT$3=$K397,IF($C397="W",1,IF($C397="1/2W",0.5,0)),0)</f>
        <v>0</v>
      </c>
      <c r="CU397" s="209">
        <f>IF(CT$3=$K397,IF($C397="L",1,IF($C397="1/2L",0.5,0)),0)</f>
        <v>0</v>
      </c>
      <c r="CV397" s="209">
        <f>IF(CV$3=$K397,IF($C397="W",1,IF($C397="1/2W",0.5,0)),0)</f>
        <v>0</v>
      </c>
      <c r="CW397" s="209">
        <f>IF(CV$3=$K397,IF($C397="L",1,IF($C397="1/2L",0.5,0)),0)</f>
        <v>0</v>
      </c>
      <c r="CX397" s="209">
        <f>IF(CX$3=$K397,IF($C397="W",1,IF($C397="1/2W",0.5,0)),0)</f>
        <v>0</v>
      </c>
      <c r="CY397" s="209">
        <f>IF(CX$3=$K397,IF($C397="L",1,IF($C397="1/2L",0.5,0)),0)</f>
        <v>0</v>
      </c>
      <c r="CZ397" s="209">
        <f>IF(CZ$3=$K397,IF($C397="W",1,IF($C397="1/2W",0.5,0)),0)</f>
        <v>0</v>
      </c>
      <c r="DA397" s="209">
        <f>IF(CZ$3=$K397,IF($C397="L",1,IF($C397="1/2L",0.5,0)),0)</f>
        <v>0</v>
      </c>
      <c r="DB397" s="209">
        <f>IF(DB$3=$K397,IF($C397="W",1,IF($C397="1/2W",0.5,0)),0)</f>
        <v>0</v>
      </c>
      <c r="DC397" s="209">
        <f>IF(DB$3=$K397,IF($C397="L",1,IF($C397="1/2L",0.5,0)),0)</f>
        <v>0</v>
      </c>
      <c r="DD397" s="209">
        <f>IF(DD$3=$K397,IF($C397="W",1,IF($C397="1/2W",0.5,0)),0)</f>
        <v>0</v>
      </c>
      <c r="DE397" s="210">
        <f>IF(DD$3=$K397,IF($C397="L",1,IF($C397="1/2L",0.5,0)),0)</f>
        <v>0</v>
      </c>
      <c r="DF397" s="211">
        <f>IF(AND(L397&lt;DF$3,$C397="W"),1+DF396,DF396)</f>
        <v>12</v>
      </c>
      <c r="DG397" s="198">
        <f>IF(DF397&gt;DF396,L397+DG396,DG396)</f>
        <v>15.718</v>
      </c>
      <c r="DH397" s="209">
        <f>IF(AND(L397&gt;DH$3,$C397="W"),1+DH396,0+DH396)</f>
        <v>10</v>
      </c>
      <c r="DI397" s="198">
        <f>IF(DH397&gt;DH396,L397+DI396,DI396)</f>
        <v>55.13</v>
      </c>
      <c r="DJ397" t="s" s="306">
        <f>IF($D397="","",$D397)</f>
        <v>307</v>
      </c>
      <c r="DK397" s="209">
        <f>IF(AND($B397=" ",$D397&lt;&gt;""),1,0)</f>
        <v>0</v>
      </c>
    </row>
    <row r="398" ht="14.55" customHeight="1">
      <c r="A398" s="107"/>
      <c r="B398" s="108"/>
      <c r="C398" t="s" s="213">
        <v>51</v>
      </c>
      <c r="D398" s="110"/>
      <c r="E398" s="111"/>
      <c r="F398" s="113"/>
      <c r="G398" s="214"/>
      <c r="H398" s="114"/>
      <c r="I398" t="s" s="215">
        <v>54</v>
      </c>
      <c r="J398" s="296">
        <f>IF(OR(I397="TO",I397="TU",I397="TO1",I397="TU1",I397="TO2",I397="TU2"),J397,IF(OR(I397="AH1",I397="AH2"),IF(OR(I398="AH1",I398="AH2"),-J397,IF(OR(I398="EH1",I398="EH2"),-J397+0.5,"")),IF(OR(I397="EH1",I397="EH2"),IF(OR(I398="AH1",I398="AH2"),-J397+0.5,IF(OR(I398="EH1",I398="EH2"),-J397+1,"")),IF(AND(OR(I397="DNB1",I397="DNB2"),OR(I398="AH1",I398="AH2")),0,IF(AND(I397="Not ScoreBoth",OR(I398="TO1",I398="TO2")),0.5,"")))))</f>
        <v>0</v>
      </c>
      <c r="K398" t="s" s="217">
        <v>41</v>
      </c>
      <c r="L398" s="218">
        <v>2.48</v>
      </c>
      <c r="M398" s="219">
        <v>7.6</v>
      </c>
      <c r="N398" s="120"/>
      <c r="O398" s="220">
        <f>IF(OR(AE397="",AE398=""),"",ROUND(IF(L399&gt;0,IF(M398&gt;0,M398,IF(M397&gt;0,IF(N397=TRUE,ROUND((M397*AE398)/AE397,0),(M397*AE398)/AE397),IF(M398&gt;0,ROUND(M398,IF(N397=0,2,IF(N397=0.1,1,0))),IF(M399&gt;0,ROUND(O399*AE398/AE399,IF(N397=0,2,IF(N397=0.1,1,0))),0)))),IF(M398&gt;0,M398,ROUND((M397*AE398)/AE397,IF(N397=0,2,IF(N397=0.1,1,0))))),2))</f>
        <v>7.6</v>
      </c>
      <c r="P398" s="221">
        <f>IF(OR(L398="",O398=""),"",IF($C398="1/2W",O398/2+O398/2*L398,IF($C398="1/2L",O398/2,IF(I398="Lay",((O398*(L398/(L398-1)))-O398)*(1-_xlfn.XLOOKUP(K398,'Janeiro 2023 - Valor Real'!A3:A15,'Janeiro 2023 - Valor Real'!C3:C15,0))+O398,(O398*L398-O398)*(1-_xlfn.XLOOKUP(K398,'Janeiro 2023 - Valor Real'!A3:A15,'Janeiro 2023 - Valor Real'!C3:C15,0))+O398))))</f>
        <v>18.848</v>
      </c>
      <c r="Q398" s="222">
        <f>IF(K398="","",IF(_xlfn.XLOOKUP(K398,K$111:K159,DJ$111:DJ159,0,,-1)=DJ398,_xlfn.XLOOKUP(K398,K$111:K159,Q$111:Q159,1,,-1)+1,1))</f>
        <v>1</v>
      </c>
      <c r="R398" s="223">
        <f>IF(K398="","",_xlfn.XLOOKUP(K398,K$111:K159,R$111:R159,0,,-1)+IF($C398=" ",1,0))</f>
        <v>0</v>
      </c>
      <c r="S398" s="125"/>
      <c r="T398" s="126"/>
      <c r="U398" s="126"/>
      <c r="V398" s="224"/>
      <c r="W398" s="126"/>
      <c r="X398" s="127"/>
      <c r="Y398" s="128"/>
      <c r="Z398" s="129"/>
      <c r="AA398" s="129"/>
      <c r="AB398" s="129"/>
      <c r="AC398" s="129"/>
      <c r="AD398" s="225">
        <f>(((L398/(L398-1)-1)*(1-_xlfn.XLOOKUP(K398,'Janeiro 2023 - Valor Real'!A3:A15,'Janeiro 2023 - Valor Real'!C3:C15,0))+1))</f>
        <v>1.67567567567568</v>
      </c>
      <c r="AE398" s="226">
        <f>IF(L398="","",IF(L399&gt;0,(SUM(((L397-1)*(1-_xlfn.XLOOKUP(K397,'Janeiro 2023 - Valor Real'!A3:A15,'Janeiro 2023 - Valor Real'!C3:C15,0))+1),((L398-1)*(1-_xlfn.XLOOKUP(K398,'Janeiro 2023 - Valor Real'!A3:A15,'Janeiro 2023 - Valor Real'!C3:C15,0))+1),((L399-1)*(1-_xlfn.XLOOKUP(K399,'Janeiro 2023 - Valor Real'!A3:A15,'Janeiro 2023 - Valor Real'!C3:C15,0))+1))/((L398-1)*(1-_xlfn.XLOOKUP(K398,'Janeiro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Real'!C3:C15,0))+1))/((L397-1)*(1-_xlfn.XLOOKUP(K397,'Janeiro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Real'!C3:C15,0))+1))/((L398-1)*(1-_xlfn.XLOOKUP(K398,'Janeiro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Real'!C3:C15,0))+1))/((L399-1)*(1-_xlfn.XLOOKUP(K399,'Janeiro 2023 - Valor Real'!A3:A15,'Janeiro 2023 - Valor Real'!C3:C15,0))+1)),IF(I398="Lay",IF(I397="Lay",((L397/(L397-1)-1)*(1-_xlfn.XLOOKUP(K397,'Janeiro 2023 - Valor Real'!A3:A15,'Janeiro 2023 - Valor Real'!C3:C15,0))+1)/(((L397/(L397-1)-1)*(1-_xlfn.XLOOKUP(K397,'Janeiro 2023 - Valor Real'!A3:A15,'Janeiro 2023 - Valor Real'!C3:C15,0))+1)+((L398/(L398-1)-1)*(1-_xlfn.XLOOKUP(K398,'Janeiro 2023 - Valor Real'!A3:A15,'Janeiro 2023 - Valor Real'!C3:C15,0))+1)),((L397-1)*(1-_xlfn.XLOOKUP(K397,'Janeiro 2023 - Valor Real'!A3:A15,'Janeiro 2023 - Valor Real'!C3:C15,0))+1)/(((L397-1)*(1-_xlfn.XLOOKUP(K397,'Janeiro 2023 - Valor Real'!A3:A15,'Janeiro 2023 - Valor Real'!C3:C15,0))+1)+((L398/(L398-1)-1)*(1-_xlfn.XLOOKUP(K398,'Janeiro 2023 - Valor Real'!A3:A15,'Janeiro 2023 - Valor Real'!C3:C15,0))+1))),IF(I397="Lay",((L397/(L397-1)-1)*(1-_xlfn.XLOOKUP(K397,'Janeiro 2023 - Valor Real'!A3:A15,'Janeiro 2023 - Valor Real'!C3:C15,0))+1)/((((L397/(L397-1)-1)*(1-_xlfn.XLOOKUP(K397,'Janeiro 2023 - Valor Real'!A3:A15,'Janeiro 2023 - Valor Real'!C3:C15,0))+1))+((L398-1)*(1-_xlfn.XLOOKUP(K398,'Janeiro 2023 - Valor Real'!A3:A15,'Janeiro 2023 - Valor Real'!C3:C15,0))+1)),((L397-1)*(1-_xlfn.XLOOKUP(K397,'Janeiro 2023 - Valor Real'!A3:A15,'Janeiro 2023 - Valor Real'!C3:C15,0))+1)/(((L397-1)*(1-_xlfn.XLOOKUP(K397,'Janeiro 2023 - Valor Real'!A3:A15,'Janeiro 2023 - Valor Real'!C3:C15,0))+1)+((L398-1)*(1-_xlfn.XLOOKUP(K398,'Janeiro 2023 - Valor Real'!A3:A15,'Janeiro 2023 - Valor Real'!C3:C15,0))+1))))))</f>
        <v>0.4337899543379</v>
      </c>
      <c r="AF398" s="197">
        <f>IF($K398=AF$3,ROUND(IF(OR($C398="W",$C398="1/2W",$C398="1/2L"),$P398-$O398,IF($C398="X",0,-$O398)),2),0)</f>
        <v>0</v>
      </c>
      <c r="AG398" s="198">
        <f>IF($K398=AG$3,ROUND(IF(OR($C398="W",$C398="1/2W",$C398="1/2L"),$P398-$O398,IF($C398="X",0,-$O398)),2),0)</f>
        <v>0</v>
      </c>
      <c r="AH398" s="198">
        <f>IF($K398=AH$3,ROUND(IF(OR($C398="W",$C398="1/2W",$C398="1/2L"),$P398-$O398,IF($C398="X",0,-$O398)),2),0)</f>
        <v>0</v>
      </c>
      <c r="AI398" s="198">
        <f>IF($K398=AI$3,ROUND(IF(OR($C398="W",$C398="1/2W",$C398="1/2L"),$P398-$O398,IF($C398="X",0,-$O398)),2),0)</f>
        <v>0</v>
      </c>
      <c r="AJ398" s="198">
        <f>IF($K398=AJ$3,ROUND(IF(OR($C398="W",$C398="1/2W",$C398="1/2L"),$P398-$O398,IF($C398="X",0,-$O398)),2),0)</f>
        <v>-7.6</v>
      </c>
      <c r="AK398" s="198">
        <f>IF($K398=AK$3,ROUND(IF(OR($C398="W",$C398="1/2W",$C398="1/2L"),$P398-$O398,IF($C398="X",0,-$O398)),2),0)</f>
        <v>0</v>
      </c>
      <c r="AL398" s="198">
        <f>IF($K398=AL$3,ROUND(IF(OR($C398="W",$C398="1/2W",$C398="1/2L"),$P398-$O398,IF($C398="X",0,-$O398)),2),0)</f>
        <v>0</v>
      </c>
      <c r="AM398" s="198">
        <f>IF($K398=AM$3,ROUND(IF(OR($C398="W",$C398="1/2W",$C398="1/2L"),$P398-$O398,IF($C398="X",0,-$O398)),2),0)</f>
        <v>0</v>
      </c>
      <c r="AN398" s="198">
        <f>IF($K398=AN$3,ROUND(IF(OR($C398="W",$C398="1/2W",$C398="1/2L"),$P398-$O398,IF($C398="X",0,-$O398)),2),0)</f>
        <v>0</v>
      </c>
      <c r="AO398" s="198">
        <f>IF($K398=AO$3,ROUND(IF(OR($C398="W",$C398="1/2W",$C398="1/2L"),$P398-$O398,IF($C398="X",0,-$O398)),2),0)</f>
        <v>0</v>
      </c>
      <c r="AP398" s="198">
        <f>IF($K398=AP$3,ROUND(IF(OR($C398="W",$C398="1/2W",$C398="1/2L"),$P398-$O398,IF($C398="X",0,-$O398)),2),0)</f>
        <v>0</v>
      </c>
      <c r="AQ398" s="198">
        <f>IF($K398=AQ$3,ROUND(IF(OR($C398="W",$C398="1/2W",$C398="1/2L"),$P398-$O398,IF($C398="X",0,-$O398)),2),0)</f>
        <v>0</v>
      </c>
      <c r="AR398" s="199">
        <f>IF($K398=AR$3,ROUND(IF(OR($C398="W",$C398="1/2W",$C398="1/2L"),$P398-$O398,IF($C398="X",0,-$O398)),2),0)</f>
        <v>0</v>
      </c>
      <c r="AS398" s="197">
        <f>IF(AND($B397=" ",$K398=AS$3),$O398,0)</f>
        <v>0</v>
      </c>
      <c r="AT398" s="198">
        <f>IF(AND($B397=" ",K398=AT$3),$O398,0)</f>
        <v>0</v>
      </c>
      <c r="AU398" s="198">
        <f>IF(AND($B397=" ",$K398=AU$3),$O398,0)</f>
        <v>0</v>
      </c>
      <c r="AV398" s="198">
        <f>IF(AND($B397=" ",$K398=AV$3),$O398,0)</f>
        <v>0</v>
      </c>
      <c r="AW398" s="198">
        <f>IF(AND($B397=" ",$K398=AW$3),$O398,0)</f>
        <v>0</v>
      </c>
      <c r="AX398" s="198">
        <f>IF(AND($B397=" ",$K398=AX$3),$O398,0)</f>
        <v>0</v>
      </c>
      <c r="AY398" s="200">
        <f>IF(AND($B397=" ",$K398=AY$3),$O398,0)</f>
        <v>0</v>
      </c>
      <c r="AZ398" s="201">
        <f>IF(AND($B397=" ",$K398=AZ$3),$O398,0)</f>
        <v>0</v>
      </c>
      <c r="BA398" s="201">
        <f>IF(AND($B397=" ",$K398=BA$3),$O398,0)</f>
        <v>0</v>
      </c>
      <c r="BB398" s="201">
        <f>IF(AND($B397=" ",$K398=BB$3),$O398,0)</f>
        <v>0</v>
      </c>
      <c r="BC398" s="202">
        <f>IF(AND($B397=" ",$K398=BC$3),$O398,0)</f>
        <v>0</v>
      </c>
      <c r="BD398" s="198">
        <f>IF(AND($B397=" ",$K398=BD$3),$O398,0)</f>
        <v>0</v>
      </c>
      <c r="BE398" s="199">
        <f>IF(AND($B397=" ",$K398=BE$3),$O398,0)</f>
        <v>0</v>
      </c>
      <c r="BF398" s="197">
        <f>IF($K398=BF$3,IF($C398="X",0,$O398),0)</f>
        <v>0</v>
      </c>
      <c r="BG398" s="198">
        <f>IF($K398=BG$3,IF($C398="X",0,$O398),0)</f>
        <v>0</v>
      </c>
      <c r="BH398" s="198">
        <f>IF($K398=BH$3,IF($C398="X",0,$O398),0)</f>
        <v>0</v>
      </c>
      <c r="BI398" s="198">
        <f>IF($K398=BI$3,IF($C398="X",0,$O398),0)</f>
        <v>0</v>
      </c>
      <c r="BJ398" s="198">
        <f>IF($K398=BJ$3,IF($C398="X",0,$O398),0)</f>
        <v>7.6</v>
      </c>
      <c r="BK398" s="198">
        <f>IF($K398=BK$3,IF($C398="X",0,$O398),0)</f>
        <v>0</v>
      </c>
      <c r="BL398" s="198">
        <f>IF($K398=BL$3,IF($C398="X",0,$O398),0)</f>
        <v>0</v>
      </c>
      <c r="BM398" s="227">
        <f>IF($K398=BM$3,IF($C398="X",0,$O398),0)</f>
        <v>0</v>
      </c>
      <c r="BN398" s="205">
        <f>IF($K398=BN$3,IF($C398="X",0,$O398),0)</f>
        <v>0</v>
      </c>
      <c r="BO398" s="205">
        <f>IF($K398=BO$3,IF($C398="X",0,$O398),0)</f>
        <v>0</v>
      </c>
      <c r="BP398" s="205">
        <f>IF($K398=BP$3,IF($C398="X",0,$O398),0)</f>
        <v>0</v>
      </c>
      <c r="BQ398" s="202">
        <f>IF($K398=BQ$3,IF($C398="X",0,$O398),0)</f>
        <v>0</v>
      </c>
      <c r="BR398" s="199">
        <f>IF($K398=BR$3,IF($C398="X",0,$O398),0)</f>
        <v>0</v>
      </c>
      <c r="BS398" s="228"/>
      <c r="BT398" s="229"/>
      <c r="BU398" s="140"/>
      <c r="BV398" s="229"/>
      <c r="BW398" s="140"/>
      <c r="BX398" s="140"/>
      <c r="BY398" s="140"/>
      <c r="BZ398" s="229"/>
      <c r="CA398" s="140"/>
      <c r="CB398" s="140"/>
      <c r="CC398" s="140"/>
      <c r="CD398" s="141"/>
      <c r="CE398" s="142"/>
      <c r="CF398" s="230">
        <f>IF(CF$3=$K398,IF($C398="W",1,IF($C398="1/2W",0.5,0)),0)</f>
        <v>0</v>
      </c>
      <c r="CG398" s="231">
        <f>IF(CF$3=$K398,IF($C398="L",1,IF($C398="1/2L",0.5,0)),0)</f>
        <v>0</v>
      </c>
      <c r="CH398" s="231">
        <f>IF(CH$3=$K398,IF($C398="W",1,IF($C398="1/2W",0.5,0)),0)</f>
        <v>0</v>
      </c>
      <c r="CI398" s="231">
        <f>IF(CH$3=$K398,IF($C398="L",1,IF($C398="1/2L",0.5,0)),0)</f>
        <v>0</v>
      </c>
      <c r="CJ398" s="231">
        <f>IF(CJ$3=$K398,IF($C398="W",1,IF($C398="1/2W",0.5,0)),0)</f>
        <v>0</v>
      </c>
      <c r="CK398" s="231">
        <f>IF(CJ$3=$K398,IF($C398="L",1,IF($C398="1/2L",0.5,0)),0)</f>
        <v>0</v>
      </c>
      <c r="CL398" s="231">
        <f>IF(CL$3=$K398,IF($C398="W",1,IF($C398="1/2W",0.5,0)),0)</f>
        <v>0</v>
      </c>
      <c r="CM398" s="231">
        <f>IF(CL$3=$K398,IF($C398="L",1,IF($C398="1/2L",0.5,0)),0)</f>
        <v>0</v>
      </c>
      <c r="CN398" s="231">
        <f>IF(CN$3=$K398,IF($C398="W",1,IF($C398="1/2W",0.5,0)),0)</f>
        <v>0</v>
      </c>
      <c r="CO398" s="231">
        <f>IF(CN$3=$K398,IF($C398="L",1,IF($C398="1/2L",0.5,0)),0)</f>
        <v>1</v>
      </c>
      <c r="CP398" s="231">
        <f>IF(CP$3=$K398,IF($C398="W",1,IF($C398="1/2W",0.5,0)),0)</f>
        <v>0</v>
      </c>
      <c r="CQ398" s="231">
        <f>IF(CP$3=$K398,IF($C398="L",1,IF($C398="1/2L",0.5,0)),0)</f>
        <v>0</v>
      </c>
      <c r="CR398" s="231">
        <f>IF(CR$3=$K398,IF($C398="W",1,IF($C398="1/2W",0.5,0)),0)</f>
        <v>0</v>
      </c>
      <c r="CS398" s="231">
        <f>IF(CR$3=$K398,IF($C398="L",1,IF($C398="1/2L",0.5,0)),0)</f>
        <v>0</v>
      </c>
      <c r="CT398" s="208">
        <f>IF(CT$3=$K398,IF($C398="W",1,IF($C398="1/2W",0.5,0)),0)</f>
        <v>0</v>
      </c>
      <c r="CU398" s="209">
        <f>IF(CT$3=$K398,IF($C398="L",1,IF($C398="1/2L",0.5,0)),0)</f>
        <v>0</v>
      </c>
      <c r="CV398" s="209">
        <f>IF(CV$3=$K398,IF($C398="W",1,IF($C398="1/2W",0.5,0)),0)</f>
        <v>0</v>
      </c>
      <c r="CW398" s="209">
        <f>IF(CV$3=$K398,IF($C398="L",1,IF($C398="1/2L",0.5,0)),0)</f>
        <v>0</v>
      </c>
      <c r="CX398" s="209">
        <f>IF(CX$3=$K398,IF($C398="W",1,IF($C398="1/2W",0.5,0)),0)</f>
        <v>0</v>
      </c>
      <c r="CY398" s="209">
        <f>IF(CX$3=$K398,IF($C398="L",1,IF($C398="1/2L",0.5,0)),0)</f>
        <v>0</v>
      </c>
      <c r="CZ398" s="209">
        <f>IF(CZ$3=$K398,IF($C398="W",1,IF($C398="1/2W",0.5,0)),0)</f>
        <v>0</v>
      </c>
      <c r="DA398" s="209">
        <f>IF(CZ$3=$K398,IF($C398="L",1,IF($C398="1/2L",0.5,0)),0)</f>
        <v>0</v>
      </c>
      <c r="DB398" s="209">
        <f>IF(DB$3=$K398,IF($C398="W",1,IF($C398="1/2W",0.5,0)),0)</f>
        <v>0</v>
      </c>
      <c r="DC398" s="209">
        <f>IF(DB$3=$K398,IF($C398="L",1,IF($C398="1/2L",0.5,0)),0)</f>
        <v>0</v>
      </c>
      <c r="DD398" s="209">
        <f>IF(DD$3=$K398,IF($C398="W",1,IF($C398="1/2W",0.5,0)),0)</f>
        <v>0</v>
      </c>
      <c r="DE398" s="210">
        <f>IF(DD$3=$K398,IF($C398="L",1,IF($C398="1/2L",0.5,0)),0)</f>
        <v>0</v>
      </c>
      <c r="DF398" s="211">
        <f>IF(AND(L398&lt;DF$3,$C398="W"),1+DF397,DF397)</f>
        <v>12</v>
      </c>
      <c r="DG398" s="198">
        <f>IF(DF398&gt;DF397,L398+DG397,DG397)</f>
        <v>15.718</v>
      </c>
      <c r="DH398" s="209">
        <f>IF(AND(L398&gt;DH$3,$C398="W"),1+DH397,0+DH397)</f>
        <v>10</v>
      </c>
      <c r="DI398" s="198">
        <f>IF(DH398&gt;DH397,L398+DI397,DI397)</f>
        <v>55.13</v>
      </c>
      <c r="DJ398" t="s" s="306">
        <f>IF($D397="","",$D397)</f>
        <v>307</v>
      </c>
      <c r="DK398" s="232"/>
    </row>
    <row r="399" ht="14.55" customHeight="1">
      <c r="A399" s="149"/>
      <c r="B399" s="150"/>
      <c r="C399" t="s" s="233">
        <v>58</v>
      </c>
      <c r="D399" s="152"/>
      <c r="E399" s="153"/>
      <c r="F399" s="155"/>
      <c r="G399" s="234"/>
      <c r="H399" s="156"/>
      <c r="I399" s="235"/>
      <c r="J399" s="236"/>
      <c r="K399" s="237"/>
      <c r="L399" s="238"/>
      <c r="M399" s="239"/>
      <c r="N399" s="161"/>
      <c r="O399" t="s" s="240">
        <f>IF(OR(AE397="",AE398=""),"",IF(L399&gt;0,ROUND(IF(M399&gt;0,M399,IF(M397&gt;0,ROUND((M397*AE399)/AE397,IF(N397=0,2,IF(N397=0.1,1,0))),IF(M398&gt;0,ROUND((M398*AE399)/AE398,IF(N397=0,2,IF(N397=0.1,1,0))),IF(M399&gt;0,M399,0)))),2),""))</f>
      </c>
      <c r="P399" t="s" s="241">
        <f>IF(I398="Lay",O398*(L398/(L398-1))-O398,IF(I397="Lay",O397*(L397/(L397-1))-O397,IF(OR(L399="",O399=""),"",IF($C399="1/2W",O399/2+O399/2*L399,IF($C399="1/2L",O399/2,(O399*L399-O399)*(1-_xlfn.XLOOKUP(K399,'Janeiro 2023 - Valor Real'!A3:A15,'Janeiro 2023 - Valor Real'!C3:C15,0))+O399)))))</f>
      </c>
      <c r="Q399" t="s" s="242">
        <f>IF(K399="","",IF(_xlfn.XLOOKUP(K399,K$112:K160,DJ$112:DJ160,0,,-1)=DJ399,_xlfn.XLOOKUP(K399,K$112:K160,Q$112:Q160,1,,-1)+1,1))</f>
      </c>
      <c r="R399" t="s" s="243">
        <f>IF(K399="","",_xlfn.XLOOKUP(K399,K$112:K160,R$112:R160,0,,-1)+IF($C399=" ",1,0))</f>
      </c>
      <c r="S399" s="166"/>
      <c r="T399" s="155"/>
      <c r="U399" s="155"/>
      <c r="V399" s="166"/>
      <c r="W399" s="155"/>
      <c r="X399" s="167"/>
      <c r="Y399" s="128"/>
      <c r="Z399" s="129"/>
      <c r="AA399" s="129"/>
      <c r="AB399" s="129"/>
      <c r="AC399" s="129"/>
      <c r="AD399" s="244">
        <f>((L398/(L398-1)-1))</f>
        <v>0.675675675675676</v>
      </c>
      <c r="AE399" t="s" s="245">
        <f>IF(L399="","",(SUM(((L397-1)*(1-_xlfn.XLOOKUP(K397,'Janeiro 2023 - Valor Real'!A3:A15,'Janeiro 2023 - Valor Real'!C3:C15,0))+1),((L398-1)*(1-_xlfn.XLOOKUP(K398,'Janeiro 2023 - Valor Real'!A3:A15,'Janeiro 2023 - Valor Real'!C3:C15,0))+1),((L399-1)*(1-_xlfn.XLOOKUP(K399,'Janeiro 2023 - Valor Real'!A3:A15,'Janeiro 2023 - Valor Real'!C3:C15,0))+1))/((L399-1)*(1-_xlfn.XLOOKUP(K399,'Janeiro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Real'!C3:C15,0))+1))/((L397-1)*(1-_xlfn.XLOOKUP(K397,'Janeiro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Real'!C3:C15,0))+1))/((L398-1)*(1-_xlfn.XLOOKUP(K398,'Janeiro 2023 - Valor Real'!A3:A15,'Janeiro 2023 - Valor Real'!C3:C15,0))+1)+SUM(((L397-1)*(1-_xlfn.XLOOKUP(K397,'Janeiro 2023 - Valor Real'!A3:A15,'Janeiro 2023 - Valor Real'!C3:C15,0))+1),((L398-1)*(1-_xlfn.XLOOKUP(K398,'Janeiro 2023 - Valor Real'!A3:A15,'Janeiro 2023 - Valor Real'!C3:C15,0))+1),((L399-1)*(1-_xlfn.XLOOKUP(K399,'Janeiro 2023 - Valor Real'!A3:A15,'Janeiro 2023 - Valor Real'!C3:C15,0))+1))/((L399-1)*(1-_xlfn.XLOOKUP(K399,'Janeiro 2023 - Valor Real'!A3:A15,'Janeiro 2023 - Valor Real'!C3:C15,0))+1)))</f>
      </c>
      <c r="AF399" s="197">
        <f>IF($K399=AF$3,ROUND(IF(OR($C399="W",$C399="1/2W",$C399="1/2L"),$P399-$O399,IF($C399="X",0,-$O399)),2),0)</f>
        <v>0</v>
      </c>
      <c r="AG399" s="198">
        <f>IF($K399=AG$3,ROUND(IF(OR($C399="W",$C399="1/2W",$C399="1/2L"),$P399-$O399,IF($C399="X",0,-$O399)),2),0)</f>
        <v>0</v>
      </c>
      <c r="AH399" s="198">
        <f>IF($K399=AH$3,ROUND(IF(OR($C399="W",$C399="1/2W",$C399="1/2L"),$P399-$O399,IF($C399="X",0,-$O399)),2),0)</f>
        <v>0</v>
      </c>
      <c r="AI399" s="198">
        <f>IF($K399=AI$3,ROUND(IF(OR($C399="W",$C399="1/2W",$C399="1/2L"),$P399-$O399,IF($C399="X",0,-$O399)),2),0)</f>
        <v>0</v>
      </c>
      <c r="AJ399" s="198">
        <f>IF($K399=AJ$3,ROUND(IF(OR($C399="W",$C399="1/2W",$C399="1/2L"),$P399-$O399,IF($C399="X",0,-$O399)),2),0)</f>
        <v>0</v>
      </c>
      <c r="AK399" s="198">
        <f>IF($K399=AK$3,ROUND(IF(OR($C399="W",$C399="1/2W",$C399="1/2L"),$P399-$O399,IF($C399="X",0,-$O399)),2),0)</f>
        <v>0</v>
      </c>
      <c r="AL399" s="198">
        <f>IF($K399=AL$3,ROUND(IF(OR($C399="W",$C399="1/2W",$C399="1/2L"),$P399-$O399,IF($C399="X",0,-$O399)),2),0)</f>
        <v>0</v>
      </c>
      <c r="AM399" s="198">
        <f>IF($K399=AM$3,ROUND(IF(OR($C399="W",$C399="1/2W",$C399="1/2L"),$P399-$O399,IF($C399="X",0,-$O399)),2),0)</f>
        <v>0</v>
      </c>
      <c r="AN399" s="198">
        <f>IF($K399=AN$3,ROUND(IF(OR($C399="W",$C399="1/2W",$C399="1/2L"),$P399-$O399,IF($C399="X",0,-$O399)),2),0)</f>
        <v>0</v>
      </c>
      <c r="AO399" s="198">
        <f>IF($K399=AO$3,ROUND(IF(OR($C399="W",$C399="1/2W",$C399="1/2L"),$P399-$O399,IF($C399="X",0,-$O399)),2),0)</f>
        <v>0</v>
      </c>
      <c r="AP399" s="198">
        <f>IF($K399=AP$3,ROUND(IF(OR($C399="W",$C399="1/2W",$C399="1/2L"),$P399-$O399,IF($C399="X",0,-$O399)),2),0)</f>
        <v>0</v>
      </c>
      <c r="AQ399" s="198">
        <f>IF($K399=AQ$3,ROUND(IF(OR($C399="W",$C399="1/2W",$C399="1/2L"),$P399-$O399,IF($C399="X",0,-$O399)),2),0)</f>
        <v>0</v>
      </c>
      <c r="AR399" s="199">
        <f>IF($K399=AR$3,ROUND(IF(OR($C399="W",$C399="1/2W",$C399="1/2L"),$P399-$O399,IF($C399="X",0,-$O399)),2),0)</f>
        <v>0</v>
      </c>
      <c r="AS399" s="197">
        <f>IF(AND($B397=" ",$K399=AS$3),$O399,0)</f>
        <v>0</v>
      </c>
      <c r="AT399" s="198">
        <f>IF(AND($B397=" ",K399=AT$3),$O399,0)</f>
        <v>0</v>
      </c>
      <c r="AU399" s="198">
        <f>IF(AND($B397=" ",$K399=AU$3),$O399,0)</f>
        <v>0</v>
      </c>
      <c r="AV399" s="198">
        <f>IF(AND($B397=" ",$K399=AV$3),$O399,0)</f>
        <v>0</v>
      </c>
      <c r="AW399" s="198">
        <f>IF(AND($B397=" ",$K399=AW$3),$O399,0)</f>
        <v>0</v>
      </c>
      <c r="AX399" s="198">
        <f>IF(AND($B397=" ",$K399=AX$3),$O399,0)</f>
        <v>0</v>
      </c>
      <c r="AY399" s="200">
        <f>IF(AND($B397=" ",$K399=AY$3),$O399,0)</f>
        <v>0</v>
      </c>
      <c r="AZ399" s="201">
        <f>IF(AND($B397=" ",$K399=AZ$3),$O399,0)</f>
        <v>0</v>
      </c>
      <c r="BA399" s="201">
        <f>IF(AND($B397=" ",$K399=BA$3),$O399,0)</f>
        <v>0</v>
      </c>
      <c r="BB399" s="201">
        <f>IF(AND($B397=" ",$K399=BB$3),$O399,0)</f>
        <v>0</v>
      </c>
      <c r="BC399" s="202">
        <f>IF(AND($B397=" ",$K399=BC$3),$O399,0)</f>
        <v>0</v>
      </c>
      <c r="BD399" s="198">
        <f>IF(AND($B397=" ",$K399=BD$3),$O399,0)</f>
        <v>0</v>
      </c>
      <c r="BE399" s="199">
        <f>IF(AND($B397=" ",$K399=BE$3),$O399,0)</f>
        <v>0</v>
      </c>
      <c r="BF399" s="197">
        <f>IF($K399=BF$3,IF($C399="X",0,$O399),0)</f>
        <v>0</v>
      </c>
      <c r="BG399" s="198">
        <f>IF($K399=BG$3,IF($C399="X",0,$O399),0)</f>
        <v>0</v>
      </c>
      <c r="BH399" s="198">
        <f>IF($K399=BH$3,IF($C399="X",0,$O399),0)</f>
        <v>0</v>
      </c>
      <c r="BI399" s="198">
        <f>IF($K399=BI$3,IF($C399="X",0,$O399),0)</f>
        <v>0</v>
      </c>
      <c r="BJ399" s="198">
        <f>IF($K399=BJ$3,IF($C399="X",0,$O399),0)</f>
        <v>0</v>
      </c>
      <c r="BK399" s="198">
        <f>IF($K399=BK$3,IF($C399="X",0,$O399),0)</f>
        <v>0</v>
      </c>
      <c r="BL399" s="198">
        <f>IF($K399=BL$3,IF($C399="X",0,$O399),0)</f>
        <v>0</v>
      </c>
      <c r="BM399" s="200">
        <f>IF($K399=BM$3,IF($C399="X",0,$O399),0)</f>
        <v>0</v>
      </c>
      <c r="BN399" s="201">
        <f>IF($K399=BN$3,IF($C399="X",0,$O399),0)</f>
        <v>0</v>
      </c>
      <c r="BO399" s="201">
        <f>IF($K399=BO$3,IF($C399="X",0,$O399),0)</f>
        <v>0</v>
      </c>
      <c r="BP399" s="201">
        <f>IF($K399=BP$3,IF($C399="X",0,$O399),0)</f>
        <v>0</v>
      </c>
      <c r="BQ399" s="202">
        <f>IF($K399=BQ$3,IF($C399="X",0,$O399),0)</f>
        <v>0</v>
      </c>
      <c r="BR399" s="199">
        <f>IF($K399=BR$3,IF($C399="X",0,$O399),0)</f>
        <v>0</v>
      </c>
      <c r="BS399" s="228"/>
      <c r="BT399" s="229"/>
      <c r="BU399" s="140"/>
      <c r="BV399" s="229"/>
      <c r="BW399" s="140"/>
      <c r="BX399" s="140"/>
      <c r="BY399" s="140"/>
      <c r="BZ399" s="229"/>
      <c r="CA399" s="140"/>
      <c r="CB399" s="140"/>
      <c r="CC399" s="140"/>
      <c r="CD399" s="141"/>
      <c r="CE399" s="142"/>
      <c r="CF399" s="230">
        <f>IF(CF$3=$K399,IF($C399="W",1,IF($C399="1/2W",0.5,0)),0)</f>
        <v>0</v>
      </c>
      <c r="CG399" s="231">
        <f>IF(CF$3=$K399,IF($C399="L",1,IF($C399="1/2L",0.5,0)),0)</f>
        <v>0</v>
      </c>
      <c r="CH399" s="231">
        <f>IF(CH$3=$K399,IF($C399="W",1,IF($C399="1/2W",0.5,0)),0)</f>
        <v>0</v>
      </c>
      <c r="CI399" s="231">
        <f>IF(CH$3=$K399,IF($C399="L",1,IF($C399="1/2L",0.5,0)),0)</f>
        <v>0</v>
      </c>
      <c r="CJ399" s="231">
        <f>IF(CJ$3=$K399,IF($C399="W",1,IF($C399="1/2W",0.5,0)),0)</f>
        <v>0</v>
      </c>
      <c r="CK399" s="231">
        <f>IF(CJ$3=$K399,IF($C399="L",1,IF($C399="1/2L",0.5,0)),0)</f>
        <v>0</v>
      </c>
      <c r="CL399" s="231">
        <f>IF(CL$3=$K399,IF($C399="W",1,IF($C399="1/2W",0.5,0)),0)</f>
        <v>0</v>
      </c>
      <c r="CM399" s="231">
        <f>IF(CL$3=$K399,IF($C399="L",1,IF($C399="1/2L",0.5,0)),0)</f>
        <v>0</v>
      </c>
      <c r="CN399" s="231">
        <f>IF(CN$3=$K399,IF($C399="W",1,IF($C399="1/2W",0.5,0)),0)</f>
        <v>0</v>
      </c>
      <c r="CO399" s="231">
        <f>IF(CN$3=$K399,IF($C399="L",1,IF($C399="1/2L",0.5,0)),0)</f>
        <v>0</v>
      </c>
      <c r="CP399" s="231">
        <f>IF(CP$3=$K399,IF($C399="W",1,IF($C399="1/2W",0.5,0)),0)</f>
        <v>0</v>
      </c>
      <c r="CQ399" s="231">
        <f>IF(CP$3=$K399,IF($C399="L",1,IF($C399="1/2L",0.5,0)),0)</f>
        <v>0</v>
      </c>
      <c r="CR399" s="231">
        <f>IF(CR$3=$K399,IF($C399="W",1,IF($C399="1/2W",0.5,0)),0)</f>
        <v>0</v>
      </c>
      <c r="CS399" s="231">
        <f>IF(CR$3=$K399,IF($C399="L",1,IF($C399="1/2L",0.5,0)),0)</f>
        <v>0</v>
      </c>
      <c r="CT399" s="208">
        <f>IF(CT$3=$K399,IF($C399="W",1,IF($C399="1/2W",0.5,0)),0)</f>
        <v>0</v>
      </c>
      <c r="CU399" s="209">
        <f>IF(CT$3=$K399,IF($C399="L",1,IF($C399="1/2L",0.5,0)),0)</f>
        <v>0</v>
      </c>
      <c r="CV399" s="209">
        <f>IF(CV$3=$K399,IF($C399="W",1,IF($C399="1/2W",0.5,0)),0)</f>
        <v>0</v>
      </c>
      <c r="CW399" s="209">
        <f>IF(CV$3=$K399,IF($C399="L",1,IF($C399="1/2L",0.5,0)),0)</f>
        <v>0</v>
      </c>
      <c r="CX399" s="209">
        <f>IF(CX$3=$K399,IF($C399="W",1,IF($C399="1/2W",0.5,0)),0)</f>
        <v>0</v>
      </c>
      <c r="CY399" s="209">
        <f>IF(CX$3=$K399,IF($C399="L",1,IF($C399="1/2L",0.5,0)),0)</f>
        <v>0</v>
      </c>
      <c r="CZ399" s="209">
        <f>IF(CZ$3=$K399,IF($C399="W",1,IF($C399="1/2W",0.5,0)),0)</f>
        <v>0</v>
      </c>
      <c r="DA399" s="209">
        <f>IF(CZ$3=$K399,IF($C399="L",1,IF($C399="1/2L",0.5,0)),0)</f>
        <v>0</v>
      </c>
      <c r="DB399" s="209">
        <f>IF(DB$3=$K399,IF($C399="W",1,IF($C399="1/2W",0.5,0)),0)</f>
        <v>0</v>
      </c>
      <c r="DC399" s="209">
        <f>IF(DB$3=$K399,IF($C399="L",1,IF($C399="1/2L",0.5,0)),0)</f>
        <v>0</v>
      </c>
      <c r="DD399" s="209">
        <f>IF(DD$3=$K399,IF($C399="W",1,IF($C399="1/2W",0.5,0)),0)</f>
        <v>0</v>
      </c>
      <c r="DE399" s="210">
        <f>IF(DD$3=$K399,IF($C399="L",1,IF($C399="1/2L",0.5,0)),0)</f>
        <v>0</v>
      </c>
      <c r="DF399" s="211">
        <f>IF(AND(L399&lt;DF$3,$C399="W"),1+DF398,DF398)</f>
        <v>12</v>
      </c>
      <c r="DG399" s="198">
        <f>IF(DF399&gt;DF398,L399+DG398,DG398)</f>
        <v>15.718</v>
      </c>
      <c r="DH399" s="209">
        <f>IF(AND(L399&gt;DH$3,$C399="W"),1+DH398,0+DH398)</f>
        <v>10</v>
      </c>
      <c r="DI399" s="198">
        <f>IF(DH399&gt;DH398,L399+DI398,DI398)</f>
        <v>55.13</v>
      </c>
      <c r="DJ399" t="s" s="306">
        <f>IF($D397="","",$D397)</f>
        <v>307</v>
      </c>
      <c r="DK399" s="232"/>
    </row>
    <row r="400" ht="14.55" customHeight="1">
      <c r="A400" s="246">
        <f>$A397+1</f>
        <v>133</v>
      </c>
      <c r="B400" t="s" s="247">
        <f>IF(AND(_xlfn.XLOOKUP(H400,H$107:H179,G$107:G179,0)=G400,_xlfn.XLOOKUP("TempoBet",K400:K402,L400:L402,0)&gt;0),"X",IF(OR(C400="W",C401="W",C402="W",C400="1/2W",C401="1/2W",C402="1/2W",C400="1/2L",C401="1/2L",C402="1/2L"),"OK",IF(OR(C400="L",C401="L",C402="L"),"LOSS",IF(OR(C400="X",C401="X",C402="X"),"Anulado"," "))))</f>
        <v>50</v>
      </c>
      <c r="C400" t="s" s="248">
        <v>51</v>
      </c>
      <c r="D400" t="s" s="303">
        <f>IF(G400="","",$D397)</f>
        <v>307</v>
      </c>
      <c r="E400" t="s" s="250">
        <v>93</v>
      </c>
      <c r="F400" t="s" s="251"/>
      <c r="G400" s="252">
        <v>44950.84375</v>
      </c>
      <c r="H400" t="s" s="253">
        <v>327</v>
      </c>
      <c r="I400" t="s" s="254">
        <v>87</v>
      </c>
      <c r="J400" s="293"/>
      <c r="K400" t="s" s="256">
        <v>37</v>
      </c>
      <c r="L400" s="257">
        <v>3.75</v>
      </c>
      <c r="M400" s="258">
        <v>12.73</v>
      </c>
      <c r="N400" s="259">
        <v>0.1</v>
      </c>
      <c r="O400" s="260">
        <f>IF(OR(AE400="",AE401=""),"",ROUND(IF(L402&gt;0,IF(M400&gt;0,M400,IF(M401&gt;0,ROUND((M401*AE400)/AE401,IF(N400=0,2,IF(N400=0.1,1,0))),ROUND((M402*AE400)/AE402,IF(N400=0,2,IF(N400=0.1,1,0))))),IF(M400&gt;0,M400,ROUND((M401*AE400)/AE401,IF(N400=0,2,IF(N400=0.1,1,0))))),2))</f>
        <v>12.73</v>
      </c>
      <c r="P400" s="261">
        <f>IF(OR(L400="",O400=""),"",IF($C400="1/2W",O400/2+O400/2*L400,IF($C400="1/2L",O400/2,IF(I400="Lay",(O400*(L400/(L400-1))-O400)*(1-_xlfn.XLOOKUP(K400,'Janeiro 2023 - Valor Real'!A3:A15,'Janeiro 2023 - Valor Real'!C3:C15,0))+O400,(O400*L400-O400)*(1-_xlfn.XLOOKUP(K400,'Janeiro 2023 - Valor Real'!A3:A15,'Janeiro 2023 - Valor Real'!C3:C15,0))+O400))))</f>
        <v>47.7375</v>
      </c>
      <c r="Q400" s="262">
        <f>IF(K400="","",IF(_xlfn.XLOOKUP(K400,K$107:K179,DJ$107:DJ179,0,,-1)=DJ400,_xlfn.XLOOKUP(K400,K$107:K179,Q$107:Q179,1,,-1)+1,1))</f>
        <v>1</v>
      </c>
      <c r="R400" s="263">
        <f>IF(K400="","",_xlfn.XLOOKUP(K400,K$107:K179,R$107:R179,0,,-1)+IF($C400=" ",1,0))</f>
        <v>0</v>
      </c>
      <c r="S400" s="264">
        <f>IF($B400="Anulado",0,ROUND(IF(OR($B400="LOSS",$B400="OK"),IF(OR($C400="W",$C400="1/2W",$C400="1/2L"),P400-O400,IF($C400="L",-O400,0))+IF(OR($C401="W",$C401="1/2W",$C401="1/2L"),P401-O401,IF($C401="L",-O401,0))+IF(OR($C402="W",$C402="1/2W",$C402="1/2L"),P402-O402,IF($C402="L",-O402,0)),IF(AND(OR($C400="W",$C400="1/2W",$C400="1/2L"),C401="W"),P400+P401-SUM(O400:O402)+_xlfn.XLOOKUP("X",C400:C402,O400:O402,0),IF(AND(C400=TRUE,C402="W"),P400+P402-SUM(O400:O402),IF(AND(C401="W",C402="W"),P401+P402-SUM(O400:O402)+_xlfn.XLOOKUP("X",C400:C402,O400:O402,0),IF(L402&gt;0,IF(OR($C400="W",$C400="1/2W",$C400="1/2L"),P400-SUM(O400:O402)+_xlfn.XLOOKUP("X",C400:C402,O400:O402,0),IF(OR($C400="W",$C400="1/2W",$C400="1/2L"),P401-SUM(O400:O402)+_xlfn.XLOOKUP("X",C400:C402,O400:O402,0),IF(OR($C400="W",$C400="1/2W",$C400="1/2L"),P402-SUM(O400:O402)+_xlfn.XLOOKUP("X",C400:C402,O400:O402,0),IF(SUM(P400:P402)/3-SUM(O400:O402)+_xlfn.XLOOKUP("X",C400:C402,O400:O402,0)&gt;0,SUM(P400:P402)/3-SUM(O400:O402)+_xlfn.XLOOKUP("X",C400:C402,O400:O402,0),LARGE(P400:P402,1)-SUM(O400:O402))))),IF(OR($C400="W",$C400="1/2W",$C400="1/2L"),P400-SUM(O400:O401)+_xlfn.XLOOKUP("X",C400:C402,O400:O402,0),IF(OR($C400="W",$C400="1/2W",$C400="1/2L"),P401-SUM(O400:O401)+_xlfn.XLOOKUP("X",C400:C402,O400:O402,0),SUM(P400:P401)/2-SUM(O400:O401)+_xlfn.XLOOKUP("X",C400:C402,O400:O402,0)))))))),2))</f>
        <v>1.63</v>
      </c>
      <c r="T400" s="265">
        <f>IF(S400=0,0,S400/SUM(O400:O402))</f>
        <v>0.0353349230435725</v>
      </c>
      <c r="U400" s="266">
        <f>IF($D400=$D397,IF(OR($B400="LOSS",$B400="OK",$B400="Anulada"),S400,0)+U397,IF(OR($B400="LOSS",$B400="OK",$B400="Anulada"),S400,0))</f>
        <v>22.13</v>
      </c>
      <c r="V400" s="266">
        <f>IF($D400="",0,IF($D400=$D397,IF($B400=" ",IF(I402="",IF(OR(AND(I400="DNB1",I401="DNB2"),AND(OR(I400="DNB1",I400="DNB2"),J401=0),AND(OR(I401="DNB1",I401="DNB2"),J400=0),AND(I400="DNB2",I401="DNB1"),AND(IF(J400=0,(J400+1)/ROUND(J400+1,0),J400/ROUND(J400,0))=1,IF(J401=0,(J401+1)/ROUND(IF(J401="",0,J401)+1,0),IF(J401="",0,J401)/ROUND(IF(J401="",1,J401),0))=1,OR(J400&lt;&gt;""),J401&lt;&gt;"")),0,IF(S400&lt;0,IF(I402="",SMALL(P400:P401,1)-SUM(O400:O401),0),SMALL(P400:P401,1)-SUM(O400:O401))),IF(S400&lt;0,IF(I402="",SMALL(P400:P402,1)-SUM(O400:O402),0),LARGE(P400:P402,1)-SUM(O400:O402))),S400)+V397,IF(I402="",IF(OR(AND(I400="DNB1",I401="DNB2"),AND(OR(I400="DNB1",I400="DNB2"),J401=0),AND(OR(I401="DNB1",I401="DNB2"),J400=0),AND(I400="DNB2",I401="DNB1"),AND(IF(J400=0,(J400+1)/ROUND(J400+1,0),J400/ROUND(J400,0))=1,IF(J401=0,(IF(J401="",0,J401)+1)/ROUND(IF(J401="",0,J401)+1,0),IF(J401="",0,J401)/ROUND(IF(J401="",0,J401)+1,0))=1,OR(J400&lt;&gt;""),J401&lt;&gt;"")),0,IF(S400&lt;0,IF(I402="",SMALL(P400:P401,1)-SUM(O400:O401),0),SMALL(P400:P402,1)-SUM(O400:O402))),IF(S400&lt;0,IF(I402="",SMALL(P400:P402,1)-SUM(O400:O402),0),LARGE(P400:P402,1)-SUM(O400:O402)))))</f>
        <v>22.13225</v>
      </c>
      <c r="W400" s="266">
        <f>IF($D400=$D397,IF(S400&lt;0,IF(I402="",S400,0),S400)+W397,S400)</f>
        <v>22.13</v>
      </c>
      <c r="X400" t="s" s="267">
        <f>IF(OR(SUM(R400:R402)=0,V400=W400),ROUND(IF(W400=0,0,W400/Y400)*100,2)&amp;"%",ROUND(IF(V400=0,0,V400/Y400)*100,2)&amp;"% a "&amp;ROUND(IF(W400=0,0,W400/Y400)*100,2)&amp;"%")</f>
        <v>329</v>
      </c>
      <c r="Y400" s="268">
        <f>IF($D400=$D397,Y397+SUM(O400:O402),SUM(O400:O402))</f>
        <v>316.23</v>
      </c>
      <c r="Z400" s="266">
        <f>IF($B400=" ",SUM(O400:O402),0)+Z397</f>
        <v>0</v>
      </c>
      <c r="AA400" s="266">
        <f>IF(G400="","",IF($B400="Anulado",LARGE(P400:P402,1)-SUM(O400:O402)+AA397,AA397))</f>
        <v>16.5099</v>
      </c>
      <c r="AB400" s="266">
        <f>IF($D400="","",AB397+S400)</f>
        <v>273.8</v>
      </c>
      <c r="AC400" s="269">
        <f>IF($D400="","",IF($B400=" ",IF(DAY(G400)=DAY(TODAY()),1+AC397,0+AC397),0+AC397))</f>
        <v>0</v>
      </c>
      <c r="AD400" s="270">
        <f>(1-_xlfn.XLOOKUP(K398,'Janeiro 2023 - Valor Real'!A3:A15,'Janeiro 2023 - Valor Real'!C3:C15,0))+1</f>
        <v>2</v>
      </c>
      <c r="AE400" s="271">
        <f>IF(L400="","",IF(L402&gt;0,(SUM(((L400-1)*(1-_xlfn.XLOOKUP(K400,'Janeiro 2023 - Valor Real'!A3:A15,'Janeiro 2023 - Valor Real'!C3:C15,0))+1),((L401-1)*(1-_xlfn.XLOOKUP(K401,'Janeiro 2023 - Valor Real'!A3:A15,'Janeiro 2023 - Valor Real'!C3:C15,0))+1),((L402-1)*(1-_xlfn.XLOOKUP(K402,'Janeiro 2023 - Valor Real'!A3:A15,'Janeiro 2023 - Valor Real'!C3:C15,0))+1))/((L400-1)*(1-_xlfn.XLOOKUP(K400,'Janeiro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Real'!C3:C15,0))+1))/((L400-1)*(1-_xlfn.XLOOKUP(K400,'Janeiro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Real'!C3:C15,0))+1))/((L401-1)*(1-_xlfn.XLOOKUP(K401,'Janeiro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Real'!C3:C15,0))+1))/((L402-1)*(1-_xlfn.XLOOKUP(K402,'Janeiro 2023 - Valor Real'!A3:A15,'Janeiro 2023 - Valor Real'!C3:C15,0))+1)),IF(I400="Lay",IF(I401="Lay",((L401/(L401-1)-1)*(1-_xlfn.XLOOKUP(K401,'Janeiro 2023 - Valor Real'!A3:A15,'Janeiro 2023 - Valor Real'!C3:C15,0))+1)/(((L401/(L401-1)-1)*(1-_xlfn.XLOOKUP(K401,'Janeiro 2023 - Valor Real'!A3:A15,'Janeiro 2023 - Valor Real'!C3:C15,0))+1)+((L400/(L400-1)-1)*(1-_xlfn.XLOOKUP(K400,'Janeiro 2023 - Valor Real'!A3:A15,'Janeiro 2023 - Valor Real'!C3:C15,0))+1)),((L401-1)*(1-_xlfn.XLOOKUP(K401,'Janeiro 2023 - Valor Real'!A3:A15,'Janeiro 2023 - Valor Real'!C3:C15,0))+1)/(((L401-1)*(1-_xlfn.XLOOKUP(K401,'Janeiro 2023 - Valor Real'!A3:A15,'Janeiro 2023 - Valor Real'!C3:C15,0))+1)+((L400/(L400-1)-1)*(1-_xlfn.XLOOKUP(K400,'Janeiro 2023 - Valor Real'!A3:A15,'Janeiro 2023 - Valor Real'!C3:C15,0))+1))),IF(I401="Lay",(((L401/(L401-1)-1)*(1-_xlfn.XLOOKUP(K401,'Janeiro 2023 - Valor Real'!A3:A15,'Janeiro 2023 - Valor Real'!C3:C15,0))+1))/(((L400-1)*(1-_xlfn.XLOOKUP(K400,'Janeiro 2023 - Valor Real'!A3:A15,'Janeiro 2023 - Valor Real'!C3:C15,0))+1)+((L401/(L401-1)-1)*(1-_xlfn.XLOOKUP(K401,'Janeiro 2023 - Valor Real'!A3:A15,'Janeiro 2023 - Valor Real'!C3:C15,0))+1)),((L401-1)*(1-_xlfn.XLOOKUP(K401,'Janeiro 2023 - Valor Real'!A3:A15,'Janeiro 2023 - Valor Real'!C3:C15,0))+1)/(((L401-1)*(1-_xlfn.XLOOKUP(K401,'Janeiro 2023 - Valor Real'!A3:A15,'Janeiro 2023 - Valor Real'!C3:C15,0))+1)+((L400-1)*(1-_xlfn.XLOOKUP(K400,'Janeiro 2023 - Valor Real'!A3:A15,'Janeiro 2023 - Valor Real'!C3:C15,0))+1))))))</f>
        <v>0.276061776061776</v>
      </c>
      <c r="AF400" s="132">
        <f>IF($K400=AF$3,ROUND(IF(OR($C400="W",$C400="1/2W",$C400="1/2L"),$P400-$O400,IF($C400="X",0,-$O400)),2),0)</f>
        <v>-12.73</v>
      </c>
      <c r="AG400" s="133">
        <f>IF($K400=AG$3,ROUND(IF(OR($C400="W",$C400="1/2W",$C400="1/2L"),$P400-$O400,IF($C400="X",0,-$O400)),2),0)</f>
        <v>0</v>
      </c>
      <c r="AH400" s="133">
        <f>IF($K400=AH$3,ROUND(IF(OR($C400="W",$C400="1/2W",$C400="1/2L"),$P400-$O400,IF($C400="X",0,-$O400)),2),0)</f>
        <v>0</v>
      </c>
      <c r="AI400" s="133">
        <f>IF($K400=AI$3,ROUND(IF(OR($C400="W",$C400="1/2W",$C400="1/2L"),$P400-$O400,IF($C400="X",0,-$O400)),2),0)</f>
        <v>0</v>
      </c>
      <c r="AJ400" s="133">
        <f>IF($K400=AJ$3,ROUND(IF(OR($C400="W",$C400="1/2W",$C400="1/2L"),$P400-$O400,IF($C400="X",0,-$O400)),2),0)</f>
        <v>0</v>
      </c>
      <c r="AK400" s="133">
        <f>IF($K400=AK$3,ROUND(IF(OR($C400="W",$C400="1/2W",$C400="1/2L"),$P400-$O400,IF($C400="X",0,-$O400)),2),0)</f>
        <v>0</v>
      </c>
      <c r="AL400" s="133">
        <f>IF($K400=AL$3,ROUND(IF(OR($C400="W",$C400="1/2W",$C400="1/2L"),$P400-$O400,IF($C400="X",0,-$O400)),2),0)</f>
        <v>0</v>
      </c>
      <c r="AM400" s="133">
        <f>IF($K400=AM$3,ROUND(IF(OR($C400="W",$C400="1/2W",$C400="1/2L"),$P400-$O400,IF($C400="X",0,-$O400)),2),0)</f>
        <v>0</v>
      </c>
      <c r="AN400" s="133">
        <f>IF($K400=AN$3,ROUND(IF(OR($C400="W",$C400="1/2W",$C400="1/2L"),$P400-$O400,IF($C400="X",0,-$O400)),2),0)</f>
        <v>0</v>
      </c>
      <c r="AO400" s="133">
        <f>IF($K400=AO$3,ROUND(IF(OR($C400="W",$C400="1/2W",$C400="1/2L"),$P400-$O400,IF($C400="X",0,-$O400)),2),0)</f>
        <v>0</v>
      </c>
      <c r="AP400" s="133">
        <f>IF($K400=AP$3,ROUND(IF(OR($C400="W",$C400="1/2W",$C400="1/2L"),$P400-$O400,IF($C400="X",0,-$O400)),2),0)</f>
        <v>0</v>
      </c>
      <c r="AQ400" s="133">
        <f>IF($K400=AQ$3,ROUND(IF(OR($C400="W",$C400="1/2W",$C400="1/2L"),$P400-$O400,IF($C400="X",0,-$O400)),2),0)</f>
        <v>0</v>
      </c>
      <c r="AR400" s="134">
        <f>IF($K400=AR$3,ROUND(IF(OR($C400="W",$C400="1/2W",$C400="1/2L"),$P400-$O400,IF($C400="X",0,-$O400)),2),0)</f>
        <v>0</v>
      </c>
      <c r="AS400" s="132">
        <f>IF(AND($B400=" ",$K400=AS$3),$O400,0)</f>
        <v>0</v>
      </c>
      <c r="AT400" s="133">
        <f>IF(AND($B400=" ",$K400=AT$3),$O400,0)</f>
        <v>0</v>
      </c>
      <c r="AU400" s="133">
        <f>IF(AND($B400=" ",$K400=AU$3),$O400,0)</f>
        <v>0</v>
      </c>
      <c r="AV400" s="133">
        <f>IF(AND($B400=" ",$K400=AV$3),$O400,0)</f>
        <v>0</v>
      </c>
      <c r="AW400" s="133">
        <f>IF(AND($B400=" ",$K400=AW$3),$O400,0)</f>
        <v>0</v>
      </c>
      <c r="AX400" s="133">
        <f>IF(AND($B400=" ",$K400=AX$3),$O400,0)</f>
        <v>0</v>
      </c>
      <c r="AY400" s="135">
        <f>IF(AND($B400=" ",$K400=AY$3),$O400,0)</f>
        <v>0</v>
      </c>
      <c r="AZ400" s="136">
        <f>IF(AND($B400=" ",$K400=AZ$3),$O400,0)</f>
        <v>0</v>
      </c>
      <c r="BA400" s="136">
        <f>IF(AND($B400=" ",$K400=BA$3),$O400,0)</f>
        <v>0</v>
      </c>
      <c r="BB400" s="136">
        <f>IF(AND($B400=" ",$K400=BB$3),$O400,0)</f>
        <v>0</v>
      </c>
      <c r="BC400" s="137">
        <f>IF(AND($B400=" ",$K400=BC$3),$O400,0)</f>
        <v>0</v>
      </c>
      <c r="BD400" s="133">
        <f>IF(AND($B400=" ",$K400=BD$3),$O400,0)</f>
        <v>0</v>
      </c>
      <c r="BE400" s="134">
        <f>IF(AND($B400=" ",$K400=BE$3),$O400,0)</f>
        <v>0</v>
      </c>
      <c r="BF400" s="132">
        <f>IF($K400=BF$3,IF($C400="X",0,$O400),0)</f>
        <v>12.73</v>
      </c>
      <c r="BG400" s="133">
        <f>IF($K400=BG$3,IF($C400="X",0,$O400),0)</f>
        <v>0</v>
      </c>
      <c r="BH400" s="133">
        <f>IF($K400=BH$3,IF($C400="X",0,$O400),0)</f>
        <v>0</v>
      </c>
      <c r="BI400" s="133">
        <f>IF($K400=BI$3,IF($C400="X",0,$O400),0)</f>
        <v>0</v>
      </c>
      <c r="BJ400" s="133">
        <f>IF($K400=BJ$3,IF($C400="X",0,$O400),0)</f>
        <v>0</v>
      </c>
      <c r="BK400" s="133">
        <f>IF($K400=BK$3,IF($C400="X",0,$O400),0)</f>
        <v>0</v>
      </c>
      <c r="BL400" s="133">
        <f>IF($K400=BL$3,IF($C400="X",0,$O400),0)</f>
        <v>0</v>
      </c>
      <c r="BM400" s="135">
        <f>IF($K400=BM$3,IF($C400="X",0,$O400),0)</f>
        <v>0</v>
      </c>
      <c r="BN400" s="136">
        <f>IF($K400=BN$3,IF($C400="X",0,$O400),0)</f>
        <v>0</v>
      </c>
      <c r="BO400" s="136">
        <f>IF($K400=BO$3,IF($C400="X",0,$O400),0)</f>
        <v>0</v>
      </c>
      <c r="BP400" s="136">
        <f>IF($K400=BP$3,IF($C400="X",0,$O400),0)</f>
        <v>0</v>
      </c>
      <c r="BQ400" s="137">
        <f>IF($K400=BQ$3,IF($C400="X",0,$O400),0)</f>
        <v>0</v>
      </c>
      <c r="BR400" s="134">
        <f>IF($K400=BR$3,IF($C400="X",0,$O400),0)</f>
        <v>0</v>
      </c>
      <c r="BS400" s="170">
        <f>IF($B400="LOSS",IF(AND($K400=BS$3,$C400="L"),-$O400,0)+IF(AND($K401=BS$3,$C401="L"),-$O401,0)+IF(AND($K402=BS$3,$C402="L"),-$O402,0),IF(OR(AND($K400=BS$3,OR($C400="W",$C400="1/2W")),AND($K401=BS$3,OR($C401="W",$C401="1/2W")),AND($K402=BS$3,OR($C402="W",$C402="1/2W"))),$S400,0))</f>
        <v>0</v>
      </c>
      <c r="BT400" s="272">
        <f>IF($B400="LOSS",IF(AND($K400=BT$3,$C400="L"),-$O400,0)+IF(AND($K401=BT$3,$C401="L"),-$O401,0)+IF(AND($K401=BT$3,$C402="L"),-$O402,0),IF(OR(AND($K401=BT$3,OR($C400="W",$C400="1/2W")),AND($K401=BT$3,OR($C401="W",$C401="1/2W")),AND($K401=BT$3,OR($C402="W",$C402="1/2W"))),$S400,0))</f>
        <v>0</v>
      </c>
      <c r="BU400" s="136">
        <f>IF($B400="LOSS",IF(AND($K400=BU$3,$C400="L"),-$O400,0)+IF(AND($K401=BU$3,$C401="L"),-$O401,0)+IF(AND($K401=BU$3,$C402="L"),-$O402,0),IF(OR(AND($K401=BU$3,OR($C400="W",$C400="1/2W")),AND($K401=BU$3,OR($C401="W",$C401="1/2W")),AND($K401=BU$3,OR($C402="W",$C402="1/2W"))),$S400,0))</f>
        <v>0</v>
      </c>
      <c r="BV400" s="136">
        <f>IF($B400="LOSS",IF(AND($K400=BV$3,$C400="L"),-$O400,0)+IF(AND($K401=BV$3,$C401="L"),-$O401,0)+IF(AND($K402=BV$3,$C402="L"),-$O402,0),IF(OR(AND($K400=BV$3,OR($C400="W",$C400="1/2W")),AND($K401=BV$3,OR($C401="W",$C401="1/2W")),AND($K402=BV$3,OR($C402="W",$C402="1/2W"))),$S400,0))</f>
        <v>0</v>
      </c>
      <c r="BW400" s="136">
        <f>IF($B400="LOSS",IF(AND($K400=BW$3,$C400="L"),-$O400,0)+IF(AND($K401=BW$3,$C401="L"),-$O401,0)+IF(AND($K402=BW$3,$C402="L"),-$O402,0),IF(OR(AND($K400=BW$3,OR($C400="W",$C400="1/2W")),AND($K401=BW$3,OR($C401="W",$C401="1/2W")),AND($K402=BW$3,OR($C402="W",$C402="1/2W"))),$S400,0))</f>
        <v>1.63</v>
      </c>
      <c r="BX400" s="136">
        <f>IF($B400="LOSS",IF(AND($K400=BX$3,$C400="L"),-$O400,0)+IF(AND($K401=BX$3,$C401="L"),-$O401,0)+IF(AND($K402=BX$3,$C402="L"),-$O402,0),IF(OR(AND($K400=BX$3,OR($C400="W",$C400="1/2W")),AND($K401=BX$3,OR($C401="W",$C401="1/2W")),AND($K402=BX$3,OR($C402="W",$C402="1/2W"))),$S400,0))</f>
        <v>0</v>
      </c>
      <c r="BY400" s="136">
        <f>IF($B400="LOSS",IF(AND($K400=BY$3,$C400="L"),-$O400,0)+IF(AND($K401=BY$3,$C401="L"),-$O401,0)+IF(AND($K402=BY$3,$C402="L"),-$O402,0),IF(OR(AND($K400=BY$3,OR($C400="W",$C400="1/2W")),AND($K401=BY$3,OR($C401="W",$C401="1/2W")),AND($K402=BY$3,OR($C402="W",$C402="1/2W"))),$S400,0))</f>
        <v>0</v>
      </c>
      <c r="BZ400" s="136">
        <f>IF($B400="LOSS",IF(AND($K400=BZ$3,$C400="L"),-$O400,0)+IF(AND($K401=BZ$3,$C401="L"),-$O401,0)+IF(AND($K402=BZ$3,$C402="L"),-$O402,0),IF(OR(AND($K400=BZ$3,OR($C400="W",$C400="1/2W")),AND($K401=BZ$3,OR($C401="W",$C401="1/2W")),AND($K402=BZ$3,OR($C402="W",$C402="1/2W"))),$S400,0))</f>
        <v>0</v>
      </c>
      <c r="CA400" s="136">
        <f>IF($B400="LOSS",IF(AND($K400=CA$3,$C400="L"),-$O400,0)+IF(AND($K401=CA$3,$C401="L"),-$O401,0)+IF(AND($K402=CA$3,$C402="L"),-$O402,0),IF(OR(AND($K400=CA$3,OR($C400="W",$C400="1/2W")),AND($K401=CA$3,OR($C401="W",$C401="1/2W")),AND($K402=CA$3,OR($C402="W",$C402="1/2W"))),$S400,0))</f>
        <v>0</v>
      </c>
      <c r="CB400" s="136">
        <f>IF($B400="LOSS",IF(AND($K400=CB$3,$C400="L"),-$O400,0)+IF(AND($K401=CB$3,$C401="L"),-$O401,0)+IF(AND($K402=CB$3,$C402="L"),-$O402,0),IF(OR(AND($K400=CB$3,OR($C400="W",$C400="1/2W")),AND($K401=CB$3,OR($C401="W",$C401="1/2W")),AND($K402=CB$3,OR($C402="W",$C402="1/2W"))),$S400,0))</f>
        <v>0</v>
      </c>
      <c r="CC400" s="136">
        <f>IF($B400="LOSS",IF(AND($K400=CC$3,$C400="L"),-$O400,0)+IF(AND($K401=CC$3,$C401="L"),-$O401,0)+IF(AND($K402=CC$3,$C402="L"),-$O402,0),IF(OR(AND($K400=CC$3,OR($C400="W",$C400="1/2W")),AND($K401=CC$3,OR($C401="W",$C401="1/2W")),AND($K402=CC$3,OR($C402="W",$C402="1/2W"))),$S400,0))</f>
        <v>0</v>
      </c>
      <c r="CD400" s="137">
        <f>IF($B400="LOSS",IF(AND($K400=CD$3,$C400="L"),-$O400,0)+IF(AND($K401=CD$3,$C401="L"),-$O401,0)+IF(AND($K402=CD$3,$C402="L"),-$O402,0),IF(OR(AND($K400=CD$3,OR($C400="W",$C400="1/2W")),AND($K401=CD$3,OR($C401="W",$C401="1/2W")),AND($K402=CD$3,OR($C402="W",$C402="1/2W"))),$S400,0))</f>
        <v>0</v>
      </c>
      <c r="CE400" s="134">
        <f>IF($B400="LOSS",IF(AND($K400=CE$3,$C400="L"),-$O400,0)+IF(AND($K401=CE$3,$C401="L"),-$O401,0)+IF(AND($K402=CE$3,$C402="L"),-$O402,0),IF(OR(AND($K400=CE$3,OR($C400="W",$C400="1/2W")),AND($K401=CE$3,OR($C401="W",$C401="1/2W")),AND($K402=CE$3,OR($C402="W",$C402="1/2W"))),$S400,0))</f>
        <v>0</v>
      </c>
      <c r="CF400" s="273">
        <f>IF(CF$3=$K400,IF($C400="W",1,IF($C400="1/2W",0.5,0)),0)</f>
        <v>0</v>
      </c>
      <c r="CG400" s="274">
        <f>IF(CF$3=$K400,IF($C400="L",1,IF($C400="1/2L",0.5,0)),0)</f>
        <v>1</v>
      </c>
      <c r="CH400" s="274">
        <f>IF(CH$3=$K400,IF($C400="W",1,IF($C400="1/2W",0.5,0)),0)</f>
        <v>0</v>
      </c>
      <c r="CI400" s="274">
        <f>IF(CH$3=$K400,IF($C400="L",1,IF($C400="1/2L",0.5,0)),0)</f>
        <v>0</v>
      </c>
      <c r="CJ400" s="274">
        <f>IF(CJ$3=$K400,IF($C400="W",1,IF($C400="1/2W",0.5,0)),0)</f>
        <v>0</v>
      </c>
      <c r="CK400" s="274">
        <f>IF(CJ$3=$K400,IF($C400="L",1,IF($C400="1/2L",0.5,0)),0)</f>
        <v>0</v>
      </c>
      <c r="CL400" s="274">
        <f>IF(CL$3=$K400,IF($C400="W",1,IF($C400="1/2W",0.5,0)),0)</f>
        <v>0</v>
      </c>
      <c r="CM400" s="274">
        <f>IF(CL$3=$K400,IF($C400="L",1,IF($C400="1/2L",0.5,0)),0)</f>
        <v>0</v>
      </c>
      <c r="CN400" s="274">
        <f>IF(CN$3=$K400,IF($C400="W",1,IF($C400="1/2W",0.5,0)),0)</f>
        <v>0</v>
      </c>
      <c r="CO400" s="274">
        <f>IF(CN$3=$K400,IF($C400="L",1,IF($C400="1/2L",0.5,0)),0)</f>
        <v>0</v>
      </c>
      <c r="CP400" s="274">
        <f>IF(CP$3=$K400,IF($C400="W",1,IF($C400="1/2W",0.5,0)),0)</f>
        <v>0</v>
      </c>
      <c r="CQ400" s="274">
        <f>IF(CP$3=$K400,IF($C400="L",1,IF($C400="1/2L",0.5,0)),0)</f>
        <v>0</v>
      </c>
      <c r="CR400" s="274">
        <f>IF(CR$3=$K400,IF($C400="W",1,IF($C400="1/2W",0.5,0)),0)</f>
        <v>0</v>
      </c>
      <c r="CS400" s="274">
        <f>IF(CR$3=$K400,IF($C400="L",1,IF($C400="1/2L",0.5,0)),0)</f>
        <v>0</v>
      </c>
      <c r="CT400" s="145">
        <f>IF(CT$3=$K400,IF($C400="W",1,IF($C400="1/2W",0.5,0)),0)</f>
        <v>0</v>
      </c>
      <c r="CU400" s="146">
        <f>IF(CT$3=$K400,IF($C400="L",1,IF($C400="1/2L",0.5,0)),0)</f>
        <v>0</v>
      </c>
      <c r="CV400" s="146">
        <f>IF(CV$3=$K400,IF($C400="W",1,IF($C400="1/2W",0.5,0)),0)</f>
        <v>0</v>
      </c>
      <c r="CW400" s="146">
        <f>IF(CV$3=$K400,IF($C400="L",1,IF($C400="1/2L",0.5,0)),0)</f>
        <v>0</v>
      </c>
      <c r="CX400" s="146">
        <f>IF(CX$3=$K400,IF($C400="W",1,IF($C400="1/2W",0.5,0)),0)</f>
        <v>0</v>
      </c>
      <c r="CY400" s="146">
        <f>IF(CX$3=$K400,IF($C400="L",1,IF($C400="1/2L",0.5,0)),0)</f>
        <v>0</v>
      </c>
      <c r="CZ400" s="146">
        <f>IF(CZ$3=$K400,IF($C400="W",1,IF($C400="1/2W",0.5,0)),0)</f>
        <v>0</v>
      </c>
      <c r="DA400" s="146">
        <f>IF(CZ$3=$K400,IF($C400="L",1,IF($C400="1/2L",0.5,0)),0)</f>
        <v>0</v>
      </c>
      <c r="DB400" s="146">
        <f>IF(DB$3=$K400,IF($C400="W",1,IF($C400="1/2W",0.5,0)),0)</f>
        <v>0</v>
      </c>
      <c r="DC400" s="146">
        <f>IF(DB$3=$K400,IF($C400="L",1,IF($C400="1/2L",0.5,0)),0)</f>
        <v>0</v>
      </c>
      <c r="DD400" s="146">
        <f>IF(DD$3=$K400,IF($C400="W",1,IF($C400="1/2W",0.5,0)),0)</f>
        <v>0</v>
      </c>
      <c r="DE400" s="147">
        <f>IF(DD$3=$K400,IF($C400="L",1,IF($C400="1/2L",0.5,0)),0)</f>
        <v>0</v>
      </c>
      <c r="DF400" s="143">
        <f>IF(AND(L400&lt;DF$3,$C400="W"),1+DF399,DF399)</f>
        <v>12</v>
      </c>
      <c r="DG400" s="133">
        <f>IF(DF400&gt;DF399,L400+DG399,DG399)</f>
        <v>15.718</v>
      </c>
      <c r="DH400" s="146">
        <f>IF(AND(L400&gt;DH$3,$C400="W"),1+DH399,0+DH399)</f>
        <v>10</v>
      </c>
      <c r="DI400" s="133">
        <f>IF(DH400&gt;DH399,L400+DI399,DI399)</f>
        <v>55.13</v>
      </c>
      <c r="DJ400" t="s" s="304">
        <f>IF($D400="","",$D400)</f>
        <v>307</v>
      </c>
      <c r="DK400" s="146">
        <f>IF(AND($B400=" ",$D400&lt;&gt;""),1,0)</f>
        <v>0</v>
      </c>
    </row>
    <row r="401" ht="14.55" customHeight="1">
      <c r="A401" s="107"/>
      <c r="B401" s="108"/>
      <c r="C401" t="s" s="109">
        <v>56</v>
      </c>
      <c r="D401" s="110"/>
      <c r="E401" s="111"/>
      <c r="F401" s="113"/>
      <c r="G401" s="252"/>
      <c r="H401" s="114"/>
      <c r="I401" s="294">
        <v>1</v>
      </c>
      <c r="J401" t="s" s="295">
        <f>IF(OR(I400="TO",I400="TU",I400="TO1",I400="TU1",I400="TO2",I400="TU2"),J400,IF(OR(I400="AH1",I400="AH2"),IF(OR(I401="AH1",I401="AH2"),-J400,IF(OR(I401="EH1",I401="EH2"),-J400+0.5,"")),IF(OR(I400="EH1",I400="EH2"),IF(OR(I401="AH1",I401="AH2"),-J400+0.5,IF(OR(I401="EH1",I401="EH2"),-J400+1,"")),IF(AND(OR(I400="DNB1",I400="DNB2"),OR(I401="AH1",I401="AH2")),0,IF(AND(I400="Not ScoreBoth",OR(I401="TO1",I401="TO2")),0.5,"")))))</f>
      </c>
      <c r="K401" t="s" s="117">
        <v>41</v>
      </c>
      <c r="L401" s="277">
        <v>1.43</v>
      </c>
      <c r="M401" s="278"/>
      <c r="N401" s="120"/>
      <c r="O401" s="121">
        <f>IF(OR(AE400="",AE401=""),"",ROUND(IF(L402&gt;0,IF(M401&gt;0,M401,IF(M400&gt;0,IF(N400=TRUE,ROUND((M400*AE401)/AE400,0),(M400*AE401)/AE400),IF(M401&gt;0,ROUND(M401,IF(N400=0,2,IF(N400=0.1,1,0))),IF(M402&gt;0,ROUND(O402*AE401/AE402,IF(N400=0,2,IF(N400=0.1,1,0))),0)))),IF(M401&gt;0,M401,ROUND((M400*AE401)/AE400,IF(N400=0,2,IF(N400=0.1,1,0))))),2))</f>
        <v>33.4</v>
      </c>
      <c r="P401" s="122">
        <f>IF(OR(L401="",O401=""),"",IF($C401="1/2W",O401/2+O401/2*L401,IF($C401="1/2L",O401/2,IF(I401="Lay",((O401*(L401/(L401-1)))-O401)*(1-_xlfn.XLOOKUP(K401,'Janeiro 2023 - Valor Real'!A3:A15,'Janeiro 2023 - Valor Real'!C3:C15,0))+O401,(O401*L401-O401)*(1-_xlfn.XLOOKUP(K401,'Janeiro 2023 - Valor Real'!A3:A15,'Janeiro 2023 - Valor Real'!C3:C15,0))+O401))))</f>
        <v>47.762</v>
      </c>
      <c r="Q401" s="279">
        <f>IF(K401="","",IF(_xlfn.XLOOKUP(K401,K$120:K180,DJ$120:DJ180,0,,-1)=DJ401,_xlfn.XLOOKUP(K401,K$120:K180,Q$120:Q180,1,,-1)+1,1))</f>
        <v>1</v>
      </c>
      <c r="R401" s="280">
        <f>IF(K401="","",_xlfn.XLOOKUP(K401,K$120:K180,R$120:R180,0,,-1)+IF($C401=" ",1,0))</f>
        <v>0</v>
      </c>
      <c r="S401" s="125"/>
      <c r="T401" s="126"/>
      <c r="U401" s="126"/>
      <c r="V401" s="224"/>
      <c r="W401" s="126"/>
      <c r="X401" s="127"/>
      <c r="Y401" s="128"/>
      <c r="Z401" s="129"/>
      <c r="AA401" s="129"/>
      <c r="AB401" s="129"/>
      <c r="AC401" s="129"/>
      <c r="AD401" s="130"/>
      <c r="AE401" s="131">
        <f>IF(L401="","",IF(L402&gt;0,(SUM(((L400-1)*(1-_xlfn.XLOOKUP(K400,'Janeiro 2023 - Valor Real'!A3:A15,'Janeiro 2023 - Valor Real'!C3:C15,0))+1),((L401-1)*(1-_xlfn.XLOOKUP(K401,'Janeiro 2023 - Valor Real'!A3:A15,'Janeiro 2023 - Valor Real'!C3:C15,0))+1),((L402-1)*(1-_xlfn.XLOOKUP(K402,'Janeiro 2023 - Valor Real'!A3:A15,'Janeiro 2023 - Valor Real'!C3:C15,0))+1))/((L401-1)*(1-_xlfn.XLOOKUP(K401,'Janeiro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Real'!C3:C15,0))+1))/((L400-1)*(1-_xlfn.XLOOKUP(K400,'Janeiro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Real'!C3:C15,0))+1))/((L401-1)*(1-_xlfn.XLOOKUP(K401,'Janeiro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Real'!C3:C15,0))+1))/((L402-1)*(1-_xlfn.XLOOKUP(K402,'Janeiro 2023 - Valor Real'!A3:A15,'Janeiro 2023 - Valor Real'!C3:C15,0))+1)),IF(I401="Lay",IF(I400="Lay",((L400/(L400-1)-1)*(1-_xlfn.XLOOKUP(K400,'Janeiro 2023 - Valor Real'!A3:A15,'Janeiro 2023 - Valor Real'!C3:C15,0))+1)/(((L400/(L400-1)-1)*(1-_xlfn.XLOOKUP(K400,'Janeiro 2023 - Valor Real'!A3:A15,'Janeiro 2023 - Valor Real'!C3:C15,0))+1)+((L401/(L401-1)-1)*(1-_xlfn.XLOOKUP(K401,'Janeiro 2023 - Valor Real'!A3:A15,'Janeiro 2023 - Valor Real'!C3:C15,0))+1)),((L400-1)*(1-_xlfn.XLOOKUP(K400,'Janeiro 2023 - Valor Real'!A3:A15,'Janeiro 2023 - Valor Real'!C3:C15,0))+1)/(((L400-1)*(1-_xlfn.XLOOKUP(K400,'Janeiro 2023 - Valor Real'!A3:A15,'Janeiro 2023 - Valor Real'!C3:C15,0))+1)+((L401/(L401-1)-1)*(1-_xlfn.XLOOKUP(K401,'Janeiro 2023 - Valor Real'!A3:A15,'Janeiro 2023 - Valor Real'!C3:C15,0))+1))),IF(I400="Lay",((L400/(L400-1)-1)*(1-_xlfn.XLOOKUP(K400,'Janeiro 2023 - Valor Real'!A3:A15,'Janeiro 2023 - Valor Real'!C3:C15,0))+1)/((((L400/(L400-1)-1)*(1-_xlfn.XLOOKUP(K400,'Janeiro 2023 - Valor Real'!A3:A15,'Janeiro 2023 - Valor Real'!C3:C15,0))+1))+((L401-1)*(1-_xlfn.XLOOKUP(K401,'Janeiro 2023 - Valor Real'!A3:A15,'Janeiro 2023 - Valor Real'!C3:C15,0))+1)),((L400-1)*(1-_xlfn.XLOOKUP(K400,'Janeiro 2023 - Valor Real'!A3:A15,'Janeiro 2023 - Valor Real'!C3:C15,0))+1)/(((L400-1)*(1-_xlfn.XLOOKUP(K400,'Janeiro 2023 - Valor Real'!A3:A15,'Janeiro 2023 - Valor Real'!C3:C15,0))+1)+((L401-1)*(1-_xlfn.XLOOKUP(K401,'Janeiro 2023 - Valor Real'!A3:A15,'Janeiro 2023 - Valor Real'!C3:C15,0))+1))))))</f>
        <v>0.723938223938224</v>
      </c>
      <c r="AF401" s="132">
        <f>IF($K401=AF$3,ROUND(IF(OR($C401="W",$C401="1/2W",$C401="1/2L"),$P401-$O401,IF($C401="X",0,-$O401)),2),0)</f>
        <v>0</v>
      </c>
      <c r="AG401" s="133">
        <f>IF($K401=AG$3,ROUND(IF(OR($C401="W",$C401="1/2W",$C401="1/2L"),$P401-$O401,IF($C401="X",0,-$O401)),2),0)</f>
        <v>0</v>
      </c>
      <c r="AH401" s="133">
        <f>IF($K401=AH$3,ROUND(IF(OR($C401="W",$C401="1/2W",$C401="1/2L"),$P401-$O401,IF($C401="X",0,-$O401)),2),0)</f>
        <v>0</v>
      </c>
      <c r="AI401" s="133">
        <f>IF($K401=AI$3,ROUND(IF(OR($C401="W",$C401="1/2W",$C401="1/2L"),$P401-$O401,IF($C401="X",0,-$O401)),2),0)</f>
        <v>0</v>
      </c>
      <c r="AJ401" s="133">
        <f>IF($K401=AJ$3,ROUND(IF(OR($C401="W",$C401="1/2W",$C401="1/2L"),$P401-$O401,IF($C401="X",0,-$O401)),2),0)</f>
        <v>14.36</v>
      </c>
      <c r="AK401" s="133">
        <f>IF($K401=AK$3,ROUND(IF(OR($C401="W",$C401="1/2W",$C401="1/2L"),$P401-$O401,IF($C401="X",0,-$O401)),2),0)</f>
        <v>0</v>
      </c>
      <c r="AL401" s="133">
        <f>IF($K401=AL$3,ROUND(IF(OR($C401="W",$C401="1/2W",$C401="1/2L"),$P401-$O401,IF($C401="X",0,-$O401)),2),0)</f>
        <v>0</v>
      </c>
      <c r="AM401" s="133">
        <f>IF($K401=AM$3,ROUND(IF(OR($C401="W",$C401="1/2W",$C401="1/2L"),$P401-$O401,IF($C401="X",0,-$O401)),2),0)</f>
        <v>0</v>
      </c>
      <c r="AN401" s="133">
        <f>IF($K401=AN$3,ROUND(IF(OR($C401="W",$C401="1/2W",$C401="1/2L"),$P401-$O401,IF($C401="X",0,-$O401)),2),0)</f>
        <v>0</v>
      </c>
      <c r="AO401" s="133">
        <f>IF($K401=AO$3,ROUND(IF(OR($C401="W",$C401="1/2W",$C401="1/2L"),$P401-$O401,IF($C401="X",0,-$O401)),2),0)</f>
        <v>0</v>
      </c>
      <c r="AP401" s="133">
        <f>IF($K401=AP$3,ROUND(IF(OR($C401="W",$C401="1/2W",$C401="1/2L"),$P401-$O401,IF($C401="X",0,-$O401)),2),0)</f>
        <v>0</v>
      </c>
      <c r="AQ401" s="133">
        <f>IF($K401=AQ$3,ROUND(IF(OR($C401="W",$C401="1/2W",$C401="1/2L"),$P401-$O401,IF($C401="X",0,-$O401)),2),0)</f>
        <v>0</v>
      </c>
      <c r="AR401" s="134">
        <f>IF($K401=AR$3,ROUND(IF(OR($C401="W",$C401="1/2W",$C401="1/2L"),$P401-$O401,IF($C401="X",0,-$O401)),2),0)</f>
        <v>0</v>
      </c>
      <c r="AS401" s="132">
        <f>IF(AND($B400=" ",$K401=AS$3),$O401,0)</f>
        <v>0</v>
      </c>
      <c r="AT401" s="133">
        <f>IF(AND($B400=" ",K401=AT$3),$O401,0)</f>
        <v>0</v>
      </c>
      <c r="AU401" s="133">
        <f>IF(AND($B400=" ",$K401=AU$3),$O401,0)</f>
        <v>0</v>
      </c>
      <c r="AV401" s="133">
        <f>IF(AND($B400=" ",$K401=AV$3),$O401,0)</f>
        <v>0</v>
      </c>
      <c r="AW401" s="133">
        <f>IF(AND($B400=" ",$K401=AW$3),$O401,0)</f>
        <v>0</v>
      </c>
      <c r="AX401" s="133">
        <f>IF(AND($B400=" ",$K401=AX$3),$O401,0)</f>
        <v>0</v>
      </c>
      <c r="AY401" s="135">
        <f>IF(AND($B400=" ",$K401=AY$3),$O401,0)</f>
        <v>0</v>
      </c>
      <c r="AZ401" s="136">
        <f>IF(AND($B400=" ",$K401=AZ$3),$O401,0)</f>
        <v>0</v>
      </c>
      <c r="BA401" s="136">
        <f>IF(AND($B400=" ",$K401=BA$3),$O401,0)</f>
        <v>0</v>
      </c>
      <c r="BB401" s="136">
        <f>IF(AND($B400=" ",$K401=BB$3),$O401,0)</f>
        <v>0</v>
      </c>
      <c r="BC401" s="137">
        <f>IF(AND($B400=" ",$K401=BC$3),$O401,0)</f>
        <v>0</v>
      </c>
      <c r="BD401" s="133">
        <f>IF(AND($B400=" ",$K401=BD$3),$O401,0)</f>
        <v>0</v>
      </c>
      <c r="BE401" s="134">
        <f>IF(AND($B400=" ",$K401=BE$3),$O401,0)</f>
        <v>0</v>
      </c>
      <c r="BF401" s="132">
        <f>IF($K401=BF$3,IF($C401="X",0,$O401),0)</f>
        <v>0</v>
      </c>
      <c r="BG401" s="281">
        <f>IF($K401=BG$3,IF($C401="X",0,$O401),0)</f>
        <v>0</v>
      </c>
      <c r="BH401" s="133">
        <f>IF($K401=BH$3,IF($C401="X",0,$O401),0)</f>
        <v>0</v>
      </c>
      <c r="BI401" s="133">
        <f>IF($K401=BI$3,IF($C401="X",0,$O401),0)</f>
        <v>0</v>
      </c>
      <c r="BJ401" s="133">
        <f>IF($K401=BJ$3,IF($C401="X",0,$O401),0)</f>
        <v>33.4</v>
      </c>
      <c r="BK401" s="133">
        <f>IF($K401=BK$3,IF($C401="X",0,$O401),0)</f>
        <v>0</v>
      </c>
      <c r="BL401" s="133">
        <f>IF($K401=BL$3,IF($C401="X",0,$O401),0)</f>
        <v>0</v>
      </c>
      <c r="BM401" s="135">
        <f>IF($K401=BM$3,IF($C401="X",0,$O401),0)</f>
        <v>0</v>
      </c>
      <c r="BN401" s="136">
        <f>IF($K401=BN$3,IF($C401="X",0,$O401),0)</f>
        <v>0</v>
      </c>
      <c r="BO401" s="136">
        <f>IF($K401=BO$3,IF($C401="X",0,$O401),0)</f>
        <v>0</v>
      </c>
      <c r="BP401" s="136">
        <f>IF($K401=BP$3,IF($C401="X",0,$O401),0)</f>
        <v>0</v>
      </c>
      <c r="BQ401" s="137">
        <f>IF($K401=BQ$3,IF($C401="X",0,$O401),0)</f>
        <v>0</v>
      </c>
      <c r="BR401" s="134">
        <f>IF($K401=BR$3,IF($C401="X",0,$O401),0)</f>
        <v>0</v>
      </c>
      <c r="BS401" s="282"/>
      <c r="BT401" s="283"/>
      <c r="BU401" s="140"/>
      <c r="BV401" s="283"/>
      <c r="BW401" s="140"/>
      <c r="BX401" s="140"/>
      <c r="BY401" s="140"/>
      <c r="BZ401" s="283"/>
      <c r="CA401" s="140"/>
      <c r="CB401" s="140"/>
      <c r="CC401" s="140"/>
      <c r="CD401" s="141"/>
      <c r="CE401" s="142"/>
      <c r="CF401" s="284">
        <f>IF(CF$3=$K401,IF($C401="W",1,IF($C401="1/2W",0.5,0)),0)</f>
        <v>0</v>
      </c>
      <c r="CG401" s="285">
        <f>IF(CF$3=$K401,IF($C401="L",1,IF($C401="1/2L",0.5,0)),0)</f>
        <v>0</v>
      </c>
      <c r="CH401" s="285">
        <f>IF(CH$3=$K401,IF($C401="W",1,IF($C401="1/2W",0.5,0)),0)</f>
        <v>0</v>
      </c>
      <c r="CI401" s="285">
        <f>IF(CH$3=$K401,IF($C401="L",1,IF($C401="1/2L",0.5,0)),0)</f>
        <v>0</v>
      </c>
      <c r="CJ401" s="285">
        <f>IF(CJ$3=$K401,IF($C401="W",1,IF($C401="1/2W",0.5,0)),0)</f>
        <v>0</v>
      </c>
      <c r="CK401" s="285">
        <f>IF(CJ$3=$K401,IF($C401="L",1,IF($C401="1/2L",0.5,0)),0)</f>
        <v>0</v>
      </c>
      <c r="CL401" s="285">
        <f>IF(CL$3=$K401,IF($C401="W",1,IF($C401="1/2W",0.5,0)),0)</f>
        <v>0</v>
      </c>
      <c r="CM401" s="285">
        <f>IF(CL$3=$K401,IF($C401="L",1,IF($C401="1/2L",0.5,0)),0)</f>
        <v>0</v>
      </c>
      <c r="CN401" s="285">
        <f>IF(CN$3=$K401,IF($C401="W",1,IF($C401="1/2W",0.5,0)),0)</f>
        <v>1</v>
      </c>
      <c r="CO401" s="285">
        <f>IF(CN$3=$K401,IF($C401="L",1,IF($C401="1/2L",0.5,0)),0)</f>
        <v>0</v>
      </c>
      <c r="CP401" s="285">
        <f>IF(CP$3=$K401,IF($C401="W",1,IF($C401="1/2W",0.5,0)),0)</f>
        <v>0</v>
      </c>
      <c r="CQ401" s="285">
        <f>IF(CP$3=$K401,IF($C401="L",1,IF($C401="1/2L",0.5,0)),0)</f>
        <v>0</v>
      </c>
      <c r="CR401" s="285">
        <f>IF(CR$3=$K401,IF($C401="W",1,IF($C401="1/2W",0.5,0)),0)</f>
        <v>0</v>
      </c>
      <c r="CS401" s="285">
        <f>IF(CR$3=$K401,IF($C401="L",1,IF($C401="1/2L",0.5,0)),0)</f>
        <v>0</v>
      </c>
      <c r="CT401" s="145">
        <f>IF(CT$3=$K401,IF($C401="W",1,IF($C401="1/2W",0.5,0)),0)</f>
        <v>0</v>
      </c>
      <c r="CU401" s="146">
        <f>IF(CT$3=$K401,IF($C401="L",1,IF($C401="1/2L",0.5,0)),0)</f>
        <v>0</v>
      </c>
      <c r="CV401" s="146">
        <f>IF(CV$3=$K401,IF($C401="W",1,IF($C401="1/2W",0.5,0)),0)</f>
        <v>0</v>
      </c>
      <c r="CW401" s="146">
        <f>IF(CV$3=$K401,IF($C401="L",1,IF($C401="1/2L",0.5,0)),0)</f>
        <v>0</v>
      </c>
      <c r="CX401" s="146">
        <f>IF(CX$3=$K401,IF($C401="W",1,IF($C401="1/2W",0.5,0)),0)</f>
        <v>0</v>
      </c>
      <c r="CY401" s="146">
        <f>IF(CX$3=$K401,IF($C401="L",1,IF($C401="1/2L",0.5,0)),0)</f>
        <v>0</v>
      </c>
      <c r="CZ401" s="146">
        <f>IF(CZ$3=$K401,IF($C401="W",1,IF($C401="1/2W",0.5,0)),0)</f>
        <v>0</v>
      </c>
      <c r="DA401" s="146">
        <f>IF(CZ$3=$K401,IF($C401="L",1,IF($C401="1/2L",0.5,0)),0)</f>
        <v>0</v>
      </c>
      <c r="DB401" s="146">
        <f>IF(DB$3=$K401,IF($C401="W",1,IF($C401="1/2W",0.5,0)),0)</f>
        <v>0</v>
      </c>
      <c r="DC401" s="146">
        <f>IF(DB$3=$K401,IF($C401="L",1,IF($C401="1/2L",0.5,0)),0)</f>
        <v>0</v>
      </c>
      <c r="DD401" s="146">
        <f>IF(DD$3=$K401,IF($C401="W",1,IF($C401="1/2W",0.5,0)),0)</f>
        <v>0</v>
      </c>
      <c r="DE401" s="147">
        <f>IF(DD$3=$K401,IF($C401="L",1,IF($C401="1/2L",0.5,0)),0)</f>
        <v>0</v>
      </c>
      <c r="DF401" s="143">
        <f>IF(AND(L401&lt;DF$3,$C401="W"),1+DF400,DF400)</f>
        <v>13</v>
      </c>
      <c r="DG401" s="133">
        <f>IF(DF401&gt;DF400,L401+DG400,DG400)</f>
        <v>17.148</v>
      </c>
      <c r="DH401" s="146">
        <f>IF(AND(L401&gt;DH$3,$C401="W"),1+DH400,0+DH400)</f>
        <v>10</v>
      </c>
      <c r="DI401" s="133">
        <f>IF(DH401&gt;DH400,L401+DI400,DI400)</f>
        <v>55.13</v>
      </c>
      <c r="DJ401" t="s" s="304">
        <f>IF($D400="","",$D400)</f>
        <v>307</v>
      </c>
      <c r="DK401" s="286"/>
    </row>
    <row r="402" ht="14.55" customHeight="1">
      <c r="A402" s="149"/>
      <c r="B402" s="150"/>
      <c r="C402" t="s" s="151">
        <v>58</v>
      </c>
      <c r="D402" s="152"/>
      <c r="E402" s="153"/>
      <c r="F402" s="155"/>
      <c r="G402" s="252"/>
      <c r="H402" s="156"/>
      <c r="I402" s="287"/>
      <c r="J402" s="288"/>
      <c r="K402" s="156"/>
      <c r="L402" s="289"/>
      <c r="M402" s="290"/>
      <c r="N402" s="161"/>
      <c r="O402" t="s" s="162">
        <f>IF(OR(AE400="",AE401=""),"",IF(L402&gt;0,ROUND(IF(M402&gt;0,M402,IF(M400&gt;0,ROUND((M400*AE402)/AE400,IF(N400=0,2,IF(N400=0.1,1,0))),IF(M401&gt;0,ROUND((M401*AE402)/AE401,IF(N400=0,2,IF(N400=0.1,1,0))),IF(M402&gt;0,M402,0)))),2),""))</f>
      </c>
      <c r="P402" t="s" s="163">
        <f>IF(I401="Lay",O401*(L401/(L401-1))-O401,IF(I400="Lay",O400*(L400/(L400-1))-O400,IF(OR(L402="",O402=""),"",IF($C402="1/2W",O402/2+O402/2*L402,IF($C402="1/2L",O402/2,(O402*L402-O402)*(1-_xlfn.XLOOKUP(K402,'Janeiro 2023 - Valor Real'!A3:A15,'Janeiro 2023 - Valor Real'!C3:C15,0))+O402)))))</f>
      </c>
      <c r="Q402" t="s" s="154">
        <f>IF(K402="","",IF(_xlfn.XLOOKUP(K402,K$121:K181,DJ$121:DJ181,0,,-1)=DJ402,_xlfn.XLOOKUP(K402,K$121:K181,Q$121:Q181,1,,-1)+1,1))</f>
      </c>
      <c r="R402" t="s" s="163">
        <f>IF(K402="","",_xlfn.XLOOKUP(K402,K$121:K181,R$121:R181,0,,-1)+IF($C402=" ",1,0))</f>
      </c>
      <c r="S402" s="166"/>
      <c r="T402" s="155"/>
      <c r="U402" s="155"/>
      <c r="V402" s="166"/>
      <c r="W402" s="155"/>
      <c r="X402" s="167"/>
      <c r="Y402" s="128"/>
      <c r="Z402" s="129"/>
      <c r="AA402" s="129"/>
      <c r="AB402" s="129"/>
      <c r="AC402" s="129"/>
      <c r="AD402" s="168"/>
      <c r="AE402" t="s" s="169">
        <f>IF(L402="","",(SUM(((L400-1)*(1-_xlfn.XLOOKUP(K400,'Janeiro 2023 - Valor Real'!A3:A15,'Janeiro 2023 - Valor Real'!C3:C15,0))+1),((L401-1)*(1-_xlfn.XLOOKUP(K401,'Janeiro 2023 - Valor Real'!A3:A15,'Janeiro 2023 - Valor Real'!C3:C15,0))+1),((L402-1)*(1-_xlfn.XLOOKUP(K402,'Janeiro 2023 - Valor Real'!A3:A15,'Janeiro 2023 - Valor Real'!C3:C15,0))+1))/((L402-1)*(1-_xlfn.XLOOKUP(K402,'Janeiro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Real'!C3:C15,0))+1))/((L400-1)*(1-_xlfn.XLOOKUP(K400,'Janeiro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Real'!C3:C15,0))+1))/((L401-1)*(1-_xlfn.XLOOKUP(K401,'Janeiro 2023 - Valor Real'!A3:A15,'Janeiro 2023 - Valor Real'!C3:C15,0))+1)+SUM(((L400-1)*(1-_xlfn.XLOOKUP(K400,'Janeiro 2023 - Valor Real'!A3:A15,'Janeiro 2023 - Valor Real'!C3:C15,0))+1),((L401-1)*(1-_xlfn.XLOOKUP(K401,'Janeiro 2023 - Valor Real'!A3:A15,'Janeiro 2023 - Valor Real'!C3:C15,0))+1),((L402-1)*(1-_xlfn.XLOOKUP(K402,'Janeiro 2023 - Valor Real'!A3:A15,'Janeiro 2023 - Valor Real'!C3:C15,0))+1))/((L402-1)*(1-_xlfn.XLOOKUP(K402,'Janeiro 2023 - Valor Real'!A3:A15,'Janeiro 2023 - Valor Real'!C3:C15,0))+1)))</f>
      </c>
      <c r="AF402" s="132">
        <f>IF($K402=AF$3,ROUND(IF(OR($C402="W",$C402="1/2W",$C402="1/2L"),$P402-$O402,IF($C402="X",0,-$O402)),2),0)</f>
        <v>0</v>
      </c>
      <c r="AG402" s="133">
        <f>IF($K402=AG$3,ROUND(IF(OR($C402="W",$C402="1/2W",$C402="1/2L"),$P402-$O402,IF($C402="X",0,-$O402)),2),0)</f>
        <v>0</v>
      </c>
      <c r="AH402" s="133">
        <f>IF($K402=AH$3,ROUND(IF(OR($C402="W",$C402="1/2W",$C402="1/2L"),$P402-$O402,IF($C402="X",0,-$O402)),2),0)</f>
        <v>0</v>
      </c>
      <c r="AI402" s="133">
        <f>IF($K402=AI$3,ROUND(IF(OR($C402="W",$C402="1/2W",$C402="1/2L"),$P402-$O402,IF($C402="X",0,-$O402)),2),0)</f>
        <v>0</v>
      </c>
      <c r="AJ402" s="133">
        <f>IF($K402=AJ$3,ROUND(IF(OR($C402="W",$C402="1/2W",$C402="1/2L"),$P402-$O402,IF($C402="X",0,-$O402)),2),0)</f>
        <v>0</v>
      </c>
      <c r="AK402" s="133">
        <f>IF($K402=AK$3,ROUND(IF(OR($C402="W",$C402="1/2W",$C402="1/2L"),$P402-$O402,IF($C402="X",0,-$O402)),2),0)</f>
        <v>0</v>
      </c>
      <c r="AL402" s="133">
        <f>IF($K402=AL$3,ROUND(IF(OR($C402="W",$C402="1/2W",$C402="1/2L"),$P402-$O402,IF($C402="X",0,-$O402)),2),0)</f>
        <v>0</v>
      </c>
      <c r="AM402" s="133">
        <f>IF($K402=AM$3,ROUND(IF(OR($C402="W",$C402="1/2W",$C402="1/2L"),$P402-$O402,IF($C402="X",0,-$O402)),2),0)</f>
        <v>0</v>
      </c>
      <c r="AN402" s="133">
        <f>IF($K402=AN$3,ROUND(IF(OR($C402="W",$C402="1/2W",$C402="1/2L"),$P402-$O402,IF($C402="X",0,-$O402)),2),0)</f>
        <v>0</v>
      </c>
      <c r="AO402" s="133">
        <f>IF($K402=AO$3,ROUND(IF(OR($C402="W",$C402="1/2W",$C402="1/2L"),$P402-$O402,IF($C402="X",0,-$O402)),2),0)</f>
        <v>0</v>
      </c>
      <c r="AP402" s="133">
        <f>IF($K402=AP$3,ROUND(IF(OR($C402="W",$C402="1/2W",$C402="1/2L"),$P402-$O402,IF($C402="X",0,-$O402)),2),0)</f>
        <v>0</v>
      </c>
      <c r="AQ402" s="133">
        <f>IF($K402=AQ$3,ROUND(IF(OR($C402="W",$C402="1/2W",$C402="1/2L"),$P402-$O402,IF($C402="X",0,-$O402)),2),0)</f>
        <v>0</v>
      </c>
      <c r="AR402" s="134">
        <f>IF($K402=AR$3,ROUND(IF(OR($C402="W",$C402="1/2W",$C402="1/2L"),$P402-$O402,IF($C402="X",0,-$O402)),2),0)</f>
        <v>0</v>
      </c>
      <c r="AS402" s="132">
        <f>IF(AND($B400=" ",$K402=AS$3),$O402,0)</f>
        <v>0</v>
      </c>
      <c r="AT402" s="133">
        <f>IF(AND($B400=" ",K402=AT$3),$O402,0)</f>
        <v>0</v>
      </c>
      <c r="AU402" s="133">
        <f>IF(AND($B400=" ",$K402=AU$3),$O402,0)</f>
        <v>0</v>
      </c>
      <c r="AV402" s="133">
        <f>IF(AND($B400=" ",$K402=AV$3),$O402,0)</f>
        <v>0</v>
      </c>
      <c r="AW402" s="133">
        <f>IF(AND($B400=" ",$K402=AW$3),$O402,0)</f>
        <v>0</v>
      </c>
      <c r="AX402" s="133">
        <f>IF(AND($B400=" ",$K402=AX$3),$O402,0)</f>
        <v>0</v>
      </c>
      <c r="AY402" s="135">
        <f>IF(AND($B400=" ",$K402=AY$3),$O402,0)</f>
        <v>0</v>
      </c>
      <c r="AZ402" s="136">
        <f>IF(AND($B400=" ",$K402=AZ$3),$O402,0)</f>
        <v>0</v>
      </c>
      <c r="BA402" s="136">
        <f>IF(AND($B400=" ",$K402=BA$3),$O402,0)</f>
        <v>0</v>
      </c>
      <c r="BB402" s="136">
        <f>IF(AND($B400=" ",$K402=BB$3),$O402,0)</f>
        <v>0</v>
      </c>
      <c r="BC402" s="137">
        <f>IF(AND($B400=" ",$K402=BC$3),$O402,0)</f>
        <v>0</v>
      </c>
      <c r="BD402" s="133">
        <f>IF(AND($B400=" ",$K402=BD$3),$O402,0)</f>
        <v>0</v>
      </c>
      <c r="BE402" s="134">
        <f>IF(AND($B400=" ",$K402=BE$3),$O402,0)</f>
        <v>0</v>
      </c>
      <c r="BF402" s="132">
        <f>IF($K402=BF$3,IF($C402="X",0,$O402),0)</f>
        <v>0</v>
      </c>
      <c r="BG402" s="281">
        <f>IF($K402=BG$3,IF($C402="X",0,$O402),0)</f>
        <v>0</v>
      </c>
      <c r="BH402" s="133">
        <f>IF($K402=BH$3,IF($C402="X",0,$O402),0)</f>
        <v>0</v>
      </c>
      <c r="BI402" s="133">
        <f>IF($K402=BI$3,IF($C402="X",0,$O402),0)</f>
        <v>0</v>
      </c>
      <c r="BJ402" s="133">
        <f>IF($K402=BJ$3,IF($C402="X",0,$O402),0)</f>
        <v>0</v>
      </c>
      <c r="BK402" s="133">
        <f>IF($K402=BK$3,IF($C402="X",0,$O402),0)</f>
        <v>0</v>
      </c>
      <c r="BL402" s="133">
        <f>IF($K402=BL$3,IF($C402="X",0,$O402),0)</f>
        <v>0</v>
      </c>
      <c r="BM402" s="135">
        <f>IF($K402=BM$3,IF($C402="X",0,$O402),0)</f>
        <v>0</v>
      </c>
      <c r="BN402" s="136">
        <f>IF($K402=BN$3,IF($C402="X",0,$O402),0)</f>
        <v>0</v>
      </c>
      <c r="BO402" s="136">
        <f>IF($K402=BO$3,IF($C402="X",0,$O402),0)</f>
        <v>0</v>
      </c>
      <c r="BP402" s="136">
        <f>IF($K402=BP$3,IF($C402="X",0,$O402),0)</f>
        <v>0</v>
      </c>
      <c r="BQ402" s="137">
        <f>IF($K402=BQ$3,IF($C402="X",0,$O402),0)</f>
        <v>0</v>
      </c>
      <c r="BR402" s="134">
        <f>IF($K402=BR$3,IF($C402="X",0,$O402),0)</f>
        <v>0</v>
      </c>
      <c r="BS402" s="282"/>
      <c r="BT402" s="283"/>
      <c r="BU402" s="140"/>
      <c r="BV402" s="283"/>
      <c r="BW402" s="140"/>
      <c r="BX402" s="140"/>
      <c r="BY402" s="140"/>
      <c r="BZ402" s="283"/>
      <c r="CA402" s="140"/>
      <c r="CB402" s="140"/>
      <c r="CC402" s="140"/>
      <c r="CD402" s="141"/>
      <c r="CE402" s="142"/>
      <c r="CF402" s="284">
        <f>IF(CF$3=$K402,IF($C402="W",1,IF($C402="1/2W",0.5,0)),0)</f>
        <v>0</v>
      </c>
      <c r="CG402" s="285">
        <f>IF(CF$3=$K402,IF($C402="L",1,IF($C402="1/2L",0.5,0)),0)</f>
        <v>0</v>
      </c>
      <c r="CH402" s="285">
        <f>IF(CH$3=$K402,IF($C402="W",1,IF($C402="1/2W",0.5,0)),0)</f>
        <v>0</v>
      </c>
      <c r="CI402" s="285">
        <f>IF(CH$3=$K402,IF($C402="L",1,IF($C402="1/2L",0.5,0)),0)</f>
        <v>0</v>
      </c>
      <c r="CJ402" s="285">
        <f>IF(CJ$3=$K402,IF($C402="W",1,IF($C402="1/2W",0.5,0)),0)</f>
        <v>0</v>
      </c>
      <c r="CK402" s="285">
        <f>IF(CJ$3=$K402,IF($C402="L",1,IF($C402="1/2L",0.5,0)),0)</f>
        <v>0</v>
      </c>
      <c r="CL402" s="285">
        <f>IF(CL$3=$K402,IF($C402="W",1,IF($C402="1/2W",0.5,0)),0)</f>
        <v>0</v>
      </c>
      <c r="CM402" s="285">
        <f>IF(CL$3=$K402,IF($C402="L",1,IF($C402="1/2L",0.5,0)),0)</f>
        <v>0</v>
      </c>
      <c r="CN402" s="285">
        <f>IF(CN$3=$K402,IF($C402="W",1,IF($C402="1/2W",0.5,0)),0)</f>
        <v>0</v>
      </c>
      <c r="CO402" s="285">
        <f>IF(CN$3=$K402,IF($C402="L",1,IF($C402="1/2L",0.5,0)),0)</f>
        <v>0</v>
      </c>
      <c r="CP402" s="285">
        <f>IF(CP$3=$K402,IF($C402="W",1,IF($C402="1/2W",0.5,0)),0)</f>
        <v>0</v>
      </c>
      <c r="CQ402" s="285">
        <f>IF(CP$3=$K402,IF($C402="L",1,IF($C402="1/2L",0.5,0)),0)</f>
        <v>0</v>
      </c>
      <c r="CR402" s="285">
        <f>IF(CR$3=$K402,IF($C402="W",1,IF($C402="1/2W",0.5,0)),0)</f>
        <v>0</v>
      </c>
      <c r="CS402" s="285">
        <f>IF(CR$3=$K402,IF($C402="L",1,IF($C402="1/2L",0.5,0)),0)</f>
        <v>0</v>
      </c>
      <c r="CT402" s="145">
        <f>IF(CT$3=$K402,IF($C402="W",1,IF($C402="1/2W",0.5,0)),0)</f>
        <v>0</v>
      </c>
      <c r="CU402" s="146">
        <f>IF(CT$3=$K402,IF($C402="L",1,IF($C402="1/2L",0.5,0)),0)</f>
        <v>0</v>
      </c>
      <c r="CV402" s="146">
        <f>IF(CV$3=$K402,IF($C402="W",1,IF($C402="1/2W",0.5,0)),0)</f>
        <v>0</v>
      </c>
      <c r="CW402" s="146">
        <f>IF(CV$3=$K402,IF($C402="L",1,IF($C402="1/2L",0.5,0)),0)</f>
        <v>0</v>
      </c>
      <c r="CX402" s="146">
        <f>IF(CX$3=$K402,IF($C402="W",1,IF($C402="1/2W",0.5,0)),0)</f>
        <v>0</v>
      </c>
      <c r="CY402" s="146">
        <f>IF(CX$3=$K402,IF($C402="L",1,IF($C402="1/2L",0.5,0)),0)</f>
        <v>0</v>
      </c>
      <c r="CZ402" s="146">
        <f>IF(CZ$3=$K402,IF($C402="W",1,IF($C402="1/2W",0.5,0)),0)</f>
        <v>0</v>
      </c>
      <c r="DA402" s="146">
        <f>IF(CZ$3=$K402,IF($C402="L",1,IF($C402="1/2L",0.5,0)),0)</f>
        <v>0</v>
      </c>
      <c r="DB402" s="146">
        <f>IF(DB$3=$K402,IF($C402="W",1,IF($C402="1/2W",0.5,0)),0)</f>
        <v>0</v>
      </c>
      <c r="DC402" s="146">
        <f>IF(DB$3=$K402,IF($C402="L",1,IF($C402="1/2L",0.5,0)),0)</f>
        <v>0</v>
      </c>
      <c r="DD402" s="146">
        <f>IF(DD$3=$K402,IF($C402="W",1,IF($C402="1/2W",0.5,0)),0)</f>
        <v>0</v>
      </c>
      <c r="DE402" s="147">
        <f>IF(DD$3=$K402,IF($C402="L",1,IF($C402="1/2L",0.5,0)),0)</f>
        <v>0</v>
      </c>
      <c r="DF402" s="143">
        <f>IF(AND(L402&lt;DF$3,$C402="W"),1+DF401,DF401)</f>
        <v>13</v>
      </c>
      <c r="DG402" s="133">
        <f>IF(DF402&gt;DF401,L402+DG401,DG401)</f>
        <v>17.148</v>
      </c>
      <c r="DH402" s="146">
        <f>IF(AND(L402&gt;DH$3,$C402="W"),1+DH401,0+DH401)</f>
        <v>10</v>
      </c>
      <c r="DI402" s="133">
        <f>IF(DH402&gt;DH401,L402+DI401,DI401)</f>
        <v>55.13</v>
      </c>
      <c r="DJ402" t="s" s="304">
        <f>IF($D400="","",$D400)</f>
        <v>307</v>
      </c>
      <c r="DK402" s="286"/>
    </row>
    <row r="403" ht="14.55" customHeight="1">
      <c r="A403" s="171">
        <f>$A400+1</f>
        <v>134</v>
      </c>
      <c r="B403" t="s" s="172">
        <f>IF(AND(_xlfn.XLOOKUP(H403,H$122:H176,G$122:G176,0)=G403,_xlfn.XLOOKUP("TempoBet",K403:K405,L403:L405,0)&gt;0),"X",IF(OR(C403="W",C404="W",C405="W",C403="1/2W",C404="1/2W",C405="1/2W",C403="1/2L",C404="1/2L",C405="1/2L"),"OK",IF(OR(C403="L",C404="L",C405="L"),"LOSS",IF(OR(C403="X",C404="X",C405="X"),"Anulado"," "))))</f>
        <v>50</v>
      </c>
      <c r="C403" t="s" s="173">
        <v>56</v>
      </c>
      <c r="D403" t="s" s="305">
        <f>IF(G403="","",$D400)</f>
        <v>307</v>
      </c>
      <c r="E403" t="s" s="175">
        <f>IF(G403=""," ","– "&amp;COUNTIF(D$4:D405,$D403))</f>
        <v>96</v>
      </c>
      <c r="F403" t="s" s="176"/>
      <c r="G403" s="177">
        <v>44950.291666666664</v>
      </c>
      <c r="H403" t="s" s="178">
        <v>330</v>
      </c>
      <c r="I403" s="298">
        <v>2</v>
      </c>
      <c r="J403" s="180"/>
      <c r="K403" t="s" s="181">
        <v>48</v>
      </c>
      <c r="L403" s="182">
        <v>1.4</v>
      </c>
      <c r="M403" s="183">
        <v>66.05</v>
      </c>
      <c r="N403" s="184">
        <v>0</v>
      </c>
      <c r="O403" s="185">
        <f>IF(OR(AE403="",AE404=""),"",ROUND(IF(L405&gt;0,IF(M403&gt;0,M403,IF(M404&gt;0,ROUND((M404*AE403)/AE404,IF(N403=0,2,IF(N403=0.1,1,0))),ROUND((M405*AE403)/AE405,IF(N403=0,2,IF(N403=0.1,1,0))))),IF(M403&gt;0,M403,ROUND((M404*AE403)/AE404,IF(N403=0,2,IF(N403=0.1,1,0))))),2))</f>
        <v>66.05</v>
      </c>
      <c r="P403" s="186">
        <f>IF(OR(L403="",O403=""),"",IF($C403="1/2W",O403/2+O403/2*L403,IF($C403="1/2L",O403/2,IF(I403="Lay",(O403*(L403/(L403-1))-O403)*(1-_xlfn.XLOOKUP(K403,'Janeiro 2023 - Valor Real'!A3:A15,'Janeiro 2023 - Valor Real'!C3:C15,0))+O403,(O403*L403-O403)*(1-_xlfn.XLOOKUP(K403,'Janeiro 2023 - Valor Real'!A3:A15,'Janeiro 2023 - Valor Real'!C3:C15,0))+O403))))</f>
        <v>92.47</v>
      </c>
      <c r="Q403" s="187">
        <f>IF(K403="","",IF(_xlfn.XLOOKUP(K403,K$122:K176,DJ$122:DJ176,0,,-1)=DJ403,_xlfn.XLOOKUP(K403,K$122:K176,Q$122:Q176,1,,-1)+1,1))</f>
        <v>1</v>
      </c>
      <c r="R403" s="188">
        <f>IF(K403="","",_xlfn.XLOOKUP(K403,K$122:K176,R$122:R176,0,,-1)+IF($C403=" ",1,0))</f>
        <v>0</v>
      </c>
      <c r="S403" s="189">
        <f>IF($B403="Anulado",0,ROUND(IF(OR($B403="LOSS",$B403="OK"),IF(OR($C403="W",$C403="1/2W",$C403="1/2L"),P403-O403,IF($C403="L",-O403,0))+IF(OR($C404="W",$C404="1/2W",$C404="1/2L"),P404-O404,IF($C404="L",-O404,0))+IF(OR($C405="W",$C405="1/2W",$C405="1/2L"),P405-O405,IF($C405="L",-O405,0)),IF(AND(OR($C403="W",$C403="1/2W",$C403="1/2L"),C404="W"),P403+P404-SUM(O403:O405)+_xlfn.XLOOKUP("X",C403:C405,O403:O405,0),IF(AND(C403=TRUE,C405="W"),P403+P405-SUM(O403:O405),IF(AND(C404="W",C405="W"),P404+P405-SUM(O403:O405)+_xlfn.XLOOKUP("X",C403:C405,O403:O405,0),IF(L405&gt;0,IF(OR($C403="W",$C403="1/2W",$C403="1/2L"),P403-SUM(O403:O405)+_xlfn.XLOOKUP("X",C403:C405,O403:O405,0),IF(OR($C403="W",$C403="1/2W",$C403="1/2L"),P404-SUM(O403:O405)+_xlfn.XLOOKUP("X",C403:C405,O403:O405,0),IF(OR($C403="W",$C403="1/2W",$C403="1/2L"),P405-SUM(O403:O405)+_xlfn.XLOOKUP("X",C403:C405,O403:O405,0),IF(SUM(P403:P405)/3-SUM(O403:O405)+_xlfn.XLOOKUP("X",C403:C405,O403:O405,0)&gt;0,SUM(P403:P405)/3-SUM(O403:O405)+_xlfn.XLOOKUP("X",C403:C405,O403:O405,0),LARGE(P403:P405,1)-SUM(O403:O405))))),IF(OR($C403="W",$C403="1/2W",$C403="1/2L"),P403-SUM(O403:O404)+_xlfn.XLOOKUP("X",C403:C405,O403:O405,0),IF(OR($C403="W",$C403="1/2W",$C403="1/2L"),P404-SUM(O403:O404)+_xlfn.XLOOKUP("X",C403:C405,O403:O405,0),SUM(P403:P404)/2-SUM(O403:O404)+_xlfn.XLOOKUP("X",C403:C405,O403:O405,0)))))))),2))</f>
        <v>5.42</v>
      </c>
      <c r="T403" s="190">
        <f>IF(S403=0,0,S403/SUM(O403:O405))</f>
        <v>0.062263067202757</v>
      </c>
      <c r="U403" s="191">
        <f>IF($D403=$D400,IF(OR($B403="LOSS",$B403="OK",$B403="Anulada"),S403,0)+U400,IF(OR($B403="LOSS",$B403="OK",$B403="Anulada"),S403,0))</f>
        <v>27.55</v>
      </c>
      <c r="V403" s="191">
        <f>IF($D403="",0,IF($D403=$D400,IF($B403=" ",IF(I405="",IF(OR(AND(I403="DNB1",I404="DNB2"),AND(OR(I403="DNB1",I403="DNB2"),J404=0),AND(OR(I404="DNB1",I404="DNB2"),J403=0),AND(I403="DNB2",I404="DNB1"),AND(IF(J403=0,(J403+1)/ROUND(J403+1,0),J403/ROUND(J403,0))=1,IF(J404=0,(J404+1)/ROUND(IF(J404="",0,J404)+1,0),IF(J404="",0,J404)/ROUND(IF(J404="",1,J404),0))=1,OR(J403&lt;&gt;""),J404&lt;&gt;"")),0,IF(S403&lt;0,IF(I405="",SMALL(P403:P404,1)-SUM(O403:O404),0),SMALL(P403:P404,1)-SUM(O403:O404))),IF(S403&lt;0,IF(I405="",SMALL(P403:P405,1)-SUM(O403:O405),0),LARGE(P403:P405,1)-SUM(O403:O405))),S403)+V400,IF(I405="",IF(OR(AND(I403="DNB1",I404="DNB2"),AND(OR(I403="DNB1",I403="DNB2"),J404=0),AND(OR(I404="DNB1",I404="DNB2"),J403=0),AND(I403="DNB2",I404="DNB1"),AND(IF(J403=0,(J403+1)/ROUND(J403+1,0),J403/ROUND(J403,0))=1,IF(J404=0,(IF(J404="",0,J404)+1)/ROUND(IF(J404="",0,J404)+1,0),IF(J404="",0,J404)/ROUND(IF(J404="",0,J404)+1,0))=1,OR(J403&lt;&gt;""),J404&lt;&gt;"")),0,IF(S403&lt;0,IF(I405="",SMALL(P403:P404,1)-SUM(O403:O404),0),SMALL(P403:P405,1)-SUM(O403:O405))),IF(S403&lt;0,IF(I405="",SMALL(P403:P405,1)-SUM(O403:O405),0),LARGE(P403:P405,1)-SUM(O403:O405)))))</f>
        <v>27.55225</v>
      </c>
      <c r="W403" s="191">
        <f>IF($D403=$D400,IF(S403&lt;0,IF(I405="",S403,0),S403)+W400,S403)</f>
        <v>27.55</v>
      </c>
      <c r="X403" t="s" s="192">
        <f>IF(OR(SUM(R403:R405)=0,V403=W403),ROUND(IF(W403=0,0,W403/Y403)*100,2)&amp;"%",ROUND(IF(V403=0,0,V403/Y403)*100,2)&amp;"% a "&amp;ROUND(IF(W403=0,0,W403/Y403)*100,2)&amp;"%")</f>
        <v>331</v>
      </c>
      <c r="Y403" s="193">
        <f>IF($D403=$D400,Y400+SUM(O403:O405),SUM(O403:O405))</f>
        <v>403.28</v>
      </c>
      <c r="Z403" s="191">
        <f>IF($B403=" ",SUM(O403:O405),0)+Z400</f>
        <v>0</v>
      </c>
      <c r="AA403" s="191">
        <f>IF(G403="","",IF($B403="Anulado",LARGE(P403:P405,1)-SUM(O403:O405)+AA400,AA400))</f>
        <v>16.5099</v>
      </c>
      <c r="AB403" s="191">
        <f>IF($D403="","",AB400+S403)</f>
        <v>279.22</v>
      </c>
      <c r="AC403" s="194">
        <f>IF($D403="","",IF($B403=" ",IF(DAY(G403)=DAY(TODAY()),1+AC400,0+AC400),0+AC400))</f>
        <v>0</v>
      </c>
      <c r="AD403" s="195">
        <f>(((L404/(L404-1)-1)*(1-_xlfn.XLOOKUP(K404,'Janeiro 2023 - Valor Real'!A3:A15,'Janeiro 2023 - Valor Real'!C3:C15,0))+1))/(((L403-1)*(1-_xlfn.XLOOKUP(K403,'Janeiro 2023 - Valor Real'!A3:A15,'Janeiro 2023 - Valor Real'!C3:C15,0))+1)+((L404/(L404-1)-1)*(1-_xlfn.XLOOKUP(K404,'Janeiro 2023 - Valor Real'!A3:A15,'Janeiro 2023 - Valor Real'!C3:C15,0))+1))</f>
        <v>0.482416591523895</v>
      </c>
      <c r="AE403" s="196">
        <f>IF(L403="","",IF(L405&gt;0,(SUM(((L403-1)*(1-_xlfn.XLOOKUP(K403,'Janeiro 2023 - Valor Real'!A3:A15,'Janeiro 2023 - Valor Real'!C3:C15,0))+1),((L404-1)*(1-_xlfn.XLOOKUP(K404,'Janeiro 2023 - Valor Real'!A3:A15,'Janeiro 2023 - Valor Real'!C3:C15,0))+1),((L405-1)*(1-_xlfn.XLOOKUP(K405,'Janeiro 2023 - Valor Real'!A3:A15,'Janeiro 2023 - Valor Real'!C3:C15,0))+1))/((L403-1)*(1-_xlfn.XLOOKUP(K403,'Janeiro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Real'!C3:C15,0))+1))/((L403-1)*(1-_xlfn.XLOOKUP(K403,'Janeiro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Real'!C3:C15,0))+1))/((L404-1)*(1-_xlfn.XLOOKUP(K404,'Janeiro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Real'!C3:C15,0))+1))/((L405-1)*(1-_xlfn.XLOOKUP(K405,'Janeiro 2023 - Valor Real'!A3:A15,'Janeiro 2023 - Valor Real'!C3:C15,0))+1)),IF(I403="Lay",IF(I404="Lay",((L404/(L404-1)-1)*(1-_xlfn.XLOOKUP(K404,'Janeiro 2023 - Valor Real'!A3:A15,'Janeiro 2023 - Valor Real'!C3:C15,0))+1)/(((L404/(L404-1)-1)*(1-_xlfn.XLOOKUP(K404,'Janeiro 2023 - Valor Real'!A3:A15,'Janeiro 2023 - Valor Real'!C3:C15,0))+1)+((L403/(L403-1)-1)*(1-_xlfn.XLOOKUP(K403,'Janeiro 2023 - Valor Real'!A3:A15,'Janeiro 2023 - Valor Real'!C3:C15,0))+1)),((L404-1)*(1-_xlfn.XLOOKUP(K404,'Janeiro 2023 - Valor Real'!A3:A15,'Janeiro 2023 - Valor Real'!C3:C15,0))+1)/(((L404-1)*(1-_xlfn.XLOOKUP(K404,'Janeiro 2023 - Valor Real'!A3:A15,'Janeiro 2023 - Valor Real'!C3:C15,0))+1)+((L403/(L403-1)-1)*(1-_xlfn.XLOOKUP(K403,'Janeiro 2023 - Valor Real'!A3:A15,'Janeiro 2023 - Valor Real'!C3:C15,0))+1))),IF(I404="Lay",(((L404/(L404-1)-1)*(1-_xlfn.XLOOKUP(K404,'Janeiro 2023 - Valor Real'!A3:A15,'Janeiro 2023 - Valor Real'!C3:C15,0))+1))/(((L403-1)*(1-_xlfn.XLOOKUP(K403,'Janeiro 2023 - Valor Real'!A3:A15,'Janeiro 2023 - Valor Real'!C3:C15,0))+1)+((L404/(L404-1)-1)*(1-_xlfn.XLOOKUP(K404,'Janeiro 2023 - Valor Real'!A3:A15,'Janeiro 2023 - Valor Real'!C3:C15,0))+1)),((L404-1)*(1-_xlfn.XLOOKUP(K404,'Janeiro 2023 - Valor Real'!A3:A15,'Janeiro 2023 - Valor Real'!C3:C15,0))+1)/(((L404-1)*(1-_xlfn.XLOOKUP(K404,'Janeiro 2023 - Valor Real'!A3:A15,'Janeiro 2023 - Valor Real'!C3:C15,0))+1)+((L403-1)*(1-_xlfn.XLOOKUP(K403,'Janeiro 2023 - Valor Real'!A3:A15,'Janeiro 2023 - Valor Real'!C3:C15,0))+1))))))</f>
        <v>0.753521126760563</v>
      </c>
      <c r="AF403" s="197">
        <f>IF($K403=AF$3,ROUND(IF(OR($C403="W",$C403="1/2W",$C403="1/2L"),$P403-$O403,IF($C403="X",0,-$O403)),2),0)</f>
        <v>0</v>
      </c>
      <c r="AG403" s="198">
        <f>IF($K403=AG$3,ROUND(IF(OR($C403="W",$C403="1/2W",$C403="1/2L"),$P403-$O403,IF($C403="X",0,-$O403)),2),0)</f>
        <v>0</v>
      </c>
      <c r="AH403" s="198">
        <f>IF($K403=AH$3,ROUND(IF(OR($C403="W",$C403="1/2W",$C403="1/2L"),$P403-$O403,IF($C403="X",0,-$O403)),2),0)</f>
        <v>0</v>
      </c>
      <c r="AI403" s="198">
        <f>IF($K403=AI$3,ROUND(IF(OR($C403="W",$C403="1/2W",$C403="1/2L"),$P403-$O403,IF($C403="X",0,-$O403)),2),0)</f>
        <v>0</v>
      </c>
      <c r="AJ403" s="198">
        <f>IF($K403=AJ$3,ROUND(IF(OR($C403="W",$C403="1/2W",$C403="1/2L"),$P403-$O403,IF($C403="X",0,-$O403)),2),0)</f>
        <v>0</v>
      </c>
      <c r="AK403" s="198">
        <f>IF($K403=AK$3,ROUND(IF(OR($C403="W",$C403="1/2W",$C403="1/2L"),$P403-$O403,IF($C403="X",0,-$O403)),2),0)</f>
        <v>0</v>
      </c>
      <c r="AL403" s="198">
        <f>IF($K403=AL$3,ROUND(IF(OR($C403="W",$C403="1/2W",$C403="1/2L"),$P403-$O403,IF($C403="X",0,-$O403)),2),0)</f>
        <v>0</v>
      </c>
      <c r="AM403" s="198">
        <f>IF($K403=AM$3,ROUND(IF(OR($C403="W",$C403="1/2W",$C403="1/2L"),$P403-$O403,IF($C403="X",0,-$O403)),2),0)</f>
        <v>0</v>
      </c>
      <c r="AN403" s="198">
        <f>IF($K403=AN$3,ROUND(IF(OR($C403="W",$C403="1/2W",$C403="1/2L"),$P403-$O403,IF($C403="X",0,-$O403)),2),0)</f>
        <v>0</v>
      </c>
      <c r="AO403" s="198">
        <f>IF($K403=AO$3,ROUND(IF(OR($C403="W",$C403="1/2W",$C403="1/2L"),$P403-$O403,IF($C403="X",0,-$O403)),2),0)</f>
        <v>0</v>
      </c>
      <c r="AP403" s="198">
        <f>IF($K403=AP$3,ROUND(IF(OR($C403="W",$C403="1/2W",$C403="1/2L"),$P403-$O403,IF($C403="X",0,-$O403)),2),0)</f>
        <v>0</v>
      </c>
      <c r="AQ403" s="198">
        <f>IF($K403=AQ$3,ROUND(IF(OR($C403="W",$C403="1/2W",$C403="1/2L"),$P403-$O403,IF($C403="X",0,-$O403)),2),0)</f>
        <v>26.42</v>
      </c>
      <c r="AR403" s="199">
        <f>IF($K403=AR$3,ROUND(IF(OR($C403="W",$C403="1/2W",$C403="1/2L"),$P403-$O403,IF($C403="X",0,-$O403)),2),0)</f>
        <v>0</v>
      </c>
      <c r="AS403" s="197">
        <f>IF(AND($B403=" ",$K403=AS$3),$O403,0)</f>
        <v>0</v>
      </c>
      <c r="AT403" s="198">
        <f>IF(AND($B403=" ",$K403=AT$3),$O403,0)</f>
        <v>0</v>
      </c>
      <c r="AU403" s="198">
        <f>IF(AND($B403=" ",$K403=AU$3),$O403,0)</f>
        <v>0</v>
      </c>
      <c r="AV403" s="198">
        <f>IF(AND($B403=" ",$K403=AV$3),$O403,0)</f>
        <v>0</v>
      </c>
      <c r="AW403" s="198">
        <f>IF(AND($B403=" ",$K403=AW$3),$O403,0)</f>
        <v>0</v>
      </c>
      <c r="AX403" s="198">
        <f>IF(AND($B403=" ",$K403=AX$3),$O403,0)</f>
        <v>0</v>
      </c>
      <c r="AY403" s="200">
        <f>IF(AND($B403=" ",$K403=AY$3),$O403,0)</f>
        <v>0</v>
      </c>
      <c r="AZ403" s="201">
        <f>IF(AND($B403=" ",$K403=AZ$3),$O403,0)</f>
        <v>0</v>
      </c>
      <c r="BA403" s="201">
        <f>IF(AND($B403=" ",$K403=BA$3),$O403,0)</f>
        <v>0</v>
      </c>
      <c r="BB403" s="201">
        <f>IF(AND($B403=" ",$K403=BB$3),$O403,0)</f>
        <v>0</v>
      </c>
      <c r="BC403" s="202">
        <f>IF(AND($B403=" ",$K403=BC$3),$O403,0)</f>
        <v>0</v>
      </c>
      <c r="BD403" s="198">
        <f>IF(AND($B403=" ",$K403=BD$3),$O403,0)</f>
        <v>0</v>
      </c>
      <c r="BE403" s="199">
        <f>IF(AND($B403=" ",$K403=BE$3),$O403,0)</f>
        <v>0</v>
      </c>
      <c r="BF403" s="203">
        <f>IF($K403=BF$3,IF($C403="X",0,$O403),0)</f>
        <v>0</v>
      </c>
      <c r="BG403" s="198">
        <f>IF($K403=BG$3,IF($C403="X",0,$O403),0)</f>
        <v>0</v>
      </c>
      <c r="BH403" s="198">
        <f>IF($K403=BH$3,IF($C403="X",0,$O403),0)</f>
        <v>0</v>
      </c>
      <c r="BI403" s="198">
        <f>IF($K403=BI$3,IF($C403="X",0,$O403),0)</f>
        <v>0</v>
      </c>
      <c r="BJ403" s="198">
        <f>IF($K403=BJ$3,IF($C403="X",0,$O403),0)</f>
        <v>0</v>
      </c>
      <c r="BK403" s="198">
        <f>IF($K403=BK$3,IF($C403="X",0,$O403),0)</f>
        <v>0</v>
      </c>
      <c r="BL403" s="198">
        <f>IF($K403=BL$3,IF($C403="X",0,$O403),0)</f>
        <v>0</v>
      </c>
      <c r="BM403" s="200">
        <f>IF($K403=BM$3,IF($C403="X",0,$O403),0)</f>
        <v>0</v>
      </c>
      <c r="BN403" s="201">
        <f>IF($K403=BN$3,IF($C403="X",0,$O403),0)</f>
        <v>0</v>
      </c>
      <c r="BO403" s="201">
        <f>IF($K403=BO$3,IF($C403="X",0,$O403),0)</f>
        <v>0</v>
      </c>
      <c r="BP403" s="201">
        <f>IF($K403=BP$3,IF($C403="X",0,$O403),0)</f>
        <v>0</v>
      </c>
      <c r="BQ403" s="202">
        <f>IF($K403=BQ$3,IF($C403="X",0,$O403),0)</f>
        <v>66.05</v>
      </c>
      <c r="BR403" s="199">
        <f>IF($K403=BR$3,IF($C403="X",0,$O403),0)</f>
        <v>0</v>
      </c>
      <c r="BS403" s="204">
        <f>IF($B403="LOSS",IF(AND($K403=BS$3,$C403="L"),-$O403,0)+IF(AND($K404=BS$3,$C404="L"),-$O404,0)+IF(AND($K405=BS$3,$C405="L"),-$O405,0),IF(OR(AND($K403=BS$3,OR($C403="W",$C403="1/2W")),AND($K404=BS$3,OR($C404="W",$C404="1/2W")),AND($K405=BS$3,OR($C405="W",$C405="1/2W"))),$S403,0))</f>
        <v>0</v>
      </c>
      <c r="BT403" s="201">
        <f>IF($B403="LOSS",IF(AND($K403=BT$3,$C403="L"),-$O403,0)+IF(AND($K404=BT$3,$C404="L"),-$O404,0)+IF(AND($K404=BT$3,$C405="L"),-$O405,0),IF(OR(AND($K404=BT$3,OR($C403="W",$C403="1/2W")),AND($K404=BT$3,OR($C404="W",$C404="1/2W")),AND($K404=BT$3,OR($C405="W",$C405="1/2W"))),$S403,0))</f>
        <v>0</v>
      </c>
      <c r="BU403" s="201">
        <f>IF($B403="LOSS",IF(AND($K403=BU$3,$C403="L"),-$O403,0)+IF(AND($K404=BU$3,$C404="L"),-$O404,0)+IF(AND($K404=BU$3,$C405="L"),-$O405,0),IF(OR(AND($K404=BU$3,OR($C403="W",$C403="1/2W")),AND($K404=BU$3,OR($C404="W",$C404="1/2W")),AND($K404=BU$3,OR($C405="W",$C405="1/2W"))),$S403,0))</f>
        <v>0</v>
      </c>
      <c r="BV403" s="201">
        <f>IF($B403="LOSS",IF(AND($K403=BV$3,$C403="L"),-$O403,0)+IF(AND($K404=BV$3,$C404="L"),-$O404,0)+IF(AND($K405=BV$3,$C405="L"),-$O405,0),IF(OR(AND($K403=BV$3,OR($C403="W",$C403="1/2W")),AND($K404=BV$3,OR($C404="W",$C404="1/2W")),AND($K405=BV$3,OR($C405="W",$C405="1/2W"))),$S403,0))</f>
        <v>0</v>
      </c>
      <c r="BW403" s="201">
        <f>IF($B403="LOSS",IF(AND($K403=BW$3,$C403="L"),-$O403,0)+IF(AND($K404=BW$3,$C404="L"),-$O404,0)+IF(AND($K405=BW$3,$C405="L"),-$O405,0),IF(OR(AND($K403=BW$3,OR($C403="W",$C403="1/2W")),AND($K404=BW$3,OR($C404="W",$C404="1/2W")),AND($K405=BW$3,OR($C405="W",$C405="1/2W"))),$S403,0))</f>
        <v>0</v>
      </c>
      <c r="BX403" s="201">
        <f>IF($B403="LOSS",IF(AND($K403=BX$3,$C403="L"),-$O403,0)+IF(AND($K404=BX$3,$C404="L"),-$O404,0)+IF(AND($K405=BX$3,$C405="L"),-$O405,0),IF(OR(AND($K403=BX$3,OR($C403="W",$C403="1/2W")),AND($K404=BX$3,OR($C404="W",$C404="1/2W")),AND($K405=BX$3,OR($C405="W",$C405="1/2W"))),$S403,0))</f>
        <v>0</v>
      </c>
      <c r="BY403" s="201">
        <f>IF($B403="LOSS",IF(AND($K403=BY$3,$C403="L"),-$O403,0)+IF(AND($K404=BY$3,$C404="L"),-$O404,0)+IF(AND($K405=BY$3,$C405="L"),-$O405,0),IF(OR(AND($K403=BY$3,OR($C403="W",$C403="1/2W")),AND($K404=BY$3,OR($C404="W",$C404="1/2W")),AND($K405=BY$3,OR($C405="W",$C405="1/2W"))),$S403,0))</f>
        <v>0</v>
      </c>
      <c r="BZ403" s="205">
        <f>IF($B403="LOSS",IF(AND($K403=BZ$3,$C403="L"),-$O403,0)+IF(AND($K404=BZ$3,$C404="L"),-$O404,0)+IF(AND($K405=BZ$3,$C405="L"),-$O405,0),IF(OR(AND($K403=BZ$3,OR($C403="W",$C403="1/2W")),AND($K404=BZ$3,OR($C404="W",$C404="1/2W")),AND($K405=BZ$3,OR($C405="W",$C405="1/2W"))),$S403,0))</f>
        <v>0</v>
      </c>
      <c r="CA403" s="205">
        <f>IF($B403="LOSS",IF(AND($K403=CA$3,$C403="L"),-$O403,0)+IF(AND($K404=CA$3,$C404="L"),-$O404,0)+IF(AND($K405=CA$3,$C405="L"),-$O405,0),IF(OR(AND($K403=CA$3,OR($C403="W",$C403="1/2W")),AND($K404=CA$3,OR($C404="W",$C404="1/2W")),AND($K405=CA$3,OR($C405="W",$C405="1/2W"))),$S403,0))</f>
        <v>0</v>
      </c>
      <c r="CB403" s="205">
        <f>IF($B403="LOSS",IF(AND($K403=CB$3,$C403="L"),-$O403,0)+IF(AND($K404=CB$3,$C404="L"),-$O404,0)+IF(AND($K405=CB$3,$C405="L"),-$O405,0),IF(OR(AND($K403=CB$3,OR($C403="W",$C403="1/2W")),AND($K404=CB$3,OR($C404="W",$C404="1/2W")),AND($K405=CB$3,OR($C405="W",$C405="1/2W"))),$S403,0))</f>
        <v>0</v>
      </c>
      <c r="CC403" s="205">
        <f>IF($B403="LOSS",IF(AND($K403=CC$3,$C403="L"),-$O403,0)+IF(AND($K404=CC$3,$C404="L"),-$O404,0)+IF(AND($K405=CC$3,$C405="L"),-$O405,0),IF(OR(AND($K403=CC$3,OR($C403="W",$C403="1/2W")),AND($K404=CC$3,OR($C404="W",$C404="1/2W")),AND($K405=CC$3,OR($C405="W",$C405="1/2W"))),$S403,0))</f>
        <v>0</v>
      </c>
      <c r="CD403" s="202">
        <f>IF($B403="LOSS",IF(AND($K403=CD$3,$C403="L"),-$O403,0)+IF(AND($K404=CD$3,$C404="L"),-$O404,0)+IF(AND($K405=CD$3,$C405="L"),-$O405,0),IF(OR(AND($K403=CD$3,OR($C403="W",$C403="1/2W")),AND($K404=CD$3,OR($C404="W",$C404="1/2W")),AND($K405=CD$3,OR($C405="W",$C405="1/2W"))),$S403,0))</f>
        <v>5.42</v>
      </c>
      <c r="CE403" s="199">
        <f>IF($B403="LOSS",IF(AND($K403=CE$3,$C403="L"),-$O403,0)+IF(AND($K404=CE$3,$C404="L"),-$O404,0)+IF(AND($K405=CE$3,$C405="L"),-$O405,0),IF(OR(AND($K403=CE$3,OR($C403="W",$C403="1/2W")),AND($K404=CE$3,OR($C404="W",$C404="1/2W")),AND($K405=CE$3,OR($C405="W",$C405="1/2W"))),$S403,0))</f>
        <v>0</v>
      </c>
      <c r="CF403" s="206">
        <f>IF(CF$3=$K403,IF($C403="W",1,IF($C403="1/2W",0.5,0)),0)</f>
        <v>0</v>
      </c>
      <c r="CG403" s="207">
        <f>IF(CF$3=$K403,IF($C403="L",1,IF($C403="1/2L",0.5,0)),0)</f>
        <v>0</v>
      </c>
      <c r="CH403" s="207">
        <f>IF(CH$3=$K403,IF($C403="W",1,IF($C403="1/2W",0.5,0)),0)</f>
        <v>0</v>
      </c>
      <c r="CI403" s="207">
        <f>IF(CH$3=$K403,IF($C403="L",1,IF($C403="1/2L",0.5,0)),0)</f>
        <v>0</v>
      </c>
      <c r="CJ403" s="207">
        <f>IF(CJ$3=$K403,IF($C403="W",1,IF($C403="1/2W",0.5,0)),0)</f>
        <v>0</v>
      </c>
      <c r="CK403" s="207">
        <f>IF(CJ$3=$K403,IF($C403="L",1,IF($C403="1/2L",0.5,0)),0)</f>
        <v>0</v>
      </c>
      <c r="CL403" s="207">
        <f>IF(CL$3=$K403,IF($C403="W",1,IF($C403="1/2W",0.5,0)),0)</f>
        <v>0</v>
      </c>
      <c r="CM403" s="207">
        <f>IF(CL$3=$K403,IF($C403="L",1,IF($C403="1/2L",0.5,0)),0)</f>
        <v>0</v>
      </c>
      <c r="CN403" s="207">
        <f>IF(CN$3=$K403,IF($C403="W",1,IF($C403="1/2W",0.5,0)),0)</f>
        <v>0</v>
      </c>
      <c r="CO403" s="207">
        <f>IF(CN$3=$K403,IF($C403="L",1,IF($C403="1/2L",0.5,0)),0)</f>
        <v>0</v>
      </c>
      <c r="CP403" s="207">
        <f>IF(CP$3=$K403,IF($C403="W",1,IF($C403="1/2W",0.5,0)),0)</f>
        <v>0</v>
      </c>
      <c r="CQ403" s="207">
        <f>IF(CP$3=$K403,IF($C403="L",1,IF($C403="1/2L",0.5,0)),0)</f>
        <v>0</v>
      </c>
      <c r="CR403" s="207">
        <f>IF(CR$3=$K403,IF($C403="W",1,IF($C403="1/2W",0.5,0)),0)</f>
        <v>0</v>
      </c>
      <c r="CS403" s="207">
        <f>IF(CR$3=$K403,IF($C403="L",1,IF($C403="1/2L",0.5,0)),0)</f>
        <v>0</v>
      </c>
      <c r="CT403" s="208">
        <f>IF(CT$3=$K403,IF($C403="W",1,IF($C403="1/2W",0.5,0)),0)</f>
        <v>0</v>
      </c>
      <c r="CU403" s="209">
        <f>IF(CT$3=$K403,IF($C403="L",1,IF($C403="1/2L",0.5,0)),0)</f>
        <v>0</v>
      </c>
      <c r="CV403" s="209">
        <f>IF(CV$3=$K403,IF($C403="W",1,IF($C403="1/2W",0.5,0)),0)</f>
        <v>0</v>
      </c>
      <c r="CW403" s="209">
        <f>IF(CV$3=$K403,IF($C403="L",1,IF($C403="1/2L",0.5,0)),0)</f>
        <v>0</v>
      </c>
      <c r="CX403" s="209">
        <f>IF(CX$3=$K403,IF($C403="W",1,IF($C403="1/2W",0.5,0)),0)</f>
        <v>0</v>
      </c>
      <c r="CY403" s="209">
        <f>IF(CX$3=$K403,IF($C403="L",1,IF($C403="1/2L",0.5,0)),0)</f>
        <v>0</v>
      </c>
      <c r="CZ403" s="209">
        <f>IF(CZ$3=$K403,IF($C403="W",1,IF($C403="1/2W",0.5,0)),0)</f>
        <v>0</v>
      </c>
      <c r="DA403" s="209">
        <f>IF(CZ$3=$K403,IF($C403="L",1,IF($C403="1/2L",0.5,0)),0)</f>
        <v>0</v>
      </c>
      <c r="DB403" s="209">
        <f>IF(DB$3=$K403,IF($C403="W",1,IF($C403="1/2W",0.5,0)),0)</f>
        <v>1</v>
      </c>
      <c r="DC403" s="209">
        <f>IF(DB$3=$K403,IF($C403="L",1,IF($C403="1/2L",0.5,0)),0)</f>
        <v>0</v>
      </c>
      <c r="DD403" s="209">
        <f>IF(DD$3=$K403,IF($C403="W",1,IF($C403="1/2W",0.5,0)),0)</f>
        <v>0</v>
      </c>
      <c r="DE403" s="210">
        <f>IF(DD$3=$K403,IF($C403="L",1,IF($C403="1/2L",0.5,0)),0)</f>
        <v>0</v>
      </c>
      <c r="DF403" s="211">
        <f>IF(AND(L403&lt;DF$3,$C403="W"),1+DF402,DF402)</f>
        <v>14</v>
      </c>
      <c r="DG403" s="198">
        <f>IF(DF403&gt;DF402,L403+DG402,DG402)</f>
        <v>18.548</v>
      </c>
      <c r="DH403" s="209">
        <f>IF(AND(L403&gt;DH$3,$C403="W"),1+DH402,0+DH402)</f>
        <v>10</v>
      </c>
      <c r="DI403" s="198">
        <f>IF(DH403&gt;DH402,L403+DI402,DI402)</f>
        <v>55.13</v>
      </c>
      <c r="DJ403" t="s" s="306">
        <f>IF($D403="","",$D403)</f>
        <v>307</v>
      </c>
      <c r="DK403" s="209">
        <f>IF(AND($B403=" ",$D403&lt;&gt;""),1,0)</f>
        <v>0</v>
      </c>
    </row>
    <row r="404" ht="14.55" customHeight="1">
      <c r="A404" s="107"/>
      <c r="B404" s="108"/>
      <c r="C404" t="s" s="213">
        <v>51</v>
      </c>
      <c r="D404" s="110"/>
      <c r="E404" s="111"/>
      <c r="F404" s="112"/>
      <c r="G404" s="214"/>
      <c r="H404" s="114"/>
      <c r="I404" s="299">
        <v>1</v>
      </c>
      <c r="J404" t="s" s="216">
        <f>IF(OR(I403="TO",I403="TU",I403="TO1",I403="TU1",I403="TO2",I403="TU2"),J403,IF(OR(I403="AH1",I403="AH2"),IF(OR(I404="AH1",I404="AH2"),-J403,IF(OR(I404="EH1",I404="EH2"),-J403+0.5,"")),IF(OR(I403="EH1",I403="EH2"),IF(OR(I404="AH1",I404="AH2"),-J403+0.5,IF(OR(I404="EH1",I404="EH2"),-J403+1,"")),IF(AND(OR(I403="DNB1",I403="DNB2"),OR(I404="AH1",I404="AH2")),0,IF(AND(I403="Not ScoreBoth",OR(I404="TO1",I404="TO2")),0.5,"")))))</f>
      </c>
      <c r="K404" t="s" s="217">
        <v>44</v>
      </c>
      <c r="L404" s="218">
        <v>4.28</v>
      </c>
      <c r="M404" s="219">
        <v>21</v>
      </c>
      <c r="N404" s="120"/>
      <c r="O404" s="220">
        <f>IF(OR(AE403="",AE404=""),"",ROUND(IF(L405&gt;0,IF(M404&gt;0,M404,IF(M403&gt;0,IF(N403=TRUE,ROUND((M403*AE404)/AE403,0),(M403*AE404)/AE403),IF(M404&gt;0,ROUND(M404,IF(N403=0,2,IF(N403=0.1,1,0))),IF(M405&gt;0,ROUND(O405*AE404/AE405,IF(N403=0,2,IF(N403=0.1,1,0))),0)))),IF(M404&gt;0,M404,ROUND((M403*AE404)/AE403,IF(N403=0,2,IF(N403=0.1,1,0))))),2))</f>
        <v>21</v>
      </c>
      <c r="P404" s="221">
        <f>IF(OR(L404="",O404=""),"",IF($C404="1/2W",O404/2+O404/2*L404,IF($C404="1/2L",O404/2,IF(I404="Lay",((O404*(L404/(L404-1)))-O404)*(1-_xlfn.XLOOKUP(K404,'Janeiro 2023 - Valor Real'!A3:A15,'Janeiro 2023 - Valor Real'!C3:C15,0))+O404,(O404*L404-O404)*(1-_xlfn.XLOOKUP(K404,'Janeiro 2023 - Valor Real'!A3:A15,'Janeiro 2023 - Valor Real'!C3:C15,0))+O404))))</f>
        <v>89.88</v>
      </c>
      <c r="Q404" s="222">
        <f>IF(K404="","",IF(_xlfn.XLOOKUP(K404,K$123:K177,DJ$123:DJ177,0,,-1)=DJ404,_xlfn.XLOOKUP(K404,K$123:K177,Q$123:Q177,1,,-1)+1,1))</f>
        <v>1</v>
      </c>
      <c r="R404" s="223">
        <f>IF(K404="","",_xlfn.XLOOKUP(K404,K$123:K177,R$123:R177,0,,-1)+IF($C404=" ",1,0))</f>
        <v>0</v>
      </c>
      <c r="S404" s="125"/>
      <c r="T404" s="126"/>
      <c r="U404" s="126"/>
      <c r="V404" s="224"/>
      <c r="W404" s="126"/>
      <c r="X404" s="127"/>
      <c r="Y404" s="128"/>
      <c r="Z404" s="129"/>
      <c r="AA404" s="129"/>
      <c r="AB404" s="129"/>
      <c r="AC404" s="129"/>
      <c r="AD404" s="225">
        <f>(((L404/(L404-1)-1)*(1-_xlfn.XLOOKUP(K404,'Janeiro 2023 - Valor Real'!A3:A15,'Janeiro 2023 - Valor Real'!C3:C15,0))+1))</f>
        <v>1.30487804878049</v>
      </c>
      <c r="AE404" s="226">
        <f>IF(L404="","",IF(L405&gt;0,(SUM(((L403-1)*(1-_xlfn.XLOOKUP(K403,'Janeiro 2023 - Valor Real'!A3:A15,'Janeiro 2023 - Valor Real'!C3:C15,0))+1),((L404-1)*(1-_xlfn.XLOOKUP(K404,'Janeiro 2023 - Valor Real'!A3:A15,'Janeiro 2023 - Valor Real'!C3:C15,0))+1),((L405-1)*(1-_xlfn.XLOOKUP(K405,'Janeiro 2023 - Valor Real'!A3:A15,'Janeiro 2023 - Valor Real'!C3:C15,0))+1))/((L404-1)*(1-_xlfn.XLOOKUP(K404,'Janeiro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Real'!C3:C15,0))+1))/((L403-1)*(1-_xlfn.XLOOKUP(K403,'Janeiro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Real'!C3:C15,0))+1))/((L404-1)*(1-_xlfn.XLOOKUP(K404,'Janeiro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Real'!C3:C15,0))+1))/((L405-1)*(1-_xlfn.XLOOKUP(K405,'Janeiro 2023 - Valor Real'!A3:A15,'Janeiro 2023 - Valor Real'!C3:C15,0))+1)),IF(I404="Lay",IF(I403="Lay",((L403/(L403-1)-1)*(1-_xlfn.XLOOKUP(K403,'Janeiro 2023 - Valor Real'!A3:A15,'Janeiro 2023 - Valor Real'!C3:C15,0))+1)/(((L403/(L403-1)-1)*(1-_xlfn.XLOOKUP(K403,'Janeiro 2023 - Valor Real'!A3:A15,'Janeiro 2023 - Valor Real'!C3:C15,0))+1)+((L404/(L404-1)-1)*(1-_xlfn.XLOOKUP(K404,'Janeiro 2023 - Valor Real'!A3:A15,'Janeiro 2023 - Valor Real'!C3:C15,0))+1)),((L403-1)*(1-_xlfn.XLOOKUP(K403,'Janeiro 2023 - Valor Real'!A3:A15,'Janeiro 2023 - Valor Real'!C3:C15,0))+1)/(((L403-1)*(1-_xlfn.XLOOKUP(K403,'Janeiro 2023 - Valor Real'!A3:A15,'Janeiro 2023 - Valor Real'!C3:C15,0))+1)+((L404/(L404-1)-1)*(1-_xlfn.XLOOKUP(K404,'Janeiro 2023 - Valor Real'!A3:A15,'Janeiro 2023 - Valor Real'!C3:C15,0))+1))),IF(I403="Lay",((L403/(L403-1)-1)*(1-_xlfn.XLOOKUP(K403,'Janeiro 2023 - Valor Real'!A3:A15,'Janeiro 2023 - Valor Real'!C3:C15,0))+1)/((((L403/(L403-1)-1)*(1-_xlfn.XLOOKUP(K403,'Janeiro 2023 - Valor Real'!A3:A15,'Janeiro 2023 - Valor Real'!C3:C15,0))+1))+((L404-1)*(1-_xlfn.XLOOKUP(K404,'Janeiro 2023 - Valor Real'!A3:A15,'Janeiro 2023 - Valor Real'!C3:C15,0))+1)),((L403-1)*(1-_xlfn.XLOOKUP(K403,'Janeiro 2023 - Valor Real'!A3:A15,'Janeiro 2023 - Valor Real'!C3:C15,0))+1)/(((L403-1)*(1-_xlfn.XLOOKUP(K403,'Janeiro 2023 - Valor Real'!A3:A15,'Janeiro 2023 - Valor Real'!C3:C15,0))+1)+((L404-1)*(1-_xlfn.XLOOKUP(K404,'Janeiro 2023 - Valor Real'!A3:A15,'Janeiro 2023 - Valor Real'!C3:C15,0))+1))))))</f>
        <v>0.246478873239437</v>
      </c>
      <c r="AF404" s="197">
        <f>IF($K404=AF$3,ROUND(IF(OR($C404="W",$C404="1/2W",$C404="1/2L"),$P404-$O404,IF($C404="X",0,-$O404)),2),0)</f>
        <v>0</v>
      </c>
      <c r="AG404" s="198">
        <f>IF($K404=AG$3,ROUND(IF(OR($C404="W",$C404="1/2W",$C404="1/2L"),$P404-$O404,IF($C404="X",0,-$O404)),2),0)</f>
        <v>0</v>
      </c>
      <c r="AH404" s="198">
        <f>IF($K404=AH$3,ROUND(IF(OR($C404="W",$C404="1/2W",$C404="1/2L"),$P404-$O404,IF($C404="X",0,-$O404)),2),0)</f>
        <v>0</v>
      </c>
      <c r="AI404" s="198">
        <f>IF($K404=AI$3,ROUND(IF(OR($C404="W",$C404="1/2W",$C404="1/2L"),$P404-$O404,IF($C404="X",0,-$O404)),2),0)</f>
        <v>0</v>
      </c>
      <c r="AJ404" s="198">
        <f>IF($K404=AJ$3,ROUND(IF(OR($C404="W",$C404="1/2W",$C404="1/2L"),$P404-$O404,IF($C404="X",0,-$O404)),2),0)</f>
        <v>0</v>
      </c>
      <c r="AK404" s="198">
        <f>IF($K404=AK$3,ROUND(IF(OR($C404="W",$C404="1/2W",$C404="1/2L"),$P404-$O404,IF($C404="X",0,-$O404)),2),0)</f>
        <v>0</v>
      </c>
      <c r="AL404" s="198">
        <f>IF($K404=AL$3,ROUND(IF(OR($C404="W",$C404="1/2W",$C404="1/2L"),$P404-$O404,IF($C404="X",0,-$O404)),2),0)</f>
        <v>0</v>
      </c>
      <c r="AM404" s="198">
        <f>IF($K404=AM$3,ROUND(IF(OR($C404="W",$C404="1/2W",$C404="1/2L"),$P404-$O404,IF($C404="X",0,-$O404)),2),0)</f>
        <v>-21</v>
      </c>
      <c r="AN404" s="198">
        <f>IF($K404=AN$3,ROUND(IF(OR($C404="W",$C404="1/2W",$C404="1/2L"),$P404-$O404,IF($C404="X",0,-$O404)),2),0)</f>
        <v>0</v>
      </c>
      <c r="AO404" s="198">
        <f>IF($K404=AO$3,ROUND(IF(OR($C404="W",$C404="1/2W",$C404="1/2L"),$P404-$O404,IF($C404="X",0,-$O404)),2),0)</f>
        <v>0</v>
      </c>
      <c r="AP404" s="198">
        <f>IF($K404=AP$3,ROUND(IF(OR($C404="W",$C404="1/2W",$C404="1/2L"),$P404-$O404,IF($C404="X",0,-$O404)),2),0)</f>
        <v>0</v>
      </c>
      <c r="AQ404" s="198">
        <f>IF($K404=AQ$3,ROUND(IF(OR($C404="W",$C404="1/2W",$C404="1/2L"),$P404-$O404,IF($C404="X",0,-$O404)),2),0)</f>
        <v>0</v>
      </c>
      <c r="AR404" s="199">
        <f>IF($K404=AR$3,ROUND(IF(OR($C404="W",$C404="1/2W",$C404="1/2L"),$P404-$O404,IF($C404="X",0,-$O404)),2),0)</f>
        <v>0</v>
      </c>
      <c r="AS404" s="197">
        <f>IF(AND($B403=" ",$K404=AS$3),$O404,0)</f>
        <v>0</v>
      </c>
      <c r="AT404" s="198">
        <f>IF(AND($B403=" ",K404=AT$3),$O404,0)</f>
        <v>0</v>
      </c>
      <c r="AU404" s="198">
        <f>IF(AND($B403=" ",$K404=AU$3),$O404,0)</f>
        <v>0</v>
      </c>
      <c r="AV404" s="198">
        <f>IF(AND($B403=" ",$K404=AV$3),$O404,0)</f>
        <v>0</v>
      </c>
      <c r="AW404" s="198">
        <f>IF(AND($B403=" ",$K404=AW$3),$O404,0)</f>
        <v>0</v>
      </c>
      <c r="AX404" s="198">
        <f>IF(AND($B403=" ",$K404=AX$3),$O404,0)</f>
        <v>0</v>
      </c>
      <c r="AY404" s="200">
        <f>IF(AND($B403=" ",$K404=AY$3),$O404,0)</f>
        <v>0</v>
      </c>
      <c r="AZ404" s="201">
        <f>IF(AND($B403=" ",$K404=AZ$3),$O404,0)</f>
        <v>0</v>
      </c>
      <c r="BA404" s="201">
        <f>IF(AND($B403=" ",$K404=BA$3),$O404,0)</f>
        <v>0</v>
      </c>
      <c r="BB404" s="201">
        <f>IF(AND($B403=" ",$K404=BB$3),$O404,0)</f>
        <v>0</v>
      </c>
      <c r="BC404" s="202">
        <f>IF(AND($B403=" ",$K404=BC$3),$O404,0)</f>
        <v>0</v>
      </c>
      <c r="BD404" s="198">
        <f>IF(AND($B403=" ",$K404=BD$3),$O404,0)</f>
        <v>0</v>
      </c>
      <c r="BE404" s="199">
        <f>IF(AND($B403=" ",$K404=BE$3),$O404,0)</f>
        <v>0</v>
      </c>
      <c r="BF404" s="197">
        <f>IF($K404=BF$3,IF($C404="X",0,$O404),0)</f>
        <v>0</v>
      </c>
      <c r="BG404" s="198">
        <f>IF($K404=BG$3,IF($C404="X",0,$O404),0)</f>
        <v>0</v>
      </c>
      <c r="BH404" s="198">
        <f>IF($K404=BH$3,IF($C404="X",0,$O404),0)</f>
        <v>0</v>
      </c>
      <c r="BI404" s="198">
        <f>IF($K404=BI$3,IF($C404="X",0,$O404),0)</f>
        <v>0</v>
      </c>
      <c r="BJ404" s="198">
        <f>IF($K404=BJ$3,IF($C404="X",0,$O404),0)</f>
        <v>0</v>
      </c>
      <c r="BK404" s="198">
        <f>IF($K404=BK$3,IF($C404="X",0,$O404),0)</f>
        <v>0</v>
      </c>
      <c r="BL404" s="198">
        <f>IF($K404=BL$3,IF($C404="X",0,$O404),0)</f>
        <v>0</v>
      </c>
      <c r="BM404" s="227">
        <f>IF($K404=BM$3,IF($C404="X",0,$O404),0)</f>
        <v>21</v>
      </c>
      <c r="BN404" s="205">
        <f>IF($K404=BN$3,IF($C404="X",0,$O404),0)</f>
        <v>0</v>
      </c>
      <c r="BO404" s="205">
        <f>IF($K404=BO$3,IF($C404="X",0,$O404),0)</f>
        <v>0</v>
      </c>
      <c r="BP404" s="205">
        <f>IF($K404=BP$3,IF($C404="X",0,$O404),0)</f>
        <v>0</v>
      </c>
      <c r="BQ404" s="202">
        <f>IF($K404=BQ$3,IF($C404="X",0,$O404),0)</f>
        <v>0</v>
      </c>
      <c r="BR404" s="199">
        <f>IF($K404=BR$3,IF($C404="X",0,$O404),0)</f>
        <v>0</v>
      </c>
      <c r="BS404" s="228"/>
      <c r="BT404" s="229"/>
      <c r="BU404" s="140"/>
      <c r="BV404" s="229"/>
      <c r="BW404" s="140"/>
      <c r="BX404" s="140"/>
      <c r="BY404" s="140"/>
      <c r="BZ404" s="229"/>
      <c r="CA404" s="140"/>
      <c r="CB404" s="140"/>
      <c r="CC404" s="140"/>
      <c r="CD404" s="141"/>
      <c r="CE404" s="142"/>
      <c r="CF404" s="230">
        <f>IF(CF$3=$K404,IF($C404="W",1,IF($C404="1/2W",0.5,0)),0)</f>
        <v>0</v>
      </c>
      <c r="CG404" s="231">
        <f>IF(CF$3=$K404,IF($C404="L",1,IF($C404="1/2L",0.5,0)),0)</f>
        <v>0</v>
      </c>
      <c r="CH404" s="231">
        <f>IF(CH$3=$K404,IF($C404="W",1,IF($C404="1/2W",0.5,0)),0)</f>
        <v>0</v>
      </c>
      <c r="CI404" s="231">
        <f>IF(CH$3=$K404,IF($C404="L",1,IF($C404="1/2L",0.5,0)),0)</f>
        <v>0</v>
      </c>
      <c r="CJ404" s="231">
        <f>IF(CJ$3=$K404,IF($C404="W",1,IF($C404="1/2W",0.5,0)),0)</f>
        <v>0</v>
      </c>
      <c r="CK404" s="231">
        <f>IF(CJ$3=$K404,IF($C404="L",1,IF($C404="1/2L",0.5,0)),0)</f>
        <v>0</v>
      </c>
      <c r="CL404" s="231">
        <f>IF(CL$3=$K404,IF($C404="W",1,IF($C404="1/2W",0.5,0)),0)</f>
        <v>0</v>
      </c>
      <c r="CM404" s="231">
        <f>IF(CL$3=$K404,IF($C404="L",1,IF($C404="1/2L",0.5,0)),0)</f>
        <v>0</v>
      </c>
      <c r="CN404" s="231">
        <f>IF(CN$3=$K404,IF($C404="W",1,IF($C404="1/2W",0.5,0)),0)</f>
        <v>0</v>
      </c>
      <c r="CO404" s="231">
        <f>IF(CN$3=$K404,IF($C404="L",1,IF($C404="1/2L",0.5,0)),0)</f>
        <v>0</v>
      </c>
      <c r="CP404" s="231">
        <f>IF(CP$3=$K404,IF($C404="W",1,IF($C404="1/2W",0.5,0)),0)</f>
        <v>0</v>
      </c>
      <c r="CQ404" s="231">
        <f>IF(CP$3=$K404,IF($C404="L",1,IF($C404="1/2L",0.5,0)),0)</f>
        <v>0</v>
      </c>
      <c r="CR404" s="231">
        <f>IF(CR$3=$K404,IF($C404="W",1,IF($C404="1/2W",0.5,0)),0)</f>
        <v>0</v>
      </c>
      <c r="CS404" s="231">
        <f>IF(CR$3=$K404,IF($C404="L",1,IF($C404="1/2L",0.5,0)),0)</f>
        <v>0</v>
      </c>
      <c r="CT404" s="208">
        <f>IF(CT$3=$K404,IF($C404="W",1,IF($C404="1/2W",0.5,0)),0)</f>
        <v>0</v>
      </c>
      <c r="CU404" s="209">
        <f>IF(CT$3=$K404,IF($C404="L",1,IF($C404="1/2L",0.5,0)),0)</f>
        <v>1</v>
      </c>
      <c r="CV404" s="209">
        <f>IF(CV$3=$K404,IF($C404="W",1,IF($C404="1/2W",0.5,0)),0)</f>
        <v>0</v>
      </c>
      <c r="CW404" s="209">
        <f>IF(CV$3=$K404,IF($C404="L",1,IF($C404="1/2L",0.5,0)),0)</f>
        <v>0</v>
      </c>
      <c r="CX404" s="209">
        <f>IF(CX$3=$K404,IF($C404="W",1,IF($C404="1/2W",0.5,0)),0)</f>
        <v>0</v>
      </c>
      <c r="CY404" s="209">
        <f>IF(CX$3=$K404,IF($C404="L",1,IF($C404="1/2L",0.5,0)),0)</f>
        <v>0</v>
      </c>
      <c r="CZ404" s="209">
        <f>IF(CZ$3=$K404,IF($C404="W",1,IF($C404="1/2W",0.5,0)),0)</f>
        <v>0</v>
      </c>
      <c r="DA404" s="209">
        <f>IF(CZ$3=$K404,IF($C404="L",1,IF($C404="1/2L",0.5,0)),0)</f>
        <v>0</v>
      </c>
      <c r="DB404" s="209">
        <f>IF(DB$3=$K404,IF($C404="W",1,IF($C404="1/2W",0.5,0)),0)</f>
        <v>0</v>
      </c>
      <c r="DC404" s="209">
        <f>IF(DB$3=$K404,IF($C404="L",1,IF($C404="1/2L",0.5,0)),0)</f>
        <v>0</v>
      </c>
      <c r="DD404" s="209">
        <f>IF(DD$3=$K404,IF($C404="W",1,IF($C404="1/2W",0.5,0)),0)</f>
        <v>0</v>
      </c>
      <c r="DE404" s="210">
        <f>IF(DD$3=$K404,IF($C404="L",1,IF($C404="1/2L",0.5,0)),0)</f>
        <v>0</v>
      </c>
      <c r="DF404" s="211">
        <f>IF(AND(L404&lt;DF$3,$C404="W"),1+DF403,DF403)</f>
        <v>14</v>
      </c>
      <c r="DG404" s="198">
        <f>IF(DF404&gt;DF403,L404+DG403,DG403)</f>
        <v>18.548</v>
      </c>
      <c r="DH404" s="209">
        <f>IF(AND(L404&gt;DH$3,$C404="W"),1+DH403,0+DH403)</f>
        <v>10</v>
      </c>
      <c r="DI404" s="198">
        <f>IF(DH404&gt;DH403,L404+DI403,DI403)</f>
        <v>55.13</v>
      </c>
      <c r="DJ404" t="s" s="306">
        <f>IF($D403="","",$D403)</f>
        <v>307</v>
      </c>
      <c r="DK404" s="232"/>
    </row>
    <row r="405" ht="14.55" customHeight="1">
      <c r="A405" s="149"/>
      <c r="B405" s="150"/>
      <c r="C405" t="s" s="233">
        <v>58</v>
      </c>
      <c r="D405" s="152"/>
      <c r="E405" s="153"/>
      <c r="F405" s="154"/>
      <c r="G405" s="234"/>
      <c r="H405" s="156"/>
      <c r="I405" s="235"/>
      <c r="J405" s="236"/>
      <c r="K405" s="237"/>
      <c r="L405" s="238"/>
      <c r="M405" s="239"/>
      <c r="N405" s="161"/>
      <c r="O405" t="s" s="240">
        <f>IF(OR(AE403="",AE404=""),"",IF(L405&gt;0,ROUND(IF(M405&gt;0,M405,IF(M403&gt;0,ROUND((M403*AE405)/AE403,IF(N403=0,2,IF(N403=0.1,1,0))),IF(M404&gt;0,ROUND((M404*AE405)/AE404,IF(N403=0,2,IF(N403=0.1,1,0))),IF(M405&gt;0,M405,0)))),2),""))</f>
      </c>
      <c r="P405" t="s" s="241">
        <f>IF(I404="Lay",O404*(L404/(L404-1))-O404,IF(I403="Lay",O403*(L403/(L403-1))-O403,IF(OR(L405="",O405=""),"",IF($C405="1/2W",O405/2+O405/2*L405,IF($C405="1/2L",O405/2,(O405*L405-O405)*(1-_xlfn.XLOOKUP(K405,'Janeiro 2023 - Valor Real'!A3:A15,'Janeiro 2023 - Valor Real'!C3:C15,0))+O405)))))</f>
      </c>
      <c r="Q405" t="s" s="242">
        <f>IF(K405="","",IF(_xlfn.XLOOKUP(K405,K$124:K178,DJ$124:DJ178,0,,-1)=DJ405,_xlfn.XLOOKUP(K405,K$124:K178,Q$124:Q178,1,,-1)+1,1))</f>
      </c>
      <c r="R405" t="s" s="243">
        <f>IF(K405="","",_xlfn.XLOOKUP(K405,K$124:K178,R$124:R178,0,,-1)+IF($C405=" ",1,0))</f>
      </c>
      <c r="S405" s="166"/>
      <c r="T405" s="155"/>
      <c r="U405" s="155"/>
      <c r="V405" s="166"/>
      <c r="W405" s="155"/>
      <c r="X405" s="167"/>
      <c r="Y405" s="128"/>
      <c r="Z405" s="129"/>
      <c r="AA405" s="129"/>
      <c r="AB405" s="129"/>
      <c r="AC405" s="129"/>
      <c r="AD405" s="244">
        <f>((L404/(L404-1)-1))</f>
        <v>0.304878048780488</v>
      </c>
      <c r="AE405" t="s" s="245">
        <f>IF(L405="","",(SUM(((L403-1)*(1-_xlfn.XLOOKUP(K403,'Janeiro 2023 - Valor Real'!A3:A15,'Janeiro 2023 - Valor Real'!C3:C15,0))+1),((L404-1)*(1-_xlfn.XLOOKUP(K404,'Janeiro 2023 - Valor Real'!A3:A15,'Janeiro 2023 - Valor Real'!C3:C15,0))+1),((L405-1)*(1-_xlfn.XLOOKUP(K405,'Janeiro 2023 - Valor Real'!A3:A15,'Janeiro 2023 - Valor Real'!C3:C15,0))+1))/((L405-1)*(1-_xlfn.XLOOKUP(K405,'Janeiro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Real'!C3:C15,0))+1))/((L403-1)*(1-_xlfn.XLOOKUP(K403,'Janeiro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Real'!C3:C15,0))+1))/((L404-1)*(1-_xlfn.XLOOKUP(K404,'Janeiro 2023 - Valor Real'!A3:A15,'Janeiro 2023 - Valor Real'!C3:C15,0))+1)+SUM(((L403-1)*(1-_xlfn.XLOOKUP(K403,'Janeiro 2023 - Valor Real'!A3:A15,'Janeiro 2023 - Valor Real'!C3:C15,0))+1),((L404-1)*(1-_xlfn.XLOOKUP(K404,'Janeiro 2023 - Valor Real'!A3:A15,'Janeiro 2023 - Valor Real'!C3:C15,0))+1),((L405-1)*(1-_xlfn.XLOOKUP(K405,'Janeiro 2023 - Valor Real'!A3:A15,'Janeiro 2023 - Valor Real'!C3:C15,0))+1))/((L405-1)*(1-_xlfn.XLOOKUP(K405,'Janeiro 2023 - Valor Real'!A3:A15,'Janeiro 2023 - Valor Real'!C3:C15,0))+1)))</f>
      </c>
      <c r="AF405" s="197">
        <f>IF($K405=AF$3,ROUND(IF(OR($C405="W",$C405="1/2W",$C405="1/2L"),$P405-$O405,IF($C405="X",0,-$O405)),2),0)</f>
        <v>0</v>
      </c>
      <c r="AG405" s="198">
        <f>IF($K405=AG$3,ROUND(IF(OR($C405="W",$C405="1/2W",$C405="1/2L"),$P405-$O405,IF($C405="X",0,-$O405)),2),0)</f>
        <v>0</v>
      </c>
      <c r="AH405" s="198">
        <f>IF($K405=AH$3,ROUND(IF(OR($C405="W",$C405="1/2W",$C405="1/2L"),$P405-$O405,IF($C405="X",0,-$O405)),2),0)</f>
        <v>0</v>
      </c>
      <c r="AI405" s="198">
        <f>IF($K405=AI$3,ROUND(IF(OR($C405="W",$C405="1/2W",$C405="1/2L"),$P405-$O405,IF($C405="X",0,-$O405)),2),0)</f>
        <v>0</v>
      </c>
      <c r="AJ405" s="198">
        <f>IF($K405=AJ$3,ROUND(IF(OR($C405="W",$C405="1/2W",$C405="1/2L"),$P405-$O405,IF($C405="X",0,-$O405)),2),0)</f>
        <v>0</v>
      </c>
      <c r="AK405" s="198">
        <f>IF($K405=AK$3,ROUND(IF(OR($C405="W",$C405="1/2W",$C405="1/2L"),$P405-$O405,IF($C405="X",0,-$O405)),2),0)</f>
        <v>0</v>
      </c>
      <c r="AL405" s="198">
        <f>IF($K405=AL$3,ROUND(IF(OR($C405="W",$C405="1/2W",$C405="1/2L"),$P405-$O405,IF($C405="X",0,-$O405)),2),0)</f>
        <v>0</v>
      </c>
      <c r="AM405" s="198">
        <f>IF($K405=AM$3,ROUND(IF(OR($C405="W",$C405="1/2W",$C405="1/2L"),$P405-$O405,IF($C405="X",0,-$O405)),2),0)</f>
        <v>0</v>
      </c>
      <c r="AN405" s="198">
        <f>IF($K405=AN$3,ROUND(IF(OR($C405="W",$C405="1/2W",$C405="1/2L"),$P405-$O405,IF($C405="X",0,-$O405)),2),0)</f>
        <v>0</v>
      </c>
      <c r="AO405" s="198">
        <f>IF($K405=AO$3,ROUND(IF(OR($C405="W",$C405="1/2W",$C405="1/2L"),$P405-$O405,IF($C405="X",0,-$O405)),2),0)</f>
        <v>0</v>
      </c>
      <c r="AP405" s="198">
        <f>IF($K405=AP$3,ROUND(IF(OR($C405="W",$C405="1/2W",$C405="1/2L"),$P405-$O405,IF($C405="X",0,-$O405)),2),0)</f>
        <v>0</v>
      </c>
      <c r="AQ405" s="198">
        <f>IF($K405=AQ$3,ROUND(IF(OR($C405="W",$C405="1/2W",$C405="1/2L"),$P405-$O405,IF($C405="X",0,-$O405)),2),0)</f>
        <v>0</v>
      </c>
      <c r="AR405" s="199">
        <f>IF($K405=AR$3,ROUND(IF(OR($C405="W",$C405="1/2W",$C405="1/2L"),$P405-$O405,IF($C405="X",0,-$O405)),2),0)</f>
        <v>0</v>
      </c>
      <c r="AS405" s="197">
        <f>IF(AND($B403=" ",$K405=AS$3),$O405,0)</f>
        <v>0</v>
      </c>
      <c r="AT405" s="198">
        <f>IF(AND($B403=" ",K405=AT$3),$O405,0)</f>
        <v>0</v>
      </c>
      <c r="AU405" s="198">
        <f>IF(AND($B403=" ",$K405=AU$3),$O405,0)</f>
        <v>0</v>
      </c>
      <c r="AV405" s="198">
        <f>IF(AND($B403=" ",$K405=AV$3),$O405,0)</f>
        <v>0</v>
      </c>
      <c r="AW405" s="198">
        <f>IF(AND($B403=" ",$K405=AW$3),$O405,0)</f>
        <v>0</v>
      </c>
      <c r="AX405" s="198">
        <f>IF(AND($B403=" ",$K405=AX$3),$O405,0)</f>
        <v>0</v>
      </c>
      <c r="AY405" s="200">
        <f>IF(AND($B403=" ",$K405=AY$3),$O405,0)</f>
        <v>0</v>
      </c>
      <c r="AZ405" s="201">
        <f>IF(AND($B403=" ",$K405=AZ$3),$O405,0)</f>
        <v>0</v>
      </c>
      <c r="BA405" s="201">
        <f>IF(AND($B403=" ",$K405=BA$3),$O405,0)</f>
        <v>0</v>
      </c>
      <c r="BB405" s="201">
        <f>IF(AND($B403=" ",$K405=BB$3),$O405,0)</f>
        <v>0</v>
      </c>
      <c r="BC405" s="202">
        <f>IF(AND($B403=" ",$K405=BC$3),$O405,0)</f>
        <v>0</v>
      </c>
      <c r="BD405" s="198">
        <f>IF(AND($B403=" ",$K405=BD$3),$O405,0)</f>
        <v>0</v>
      </c>
      <c r="BE405" s="199">
        <f>IF(AND($B403=" ",$K405=BE$3),$O405,0)</f>
        <v>0</v>
      </c>
      <c r="BF405" s="197">
        <f>IF($K405=BF$3,IF($C405="X",0,$O405),0)</f>
        <v>0</v>
      </c>
      <c r="BG405" s="198">
        <f>IF($K405=BG$3,IF($C405="X",0,$O405),0)</f>
        <v>0</v>
      </c>
      <c r="BH405" s="198">
        <f>IF($K405=BH$3,IF($C405="X",0,$O405),0)</f>
        <v>0</v>
      </c>
      <c r="BI405" s="198">
        <f>IF($K405=BI$3,IF($C405="X",0,$O405),0)</f>
        <v>0</v>
      </c>
      <c r="BJ405" s="198">
        <f>IF($K405=BJ$3,IF($C405="X",0,$O405),0)</f>
        <v>0</v>
      </c>
      <c r="BK405" s="198">
        <f>IF($K405=BK$3,IF($C405="X",0,$O405),0)</f>
        <v>0</v>
      </c>
      <c r="BL405" s="198">
        <f>IF($K405=BL$3,IF($C405="X",0,$O405),0)</f>
        <v>0</v>
      </c>
      <c r="BM405" s="200">
        <f>IF($K405=BM$3,IF($C405="X",0,$O405),0)</f>
        <v>0</v>
      </c>
      <c r="BN405" s="201">
        <f>IF($K405=BN$3,IF($C405="X",0,$O405),0)</f>
        <v>0</v>
      </c>
      <c r="BO405" s="201">
        <f>IF($K405=BO$3,IF($C405="X",0,$O405),0)</f>
        <v>0</v>
      </c>
      <c r="BP405" s="201">
        <f>IF($K405=BP$3,IF($C405="X",0,$O405),0)</f>
        <v>0</v>
      </c>
      <c r="BQ405" s="202">
        <f>IF($K405=BQ$3,IF($C405="X",0,$O405),0)</f>
        <v>0</v>
      </c>
      <c r="BR405" s="199">
        <f>IF($K405=BR$3,IF($C405="X",0,$O405),0)</f>
        <v>0</v>
      </c>
      <c r="BS405" s="228"/>
      <c r="BT405" s="229"/>
      <c r="BU405" s="140"/>
      <c r="BV405" s="229"/>
      <c r="BW405" s="140"/>
      <c r="BX405" s="140"/>
      <c r="BY405" s="140"/>
      <c r="BZ405" s="229"/>
      <c r="CA405" s="140"/>
      <c r="CB405" s="140"/>
      <c r="CC405" s="140"/>
      <c r="CD405" s="141"/>
      <c r="CE405" s="142"/>
      <c r="CF405" s="230">
        <f>IF(CF$3=$K405,IF($C405="W",1,IF($C405="1/2W",0.5,0)),0)</f>
        <v>0</v>
      </c>
      <c r="CG405" s="231">
        <f>IF(CF$3=$K405,IF($C405="L",1,IF($C405="1/2L",0.5,0)),0)</f>
        <v>0</v>
      </c>
      <c r="CH405" s="231">
        <f>IF(CH$3=$K405,IF($C405="W",1,IF($C405="1/2W",0.5,0)),0)</f>
        <v>0</v>
      </c>
      <c r="CI405" s="231">
        <f>IF(CH$3=$K405,IF($C405="L",1,IF($C405="1/2L",0.5,0)),0)</f>
        <v>0</v>
      </c>
      <c r="CJ405" s="231">
        <f>IF(CJ$3=$K405,IF($C405="W",1,IF($C405="1/2W",0.5,0)),0)</f>
        <v>0</v>
      </c>
      <c r="CK405" s="231">
        <f>IF(CJ$3=$K405,IF($C405="L",1,IF($C405="1/2L",0.5,0)),0)</f>
        <v>0</v>
      </c>
      <c r="CL405" s="231">
        <f>IF(CL$3=$K405,IF($C405="W",1,IF($C405="1/2W",0.5,0)),0)</f>
        <v>0</v>
      </c>
      <c r="CM405" s="231">
        <f>IF(CL$3=$K405,IF($C405="L",1,IF($C405="1/2L",0.5,0)),0)</f>
        <v>0</v>
      </c>
      <c r="CN405" s="231">
        <f>IF(CN$3=$K405,IF($C405="W",1,IF($C405="1/2W",0.5,0)),0)</f>
        <v>0</v>
      </c>
      <c r="CO405" s="231">
        <f>IF(CN$3=$K405,IF($C405="L",1,IF($C405="1/2L",0.5,0)),0)</f>
        <v>0</v>
      </c>
      <c r="CP405" s="231">
        <f>IF(CP$3=$K405,IF($C405="W",1,IF($C405="1/2W",0.5,0)),0)</f>
        <v>0</v>
      </c>
      <c r="CQ405" s="231">
        <f>IF(CP$3=$K405,IF($C405="L",1,IF($C405="1/2L",0.5,0)),0)</f>
        <v>0</v>
      </c>
      <c r="CR405" s="231">
        <f>IF(CR$3=$K405,IF($C405="W",1,IF($C405="1/2W",0.5,0)),0)</f>
        <v>0</v>
      </c>
      <c r="CS405" s="231">
        <f>IF(CR$3=$K405,IF($C405="L",1,IF($C405="1/2L",0.5,0)),0)</f>
        <v>0</v>
      </c>
      <c r="CT405" s="208">
        <f>IF(CT$3=$K405,IF($C405="W",1,IF($C405="1/2W",0.5,0)),0)</f>
        <v>0</v>
      </c>
      <c r="CU405" s="209">
        <f>IF(CT$3=$K405,IF($C405="L",1,IF($C405="1/2L",0.5,0)),0)</f>
        <v>0</v>
      </c>
      <c r="CV405" s="209">
        <f>IF(CV$3=$K405,IF($C405="W",1,IF($C405="1/2W",0.5,0)),0)</f>
        <v>0</v>
      </c>
      <c r="CW405" s="209">
        <f>IF(CV$3=$K405,IF($C405="L",1,IF($C405="1/2L",0.5,0)),0)</f>
        <v>0</v>
      </c>
      <c r="CX405" s="209">
        <f>IF(CX$3=$K405,IF($C405="W",1,IF($C405="1/2W",0.5,0)),0)</f>
        <v>0</v>
      </c>
      <c r="CY405" s="209">
        <f>IF(CX$3=$K405,IF($C405="L",1,IF($C405="1/2L",0.5,0)),0)</f>
        <v>0</v>
      </c>
      <c r="CZ405" s="209">
        <f>IF(CZ$3=$K405,IF($C405="W",1,IF($C405="1/2W",0.5,0)),0)</f>
        <v>0</v>
      </c>
      <c r="DA405" s="209">
        <f>IF(CZ$3=$K405,IF($C405="L",1,IF($C405="1/2L",0.5,0)),0)</f>
        <v>0</v>
      </c>
      <c r="DB405" s="209">
        <f>IF(DB$3=$K405,IF($C405="W",1,IF($C405="1/2W",0.5,0)),0)</f>
        <v>0</v>
      </c>
      <c r="DC405" s="209">
        <f>IF(DB$3=$K405,IF($C405="L",1,IF($C405="1/2L",0.5,0)),0)</f>
        <v>0</v>
      </c>
      <c r="DD405" s="209">
        <f>IF(DD$3=$K405,IF($C405="W",1,IF($C405="1/2W",0.5,0)),0)</f>
        <v>0</v>
      </c>
      <c r="DE405" s="210">
        <f>IF(DD$3=$K405,IF($C405="L",1,IF($C405="1/2L",0.5,0)),0)</f>
        <v>0</v>
      </c>
      <c r="DF405" s="211">
        <f>IF(AND(L405&lt;DF$3,$C405="W"),1+DF404,DF404)</f>
        <v>14</v>
      </c>
      <c r="DG405" s="198">
        <f>IF(DF405&gt;DF404,L405+DG404,DG404)</f>
        <v>18.548</v>
      </c>
      <c r="DH405" s="209">
        <f>IF(AND(L405&gt;DH$3,$C405="W"),1+DH404,0+DH404)</f>
        <v>10</v>
      </c>
      <c r="DI405" s="198">
        <f>IF(DH405&gt;DH404,L405+DI404,DI404)</f>
        <v>55.13</v>
      </c>
      <c r="DJ405" t="s" s="306">
        <f>IF($D403="","",$D403)</f>
        <v>307</v>
      </c>
      <c r="DK405" s="232"/>
    </row>
    <row r="406" ht="14.55" customHeight="1">
      <c r="A406" s="246">
        <f>$A403+1</f>
        <v>135</v>
      </c>
      <c r="B406" t="s" s="247">
        <f>IF(AND(_xlfn.XLOOKUP(H406,H$107:H173,G$107:G173,0)=G406,_xlfn.XLOOKUP("TempoBet",K406:K408,L406:L408,0)&gt;0),"X",IF(OR(C406="W",C407="W",C408="W",C406="1/2W",C407="1/2W",C408="1/2W",C406="1/2L",C407="1/2L",C408="1/2L"),"OK",IF(OR(C406="L",C407="L",C408="L"),"LOSS",IF(OR(C406="X",C407="X",C408="X"),"Anulado"," "))))</f>
        <v>24</v>
      </c>
      <c r="C406" t="s" s="248">
        <v>114</v>
      </c>
      <c r="D406" t="s" s="303">
        <f>IF(G406="","",$D403)</f>
        <v>307</v>
      </c>
      <c r="E406" t="s" s="250">
        <v>141</v>
      </c>
      <c r="F406" t="s" s="251">
        <f>IF(G406="","",IF(OR(AND($C406&lt;&gt;" ",$C407=" "),AND($C407&lt;&gt;" ",$C406=" "),AND(L408&gt;0,OR(AND($C408&lt;&gt;" ",OR($C406=" ",$C407=" ")),AND($C408=" ",OR($C406&lt;&gt;" ",$C407&lt;&gt;" "))))),IF(SUM(F$4:F405)=0,1,LARGE(F$4:F405,1)+1),IF(MONTH(G406)=MONTH(TODAY()),IF(AND(DAY(G406)&lt;DAY(TODAY()),$B406=" "),IF(SUM(F$4:F405)=0,1,LARGE(F$4:F405,1)+1),IF($B406=" ",IF(AND(DAY(G406)=DAY(TODAY()),HOUR(G406)&lt;=HOUR(NOW())+1),IF(AND(HOUR(G406)+2&lt;=HOUR(NOW()),DAY(G406)&lt;=DAY(TODAY()),MINUTE(G406)&lt;=MINUTE(NOW())),IF(SUM(F$4:F405)=0,1,LARGE(F$4:F405,1)+1),IF(OR(MINUTE(G406)&lt;=MINUTE(NOW()),HOUR(G406)&lt;=HOUR(NOW())),"!!!","")),""),"")),"")))</f>
      </c>
      <c r="G406" s="252">
        <v>44954.4375</v>
      </c>
      <c r="H406" t="s" s="253">
        <v>332</v>
      </c>
      <c r="I406" t="s" s="254">
        <v>54</v>
      </c>
      <c r="J406" s="255">
        <v>0</v>
      </c>
      <c r="K406" t="s" s="256">
        <v>41</v>
      </c>
      <c r="L406" s="257">
        <v>2.01</v>
      </c>
      <c r="M406" s="258">
        <v>22.28</v>
      </c>
      <c r="N406" s="259">
        <v>0.1</v>
      </c>
      <c r="O406" s="260">
        <f>IF(OR(AE406="",AE407=""),"",ROUND(IF(L408&gt;0,IF(M406&gt;0,M406,IF(M407&gt;0,ROUND((M407*AE406)/AE407,IF(N406=0,2,IF(N406=0.1,1,0))),ROUND((M408*AE406)/AE408,IF(N406=0,2,IF(N406=0.1,1,0))))),IF(M406&gt;0,M406,ROUND((M407*AE406)/AE407,IF(N406=0,2,IF(N406=0.1,1,0))))),2))</f>
        <v>22.28</v>
      </c>
      <c r="P406" s="261">
        <f>IF(OR(L406="",O406=""),"",IF($C406="1/2W",O406/2+O406/2*L406,IF($C406="1/2L",O406/2,IF(I406="Lay",(O406*(L406/(L406-1))-O406)*(1-_xlfn.XLOOKUP(K406,'Janeiro 2023 - Valor Real'!A3:A15,'Janeiro 2023 - Valor Real'!C3:C15,0))+O406,(O406*L406-O406)*(1-_xlfn.XLOOKUP(K406,'Janeiro 2023 - Valor Real'!A3:A15,'Janeiro 2023 - Valor Real'!C3:C15,0))+O406))))</f>
        <v>44.7828</v>
      </c>
      <c r="Q406" s="262">
        <f>IF(K406="","",IF(_xlfn.XLOOKUP(K406,K$107:K173,DJ$107:DJ173,0,,-1)=DJ406,_xlfn.XLOOKUP(K406,K$107:K173,Q$107:Q173,1,,-1)+1,1))</f>
        <v>1</v>
      </c>
      <c r="R406" s="263">
        <f>IF(K406="","",_xlfn.XLOOKUP(K406,K$107:K173,R$107:R173,0,,-1)+IF($C406=" ",1,0))</f>
        <v>0</v>
      </c>
      <c r="S406" s="264">
        <f>IF($B406="Anulado",0,ROUND(IF(OR($B406="LOSS",$B406="OK"),IF(OR($C406="W",$C406="1/2W",$C406="1/2L"),P406-O406,IF($C406="L",-O406,0))+IF(OR($C407="W",$C407="1/2W",$C407="1/2L"),P407-O407,IF($C407="L",-O407,0))+IF(OR($C408="W",$C408="1/2W",$C408="1/2L"),P408-O408,IF($C408="L",-O408,0)),IF(AND(OR($C406="W",$C406="1/2W",$C406="1/2L"),C407="W"),P406+P407-SUM(O406:O408)+_xlfn.XLOOKUP("X",C406:C408,O406:O408,0),IF(AND(C406=TRUE,C408="W"),P406+P408-SUM(O406:O408),IF(AND(C407="W",C408="W"),P407+P408-SUM(O406:O408)+_xlfn.XLOOKUP("X",C406:C408,O406:O408,0),IF(L408&gt;0,IF(OR($C406="W",$C406="1/2W",$C406="1/2L"),P406-SUM(O406:O408)+_xlfn.XLOOKUP("X",C406:C408,O406:O408,0),IF(OR($C406="W",$C406="1/2W",$C406="1/2L"),P407-SUM(O406:O408)+_xlfn.XLOOKUP("X",C406:C408,O406:O408,0),IF(OR($C406="W",$C406="1/2W",$C406="1/2L"),P408-SUM(O406:O408)+_xlfn.XLOOKUP("X",C406:C408,O406:O408,0),IF(SUM(P406:P408)/3-SUM(O406:O408)+_xlfn.XLOOKUP("X",C406:C408,O406:O408,0)&gt;0,SUM(P406:P408)/3-SUM(O406:O408)+_xlfn.XLOOKUP("X",C406:C408,O406:O408,0),LARGE(P406:P408,1)-SUM(O406:O408))))),IF(OR($C406="W",$C406="1/2W",$C406="1/2L"),P406-SUM(O406:O407)+_xlfn.XLOOKUP("X",C406:C408,O406:O408,0),IF(OR($C406="W",$C406="1/2W",$C406="1/2L"),P407-SUM(O406:O407)+_xlfn.XLOOKUP("X",C406:C408,O406:O408,0),SUM(P406:P407)/2-SUM(O406:O407)+_xlfn.XLOOKUP("X",C406:C408,O406:O408,0)))))))),2))</f>
        <v>0</v>
      </c>
      <c r="T406" s="265">
        <f>IF(S406=0,0,S406/SUM(O406:O408))</f>
        <v>0</v>
      </c>
      <c r="U406" s="266">
        <f>IF($D406=$D403,IF(OR($B406="LOSS",$B406="OK",$B406="Anulada"),S406,0)+U403,IF(OR($B406="LOSS",$B406="OK",$B406="Anulada"),S406,0))</f>
        <v>27.55</v>
      </c>
      <c r="V406" s="266">
        <f>IF($D406="",0,IF($D406=$D403,IF($B406=" ",IF(I408="",IF(OR(AND(I406="DNB1",I407="DNB2"),AND(OR(I406="DNB1",I406="DNB2"),J407=0),AND(OR(I407="DNB1",I407="DNB2"),J406=0),AND(I406="DNB2",I407="DNB1"),AND(IF(J406=0,(J406+1)/ROUND(J406+1,0),J406/ROUND(J406,0))=1,IF(J407=0,(J407+1)/ROUND(IF(J407="",0,J407)+1,0),IF(J407="",0,J407)/ROUND(IF(J407="",1,J407),0))=1,OR(J406&lt;&gt;""),J407&lt;&gt;"")),0,IF(S406&lt;0,IF(I408="",SMALL(P406:P407,1)-SUM(O406:O407),0),SMALL(P406:P407,1)-SUM(O406:O407))),IF(S406&lt;0,IF(I408="",SMALL(P406:P408,1)-SUM(O406:O408),0),LARGE(P406:P408,1)-SUM(O406:O408))),S406)+V403,IF(I408="",IF(OR(AND(I406="DNB1",I407="DNB2"),AND(OR(I406="DNB1",I406="DNB2"),J407=0),AND(OR(I407="DNB1",I407="DNB2"),J406=0),AND(I406="DNB2",I407="DNB1"),AND(IF(J406=0,(J406+1)/ROUND(J406+1,0),J406/ROUND(J406,0))=1,IF(J407=0,(IF(J407="",0,J407)+1)/ROUND(IF(J407="",0,J407)+1,0),IF(J407="",0,J407)/ROUND(IF(J407="",0,J407)+1,0))=1,OR(J406&lt;&gt;""),J407&lt;&gt;"")),0,IF(S406&lt;0,IF(I408="",SMALL(P406:P407,1)-SUM(O406:O407),0),SMALL(P406:P408,1)-SUM(O406:O408))),IF(S406&lt;0,IF(I408="",SMALL(P406:P408,1)-SUM(O406:O408),0),LARGE(P406:P408,1)-SUM(O406:O408)))))</f>
        <v>27.55225</v>
      </c>
      <c r="W406" s="266">
        <f>IF($D406=$D403,IF(S406&lt;0,IF(I408="",S406,0),S406)+W403,S406)</f>
        <v>27.55</v>
      </c>
      <c r="X406" t="s" s="267">
        <f>IF(OR(SUM(R406:R408)=0,V406=W406),ROUND(IF(W406=0,0,W406/Y406)*100,2)&amp;"%",ROUND(IF(V406=0,0,V406/Y406)*100,2)&amp;"% a "&amp;ROUND(IF(W406=0,0,W406/Y406)*100,2)&amp;"%")</f>
        <v>333</v>
      </c>
      <c r="Y406" s="268">
        <f>IF($D406=$D403,Y403+SUM(O406:O408),SUM(O406:O408))</f>
        <v>443.46</v>
      </c>
      <c r="Z406" s="266">
        <f>IF($B406=" ",SUM(O406:O408),0)+Z403</f>
        <v>0</v>
      </c>
      <c r="AA406" s="266">
        <f>IF(G406="","",IF($B406="Anulado",LARGE(P406:P408,1)-SUM(O406:O408)+AA403,AA403))</f>
        <v>21.1127</v>
      </c>
      <c r="AB406" s="266">
        <f>IF($D406="","",AB403+S406)</f>
        <v>279.22</v>
      </c>
      <c r="AC406" s="269">
        <f>IF($D406="","",IF($B406=" ",IF(DAY(G406)=DAY(TODAY()),1+AC403,0+AC403),0+AC403))</f>
        <v>0</v>
      </c>
      <c r="AD406" s="270">
        <f>(1-_xlfn.XLOOKUP(K404,'Janeiro 2023 - Valor Real'!A3:A15,'Janeiro 2023 - Valor Real'!C3:C15,0))+1</f>
        <v>2</v>
      </c>
      <c r="AE406" s="271">
        <f>IF(L406="","",IF(L408&gt;0,(SUM(((L406-1)*(1-_xlfn.XLOOKUP(K406,'Janeiro 2023 - Valor Real'!A3:A15,'Janeiro 2023 - Valor Real'!C3:C15,0))+1),((L407-1)*(1-_xlfn.XLOOKUP(K407,'Janeiro 2023 - Valor Real'!A3:A15,'Janeiro 2023 - Valor Real'!C3:C15,0))+1),((L408-1)*(1-_xlfn.XLOOKUP(K408,'Janeiro 2023 - Valor Real'!A3:A15,'Janeiro 2023 - Valor Real'!C3:C15,0))+1))/((L406-1)*(1-_xlfn.XLOOKUP(K406,'Janeiro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Real'!C3:C15,0))+1))/((L406-1)*(1-_xlfn.XLOOKUP(K406,'Janeiro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Real'!C3:C15,0))+1))/((L407-1)*(1-_xlfn.XLOOKUP(K407,'Janeiro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Real'!C3:C15,0))+1))/((L408-1)*(1-_xlfn.XLOOKUP(K408,'Janeiro 2023 - Valor Real'!A3:A15,'Janeiro 2023 - Valor Real'!C3:C15,0))+1)),IF(I406="Lay",IF(I407="Lay",((L407/(L407-1)-1)*(1-_xlfn.XLOOKUP(K407,'Janeiro 2023 - Valor Real'!A3:A15,'Janeiro 2023 - Valor Real'!C3:C15,0))+1)/(((L407/(L407-1)-1)*(1-_xlfn.XLOOKUP(K407,'Janeiro 2023 - Valor Real'!A3:A15,'Janeiro 2023 - Valor Real'!C3:C15,0))+1)+((L406/(L406-1)-1)*(1-_xlfn.XLOOKUP(K406,'Janeiro 2023 - Valor Real'!A3:A15,'Janeiro 2023 - Valor Real'!C3:C15,0))+1)),((L407-1)*(1-_xlfn.XLOOKUP(K407,'Janeiro 2023 - Valor Real'!A3:A15,'Janeiro 2023 - Valor Real'!C3:C15,0))+1)/(((L407-1)*(1-_xlfn.XLOOKUP(K407,'Janeiro 2023 - Valor Real'!A3:A15,'Janeiro 2023 - Valor Real'!C3:C15,0))+1)+((L406/(L406-1)-1)*(1-_xlfn.XLOOKUP(K406,'Janeiro 2023 - Valor Real'!A3:A15,'Janeiro 2023 - Valor Real'!C3:C15,0))+1))),IF(I407="Lay",(((L407/(L407-1)-1)*(1-_xlfn.XLOOKUP(K407,'Janeiro 2023 - Valor Real'!A3:A15,'Janeiro 2023 - Valor Real'!C3:C15,0))+1))/(((L406-1)*(1-_xlfn.XLOOKUP(K406,'Janeiro 2023 - Valor Real'!A3:A15,'Janeiro 2023 - Valor Real'!C3:C15,0))+1)+((L407/(L407-1)-1)*(1-_xlfn.XLOOKUP(K407,'Janeiro 2023 - Valor Real'!A3:A15,'Janeiro 2023 - Valor Real'!C3:C15,0))+1)),((L407-1)*(1-_xlfn.XLOOKUP(K407,'Janeiro 2023 - Valor Real'!A3:A15,'Janeiro 2023 - Valor Real'!C3:C15,0))+1)/(((L407-1)*(1-_xlfn.XLOOKUP(K407,'Janeiro 2023 - Valor Real'!A3:A15,'Janeiro 2023 - Valor Real'!C3:C15,0))+1)+((L406-1)*(1-_xlfn.XLOOKUP(K406,'Janeiro 2023 - Valor Real'!A3:A15,'Janeiro 2023 - Valor Real'!C3:C15,0))+1))))))</f>
        <v>0.554323725055432</v>
      </c>
      <c r="AF406" s="132">
        <f>IF($K406=AF$3,ROUND(IF(OR($C406="W",$C406="1/2W",$C406="1/2L"),$P406-$O406,IF($C406="X",0,-$O406)),2),0)</f>
        <v>0</v>
      </c>
      <c r="AG406" s="133">
        <f>IF($K406=AG$3,ROUND(IF(OR($C406="W",$C406="1/2W",$C406="1/2L"),$P406-$O406,IF($C406="X",0,-$O406)),2),0)</f>
        <v>0</v>
      </c>
      <c r="AH406" s="133">
        <f>IF($K406=AH$3,ROUND(IF(OR($C406="W",$C406="1/2W",$C406="1/2L"),$P406-$O406,IF($C406="X",0,-$O406)),2),0)</f>
        <v>0</v>
      </c>
      <c r="AI406" s="133">
        <f>IF($K406=AI$3,ROUND(IF(OR($C406="W",$C406="1/2W",$C406="1/2L"),$P406-$O406,IF($C406="X",0,-$O406)),2),0)</f>
        <v>0</v>
      </c>
      <c r="AJ406" s="133">
        <f>IF($K406=AJ$3,ROUND(IF(OR($C406="W",$C406="1/2W",$C406="1/2L"),$P406-$O406,IF($C406="X",0,-$O406)),2),0)</f>
        <v>0</v>
      </c>
      <c r="AK406" s="133">
        <f>IF($K406=AK$3,ROUND(IF(OR($C406="W",$C406="1/2W",$C406="1/2L"),$P406-$O406,IF($C406="X",0,-$O406)),2),0)</f>
        <v>0</v>
      </c>
      <c r="AL406" s="133">
        <f>IF($K406=AL$3,ROUND(IF(OR($C406="W",$C406="1/2W",$C406="1/2L"),$P406-$O406,IF($C406="X",0,-$O406)),2),0)</f>
        <v>0</v>
      </c>
      <c r="AM406" s="133">
        <f>IF($K406=AM$3,ROUND(IF(OR($C406="W",$C406="1/2W",$C406="1/2L"),$P406-$O406,IF($C406="X",0,-$O406)),2),0)</f>
        <v>0</v>
      </c>
      <c r="AN406" s="133">
        <f>IF($K406=AN$3,ROUND(IF(OR($C406="W",$C406="1/2W",$C406="1/2L"),$P406-$O406,IF($C406="X",0,-$O406)),2),0)</f>
        <v>0</v>
      </c>
      <c r="AO406" s="133">
        <f>IF($K406=AO$3,ROUND(IF(OR($C406="W",$C406="1/2W",$C406="1/2L"),$P406-$O406,IF($C406="X",0,-$O406)),2),0)</f>
        <v>0</v>
      </c>
      <c r="AP406" s="133">
        <f>IF($K406=AP$3,ROUND(IF(OR($C406="W",$C406="1/2W",$C406="1/2L"),$P406-$O406,IF($C406="X",0,-$O406)),2),0)</f>
        <v>0</v>
      </c>
      <c r="AQ406" s="133">
        <f>IF($K406=AQ$3,ROUND(IF(OR($C406="W",$C406="1/2W",$C406="1/2L"),$P406-$O406,IF($C406="X",0,-$O406)),2),0)</f>
        <v>0</v>
      </c>
      <c r="AR406" s="134">
        <f>IF($K406=AR$3,ROUND(IF(OR($C406="W",$C406="1/2W",$C406="1/2L"),$P406-$O406,IF($C406="X",0,-$O406)),2),0)</f>
        <v>0</v>
      </c>
      <c r="AS406" s="132">
        <f>IF(AND($B406=" ",$K406=AS$3),$O406,0)</f>
        <v>0</v>
      </c>
      <c r="AT406" s="133">
        <f>IF(AND($B406=" ",$K406=AT$3),$O406,0)</f>
        <v>0</v>
      </c>
      <c r="AU406" s="133">
        <f>IF(AND($B406=" ",$K406=AU$3),$O406,0)</f>
        <v>0</v>
      </c>
      <c r="AV406" s="133">
        <f>IF(AND($B406=" ",$K406=AV$3),$O406,0)</f>
        <v>0</v>
      </c>
      <c r="AW406" s="133">
        <f>IF(AND($B406=" ",$K406=AW$3),$O406,0)</f>
        <v>0</v>
      </c>
      <c r="AX406" s="133">
        <f>IF(AND($B406=" ",$K406=AX$3),$O406,0)</f>
        <v>0</v>
      </c>
      <c r="AY406" s="135">
        <f>IF(AND($B406=" ",$K406=AY$3),$O406,0)</f>
        <v>0</v>
      </c>
      <c r="AZ406" s="136">
        <f>IF(AND($B406=" ",$K406=AZ$3),$O406,0)</f>
        <v>0</v>
      </c>
      <c r="BA406" s="136">
        <f>IF(AND($B406=" ",$K406=BA$3),$O406,0)</f>
        <v>0</v>
      </c>
      <c r="BB406" s="136">
        <f>IF(AND($B406=" ",$K406=BB$3),$O406,0)</f>
        <v>0</v>
      </c>
      <c r="BC406" s="137">
        <f>IF(AND($B406=" ",$K406=BC$3),$O406,0)</f>
        <v>0</v>
      </c>
      <c r="BD406" s="133">
        <f>IF(AND($B406=" ",$K406=BD$3),$O406,0)</f>
        <v>0</v>
      </c>
      <c r="BE406" s="134">
        <f>IF(AND($B406=" ",$K406=BE$3),$O406,0)</f>
        <v>0</v>
      </c>
      <c r="BF406" s="132">
        <f>IF($K406=BF$3,IF($C406="X",0,$O406),0)</f>
        <v>0</v>
      </c>
      <c r="BG406" s="133">
        <f>IF($K406=BG$3,IF($C406="X",0,$O406),0)</f>
        <v>0</v>
      </c>
      <c r="BH406" s="133">
        <f>IF($K406=BH$3,IF($C406="X",0,$O406),0)</f>
        <v>0</v>
      </c>
      <c r="BI406" s="133">
        <f>IF($K406=BI$3,IF($C406="X",0,$O406),0)</f>
        <v>0</v>
      </c>
      <c r="BJ406" s="133">
        <f>IF($K406=BJ$3,IF($C406="X",0,$O406),0)</f>
        <v>0</v>
      </c>
      <c r="BK406" s="133">
        <f>IF($K406=BK$3,IF($C406="X",0,$O406),0)</f>
        <v>0</v>
      </c>
      <c r="BL406" s="133">
        <f>IF($K406=BL$3,IF($C406="X",0,$O406),0)</f>
        <v>0</v>
      </c>
      <c r="BM406" s="135">
        <f>IF($K406=BM$3,IF($C406="X",0,$O406),0)</f>
        <v>0</v>
      </c>
      <c r="BN406" s="136">
        <f>IF($K406=BN$3,IF($C406="X",0,$O406),0)</f>
        <v>0</v>
      </c>
      <c r="BO406" s="136">
        <f>IF($K406=BO$3,IF($C406="X",0,$O406),0)</f>
        <v>0</v>
      </c>
      <c r="BP406" s="136">
        <f>IF($K406=BP$3,IF($C406="X",0,$O406),0)</f>
        <v>0</v>
      </c>
      <c r="BQ406" s="137">
        <f>IF($K406=BQ$3,IF($C406="X",0,$O406),0)</f>
        <v>0</v>
      </c>
      <c r="BR406" s="134">
        <f>IF($K406=BR$3,IF($C406="X",0,$O406),0)</f>
        <v>0</v>
      </c>
      <c r="BS406" s="170">
        <f>IF($B406="LOSS",IF(AND($K406=BS$3,$C406="L"),-$O406,0)+IF(AND($K407=BS$3,$C407="L"),-$O407,0)+IF(AND($K408=BS$3,$C408="L"),-$O408,0),IF(OR(AND($K406=BS$3,OR($C406="W",$C406="1/2W")),AND($K407=BS$3,OR($C407="W",$C407="1/2W")),AND($K408=BS$3,OR($C408="W",$C408="1/2W"))),$S406,0))</f>
        <v>0</v>
      </c>
      <c r="BT406" s="272">
        <f>IF($B406="LOSS",IF(AND($K406=BT$3,$C406="L"),-$O406,0)+IF(AND($K407=BT$3,$C407="L"),-$O407,0)+IF(AND($K407=BT$3,$C408="L"),-$O408,0),IF(OR(AND($K407=BT$3,OR($C406="W",$C406="1/2W")),AND($K407=BT$3,OR($C407="W",$C407="1/2W")),AND($K407=BT$3,OR($C408="W",$C408="1/2W"))),$S406,0))</f>
        <v>0</v>
      </c>
      <c r="BU406" s="136">
        <f>IF($B406="LOSS",IF(AND($K406=BU$3,$C406="L"),-$O406,0)+IF(AND($K407=BU$3,$C407="L"),-$O407,0)+IF(AND($K407=BU$3,$C408="L"),-$O408,0),IF(OR(AND($K407=BU$3,OR($C406="W",$C406="1/2W")),AND($K407=BU$3,OR($C407="W",$C407="1/2W")),AND($K407=BU$3,OR($C408="W",$C408="1/2W"))),$S406,0))</f>
        <v>0</v>
      </c>
      <c r="BV406" s="136">
        <f>IF($B406="LOSS",IF(AND($K406=BV$3,$C406="L"),-$O406,0)+IF(AND($K407=BV$3,$C407="L"),-$O407,0)+IF(AND($K408=BV$3,$C408="L"),-$O408,0),IF(OR(AND($K406=BV$3,OR($C406="W",$C406="1/2W")),AND($K407=BV$3,OR($C407="W",$C407="1/2W")),AND($K408=BV$3,OR($C408="W",$C408="1/2W"))),$S406,0))</f>
        <v>0</v>
      </c>
      <c r="BW406" s="136">
        <f>IF($B406="LOSS",IF(AND($K406=BW$3,$C406="L"),-$O406,0)+IF(AND($K407=BW$3,$C407="L"),-$O407,0)+IF(AND($K408=BW$3,$C408="L"),-$O408,0),IF(OR(AND($K406=BW$3,OR($C406="W",$C406="1/2W")),AND($K407=BW$3,OR($C407="W",$C407="1/2W")),AND($K408=BW$3,OR($C408="W",$C408="1/2W"))),$S406,0))</f>
        <v>0</v>
      </c>
      <c r="BX406" s="136">
        <f>IF($B406="LOSS",IF(AND($K406=BX$3,$C406="L"),-$O406,0)+IF(AND($K407=BX$3,$C407="L"),-$O407,0)+IF(AND($K408=BX$3,$C408="L"),-$O408,0),IF(OR(AND($K406=BX$3,OR($C406="W",$C406="1/2W")),AND($K407=BX$3,OR($C407="W",$C407="1/2W")),AND($K408=BX$3,OR($C408="W",$C408="1/2W"))),$S406,0))</f>
        <v>0</v>
      </c>
      <c r="BY406" s="136">
        <f>IF($B406="LOSS",IF(AND($K406=BY$3,$C406="L"),-$O406,0)+IF(AND($K407=BY$3,$C407="L"),-$O407,0)+IF(AND($K408=BY$3,$C408="L"),-$O408,0),IF(OR(AND($K406=BY$3,OR($C406="W",$C406="1/2W")),AND($K407=BY$3,OR($C407="W",$C407="1/2W")),AND($K408=BY$3,OR($C408="W",$C408="1/2W"))),$S406,0))</f>
        <v>0</v>
      </c>
      <c r="BZ406" s="136">
        <f>IF($B406="LOSS",IF(AND($K406=BZ$3,$C406="L"),-$O406,0)+IF(AND($K407=BZ$3,$C407="L"),-$O407,0)+IF(AND($K408=BZ$3,$C408="L"),-$O408,0),IF(OR(AND($K406=BZ$3,OR($C406="W",$C406="1/2W")),AND($K407=BZ$3,OR($C407="W",$C407="1/2W")),AND($K408=BZ$3,OR($C408="W",$C408="1/2W"))),$S406,0))</f>
        <v>0</v>
      </c>
      <c r="CA406" s="136">
        <f>IF($B406="LOSS",IF(AND($K406=CA$3,$C406="L"),-$O406,0)+IF(AND($K407=CA$3,$C407="L"),-$O407,0)+IF(AND($K408=CA$3,$C408="L"),-$O408,0),IF(OR(AND($K406=CA$3,OR($C406="W",$C406="1/2W")),AND($K407=CA$3,OR($C407="W",$C407="1/2W")),AND($K408=CA$3,OR($C408="W",$C408="1/2W"))),$S406,0))</f>
        <v>0</v>
      </c>
      <c r="CB406" s="136">
        <f>IF($B406="LOSS",IF(AND($K406=CB$3,$C406="L"),-$O406,0)+IF(AND($K407=CB$3,$C407="L"),-$O407,0)+IF(AND($K408=CB$3,$C408="L"),-$O408,0),IF(OR(AND($K406=CB$3,OR($C406="W",$C406="1/2W")),AND($K407=CB$3,OR($C407="W",$C407="1/2W")),AND($K408=CB$3,OR($C408="W",$C408="1/2W"))),$S406,0))</f>
        <v>0</v>
      </c>
      <c r="CC406" s="136">
        <f>IF($B406="LOSS",IF(AND($K406=CC$3,$C406="L"),-$O406,0)+IF(AND($K407=CC$3,$C407="L"),-$O407,0)+IF(AND($K408=CC$3,$C408="L"),-$O408,0),IF(OR(AND($K406=CC$3,OR($C406="W",$C406="1/2W")),AND($K407=CC$3,OR($C407="W",$C407="1/2W")),AND($K408=CC$3,OR($C408="W",$C408="1/2W"))),$S406,0))</f>
        <v>0</v>
      </c>
      <c r="CD406" s="137">
        <f>IF($B406="LOSS",IF(AND($K406=CD$3,$C406="L"),-$O406,0)+IF(AND($K407=CD$3,$C407="L"),-$O407,0)+IF(AND($K408=CD$3,$C408="L"),-$O408,0),IF(OR(AND($K406=CD$3,OR($C406="W",$C406="1/2W")),AND($K407=CD$3,OR($C407="W",$C407="1/2W")),AND($K408=CD$3,OR($C408="W",$C408="1/2W"))),$S406,0))</f>
        <v>0</v>
      </c>
      <c r="CE406" s="134">
        <f>IF($B406="LOSS",IF(AND($K406=CE$3,$C406="L"),-$O406,0)+IF(AND($K407=CE$3,$C407="L"),-$O407,0)+IF(AND($K408=CE$3,$C408="L"),-$O408,0),IF(OR(AND($K406=CE$3,OR($C406="W",$C406="1/2W")),AND($K407=CE$3,OR($C407="W",$C407="1/2W")),AND($K408=CE$3,OR($C408="W",$C408="1/2W"))),$S406,0))</f>
        <v>0</v>
      </c>
      <c r="CF406" s="273">
        <f>IF(CF$3=$K406,IF($C406="W",1,IF($C406="1/2W",0.5,0)),0)</f>
        <v>0</v>
      </c>
      <c r="CG406" s="274">
        <f>IF(CF$3=$K406,IF($C406="L",1,IF($C406="1/2L",0.5,0)),0)</f>
        <v>0</v>
      </c>
      <c r="CH406" s="274">
        <f>IF(CH$3=$K406,IF($C406="W",1,IF($C406="1/2W",0.5,0)),0)</f>
        <v>0</v>
      </c>
      <c r="CI406" s="274">
        <f>IF(CH$3=$K406,IF($C406="L",1,IF($C406="1/2L",0.5,0)),0)</f>
        <v>0</v>
      </c>
      <c r="CJ406" s="274">
        <f>IF(CJ$3=$K406,IF($C406="W",1,IF($C406="1/2W",0.5,0)),0)</f>
        <v>0</v>
      </c>
      <c r="CK406" s="274">
        <f>IF(CJ$3=$K406,IF($C406="L",1,IF($C406="1/2L",0.5,0)),0)</f>
        <v>0</v>
      </c>
      <c r="CL406" s="274">
        <f>IF(CL$3=$K406,IF($C406="W",1,IF($C406="1/2W",0.5,0)),0)</f>
        <v>0</v>
      </c>
      <c r="CM406" s="274">
        <f>IF(CL$3=$K406,IF($C406="L",1,IF($C406="1/2L",0.5,0)),0)</f>
        <v>0</v>
      </c>
      <c r="CN406" s="274">
        <f>IF(CN$3=$K406,IF($C406="W",1,IF($C406="1/2W",0.5,0)),0)</f>
        <v>0</v>
      </c>
      <c r="CO406" s="274">
        <f>IF(CN$3=$K406,IF($C406="L",1,IF($C406="1/2L",0.5,0)),0)</f>
        <v>0</v>
      </c>
      <c r="CP406" s="274">
        <f>IF(CP$3=$K406,IF($C406="W",1,IF($C406="1/2W",0.5,0)),0)</f>
        <v>0</v>
      </c>
      <c r="CQ406" s="274">
        <f>IF(CP$3=$K406,IF($C406="L",1,IF($C406="1/2L",0.5,0)),0)</f>
        <v>0</v>
      </c>
      <c r="CR406" s="274">
        <f>IF(CR$3=$K406,IF($C406="W",1,IF($C406="1/2W",0.5,0)),0)</f>
        <v>0</v>
      </c>
      <c r="CS406" s="274">
        <f>IF(CR$3=$K406,IF($C406="L",1,IF($C406="1/2L",0.5,0)),0)</f>
        <v>0</v>
      </c>
      <c r="CT406" s="145">
        <f>IF(CT$3=$K406,IF($C406="W",1,IF($C406="1/2W",0.5,0)),0)</f>
        <v>0</v>
      </c>
      <c r="CU406" s="146">
        <f>IF(CT$3=$K406,IF($C406="L",1,IF($C406="1/2L",0.5,0)),0)</f>
        <v>0</v>
      </c>
      <c r="CV406" s="146">
        <f>IF(CV$3=$K406,IF($C406="W",1,IF($C406="1/2W",0.5,0)),0)</f>
        <v>0</v>
      </c>
      <c r="CW406" s="146">
        <f>IF(CV$3=$K406,IF($C406="L",1,IF($C406="1/2L",0.5,0)),0)</f>
        <v>0</v>
      </c>
      <c r="CX406" s="146">
        <f>IF(CX$3=$K406,IF($C406="W",1,IF($C406="1/2W",0.5,0)),0)</f>
        <v>0</v>
      </c>
      <c r="CY406" s="146">
        <f>IF(CX$3=$K406,IF($C406="L",1,IF($C406="1/2L",0.5,0)),0)</f>
        <v>0</v>
      </c>
      <c r="CZ406" s="146">
        <f>IF(CZ$3=$K406,IF($C406="W",1,IF($C406="1/2W",0.5,0)),0)</f>
        <v>0</v>
      </c>
      <c r="DA406" s="146">
        <f>IF(CZ$3=$K406,IF($C406="L",1,IF($C406="1/2L",0.5,0)),0)</f>
        <v>0</v>
      </c>
      <c r="DB406" s="146">
        <f>IF(DB$3=$K406,IF($C406="W",1,IF($C406="1/2W",0.5,0)),0)</f>
        <v>0</v>
      </c>
      <c r="DC406" s="146">
        <f>IF(DB$3=$K406,IF($C406="L",1,IF($C406="1/2L",0.5,0)),0)</f>
        <v>0</v>
      </c>
      <c r="DD406" s="146">
        <f>IF(DD$3=$K406,IF($C406="W",1,IF($C406="1/2W",0.5,0)),0)</f>
        <v>0</v>
      </c>
      <c r="DE406" s="147">
        <f>IF(DD$3=$K406,IF($C406="L",1,IF($C406="1/2L",0.5,0)),0)</f>
        <v>0</v>
      </c>
      <c r="DF406" s="143">
        <f>IF(AND(L406&lt;DF$3,$C406="W"),1+DF405,DF405)</f>
        <v>14</v>
      </c>
      <c r="DG406" s="133">
        <f>IF(DF406&gt;DF405,L406+DG405,DG405)</f>
        <v>18.548</v>
      </c>
      <c r="DH406" s="146">
        <f>IF(AND(L406&gt;DH$3,$C406="W"),1+DH405,0+DH405)</f>
        <v>10</v>
      </c>
      <c r="DI406" s="133">
        <f>IF(DH406&gt;DH405,L406+DI405,DI405)</f>
        <v>55.13</v>
      </c>
      <c r="DJ406" t="s" s="304">
        <f>IF($D406="","",$D406)</f>
        <v>307</v>
      </c>
      <c r="DK406" s="146">
        <f>IF(AND($B406=" ",$D406&lt;&gt;""),1,0)</f>
        <v>0</v>
      </c>
    </row>
    <row r="407" ht="14.55" customHeight="1">
      <c r="A407" s="107"/>
      <c r="B407" s="108"/>
      <c r="C407" t="s" s="109">
        <v>114</v>
      </c>
      <c r="D407" s="110"/>
      <c r="E407" s="111"/>
      <c r="F407" s="113"/>
      <c r="G407" s="252"/>
      <c r="H407" s="114"/>
      <c r="I407" t="s" s="275">
        <v>62</v>
      </c>
      <c r="J407" t="s" s="295">
        <f>IF(OR(I406="TO",I406="TU",I406="TO1",I406="TU1",I406="TO2",I406="TU2"),J406,IF(OR(I406="AH1",I406="AH2"),IF(OR(I407="AH1",I407="AH2"),-J406,IF(OR(I407="EH1",I407="EH2"),-J406+0.5,"")),IF(OR(I406="EH1",I406="EH2"),IF(OR(I407="AH1",I407="AH2"),-J406+0.5,IF(OR(I407="EH1",I407="EH2"),-J406+1,"")),IF(AND(OR(I406="DNB1",I406="DNB2"),OR(I407="AH1",I407="AH2")),0,IF(AND(I406="Not ScoreBoth",OR(I407="TO1",I407="TO2")),0.5,"")))))</f>
      </c>
      <c r="K407" t="s" s="117">
        <v>37</v>
      </c>
      <c r="L407" s="277">
        <v>2.5</v>
      </c>
      <c r="M407" s="278"/>
      <c r="N407" s="120"/>
      <c r="O407" s="121">
        <f>IF(OR(AE406="",AE407=""),"",ROUND(IF(L408&gt;0,IF(M407&gt;0,M407,IF(M406&gt;0,IF(N406=TRUE,ROUND((M406*AE407)/AE406,0),(M406*AE407)/AE406),IF(M407&gt;0,ROUND(M407,IF(N406=0,2,IF(N406=0.1,1,0))),IF(M408&gt;0,ROUND(O408*AE407/AE408,IF(N406=0,2,IF(N406=0.1,1,0))),0)))),IF(M407&gt;0,M407,ROUND((M406*AE407)/AE406,IF(N406=0,2,IF(N406=0.1,1,0))))),2))</f>
        <v>17.9</v>
      </c>
      <c r="P407" s="122">
        <f>IF(OR(L407="",O407=""),"",IF($C407="1/2W",O407/2+O407/2*L407,IF($C407="1/2L",O407/2,IF(I407="Lay",((O407*(L407/(L407-1)))-O407)*(1-_xlfn.XLOOKUP(K407,'Janeiro 2023 - Valor Real'!A3:A15,'Janeiro 2023 - Valor Real'!C3:C15,0))+O407,(O407*L407-O407)*(1-_xlfn.XLOOKUP(K407,'Janeiro 2023 - Valor Real'!A3:A15,'Janeiro 2023 - Valor Real'!C3:C15,0))+O407))))</f>
        <v>44.75</v>
      </c>
      <c r="Q407" s="279">
        <f>IF(K407="","",IF(_xlfn.XLOOKUP(K407,K$108:K174,DJ$108:DJ174,0,,-1)=DJ407,_xlfn.XLOOKUP(K407,K$108:K174,Q$108:Q174,1,,-1)+1,1))</f>
        <v>1</v>
      </c>
      <c r="R407" s="280">
        <f>IF(K407="","",_xlfn.XLOOKUP(K407,K$108:K174,R$108:R174,0,,-1)+IF($C407=" ",1,0))</f>
        <v>0</v>
      </c>
      <c r="S407" s="125"/>
      <c r="T407" s="126"/>
      <c r="U407" s="126"/>
      <c r="V407" s="224"/>
      <c r="W407" s="126"/>
      <c r="X407" s="127"/>
      <c r="Y407" s="128"/>
      <c r="Z407" s="129"/>
      <c r="AA407" s="129"/>
      <c r="AB407" s="129"/>
      <c r="AC407" s="129"/>
      <c r="AD407" s="130"/>
      <c r="AE407" s="131">
        <f>IF(L407="","",IF(L408&gt;0,(SUM(((L406-1)*(1-_xlfn.XLOOKUP(K406,'Janeiro 2023 - Valor Real'!A3:A15,'Janeiro 2023 - Valor Real'!C3:C15,0))+1),((L407-1)*(1-_xlfn.XLOOKUP(K407,'Janeiro 2023 - Valor Real'!A3:A15,'Janeiro 2023 - Valor Real'!C3:C15,0))+1),((L408-1)*(1-_xlfn.XLOOKUP(K408,'Janeiro 2023 - Valor Real'!A3:A15,'Janeiro 2023 - Valor Real'!C3:C15,0))+1))/((L407-1)*(1-_xlfn.XLOOKUP(K407,'Janeiro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Real'!C3:C15,0))+1))/((L406-1)*(1-_xlfn.XLOOKUP(K406,'Janeiro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Real'!C3:C15,0))+1))/((L407-1)*(1-_xlfn.XLOOKUP(K407,'Janeiro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Real'!C3:C15,0))+1))/((L408-1)*(1-_xlfn.XLOOKUP(K408,'Janeiro 2023 - Valor Real'!A3:A15,'Janeiro 2023 - Valor Real'!C3:C15,0))+1)),IF(I407="Lay",IF(I406="Lay",((L406/(L406-1)-1)*(1-_xlfn.XLOOKUP(K406,'Janeiro 2023 - Valor Real'!A3:A15,'Janeiro 2023 - Valor Real'!C3:C15,0))+1)/(((L406/(L406-1)-1)*(1-_xlfn.XLOOKUP(K406,'Janeiro 2023 - Valor Real'!A3:A15,'Janeiro 2023 - Valor Real'!C3:C15,0))+1)+((L407/(L407-1)-1)*(1-_xlfn.XLOOKUP(K407,'Janeiro 2023 - Valor Real'!A3:A15,'Janeiro 2023 - Valor Real'!C3:C15,0))+1)),((L406-1)*(1-_xlfn.XLOOKUP(K406,'Janeiro 2023 - Valor Real'!A3:A15,'Janeiro 2023 - Valor Real'!C3:C15,0))+1)/(((L406-1)*(1-_xlfn.XLOOKUP(K406,'Janeiro 2023 - Valor Real'!A3:A15,'Janeiro 2023 - Valor Real'!C3:C15,0))+1)+((L407/(L407-1)-1)*(1-_xlfn.XLOOKUP(K407,'Janeiro 2023 - Valor Real'!A3:A15,'Janeiro 2023 - Valor Real'!C3:C15,0))+1))),IF(I406="Lay",((L406/(L406-1)-1)*(1-_xlfn.XLOOKUP(K406,'Janeiro 2023 - Valor Real'!A3:A15,'Janeiro 2023 - Valor Real'!C3:C15,0))+1)/((((L406/(L406-1)-1)*(1-_xlfn.XLOOKUP(K406,'Janeiro 2023 - Valor Real'!A3:A15,'Janeiro 2023 - Valor Real'!C3:C15,0))+1))+((L407-1)*(1-_xlfn.XLOOKUP(K407,'Janeiro 2023 - Valor Real'!A3:A15,'Janeiro 2023 - Valor Real'!C3:C15,0))+1)),((L406-1)*(1-_xlfn.XLOOKUP(K406,'Janeiro 2023 - Valor Real'!A3:A15,'Janeiro 2023 - Valor Real'!C3:C15,0))+1)/(((L406-1)*(1-_xlfn.XLOOKUP(K406,'Janeiro 2023 - Valor Real'!A3:A15,'Janeiro 2023 - Valor Real'!C3:C15,0))+1)+((L407-1)*(1-_xlfn.XLOOKUP(K407,'Janeiro 2023 - Valor Real'!A3:A15,'Janeiro 2023 - Valor Real'!C3:C15,0))+1))))))</f>
        <v>0.445676274944568</v>
      </c>
      <c r="AF407" s="132">
        <f>IF($K407=AF$3,ROUND(IF(OR($C407="W",$C407="1/2W",$C407="1/2L"),$P407-$O407,IF($C407="X",0,-$O407)),2),0)</f>
        <v>0</v>
      </c>
      <c r="AG407" s="133">
        <f>IF($K407=AG$3,ROUND(IF(OR($C407="W",$C407="1/2W",$C407="1/2L"),$P407-$O407,IF($C407="X",0,-$O407)),2),0)</f>
        <v>0</v>
      </c>
      <c r="AH407" s="133">
        <f>IF($K407=AH$3,ROUND(IF(OR($C407="W",$C407="1/2W",$C407="1/2L"),$P407-$O407,IF($C407="X",0,-$O407)),2),0)</f>
        <v>0</v>
      </c>
      <c r="AI407" s="133">
        <f>IF($K407=AI$3,ROUND(IF(OR($C407="W",$C407="1/2W",$C407="1/2L"),$P407-$O407,IF($C407="X",0,-$O407)),2),0)</f>
        <v>0</v>
      </c>
      <c r="AJ407" s="133">
        <f>IF($K407=AJ$3,ROUND(IF(OR($C407="W",$C407="1/2W",$C407="1/2L"),$P407-$O407,IF($C407="X",0,-$O407)),2),0)</f>
        <v>0</v>
      </c>
      <c r="AK407" s="133">
        <f>IF($K407=AK$3,ROUND(IF(OR($C407="W",$C407="1/2W",$C407="1/2L"),$P407-$O407,IF($C407="X",0,-$O407)),2),0)</f>
        <v>0</v>
      </c>
      <c r="AL407" s="133">
        <f>IF($K407=AL$3,ROUND(IF(OR($C407="W",$C407="1/2W",$C407="1/2L"),$P407-$O407,IF($C407="X",0,-$O407)),2),0)</f>
        <v>0</v>
      </c>
      <c r="AM407" s="133">
        <f>IF($K407=AM$3,ROUND(IF(OR($C407="W",$C407="1/2W",$C407="1/2L"),$P407-$O407,IF($C407="X",0,-$O407)),2),0)</f>
        <v>0</v>
      </c>
      <c r="AN407" s="133">
        <f>IF($K407=AN$3,ROUND(IF(OR($C407="W",$C407="1/2W",$C407="1/2L"),$P407-$O407,IF($C407="X",0,-$O407)),2),0)</f>
        <v>0</v>
      </c>
      <c r="AO407" s="133">
        <f>IF($K407=AO$3,ROUND(IF(OR($C407="W",$C407="1/2W",$C407="1/2L"),$P407-$O407,IF($C407="X",0,-$O407)),2),0)</f>
        <v>0</v>
      </c>
      <c r="AP407" s="133">
        <f>IF($K407=AP$3,ROUND(IF(OR($C407="W",$C407="1/2W",$C407="1/2L"),$P407-$O407,IF($C407="X",0,-$O407)),2),0)</f>
        <v>0</v>
      </c>
      <c r="AQ407" s="133">
        <f>IF($K407=AQ$3,ROUND(IF(OR($C407="W",$C407="1/2W",$C407="1/2L"),$P407-$O407,IF($C407="X",0,-$O407)),2),0)</f>
        <v>0</v>
      </c>
      <c r="AR407" s="134">
        <f>IF($K407=AR$3,ROUND(IF(OR($C407="W",$C407="1/2W",$C407="1/2L"),$P407-$O407,IF($C407="X",0,-$O407)),2),0)</f>
        <v>0</v>
      </c>
      <c r="AS407" s="132">
        <f>IF(AND($B406=" ",$K407=AS$3),$O407,0)</f>
        <v>0</v>
      </c>
      <c r="AT407" s="133">
        <f>IF(AND($B406=" ",K407=AT$3),$O407,0)</f>
        <v>0</v>
      </c>
      <c r="AU407" s="133">
        <f>IF(AND($B406=" ",$K407=AU$3),$O407,0)</f>
        <v>0</v>
      </c>
      <c r="AV407" s="133">
        <f>IF(AND($B406=" ",$K407=AV$3),$O407,0)</f>
        <v>0</v>
      </c>
      <c r="AW407" s="133">
        <f>IF(AND($B406=" ",$K407=AW$3),$O407,0)</f>
        <v>0</v>
      </c>
      <c r="AX407" s="133">
        <f>IF(AND($B406=" ",$K407=AX$3),$O407,0)</f>
        <v>0</v>
      </c>
      <c r="AY407" s="135">
        <f>IF(AND($B406=" ",$K407=AY$3),$O407,0)</f>
        <v>0</v>
      </c>
      <c r="AZ407" s="136">
        <f>IF(AND($B406=" ",$K407=AZ$3),$O407,0)</f>
        <v>0</v>
      </c>
      <c r="BA407" s="136">
        <f>IF(AND($B406=" ",$K407=BA$3),$O407,0)</f>
        <v>0</v>
      </c>
      <c r="BB407" s="136">
        <f>IF(AND($B406=" ",$K407=BB$3),$O407,0)</f>
        <v>0</v>
      </c>
      <c r="BC407" s="137">
        <f>IF(AND($B406=" ",$K407=BC$3),$O407,0)</f>
        <v>0</v>
      </c>
      <c r="BD407" s="133">
        <f>IF(AND($B406=" ",$K407=BD$3),$O407,0)</f>
        <v>0</v>
      </c>
      <c r="BE407" s="134">
        <f>IF(AND($B406=" ",$K407=BE$3),$O407,0)</f>
        <v>0</v>
      </c>
      <c r="BF407" s="132">
        <f>IF($K407=BF$3,IF($C407="X",0,$O407),0)</f>
        <v>0</v>
      </c>
      <c r="BG407" s="281">
        <f>IF($K407=BG$3,IF($C407="X",0,$O407),0)</f>
        <v>0</v>
      </c>
      <c r="BH407" s="133">
        <f>IF($K407=BH$3,IF($C407="X",0,$O407),0)</f>
        <v>0</v>
      </c>
      <c r="BI407" s="133">
        <f>IF($K407=BI$3,IF($C407="X",0,$O407),0)</f>
        <v>0</v>
      </c>
      <c r="BJ407" s="133">
        <f>IF($K407=BJ$3,IF($C407="X",0,$O407),0)</f>
        <v>0</v>
      </c>
      <c r="BK407" s="133">
        <f>IF($K407=BK$3,IF($C407="X",0,$O407),0)</f>
        <v>0</v>
      </c>
      <c r="BL407" s="133">
        <f>IF($K407=BL$3,IF($C407="X",0,$O407),0)</f>
        <v>0</v>
      </c>
      <c r="BM407" s="135">
        <f>IF($K407=BM$3,IF($C407="X",0,$O407),0)</f>
        <v>0</v>
      </c>
      <c r="BN407" s="136">
        <f>IF($K407=BN$3,IF($C407="X",0,$O407),0)</f>
        <v>0</v>
      </c>
      <c r="BO407" s="136">
        <f>IF($K407=BO$3,IF($C407="X",0,$O407),0)</f>
        <v>0</v>
      </c>
      <c r="BP407" s="136">
        <f>IF($K407=BP$3,IF($C407="X",0,$O407),0)</f>
        <v>0</v>
      </c>
      <c r="BQ407" s="137">
        <f>IF($K407=BQ$3,IF($C407="X",0,$O407),0)</f>
        <v>0</v>
      </c>
      <c r="BR407" s="134">
        <f>IF($K407=BR$3,IF($C407="X",0,$O407),0)</f>
        <v>0</v>
      </c>
      <c r="BS407" s="282"/>
      <c r="BT407" s="283"/>
      <c r="BU407" s="140"/>
      <c r="BV407" s="283"/>
      <c r="BW407" s="140"/>
      <c r="BX407" s="140"/>
      <c r="BY407" s="140"/>
      <c r="BZ407" s="283"/>
      <c r="CA407" s="140"/>
      <c r="CB407" s="140"/>
      <c r="CC407" s="140"/>
      <c r="CD407" s="141"/>
      <c r="CE407" s="142"/>
      <c r="CF407" s="284">
        <f>IF(CF$3=$K407,IF($C407="W",1,IF($C407="1/2W",0.5,0)),0)</f>
        <v>0</v>
      </c>
      <c r="CG407" s="285">
        <f>IF(CF$3=$K407,IF($C407="L",1,IF($C407="1/2L",0.5,0)),0)</f>
        <v>0</v>
      </c>
      <c r="CH407" s="285">
        <f>IF(CH$3=$K407,IF($C407="W",1,IF($C407="1/2W",0.5,0)),0)</f>
        <v>0</v>
      </c>
      <c r="CI407" s="285">
        <f>IF(CH$3=$K407,IF($C407="L",1,IF($C407="1/2L",0.5,0)),0)</f>
        <v>0</v>
      </c>
      <c r="CJ407" s="285">
        <f>IF(CJ$3=$K407,IF($C407="W",1,IF($C407="1/2W",0.5,0)),0)</f>
        <v>0</v>
      </c>
      <c r="CK407" s="285">
        <f>IF(CJ$3=$K407,IF($C407="L",1,IF($C407="1/2L",0.5,0)),0)</f>
        <v>0</v>
      </c>
      <c r="CL407" s="285">
        <f>IF(CL$3=$K407,IF($C407="W",1,IF($C407="1/2W",0.5,0)),0)</f>
        <v>0</v>
      </c>
      <c r="CM407" s="285">
        <f>IF(CL$3=$K407,IF($C407="L",1,IF($C407="1/2L",0.5,0)),0)</f>
        <v>0</v>
      </c>
      <c r="CN407" s="285">
        <f>IF(CN$3=$K407,IF($C407="W",1,IF($C407="1/2W",0.5,0)),0)</f>
        <v>0</v>
      </c>
      <c r="CO407" s="285">
        <f>IF(CN$3=$K407,IF($C407="L",1,IF($C407="1/2L",0.5,0)),0)</f>
        <v>0</v>
      </c>
      <c r="CP407" s="285">
        <f>IF(CP$3=$K407,IF($C407="W",1,IF($C407="1/2W",0.5,0)),0)</f>
        <v>0</v>
      </c>
      <c r="CQ407" s="285">
        <f>IF(CP$3=$K407,IF($C407="L",1,IF($C407="1/2L",0.5,0)),0)</f>
        <v>0</v>
      </c>
      <c r="CR407" s="285">
        <f>IF(CR$3=$K407,IF($C407="W",1,IF($C407="1/2W",0.5,0)),0)</f>
        <v>0</v>
      </c>
      <c r="CS407" s="285">
        <f>IF(CR$3=$K407,IF($C407="L",1,IF($C407="1/2L",0.5,0)),0)</f>
        <v>0</v>
      </c>
      <c r="CT407" s="145">
        <f>IF(CT$3=$K407,IF($C407="W",1,IF($C407="1/2W",0.5,0)),0)</f>
        <v>0</v>
      </c>
      <c r="CU407" s="146">
        <f>IF(CT$3=$K407,IF($C407="L",1,IF($C407="1/2L",0.5,0)),0)</f>
        <v>0</v>
      </c>
      <c r="CV407" s="146">
        <f>IF(CV$3=$K407,IF($C407="W",1,IF($C407="1/2W",0.5,0)),0)</f>
        <v>0</v>
      </c>
      <c r="CW407" s="146">
        <f>IF(CV$3=$K407,IF($C407="L",1,IF($C407="1/2L",0.5,0)),0)</f>
        <v>0</v>
      </c>
      <c r="CX407" s="146">
        <f>IF(CX$3=$K407,IF($C407="W",1,IF($C407="1/2W",0.5,0)),0)</f>
        <v>0</v>
      </c>
      <c r="CY407" s="146">
        <f>IF(CX$3=$K407,IF($C407="L",1,IF($C407="1/2L",0.5,0)),0)</f>
        <v>0</v>
      </c>
      <c r="CZ407" s="146">
        <f>IF(CZ$3=$K407,IF($C407="W",1,IF($C407="1/2W",0.5,0)),0)</f>
        <v>0</v>
      </c>
      <c r="DA407" s="146">
        <f>IF(CZ$3=$K407,IF($C407="L",1,IF($C407="1/2L",0.5,0)),0)</f>
        <v>0</v>
      </c>
      <c r="DB407" s="146">
        <f>IF(DB$3=$K407,IF($C407="W",1,IF($C407="1/2W",0.5,0)),0)</f>
        <v>0</v>
      </c>
      <c r="DC407" s="146">
        <f>IF(DB$3=$K407,IF($C407="L",1,IF($C407="1/2L",0.5,0)),0)</f>
        <v>0</v>
      </c>
      <c r="DD407" s="146">
        <f>IF(DD$3=$K407,IF($C407="W",1,IF($C407="1/2W",0.5,0)),0)</f>
        <v>0</v>
      </c>
      <c r="DE407" s="147">
        <f>IF(DD$3=$K407,IF($C407="L",1,IF($C407="1/2L",0.5,0)),0)</f>
        <v>0</v>
      </c>
      <c r="DF407" s="143">
        <f>IF(AND(L407&lt;DF$3,$C407="W"),1+DF406,DF406)</f>
        <v>14</v>
      </c>
      <c r="DG407" s="133">
        <f>IF(DF407&gt;DF406,L407+DG406,DG406)</f>
        <v>18.548</v>
      </c>
      <c r="DH407" s="146">
        <f>IF(AND(L407&gt;DH$3,$C407="W"),1+DH406,0+DH406)</f>
        <v>10</v>
      </c>
      <c r="DI407" s="133">
        <f>IF(DH407&gt;DH406,L407+DI406,DI406)</f>
        <v>55.13</v>
      </c>
      <c r="DJ407" t="s" s="304">
        <f>IF($D406="","",$D406)</f>
        <v>307</v>
      </c>
      <c r="DK407" s="286"/>
    </row>
    <row r="408" ht="14.55" customHeight="1">
      <c r="A408" s="149"/>
      <c r="B408" s="150"/>
      <c r="C408" t="s" s="151">
        <v>58</v>
      </c>
      <c r="D408" s="152"/>
      <c r="E408" s="153"/>
      <c r="F408" s="155"/>
      <c r="G408" s="252"/>
      <c r="H408" s="156"/>
      <c r="I408" s="287"/>
      <c r="J408" s="288"/>
      <c r="K408" s="156"/>
      <c r="L408" s="289"/>
      <c r="M408" s="290"/>
      <c r="N408" s="161"/>
      <c r="O408" t="s" s="162">
        <f>IF(OR(AE406="",AE407=""),"",IF(L408&gt;0,ROUND(IF(M408&gt;0,M408,IF(M406&gt;0,ROUND((M406*AE408)/AE406,IF(N406=0,2,IF(N406=0.1,1,0))),IF(M407&gt;0,ROUND((M407*AE408)/AE407,IF(N406=0,2,IF(N406=0.1,1,0))),IF(M408&gt;0,M408,0)))),2),""))</f>
      </c>
      <c r="P408" t="s" s="163">
        <f>IF(I407="Lay",O407*(L407/(L407-1))-O407,IF(I406="Lay",O406*(L406/(L406-1))-O406,IF(OR(L408="",O408=""),"",IF($C408="1/2W",O408/2+O408/2*L408,IF($C408="1/2L",O408/2,(O408*L408-O408)*(1-_xlfn.XLOOKUP(K408,'Janeiro 2023 - Valor Real'!A3:A15,'Janeiro 2023 - Valor Real'!C3:C15,0))+O408)))))</f>
      </c>
      <c r="Q408" t="s" s="154">
        <f>IF(K408="","",IF(_xlfn.XLOOKUP(K408,K$109:K175,DJ$109:DJ175,0,,-1)=DJ408,_xlfn.XLOOKUP(K408,K$109:K175,Q$109:Q175,1,,-1)+1,1))</f>
      </c>
      <c r="R408" t="s" s="163">
        <f>IF(K408="","",_xlfn.XLOOKUP(K408,K$109:K175,R$109:R175,0,,-1)+IF($C408=" ",1,0))</f>
      </c>
      <c r="S408" s="166"/>
      <c r="T408" s="155"/>
      <c r="U408" s="155"/>
      <c r="V408" s="166"/>
      <c r="W408" s="155"/>
      <c r="X408" s="167"/>
      <c r="Y408" s="128"/>
      <c r="Z408" s="129"/>
      <c r="AA408" s="129"/>
      <c r="AB408" s="129"/>
      <c r="AC408" s="129"/>
      <c r="AD408" s="168"/>
      <c r="AE408" t="s" s="169">
        <f>IF(L408="","",(SUM(((L406-1)*(1-_xlfn.XLOOKUP(K406,'Janeiro 2023 - Valor Real'!A3:A15,'Janeiro 2023 - Valor Real'!C3:C15,0))+1),((L407-1)*(1-_xlfn.XLOOKUP(K407,'Janeiro 2023 - Valor Real'!A3:A15,'Janeiro 2023 - Valor Real'!C3:C15,0))+1),((L408-1)*(1-_xlfn.XLOOKUP(K408,'Janeiro 2023 - Valor Real'!A3:A15,'Janeiro 2023 - Valor Real'!C3:C15,0))+1))/((L408-1)*(1-_xlfn.XLOOKUP(K408,'Janeiro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Real'!C3:C15,0))+1))/((L406-1)*(1-_xlfn.XLOOKUP(K406,'Janeiro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Real'!C3:C15,0))+1))/((L407-1)*(1-_xlfn.XLOOKUP(K407,'Janeiro 2023 - Valor Real'!A3:A15,'Janeiro 2023 - Valor Real'!C3:C15,0))+1)+SUM(((L406-1)*(1-_xlfn.XLOOKUP(K406,'Janeiro 2023 - Valor Real'!A3:A15,'Janeiro 2023 - Valor Real'!C3:C15,0))+1),((L407-1)*(1-_xlfn.XLOOKUP(K407,'Janeiro 2023 - Valor Real'!A3:A15,'Janeiro 2023 - Valor Real'!C3:C15,0))+1),((L408-1)*(1-_xlfn.XLOOKUP(K408,'Janeiro 2023 - Valor Real'!A3:A15,'Janeiro 2023 - Valor Real'!C3:C15,0))+1))/((L408-1)*(1-_xlfn.XLOOKUP(K408,'Janeiro 2023 - Valor Real'!A3:A15,'Janeiro 2023 - Valor Real'!C3:C15,0))+1)))</f>
      </c>
      <c r="AF408" s="132">
        <f>IF($K408=AF$3,ROUND(IF(OR($C408="W",$C408="1/2W",$C408="1/2L"),$P408-$O408,IF($C408="X",0,-$O408)),2),0)</f>
        <v>0</v>
      </c>
      <c r="AG408" s="133">
        <f>IF($K408=AG$3,ROUND(IF(OR($C408="W",$C408="1/2W",$C408="1/2L"),$P408-$O408,IF($C408="X",0,-$O408)),2),0)</f>
        <v>0</v>
      </c>
      <c r="AH408" s="133">
        <f>IF($K408=AH$3,ROUND(IF(OR($C408="W",$C408="1/2W",$C408="1/2L"),$P408-$O408,IF($C408="X",0,-$O408)),2),0)</f>
        <v>0</v>
      </c>
      <c r="AI408" s="133">
        <f>IF($K408=AI$3,ROUND(IF(OR($C408="W",$C408="1/2W",$C408="1/2L"),$P408-$O408,IF($C408="X",0,-$O408)),2),0)</f>
        <v>0</v>
      </c>
      <c r="AJ408" s="133">
        <f>IF($K408=AJ$3,ROUND(IF(OR($C408="W",$C408="1/2W",$C408="1/2L"),$P408-$O408,IF($C408="X",0,-$O408)),2),0)</f>
        <v>0</v>
      </c>
      <c r="AK408" s="133">
        <f>IF($K408=AK$3,ROUND(IF(OR($C408="W",$C408="1/2W",$C408="1/2L"),$P408-$O408,IF($C408="X",0,-$O408)),2),0)</f>
        <v>0</v>
      </c>
      <c r="AL408" s="133">
        <f>IF($K408=AL$3,ROUND(IF(OR($C408="W",$C408="1/2W",$C408="1/2L"),$P408-$O408,IF($C408="X",0,-$O408)),2),0)</f>
        <v>0</v>
      </c>
      <c r="AM408" s="133">
        <f>IF($K408=AM$3,ROUND(IF(OR($C408="W",$C408="1/2W",$C408="1/2L"),$P408-$O408,IF($C408="X",0,-$O408)),2),0)</f>
        <v>0</v>
      </c>
      <c r="AN408" s="133">
        <f>IF($K408=AN$3,ROUND(IF(OR($C408="W",$C408="1/2W",$C408="1/2L"),$P408-$O408,IF($C408="X",0,-$O408)),2),0)</f>
        <v>0</v>
      </c>
      <c r="AO408" s="133">
        <f>IF($K408=AO$3,ROUND(IF(OR($C408="W",$C408="1/2W",$C408="1/2L"),$P408-$O408,IF($C408="X",0,-$O408)),2),0)</f>
        <v>0</v>
      </c>
      <c r="AP408" s="133">
        <f>IF($K408=AP$3,ROUND(IF(OR($C408="W",$C408="1/2W",$C408="1/2L"),$P408-$O408,IF($C408="X",0,-$O408)),2),0)</f>
        <v>0</v>
      </c>
      <c r="AQ408" s="133">
        <f>IF($K408=AQ$3,ROUND(IF(OR($C408="W",$C408="1/2W",$C408="1/2L"),$P408-$O408,IF($C408="X",0,-$O408)),2),0)</f>
        <v>0</v>
      </c>
      <c r="AR408" s="134">
        <f>IF($K408=AR$3,ROUND(IF(OR($C408="W",$C408="1/2W",$C408="1/2L"),$P408-$O408,IF($C408="X",0,-$O408)),2),0)</f>
        <v>0</v>
      </c>
      <c r="AS408" s="132">
        <f>IF(AND($B406=" ",$K408=AS$3),$O408,0)</f>
        <v>0</v>
      </c>
      <c r="AT408" s="133">
        <f>IF(AND($B406=" ",K408=AT$3),$O408,0)</f>
        <v>0</v>
      </c>
      <c r="AU408" s="133">
        <f>IF(AND($B406=" ",$K408=AU$3),$O408,0)</f>
        <v>0</v>
      </c>
      <c r="AV408" s="133">
        <f>IF(AND($B406=" ",$K408=AV$3),$O408,0)</f>
        <v>0</v>
      </c>
      <c r="AW408" s="133">
        <f>IF(AND($B406=" ",$K408=AW$3),$O408,0)</f>
        <v>0</v>
      </c>
      <c r="AX408" s="133">
        <f>IF(AND($B406=" ",$K408=AX$3),$O408,0)</f>
        <v>0</v>
      </c>
      <c r="AY408" s="135">
        <f>IF(AND($B406=" ",$K408=AY$3),$O408,0)</f>
        <v>0</v>
      </c>
      <c r="AZ408" s="136">
        <f>IF(AND($B406=" ",$K408=AZ$3),$O408,0)</f>
        <v>0</v>
      </c>
      <c r="BA408" s="136">
        <f>IF(AND($B406=" ",$K408=BA$3),$O408,0)</f>
        <v>0</v>
      </c>
      <c r="BB408" s="136">
        <f>IF(AND($B406=" ",$K408=BB$3),$O408,0)</f>
        <v>0</v>
      </c>
      <c r="BC408" s="137">
        <f>IF(AND($B406=" ",$K408=BC$3),$O408,0)</f>
        <v>0</v>
      </c>
      <c r="BD408" s="133">
        <f>IF(AND($B406=" ",$K408=BD$3),$O408,0)</f>
        <v>0</v>
      </c>
      <c r="BE408" s="134">
        <f>IF(AND($B406=" ",$K408=BE$3),$O408,0)</f>
        <v>0</v>
      </c>
      <c r="BF408" s="132">
        <f>IF($K408=BF$3,IF($C408="X",0,$O408),0)</f>
        <v>0</v>
      </c>
      <c r="BG408" s="281">
        <f>IF($K408=BG$3,IF($C408="X",0,$O408),0)</f>
        <v>0</v>
      </c>
      <c r="BH408" s="133">
        <f>IF($K408=BH$3,IF($C408="X",0,$O408),0)</f>
        <v>0</v>
      </c>
      <c r="BI408" s="133">
        <f>IF($K408=BI$3,IF($C408="X",0,$O408),0)</f>
        <v>0</v>
      </c>
      <c r="BJ408" s="133">
        <f>IF($K408=BJ$3,IF($C408="X",0,$O408),0)</f>
        <v>0</v>
      </c>
      <c r="BK408" s="133">
        <f>IF($K408=BK$3,IF($C408="X",0,$O408),0)</f>
        <v>0</v>
      </c>
      <c r="BL408" s="133">
        <f>IF($K408=BL$3,IF($C408="X",0,$O408),0)</f>
        <v>0</v>
      </c>
      <c r="BM408" s="135">
        <f>IF($K408=BM$3,IF($C408="X",0,$O408),0)</f>
        <v>0</v>
      </c>
      <c r="BN408" s="136">
        <f>IF($K408=BN$3,IF($C408="X",0,$O408),0)</f>
        <v>0</v>
      </c>
      <c r="BO408" s="136">
        <f>IF($K408=BO$3,IF($C408="X",0,$O408),0)</f>
        <v>0</v>
      </c>
      <c r="BP408" s="136">
        <f>IF($K408=BP$3,IF($C408="X",0,$O408),0)</f>
        <v>0</v>
      </c>
      <c r="BQ408" s="137">
        <f>IF($K408=BQ$3,IF($C408="X",0,$O408),0)</f>
        <v>0</v>
      </c>
      <c r="BR408" s="134">
        <f>IF($K408=BR$3,IF($C408="X",0,$O408),0)</f>
        <v>0</v>
      </c>
      <c r="BS408" s="282"/>
      <c r="BT408" s="283"/>
      <c r="BU408" s="140"/>
      <c r="BV408" s="283"/>
      <c r="BW408" s="140"/>
      <c r="BX408" s="140"/>
      <c r="BY408" s="140"/>
      <c r="BZ408" s="283"/>
      <c r="CA408" s="140"/>
      <c r="CB408" s="140"/>
      <c r="CC408" s="140"/>
      <c r="CD408" s="141"/>
      <c r="CE408" s="142"/>
      <c r="CF408" s="284">
        <f>IF(CF$3=$K408,IF($C408="W",1,IF($C408="1/2W",0.5,0)),0)</f>
        <v>0</v>
      </c>
      <c r="CG408" s="285">
        <f>IF(CF$3=$K408,IF($C408="L",1,IF($C408="1/2L",0.5,0)),0)</f>
        <v>0</v>
      </c>
      <c r="CH408" s="285">
        <f>IF(CH$3=$K408,IF($C408="W",1,IF($C408="1/2W",0.5,0)),0)</f>
        <v>0</v>
      </c>
      <c r="CI408" s="285">
        <f>IF(CH$3=$K408,IF($C408="L",1,IF($C408="1/2L",0.5,0)),0)</f>
        <v>0</v>
      </c>
      <c r="CJ408" s="285">
        <f>IF(CJ$3=$K408,IF($C408="W",1,IF($C408="1/2W",0.5,0)),0)</f>
        <v>0</v>
      </c>
      <c r="CK408" s="285">
        <f>IF(CJ$3=$K408,IF($C408="L",1,IF($C408="1/2L",0.5,0)),0)</f>
        <v>0</v>
      </c>
      <c r="CL408" s="285">
        <f>IF(CL$3=$K408,IF($C408="W",1,IF($C408="1/2W",0.5,0)),0)</f>
        <v>0</v>
      </c>
      <c r="CM408" s="285">
        <f>IF(CL$3=$K408,IF($C408="L",1,IF($C408="1/2L",0.5,0)),0)</f>
        <v>0</v>
      </c>
      <c r="CN408" s="285">
        <f>IF(CN$3=$K408,IF($C408="W",1,IF($C408="1/2W",0.5,0)),0)</f>
        <v>0</v>
      </c>
      <c r="CO408" s="285">
        <f>IF(CN$3=$K408,IF($C408="L",1,IF($C408="1/2L",0.5,0)),0)</f>
        <v>0</v>
      </c>
      <c r="CP408" s="285">
        <f>IF(CP$3=$K408,IF($C408="W",1,IF($C408="1/2W",0.5,0)),0)</f>
        <v>0</v>
      </c>
      <c r="CQ408" s="285">
        <f>IF(CP$3=$K408,IF($C408="L",1,IF($C408="1/2L",0.5,0)),0)</f>
        <v>0</v>
      </c>
      <c r="CR408" s="285">
        <f>IF(CR$3=$K408,IF($C408="W",1,IF($C408="1/2W",0.5,0)),0)</f>
        <v>0</v>
      </c>
      <c r="CS408" s="285">
        <f>IF(CR$3=$K408,IF($C408="L",1,IF($C408="1/2L",0.5,0)),0)</f>
        <v>0</v>
      </c>
      <c r="CT408" s="145">
        <f>IF(CT$3=$K408,IF($C408="W",1,IF($C408="1/2W",0.5,0)),0)</f>
        <v>0</v>
      </c>
      <c r="CU408" s="146">
        <f>IF(CT$3=$K408,IF($C408="L",1,IF($C408="1/2L",0.5,0)),0)</f>
        <v>0</v>
      </c>
      <c r="CV408" s="146">
        <f>IF(CV$3=$K408,IF($C408="W",1,IF($C408="1/2W",0.5,0)),0)</f>
        <v>0</v>
      </c>
      <c r="CW408" s="146">
        <f>IF(CV$3=$K408,IF($C408="L",1,IF($C408="1/2L",0.5,0)),0)</f>
        <v>0</v>
      </c>
      <c r="CX408" s="146">
        <f>IF(CX$3=$K408,IF($C408="W",1,IF($C408="1/2W",0.5,0)),0)</f>
        <v>0</v>
      </c>
      <c r="CY408" s="146">
        <f>IF(CX$3=$K408,IF($C408="L",1,IF($C408="1/2L",0.5,0)),0)</f>
        <v>0</v>
      </c>
      <c r="CZ408" s="146">
        <f>IF(CZ$3=$K408,IF($C408="W",1,IF($C408="1/2W",0.5,0)),0)</f>
        <v>0</v>
      </c>
      <c r="DA408" s="146">
        <f>IF(CZ$3=$K408,IF($C408="L",1,IF($C408="1/2L",0.5,0)),0)</f>
        <v>0</v>
      </c>
      <c r="DB408" s="146">
        <f>IF(DB$3=$K408,IF($C408="W",1,IF($C408="1/2W",0.5,0)),0)</f>
        <v>0</v>
      </c>
      <c r="DC408" s="146">
        <f>IF(DB$3=$K408,IF($C408="L",1,IF($C408="1/2L",0.5,0)),0)</f>
        <v>0</v>
      </c>
      <c r="DD408" s="146">
        <f>IF(DD$3=$K408,IF($C408="W",1,IF($C408="1/2W",0.5,0)),0)</f>
        <v>0</v>
      </c>
      <c r="DE408" s="147">
        <f>IF(DD$3=$K408,IF($C408="L",1,IF($C408="1/2L",0.5,0)),0)</f>
        <v>0</v>
      </c>
      <c r="DF408" s="143">
        <f>IF(AND(L408&lt;DF$3,$C408="W"),1+DF407,DF407)</f>
        <v>14</v>
      </c>
      <c r="DG408" s="133">
        <f>IF(DF408&gt;DF407,L408+DG407,DG407)</f>
        <v>18.548</v>
      </c>
      <c r="DH408" s="146">
        <f>IF(AND(L408&gt;DH$3,$C408="W"),1+DH407,0+DH407)</f>
        <v>10</v>
      </c>
      <c r="DI408" s="133">
        <f>IF(DH408&gt;DH407,L408+DI407,DI407)</f>
        <v>55.13</v>
      </c>
      <c r="DJ408" t="s" s="304">
        <f>IF($D406="","",$D406)</f>
        <v>307</v>
      </c>
      <c r="DK408" s="286"/>
    </row>
    <row r="409" ht="14.55" customHeight="1">
      <c r="A409" s="171">
        <f>$A406+1</f>
        <v>136</v>
      </c>
      <c r="B409" t="s" s="172">
        <f>IF(AND(_xlfn.XLOOKUP(H409,H$110:H170,G$110:G170,0)=G409,_xlfn.XLOOKUP("TempoBet",K409:K411,L409:L411,0)&gt;0),"X",IF(OR(C409="W",C410="W",C411="W",C409="1/2W",C410="1/2W",C411="1/2W",C409="1/2L",C410="1/2L",C411="1/2L"),"OK",IF(OR(C409="L",C410="L",C411="L"),"LOSS",IF(OR(C409="X",C410="X",C411="X"),"Anulado"," "))))</f>
        <v>50</v>
      </c>
      <c r="C409" t="s" s="173">
        <v>51</v>
      </c>
      <c r="D409" t="s" s="305">
        <f>IF(G409="","",$D406)</f>
        <v>307</v>
      </c>
      <c r="E409" t="s" s="175">
        <f>IF(G409=""," ","– "&amp;COUNTIF(D$4:D411,$D409))</f>
        <v>143</v>
      </c>
      <c r="F409" t="s" s="176">
        <f>IF(G409="","",IF(OR(AND($C409&lt;&gt;" ",$C410=" "),AND($C410&lt;&gt;" ",$C409=" "),AND(L411&gt;0,OR(AND($C411&lt;&gt;" ",OR($C409=" ",$C410=" ")),AND($C411=" ",OR($C409&lt;&gt;" ",$C410&lt;&gt;" "))))),IF(SUM(F$4:F408)=0,1,LARGE(F$4:F408,1)+1),IF(MONTH(G409)=MONTH(TODAY()),IF(AND(DAY(G409)&lt;DAY(TODAY()),$B409=" "),IF(SUM(F$4:F408)=0,1,LARGE(F$4:F408,1)+1),IF($B409=" ",IF(AND(DAY(G409)=DAY(TODAY()),HOUR(G409)&lt;=HOUR(NOW())+1),IF(AND(HOUR(G409)+2&lt;=HOUR(NOW()),DAY(G409)&lt;=DAY(TODAY()),MINUTE(G409)&lt;=MINUTE(NOW())),IF(SUM(F$4:F408)=0,1,LARGE(F$4:F408,1)+1),IF(OR(MINUTE(G409)&lt;=MINUTE(NOW()),HOUR(G409)&lt;=HOUR(NOW())),"!!!","")),""),"")),"")))</f>
      </c>
      <c r="G409" s="177">
        <v>44954.4375</v>
      </c>
      <c r="H409" t="s" s="178">
        <v>332</v>
      </c>
      <c r="I409" s="298">
        <v>1</v>
      </c>
      <c r="J409" s="180"/>
      <c r="K409" t="s" s="181">
        <v>41</v>
      </c>
      <c r="L409" s="182">
        <v>2.89</v>
      </c>
      <c r="M409" s="183">
        <v>11.9</v>
      </c>
      <c r="N409" s="184">
        <v>0.1</v>
      </c>
      <c r="O409" s="185">
        <f>IF(OR(AE409="",AE410=""),"",ROUND(IF(L411&gt;0,IF(M409&gt;0,M409,IF(M410&gt;0,ROUND((M410*AE409)/AE410,IF(N409=0,2,IF(N409=0.1,1,0))),ROUND((M411*AE409)/AE411,IF(N409=0,2,IF(N409=0.1,1,0))))),IF(M409&gt;0,M409,ROUND((M410*AE409)/AE410,IF(N409=0,2,IF(N409=0.1,1,0))))),2))</f>
        <v>11.9</v>
      </c>
      <c r="P409" s="186">
        <f>IF(OR(L409="",O409=""),"",IF($C409="1/2W",O409/2+O409/2*L409,IF($C409="1/2L",O409/2,IF(I409="Lay",(O409*(L409/(L409-1))-O409)*(1-_xlfn.XLOOKUP(K409,'Janeiro 2023 - Valor Real'!A3:A15,'Janeiro 2023 - Valor Real'!C3:C15,0))+O409,(O409*L409-O409)*(1-_xlfn.XLOOKUP(K409,'Janeiro 2023 - Valor Real'!A3:A15,'Janeiro 2023 - Valor Real'!C3:C15,0))+O409))))</f>
        <v>34.391</v>
      </c>
      <c r="Q409" s="187">
        <f>IF(K409="","",IF(_xlfn.XLOOKUP(K409,K$110:K170,DJ$110:DJ170,0,,-1)=DJ409,_xlfn.XLOOKUP(K409,K$110:K170,Q$110:Q170,1,,-1)+1,1))</f>
        <v>1</v>
      </c>
      <c r="R409" s="188">
        <f>IF(K409="","",_xlfn.XLOOKUP(K409,K$110:K170,R$110:R170,0,,-1)+IF($C409=" ",1,0))</f>
        <v>0</v>
      </c>
      <c r="S409" s="189">
        <f>IF($B409="Anulado",0,ROUND(IF(OR($B409="LOSS",$B409="OK"),IF(OR($C409="W",$C409="1/2W",$C409="1/2L"),P409-O409,IF($C409="L",-O409,0))+IF(OR($C410="W",$C410="1/2W",$C410="1/2L"),P410-O410,IF($C410="L",-O410,0))+IF(OR($C411="W",$C411="1/2W",$C411="1/2L"),P411-O411,IF($C411="L",-O411,0)),IF(AND(OR($C409="W",$C409="1/2W",$C409="1/2L"),C410="W"),P409+P410-SUM(O409:O411)+_xlfn.XLOOKUP("X",C409:C411,O409:O411,0),IF(AND(C409=TRUE,C411="W"),P409+P411-SUM(O409:O411),IF(AND(C410="W",C411="W"),P410+P411-SUM(O409:O411)+_xlfn.XLOOKUP("X",C409:C411,O409:O411,0),IF(L411&gt;0,IF(OR($C409="W",$C409="1/2W",$C409="1/2L"),P409-SUM(O409:O411)+_xlfn.XLOOKUP("X",C409:C411,O409:O411,0),IF(OR($C409="W",$C409="1/2W",$C409="1/2L"),P410-SUM(O409:O411)+_xlfn.XLOOKUP("X",C409:C411,O409:O411,0),IF(OR($C409="W",$C409="1/2W",$C409="1/2L"),P411-SUM(O409:O411)+_xlfn.XLOOKUP("X",C409:C411,O409:O411,0),IF(SUM(P409:P411)/3-SUM(O409:O411)+_xlfn.XLOOKUP("X",C409:C411,O409:O411,0)&gt;0,SUM(P409:P411)/3-SUM(O409:O411)+_xlfn.XLOOKUP("X",C409:C411,O409:O411,0),LARGE(P409:P411,1)-SUM(O409:O411))))),IF(OR($C409="W",$C409="1/2W",$C409="1/2L"),P409-SUM(O409:O410)+_xlfn.XLOOKUP("X",C409:C411,O409:O411,0),IF(OR($C409="W",$C409="1/2W",$C409="1/2L"),P410-SUM(O409:O410)+_xlfn.XLOOKUP("X",C409:C411,O409:O411,0),SUM(P409:P410)/2-SUM(O409:O410)+_xlfn.XLOOKUP("X",C409:C411,O409:O411,0)))))))),2))</f>
        <v>1.89</v>
      </c>
      <c r="T409" s="190">
        <f>IF(S409=0,0,S409/SUM(O409:O411))</f>
        <v>0.0579754601226994</v>
      </c>
      <c r="U409" s="191">
        <f>IF($D409=$D406,IF(OR($B409="LOSS",$B409="OK",$B409="Anulada"),S409,0)+U406,IF(OR($B409="LOSS",$B409="OK",$B409="Anulada"),S409,0))</f>
        <v>29.44</v>
      </c>
      <c r="V409" s="191">
        <f>IF($D409="",0,IF($D409=$D406,IF($B409=" ",IF(I411="",IF(OR(AND(I409="DNB1",I410="DNB2"),AND(OR(I409="DNB1",I409="DNB2"),J410=0),AND(OR(I410="DNB1",I410="DNB2"),J409=0),AND(I409="DNB2",I410="DNB1"),AND(IF(J409=0,(J409+1)/ROUND(J409+1,0),J409/ROUND(J409,0))=1,IF(J410=0,(J410+1)/ROUND(IF(J410="",0,J410)+1,0),IF(J410="",0,J410)/ROUND(IF(J410="",1,J410),0))=1,OR(J409&lt;&gt;""),J410&lt;&gt;"")),0,IF(S409&lt;0,IF(I411="",SMALL(P409:P410,1)-SUM(O409:O410),0),SMALL(P409:P410,1)-SUM(O409:O410))),IF(S409&lt;0,IF(I411="",SMALL(P409:P411,1)-SUM(O409:O411),0),LARGE(P409:P411,1)-SUM(O409:O411))),S409)+V406,IF(I411="",IF(OR(AND(I409="DNB1",I410="DNB2"),AND(OR(I409="DNB1",I409="DNB2"),J410=0),AND(OR(I410="DNB1",I410="DNB2"),J409=0),AND(I409="DNB2",I410="DNB1"),AND(IF(J409=0,(J409+1)/ROUND(J409+1,0),J409/ROUND(J409,0))=1,IF(J410=0,(IF(J410="",0,J410)+1)/ROUND(IF(J410="",0,J410)+1,0),IF(J410="",0,J410)/ROUND(IF(J410="",0,J410)+1,0))=1,OR(J409&lt;&gt;""),J410&lt;&gt;"")),0,IF(S409&lt;0,IF(I411="",SMALL(P409:P410,1)-SUM(O409:O410),0),SMALL(P409:P411,1)-SUM(O409:O411))),IF(S409&lt;0,IF(I411="",SMALL(P409:P411,1)-SUM(O409:O411),0),LARGE(P409:P411,1)-SUM(O409:O411)))))</f>
        <v>29.44225</v>
      </c>
      <c r="W409" s="191">
        <f>IF($D409=$D406,IF(S409&lt;0,IF(I411="",S409,0),S409)+W406,S409)</f>
        <v>29.44</v>
      </c>
      <c r="X409" t="s" s="192">
        <f>IF(OR(SUM(R409:R411)=0,V409=W409),ROUND(IF(W409=0,0,W409/Y409)*100,2)&amp;"%",ROUND(IF(V409=0,0,V409/Y409)*100,2)&amp;"% a "&amp;ROUND(IF(W409=0,0,W409/Y409)*100,2)&amp;"%")</f>
        <v>334</v>
      </c>
      <c r="Y409" s="193">
        <f>IF($D409=$D406,Y406+SUM(O409:O411),SUM(O409:O411))</f>
        <v>476.06</v>
      </c>
      <c r="Z409" s="191">
        <f>IF($B409=" ",SUM(O409:O411),0)+Z406</f>
        <v>0</v>
      </c>
      <c r="AA409" s="191">
        <f>IF(G409="","",IF($B409="Anulado",LARGE(P409:P411,1)-SUM(O409:O411)+AA406,AA406))</f>
        <v>21.1127</v>
      </c>
      <c r="AB409" s="191">
        <f>IF($D409="","",AB406+S409)</f>
        <v>281.11</v>
      </c>
      <c r="AC409" s="194">
        <f>IF($D409="","",IF($B409=" ",IF(DAY(G409)=DAY(TODAY()),1+AC406,0+AC406),0+AC406))</f>
        <v>0</v>
      </c>
      <c r="AD409" s="195">
        <f>(((L410/(L410-1)-1)*(1-_xlfn.XLOOKUP(K410,'Janeiro 2023 - Valor Real'!A3:A15,'Janeiro 2023 - Valor Real'!C3:C15,0))+1))/(((L409-1)*(1-_xlfn.XLOOKUP(K409,'Janeiro 2023 - Valor Real'!A3:A15,'Janeiro 2023 - Valor Real'!C3:C15,0))+1)+((L410/(L410-1)-1)*(1-_xlfn.XLOOKUP(K410,'Janeiro 2023 - Valor Real'!A3:A15,'Janeiro 2023 - Valor Real'!C3:C15,0))+1))</f>
        <v>0.463971214847079</v>
      </c>
      <c r="AE409" s="196">
        <f>IF(L409="","",IF(L411&gt;0,(SUM(((L409-1)*(1-_xlfn.XLOOKUP(K409,'Janeiro 2023 - Valor Real'!A3:A15,'Janeiro 2023 - Valor Real'!C3:C15,0))+1),((L410-1)*(1-_xlfn.XLOOKUP(K410,'Janeiro 2023 - Valor Real'!A3:A15,'Janeiro 2023 - Valor Real'!C3:C15,0))+1),((L411-1)*(1-_xlfn.XLOOKUP(K411,'Janeiro 2023 - Valor Real'!A3:A15,'Janeiro 2023 - Valor Real'!C3:C15,0))+1))/((L409-1)*(1-_xlfn.XLOOKUP(K409,'Janeiro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Real'!C3:C15,0))+1))/((L409-1)*(1-_xlfn.XLOOKUP(K409,'Janeiro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Real'!C3:C15,0))+1))/((L410-1)*(1-_xlfn.XLOOKUP(K410,'Janeiro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Real'!C3:C15,0))+1))/((L411-1)*(1-_xlfn.XLOOKUP(K411,'Janeiro 2023 - Valor Real'!A3:A15,'Janeiro 2023 - Valor Real'!C3:C15,0))+1)),IF(I409="Lay",IF(I410="Lay",((L410/(L410-1)-1)*(1-_xlfn.XLOOKUP(K410,'Janeiro 2023 - Valor Real'!A3:A15,'Janeiro 2023 - Valor Real'!C3:C15,0))+1)/(((L410/(L410-1)-1)*(1-_xlfn.XLOOKUP(K410,'Janeiro 2023 - Valor Real'!A3:A15,'Janeiro 2023 - Valor Real'!C3:C15,0))+1)+((L409/(L409-1)-1)*(1-_xlfn.XLOOKUP(K409,'Janeiro 2023 - Valor Real'!A3:A15,'Janeiro 2023 - Valor Real'!C3:C15,0))+1)),((L410-1)*(1-_xlfn.XLOOKUP(K410,'Janeiro 2023 - Valor Real'!A3:A15,'Janeiro 2023 - Valor Real'!C3:C15,0))+1)/(((L410-1)*(1-_xlfn.XLOOKUP(K410,'Janeiro 2023 - Valor Real'!A3:A15,'Janeiro 2023 - Valor Real'!C3:C15,0))+1)+((L409/(L409-1)-1)*(1-_xlfn.XLOOKUP(K409,'Janeiro 2023 - Valor Real'!A3:A15,'Janeiro 2023 - Valor Real'!C3:C15,0))+1))),IF(I410="Lay",(((L410/(L410-1)-1)*(1-_xlfn.XLOOKUP(K410,'Janeiro 2023 - Valor Real'!A3:A15,'Janeiro 2023 - Valor Real'!C3:C15,0))+1))/(((L409-1)*(1-_xlfn.XLOOKUP(K409,'Janeiro 2023 - Valor Real'!A3:A15,'Janeiro 2023 - Valor Real'!C3:C15,0))+1)+((L410/(L410-1)-1)*(1-_xlfn.XLOOKUP(K410,'Janeiro 2023 - Valor Real'!A3:A15,'Janeiro 2023 - Valor Real'!C3:C15,0))+1)),((L410-1)*(1-_xlfn.XLOOKUP(K410,'Janeiro 2023 - Valor Real'!A3:A15,'Janeiro 2023 - Valor Real'!C3:C15,0))+1)/(((L410-1)*(1-_xlfn.XLOOKUP(K410,'Janeiro 2023 - Valor Real'!A3:A15,'Janeiro 2023 - Valor Real'!C3:C15,0))+1)+((L409-1)*(1-_xlfn.XLOOKUP(K409,'Janeiro 2023 - Valor Real'!A3:A15,'Janeiro 2023 - Valor Real'!C3:C15,0))+1))))))</f>
        <v>0.365671641791045</v>
      </c>
      <c r="AF409" s="197">
        <f>IF($K409=AF$3,ROUND(IF(OR($C409="W",$C409="1/2W",$C409="1/2L"),$P409-$O409,IF($C409="X",0,-$O409)),2),0)</f>
        <v>0</v>
      </c>
      <c r="AG409" s="198">
        <f>IF($K409=AG$3,ROUND(IF(OR($C409="W",$C409="1/2W",$C409="1/2L"),$P409-$O409,IF($C409="X",0,-$O409)),2),0)</f>
        <v>0</v>
      </c>
      <c r="AH409" s="198">
        <f>IF($K409=AH$3,ROUND(IF(OR($C409="W",$C409="1/2W",$C409="1/2L"),$P409-$O409,IF($C409="X",0,-$O409)),2),0)</f>
        <v>0</v>
      </c>
      <c r="AI409" s="198">
        <f>IF($K409=AI$3,ROUND(IF(OR($C409="W",$C409="1/2W",$C409="1/2L"),$P409-$O409,IF($C409="X",0,-$O409)),2),0)</f>
        <v>0</v>
      </c>
      <c r="AJ409" s="198">
        <f>IF($K409=AJ$3,ROUND(IF(OR($C409="W",$C409="1/2W",$C409="1/2L"),$P409-$O409,IF($C409="X",0,-$O409)),2),0)</f>
        <v>-11.9</v>
      </c>
      <c r="AK409" s="198">
        <f>IF($K409=AK$3,ROUND(IF(OR($C409="W",$C409="1/2W",$C409="1/2L"),$P409-$O409,IF($C409="X",0,-$O409)),2),0)</f>
        <v>0</v>
      </c>
      <c r="AL409" s="198">
        <f>IF($K409=AL$3,ROUND(IF(OR($C409="W",$C409="1/2W",$C409="1/2L"),$P409-$O409,IF($C409="X",0,-$O409)),2),0)</f>
        <v>0</v>
      </c>
      <c r="AM409" s="198">
        <f>IF($K409=AM$3,ROUND(IF(OR($C409="W",$C409="1/2W",$C409="1/2L"),$P409-$O409,IF($C409="X",0,-$O409)),2),0)</f>
        <v>0</v>
      </c>
      <c r="AN409" s="198">
        <f>IF($K409=AN$3,ROUND(IF(OR($C409="W",$C409="1/2W",$C409="1/2L"),$P409-$O409,IF($C409="X",0,-$O409)),2),0)</f>
        <v>0</v>
      </c>
      <c r="AO409" s="198">
        <f>IF($K409=AO$3,ROUND(IF(OR($C409="W",$C409="1/2W",$C409="1/2L"),$P409-$O409,IF($C409="X",0,-$O409)),2),0)</f>
        <v>0</v>
      </c>
      <c r="AP409" s="198">
        <f>IF($K409=AP$3,ROUND(IF(OR($C409="W",$C409="1/2W",$C409="1/2L"),$P409-$O409,IF($C409="X",0,-$O409)),2),0)</f>
        <v>0</v>
      </c>
      <c r="AQ409" s="198">
        <f>IF($K409=AQ$3,ROUND(IF(OR($C409="W",$C409="1/2W",$C409="1/2L"),$P409-$O409,IF($C409="X",0,-$O409)),2),0)</f>
        <v>0</v>
      </c>
      <c r="AR409" s="199">
        <f>IF($K409=AR$3,ROUND(IF(OR($C409="W",$C409="1/2W",$C409="1/2L"),$P409-$O409,IF($C409="X",0,-$O409)),2),0)</f>
        <v>0</v>
      </c>
      <c r="AS409" s="197">
        <f>IF(AND($B409=" ",$K409=AS$3),$O409,0)</f>
        <v>0</v>
      </c>
      <c r="AT409" s="198">
        <f>IF(AND($B409=" ",$K409=AT$3),$O409,0)</f>
        <v>0</v>
      </c>
      <c r="AU409" s="198">
        <f>IF(AND($B409=" ",$K409=AU$3),$O409,0)</f>
        <v>0</v>
      </c>
      <c r="AV409" s="198">
        <f>IF(AND($B409=" ",$K409=AV$3),$O409,0)</f>
        <v>0</v>
      </c>
      <c r="AW409" s="198">
        <f>IF(AND($B409=" ",$K409=AW$3),$O409,0)</f>
        <v>0</v>
      </c>
      <c r="AX409" s="198">
        <f>IF(AND($B409=" ",$K409=AX$3),$O409,0)</f>
        <v>0</v>
      </c>
      <c r="AY409" s="200">
        <f>IF(AND($B409=" ",$K409=AY$3),$O409,0)</f>
        <v>0</v>
      </c>
      <c r="AZ409" s="201">
        <f>IF(AND($B409=" ",$K409=AZ$3),$O409,0)</f>
        <v>0</v>
      </c>
      <c r="BA409" s="201">
        <f>IF(AND($B409=" ",$K409=BA$3),$O409,0)</f>
        <v>0</v>
      </c>
      <c r="BB409" s="201">
        <f>IF(AND($B409=" ",$K409=BB$3),$O409,0)</f>
        <v>0</v>
      </c>
      <c r="BC409" s="202">
        <f>IF(AND($B409=" ",$K409=BC$3),$O409,0)</f>
        <v>0</v>
      </c>
      <c r="BD409" s="198">
        <f>IF(AND($B409=" ",$K409=BD$3),$O409,0)</f>
        <v>0</v>
      </c>
      <c r="BE409" s="199">
        <f>IF(AND($B409=" ",$K409=BE$3),$O409,0)</f>
        <v>0</v>
      </c>
      <c r="BF409" s="203">
        <f>IF($K409=BF$3,IF($C409="X",0,$O409),0)</f>
        <v>0</v>
      </c>
      <c r="BG409" s="198">
        <f>IF($K409=BG$3,IF($C409="X",0,$O409),0)</f>
        <v>0</v>
      </c>
      <c r="BH409" s="198">
        <f>IF($K409=BH$3,IF($C409="X",0,$O409),0)</f>
        <v>0</v>
      </c>
      <c r="BI409" s="198">
        <f>IF($K409=BI$3,IF($C409="X",0,$O409),0)</f>
        <v>0</v>
      </c>
      <c r="BJ409" s="198">
        <f>IF($K409=BJ$3,IF($C409="X",0,$O409),0)</f>
        <v>11.9</v>
      </c>
      <c r="BK409" s="198">
        <f>IF($K409=BK$3,IF($C409="X",0,$O409),0)</f>
        <v>0</v>
      </c>
      <c r="BL409" s="198">
        <f>IF($K409=BL$3,IF($C409="X",0,$O409),0)</f>
        <v>0</v>
      </c>
      <c r="BM409" s="200">
        <f>IF($K409=BM$3,IF($C409="X",0,$O409),0)</f>
        <v>0</v>
      </c>
      <c r="BN409" s="201">
        <f>IF($K409=BN$3,IF($C409="X",0,$O409),0)</f>
        <v>0</v>
      </c>
      <c r="BO409" s="201">
        <f>IF($K409=BO$3,IF($C409="X",0,$O409),0)</f>
        <v>0</v>
      </c>
      <c r="BP409" s="201">
        <f>IF($K409=BP$3,IF($C409="X",0,$O409),0)</f>
        <v>0</v>
      </c>
      <c r="BQ409" s="202">
        <f>IF($K409=BQ$3,IF($C409="X",0,$O409),0)</f>
        <v>0</v>
      </c>
      <c r="BR409" s="199">
        <f>IF($K409=BR$3,IF($C409="X",0,$O409),0)</f>
        <v>0</v>
      </c>
      <c r="BS409" s="204">
        <f>IF($B409="LOSS",IF(AND($K409=BS$3,$C409="L"),-$O409,0)+IF(AND($K410=BS$3,$C410="L"),-$O410,0)+IF(AND($K411=BS$3,$C411="L"),-$O411,0),IF(OR(AND($K409=BS$3,OR($C409="W",$C409="1/2W")),AND($K410=BS$3,OR($C410="W",$C410="1/2W")),AND($K411=BS$3,OR($C411="W",$C411="1/2W"))),$S409,0))</f>
        <v>1.89</v>
      </c>
      <c r="BT409" s="201">
        <f>IF($B409="LOSS",IF(AND($K409=BT$3,$C409="L"),-$O409,0)+IF(AND($K410=BT$3,$C410="L"),-$O410,0)+IF(AND($K410=BT$3,$C411="L"),-$O411,0),IF(OR(AND($K410=BT$3,OR($C409="W",$C409="1/2W")),AND($K410=BT$3,OR($C410="W",$C410="1/2W")),AND($K410=BT$3,OR($C411="W",$C411="1/2W"))),$S409,0))</f>
        <v>0</v>
      </c>
      <c r="BU409" s="201">
        <f>IF($B409="LOSS",IF(AND($K409=BU$3,$C409="L"),-$O409,0)+IF(AND($K410=BU$3,$C410="L"),-$O410,0)+IF(AND($K410=BU$3,$C411="L"),-$O411,0),IF(OR(AND($K410=BU$3,OR($C409="W",$C409="1/2W")),AND($K410=BU$3,OR($C410="W",$C410="1/2W")),AND($K410=BU$3,OR($C411="W",$C411="1/2W"))),$S409,0))</f>
        <v>0</v>
      </c>
      <c r="BV409" s="201">
        <f>IF($B409="LOSS",IF(AND($K409=BV$3,$C409="L"),-$O409,0)+IF(AND($K410=BV$3,$C410="L"),-$O410,0)+IF(AND($K411=BV$3,$C411="L"),-$O411,0),IF(OR(AND($K409=BV$3,OR($C409="W",$C409="1/2W")),AND($K410=BV$3,OR($C410="W",$C410="1/2W")),AND($K411=BV$3,OR($C411="W",$C411="1/2W"))),$S409,0))</f>
        <v>0</v>
      </c>
      <c r="BW409" s="201">
        <f>IF($B409="LOSS",IF(AND($K409=BW$3,$C409="L"),-$O409,0)+IF(AND($K410=BW$3,$C410="L"),-$O410,0)+IF(AND($K411=BW$3,$C411="L"),-$O411,0),IF(OR(AND($K409=BW$3,OR($C409="W",$C409="1/2W")),AND($K410=BW$3,OR($C410="W",$C410="1/2W")),AND($K411=BW$3,OR($C411="W",$C411="1/2W"))),$S409,0))</f>
        <v>0</v>
      </c>
      <c r="BX409" s="201">
        <f>IF($B409="LOSS",IF(AND($K409=BX$3,$C409="L"),-$O409,0)+IF(AND($K410=BX$3,$C410="L"),-$O410,0)+IF(AND($K411=BX$3,$C411="L"),-$O411,0),IF(OR(AND($K409=BX$3,OR($C409="W",$C409="1/2W")),AND($K410=BX$3,OR($C410="W",$C410="1/2W")),AND($K411=BX$3,OR($C411="W",$C411="1/2W"))),$S409,0))</f>
        <v>0</v>
      </c>
      <c r="BY409" s="201">
        <f>IF($B409="LOSS",IF(AND($K409=BY$3,$C409="L"),-$O409,0)+IF(AND($K410=BY$3,$C410="L"),-$O410,0)+IF(AND($K411=BY$3,$C411="L"),-$O411,0),IF(OR(AND($K409=BY$3,OR($C409="W",$C409="1/2W")),AND($K410=BY$3,OR($C410="W",$C410="1/2W")),AND($K411=BY$3,OR($C411="W",$C411="1/2W"))),$S409,0))</f>
        <v>0</v>
      </c>
      <c r="BZ409" s="205">
        <f>IF($B409="LOSS",IF(AND($K409=BZ$3,$C409="L"),-$O409,0)+IF(AND($K410=BZ$3,$C410="L"),-$O410,0)+IF(AND($K411=BZ$3,$C411="L"),-$O411,0),IF(OR(AND($K409=BZ$3,OR($C409="W",$C409="1/2W")),AND($K410=BZ$3,OR($C410="W",$C410="1/2W")),AND($K411=BZ$3,OR($C411="W",$C411="1/2W"))),$S409,0))</f>
        <v>0</v>
      </c>
      <c r="CA409" s="205">
        <f>IF($B409="LOSS",IF(AND($K409=CA$3,$C409="L"),-$O409,0)+IF(AND($K410=CA$3,$C410="L"),-$O410,0)+IF(AND($K411=CA$3,$C411="L"),-$O411,0),IF(OR(AND($K409=CA$3,OR($C409="W",$C409="1/2W")),AND($K410=CA$3,OR($C410="W",$C410="1/2W")),AND($K411=CA$3,OR($C411="W",$C411="1/2W"))),$S409,0))</f>
        <v>0</v>
      </c>
      <c r="CB409" s="205">
        <f>IF($B409="LOSS",IF(AND($K409=CB$3,$C409="L"),-$O409,0)+IF(AND($K410=CB$3,$C410="L"),-$O410,0)+IF(AND($K411=CB$3,$C411="L"),-$O411,0),IF(OR(AND($K409=CB$3,OR($C409="W",$C409="1/2W")),AND($K410=CB$3,OR($C410="W",$C410="1/2W")),AND($K411=CB$3,OR($C411="W",$C411="1/2W"))),$S409,0))</f>
        <v>0</v>
      </c>
      <c r="CC409" s="205">
        <f>IF($B409="LOSS",IF(AND($K409=CC$3,$C409="L"),-$O409,0)+IF(AND($K410=CC$3,$C410="L"),-$O410,0)+IF(AND($K411=CC$3,$C411="L"),-$O411,0),IF(OR(AND($K409=CC$3,OR($C409="W",$C409="1/2W")),AND($K410=CC$3,OR($C410="W",$C410="1/2W")),AND($K411=CC$3,OR($C411="W",$C411="1/2W"))),$S409,0))</f>
        <v>0</v>
      </c>
      <c r="CD409" s="202">
        <f>IF($B409="LOSS",IF(AND($K409=CD$3,$C409="L"),-$O409,0)+IF(AND($K410=CD$3,$C410="L"),-$O410,0)+IF(AND($K411=CD$3,$C411="L"),-$O411,0),IF(OR(AND($K409=CD$3,OR($C409="W",$C409="1/2W")),AND($K410=CD$3,OR($C410="W",$C410="1/2W")),AND($K411=CD$3,OR($C411="W",$C411="1/2W"))),$S409,0))</f>
        <v>0</v>
      </c>
      <c r="CE409" s="199">
        <f>IF($B409="LOSS",IF(AND($K409=CE$3,$C409="L"),-$O409,0)+IF(AND($K410=CE$3,$C410="L"),-$O410,0)+IF(AND($K411=CE$3,$C411="L"),-$O411,0),IF(OR(AND($K409=CE$3,OR($C409="W",$C409="1/2W")),AND($K410=CE$3,OR($C410="W",$C410="1/2W")),AND($K411=CE$3,OR($C411="W",$C411="1/2W"))),$S409,0))</f>
        <v>0</v>
      </c>
      <c r="CF409" s="206">
        <f>IF(CF$3=$K409,IF($C409="W",1,IF($C409="1/2W",0.5,0)),0)</f>
        <v>0</v>
      </c>
      <c r="CG409" s="207">
        <f>IF(CF$3=$K409,IF($C409="L",1,IF($C409="1/2L",0.5,0)),0)</f>
        <v>0</v>
      </c>
      <c r="CH409" s="207">
        <f>IF(CH$3=$K409,IF($C409="W",1,IF($C409="1/2W",0.5,0)),0)</f>
        <v>0</v>
      </c>
      <c r="CI409" s="207">
        <f>IF(CH$3=$K409,IF($C409="L",1,IF($C409="1/2L",0.5,0)),0)</f>
        <v>0</v>
      </c>
      <c r="CJ409" s="207">
        <f>IF(CJ$3=$K409,IF($C409="W",1,IF($C409="1/2W",0.5,0)),0)</f>
        <v>0</v>
      </c>
      <c r="CK409" s="207">
        <f>IF(CJ$3=$K409,IF($C409="L",1,IF($C409="1/2L",0.5,0)),0)</f>
        <v>0</v>
      </c>
      <c r="CL409" s="207">
        <f>IF(CL$3=$K409,IF($C409="W",1,IF($C409="1/2W",0.5,0)),0)</f>
        <v>0</v>
      </c>
      <c r="CM409" s="207">
        <f>IF(CL$3=$K409,IF($C409="L",1,IF($C409="1/2L",0.5,0)),0)</f>
        <v>0</v>
      </c>
      <c r="CN409" s="207">
        <f>IF(CN$3=$K409,IF($C409="W",1,IF($C409="1/2W",0.5,0)),0)</f>
        <v>0</v>
      </c>
      <c r="CO409" s="207">
        <f>IF(CN$3=$K409,IF($C409="L",1,IF($C409="1/2L",0.5,0)),0)</f>
        <v>1</v>
      </c>
      <c r="CP409" s="207">
        <f>IF(CP$3=$K409,IF($C409="W",1,IF($C409="1/2W",0.5,0)),0)</f>
        <v>0</v>
      </c>
      <c r="CQ409" s="207">
        <f>IF(CP$3=$K409,IF($C409="L",1,IF($C409="1/2L",0.5,0)),0)</f>
        <v>0</v>
      </c>
      <c r="CR409" s="207">
        <f>IF(CR$3=$K409,IF($C409="W",1,IF($C409="1/2W",0.5,0)),0)</f>
        <v>0</v>
      </c>
      <c r="CS409" s="207">
        <f>IF(CR$3=$K409,IF($C409="L",1,IF($C409="1/2L",0.5,0)),0)</f>
        <v>0</v>
      </c>
      <c r="CT409" s="208">
        <f>IF(CT$3=$K409,IF($C409="W",1,IF($C409="1/2W",0.5,0)),0)</f>
        <v>0</v>
      </c>
      <c r="CU409" s="209">
        <f>IF(CT$3=$K409,IF($C409="L",1,IF($C409="1/2L",0.5,0)),0)</f>
        <v>0</v>
      </c>
      <c r="CV409" s="209">
        <f>IF(CV$3=$K409,IF($C409="W",1,IF($C409="1/2W",0.5,0)),0)</f>
        <v>0</v>
      </c>
      <c r="CW409" s="209">
        <f>IF(CV$3=$K409,IF($C409="L",1,IF($C409="1/2L",0.5,0)),0)</f>
        <v>0</v>
      </c>
      <c r="CX409" s="209">
        <f>IF(CX$3=$K409,IF($C409="W",1,IF($C409="1/2W",0.5,0)),0)</f>
        <v>0</v>
      </c>
      <c r="CY409" s="209">
        <f>IF(CX$3=$K409,IF($C409="L",1,IF($C409="1/2L",0.5,0)),0)</f>
        <v>0</v>
      </c>
      <c r="CZ409" s="209">
        <f>IF(CZ$3=$K409,IF($C409="W",1,IF($C409="1/2W",0.5,0)),0)</f>
        <v>0</v>
      </c>
      <c r="DA409" s="209">
        <f>IF(CZ$3=$K409,IF($C409="L",1,IF($C409="1/2L",0.5,0)),0)</f>
        <v>0</v>
      </c>
      <c r="DB409" s="209">
        <f>IF(DB$3=$K409,IF($C409="W",1,IF($C409="1/2W",0.5,0)),0)</f>
        <v>0</v>
      </c>
      <c r="DC409" s="209">
        <f>IF(DB$3=$K409,IF($C409="L",1,IF($C409="1/2L",0.5,0)),0)</f>
        <v>0</v>
      </c>
      <c r="DD409" s="209">
        <f>IF(DD$3=$K409,IF($C409="W",1,IF($C409="1/2W",0.5,0)),0)</f>
        <v>0</v>
      </c>
      <c r="DE409" s="210">
        <f>IF(DD$3=$K409,IF($C409="L",1,IF($C409="1/2L",0.5,0)),0)</f>
        <v>0</v>
      </c>
      <c r="DF409" s="211">
        <f>IF(AND(L409&lt;DF$3,$C409="W"),1+DF408,DF408)</f>
        <v>14</v>
      </c>
      <c r="DG409" s="198">
        <f>IF(DF409&gt;DF408,L409+DG408,DG408)</f>
        <v>18.548</v>
      </c>
      <c r="DH409" s="209">
        <f>IF(AND(L409&gt;DH$3,$C409="W"),1+DH408,0+DH408)</f>
        <v>10</v>
      </c>
      <c r="DI409" s="198">
        <f>IF(DH409&gt;DH408,L409+DI408,DI408)</f>
        <v>55.13</v>
      </c>
      <c r="DJ409" t="s" s="306">
        <f>IF($D409="","",$D409)</f>
        <v>307</v>
      </c>
      <c r="DK409" s="209">
        <f>IF(AND($B409=" ",$D409&lt;&gt;""),1,0)</f>
        <v>0</v>
      </c>
    </row>
    <row r="410" ht="14.55" customHeight="1">
      <c r="A410" s="107"/>
      <c r="B410" s="108"/>
      <c r="C410" t="s" s="213">
        <v>56</v>
      </c>
      <c r="D410" s="110"/>
      <c r="E410" s="111"/>
      <c r="F410" s="113"/>
      <c r="G410" s="214"/>
      <c r="H410" s="114"/>
      <c r="I410" t="s" s="215">
        <v>87</v>
      </c>
      <c r="J410" t="s" s="216">
        <f>IF(OR(I409="TO",I409="TU",I409="TO1",I409="TU1",I409="TO2",I409="TU2"),J409,IF(OR(I409="AH1",I409="AH2"),IF(OR(I410="AH1",I410="AH2"),-J409,IF(OR(I410="EH1",I410="EH2"),-J409+0.5,"")),IF(OR(I409="EH1",I409="EH2"),IF(OR(I410="AH1",I410="AH2"),-J409+0.5,IF(OR(I410="EH1",I410="EH2"),-J409+1,"")),IF(AND(OR(I409="DNB1",I409="DNB2"),OR(I410="AH1",I410="AH2")),0,IF(AND(I409="Not ScoreBoth",OR(I410="TO1",I410="TO2")),0.5,"")))))</f>
      </c>
      <c r="K410" t="s" s="217">
        <v>37</v>
      </c>
      <c r="L410" s="218">
        <v>1.666</v>
      </c>
      <c r="M410" s="219">
        <v>20.7</v>
      </c>
      <c r="N410" s="120"/>
      <c r="O410" s="220">
        <f>IF(OR(AE409="",AE410=""),"",ROUND(IF(L411&gt;0,IF(M410&gt;0,M410,IF(M409&gt;0,IF(N409=TRUE,ROUND((M409*AE410)/AE409,0),(M409*AE410)/AE409),IF(M410&gt;0,ROUND(M410,IF(N409=0,2,IF(N409=0.1,1,0))),IF(M411&gt;0,ROUND(O411*AE410/AE411,IF(N409=0,2,IF(N409=0.1,1,0))),0)))),IF(M410&gt;0,M410,ROUND((M409*AE410)/AE409,IF(N409=0,2,IF(N409=0.1,1,0))))),2))</f>
        <v>20.7</v>
      </c>
      <c r="P410" s="221">
        <f>IF(OR(L410="",O410=""),"",IF($C410="1/2W",O410/2+O410/2*L410,IF($C410="1/2L",O410/2,IF(I410="Lay",((O410*(L410/(L410-1)))-O410)*(1-_xlfn.XLOOKUP(K410,'Janeiro 2023 - Valor Real'!A3:A15,'Janeiro 2023 - Valor Real'!C3:C15,0))+O410,(O410*L410-O410)*(1-_xlfn.XLOOKUP(K410,'Janeiro 2023 - Valor Real'!A3:A15,'Janeiro 2023 - Valor Real'!C3:C15,0))+O410))))</f>
        <v>34.4862</v>
      </c>
      <c r="Q410" s="222">
        <f>IF(K410="","",IF(_xlfn.XLOOKUP(K410,K$111:K171,DJ$111:DJ171,0,,-1)=DJ410,_xlfn.XLOOKUP(K410,K$111:K171,Q$111:Q171,1,,-1)+1,1))</f>
        <v>1</v>
      </c>
      <c r="R410" s="223">
        <f>IF(K410="","",_xlfn.XLOOKUP(K410,K$111:K171,R$111:R171,0,,-1)+IF($C410=" ",1,0))</f>
        <v>0</v>
      </c>
      <c r="S410" s="125"/>
      <c r="T410" s="126"/>
      <c r="U410" s="126"/>
      <c r="V410" s="224"/>
      <c r="W410" s="126"/>
      <c r="X410" s="127"/>
      <c r="Y410" s="128"/>
      <c r="Z410" s="129"/>
      <c r="AA410" s="129"/>
      <c r="AB410" s="129"/>
      <c r="AC410" s="129"/>
      <c r="AD410" s="225">
        <f>(((L410/(L410-1)-1)*(1-_xlfn.XLOOKUP(K410,'Janeiro 2023 - Valor Real'!A3:A15,'Janeiro 2023 - Valor Real'!C3:C15,0))+1))</f>
        <v>2.5015015015015</v>
      </c>
      <c r="AE410" s="226">
        <f>IF(L410="","",IF(L411&gt;0,(SUM(((L409-1)*(1-_xlfn.XLOOKUP(K409,'Janeiro 2023 - Valor Real'!A3:A15,'Janeiro 2023 - Valor Real'!C3:C15,0))+1),((L410-1)*(1-_xlfn.XLOOKUP(K410,'Janeiro 2023 - Valor Real'!A3:A15,'Janeiro 2023 - Valor Real'!C3:C15,0))+1),((L411-1)*(1-_xlfn.XLOOKUP(K411,'Janeiro 2023 - Valor Real'!A3:A15,'Janeiro 2023 - Valor Real'!C3:C15,0))+1))/((L410-1)*(1-_xlfn.XLOOKUP(K410,'Janeiro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Real'!C3:C15,0))+1))/((L409-1)*(1-_xlfn.XLOOKUP(K409,'Janeiro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Real'!C3:C15,0))+1))/((L410-1)*(1-_xlfn.XLOOKUP(K410,'Janeiro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Real'!C3:C15,0))+1))/((L411-1)*(1-_xlfn.XLOOKUP(K411,'Janeiro 2023 - Valor Real'!A3:A15,'Janeiro 2023 - Valor Real'!C3:C15,0))+1)),IF(I410="Lay",IF(I409="Lay",((L409/(L409-1)-1)*(1-_xlfn.XLOOKUP(K409,'Janeiro 2023 - Valor Real'!A3:A15,'Janeiro 2023 - Valor Real'!C3:C15,0))+1)/(((L409/(L409-1)-1)*(1-_xlfn.XLOOKUP(K409,'Janeiro 2023 - Valor Real'!A3:A15,'Janeiro 2023 - Valor Real'!C3:C15,0))+1)+((L410/(L410-1)-1)*(1-_xlfn.XLOOKUP(K410,'Janeiro 2023 - Valor Real'!A3:A15,'Janeiro 2023 - Valor Real'!C3:C15,0))+1)),((L409-1)*(1-_xlfn.XLOOKUP(K409,'Janeiro 2023 - Valor Real'!A3:A15,'Janeiro 2023 - Valor Real'!C3:C15,0))+1)/(((L409-1)*(1-_xlfn.XLOOKUP(K409,'Janeiro 2023 - Valor Real'!A3:A15,'Janeiro 2023 - Valor Real'!C3:C15,0))+1)+((L410/(L410-1)-1)*(1-_xlfn.XLOOKUP(K410,'Janeiro 2023 - Valor Real'!A3:A15,'Janeiro 2023 - Valor Real'!C3:C15,0))+1))),IF(I409="Lay",((L409/(L409-1)-1)*(1-_xlfn.XLOOKUP(K409,'Janeiro 2023 - Valor Real'!A3:A15,'Janeiro 2023 - Valor Real'!C3:C15,0))+1)/((((L409/(L409-1)-1)*(1-_xlfn.XLOOKUP(K409,'Janeiro 2023 - Valor Real'!A3:A15,'Janeiro 2023 - Valor Real'!C3:C15,0))+1))+((L410-1)*(1-_xlfn.XLOOKUP(K410,'Janeiro 2023 - Valor Real'!A3:A15,'Janeiro 2023 - Valor Real'!C3:C15,0))+1)),((L409-1)*(1-_xlfn.XLOOKUP(K409,'Janeiro 2023 - Valor Real'!A3:A15,'Janeiro 2023 - Valor Real'!C3:C15,0))+1)/(((L409-1)*(1-_xlfn.XLOOKUP(K409,'Janeiro 2023 - Valor Real'!A3:A15,'Janeiro 2023 - Valor Real'!C3:C15,0))+1)+((L410-1)*(1-_xlfn.XLOOKUP(K410,'Janeiro 2023 - Valor Real'!A3:A15,'Janeiro 2023 - Valor Real'!C3:C15,0))+1))))))</f>
        <v>0.6343283582089549</v>
      </c>
      <c r="AF410" s="197">
        <f>IF($K410=AF$3,ROUND(IF(OR($C410="W",$C410="1/2W",$C410="1/2L"),$P410-$O410,IF($C410="X",0,-$O410)),2),0)</f>
        <v>13.79</v>
      </c>
      <c r="AG410" s="198">
        <f>IF($K410=AG$3,ROUND(IF(OR($C410="W",$C410="1/2W",$C410="1/2L"),$P410-$O410,IF($C410="X",0,-$O410)),2),0)</f>
        <v>0</v>
      </c>
      <c r="AH410" s="198">
        <f>IF($K410=AH$3,ROUND(IF(OR($C410="W",$C410="1/2W",$C410="1/2L"),$P410-$O410,IF($C410="X",0,-$O410)),2),0)</f>
        <v>0</v>
      </c>
      <c r="AI410" s="198">
        <f>IF($K410=AI$3,ROUND(IF(OR($C410="W",$C410="1/2W",$C410="1/2L"),$P410-$O410,IF($C410="X",0,-$O410)),2),0)</f>
        <v>0</v>
      </c>
      <c r="AJ410" s="198">
        <f>IF($K410=AJ$3,ROUND(IF(OR($C410="W",$C410="1/2W",$C410="1/2L"),$P410-$O410,IF($C410="X",0,-$O410)),2),0)</f>
        <v>0</v>
      </c>
      <c r="AK410" s="198">
        <f>IF($K410=AK$3,ROUND(IF(OR($C410="W",$C410="1/2W",$C410="1/2L"),$P410-$O410,IF($C410="X",0,-$O410)),2),0)</f>
        <v>0</v>
      </c>
      <c r="AL410" s="198">
        <f>IF($K410=AL$3,ROUND(IF(OR($C410="W",$C410="1/2W",$C410="1/2L"),$P410-$O410,IF($C410="X",0,-$O410)),2),0)</f>
        <v>0</v>
      </c>
      <c r="AM410" s="198">
        <f>IF($K410=AM$3,ROUND(IF(OR($C410="W",$C410="1/2W",$C410="1/2L"),$P410-$O410,IF($C410="X",0,-$O410)),2),0)</f>
        <v>0</v>
      </c>
      <c r="AN410" s="198">
        <f>IF($K410=AN$3,ROUND(IF(OR($C410="W",$C410="1/2W",$C410="1/2L"),$P410-$O410,IF($C410="X",0,-$O410)),2),0)</f>
        <v>0</v>
      </c>
      <c r="AO410" s="198">
        <f>IF($K410=AO$3,ROUND(IF(OR($C410="W",$C410="1/2W",$C410="1/2L"),$P410-$O410,IF($C410="X",0,-$O410)),2),0)</f>
        <v>0</v>
      </c>
      <c r="AP410" s="198">
        <f>IF($K410=AP$3,ROUND(IF(OR($C410="W",$C410="1/2W",$C410="1/2L"),$P410-$O410,IF($C410="X",0,-$O410)),2),0)</f>
        <v>0</v>
      </c>
      <c r="AQ410" s="198">
        <f>IF($K410=AQ$3,ROUND(IF(OR($C410="W",$C410="1/2W",$C410="1/2L"),$P410-$O410,IF($C410="X",0,-$O410)),2),0)</f>
        <v>0</v>
      </c>
      <c r="AR410" s="199">
        <f>IF($K410=AR$3,ROUND(IF(OR($C410="W",$C410="1/2W",$C410="1/2L"),$P410-$O410,IF($C410="X",0,-$O410)),2),0)</f>
        <v>0</v>
      </c>
      <c r="AS410" s="197">
        <f>IF(AND($B409=" ",$K410=AS$3),$O410,0)</f>
        <v>0</v>
      </c>
      <c r="AT410" s="198">
        <f>IF(AND($B409=" ",K410=AT$3),$O410,0)</f>
        <v>0</v>
      </c>
      <c r="AU410" s="198">
        <f>IF(AND($B409=" ",$K410=AU$3),$O410,0)</f>
        <v>0</v>
      </c>
      <c r="AV410" s="198">
        <f>IF(AND($B409=" ",$K410=AV$3),$O410,0)</f>
        <v>0</v>
      </c>
      <c r="AW410" s="198">
        <f>IF(AND($B409=" ",$K410=AW$3),$O410,0)</f>
        <v>0</v>
      </c>
      <c r="AX410" s="198">
        <f>IF(AND($B409=" ",$K410=AX$3),$O410,0)</f>
        <v>0</v>
      </c>
      <c r="AY410" s="200">
        <f>IF(AND($B409=" ",$K410=AY$3),$O410,0)</f>
        <v>0</v>
      </c>
      <c r="AZ410" s="201">
        <f>IF(AND($B409=" ",$K410=AZ$3),$O410,0)</f>
        <v>0</v>
      </c>
      <c r="BA410" s="201">
        <f>IF(AND($B409=" ",$K410=BA$3),$O410,0)</f>
        <v>0</v>
      </c>
      <c r="BB410" s="201">
        <f>IF(AND($B409=" ",$K410=BB$3),$O410,0)</f>
        <v>0</v>
      </c>
      <c r="BC410" s="202">
        <f>IF(AND($B409=" ",$K410=BC$3),$O410,0)</f>
        <v>0</v>
      </c>
      <c r="BD410" s="198">
        <f>IF(AND($B409=" ",$K410=BD$3),$O410,0)</f>
        <v>0</v>
      </c>
      <c r="BE410" s="199">
        <f>IF(AND($B409=" ",$K410=BE$3),$O410,0)</f>
        <v>0</v>
      </c>
      <c r="BF410" s="197">
        <f>IF($K410=BF$3,IF($C410="X",0,$O410),0)</f>
        <v>20.7</v>
      </c>
      <c r="BG410" s="198">
        <f>IF($K410=BG$3,IF($C410="X",0,$O410),0)</f>
        <v>0</v>
      </c>
      <c r="BH410" s="198">
        <f>IF($K410=BH$3,IF($C410="X",0,$O410),0)</f>
        <v>0</v>
      </c>
      <c r="BI410" s="198">
        <f>IF($K410=BI$3,IF($C410="X",0,$O410),0)</f>
        <v>0</v>
      </c>
      <c r="BJ410" s="198">
        <f>IF($K410=BJ$3,IF($C410="X",0,$O410),0)</f>
        <v>0</v>
      </c>
      <c r="BK410" s="198">
        <f>IF($K410=BK$3,IF($C410="X",0,$O410),0)</f>
        <v>0</v>
      </c>
      <c r="BL410" s="198">
        <f>IF($K410=BL$3,IF($C410="X",0,$O410),0)</f>
        <v>0</v>
      </c>
      <c r="BM410" s="227">
        <f>IF($K410=BM$3,IF($C410="X",0,$O410),0)</f>
        <v>0</v>
      </c>
      <c r="BN410" s="205">
        <f>IF($K410=BN$3,IF($C410="X",0,$O410),0)</f>
        <v>0</v>
      </c>
      <c r="BO410" s="205">
        <f>IF($K410=BO$3,IF($C410="X",0,$O410),0)</f>
        <v>0</v>
      </c>
      <c r="BP410" s="205">
        <f>IF($K410=BP$3,IF($C410="X",0,$O410),0)</f>
        <v>0</v>
      </c>
      <c r="BQ410" s="202">
        <f>IF($K410=BQ$3,IF($C410="X",0,$O410),0)</f>
        <v>0</v>
      </c>
      <c r="BR410" s="199">
        <f>IF($K410=BR$3,IF($C410="X",0,$O410),0)</f>
        <v>0</v>
      </c>
      <c r="BS410" s="228"/>
      <c r="BT410" s="229"/>
      <c r="BU410" s="140"/>
      <c r="BV410" s="229"/>
      <c r="BW410" s="140"/>
      <c r="BX410" s="140"/>
      <c r="BY410" s="140"/>
      <c r="BZ410" s="229"/>
      <c r="CA410" s="140"/>
      <c r="CB410" s="140"/>
      <c r="CC410" s="140"/>
      <c r="CD410" s="141"/>
      <c r="CE410" s="142"/>
      <c r="CF410" s="230">
        <f>IF(CF$3=$K410,IF($C410="W",1,IF($C410="1/2W",0.5,0)),0)</f>
        <v>1</v>
      </c>
      <c r="CG410" s="231">
        <f>IF(CF$3=$K410,IF($C410="L",1,IF($C410="1/2L",0.5,0)),0)</f>
        <v>0</v>
      </c>
      <c r="CH410" s="231">
        <f>IF(CH$3=$K410,IF($C410="W",1,IF($C410="1/2W",0.5,0)),0)</f>
        <v>0</v>
      </c>
      <c r="CI410" s="231">
        <f>IF(CH$3=$K410,IF($C410="L",1,IF($C410="1/2L",0.5,0)),0)</f>
        <v>0</v>
      </c>
      <c r="CJ410" s="231">
        <f>IF(CJ$3=$K410,IF($C410="W",1,IF($C410="1/2W",0.5,0)),0)</f>
        <v>0</v>
      </c>
      <c r="CK410" s="231">
        <f>IF(CJ$3=$K410,IF($C410="L",1,IF($C410="1/2L",0.5,0)),0)</f>
        <v>0</v>
      </c>
      <c r="CL410" s="231">
        <f>IF(CL$3=$K410,IF($C410="W",1,IF($C410="1/2W",0.5,0)),0)</f>
        <v>0</v>
      </c>
      <c r="CM410" s="231">
        <f>IF(CL$3=$K410,IF($C410="L",1,IF($C410="1/2L",0.5,0)),0)</f>
        <v>0</v>
      </c>
      <c r="CN410" s="231">
        <f>IF(CN$3=$K410,IF($C410="W",1,IF($C410="1/2W",0.5,0)),0)</f>
        <v>0</v>
      </c>
      <c r="CO410" s="231">
        <f>IF(CN$3=$K410,IF($C410="L",1,IF($C410="1/2L",0.5,0)),0)</f>
        <v>0</v>
      </c>
      <c r="CP410" s="231">
        <f>IF(CP$3=$K410,IF($C410="W",1,IF($C410="1/2W",0.5,0)),0)</f>
        <v>0</v>
      </c>
      <c r="CQ410" s="231">
        <f>IF(CP$3=$K410,IF($C410="L",1,IF($C410="1/2L",0.5,0)),0)</f>
        <v>0</v>
      </c>
      <c r="CR410" s="231">
        <f>IF(CR$3=$K410,IF($C410="W",1,IF($C410="1/2W",0.5,0)),0)</f>
        <v>0</v>
      </c>
      <c r="CS410" s="231">
        <f>IF(CR$3=$K410,IF($C410="L",1,IF($C410="1/2L",0.5,0)),0)</f>
        <v>0</v>
      </c>
      <c r="CT410" s="208">
        <f>IF(CT$3=$K410,IF($C410="W",1,IF($C410="1/2W",0.5,0)),0)</f>
        <v>0</v>
      </c>
      <c r="CU410" s="209">
        <f>IF(CT$3=$K410,IF($C410="L",1,IF($C410="1/2L",0.5,0)),0)</f>
        <v>0</v>
      </c>
      <c r="CV410" s="209">
        <f>IF(CV$3=$K410,IF($C410="W",1,IF($C410="1/2W",0.5,0)),0)</f>
        <v>0</v>
      </c>
      <c r="CW410" s="209">
        <f>IF(CV$3=$K410,IF($C410="L",1,IF($C410="1/2L",0.5,0)),0)</f>
        <v>0</v>
      </c>
      <c r="CX410" s="209">
        <f>IF(CX$3=$K410,IF($C410="W",1,IF($C410="1/2W",0.5,0)),0)</f>
        <v>0</v>
      </c>
      <c r="CY410" s="209">
        <f>IF(CX$3=$K410,IF($C410="L",1,IF($C410="1/2L",0.5,0)),0)</f>
        <v>0</v>
      </c>
      <c r="CZ410" s="209">
        <f>IF(CZ$3=$K410,IF($C410="W",1,IF($C410="1/2W",0.5,0)),0)</f>
        <v>0</v>
      </c>
      <c r="DA410" s="209">
        <f>IF(CZ$3=$K410,IF($C410="L",1,IF($C410="1/2L",0.5,0)),0)</f>
        <v>0</v>
      </c>
      <c r="DB410" s="209">
        <f>IF(DB$3=$K410,IF($C410="W",1,IF($C410="1/2W",0.5,0)),0)</f>
        <v>0</v>
      </c>
      <c r="DC410" s="209">
        <f>IF(DB$3=$K410,IF($C410="L",1,IF($C410="1/2L",0.5,0)),0)</f>
        <v>0</v>
      </c>
      <c r="DD410" s="209">
        <f>IF(DD$3=$K410,IF($C410="W",1,IF($C410="1/2W",0.5,0)),0)</f>
        <v>0</v>
      </c>
      <c r="DE410" s="210">
        <f>IF(DD$3=$K410,IF($C410="L",1,IF($C410="1/2L",0.5,0)),0)</f>
        <v>0</v>
      </c>
      <c r="DF410" s="211">
        <f>IF(AND(L410&lt;DF$3,$C410="W"),1+DF409,DF409)</f>
        <v>14</v>
      </c>
      <c r="DG410" s="198">
        <f>IF(DF410&gt;DF409,L410+DG409,DG409)</f>
        <v>18.548</v>
      </c>
      <c r="DH410" s="209">
        <f>IF(AND(L410&gt;DH$3,$C410="W"),1+DH409,0+DH409)</f>
        <v>10</v>
      </c>
      <c r="DI410" s="198">
        <f>IF(DH410&gt;DH409,L410+DI409,DI409)</f>
        <v>55.13</v>
      </c>
      <c r="DJ410" t="s" s="306">
        <f>IF($D409="","",$D409)</f>
        <v>307</v>
      </c>
      <c r="DK410" s="232"/>
    </row>
    <row r="411" ht="14.55" customHeight="1">
      <c r="A411" s="149"/>
      <c r="B411" s="150"/>
      <c r="C411" t="s" s="233">
        <v>58</v>
      </c>
      <c r="D411" s="152"/>
      <c r="E411" s="153"/>
      <c r="F411" s="155"/>
      <c r="G411" s="234"/>
      <c r="H411" s="156"/>
      <c r="I411" s="235"/>
      <c r="J411" s="236"/>
      <c r="K411" s="237"/>
      <c r="L411" s="238"/>
      <c r="M411" s="239"/>
      <c r="N411" s="161"/>
      <c r="O411" t="s" s="240">
        <f>IF(OR(AE409="",AE410=""),"",IF(L411&gt;0,ROUND(IF(M411&gt;0,M411,IF(M409&gt;0,ROUND((M409*AE411)/AE409,IF(N409=0,2,IF(N409=0.1,1,0))),IF(M410&gt;0,ROUND((M410*AE411)/AE410,IF(N409=0,2,IF(N409=0.1,1,0))),IF(M411&gt;0,M411,0)))),2),""))</f>
      </c>
      <c r="P411" t="s" s="241">
        <f>IF(I410="Lay",O410*(L410/(L410-1))-O410,IF(I409="Lay",O409*(L409/(L409-1))-O409,IF(OR(L411="",O411=""),"",IF($C411="1/2W",O411/2+O411/2*L411,IF($C411="1/2L",O411/2,(O411*L411-O411)*(1-_xlfn.XLOOKUP(K411,'Janeiro 2023 - Valor Real'!A3:A15,'Janeiro 2023 - Valor Real'!C3:C15,0))+O411)))))</f>
      </c>
      <c r="Q411" t="s" s="242">
        <f>IF(K411="","",IF(_xlfn.XLOOKUP(K411,K$112:K172,DJ$112:DJ172,0,,-1)=DJ411,_xlfn.XLOOKUP(K411,K$112:K172,Q$112:Q172,1,,-1)+1,1))</f>
      </c>
      <c r="R411" t="s" s="243">
        <f>IF(K411="","",_xlfn.XLOOKUP(K411,K$112:K172,R$112:R172,0,,-1)+IF($C411=" ",1,0))</f>
      </c>
      <c r="S411" s="166"/>
      <c r="T411" s="155"/>
      <c r="U411" s="155"/>
      <c r="V411" s="166"/>
      <c r="W411" s="155"/>
      <c r="X411" s="167"/>
      <c r="Y411" s="128"/>
      <c r="Z411" s="129"/>
      <c r="AA411" s="129"/>
      <c r="AB411" s="129"/>
      <c r="AC411" s="129"/>
      <c r="AD411" s="244">
        <f>((L410/(L410-1)-1))</f>
        <v>1.5015015015015</v>
      </c>
      <c r="AE411" t="s" s="245">
        <f>IF(L411="","",(SUM(((L409-1)*(1-_xlfn.XLOOKUP(K409,'Janeiro 2023 - Valor Real'!A3:A15,'Janeiro 2023 - Valor Real'!C3:C15,0))+1),((L410-1)*(1-_xlfn.XLOOKUP(K410,'Janeiro 2023 - Valor Real'!A3:A15,'Janeiro 2023 - Valor Real'!C3:C15,0))+1),((L411-1)*(1-_xlfn.XLOOKUP(K411,'Janeiro 2023 - Valor Real'!A3:A15,'Janeiro 2023 - Valor Real'!C3:C15,0))+1))/((L411-1)*(1-_xlfn.XLOOKUP(K411,'Janeiro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Real'!C3:C15,0))+1))/((L409-1)*(1-_xlfn.XLOOKUP(K409,'Janeiro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Real'!C3:C15,0))+1))/((L410-1)*(1-_xlfn.XLOOKUP(K410,'Janeiro 2023 - Valor Real'!A3:A15,'Janeiro 2023 - Valor Real'!C3:C15,0))+1)+SUM(((L409-1)*(1-_xlfn.XLOOKUP(K409,'Janeiro 2023 - Valor Real'!A3:A15,'Janeiro 2023 - Valor Real'!C3:C15,0))+1),((L410-1)*(1-_xlfn.XLOOKUP(K410,'Janeiro 2023 - Valor Real'!A3:A15,'Janeiro 2023 - Valor Real'!C3:C15,0))+1),((L411-1)*(1-_xlfn.XLOOKUP(K411,'Janeiro 2023 - Valor Real'!A3:A15,'Janeiro 2023 - Valor Real'!C3:C15,0))+1))/((L411-1)*(1-_xlfn.XLOOKUP(K411,'Janeiro 2023 - Valor Real'!A3:A15,'Janeiro 2023 - Valor Real'!C3:C15,0))+1)))</f>
      </c>
      <c r="AF411" s="197">
        <f>IF($K411=AF$3,ROUND(IF(OR($C411="W",$C411="1/2W",$C411="1/2L"),$P411-$O411,IF($C411="X",0,-$O411)),2),0)</f>
        <v>0</v>
      </c>
      <c r="AG411" s="198">
        <f>IF($K411=AG$3,ROUND(IF(OR($C411="W",$C411="1/2W",$C411="1/2L"),$P411-$O411,IF($C411="X",0,-$O411)),2),0)</f>
        <v>0</v>
      </c>
      <c r="AH411" s="198">
        <f>IF($K411=AH$3,ROUND(IF(OR($C411="W",$C411="1/2W",$C411="1/2L"),$P411-$O411,IF($C411="X",0,-$O411)),2),0)</f>
        <v>0</v>
      </c>
      <c r="AI411" s="198">
        <f>IF($K411=AI$3,ROUND(IF(OR($C411="W",$C411="1/2W",$C411="1/2L"),$P411-$O411,IF($C411="X",0,-$O411)),2),0)</f>
        <v>0</v>
      </c>
      <c r="AJ411" s="198">
        <f>IF($K411=AJ$3,ROUND(IF(OR($C411="W",$C411="1/2W",$C411="1/2L"),$P411-$O411,IF($C411="X",0,-$O411)),2),0)</f>
        <v>0</v>
      </c>
      <c r="AK411" s="198">
        <f>IF($K411=AK$3,ROUND(IF(OR($C411="W",$C411="1/2W",$C411="1/2L"),$P411-$O411,IF($C411="X",0,-$O411)),2),0)</f>
        <v>0</v>
      </c>
      <c r="AL411" s="198">
        <f>IF($K411=AL$3,ROUND(IF(OR($C411="W",$C411="1/2W",$C411="1/2L"),$P411-$O411,IF($C411="X",0,-$O411)),2),0)</f>
        <v>0</v>
      </c>
      <c r="AM411" s="198">
        <f>IF($K411=AM$3,ROUND(IF(OR($C411="W",$C411="1/2W",$C411="1/2L"),$P411-$O411,IF($C411="X",0,-$O411)),2),0)</f>
        <v>0</v>
      </c>
      <c r="AN411" s="198">
        <f>IF($K411=AN$3,ROUND(IF(OR($C411="W",$C411="1/2W",$C411="1/2L"),$P411-$O411,IF($C411="X",0,-$O411)),2),0)</f>
        <v>0</v>
      </c>
      <c r="AO411" s="198">
        <f>IF($K411=AO$3,ROUND(IF(OR($C411="W",$C411="1/2W",$C411="1/2L"),$P411-$O411,IF($C411="X",0,-$O411)),2),0)</f>
        <v>0</v>
      </c>
      <c r="AP411" s="198">
        <f>IF($K411=AP$3,ROUND(IF(OR($C411="W",$C411="1/2W",$C411="1/2L"),$P411-$O411,IF($C411="X",0,-$O411)),2),0)</f>
        <v>0</v>
      </c>
      <c r="AQ411" s="198">
        <f>IF($K411=AQ$3,ROUND(IF(OR($C411="W",$C411="1/2W",$C411="1/2L"),$P411-$O411,IF($C411="X",0,-$O411)),2),0)</f>
        <v>0</v>
      </c>
      <c r="AR411" s="199">
        <f>IF($K411=AR$3,ROUND(IF(OR($C411="W",$C411="1/2W",$C411="1/2L"),$P411-$O411,IF($C411="X",0,-$O411)),2),0)</f>
        <v>0</v>
      </c>
      <c r="AS411" s="197">
        <f>IF(AND($B409=" ",$K411=AS$3),$O411,0)</f>
        <v>0</v>
      </c>
      <c r="AT411" s="198">
        <f>IF(AND($B409=" ",K411=AT$3),$O411,0)</f>
        <v>0</v>
      </c>
      <c r="AU411" s="198">
        <f>IF(AND($B409=" ",$K411=AU$3),$O411,0)</f>
        <v>0</v>
      </c>
      <c r="AV411" s="198">
        <f>IF(AND($B409=" ",$K411=AV$3),$O411,0)</f>
        <v>0</v>
      </c>
      <c r="AW411" s="198">
        <f>IF(AND($B409=" ",$K411=AW$3),$O411,0)</f>
        <v>0</v>
      </c>
      <c r="AX411" s="198">
        <f>IF(AND($B409=" ",$K411=AX$3),$O411,0)</f>
        <v>0</v>
      </c>
      <c r="AY411" s="200">
        <f>IF(AND($B409=" ",$K411=AY$3),$O411,0)</f>
        <v>0</v>
      </c>
      <c r="AZ411" s="201">
        <f>IF(AND($B409=" ",$K411=AZ$3),$O411,0)</f>
        <v>0</v>
      </c>
      <c r="BA411" s="201">
        <f>IF(AND($B409=" ",$K411=BA$3),$O411,0)</f>
        <v>0</v>
      </c>
      <c r="BB411" s="201">
        <f>IF(AND($B409=" ",$K411=BB$3),$O411,0)</f>
        <v>0</v>
      </c>
      <c r="BC411" s="202">
        <f>IF(AND($B409=" ",$K411=BC$3),$O411,0)</f>
        <v>0</v>
      </c>
      <c r="BD411" s="198">
        <f>IF(AND($B409=" ",$K411=BD$3),$O411,0)</f>
        <v>0</v>
      </c>
      <c r="BE411" s="199">
        <f>IF(AND($B409=" ",$K411=BE$3),$O411,0)</f>
        <v>0</v>
      </c>
      <c r="BF411" s="197">
        <f>IF($K411=BF$3,IF($C411="X",0,$O411),0)</f>
        <v>0</v>
      </c>
      <c r="BG411" s="198">
        <f>IF($K411=BG$3,IF($C411="X",0,$O411),0)</f>
        <v>0</v>
      </c>
      <c r="BH411" s="198">
        <f>IF($K411=BH$3,IF($C411="X",0,$O411),0)</f>
        <v>0</v>
      </c>
      <c r="BI411" s="198">
        <f>IF($K411=BI$3,IF($C411="X",0,$O411),0)</f>
        <v>0</v>
      </c>
      <c r="BJ411" s="198">
        <f>IF($K411=BJ$3,IF($C411="X",0,$O411),0)</f>
        <v>0</v>
      </c>
      <c r="BK411" s="198">
        <f>IF($K411=BK$3,IF($C411="X",0,$O411),0)</f>
        <v>0</v>
      </c>
      <c r="BL411" s="198">
        <f>IF($K411=BL$3,IF($C411="X",0,$O411),0)</f>
        <v>0</v>
      </c>
      <c r="BM411" s="200">
        <f>IF($K411=BM$3,IF($C411="X",0,$O411),0)</f>
        <v>0</v>
      </c>
      <c r="BN411" s="201">
        <f>IF($K411=BN$3,IF($C411="X",0,$O411),0)</f>
        <v>0</v>
      </c>
      <c r="BO411" s="201">
        <f>IF($K411=BO$3,IF($C411="X",0,$O411),0)</f>
        <v>0</v>
      </c>
      <c r="BP411" s="201">
        <f>IF($K411=BP$3,IF($C411="X",0,$O411),0)</f>
        <v>0</v>
      </c>
      <c r="BQ411" s="202">
        <f>IF($K411=BQ$3,IF($C411="X",0,$O411),0)</f>
        <v>0</v>
      </c>
      <c r="BR411" s="199">
        <f>IF($K411=BR$3,IF($C411="X",0,$O411),0)</f>
        <v>0</v>
      </c>
      <c r="BS411" s="228"/>
      <c r="BT411" s="229"/>
      <c r="BU411" s="140"/>
      <c r="BV411" s="229"/>
      <c r="BW411" s="140"/>
      <c r="BX411" s="140"/>
      <c r="BY411" s="140"/>
      <c r="BZ411" s="229"/>
      <c r="CA411" s="140"/>
      <c r="CB411" s="140"/>
      <c r="CC411" s="140"/>
      <c r="CD411" s="141"/>
      <c r="CE411" s="142"/>
      <c r="CF411" s="230">
        <f>IF(CF$3=$K411,IF($C411="W",1,IF($C411="1/2W",0.5,0)),0)</f>
        <v>0</v>
      </c>
      <c r="CG411" s="231">
        <f>IF(CF$3=$K411,IF($C411="L",1,IF($C411="1/2L",0.5,0)),0)</f>
        <v>0</v>
      </c>
      <c r="CH411" s="231">
        <f>IF(CH$3=$K411,IF($C411="W",1,IF($C411="1/2W",0.5,0)),0)</f>
        <v>0</v>
      </c>
      <c r="CI411" s="231">
        <f>IF(CH$3=$K411,IF($C411="L",1,IF($C411="1/2L",0.5,0)),0)</f>
        <v>0</v>
      </c>
      <c r="CJ411" s="231">
        <f>IF(CJ$3=$K411,IF($C411="W",1,IF($C411="1/2W",0.5,0)),0)</f>
        <v>0</v>
      </c>
      <c r="CK411" s="231">
        <f>IF(CJ$3=$K411,IF($C411="L",1,IF($C411="1/2L",0.5,0)),0)</f>
        <v>0</v>
      </c>
      <c r="CL411" s="231">
        <f>IF(CL$3=$K411,IF($C411="W",1,IF($C411="1/2W",0.5,0)),0)</f>
        <v>0</v>
      </c>
      <c r="CM411" s="231">
        <f>IF(CL$3=$K411,IF($C411="L",1,IF($C411="1/2L",0.5,0)),0)</f>
        <v>0</v>
      </c>
      <c r="CN411" s="231">
        <f>IF(CN$3=$K411,IF($C411="W",1,IF($C411="1/2W",0.5,0)),0)</f>
        <v>0</v>
      </c>
      <c r="CO411" s="231">
        <f>IF(CN$3=$K411,IF($C411="L",1,IF($C411="1/2L",0.5,0)),0)</f>
        <v>0</v>
      </c>
      <c r="CP411" s="231">
        <f>IF(CP$3=$K411,IF($C411="W",1,IF($C411="1/2W",0.5,0)),0)</f>
        <v>0</v>
      </c>
      <c r="CQ411" s="231">
        <f>IF(CP$3=$K411,IF($C411="L",1,IF($C411="1/2L",0.5,0)),0)</f>
        <v>0</v>
      </c>
      <c r="CR411" s="231">
        <f>IF(CR$3=$K411,IF($C411="W",1,IF($C411="1/2W",0.5,0)),0)</f>
        <v>0</v>
      </c>
      <c r="CS411" s="231">
        <f>IF(CR$3=$K411,IF($C411="L",1,IF($C411="1/2L",0.5,0)),0)</f>
        <v>0</v>
      </c>
      <c r="CT411" s="208">
        <f>IF(CT$3=$K411,IF($C411="W",1,IF($C411="1/2W",0.5,0)),0)</f>
        <v>0</v>
      </c>
      <c r="CU411" s="209">
        <f>IF(CT$3=$K411,IF($C411="L",1,IF($C411="1/2L",0.5,0)),0)</f>
        <v>0</v>
      </c>
      <c r="CV411" s="209">
        <f>IF(CV$3=$K411,IF($C411="W",1,IF($C411="1/2W",0.5,0)),0)</f>
        <v>0</v>
      </c>
      <c r="CW411" s="209">
        <f>IF(CV$3=$K411,IF($C411="L",1,IF($C411="1/2L",0.5,0)),0)</f>
        <v>0</v>
      </c>
      <c r="CX411" s="209">
        <f>IF(CX$3=$K411,IF($C411="W",1,IF($C411="1/2W",0.5,0)),0)</f>
        <v>0</v>
      </c>
      <c r="CY411" s="209">
        <f>IF(CX$3=$K411,IF($C411="L",1,IF($C411="1/2L",0.5,0)),0)</f>
        <v>0</v>
      </c>
      <c r="CZ411" s="209">
        <f>IF(CZ$3=$K411,IF($C411="W",1,IF($C411="1/2W",0.5,0)),0)</f>
        <v>0</v>
      </c>
      <c r="DA411" s="209">
        <f>IF(CZ$3=$K411,IF($C411="L",1,IF($C411="1/2L",0.5,0)),0)</f>
        <v>0</v>
      </c>
      <c r="DB411" s="209">
        <f>IF(DB$3=$K411,IF($C411="W",1,IF($C411="1/2W",0.5,0)),0)</f>
        <v>0</v>
      </c>
      <c r="DC411" s="209">
        <f>IF(DB$3=$K411,IF($C411="L",1,IF($C411="1/2L",0.5,0)),0)</f>
        <v>0</v>
      </c>
      <c r="DD411" s="209">
        <f>IF(DD$3=$K411,IF($C411="W",1,IF($C411="1/2W",0.5,0)),0)</f>
        <v>0</v>
      </c>
      <c r="DE411" s="210">
        <f>IF(DD$3=$K411,IF($C411="L",1,IF($C411="1/2L",0.5,0)),0)</f>
        <v>0</v>
      </c>
      <c r="DF411" s="211">
        <f>IF(AND(L411&lt;DF$3,$C411="W"),1+DF410,DF410)</f>
        <v>14</v>
      </c>
      <c r="DG411" s="198">
        <f>IF(DF411&gt;DF410,L411+DG410,DG410)</f>
        <v>18.548</v>
      </c>
      <c r="DH411" s="209">
        <f>IF(AND(L411&gt;DH$3,$C411="W"),1+DH410,0+DH410)</f>
        <v>10</v>
      </c>
      <c r="DI411" s="198">
        <f>IF(DH411&gt;DH410,L411+DI410,DI410)</f>
        <v>55.13</v>
      </c>
      <c r="DJ411" t="s" s="306">
        <f>IF($D409="","",$D409)</f>
        <v>307</v>
      </c>
      <c r="DK411" s="232"/>
    </row>
    <row r="412" ht="14.55" customHeight="1">
      <c r="A412" s="246">
        <f>$A409+1</f>
        <v>137</v>
      </c>
      <c r="B412" t="s" s="247">
        <f>IF(AND(_xlfn.XLOOKUP(H412,H$107:H191,G$107:G191,0)=G412,_xlfn.XLOOKUP("TempoBet",K412:K414,L412:L414,0)&gt;0),"X",IF(OR(C412="W",C413="W",C414="W",C412="1/2W",C413="1/2W",C414="1/2W",C412="1/2L",C413="1/2L",C414="1/2L"),"OK",IF(OR(C412="L",C413="L",C414="L"),"LOSS",IF(OR(C412="X",C413="X",C414="X"),"Anulado"," "))))</f>
        <v>50</v>
      </c>
      <c r="C412" t="s" s="248">
        <v>51</v>
      </c>
      <c r="D412" t="s" s="303">
        <f>IF(G412="","",$D409)</f>
        <v>307</v>
      </c>
      <c r="E412" t="s" s="250">
        <v>145</v>
      </c>
      <c r="F412" t="s" s="251">
        <f>IF(G412="","",IF(OR(AND($C412&lt;&gt;" ",$C413=" "),AND($C413&lt;&gt;" ",$C412=" "),AND(L414&gt;0,OR(AND($C414&lt;&gt;" ",OR($C412=" ",$C413=" ")),AND($C414=" ",OR($C412&lt;&gt;" ",$C413&lt;&gt;" "))))),IF(SUM(F$4:F411)=0,1,LARGE(F$4:F411,1)+1),IF(MONTH(G412)=MONTH(TODAY()),IF(AND(DAY(G412)&lt;DAY(TODAY()),$B412=" "),IF(SUM(F$4:F411)=0,1,LARGE(F$4:F411,1)+1),IF($B412=" ",IF(AND(DAY(G412)=DAY(TODAY()),HOUR(G412)&lt;=HOUR(NOW())+1),IF(AND(HOUR(G412)+2&lt;=HOUR(NOW()),DAY(G412)&lt;=DAY(TODAY()),MINUTE(G412)&lt;=MINUTE(NOW())),IF(SUM(F$4:F411)=0,1,LARGE(F$4:F411,1)+1),IF(OR(MINUTE(G412)&lt;=MINUTE(NOW()),HOUR(G412)&lt;=HOUR(NOW())),"!!!","")),""),"")),"")))</f>
      </c>
      <c r="G412" s="252">
        <v>44949.958333333336</v>
      </c>
      <c r="H412" t="s" s="253">
        <v>335</v>
      </c>
      <c r="I412" t="s" s="254">
        <v>65</v>
      </c>
      <c r="J412" s="255">
        <v>59.5</v>
      </c>
      <c r="K412" t="s" s="256">
        <v>38</v>
      </c>
      <c r="L412" s="257">
        <v>2.75</v>
      </c>
      <c r="M412" s="258"/>
      <c r="N412" s="259">
        <v>0</v>
      </c>
      <c r="O412" s="260">
        <f>IF(OR(AE412="",AE413=""),"",ROUND(IF(L414&gt;0,IF(M412&gt;0,M412,IF(M413&gt;0,ROUND((M413*AE412)/AE413,IF(N412=0,2,IF(N412=0.1,1,0))),ROUND((M414*AE412)/AE414,IF(N412=0,2,IF(N412=0.1,1,0))))),IF(M412&gt;0,M412,ROUND((M413*AE412)/AE413,IF(N412=0,2,IF(N412=0.1,1,0))))),2))</f>
        <v>4.45</v>
      </c>
      <c r="P412" s="261">
        <f>IF(OR(L412="",O412=""),"",IF($C412="1/2W",O412/2+O412/2*L412,IF($C412="1/2L",O412/2,IF(I412="Lay",(O412*(L412/(L412-1))-O412)*(1-_xlfn.XLOOKUP(K412,'Janeiro 2023 - Valor Real'!A3:A15,'Janeiro 2023 - Valor Real'!C3:C15,0))+O412,(O412*L412-O412)*(1-_xlfn.XLOOKUP(K412,'Janeiro 2023 - Valor Real'!A3:A15,'Janeiro 2023 - Valor Real'!C3:C15,0))+O412))))</f>
        <v>12.2375</v>
      </c>
      <c r="Q412" s="262">
        <f>IF(K412="","",IF(_xlfn.XLOOKUP(K412,K$107:K191,DJ$107:DJ191,0,,-1)=DJ412,_xlfn.XLOOKUP(K412,K$107:K191,Q$107:Q191,1,,-1)+1,1))</f>
        <v>1</v>
      </c>
      <c r="R412" s="263">
        <f>IF(K412="","",_xlfn.XLOOKUP(K412,K$107:K191,R$107:R191,0,,-1)+IF($C412=" ",1,0))</f>
        <v>0</v>
      </c>
      <c r="S412" s="264">
        <f>IF($B412="Anulado",0,ROUND(IF(OR($B412="LOSS",$B412="OK"),IF(OR($C412="W",$C412="1/2W",$C412="1/2L"),P412-O412,IF($C412="L",-O412,0))+IF(OR($C413="W",$C413="1/2W",$C413="1/2L"),P413-O413,IF($C413="L",-O413,0))+IF(OR($C414="W",$C414="1/2W",$C414="1/2L"),P414-O414,IF($C414="L",-O414,0)),IF(AND(OR($C412="W",$C412="1/2W",$C412="1/2L"),C413="W"),P412+P413-SUM(O412:O414)+_xlfn.XLOOKUP("X",C412:C414,O412:O414,0),IF(AND(C412=TRUE,C414="W"),P412+P414-SUM(O412:O414),IF(AND(C413="W",C414="W"),P413+P414-SUM(O412:O414)+_xlfn.XLOOKUP("X",C412:C414,O412:O414,0),IF(L414&gt;0,IF(OR($C412="W",$C412="1/2W",$C412="1/2L"),P412-SUM(O412:O414)+_xlfn.XLOOKUP("X",C412:C414,O412:O414,0),IF(OR($C412="W",$C412="1/2W",$C412="1/2L"),P413-SUM(O412:O414)+_xlfn.XLOOKUP("X",C412:C414,O412:O414,0),IF(OR($C412="W",$C412="1/2W",$C412="1/2L"),P414-SUM(O412:O414)+_xlfn.XLOOKUP("X",C412:C414,O412:O414,0),IF(SUM(P412:P414)/3-SUM(O412:O414)+_xlfn.XLOOKUP("X",C412:C414,O412:O414,0)&gt;0,SUM(P412:P414)/3-SUM(O412:O414)+_xlfn.XLOOKUP("X",C412:C414,O412:O414,0),LARGE(P412:P414,1)-SUM(O412:O414))))),IF(OR($C412="W",$C412="1/2W",$C412="1/2L"),P412-SUM(O412:O413)+_xlfn.XLOOKUP("X",C412:C414,O412:O414,0),IF(OR($C412="W",$C412="1/2W",$C412="1/2L"),P413-SUM(O412:O413)+_xlfn.XLOOKUP("X",C412:C414,O412:O414,0),SUM(P412:P413)/2-SUM(O412:O413)+_xlfn.XLOOKUP("X",C412:C414,O412:O414,0)))))))),2))</f>
        <v>1.18</v>
      </c>
      <c r="T412" s="265">
        <f>IF(S412=0,0,S412/SUM(O412:O414))</f>
        <v>0.106594399277326</v>
      </c>
      <c r="U412" s="266">
        <f>IF($D412=$D409,IF(OR($B412="LOSS",$B412="OK",$B412="Anulada"),S412,0)+U409,IF(OR($B412="LOSS",$B412="OK",$B412="Anulada"),S412,0))</f>
        <v>30.62</v>
      </c>
      <c r="V412" s="266">
        <f>IF($D412="",0,IF($D412=$D409,IF($B412=" ",IF(I414="",IF(OR(AND(I412="DNB1",I413="DNB2"),AND(OR(I412="DNB1",I412="DNB2"),J413=0),AND(OR(I413="DNB1",I413="DNB2"),J412=0),AND(I412="DNB2",I413="DNB1"),AND(IF(J412=0,(J412+1)/ROUND(J412+1,0),J412/ROUND(J412,0))=1,IF(J413=0,(J413+1)/ROUND(IF(J413="",0,J413)+1,0),IF(J413="",0,J413)/ROUND(IF(J413="",1,J413),0))=1,OR(J412&lt;&gt;""),J413&lt;&gt;"")),0,IF(S412&lt;0,IF(I414="",SMALL(P412:P413,1)-SUM(O412:O413),0),SMALL(P412:P413,1)-SUM(O412:O413))),IF(S412&lt;0,IF(I414="",SMALL(P412:P414,1)-SUM(O412:O414),0),LARGE(P412:P414,1)-SUM(O412:O414))),S412)+V409,IF(I414="",IF(OR(AND(I412="DNB1",I413="DNB2"),AND(OR(I412="DNB1",I412="DNB2"),J413=0),AND(OR(I413="DNB1",I413="DNB2"),J412=0),AND(I412="DNB2",I413="DNB1"),AND(IF(J412=0,(J412+1)/ROUND(J412+1,0),J412/ROUND(J412,0))=1,IF(J413=0,(IF(J413="",0,J413)+1)/ROUND(IF(J413="",0,J413)+1,0),IF(J413="",0,J413)/ROUND(IF(J413="",0,J413)+1,0))=1,OR(J412&lt;&gt;""),J413&lt;&gt;"")),0,IF(S412&lt;0,IF(I414="",SMALL(P412:P413,1)-SUM(O412:O413),0),SMALL(P412:P414,1)-SUM(O412:O414))),IF(S412&lt;0,IF(I414="",SMALL(P412:P414,1)-SUM(O412:O414),0),LARGE(P412:P414,1)-SUM(O412:O414)))))</f>
        <v>30.62225</v>
      </c>
      <c r="W412" s="266">
        <f>IF($D412=$D409,IF(S412&lt;0,IF(I414="",S412,0),S412)+W409,S412)</f>
        <v>30.62</v>
      </c>
      <c r="X412" t="s" s="267">
        <f>IF(OR(SUM(R412:R414)=0,V412=W412),ROUND(IF(W412=0,0,W412/Y412)*100,2)&amp;"%",ROUND(IF(V412=0,0,V412/Y412)*100,2)&amp;"% a "&amp;ROUND(IF(W412=0,0,W412/Y412)*100,2)&amp;"%")</f>
        <v>336</v>
      </c>
      <c r="Y412" s="268">
        <f>IF($D412=$D409,Y409+SUM(O412:O414),SUM(O412:O414))</f>
        <v>487.13</v>
      </c>
      <c r="Z412" s="266">
        <f>IF($B412=" ",SUM(O412:O414),0)+Z409</f>
        <v>0</v>
      </c>
      <c r="AA412" s="266">
        <f>IF(G412="","",IF($B412="Anulado",LARGE(P412:P414,1)-SUM(O412:O414)+AA409,AA409))</f>
        <v>21.1127</v>
      </c>
      <c r="AB412" s="266">
        <f>IF($D412="","",AB409+S412)</f>
        <v>282.29</v>
      </c>
      <c r="AC412" s="269">
        <f>IF($D412="","",IF($B412=" ",IF(DAY(G412)=DAY(TODAY()),1+AC409,0+AC409),0+AC409))</f>
        <v>0</v>
      </c>
      <c r="AD412" s="270">
        <f>(1-_xlfn.XLOOKUP(K410,'Janeiro 2023 - Valor Real'!A3:A15,'Janeiro 2023 - Valor Real'!C3:C15,0))+1</f>
        <v>2</v>
      </c>
      <c r="AE412" s="271">
        <f>IF(L412="","",IF(L414&gt;0,(SUM(((L412-1)*(1-_xlfn.XLOOKUP(K412,'Janeiro 2023 - Valor Real'!A3:A15,'Janeiro 2023 - Valor Real'!C3:C15,0))+1),((L413-1)*(1-_xlfn.XLOOKUP(K413,'Janeiro 2023 - Valor Real'!A3:A15,'Janeiro 2023 - Valor Real'!C3:C15,0))+1),((L414-1)*(1-_xlfn.XLOOKUP(K414,'Janeiro 2023 - Valor Real'!A3:A15,'Janeiro 2023 - Valor Real'!C3:C15,0))+1))/((L412-1)*(1-_xlfn.XLOOKUP(K412,'Janeiro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Real'!C3:C15,0))+1))/((L412-1)*(1-_xlfn.XLOOKUP(K412,'Janeiro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Real'!C3:C15,0))+1))/((L413-1)*(1-_xlfn.XLOOKUP(K413,'Janeiro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Real'!C3:C15,0))+1))/((L414-1)*(1-_xlfn.XLOOKUP(K414,'Janeiro 2023 - Valor Real'!A3:A15,'Janeiro 2023 - Valor Real'!C3:C15,0))+1)),IF(I412="Lay",IF(I413="Lay",((L413/(L413-1)-1)*(1-_xlfn.XLOOKUP(K413,'Janeiro 2023 - Valor Real'!A3:A15,'Janeiro 2023 - Valor Real'!C3:C15,0))+1)/(((L413/(L413-1)-1)*(1-_xlfn.XLOOKUP(K413,'Janeiro 2023 - Valor Real'!A3:A15,'Janeiro 2023 - Valor Real'!C3:C15,0))+1)+((L412/(L412-1)-1)*(1-_xlfn.XLOOKUP(K412,'Janeiro 2023 - Valor Real'!A3:A15,'Janeiro 2023 - Valor Real'!C3:C15,0))+1)),((L413-1)*(1-_xlfn.XLOOKUP(K413,'Janeiro 2023 - Valor Real'!A3:A15,'Janeiro 2023 - Valor Real'!C3:C15,0))+1)/(((L413-1)*(1-_xlfn.XLOOKUP(K413,'Janeiro 2023 - Valor Real'!A3:A15,'Janeiro 2023 - Valor Real'!C3:C15,0))+1)+((L412/(L412-1)-1)*(1-_xlfn.XLOOKUP(K412,'Janeiro 2023 - Valor Real'!A3:A15,'Janeiro 2023 - Valor Real'!C3:C15,0))+1))),IF(I413="Lay",(((L413/(L413-1)-1)*(1-_xlfn.XLOOKUP(K413,'Janeiro 2023 - Valor Real'!A3:A15,'Janeiro 2023 - Valor Real'!C3:C15,0))+1))/(((L412-1)*(1-_xlfn.XLOOKUP(K412,'Janeiro 2023 - Valor Real'!A3:A15,'Janeiro 2023 - Valor Real'!C3:C15,0))+1)+((L413/(L413-1)-1)*(1-_xlfn.XLOOKUP(K413,'Janeiro 2023 - Valor Real'!A3:A15,'Janeiro 2023 - Valor Real'!C3:C15,0))+1)),((L413-1)*(1-_xlfn.XLOOKUP(K413,'Janeiro 2023 - Valor Real'!A3:A15,'Janeiro 2023 - Valor Real'!C3:C15,0))+1)/(((L413-1)*(1-_xlfn.XLOOKUP(K413,'Janeiro 2023 - Valor Real'!A3:A15,'Janeiro 2023 - Valor Real'!C3:C15,0))+1)+((L412-1)*(1-_xlfn.XLOOKUP(K412,'Janeiro 2023 - Valor Real'!A3:A15,'Janeiro 2023 - Valor Real'!C3:C15,0))+1))))))</f>
        <v>0.402173913043478</v>
      </c>
      <c r="AF412" s="132">
        <f>IF($K412=AF$3,ROUND(IF(OR($C412="W",$C412="1/2W",$C412="1/2L"),$P412-$O412,IF($C412="X",0,-$O412)),2),0)</f>
        <v>0</v>
      </c>
      <c r="AG412" s="133">
        <f>IF($K412=AG$3,ROUND(IF(OR($C412="W",$C412="1/2W",$C412="1/2L"),$P412-$O412,IF($C412="X",0,-$O412)),2),0)</f>
        <v>-4.45</v>
      </c>
      <c r="AH412" s="133">
        <f>IF($K412=AH$3,ROUND(IF(OR($C412="W",$C412="1/2W",$C412="1/2L"),$P412-$O412,IF($C412="X",0,-$O412)),2),0)</f>
        <v>0</v>
      </c>
      <c r="AI412" s="133">
        <f>IF($K412=AI$3,ROUND(IF(OR($C412="W",$C412="1/2W",$C412="1/2L"),$P412-$O412,IF($C412="X",0,-$O412)),2),0)</f>
        <v>0</v>
      </c>
      <c r="AJ412" s="133">
        <f>IF($K412=AJ$3,ROUND(IF(OR($C412="W",$C412="1/2W",$C412="1/2L"),$P412-$O412,IF($C412="X",0,-$O412)),2),0)</f>
        <v>0</v>
      </c>
      <c r="AK412" s="133">
        <f>IF($K412=AK$3,ROUND(IF(OR($C412="W",$C412="1/2W",$C412="1/2L"),$P412-$O412,IF($C412="X",0,-$O412)),2),0)</f>
        <v>0</v>
      </c>
      <c r="AL412" s="133">
        <f>IF($K412=AL$3,ROUND(IF(OR($C412="W",$C412="1/2W",$C412="1/2L"),$P412-$O412,IF($C412="X",0,-$O412)),2),0)</f>
        <v>0</v>
      </c>
      <c r="AM412" s="133">
        <f>IF($K412=AM$3,ROUND(IF(OR($C412="W",$C412="1/2W",$C412="1/2L"),$P412-$O412,IF($C412="X",0,-$O412)),2),0)</f>
        <v>0</v>
      </c>
      <c r="AN412" s="133">
        <f>IF($K412=AN$3,ROUND(IF(OR($C412="W",$C412="1/2W",$C412="1/2L"),$P412-$O412,IF($C412="X",0,-$O412)),2),0)</f>
        <v>0</v>
      </c>
      <c r="AO412" s="133">
        <f>IF($K412=AO$3,ROUND(IF(OR($C412="W",$C412="1/2W",$C412="1/2L"),$P412-$O412,IF($C412="X",0,-$O412)),2),0)</f>
        <v>0</v>
      </c>
      <c r="AP412" s="133">
        <f>IF($K412=AP$3,ROUND(IF(OR($C412="W",$C412="1/2W",$C412="1/2L"),$P412-$O412,IF($C412="X",0,-$O412)),2),0)</f>
        <v>0</v>
      </c>
      <c r="AQ412" s="133">
        <f>IF($K412=AQ$3,ROUND(IF(OR($C412="W",$C412="1/2W",$C412="1/2L"),$P412-$O412,IF($C412="X",0,-$O412)),2),0)</f>
        <v>0</v>
      </c>
      <c r="AR412" s="134">
        <f>IF($K412=AR$3,ROUND(IF(OR($C412="W",$C412="1/2W",$C412="1/2L"),$P412-$O412,IF($C412="X",0,-$O412)),2),0)</f>
        <v>0</v>
      </c>
      <c r="AS412" s="132">
        <f>IF(AND($B412=" ",$K412=AS$3),$O412,0)</f>
        <v>0</v>
      </c>
      <c r="AT412" s="133">
        <f>IF(AND($B412=" ",$K412=AT$3),$O412,0)</f>
        <v>0</v>
      </c>
      <c r="AU412" s="133">
        <f>IF(AND($B412=" ",$K412=AU$3),$O412,0)</f>
        <v>0</v>
      </c>
      <c r="AV412" s="133">
        <f>IF(AND($B412=" ",$K412=AV$3),$O412,0)</f>
        <v>0</v>
      </c>
      <c r="AW412" s="133">
        <f>IF(AND($B412=" ",$K412=AW$3),$O412,0)</f>
        <v>0</v>
      </c>
      <c r="AX412" s="133">
        <f>IF(AND($B412=" ",$K412=AX$3),$O412,0)</f>
        <v>0</v>
      </c>
      <c r="AY412" s="135">
        <f>IF(AND($B412=" ",$K412=AY$3),$O412,0)</f>
        <v>0</v>
      </c>
      <c r="AZ412" s="136">
        <f>IF(AND($B412=" ",$K412=AZ$3),$O412,0)</f>
        <v>0</v>
      </c>
      <c r="BA412" s="136">
        <f>IF(AND($B412=" ",$K412=BA$3),$O412,0)</f>
        <v>0</v>
      </c>
      <c r="BB412" s="136">
        <f>IF(AND($B412=" ",$K412=BB$3),$O412,0)</f>
        <v>0</v>
      </c>
      <c r="BC412" s="137">
        <f>IF(AND($B412=" ",$K412=BC$3),$O412,0)</f>
        <v>0</v>
      </c>
      <c r="BD412" s="133">
        <f>IF(AND($B412=" ",$K412=BD$3),$O412,0)</f>
        <v>0</v>
      </c>
      <c r="BE412" s="134">
        <f>IF(AND($B412=" ",$K412=BE$3),$O412,0)</f>
        <v>0</v>
      </c>
      <c r="BF412" s="132">
        <f>IF($K412=BF$3,IF($C412="X",0,$O412),0)</f>
        <v>0</v>
      </c>
      <c r="BG412" s="133">
        <f>IF($K412=BG$3,IF($C412="X",0,$O412),0)</f>
        <v>4.45</v>
      </c>
      <c r="BH412" s="133">
        <f>IF($K412=BH$3,IF($C412="X",0,$O412),0)</f>
        <v>0</v>
      </c>
      <c r="BI412" s="133">
        <f>IF($K412=BI$3,IF($C412="X",0,$O412),0)</f>
        <v>0</v>
      </c>
      <c r="BJ412" s="133">
        <f>IF($K412=BJ$3,IF($C412="X",0,$O412),0)</f>
        <v>0</v>
      </c>
      <c r="BK412" s="133">
        <f>IF($K412=BK$3,IF($C412="X",0,$O412),0)</f>
        <v>0</v>
      </c>
      <c r="BL412" s="133">
        <f>IF($K412=BL$3,IF($C412="X",0,$O412),0)</f>
        <v>0</v>
      </c>
      <c r="BM412" s="135">
        <f>IF($K412=BM$3,IF($C412="X",0,$O412),0)</f>
        <v>0</v>
      </c>
      <c r="BN412" s="136">
        <f>IF($K412=BN$3,IF($C412="X",0,$O412),0)</f>
        <v>0</v>
      </c>
      <c r="BO412" s="136">
        <f>IF($K412=BO$3,IF($C412="X",0,$O412),0)</f>
        <v>0</v>
      </c>
      <c r="BP412" s="136">
        <f>IF($K412=BP$3,IF($C412="X",0,$O412),0)</f>
        <v>0</v>
      </c>
      <c r="BQ412" s="137">
        <f>IF($K412=BQ$3,IF($C412="X",0,$O412),0)</f>
        <v>0</v>
      </c>
      <c r="BR412" s="134">
        <f>IF($K412=BR$3,IF($C412="X",0,$O412),0)</f>
        <v>0</v>
      </c>
      <c r="BS412" s="170">
        <f>IF($B412="LOSS",IF(AND($K412=BS$3,$C412="L"),-$O412,0)+IF(AND($K413=BS$3,$C413="L"),-$O413,0)+IF(AND($K414=BS$3,$C414="L"),-$O414,0),IF(OR(AND($K412=BS$3,OR($C412="W",$C412="1/2W")),AND($K413=BS$3,OR($C413="W",$C413="1/2W")),AND($K414=BS$3,OR($C414="W",$C414="1/2W"))),$S412,0))</f>
        <v>0</v>
      </c>
      <c r="BT412" s="272">
        <f>IF($B412="LOSS",IF(AND($K412=BT$3,$C412="L"),-$O412,0)+IF(AND($K413=BT$3,$C413="L"),-$O413,0)+IF(AND($K413=BT$3,$C414="L"),-$O414,0),IF(OR(AND($K413=BT$3,OR($C412="W",$C412="1/2W")),AND($K413=BT$3,OR($C413="W",$C413="1/2W")),AND($K413=BT$3,OR($C414="W",$C414="1/2W"))),$S412,0))</f>
        <v>0</v>
      </c>
      <c r="BU412" s="136">
        <f>IF($B412="LOSS",IF(AND($K412=BU$3,$C412="L"),-$O412,0)+IF(AND($K413=BU$3,$C413="L"),-$O413,0)+IF(AND($K413=BU$3,$C414="L"),-$O414,0),IF(OR(AND($K413=BU$3,OR($C412="W",$C412="1/2W")),AND($K413=BU$3,OR($C413="W",$C413="1/2W")),AND($K413=BU$3,OR($C414="W",$C414="1/2W"))),$S412,0))</f>
        <v>0</v>
      </c>
      <c r="BV412" s="136">
        <f>IF($B412="LOSS",IF(AND($K412=BV$3,$C412="L"),-$O412,0)+IF(AND($K413=BV$3,$C413="L"),-$O413,0)+IF(AND($K414=BV$3,$C414="L"),-$O414,0),IF(OR(AND($K412=BV$3,OR($C412="W",$C412="1/2W")),AND($K413=BV$3,OR($C413="W",$C413="1/2W")),AND($K414=BV$3,OR($C414="W",$C414="1/2W"))),$S412,0))</f>
        <v>0</v>
      </c>
      <c r="BW412" s="136">
        <f>IF($B412="LOSS",IF(AND($K412=BW$3,$C412="L"),-$O412,0)+IF(AND($K413=BW$3,$C413="L"),-$O413,0)+IF(AND($K414=BW$3,$C414="L"),-$O414,0),IF(OR(AND($K412=BW$3,OR($C412="W",$C412="1/2W")),AND($K413=BW$3,OR($C413="W",$C413="1/2W")),AND($K414=BW$3,OR($C414="W",$C414="1/2W"))),$S412,0))</f>
        <v>1.18</v>
      </c>
      <c r="BX412" s="136">
        <f>IF($B412="LOSS",IF(AND($K412=BX$3,$C412="L"),-$O412,0)+IF(AND($K413=BX$3,$C413="L"),-$O413,0)+IF(AND($K414=BX$3,$C414="L"),-$O414,0),IF(OR(AND($K412=BX$3,OR($C412="W",$C412="1/2W")),AND($K413=BX$3,OR($C413="W",$C413="1/2W")),AND($K414=BX$3,OR($C414="W",$C414="1/2W"))),$S412,0))</f>
        <v>0</v>
      </c>
      <c r="BY412" s="136">
        <f>IF($B412="LOSS",IF(AND($K412=BY$3,$C412="L"),-$O412,0)+IF(AND($K413=BY$3,$C413="L"),-$O413,0)+IF(AND($K414=BY$3,$C414="L"),-$O414,0),IF(OR(AND($K412=BY$3,OR($C412="W",$C412="1/2W")),AND($K413=BY$3,OR($C413="W",$C413="1/2W")),AND($K414=BY$3,OR($C414="W",$C414="1/2W"))),$S412,0))</f>
        <v>0</v>
      </c>
      <c r="BZ412" s="136">
        <f>IF($B412="LOSS",IF(AND($K412=BZ$3,$C412="L"),-$O412,0)+IF(AND($K413=BZ$3,$C413="L"),-$O413,0)+IF(AND($K414=BZ$3,$C414="L"),-$O414,0),IF(OR(AND($K412=BZ$3,OR($C412="W",$C412="1/2W")),AND($K413=BZ$3,OR($C413="W",$C413="1/2W")),AND($K414=BZ$3,OR($C414="W",$C414="1/2W"))),$S412,0))</f>
        <v>0</v>
      </c>
      <c r="CA412" s="136">
        <f>IF($B412="LOSS",IF(AND($K412=CA$3,$C412="L"),-$O412,0)+IF(AND($K413=CA$3,$C413="L"),-$O413,0)+IF(AND($K414=CA$3,$C414="L"),-$O414,0),IF(OR(AND($K412=CA$3,OR($C412="W",$C412="1/2W")),AND($K413=CA$3,OR($C413="W",$C413="1/2W")),AND($K414=CA$3,OR($C414="W",$C414="1/2W"))),$S412,0))</f>
        <v>0</v>
      </c>
      <c r="CB412" s="136">
        <f>IF($B412="LOSS",IF(AND($K412=CB$3,$C412="L"),-$O412,0)+IF(AND($K413=CB$3,$C413="L"),-$O413,0)+IF(AND($K414=CB$3,$C414="L"),-$O414,0),IF(OR(AND($K412=CB$3,OR($C412="W",$C412="1/2W")),AND($K413=CB$3,OR($C413="W",$C413="1/2W")),AND($K414=CB$3,OR($C414="W",$C414="1/2W"))),$S412,0))</f>
        <v>0</v>
      </c>
      <c r="CC412" s="136">
        <f>IF($B412="LOSS",IF(AND($K412=CC$3,$C412="L"),-$O412,0)+IF(AND($K413=CC$3,$C413="L"),-$O413,0)+IF(AND($K414=CC$3,$C414="L"),-$O414,0),IF(OR(AND($K412=CC$3,OR($C412="W",$C412="1/2W")),AND($K413=CC$3,OR($C413="W",$C413="1/2W")),AND($K414=CC$3,OR($C414="W",$C414="1/2W"))),$S412,0))</f>
        <v>0</v>
      </c>
      <c r="CD412" s="137">
        <f>IF($B412="LOSS",IF(AND($K412=CD$3,$C412="L"),-$O412,0)+IF(AND($K413=CD$3,$C413="L"),-$O413,0)+IF(AND($K414=CD$3,$C414="L"),-$O414,0),IF(OR(AND($K412=CD$3,OR($C412="W",$C412="1/2W")),AND($K413=CD$3,OR($C413="W",$C413="1/2W")),AND($K414=CD$3,OR($C414="W",$C414="1/2W"))),$S412,0))</f>
        <v>0</v>
      </c>
      <c r="CE412" s="134">
        <f>IF($B412="LOSS",IF(AND($K412=CE$3,$C412="L"),-$O412,0)+IF(AND($K413=CE$3,$C413="L"),-$O413,0)+IF(AND($K414=CE$3,$C414="L"),-$O414,0),IF(OR(AND($K412=CE$3,OR($C412="W",$C412="1/2W")),AND($K413=CE$3,OR($C413="W",$C413="1/2W")),AND($K414=CE$3,OR($C414="W",$C414="1/2W"))),$S412,0))</f>
        <v>0</v>
      </c>
      <c r="CF412" s="273">
        <f>IF(CF$3=$K412,IF($C412="W",1,IF($C412="1/2W",0.5,0)),0)</f>
        <v>0</v>
      </c>
      <c r="CG412" s="274">
        <f>IF(CF$3=$K412,IF($C412="L",1,IF($C412="1/2L",0.5,0)),0)</f>
        <v>0</v>
      </c>
      <c r="CH412" s="274">
        <f>IF(CH$3=$K412,IF($C412="W",1,IF($C412="1/2W",0.5,0)),0)</f>
        <v>0</v>
      </c>
      <c r="CI412" s="274">
        <f>IF(CH$3=$K412,IF($C412="L",1,IF($C412="1/2L",0.5,0)),0)</f>
        <v>1</v>
      </c>
      <c r="CJ412" s="274">
        <f>IF(CJ$3=$K412,IF($C412="W",1,IF($C412="1/2W",0.5,0)),0)</f>
        <v>0</v>
      </c>
      <c r="CK412" s="274">
        <f>IF(CJ$3=$K412,IF($C412="L",1,IF($C412="1/2L",0.5,0)),0)</f>
        <v>0</v>
      </c>
      <c r="CL412" s="274">
        <f>IF(CL$3=$K412,IF($C412="W",1,IF($C412="1/2W",0.5,0)),0)</f>
        <v>0</v>
      </c>
      <c r="CM412" s="274">
        <f>IF(CL$3=$K412,IF($C412="L",1,IF($C412="1/2L",0.5,0)),0)</f>
        <v>0</v>
      </c>
      <c r="CN412" s="274">
        <f>IF(CN$3=$K412,IF($C412="W",1,IF($C412="1/2W",0.5,0)),0)</f>
        <v>0</v>
      </c>
      <c r="CO412" s="274">
        <f>IF(CN$3=$K412,IF($C412="L",1,IF($C412="1/2L",0.5,0)),0)</f>
        <v>0</v>
      </c>
      <c r="CP412" s="274">
        <f>IF(CP$3=$K412,IF($C412="W",1,IF($C412="1/2W",0.5,0)),0)</f>
        <v>0</v>
      </c>
      <c r="CQ412" s="274">
        <f>IF(CP$3=$K412,IF($C412="L",1,IF($C412="1/2L",0.5,0)),0)</f>
        <v>0</v>
      </c>
      <c r="CR412" s="274">
        <f>IF(CR$3=$K412,IF($C412="W",1,IF($C412="1/2W",0.5,0)),0)</f>
        <v>0</v>
      </c>
      <c r="CS412" s="274">
        <f>IF(CR$3=$K412,IF($C412="L",1,IF($C412="1/2L",0.5,0)),0)</f>
        <v>0</v>
      </c>
      <c r="CT412" s="145">
        <f>IF(CT$3=$K412,IF($C412="W",1,IF($C412="1/2W",0.5,0)),0)</f>
        <v>0</v>
      </c>
      <c r="CU412" s="146">
        <f>IF(CT$3=$K412,IF($C412="L",1,IF($C412="1/2L",0.5,0)),0)</f>
        <v>0</v>
      </c>
      <c r="CV412" s="146">
        <f>IF(CV$3=$K412,IF($C412="W",1,IF($C412="1/2W",0.5,0)),0)</f>
        <v>0</v>
      </c>
      <c r="CW412" s="146">
        <f>IF(CV$3=$K412,IF($C412="L",1,IF($C412="1/2L",0.5,0)),0)</f>
        <v>0</v>
      </c>
      <c r="CX412" s="146">
        <f>IF(CX$3=$K412,IF($C412="W",1,IF($C412="1/2W",0.5,0)),0)</f>
        <v>0</v>
      </c>
      <c r="CY412" s="146">
        <f>IF(CX$3=$K412,IF($C412="L",1,IF($C412="1/2L",0.5,0)),0)</f>
        <v>0</v>
      </c>
      <c r="CZ412" s="146">
        <f>IF(CZ$3=$K412,IF($C412="W",1,IF($C412="1/2W",0.5,0)),0)</f>
        <v>0</v>
      </c>
      <c r="DA412" s="146">
        <f>IF(CZ$3=$K412,IF($C412="L",1,IF($C412="1/2L",0.5,0)),0)</f>
        <v>0</v>
      </c>
      <c r="DB412" s="146">
        <f>IF(DB$3=$K412,IF($C412="W",1,IF($C412="1/2W",0.5,0)),0)</f>
        <v>0</v>
      </c>
      <c r="DC412" s="146">
        <f>IF(DB$3=$K412,IF($C412="L",1,IF($C412="1/2L",0.5,0)),0)</f>
        <v>0</v>
      </c>
      <c r="DD412" s="146">
        <f>IF(DD$3=$K412,IF($C412="W",1,IF($C412="1/2W",0.5,0)),0)</f>
        <v>0</v>
      </c>
      <c r="DE412" s="147">
        <f>IF(DD$3=$K412,IF($C412="L",1,IF($C412="1/2L",0.5,0)),0)</f>
        <v>0</v>
      </c>
      <c r="DF412" s="143">
        <f>IF(AND(L412&lt;DF$3,$C412="W"),1+DF411,DF411)</f>
        <v>14</v>
      </c>
      <c r="DG412" s="133">
        <f>IF(DF412&gt;DF411,L412+DG411,DG411)</f>
        <v>18.548</v>
      </c>
      <c r="DH412" s="146">
        <f>IF(AND(L412&gt;DH$3,$C412="W"),1+DH411,0+DH411)</f>
        <v>10</v>
      </c>
      <c r="DI412" s="133">
        <f>IF(DH412&gt;DH411,L412+DI411,DI411)</f>
        <v>55.13</v>
      </c>
      <c r="DJ412" t="s" s="304">
        <f>IF($D412="","",$D412)</f>
        <v>307</v>
      </c>
      <c r="DK412" s="146">
        <f>IF(AND($B412=" ",$D412&lt;&gt;""),1,0)</f>
        <v>0</v>
      </c>
    </row>
    <row r="413" ht="14.55" customHeight="1">
      <c r="A413" s="107"/>
      <c r="B413" s="108"/>
      <c r="C413" t="s" s="109">
        <v>56</v>
      </c>
      <c r="D413" s="110"/>
      <c r="E413" s="111"/>
      <c r="F413" s="113"/>
      <c r="G413" s="252"/>
      <c r="H413" s="114"/>
      <c r="I413" t="s" s="275">
        <v>67</v>
      </c>
      <c r="J413" s="276">
        <f>IF(OR(I412="TO",I412="TU",I412="TO1",I412="TU1",I412="TO2",I412="TU2"),J412,IF(OR(I412="AH1",I412="AH2"),IF(OR(I413="AH1",I413="AH2"),-J412,IF(OR(I413="EH1",I413="EH2"),-J412+0.5,"")),IF(OR(I412="EH1",I412="EH2"),IF(OR(I413="AH1",I413="AH2"),-J412+0.5,IF(OR(I413="EH1",I413="EH2"),-J412+1,"")),IF(AND(OR(I412="DNB1",I412="DNB2"),OR(I413="AH1",I413="AH2")),0,IF(AND(I412="Not ScoreBoth",OR(I413="TO1",I413="TO2")),0.5,"")))))</f>
        <v>59.5</v>
      </c>
      <c r="K413" t="s" s="117">
        <v>41</v>
      </c>
      <c r="L413" s="277">
        <v>1.85</v>
      </c>
      <c r="M413" s="278">
        <v>6.62</v>
      </c>
      <c r="N413" s="120"/>
      <c r="O413" s="121">
        <f>IF(OR(AE412="",AE413=""),"",ROUND(IF(L414&gt;0,IF(M413&gt;0,M413,IF(M412&gt;0,IF(N412=TRUE,ROUND((M412*AE413)/AE412,0),(M412*AE413)/AE412),IF(M413&gt;0,ROUND(M413,IF(N412=0,2,IF(N412=0.1,1,0))),IF(M414&gt;0,ROUND(O414*AE413/AE414,IF(N412=0,2,IF(N412=0.1,1,0))),0)))),IF(M413&gt;0,M413,ROUND((M412*AE413)/AE412,IF(N412=0,2,IF(N412=0.1,1,0))))),2))</f>
        <v>6.62</v>
      </c>
      <c r="P413" s="122">
        <f>IF(OR(L413="",O413=""),"",IF($C413="1/2W",O413/2+O413/2*L413,IF($C413="1/2L",O413/2,IF(I413="Lay",((O413*(L413/(L413-1)))-O413)*(1-_xlfn.XLOOKUP(K413,'Janeiro 2023 - Valor Real'!A3:A15,'Janeiro 2023 - Valor Real'!C3:C15,0))+O413,(O413*L413-O413)*(1-_xlfn.XLOOKUP(K413,'Janeiro 2023 - Valor Real'!A3:A15,'Janeiro 2023 - Valor Real'!C3:C15,0))+O413))))</f>
        <v>12.247</v>
      </c>
      <c r="Q413" s="279">
        <f>IF(K413="","",IF(_xlfn.XLOOKUP(K413,K$120:K192,DJ$120:DJ192,0,,-1)=DJ413,_xlfn.XLOOKUP(K413,K$120:K192,Q$120:Q192,1,,-1)+1,1))</f>
        <v>1</v>
      </c>
      <c r="R413" s="280">
        <f>IF(K413="","",_xlfn.XLOOKUP(K413,K$120:K192,R$120:R192,0,,-1)+IF($C413=" ",1,0))</f>
        <v>0</v>
      </c>
      <c r="S413" s="125"/>
      <c r="T413" s="126"/>
      <c r="U413" s="126"/>
      <c r="V413" s="224"/>
      <c r="W413" s="126"/>
      <c r="X413" s="127"/>
      <c r="Y413" s="128"/>
      <c r="Z413" s="129"/>
      <c r="AA413" s="129"/>
      <c r="AB413" s="129"/>
      <c r="AC413" s="129"/>
      <c r="AD413" s="130"/>
      <c r="AE413" s="131">
        <f>IF(L413="","",IF(L414&gt;0,(SUM(((L412-1)*(1-_xlfn.XLOOKUP(K412,'Janeiro 2023 - Valor Real'!A3:A15,'Janeiro 2023 - Valor Real'!C3:C15,0))+1),((L413-1)*(1-_xlfn.XLOOKUP(K413,'Janeiro 2023 - Valor Real'!A3:A15,'Janeiro 2023 - Valor Real'!C3:C15,0))+1),((L414-1)*(1-_xlfn.XLOOKUP(K414,'Janeiro 2023 - Valor Real'!A3:A15,'Janeiro 2023 - Valor Real'!C3:C15,0))+1))/((L413-1)*(1-_xlfn.XLOOKUP(K413,'Janeiro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Real'!C3:C15,0))+1))/((L412-1)*(1-_xlfn.XLOOKUP(K412,'Janeiro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Real'!C3:C15,0))+1))/((L413-1)*(1-_xlfn.XLOOKUP(K413,'Janeiro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Real'!C3:C15,0))+1))/((L414-1)*(1-_xlfn.XLOOKUP(K414,'Janeiro 2023 - Valor Real'!A3:A15,'Janeiro 2023 - Valor Real'!C3:C15,0))+1)),IF(I413="Lay",IF(I412="Lay",((L412/(L412-1)-1)*(1-_xlfn.XLOOKUP(K412,'Janeiro 2023 - Valor Real'!A3:A15,'Janeiro 2023 - Valor Real'!C3:C15,0))+1)/(((L412/(L412-1)-1)*(1-_xlfn.XLOOKUP(K412,'Janeiro 2023 - Valor Real'!A3:A15,'Janeiro 2023 - Valor Real'!C3:C15,0))+1)+((L413/(L413-1)-1)*(1-_xlfn.XLOOKUP(K413,'Janeiro 2023 - Valor Real'!A3:A15,'Janeiro 2023 - Valor Real'!C3:C15,0))+1)),((L412-1)*(1-_xlfn.XLOOKUP(K412,'Janeiro 2023 - Valor Real'!A3:A15,'Janeiro 2023 - Valor Real'!C3:C15,0))+1)/(((L412-1)*(1-_xlfn.XLOOKUP(K412,'Janeiro 2023 - Valor Real'!A3:A15,'Janeiro 2023 - Valor Real'!C3:C15,0))+1)+((L413/(L413-1)-1)*(1-_xlfn.XLOOKUP(K413,'Janeiro 2023 - Valor Real'!A3:A15,'Janeiro 2023 - Valor Real'!C3:C15,0))+1))),IF(I412="Lay",((L412/(L412-1)-1)*(1-_xlfn.XLOOKUP(K412,'Janeiro 2023 - Valor Real'!A3:A15,'Janeiro 2023 - Valor Real'!C3:C15,0))+1)/((((L412/(L412-1)-1)*(1-_xlfn.XLOOKUP(K412,'Janeiro 2023 - Valor Real'!A3:A15,'Janeiro 2023 - Valor Real'!C3:C15,0))+1))+((L413-1)*(1-_xlfn.XLOOKUP(K413,'Janeiro 2023 - Valor Real'!A3:A15,'Janeiro 2023 - Valor Real'!C3:C15,0))+1)),((L412-1)*(1-_xlfn.XLOOKUP(K412,'Janeiro 2023 - Valor Real'!A3:A15,'Janeiro 2023 - Valor Real'!C3:C15,0))+1)/(((L412-1)*(1-_xlfn.XLOOKUP(K412,'Janeiro 2023 - Valor Real'!A3:A15,'Janeiro 2023 - Valor Real'!C3:C15,0))+1)+((L413-1)*(1-_xlfn.XLOOKUP(K413,'Janeiro 2023 - Valor Real'!A3:A15,'Janeiro 2023 - Valor Real'!C3:C15,0))+1))))))</f>
        <v>0.597826086956522</v>
      </c>
      <c r="AF413" s="132">
        <f>IF($K413=AF$3,ROUND(IF(OR($C413="W",$C413="1/2W",$C413="1/2L"),$P413-$O413,IF($C413="X",0,-$O413)),2),0)</f>
        <v>0</v>
      </c>
      <c r="AG413" s="133">
        <f>IF($K413=AG$3,ROUND(IF(OR($C413="W",$C413="1/2W",$C413="1/2L"),$P413-$O413,IF($C413="X",0,-$O413)),2),0)</f>
        <v>0</v>
      </c>
      <c r="AH413" s="133">
        <f>IF($K413=AH$3,ROUND(IF(OR($C413="W",$C413="1/2W",$C413="1/2L"),$P413-$O413,IF($C413="X",0,-$O413)),2),0)</f>
        <v>0</v>
      </c>
      <c r="AI413" s="133">
        <f>IF($K413=AI$3,ROUND(IF(OR($C413="W",$C413="1/2W",$C413="1/2L"),$P413-$O413,IF($C413="X",0,-$O413)),2),0)</f>
        <v>0</v>
      </c>
      <c r="AJ413" s="133">
        <f>IF($K413=AJ$3,ROUND(IF(OR($C413="W",$C413="1/2W",$C413="1/2L"),$P413-$O413,IF($C413="X",0,-$O413)),2),0)</f>
        <v>5.63</v>
      </c>
      <c r="AK413" s="133">
        <f>IF($K413=AK$3,ROUND(IF(OR($C413="W",$C413="1/2W",$C413="1/2L"),$P413-$O413,IF($C413="X",0,-$O413)),2),0)</f>
        <v>0</v>
      </c>
      <c r="AL413" s="133">
        <f>IF($K413=AL$3,ROUND(IF(OR($C413="W",$C413="1/2W",$C413="1/2L"),$P413-$O413,IF($C413="X",0,-$O413)),2),0)</f>
        <v>0</v>
      </c>
      <c r="AM413" s="133">
        <f>IF($K413=AM$3,ROUND(IF(OR($C413="W",$C413="1/2W",$C413="1/2L"),$P413-$O413,IF($C413="X",0,-$O413)),2),0)</f>
        <v>0</v>
      </c>
      <c r="AN413" s="133">
        <f>IF($K413=AN$3,ROUND(IF(OR($C413="W",$C413="1/2W",$C413="1/2L"),$P413-$O413,IF($C413="X",0,-$O413)),2),0)</f>
        <v>0</v>
      </c>
      <c r="AO413" s="133">
        <f>IF($K413=AO$3,ROUND(IF(OR($C413="W",$C413="1/2W",$C413="1/2L"),$P413-$O413,IF($C413="X",0,-$O413)),2),0)</f>
        <v>0</v>
      </c>
      <c r="AP413" s="133">
        <f>IF($K413=AP$3,ROUND(IF(OR($C413="W",$C413="1/2W",$C413="1/2L"),$P413-$O413,IF($C413="X",0,-$O413)),2),0)</f>
        <v>0</v>
      </c>
      <c r="AQ413" s="133">
        <f>IF($K413=AQ$3,ROUND(IF(OR($C413="W",$C413="1/2W",$C413="1/2L"),$P413-$O413,IF($C413="X",0,-$O413)),2),0)</f>
        <v>0</v>
      </c>
      <c r="AR413" s="134">
        <f>IF($K413=AR$3,ROUND(IF(OR($C413="W",$C413="1/2W",$C413="1/2L"),$P413-$O413,IF($C413="X",0,-$O413)),2),0)</f>
        <v>0</v>
      </c>
      <c r="AS413" s="132">
        <f>IF(AND($B412=" ",$K413=AS$3),$O413,0)</f>
        <v>0</v>
      </c>
      <c r="AT413" s="133">
        <f>IF(AND($B412=" ",K413=AT$3),$O413,0)</f>
        <v>0</v>
      </c>
      <c r="AU413" s="133">
        <f>IF(AND($B412=" ",$K413=AU$3),$O413,0)</f>
        <v>0</v>
      </c>
      <c r="AV413" s="133">
        <f>IF(AND($B412=" ",$K413=AV$3),$O413,0)</f>
        <v>0</v>
      </c>
      <c r="AW413" s="133">
        <f>IF(AND($B412=" ",$K413=AW$3),$O413,0)</f>
        <v>0</v>
      </c>
      <c r="AX413" s="133">
        <f>IF(AND($B412=" ",$K413=AX$3),$O413,0)</f>
        <v>0</v>
      </c>
      <c r="AY413" s="135">
        <f>IF(AND($B412=" ",$K413=AY$3),$O413,0)</f>
        <v>0</v>
      </c>
      <c r="AZ413" s="136">
        <f>IF(AND($B412=" ",$K413=AZ$3),$O413,0)</f>
        <v>0</v>
      </c>
      <c r="BA413" s="136">
        <f>IF(AND($B412=" ",$K413=BA$3),$O413,0)</f>
        <v>0</v>
      </c>
      <c r="BB413" s="136">
        <f>IF(AND($B412=" ",$K413=BB$3),$O413,0)</f>
        <v>0</v>
      </c>
      <c r="BC413" s="137">
        <f>IF(AND($B412=" ",$K413=BC$3),$O413,0)</f>
        <v>0</v>
      </c>
      <c r="BD413" s="133">
        <f>IF(AND($B412=" ",$K413=BD$3),$O413,0)</f>
        <v>0</v>
      </c>
      <c r="BE413" s="134">
        <f>IF(AND($B412=" ",$K413=BE$3),$O413,0)</f>
        <v>0</v>
      </c>
      <c r="BF413" s="132">
        <f>IF($K413=BF$3,IF($C413="X",0,$O413),0)</f>
        <v>0</v>
      </c>
      <c r="BG413" s="281">
        <f>IF($K413=BG$3,IF($C413="X",0,$O413),0)</f>
        <v>0</v>
      </c>
      <c r="BH413" s="133">
        <f>IF($K413=BH$3,IF($C413="X",0,$O413),0)</f>
        <v>0</v>
      </c>
      <c r="BI413" s="133">
        <f>IF($K413=BI$3,IF($C413="X",0,$O413),0)</f>
        <v>0</v>
      </c>
      <c r="BJ413" s="133">
        <f>IF($K413=BJ$3,IF($C413="X",0,$O413),0)</f>
        <v>6.62</v>
      </c>
      <c r="BK413" s="133">
        <f>IF($K413=BK$3,IF($C413="X",0,$O413),0)</f>
        <v>0</v>
      </c>
      <c r="BL413" s="133">
        <f>IF($K413=BL$3,IF($C413="X",0,$O413),0)</f>
        <v>0</v>
      </c>
      <c r="BM413" s="135">
        <f>IF($K413=BM$3,IF($C413="X",0,$O413),0)</f>
        <v>0</v>
      </c>
      <c r="BN413" s="136">
        <f>IF($K413=BN$3,IF($C413="X",0,$O413),0)</f>
        <v>0</v>
      </c>
      <c r="BO413" s="136">
        <f>IF($K413=BO$3,IF($C413="X",0,$O413),0)</f>
        <v>0</v>
      </c>
      <c r="BP413" s="136">
        <f>IF($K413=BP$3,IF($C413="X",0,$O413),0)</f>
        <v>0</v>
      </c>
      <c r="BQ413" s="137">
        <f>IF($K413=BQ$3,IF($C413="X",0,$O413),0)</f>
        <v>0</v>
      </c>
      <c r="BR413" s="134">
        <f>IF($K413=BR$3,IF($C413="X",0,$O413),0)</f>
        <v>0</v>
      </c>
      <c r="BS413" s="282"/>
      <c r="BT413" s="283"/>
      <c r="BU413" s="140"/>
      <c r="BV413" s="283"/>
      <c r="BW413" s="140"/>
      <c r="BX413" s="140"/>
      <c r="BY413" s="140"/>
      <c r="BZ413" s="283"/>
      <c r="CA413" s="140"/>
      <c r="CB413" s="140"/>
      <c r="CC413" s="140"/>
      <c r="CD413" s="141"/>
      <c r="CE413" s="142"/>
      <c r="CF413" s="284">
        <f>IF(CF$3=$K413,IF($C413="W",1,IF($C413="1/2W",0.5,0)),0)</f>
        <v>0</v>
      </c>
      <c r="CG413" s="285">
        <f>IF(CF$3=$K413,IF($C413="L",1,IF($C413="1/2L",0.5,0)),0)</f>
        <v>0</v>
      </c>
      <c r="CH413" s="285">
        <f>IF(CH$3=$K413,IF($C413="W",1,IF($C413="1/2W",0.5,0)),0)</f>
        <v>0</v>
      </c>
      <c r="CI413" s="285">
        <f>IF(CH$3=$K413,IF($C413="L",1,IF($C413="1/2L",0.5,0)),0)</f>
        <v>0</v>
      </c>
      <c r="CJ413" s="285">
        <f>IF(CJ$3=$K413,IF($C413="W",1,IF($C413="1/2W",0.5,0)),0)</f>
        <v>0</v>
      </c>
      <c r="CK413" s="285">
        <f>IF(CJ$3=$K413,IF($C413="L",1,IF($C413="1/2L",0.5,0)),0)</f>
        <v>0</v>
      </c>
      <c r="CL413" s="285">
        <f>IF(CL$3=$K413,IF($C413="W",1,IF($C413="1/2W",0.5,0)),0)</f>
        <v>0</v>
      </c>
      <c r="CM413" s="285">
        <f>IF(CL$3=$K413,IF($C413="L",1,IF($C413="1/2L",0.5,0)),0)</f>
        <v>0</v>
      </c>
      <c r="CN413" s="285">
        <f>IF(CN$3=$K413,IF($C413="W",1,IF($C413="1/2W",0.5,0)),0)</f>
        <v>1</v>
      </c>
      <c r="CO413" s="285">
        <f>IF(CN$3=$K413,IF($C413="L",1,IF($C413="1/2L",0.5,0)),0)</f>
        <v>0</v>
      </c>
      <c r="CP413" s="285">
        <f>IF(CP$3=$K413,IF($C413="W",1,IF($C413="1/2W",0.5,0)),0)</f>
        <v>0</v>
      </c>
      <c r="CQ413" s="285">
        <f>IF(CP$3=$K413,IF($C413="L",1,IF($C413="1/2L",0.5,0)),0)</f>
        <v>0</v>
      </c>
      <c r="CR413" s="285">
        <f>IF(CR$3=$K413,IF($C413="W",1,IF($C413="1/2W",0.5,0)),0)</f>
        <v>0</v>
      </c>
      <c r="CS413" s="285">
        <f>IF(CR$3=$K413,IF($C413="L",1,IF($C413="1/2L",0.5,0)),0)</f>
        <v>0</v>
      </c>
      <c r="CT413" s="145">
        <f>IF(CT$3=$K413,IF($C413="W",1,IF($C413="1/2W",0.5,0)),0)</f>
        <v>0</v>
      </c>
      <c r="CU413" s="146">
        <f>IF(CT$3=$K413,IF($C413="L",1,IF($C413="1/2L",0.5,0)),0)</f>
        <v>0</v>
      </c>
      <c r="CV413" s="146">
        <f>IF(CV$3=$K413,IF($C413="W",1,IF($C413="1/2W",0.5,0)),0)</f>
        <v>0</v>
      </c>
      <c r="CW413" s="146">
        <f>IF(CV$3=$K413,IF($C413="L",1,IF($C413="1/2L",0.5,0)),0)</f>
        <v>0</v>
      </c>
      <c r="CX413" s="146">
        <f>IF(CX$3=$K413,IF($C413="W",1,IF($C413="1/2W",0.5,0)),0)</f>
        <v>0</v>
      </c>
      <c r="CY413" s="146">
        <f>IF(CX$3=$K413,IF($C413="L",1,IF($C413="1/2L",0.5,0)),0)</f>
        <v>0</v>
      </c>
      <c r="CZ413" s="146">
        <f>IF(CZ$3=$K413,IF($C413="W",1,IF($C413="1/2W",0.5,0)),0)</f>
        <v>0</v>
      </c>
      <c r="DA413" s="146">
        <f>IF(CZ$3=$K413,IF($C413="L",1,IF($C413="1/2L",0.5,0)),0)</f>
        <v>0</v>
      </c>
      <c r="DB413" s="146">
        <f>IF(DB$3=$K413,IF($C413="W",1,IF($C413="1/2W",0.5,0)),0)</f>
        <v>0</v>
      </c>
      <c r="DC413" s="146">
        <f>IF(DB$3=$K413,IF($C413="L",1,IF($C413="1/2L",0.5,0)),0)</f>
        <v>0</v>
      </c>
      <c r="DD413" s="146">
        <f>IF(DD$3=$K413,IF($C413="W",1,IF($C413="1/2W",0.5,0)),0)</f>
        <v>0</v>
      </c>
      <c r="DE413" s="147">
        <f>IF(DD$3=$K413,IF($C413="L",1,IF($C413="1/2L",0.5,0)),0)</f>
        <v>0</v>
      </c>
      <c r="DF413" s="143">
        <f>IF(AND(L413&lt;DF$3,$C413="W"),1+DF412,DF412)</f>
        <v>14</v>
      </c>
      <c r="DG413" s="133">
        <f>IF(DF413&gt;DF412,L413+DG412,DG412)</f>
        <v>18.548</v>
      </c>
      <c r="DH413" s="146">
        <f>IF(AND(L413&gt;DH$3,$C413="W"),1+DH412,0+DH412)</f>
        <v>10</v>
      </c>
      <c r="DI413" s="133">
        <f>IF(DH413&gt;DH412,L413+DI412,DI412)</f>
        <v>55.13</v>
      </c>
      <c r="DJ413" t="s" s="304">
        <f>IF($D412="","",$D412)</f>
        <v>307</v>
      </c>
      <c r="DK413" s="286"/>
    </row>
    <row r="414" ht="14.55" customHeight="1">
      <c r="A414" s="149"/>
      <c r="B414" s="150"/>
      <c r="C414" t="s" s="151">
        <v>58</v>
      </c>
      <c r="D414" s="152"/>
      <c r="E414" s="153"/>
      <c r="F414" s="155"/>
      <c r="G414" s="252"/>
      <c r="H414" s="156"/>
      <c r="I414" s="287"/>
      <c r="J414" s="288"/>
      <c r="K414" s="156"/>
      <c r="L414" s="289"/>
      <c r="M414" s="290"/>
      <c r="N414" s="161"/>
      <c r="O414" t="s" s="162">
        <f>IF(OR(AE412="",AE413=""),"",IF(L414&gt;0,ROUND(IF(M414&gt;0,M414,IF(M412&gt;0,ROUND((M412*AE414)/AE412,IF(N412=0,2,IF(N412=0.1,1,0))),IF(M413&gt;0,ROUND((M413*AE414)/AE413,IF(N412=0,2,IF(N412=0.1,1,0))),IF(M414&gt;0,M414,0)))),2),""))</f>
      </c>
      <c r="P414" t="s" s="163">
        <f>IF(I413="Lay",O413*(L413/(L413-1))-O413,IF(I412="Lay",O412*(L412/(L412-1))-O412,IF(OR(L414="",O414=""),"",IF($C414="1/2W",O414/2+O414/2*L414,IF($C414="1/2L",O414/2,(O414*L414-O414)*(1-_xlfn.XLOOKUP(K414,'Janeiro 2023 - Valor Real'!A3:A15,'Janeiro 2023 - Valor Real'!C3:C15,0))+O414)))))</f>
      </c>
      <c r="Q414" t="s" s="154">
        <f>IF(K414="","",IF(_xlfn.XLOOKUP(K414,K$121:K193,DJ$121:DJ193,0,,-1)=DJ414,_xlfn.XLOOKUP(K414,K$121:K193,Q$121:Q193,1,,-1)+1,1))</f>
      </c>
      <c r="R414" t="s" s="163">
        <f>IF(K414="","",_xlfn.XLOOKUP(K414,K$121:K193,R$121:R193,0,,-1)+IF($C414=" ",1,0))</f>
      </c>
      <c r="S414" s="166"/>
      <c r="T414" s="155"/>
      <c r="U414" s="155"/>
      <c r="V414" s="166"/>
      <c r="W414" s="155"/>
      <c r="X414" s="167"/>
      <c r="Y414" s="128"/>
      <c r="Z414" s="129"/>
      <c r="AA414" s="129"/>
      <c r="AB414" s="129"/>
      <c r="AC414" s="129"/>
      <c r="AD414" s="168"/>
      <c r="AE414" t="s" s="169">
        <f>IF(L414="","",(SUM(((L412-1)*(1-_xlfn.XLOOKUP(K412,'Janeiro 2023 - Valor Real'!A3:A15,'Janeiro 2023 - Valor Real'!C3:C15,0))+1),((L413-1)*(1-_xlfn.XLOOKUP(K413,'Janeiro 2023 - Valor Real'!A3:A15,'Janeiro 2023 - Valor Real'!C3:C15,0))+1),((L414-1)*(1-_xlfn.XLOOKUP(K414,'Janeiro 2023 - Valor Real'!A3:A15,'Janeiro 2023 - Valor Real'!C3:C15,0))+1))/((L414-1)*(1-_xlfn.XLOOKUP(K414,'Janeiro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Real'!C3:C15,0))+1))/((L412-1)*(1-_xlfn.XLOOKUP(K412,'Janeiro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Real'!C3:C15,0))+1))/((L413-1)*(1-_xlfn.XLOOKUP(K413,'Janeiro 2023 - Valor Real'!A3:A15,'Janeiro 2023 - Valor Real'!C3:C15,0))+1)+SUM(((L412-1)*(1-_xlfn.XLOOKUP(K412,'Janeiro 2023 - Valor Real'!A3:A15,'Janeiro 2023 - Valor Real'!C3:C15,0))+1),((L413-1)*(1-_xlfn.XLOOKUP(K413,'Janeiro 2023 - Valor Real'!A3:A15,'Janeiro 2023 - Valor Real'!C3:C15,0))+1),((L414-1)*(1-_xlfn.XLOOKUP(K414,'Janeiro 2023 - Valor Real'!A3:A15,'Janeiro 2023 - Valor Real'!C3:C15,0))+1))/((L414-1)*(1-_xlfn.XLOOKUP(K414,'Janeiro 2023 - Valor Real'!A3:A15,'Janeiro 2023 - Valor Real'!C3:C15,0))+1)))</f>
      </c>
      <c r="AF414" s="132">
        <f>IF($K414=AF$3,ROUND(IF(OR($C414="W",$C414="1/2W",$C414="1/2L"),$P414-$O414,IF($C414="X",0,-$O414)),2),0)</f>
        <v>0</v>
      </c>
      <c r="AG414" s="133">
        <f>IF($K414=AG$3,ROUND(IF(OR($C414="W",$C414="1/2W",$C414="1/2L"),$P414-$O414,IF($C414="X",0,-$O414)),2),0)</f>
        <v>0</v>
      </c>
      <c r="AH414" s="133">
        <f>IF($K414=AH$3,ROUND(IF(OR($C414="W",$C414="1/2W",$C414="1/2L"),$P414-$O414,IF($C414="X",0,-$O414)),2),0)</f>
        <v>0</v>
      </c>
      <c r="AI414" s="133">
        <f>IF($K414=AI$3,ROUND(IF(OR($C414="W",$C414="1/2W",$C414="1/2L"),$P414-$O414,IF($C414="X",0,-$O414)),2),0)</f>
        <v>0</v>
      </c>
      <c r="AJ414" s="133">
        <f>IF($K414=AJ$3,ROUND(IF(OR($C414="W",$C414="1/2W",$C414="1/2L"),$P414-$O414,IF($C414="X",0,-$O414)),2),0)</f>
        <v>0</v>
      </c>
      <c r="AK414" s="133">
        <f>IF($K414=AK$3,ROUND(IF(OR($C414="W",$C414="1/2W",$C414="1/2L"),$P414-$O414,IF($C414="X",0,-$O414)),2),0)</f>
        <v>0</v>
      </c>
      <c r="AL414" s="133">
        <f>IF($K414=AL$3,ROUND(IF(OR($C414="W",$C414="1/2W",$C414="1/2L"),$P414-$O414,IF($C414="X",0,-$O414)),2),0)</f>
        <v>0</v>
      </c>
      <c r="AM414" s="133">
        <f>IF($K414=AM$3,ROUND(IF(OR($C414="W",$C414="1/2W",$C414="1/2L"),$P414-$O414,IF($C414="X",0,-$O414)),2),0)</f>
        <v>0</v>
      </c>
      <c r="AN414" s="133">
        <f>IF($K414=AN$3,ROUND(IF(OR($C414="W",$C414="1/2W",$C414="1/2L"),$P414-$O414,IF($C414="X",0,-$O414)),2),0)</f>
        <v>0</v>
      </c>
      <c r="AO414" s="133">
        <f>IF($K414=AO$3,ROUND(IF(OR($C414="W",$C414="1/2W",$C414="1/2L"),$P414-$O414,IF($C414="X",0,-$O414)),2),0)</f>
        <v>0</v>
      </c>
      <c r="AP414" s="133">
        <f>IF($K414=AP$3,ROUND(IF(OR($C414="W",$C414="1/2W",$C414="1/2L"),$P414-$O414,IF($C414="X",0,-$O414)),2),0)</f>
        <v>0</v>
      </c>
      <c r="AQ414" s="133">
        <f>IF($K414=AQ$3,ROUND(IF(OR($C414="W",$C414="1/2W",$C414="1/2L"),$P414-$O414,IF($C414="X",0,-$O414)),2),0)</f>
        <v>0</v>
      </c>
      <c r="AR414" s="134">
        <f>IF($K414=AR$3,ROUND(IF(OR($C414="W",$C414="1/2W",$C414="1/2L"),$P414-$O414,IF($C414="X",0,-$O414)),2),0)</f>
        <v>0</v>
      </c>
      <c r="AS414" s="132">
        <f>IF(AND($B412=" ",$K414=AS$3),$O414,0)</f>
        <v>0</v>
      </c>
      <c r="AT414" s="133">
        <f>IF(AND($B412=" ",K414=AT$3),$O414,0)</f>
        <v>0</v>
      </c>
      <c r="AU414" s="133">
        <f>IF(AND($B412=" ",$K414=AU$3),$O414,0)</f>
        <v>0</v>
      </c>
      <c r="AV414" s="133">
        <f>IF(AND($B412=" ",$K414=AV$3),$O414,0)</f>
        <v>0</v>
      </c>
      <c r="AW414" s="133">
        <f>IF(AND($B412=" ",$K414=AW$3),$O414,0)</f>
        <v>0</v>
      </c>
      <c r="AX414" s="133">
        <f>IF(AND($B412=" ",$K414=AX$3),$O414,0)</f>
        <v>0</v>
      </c>
      <c r="AY414" s="135">
        <f>IF(AND($B412=" ",$K414=AY$3),$O414,0)</f>
        <v>0</v>
      </c>
      <c r="AZ414" s="136">
        <f>IF(AND($B412=" ",$K414=AZ$3),$O414,0)</f>
        <v>0</v>
      </c>
      <c r="BA414" s="136">
        <f>IF(AND($B412=" ",$K414=BA$3),$O414,0)</f>
        <v>0</v>
      </c>
      <c r="BB414" s="136">
        <f>IF(AND($B412=" ",$K414=BB$3),$O414,0)</f>
        <v>0</v>
      </c>
      <c r="BC414" s="137">
        <f>IF(AND($B412=" ",$K414=BC$3),$O414,0)</f>
        <v>0</v>
      </c>
      <c r="BD414" s="133">
        <f>IF(AND($B412=" ",$K414=BD$3),$O414,0)</f>
        <v>0</v>
      </c>
      <c r="BE414" s="134">
        <f>IF(AND($B412=" ",$K414=BE$3),$O414,0)</f>
        <v>0</v>
      </c>
      <c r="BF414" s="132">
        <f>IF($K414=BF$3,IF($C414="X",0,$O414),0)</f>
        <v>0</v>
      </c>
      <c r="BG414" s="281">
        <f>IF($K414=BG$3,IF($C414="X",0,$O414),0)</f>
        <v>0</v>
      </c>
      <c r="BH414" s="133">
        <f>IF($K414=BH$3,IF($C414="X",0,$O414),0)</f>
        <v>0</v>
      </c>
      <c r="BI414" s="133">
        <f>IF($K414=BI$3,IF($C414="X",0,$O414),0)</f>
        <v>0</v>
      </c>
      <c r="BJ414" s="133">
        <f>IF($K414=BJ$3,IF($C414="X",0,$O414),0)</f>
        <v>0</v>
      </c>
      <c r="BK414" s="133">
        <f>IF($K414=BK$3,IF($C414="X",0,$O414),0)</f>
        <v>0</v>
      </c>
      <c r="BL414" s="133">
        <f>IF($K414=BL$3,IF($C414="X",0,$O414),0)</f>
        <v>0</v>
      </c>
      <c r="BM414" s="135">
        <f>IF($K414=BM$3,IF($C414="X",0,$O414),0)</f>
        <v>0</v>
      </c>
      <c r="BN414" s="136">
        <f>IF($K414=BN$3,IF($C414="X",0,$O414),0)</f>
        <v>0</v>
      </c>
      <c r="BO414" s="136">
        <f>IF($K414=BO$3,IF($C414="X",0,$O414),0)</f>
        <v>0</v>
      </c>
      <c r="BP414" s="136">
        <f>IF($K414=BP$3,IF($C414="X",0,$O414),0)</f>
        <v>0</v>
      </c>
      <c r="BQ414" s="137">
        <f>IF($K414=BQ$3,IF($C414="X",0,$O414),0)</f>
        <v>0</v>
      </c>
      <c r="BR414" s="134">
        <f>IF($K414=BR$3,IF($C414="X",0,$O414),0)</f>
        <v>0</v>
      </c>
      <c r="BS414" s="282"/>
      <c r="BT414" s="283"/>
      <c r="BU414" s="140"/>
      <c r="BV414" s="283"/>
      <c r="BW414" s="140"/>
      <c r="BX414" s="140"/>
      <c r="BY414" s="140"/>
      <c r="BZ414" s="283"/>
      <c r="CA414" s="140"/>
      <c r="CB414" s="140"/>
      <c r="CC414" s="140"/>
      <c r="CD414" s="141"/>
      <c r="CE414" s="142"/>
      <c r="CF414" s="284">
        <f>IF(CF$3=$K414,IF($C414="W",1,IF($C414="1/2W",0.5,0)),0)</f>
        <v>0</v>
      </c>
      <c r="CG414" s="285">
        <f>IF(CF$3=$K414,IF($C414="L",1,IF($C414="1/2L",0.5,0)),0)</f>
        <v>0</v>
      </c>
      <c r="CH414" s="285">
        <f>IF(CH$3=$K414,IF($C414="W",1,IF($C414="1/2W",0.5,0)),0)</f>
        <v>0</v>
      </c>
      <c r="CI414" s="285">
        <f>IF(CH$3=$K414,IF($C414="L",1,IF($C414="1/2L",0.5,0)),0)</f>
        <v>0</v>
      </c>
      <c r="CJ414" s="285">
        <f>IF(CJ$3=$K414,IF($C414="W",1,IF($C414="1/2W",0.5,0)),0)</f>
        <v>0</v>
      </c>
      <c r="CK414" s="285">
        <f>IF(CJ$3=$K414,IF($C414="L",1,IF($C414="1/2L",0.5,0)),0)</f>
        <v>0</v>
      </c>
      <c r="CL414" s="285">
        <f>IF(CL$3=$K414,IF($C414="W",1,IF($C414="1/2W",0.5,0)),0)</f>
        <v>0</v>
      </c>
      <c r="CM414" s="285">
        <f>IF(CL$3=$K414,IF($C414="L",1,IF($C414="1/2L",0.5,0)),0)</f>
        <v>0</v>
      </c>
      <c r="CN414" s="285">
        <f>IF(CN$3=$K414,IF($C414="W",1,IF($C414="1/2W",0.5,0)),0)</f>
        <v>0</v>
      </c>
      <c r="CO414" s="285">
        <f>IF(CN$3=$K414,IF($C414="L",1,IF($C414="1/2L",0.5,0)),0)</f>
        <v>0</v>
      </c>
      <c r="CP414" s="285">
        <f>IF(CP$3=$K414,IF($C414="W",1,IF($C414="1/2W",0.5,0)),0)</f>
        <v>0</v>
      </c>
      <c r="CQ414" s="285">
        <f>IF(CP$3=$K414,IF($C414="L",1,IF($C414="1/2L",0.5,0)),0)</f>
        <v>0</v>
      </c>
      <c r="CR414" s="285">
        <f>IF(CR$3=$K414,IF($C414="W",1,IF($C414="1/2W",0.5,0)),0)</f>
        <v>0</v>
      </c>
      <c r="CS414" s="285">
        <f>IF(CR$3=$K414,IF($C414="L",1,IF($C414="1/2L",0.5,0)),0)</f>
        <v>0</v>
      </c>
      <c r="CT414" s="145">
        <f>IF(CT$3=$K414,IF($C414="W",1,IF($C414="1/2W",0.5,0)),0)</f>
        <v>0</v>
      </c>
      <c r="CU414" s="146">
        <f>IF(CT$3=$K414,IF($C414="L",1,IF($C414="1/2L",0.5,0)),0)</f>
        <v>0</v>
      </c>
      <c r="CV414" s="146">
        <f>IF(CV$3=$K414,IF($C414="W",1,IF($C414="1/2W",0.5,0)),0)</f>
        <v>0</v>
      </c>
      <c r="CW414" s="146">
        <f>IF(CV$3=$K414,IF($C414="L",1,IF($C414="1/2L",0.5,0)),0)</f>
        <v>0</v>
      </c>
      <c r="CX414" s="146">
        <f>IF(CX$3=$K414,IF($C414="W",1,IF($C414="1/2W",0.5,0)),0)</f>
        <v>0</v>
      </c>
      <c r="CY414" s="146">
        <f>IF(CX$3=$K414,IF($C414="L",1,IF($C414="1/2L",0.5,0)),0)</f>
        <v>0</v>
      </c>
      <c r="CZ414" s="146">
        <f>IF(CZ$3=$K414,IF($C414="W",1,IF($C414="1/2W",0.5,0)),0)</f>
        <v>0</v>
      </c>
      <c r="DA414" s="146">
        <f>IF(CZ$3=$K414,IF($C414="L",1,IF($C414="1/2L",0.5,0)),0)</f>
        <v>0</v>
      </c>
      <c r="DB414" s="146">
        <f>IF(DB$3=$K414,IF($C414="W",1,IF($C414="1/2W",0.5,0)),0)</f>
        <v>0</v>
      </c>
      <c r="DC414" s="146">
        <f>IF(DB$3=$K414,IF($C414="L",1,IF($C414="1/2L",0.5,0)),0)</f>
        <v>0</v>
      </c>
      <c r="DD414" s="146">
        <f>IF(DD$3=$K414,IF($C414="W",1,IF($C414="1/2W",0.5,0)),0)</f>
        <v>0</v>
      </c>
      <c r="DE414" s="147">
        <f>IF(DD$3=$K414,IF($C414="L",1,IF($C414="1/2L",0.5,0)),0)</f>
        <v>0</v>
      </c>
      <c r="DF414" s="143">
        <f>IF(AND(L414&lt;DF$3,$C414="W"),1+DF413,DF413)</f>
        <v>14</v>
      </c>
      <c r="DG414" s="133">
        <f>IF(DF414&gt;DF413,L414+DG413,DG413)</f>
        <v>18.548</v>
      </c>
      <c r="DH414" s="146">
        <f>IF(AND(L414&gt;DH$3,$C414="W"),1+DH413,0+DH413)</f>
        <v>10</v>
      </c>
      <c r="DI414" s="133">
        <f>IF(DH414&gt;DH413,L414+DI413,DI413)</f>
        <v>55.13</v>
      </c>
      <c r="DJ414" t="s" s="304">
        <f>IF($D412="","",$D412)</f>
        <v>307</v>
      </c>
      <c r="DK414" s="286"/>
    </row>
    <row r="415" ht="14.55" customHeight="1">
      <c r="A415" s="171">
        <f>$A412+1</f>
        <v>138</v>
      </c>
      <c r="B415" t="s" s="172">
        <f>IF(AND(_xlfn.XLOOKUP(H415,H$122:H188,G$122:G188,0)=G415,_xlfn.XLOOKUP("TempoBet",K415:K417,L415:L417,0)&gt;0),"X",IF(OR(C415="W",C416="W",C417="W",C415="1/2W",C416="1/2W",C417="1/2W",C415="1/2L",C416="1/2L",C417="1/2L"),"OK",IF(OR(C415="L",C416="L",C417="L"),"LOSS",IF(OR(C415="X",C416="X",C417="X"),"Anulado"," "))))</f>
        <v>24</v>
      </c>
      <c r="C415" t="s" s="173">
        <v>114</v>
      </c>
      <c r="D415" t="s" s="305">
        <f>IF(G415="","",$D412)</f>
        <v>307</v>
      </c>
      <c r="E415" t="s" s="175">
        <f>IF(G415=""," ","– "&amp;COUNTIF(D$4:D417,$D415))</f>
        <v>148</v>
      </c>
      <c r="F415" t="s" s="176">
        <f>IF(G415="","",IF(OR(AND($C415&lt;&gt;" ",$C416=" "),AND($C416&lt;&gt;" ",$C415=" "),AND(L417&gt;0,OR(AND($C417&lt;&gt;" ",OR($C415=" ",$C416=" ")),AND($C417=" ",OR($C415&lt;&gt;" ",$C416&lt;&gt;" "))))),IF(SUM(F$4:F414)=0,1,LARGE(F$4:F414,1)+1),IF(MONTH(G415)=MONTH(TODAY()),IF(AND(DAY(G415)&lt;DAY(TODAY()),$B415=" "),IF(SUM(F$4:F414)=0,1,LARGE(F$4:F414,1)+1),IF($B415=" ",IF(AND(DAY(G415)=DAY(TODAY()),HOUR(G415)&lt;=HOUR(NOW())+1),IF(AND(HOUR(G415)+2&lt;=HOUR(NOW()),DAY(G415)&lt;=DAY(TODAY()),MINUTE(G415)&lt;=MINUTE(NOW())),IF(SUM(F$4:F414)=0,1,LARGE(F$4:F414,1)+1),IF(OR(MINUTE(G415)&lt;=MINUTE(NOW()),HOUR(G415)&lt;=HOUR(NOW())),"!!!","")),""),"")),"")))</f>
      </c>
      <c r="G415" s="177">
        <v>44954.4375</v>
      </c>
      <c r="H415" t="s" s="178">
        <v>332</v>
      </c>
      <c r="I415" t="s" s="179">
        <v>54</v>
      </c>
      <c r="J415" s="291">
        <v>0</v>
      </c>
      <c r="K415" t="s" s="181">
        <v>41</v>
      </c>
      <c r="L415" s="182">
        <v>1.94</v>
      </c>
      <c r="M415" s="183"/>
      <c r="N415" s="184">
        <v>0</v>
      </c>
      <c r="O415" s="185">
        <f>IF(OR(AE415="",AE416=""),"",ROUND(IF(L417&gt;0,IF(M415&gt;0,M415,IF(M416&gt;0,ROUND((M416*AE415)/AE416,IF(N415=0,2,IF(N415=0.1,1,0))),ROUND((M417*AE415)/AE417,IF(N415=0,2,IF(N415=0.1,1,0))))),IF(M415&gt;0,M415,ROUND((M416*AE415)/AE416,IF(N415=0,2,IF(N415=0.1,1,0))))),2))</f>
        <v>8.449999999999999</v>
      </c>
      <c r="P415" s="186">
        <f>IF(OR(L415="",O415=""),"",IF($C415="1/2W",O415/2+O415/2*L415,IF($C415="1/2L",O415/2,IF(I415="Lay",(O415*(L415/(L415-1))-O415)*(1-_xlfn.XLOOKUP(K415,'Janeiro 2023 - Valor Real'!A3:A15,'Janeiro 2023 - Valor Real'!C3:C15,0))+O415,(O415*L415-O415)*(1-_xlfn.XLOOKUP(K415,'Janeiro 2023 - Valor Real'!A3:A15,'Janeiro 2023 - Valor Real'!C3:C15,0))+O415))))</f>
        <v>16.393</v>
      </c>
      <c r="Q415" s="187">
        <f>IF(K415="","",IF(_xlfn.XLOOKUP(K415,K$122:K188,DJ$122:DJ188,0,,-1)=DJ415,_xlfn.XLOOKUP(K415,K$122:K188,Q$122:Q188,1,,-1)+1,1))</f>
        <v>1</v>
      </c>
      <c r="R415" s="188">
        <f>IF(K415="","",_xlfn.XLOOKUP(K415,K$122:K188,R$122:R188,0,,-1)+IF($C415=" ",1,0))</f>
        <v>0</v>
      </c>
      <c r="S415" s="189">
        <f>IF($B415="Anulado",0,ROUND(IF(OR($B415="LOSS",$B415="OK"),IF(OR($C415="W",$C415="1/2W",$C415="1/2L"),P415-O415,IF($C415="L",-O415,0))+IF(OR($C416="W",$C416="1/2W",$C416="1/2L"),P416-O416,IF($C416="L",-O416,0))+IF(OR($C417="W",$C417="1/2W",$C417="1/2L"),P417-O417,IF($C417="L",-O417,0)),IF(AND(OR($C415="W",$C415="1/2W",$C415="1/2L"),C416="W"),P415+P416-SUM(O415:O417)+_xlfn.XLOOKUP("X",C415:C417,O415:O417,0),IF(AND(C415=TRUE,C417="W"),P415+P417-SUM(O415:O417),IF(AND(C416="W",C417="W"),P416+P417-SUM(O415:O417)+_xlfn.XLOOKUP("X",C415:C417,O415:O417,0),IF(L417&gt;0,IF(OR($C415="W",$C415="1/2W",$C415="1/2L"),P415-SUM(O415:O417)+_xlfn.XLOOKUP("X",C415:C417,O415:O417,0),IF(OR($C415="W",$C415="1/2W",$C415="1/2L"),P416-SUM(O415:O417)+_xlfn.XLOOKUP("X",C415:C417,O415:O417,0),IF(OR($C415="W",$C415="1/2W",$C415="1/2L"),P417-SUM(O415:O417)+_xlfn.XLOOKUP("X",C415:C417,O415:O417,0),IF(SUM(P415:P417)/3-SUM(O415:O417)+_xlfn.XLOOKUP("X",C415:C417,O415:O417,0)&gt;0,SUM(P415:P417)/3-SUM(O415:O417)+_xlfn.XLOOKUP("X",C415:C417,O415:O417,0),LARGE(P415:P417,1)-SUM(O415:O417))))),IF(OR($C415="W",$C415="1/2W",$C415="1/2L"),P415-SUM(O415:O416)+_xlfn.XLOOKUP("X",C415:C417,O415:O417,0),IF(OR($C415="W",$C415="1/2W",$C415="1/2L"),P416-SUM(O415:O416)+_xlfn.XLOOKUP("X",C415:C417,O415:O417,0),SUM(P415:P416)/2-SUM(O415:O416)+_xlfn.XLOOKUP("X",C415:C417,O415:O417,0)))))))),2))</f>
        <v>0</v>
      </c>
      <c r="T415" s="190">
        <f>IF(S415=0,0,S415/SUM(O415:O417))</f>
        <v>0</v>
      </c>
      <c r="U415" s="191">
        <f>IF($D415=$D412,IF(OR($B415="LOSS",$B415="OK",$B415="Anulada"),S415,0)+U412,IF(OR($B415="LOSS",$B415="OK",$B415="Anulada"),S415,0))</f>
        <v>30.62</v>
      </c>
      <c r="V415" s="191">
        <f>IF($D415="",0,IF($D415=$D412,IF($B415=" ",IF(I417="",IF(OR(AND(I415="DNB1",I416="DNB2"),AND(OR(I415="DNB1",I415="DNB2"),J416=0),AND(OR(I416="DNB1",I416="DNB2"),J415=0),AND(I415="DNB2",I416="DNB1"),AND(IF(J415=0,(J415+1)/ROUND(J415+1,0),J415/ROUND(J415,0))=1,IF(J416=0,(J416+1)/ROUND(IF(J416="",0,J416)+1,0),IF(J416="",0,J416)/ROUND(IF(J416="",1,J416),0))=1,OR(J415&lt;&gt;""),J416&lt;&gt;"")),0,IF(S415&lt;0,IF(I417="",SMALL(P415:P416,1)-SUM(O415:O416),0),SMALL(P415:P416,1)-SUM(O415:O416))),IF(S415&lt;0,IF(I417="",SMALL(P415:P417,1)-SUM(O415:O417),0),LARGE(P415:P417,1)-SUM(O415:O417))),S415)+V412,IF(I417="",IF(OR(AND(I415="DNB1",I416="DNB2"),AND(OR(I415="DNB1",I415="DNB2"),J416=0),AND(OR(I416="DNB1",I416="DNB2"),J415=0),AND(I415="DNB2",I416="DNB1"),AND(IF(J415=0,(J415+1)/ROUND(J415+1,0),J415/ROUND(J415,0))=1,IF(J416=0,(IF(J416="",0,J416)+1)/ROUND(IF(J416="",0,J416)+1,0),IF(J416="",0,J416)/ROUND(IF(J416="",0,J416)+1,0))=1,OR(J415&lt;&gt;""),J416&lt;&gt;"")),0,IF(S415&lt;0,IF(I417="",SMALL(P415:P416,1)-SUM(O415:O416),0),SMALL(P415:P417,1)-SUM(O415:O417))),IF(S415&lt;0,IF(I417="",SMALL(P415:P417,1)-SUM(O415:O417),0),LARGE(P415:P417,1)-SUM(O415:O417)))))</f>
        <v>30.62225</v>
      </c>
      <c r="W415" s="191">
        <f>IF($D415=$D412,IF(S415&lt;0,IF(I417="",S415,0),S415)+W412,S415)</f>
        <v>30.62</v>
      </c>
      <c r="X415" t="s" s="192">
        <f>IF(OR(SUM(R415:R417)=0,V415=W415),ROUND(IF(W415=0,0,W415/Y415)*100,2)&amp;"%",ROUND(IF(V415=0,0,V415/Y415)*100,2)&amp;"% a "&amp;ROUND(IF(W415=0,0,W415/Y415)*100,2)&amp;"%")</f>
        <v>337</v>
      </c>
      <c r="Y415" s="193">
        <f>IF($D415=$D412,Y412+SUM(O415:O417),SUM(O415:O417))</f>
        <v>502.41</v>
      </c>
      <c r="Z415" s="191">
        <f>IF($B415=" ",SUM(O415:O417),0)+Z412</f>
        <v>0</v>
      </c>
      <c r="AA415" s="191">
        <f>IF(G415="","",IF($B415="Anulado",LARGE(P415:P417,1)-SUM(O415:O417)+AA412,AA412))</f>
        <v>22.2257</v>
      </c>
      <c r="AB415" s="191">
        <f>IF($D415="","",AB412+S415)</f>
        <v>282.29</v>
      </c>
      <c r="AC415" s="194">
        <f>IF($D415="","",IF($B415=" ",IF(DAY(G415)=DAY(TODAY()),1+AC412,0+AC412),0+AC412))</f>
        <v>0</v>
      </c>
      <c r="AD415" s="195">
        <f>(((L416/(L416-1)-1)*(1-_xlfn.XLOOKUP(K416,'Janeiro 2023 - Valor Real'!A3:A15,'Janeiro 2023 - Valor Real'!C3:C15,0))+1))/(((L415-1)*(1-_xlfn.XLOOKUP(K415,'Janeiro 2023 - Valor Real'!A3:A15,'Janeiro 2023 - Valor Real'!C3:C15,0))+1)+((L416/(L416-1)-1)*(1-_xlfn.XLOOKUP(K416,'Janeiro 2023 - Valor Real'!A3:A15,'Janeiro 2023 - Valor Real'!C3:C15,0))+1))</f>
        <v>0.469116497263487</v>
      </c>
      <c r="AE415" s="196">
        <f>IF(L415="","",IF(L417&gt;0,(SUM(((L415-1)*(1-_xlfn.XLOOKUP(K415,'Janeiro 2023 - Valor Real'!A3:A15,'Janeiro 2023 - Valor Real'!C3:C15,0))+1),((L416-1)*(1-_xlfn.XLOOKUP(K416,'Janeiro 2023 - Valor Real'!A3:A15,'Janeiro 2023 - Valor Real'!C3:C15,0))+1),((L417-1)*(1-_xlfn.XLOOKUP(K417,'Janeiro 2023 - Valor Real'!A3:A15,'Janeiro 2023 - Valor Real'!C3:C15,0))+1))/((L415-1)*(1-_xlfn.XLOOKUP(K415,'Janeiro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Real'!C3:C15,0))+1))/((L415-1)*(1-_xlfn.XLOOKUP(K415,'Janeiro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Real'!C3:C15,0))+1))/((L416-1)*(1-_xlfn.XLOOKUP(K416,'Janeiro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Real'!C3:C15,0))+1))/((L417-1)*(1-_xlfn.XLOOKUP(K417,'Janeiro 2023 - Valor Real'!A3:A15,'Janeiro 2023 - Valor Real'!C3:C15,0))+1)),IF(I415="Lay",IF(I416="Lay",((L416/(L416-1)-1)*(1-_xlfn.XLOOKUP(K416,'Janeiro 2023 - Valor Real'!A3:A15,'Janeiro 2023 - Valor Real'!C3:C15,0))+1)/(((L416/(L416-1)-1)*(1-_xlfn.XLOOKUP(K416,'Janeiro 2023 - Valor Real'!A3:A15,'Janeiro 2023 - Valor Real'!C3:C15,0))+1)+((L415/(L415-1)-1)*(1-_xlfn.XLOOKUP(K415,'Janeiro 2023 - Valor Real'!A3:A15,'Janeiro 2023 - Valor Real'!C3:C15,0))+1)),((L416-1)*(1-_xlfn.XLOOKUP(K416,'Janeiro 2023 - Valor Real'!A3:A15,'Janeiro 2023 - Valor Real'!C3:C15,0))+1)/(((L416-1)*(1-_xlfn.XLOOKUP(K416,'Janeiro 2023 - Valor Real'!A3:A15,'Janeiro 2023 - Valor Real'!C3:C15,0))+1)+((L415/(L415-1)-1)*(1-_xlfn.XLOOKUP(K415,'Janeiro 2023 - Valor Real'!A3:A15,'Janeiro 2023 - Valor Real'!C3:C15,0))+1))),IF(I416="Lay",(((L416/(L416-1)-1)*(1-_xlfn.XLOOKUP(K416,'Janeiro 2023 - Valor Real'!A3:A15,'Janeiro 2023 - Valor Real'!C3:C15,0))+1))/(((L415-1)*(1-_xlfn.XLOOKUP(K415,'Janeiro 2023 - Valor Real'!A3:A15,'Janeiro 2023 - Valor Real'!C3:C15,0))+1)+((L416/(L416-1)-1)*(1-_xlfn.XLOOKUP(K416,'Janeiro 2023 - Valor Real'!A3:A15,'Janeiro 2023 - Valor Real'!C3:C15,0))+1)),((L416-1)*(1-_xlfn.XLOOKUP(K416,'Janeiro 2023 - Valor Real'!A3:A15,'Janeiro 2023 - Valor Real'!C3:C15,0))+1)/(((L416-1)*(1-_xlfn.XLOOKUP(K416,'Janeiro 2023 - Valor Real'!A3:A15,'Janeiro 2023 - Valor Real'!C3:C15,0))+1)+((L415-1)*(1-_xlfn.XLOOKUP(K415,'Janeiro 2023 - Valor Real'!A3:A15,'Janeiro 2023 - Valor Real'!C3:C15,0))+1))))))</f>
        <v>0.552995391705069</v>
      </c>
      <c r="AF415" s="197">
        <f>IF($K415=AF$3,ROUND(IF(OR($C415="W",$C415="1/2W",$C415="1/2L"),$P415-$O415,IF($C415="X",0,-$O415)),2),0)</f>
        <v>0</v>
      </c>
      <c r="AG415" s="198">
        <f>IF($K415=AG$3,ROUND(IF(OR($C415="W",$C415="1/2W",$C415="1/2L"),$P415-$O415,IF($C415="X",0,-$O415)),2),0)</f>
        <v>0</v>
      </c>
      <c r="AH415" s="198">
        <f>IF($K415=AH$3,ROUND(IF(OR($C415="W",$C415="1/2W",$C415="1/2L"),$P415-$O415,IF($C415="X",0,-$O415)),2),0)</f>
        <v>0</v>
      </c>
      <c r="AI415" s="198">
        <f>IF($K415=AI$3,ROUND(IF(OR($C415="W",$C415="1/2W",$C415="1/2L"),$P415-$O415,IF($C415="X",0,-$O415)),2),0)</f>
        <v>0</v>
      </c>
      <c r="AJ415" s="198">
        <f>IF($K415=AJ$3,ROUND(IF(OR($C415="W",$C415="1/2W",$C415="1/2L"),$P415-$O415,IF($C415="X",0,-$O415)),2),0)</f>
        <v>0</v>
      </c>
      <c r="AK415" s="198">
        <f>IF($K415=AK$3,ROUND(IF(OR($C415="W",$C415="1/2W",$C415="1/2L"),$P415-$O415,IF($C415="X",0,-$O415)),2),0)</f>
        <v>0</v>
      </c>
      <c r="AL415" s="198">
        <f>IF($K415=AL$3,ROUND(IF(OR($C415="W",$C415="1/2W",$C415="1/2L"),$P415-$O415,IF($C415="X",0,-$O415)),2),0)</f>
        <v>0</v>
      </c>
      <c r="AM415" s="198">
        <f>IF($K415=AM$3,ROUND(IF(OR($C415="W",$C415="1/2W",$C415="1/2L"),$P415-$O415,IF($C415="X",0,-$O415)),2),0)</f>
        <v>0</v>
      </c>
      <c r="AN415" s="198">
        <f>IF($K415=AN$3,ROUND(IF(OR($C415="W",$C415="1/2W",$C415="1/2L"),$P415-$O415,IF($C415="X",0,-$O415)),2),0)</f>
        <v>0</v>
      </c>
      <c r="AO415" s="198">
        <f>IF($K415=AO$3,ROUND(IF(OR($C415="W",$C415="1/2W",$C415="1/2L"),$P415-$O415,IF($C415="X",0,-$O415)),2),0)</f>
        <v>0</v>
      </c>
      <c r="AP415" s="198">
        <f>IF($K415=AP$3,ROUND(IF(OR($C415="W",$C415="1/2W",$C415="1/2L"),$P415-$O415,IF($C415="X",0,-$O415)),2),0)</f>
        <v>0</v>
      </c>
      <c r="AQ415" s="198">
        <f>IF($K415=AQ$3,ROUND(IF(OR($C415="W",$C415="1/2W",$C415="1/2L"),$P415-$O415,IF($C415="X",0,-$O415)),2),0)</f>
        <v>0</v>
      </c>
      <c r="AR415" s="199">
        <f>IF($K415=AR$3,ROUND(IF(OR($C415="W",$C415="1/2W",$C415="1/2L"),$P415-$O415,IF($C415="X",0,-$O415)),2),0)</f>
        <v>0</v>
      </c>
      <c r="AS415" s="197">
        <f>IF(AND($B415=" ",$K415=AS$3),$O415,0)</f>
        <v>0</v>
      </c>
      <c r="AT415" s="198">
        <f>IF(AND($B415=" ",$K415=AT$3),$O415,0)</f>
        <v>0</v>
      </c>
      <c r="AU415" s="198">
        <f>IF(AND($B415=" ",$K415=AU$3),$O415,0)</f>
        <v>0</v>
      </c>
      <c r="AV415" s="198">
        <f>IF(AND($B415=" ",$K415=AV$3),$O415,0)</f>
        <v>0</v>
      </c>
      <c r="AW415" s="198">
        <f>IF(AND($B415=" ",$K415=AW$3),$O415,0)</f>
        <v>0</v>
      </c>
      <c r="AX415" s="198">
        <f>IF(AND($B415=" ",$K415=AX$3),$O415,0)</f>
        <v>0</v>
      </c>
      <c r="AY415" s="200">
        <f>IF(AND($B415=" ",$K415=AY$3),$O415,0)</f>
        <v>0</v>
      </c>
      <c r="AZ415" s="201">
        <f>IF(AND($B415=" ",$K415=AZ$3),$O415,0)</f>
        <v>0</v>
      </c>
      <c r="BA415" s="201">
        <f>IF(AND($B415=" ",$K415=BA$3),$O415,0)</f>
        <v>0</v>
      </c>
      <c r="BB415" s="201">
        <f>IF(AND($B415=" ",$K415=BB$3),$O415,0)</f>
        <v>0</v>
      </c>
      <c r="BC415" s="202">
        <f>IF(AND($B415=" ",$K415=BC$3),$O415,0)</f>
        <v>0</v>
      </c>
      <c r="BD415" s="198">
        <f>IF(AND($B415=" ",$K415=BD$3),$O415,0)</f>
        <v>0</v>
      </c>
      <c r="BE415" s="199">
        <f>IF(AND($B415=" ",$K415=BE$3),$O415,0)</f>
        <v>0</v>
      </c>
      <c r="BF415" s="203">
        <f>IF($K415=BF$3,IF($C415="X",0,$O415),0)</f>
        <v>0</v>
      </c>
      <c r="BG415" s="198">
        <f>IF($K415=BG$3,IF($C415="X",0,$O415),0)</f>
        <v>0</v>
      </c>
      <c r="BH415" s="198">
        <f>IF($K415=BH$3,IF($C415="X",0,$O415),0)</f>
        <v>0</v>
      </c>
      <c r="BI415" s="198">
        <f>IF($K415=BI$3,IF($C415="X",0,$O415),0)</f>
        <v>0</v>
      </c>
      <c r="BJ415" s="198">
        <f>IF($K415=BJ$3,IF($C415="X",0,$O415),0)</f>
        <v>0</v>
      </c>
      <c r="BK415" s="198">
        <f>IF($K415=BK$3,IF($C415="X",0,$O415),0)</f>
        <v>0</v>
      </c>
      <c r="BL415" s="198">
        <f>IF($K415=BL$3,IF($C415="X",0,$O415),0)</f>
        <v>0</v>
      </c>
      <c r="BM415" s="200">
        <f>IF($K415=BM$3,IF($C415="X",0,$O415),0)</f>
        <v>0</v>
      </c>
      <c r="BN415" s="201">
        <f>IF($K415=BN$3,IF($C415="X",0,$O415),0)</f>
        <v>0</v>
      </c>
      <c r="BO415" s="201">
        <f>IF($K415=BO$3,IF($C415="X",0,$O415),0)</f>
        <v>0</v>
      </c>
      <c r="BP415" s="201">
        <f>IF($K415=BP$3,IF($C415="X",0,$O415),0)</f>
        <v>0</v>
      </c>
      <c r="BQ415" s="202">
        <f>IF($K415=BQ$3,IF($C415="X",0,$O415),0)</f>
        <v>0</v>
      </c>
      <c r="BR415" s="199">
        <f>IF($K415=BR$3,IF($C415="X",0,$O415),0)</f>
        <v>0</v>
      </c>
      <c r="BS415" s="204">
        <f>IF($B415="LOSS",IF(AND($K415=BS$3,$C415="L"),-$O415,0)+IF(AND($K416=BS$3,$C416="L"),-$O416,0)+IF(AND($K417=BS$3,$C417="L"),-$O417,0),IF(OR(AND($K415=BS$3,OR($C415="W",$C415="1/2W")),AND($K416=BS$3,OR($C416="W",$C416="1/2W")),AND($K417=BS$3,OR($C417="W",$C417="1/2W"))),$S415,0))</f>
        <v>0</v>
      </c>
      <c r="BT415" s="201">
        <f>IF($B415="LOSS",IF(AND($K415=BT$3,$C415="L"),-$O415,0)+IF(AND($K416=BT$3,$C416="L"),-$O416,0)+IF(AND($K416=BT$3,$C417="L"),-$O417,0),IF(OR(AND($K416=BT$3,OR($C415="W",$C415="1/2W")),AND($K416=BT$3,OR($C416="W",$C416="1/2W")),AND($K416=BT$3,OR($C417="W",$C417="1/2W"))),$S415,0))</f>
        <v>0</v>
      </c>
      <c r="BU415" s="201">
        <f>IF($B415="LOSS",IF(AND($K415=BU$3,$C415="L"),-$O415,0)+IF(AND($K416=BU$3,$C416="L"),-$O416,0)+IF(AND($K416=BU$3,$C417="L"),-$O417,0),IF(OR(AND($K416=BU$3,OR($C415="W",$C415="1/2W")),AND($K416=BU$3,OR($C416="W",$C416="1/2W")),AND($K416=BU$3,OR($C417="W",$C417="1/2W"))),$S415,0))</f>
        <v>0</v>
      </c>
      <c r="BV415" s="201">
        <f>IF($B415="LOSS",IF(AND($K415=BV$3,$C415="L"),-$O415,0)+IF(AND($K416=BV$3,$C416="L"),-$O416,0)+IF(AND($K417=BV$3,$C417="L"),-$O417,0),IF(OR(AND($K415=BV$3,OR($C415="W",$C415="1/2W")),AND($K416=BV$3,OR($C416="W",$C416="1/2W")),AND($K417=BV$3,OR($C417="W",$C417="1/2W"))),$S415,0))</f>
        <v>0</v>
      </c>
      <c r="BW415" s="201">
        <f>IF($B415="LOSS",IF(AND($K415=BW$3,$C415="L"),-$O415,0)+IF(AND($K416=BW$3,$C416="L"),-$O416,0)+IF(AND($K417=BW$3,$C417="L"),-$O417,0),IF(OR(AND($K415=BW$3,OR($C415="W",$C415="1/2W")),AND($K416=BW$3,OR($C416="W",$C416="1/2W")),AND($K417=BW$3,OR($C417="W",$C417="1/2W"))),$S415,0))</f>
        <v>0</v>
      </c>
      <c r="BX415" s="201">
        <f>IF($B415="LOSS",IF(AND($K415=BX$3,$C415="L"),-$O415,0)+IF(AND($K416=BX$3,$C416="L"),-$O416,0)+IF(AND($K417=BX$3,$C417="L"),-$O417,0),IF(OR(AND($K415=BX$3,OR($C415="W",$C415="1/2W")),AND($K416=BX$3,OR($C416="W",$C416="1/2W")),AND($K417=BX$3,OR($C417="W",$C417="1/2W"))),$S415,0))</f>
        <v>0</v>
      </c>
      <c r="BY415" s="201">
        <f>IF($B415="LOSS",IF(AND($K415=BY$3,$C415="L"),-$O415,0)+IF(AND($K416=BY$3,$C416="L"),-$O416,0)+IF(AND($K417=BY$3,$C417="L"),-$O417,0),IF(OR(AND($K415=BY$3,OR($C415="W",$C415="1/2W")),AND($K416=BY$3,OR($C416="W",$C416="1/2W")),AND($K417=BY$3,OR($C417="W",$C417="1/2W"))),$S415,0))</f>
        <v>0</v>
      </c>
      <c r="BZ415" s="205">
        <f>IF($B415="LOSS",IF(AND($K415=BZ$3,$C415="L"),-$O415,0)+IF(AND($K416=BZ$3,$C416="L"),-$O416,0)+IF(AND($K417=BZ$3,$C417="L"),-$O417,0),IF(OR(AND($K415=BZ$3,OR($C415="W",$C415="1/2W")),AND($K416=BZ$3,OR($C416="W",$C416="1/2W")),AND($K417=BZ$3,OR($C417="W",$C417="1/2W"))),$S415,0))</f>
        <v>0</v>
      </c>
      <c r="CA415" s="205">
        <f>IF($B415="LOSS",IF(AND($K415=CA$3,$C415="L"),-$O415,0)+IF(AND($K416=CA$3,$C416="L"),-$O416,0)+IF(AND($K417=CA$3,$C417="L"),-$O417,0),IF(OR(AND($K415=CA$3,OR($C415="W",$C415="1/2W")),AND($K416=CA$3,OR($C416="W",$C416="1/2W")),AND($K417=CA$3,OR($C417="W",$C417="1/2W"))),$S415,0))</f>
        <v>0</v>
      </c>
      <c r="CB415" s="205">
        <f>IF($B415="LOSS",IF(AND($K415=CB$3,$C415="L"),-$O415,0)+IF(AND($K416=CB$3,$C416="L"),-$O416,0)+IF(AND($K417=CB$3,$C417="L"),-$O417,0),IF(OR(AND($K415=CB$3,OR($C415="W",$C415="1/2W")),AND($K416=CB$3,OR($C416="W",$C416="1/2W")),AND($K417=CB$3,OR($C417="W",$C417="1/2W"))),$S415,0))</f>
        <v>0</v>
      </c>
      <c r="CC415" s="205">
        <f>IF($B415="LOSS",IF(AND($K415=CC$3,$C415="L"),-$O415,0)+IF(AND($K416=CC$3,$C416="L"),-$O416,0)+IF(AND($K417=CC$3,$C417="L"),-$O417,0),IF(OR(AND($K415=CC$3,OR($C415="W",$C415="1/2W")),AND($K416=CC$3,OR($C416="W",$C416="1/2W")),AND($K417=CC$3,OR($C417="W",$C417="1/2W"))),$S415,0))</f>
        <v>0</v>
      </c>
      <c r="CD415" s="202">
        <f>IF($B415="LOSS",IF(AND($K415=CD$3,$C415="L"),-$O415,0)+IF(AND($K416=CD$3,$C416="L"),-$O416,0)+IF(AND($K417=CD$3,$C417="L"),-$O417,0),IF(OR(AND($K415=CD$3,OR($C415="W",$C415="1/2W")),AND($K416=CD$3,OR($C416="W",$C416="1/2W")),AND($K417=CD$3,OR($C417="W",$C417="1/2W"))),$S415,0))</f>
        <v>0</v>
      </c>
      <c r="CE415" s="199">
        <f>IF($B415="LOSS",IF(AND($K415=CE$3,$C415="L"),-$O415,0)+IF(AND($K416=CE$3,$C416="L"),-$O416,0)+IF(AND($K417=CE$3,$C417="L"),-$O417,0),IF(OR(AND($K415=CE$3,OR($C415="W",$C415="1/2W")),AND($K416=CE$3,OR($C416="W",$C416="1/2W")),AND($K417=CE$3,OR($C417="W",$C417="1/2W"))),$S415,0))</f>
        <v>0</v>
      </c>
      <c r="CF415" s="206">
        <f>IF(CF$3=$K415,IF($C415="W",1,IF($C415="1/2W",0.5,0)),0)</f>
        <v>0</v>
      </c>
      <c r="CG415" s="207">
        <f>IF(CF$3=$K415,IF($C415="L",1,IF($C415="1/2L",0.5,0)),0)</f>
        <v>0</v>
      </c>
      <c r="CH415" s="207">
        <f>IF(CH$3=$K415,IF($C415="W",1,IF($C415="1/2W",0.5,0)),0)</f>
        <v>0</v>
      </c>
      <c r="CI415" s="207">
        <f>IF(CH$3=$K415,IF($C415="L",1,IF($C415="1/2L",0.5,0)),0)</f>
        <v>0</v>
      </c>
      <c r="CJ415" s="207">
        <f>IF(CJ$3=$K415,IF($C415="W",1,IF($C415="1/2W",0.5,0)),0)</f>
        <v>0</v>
      </c>
      <c r="CK415" s="207">
        <f>IF(CJ$3=$K415,IF($C415="L",1,IF($C415="1/2L",0.5,0)),0)</f>
        <v>0</v>
      </c>
      <c r="CL415" s="207">
        <f>IF(CL$3=$K415,IF($C415="W",1,IF($C415="1/2W",0.5,0)),0)</f>
        <v>0</v>
      </c>
      <c r="CM415" s="207">
        <f>IF(CL$3=$K415,IF($C415="L",1,IF($C415="1/2L",0.5,0)),0)</f>
        <v>0</v>
      </c>
      <c r="CN415" s="207">
        <f>IF(CN$3=$K415,IF($C415="W",1,IF($C415="1/2W",0.5,0)),0)</f>
        <v>0</v>
      </c>
      <c r="CO415" s="207">
        <f>IF(CN$3=$K415,IF($C415="L",1,IF($C415="1/2L",0.5,0)),0)</f>
        <v>0</v>
      </c>
      <c r="CP415" s="207">
        <f>IF(CP$3=$K415,IF($C415="W",1,IF($C415="1/2W",0.5,0)),0)</f>
        <v>0</v>
      </c>
      <c r="CQ415" s="207">
        <f>IF(CP$3=$K415,IF($C415="L",1,IF($C415="1/2L",0.5,0)),0)</f>
        <v>0</v>
      </c>
      <c r="CR415" s="207">
        <f>IF(CR$3=$K415,IF($C415="W",1,IF($C415="1/2W",0.5,0)),0)</f>
        <v>0</v>
      </c>
      <c r="CS415" s="207">
        <f>IF(CR$3=$K415,IF($C415="L",1,IF($C415="1/2L",0.5,0)),0)</f>
        <v>0</v>
      </c>
      <c r="CT415" s="208">
        <f>IF(CT$3=$K415,IF($C415="W",1,IF($C415="1/2W",0.5,0)),0)</f>
        <v>0</v>
      </c>
      <c r="CU415" s="209">
        <f>IF(CT$3=$K415,IF($C415="L",1,IF($C415="1/2L",0.5,0)),0)</f>
        <v>0</v>
      </c>
      <c r="CV415" s="209">
        <f>IF(CV$3=$K415,IF($C415="W",1,IF($C415="1/2W",0.5,0)),0)</f>
        <v>0</v>
      </c>
      <c r="CW415" s="209">
        <f>IF(CV$3=$K415,IF($C415="L",1,IF($C415="1/2L",0.5,0)),0)</f>
        <v>0</v>
      </c>
      <c r="CX415" s="209">
        <f>IF(CX$3=$K415,IF($C415="W",1,IF($C415="1/2W",0.5,0)),0)</f>
        <v>0</v>
      </c>
      <c r="CY415" s="209">
        <f>IF(CX$3=$K415,IF($C415="L",1,IF($C415="1/2L",0.5,0)),0)</f>
        <v>0</v>
      </c>
      <c r="CZ415" s="209">
        <f>IF(CZ$3=$K415,IF($C415="W",1,IF($C415="1/2W",0.5,0)),0)</f>
        <v>0</v>
      </c>
      <c r="DA415" s="209">
        <f>IF(CZ$3=$K415,IF($C415="L",1,IF($C415="1/2L",0.5,0)),0)</f>
        <v>0</v>
      </c>
      <c r="DB415" s="209">
        <f>IF(DB$3=$K415,IF($C415="W",1,IF($C415="1/2W",0.5,0)),0)</f>
        <v>0</v>
      </c>
      <c r="DC415" s="209">
        <f>IF(DB$3=$K415,IF($C415="L",1,IF($C415="1/2L",0.5,0)),0)</f>
        <v>0</v>
      </c>
      <c r="DD415" s="209">
        <f>IF(DD$3=$K415,IF($C415="W",1,IF($C415="1/2W",0.5,0)),0)</f>
        <v>0</v>
      </c>
      <c r="DE415" s="210">
        <f>IF(DD$3=$K415,IF($C415="L",1,IF($C415="1/2L",0.5,0)),0)</f>
        <v>0</v>
      </c>
      <c r="DF415" s="211">
        <f>IF(AND(L415&lt;DF$3,$C415="W"),1+DF414,DF414)</f>
        <v>14</v>
      </c>
      <c r="DG415" s="198">
        <f>IF(DF415&gt;DF414,L415+DG414,DG414)</f>
        <v>18.548</v>
      </c>
      <c r="DH415" s="209">
        <f>IF(AND(L415&gt;DH$3,$C415="W"),1+DH414,0+DH414)</f>
        <v>10</v>
      </c>
      <c r="DI415" s="198">
        <f>IF(DH415&gt;DH414,L415+DI414,DI414)</f>
        <v>55.13</v>
      </c>
      <c r="DJ415" t="s" s="306">
        <f>IF($D415="","",$D415)</f>
        <v>307</v>
      </c>
      <c r="DK415" s="209">
        <f>IF(AND($B415=" ",$D415&lt;&gt;""),1,0)</f>
        <v>0</v>
      </c>
    </row>
    <row r="416" ht="14.55" customHeight="1">
      <c r="A416" s="107"/>
      <c r="B416" s="108"/>
      <c r="C416" t="s" s="213">
        <v>114</v>
      </c>
      <c r="D416" s="110"/>
      <c r="E416" s="111"/>
      <c r="F416" s="113"/>
      <c r="G416" s="214"/>
      <c r="H416" s="114"/>
      <c r="I416" t="s" s="215">
        <v>62</v>
      </c>
      <c r="J416" t="s" s="216">
        <f>IF(OR(I415="TO",I415="TU",I415="TO1",I415="TU1",I415="TO2",I415="TU2"),J415,IF(OR(I415="AH1",I415="AH2"),IF(OR(I416="AH1",I416="AH2"),-J415,IF(OR(I416="EH1",I416="EH2"),-J415+0.5,"")),IF(OR(I415="EH1",I415="EH2"),IF(OR(I416="AH1",I416="AH2"),-J415+0.5,IF(OR(I416="EH1",I416="EH2"),-J415+1,"")),IF(AND(OR(I415="DNB1",I415="DNB2"),OR(I416="AH1",I416="AH2")),0,IF(AND(I415="Not ScoreBoth",OR(I416="TO1",I416="TO2")),0.5,"")))))</f>
      </c>
      <c r="K416" t="s" s="217">
        <v>38</v>
      </c>
      <c r="L416" s="218">
        <v>2.4</v>
      </c>
      <c r="M416" s="219">
        <v>6.83</v>
      </c>
      <c r="N416" s="120"/>
      <c r="O416" s="220">
        <f>IF(OR(AE415="",AE416=""),"",ROUND(IF(L417&gt;0,IF(M416&gt;0,M416,IF(M415&gt;0,IF(N415=TRUE,ROUND((M415*AE416)/AE415,0),(M415*AE416)/AE415),IF(M416&gt;0,ROUND(M416,IF(N415=0,2,IF(N415=0.1,1,0))),IF(M417&gt;0,ROUND(O417*AE416/AE417,IF(N415=0,2,IF(N415=0.1,1,0))),0)))),IF(M416&gt;0,M416,ROUND((M415*AE416)/AE415,IF(N415=0,2,IF(N415=0.1,1,0))))),2))</f>
        <v>6.83</v>
      </c>
      <c r="P416" s="221">
        <f>IF(OR(L416="",O416=""),"",IF($C416="1/2W",O416/2+O416/2*L416,IF($C416="1/2L",O416/2,IF(I416="Lay",((O416*(L416/(L416-1)))-O416)*(1-_xlfn.XLOOKUP(K416,'Janeiro 2023 - Valor Real'!A3:A15,'Janeiro 2023 - Valor Real'!C3:C15,0))+O416,(O416*L416-O416)*(1-_xlfn.XLOOKUP(K416,'Janeiro 2023 - Valor Real'!A3:A15,'Janeiro 2023 - Valor Real'!C3:C15,0))+O416))))</f>
        <v>16.392</v>
      </c>
      <c r="Q416" s="222">
        <f>IF(K416="","",IF(_xlfn.XLOOKUP(K416,K$123:K189,DJ$123:DJ189,0,,-1)=DJ416,_xlfn.XLOOKUP(K416,K$123:K189,Q$123:Q189,1,,-1)+1,1))</f>
        <v>1</v>
      </c>
      <c r="R416" s="223">
        <f>IF(K416="","",_xlfn.XLOOKUP(K416,K$123:K189,R$123:R189,0,,-1)+IF($C416=" ",1,0))</f>
        <v>0</v>
      </c>
      <c r="S416" s="125"/>
      <c r="T416" s="126"/>
      <c r="U416" s="126"/>
      <c r="V416" s="224"/>
      <c r="W416" s="126"/>
      <c r="X416" s="127"/>
      <c r="Y416" s="128"/>
      <c r="Z416" s="129"/>
      <c r="AA416" s="129"/>
      <c r="AB416" s="129"/>
      <c r="AC416" s="129"/>
      <c r="AD416" s="225">
        <f>(((L416/(L416-1)-1)*(1-_xlfn.XLOOKUP(K416,'Janeiro 2023 - Valor Real'!A3:A15,'Janeiro 2023 - Valor Real'!C3:C15,0))+1))</f>
        <v>1.71428571428571</v>
      </c>
      <c r="AE416" s="226">
        <f>IF(L416="","",IF(L417&gt;0,(SUM(((L415-1)*(1-_xlfn.XLOOKUP(K415,'Janeiro 2023 - Valor Real'!A3:A15,'Janeiro 2023 - Valor Real'!C3:C15,0))+1),((L416-1)*(1-_xlfn.XLOOKUP(K416,'Janeiro 2023 - Valor Real'!A3:A15,'Janeiro 2023 - Valor Real'!C3:C15,0))+1),((L417-1)*(1-_xlfn.XLOOKUP(K417,'Janeiro 2023 - Valor Real'!A3:A15,'Janeiro 2023 - Valor Real'!C3:C15,0))+1))/((L416-1)*(1-_xlfn.XLOOKUP(K416,'Janeiro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Real'!C3:C15,0))+1))/((L415-1)*(1-_xlfn.XLOOKUP(K415,'Janeiro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Real'!C3:C15,0))+1))/((L416-1)*(1-_xlfn.XLOOKUP(K416,'Janeiro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Real'!C3:C15,0))+1))/((L417-1)*(1-_xlfn.XLOOKUP(K417,'Janeiro 2023 - Valor Real'!A3:A15,'Janeiro 2023 - Valor Real'!C3:C15,0))+1)),IF(I416="Lay",IF(I415="Lay",((L415/(L415-1)-1)*(1-_xlfn.XLOOKUP(K415,'Janeiro 2023 - Valor Real'!A3:A15,'Janeiro 2023 - Valor Real'!C3:C15,0))+1)/(((L415/(L415-1)-1)*(1-_xlfn.XLOOKUP(K415,'Janeiro 2023 - Valor Real'!A3:A15,'Janeiro 2023 - Valor Real'!C3:C15,0))+1)+((L416/(L416-1)-1)*(1-_xlfn.XLOOKUP(K416,'Janeiro 2023 - Valor Real'!A3:A15,'Janeiro 2023 - Valor Real'!C3:C15,0))+1)),((L415-1)*(1-_xlfn.XLOOKUP(K415,'Janeiro 2023 - Valor Real'!A3:A15,'Janeiro 2023 - Valor Real'!C3:C15,0))+1)/(((L415-1)*(1-_xlfn.XLOOKUP(K415,'Janeiro 2023 - Valor Real'!A3:A15,'Janeiro 2023 - Valor Real'!C3:C15,0))+1)+((L416/(L416-1)-1)*(1-_xlfn.XLOOKUP(K416,'Janeiro 2023 - Valor Real'!A3:A15,'Janeiro 2023 - Valor Real'!C3:C15,0))+1))),IF(I415="Lay",((L415/(L415-1)-1)*(1-_xlfn.XLOOKUP(K415,'Janeiro 2023 - Valor Real'!A3:A15,'Janeiro 2023 - Valor Real'!C3:C15,0))+1)/((((L415/(L415-1)-1)*(1-_xlfn.XLOOKUP(K415,'Janeiro 2023 - Valor Real'!A3:A15,'Janeiro 2023 - Valor Real'!C3:C15,0))+1))+((L416-1)*(1-_xlfn.XLOOKUP(K416,'Janeiro 2023 - Valor Real'!A3:A15,'Janeiro 2023 - Valor Real'!C3:C15,0))+1)),((L415-1)*(1-_xlfn.XLOOKUP(K415,'Janeiro 2023 - Valor Real'!A3:A15,'Janeiro 2023 - Valor Real'!C3:C15,0))+1)/(((L415-1)*(1-_xlfn.XLOOKUP(K415,'Janeiro 2023 - Valor Real'!A3:A15,'Janeiro 2023 - Valor Real'!C3:C15,0))+1)+((L416-1)*(1-_xlfn.XLOOKUP(K416,'Janeiro 2023 - Valor Real'!A3:A15,'Janeiro 2023 - Valor Real'!C3:C15,0))+1))))))</f>
        <v>0.447004608294931</v>
      </c>
      <c r="AF416" s="197">
        <f>IF($K416=AF$3,ROUND(IF(OR($C416="W",$C416="1/2W",$C416="1/2L"),$P416-$O416,IF($C416="X",0,-$O416)),2),0)</f>
        <v>0</v>
      </c>
      <c r="AG416" s="198">
        <f>IF($K416=AG$3,ROUND(IF(OR($C416="W",$C416="1/2W",$C416="1/2L"),$P416-$O416,IF($C416="X",0,-$O416)),2),0)</f>
        <v>0</v>
      </c>
      <c r="AH416" s="198">
        <f>IF($K416=AH$3,ROUND(IF(OR($C416="W",$C416="1/2W",$C416="1/2L"),$P416-$O416,IF($C416="X",0,-$O416)),2),0)</f>
        <v>0</v>
      </c>
      <c r="AI416" s="198">
        <f>IF($K416=AI$3,ROUND(IF(OR($C416="W",$C416="1/2W",$C416="1/2L"),$P416-$O416,IF($C416="X",0,-$O416)),2),0)</f>
        <v>0</v>
      </c>
      <c r="AJ416" s="198">
        <f>IF($K416=AJ$3,ROUND(IF(OR($C416="W",$C416="1/2W",$C416="1/2L"),$P416-$O416,IF($C416="X",0,-$O416)),2),0)</f>
        <v>0</v>
      </c>
      <c r="AK416" s="198">
        <f>IF($K416=AK$3,ROUND(IF(OR($C416="W",$C416="1/2W",$C416="1/2L"),$P416-$O416,IF($C416="X",0,-$O416)),2),0)</f>
        <v>0</v>
      </c>
      <c r="AL416" s="198">
        <f>IF($K416=AL$3,ROUND(IF(OR($C416="W",$C416="1/2W",$C416="1/2L"),$P416-$O416,IF($C416="X",0,-$O416)),2),0)</f>
        <v>0</v>
      </c>
      <c r="AM416" s="198">
        <f>IF($K416=AM$3,ROUND(IF(OR($C416="W",$C416="1/2W",$C416="1/2L"),$P416-$O416,IF($C416="X",0,-$O416)),2),0)</f>
        <v>0</v>
      </c>
      <c r="AN416" s="198">
        <f>IF($K416=AN$3,ROUND(IF(OR($C416="W",$C416="1/2W",$C416="1/2L"),$P416-$O416,IF($C416="X",0,-$O416)),2),0)</f>
        <v>0</v>
      </c>
      <c r="AO416" s="198">
        <f>IF($K416=AO$3,ROUND(IF(OR($C416="W",$C416="1/2W",$C416="1/2L"),$P416-$O416,IF($C416="X",0,-$O416)),2),0)</f>
        <v>0</v>
      </c>
      <c r="AP416" s="198">
        <f>IF($K416=AP$3,ROUND(IF(OR($C416="W",$C416="1/2W",$C416="1/2L"),$P416-$O416,IF($C416="X",0,-$O416)),2),0)</f>
        <v>0</v>
      </c>
      <c r="AQ416" s="198">
        <f>IF($K416=AQ$3,ROUND(IF(OR($C416="W",$C416="1/2W",$C416="1/2L"),$P416-$O416,IF($C416="X",0,-$O416)),2),0)</f>
        <v>0</v>
      </c>
      <c r="AR416" s="199">
        <f>IF($K416=AR$3,ROUND(IF(OR($C416="W",$C416="1/2W",$C416="1/2L"),$P416-$O416,IF($C416="X",0,-$O416)),2),0)</f>
        <v>0</v>
      </c>
      <c r="AS416" s="197">
        <f>IF(AND($B415=" ",$K416=AS$3),$O416,0)</f>
        <v>0</v>
      </c>
      <c r="AT416" s="198">
        <f>IF(AND($B415=" ",K416=AT$3),$O416,0)</f>
        <v>0</v>
      </c>
      <c r="AU416" s="198">
        <f>IF(AND($B415=" ",$K416=AU$3),$O416,0)</f>
        <v>0</v>
      </c>
      <c r="AV416" s="198">
        <f>IF(AND($B415=" ",$K416=AV$3),$O416,0)</f>
        <v>0</v>
      </c>
      <c r="AW416" s="198">
        <f>IF(AND($B415=" ",$K416=AW$3),$O416,0)</f>
        <v>0</v>
      </c>
      <c r="AX416" s="198">
        <f>IF(AND($B415=" ",$K416=AX$3),$O416,0)</f>
        <v>0</v>
      </c>
      <c r="AY416" s="200">
        <f>IF(AND($B415=" ",$K416=AY$3),$O416,0)</f>
        <v>0</v>
      </c>
      <c r="AZ416" s="201">
        <f>IF(AND($B415=" ",$K416=AZ$3),$O416,0)</f>
        <v>0</v>
      </c>
      <c r="BA416" s="201">
        <f>IF(AND($B415=" ",$K416=BA$3),$O416,0)</f>
        <v>0</v>
      </c>
      <c r="BB416" s="201">
        <f>IF(AND($B415=" ",$K416=BB$3),$O416,0)</f>
        <v>0</v>
      </c>
      <c r="BC416" s="202">
        <f>IF(AND($B415=" ",$K416=BC$3),$O416,0)</f>
        <v>0</v>
      </c>
      <c r="BD416" s="198">
        <f>IF(AND($B415=" ",$K416=BD$3),$O416,0)</f>
        <v>0</v>
      </c>
      <c r="BE416" s="199">
        <f>IF(AND($B415=" ",$K416=BE$3),$O416,0)</f>
        <v>0</v>
      </c>
      <c r="BF416" s="197">
        <f>IF($K416=BF$3,IF($C416="X",0,$O416),0)</f>
        <v>0</v>
      </c>
      <c r="BG416" s="198">
        <f>IF($K416=BG$3,IF($C416="X",0,$O416),0)</f>
        <v>0</v>
      </c>
      <c r="BH416" s="198">
        <f>IF($K416=BH$3,IF($C416="X",0,$O416),0)</f>
        <v>0</v>
      </c>
      <c r="BI416" s="198">
        <f>IF($K416=BI$3,IF($C416="X",0,$O416),0)</f>
        <v>0</v>
      </c>
      <c r="BJ416" s="198">
        <f>IF($K416=BJ$3,IF($C416="X",0,$O416),0)</f>
        <v>0</v>
      </c>
      <c r="BK416" s="198">
        <f>IF($K416=BK$3,IF($C416="X",0,$O416),0)</f>
        <v>0</v>
      </c>
      <c r="BL416" s="198">
        <f>IF($K416=BL$3,IF($C416="X",0,$O416),0)</f>
        <v>0</v>
      </c>
      <c r="BM416" s="227">
        <f>IF($K416=BM$3,IF($C416="X",0,$O416),0)</f>
        <v>0</v>
      </c>
      <c r="BN416" s="205">
        <f>IF($K416=BN$3,IF($C416="X",0,$O416),0)</f>
        <v>0</v>
      </c>
      <c r="BO416" s="205">
        <f>IF($K416=BO$3,IF($C416="X",0,$O416),0)</f>
        <v>0</v>
      </c>
      <c r="BP416" s="205">
        <f>IF($K416=BP$3,IF($C416="X",0,$O416),0)</f>
        <v>0</v>
      </c>
      <c r="BQ416" s="202">
        <f>IF($K416=BQ$3,IF($C416="X",0,$O416),0)</f>
        <v>0</v>
      </c>
      <c r="BR416" s="199">
        <f>IF($K416=BR$3,IF($C416="X",0,$O416),0)</f>
        <v>0</v>
      </c>
      <c r="BS416" s="228"/>
      <c r="BT416" s="229"/>
      <c r="BU416" s="140"/>
      <c r="BV416" s="229"/>
      <c r="BW416" s="140"/>
      <c r="BX416" s="140"/>
      <c r="BY416" s="140"/>
      <c r="BZ416" s="229"/>
      <c r="CA416" s="140"/>
      <c r="CB416" s="140"/>
      <c r="CC416" s="140"/>
      <c r="CD416" s="141"/>
      <c r="CE416" s="142"/>
      <c r="CF416" s="230">
        <f>IF(CF$3=$K416,IF($C416="W",1,IF($C416="1/2W",0.5,0)),0)</f>
        <v>0</v>
      </c>
      <c r="CG416" s="231">
        <f>IF(CF$3=$K416,IF($C416="L",1,IF($C416="1/2L",0.5,0)),0)</f>
        <v>0</v>
      </c>
      <c r="CH416" s="231">
        <f>IF(CH$3=$K416,IF($C416="W",1,IF($C416="1/2W",0.5,0)),0)</f>
        <v>0</v>
      </c>
      <c r="CI416" s="231">
        <f>IF(CH$3=$K416,IF($C416="L",1,IF($C416="1/2L",0.5,0)),0)</f>
        <v>0</v>
      </c>
      <c r="CJ416" s="231">
        <f>IF(CJ$3=$K416,IF($C416="W",1,IF($C416="1/2W",0.5,0)),0)</f>
        <v>0</v>
      </c>
      <c r="CK416" s="231">
        <f>IF(CJ$3=$K416,IF($C416="L",1,IF($C416="1/2L",0.5,0)),0)</f>
        <v>0</v>
      </c>
      <c r="CL416" s="231">
        <f>IF(CL$3=$K416,IF($C416="W",1,IF($C416="1/2W",0.5,0)),0)</f>
        <v>0</v>
      </c>
      <c r="CM416" s="231">
        <f>IF(CL$3=$K416,IF($C416="L",1,IF($C416="1/2L",0.5,0)),0)</f>
        <v>0</v>
      </c>
      <c r="CN416" s="231">
        <f>IF(CN$3=$K416,IF($C416="W",1,IF($C416="1/2W",0.5,0)),0)</f>
        <v>0</v>
      </c>
      <c r="CO416" s="231">
        <f>IF(CN$3=$K416,IF($C416="L",1,IF($C416="1/2L",0.5,0)),0)</f>
        <v>0</v>
      </c>
      <c r="CP416" s="231">
        <f>IF(CP$3=$K416,IF($C416="W",1,IF($C416="1/2W",0.5,0)),0)</f>
        <v>0</v>
      </c>
      <c r="CQ416" s="231">
        <f>IF(CP$3=$K416,IF($C416="L",1,IF($C416="1/2L",0.5,0)),0)</f>
        <v>0</v>
      </c>
      <c r="CR416" s="231">
        <f>IF(CR$3=$K416,IF($C416="W",1,IF($C416="1/2W",0.5,0)),0)</f>
        <v>0</v>
      </c>
      <c r="CS416" s="231">
        <f>IF(CR$3=$K416,IF($C416="L",1,IF($C416="1/2L",0.5,0)),0)</f>
        <v>0</v>
      </c>
      <c r="CT416" s="208">
        <f>IF(CT$3=$K416,IF($C416="W",1,IF($C416="1/2W",0.5,0)),0)</f>
        <v>0</v>
      </c>
      <c r="CU416" s="209">
        <f>IF(CT$3=$K416,IF($C416="L",1,IF($C416="1/2L",0.5,0)),0)</f>
        <v>0</v>
      </c>
      <c r="CV416" s="209">
        <f>IF(CV$3=$K416,IF($C416="W",1,IF($C416="1/2W",0.5,0)),0)</f>
        <v>0</v>
      </c>
      <c r="CW416" s="209">
        <f>IF(CV$3=$K416,IF($C416="L",1,IF($C416="1/2L",0.5,0)),0)</f>
        <v>0</v>
      </c>
      <c r="CX416" s="209">
        <f>IF(CX$3=$K416,IF($C416="W",1,IF($C416="1/2W",0.5,0)),0)</f>
        <v>0</v>
      </c>
      <c r="CY416" s="209">
        <f>IF(CX$3=$K416,IF($C416="L",1,IF($C416="1/2L",0.5,0)),0)</f>
        <v>0</v>
      </c>
      <c r="CZ416" s="209">
        <f>IF(CZ$3=$K416,IF($C416="W",1,IF($C416="1/2W",0.5,0)),0)</f>
        <v>0</v>
      </c>
      <c r="DA416" s="209">
        <f>IF(CZ$3=$K416,IF($C416="L",1,IF($C416="1/2L",0.5,0)),0)</f>
        <v>0</v>
      </c>
      <c r="DB416" s="209">
        <f>IF(DB$3=$K416,IF($C416="W",1,IF($C416="1/2W",0.5,0)),0)</f>
        <v>0</v>
      </c>
      <c r="DC416" s="209">
        <f>IF(DB$3=$K416,IF($C416="L",1,IF($C416="1/2L",0.5,0)),0)</f>
        <v>0</v>
      </c>
      <c r="DD416" s="209">
        <f>IF(DD$3=$K416,IF($C416="W",1,IF($C416="1/2W",0.5,0)),0)</f>
        <v>0</v>
      </c>
      <c r="DE416" s="210">
        <f>IF(DD$3=$K416,IF($C416="L",1,IF($C416="1/2L",0.5,0)),0)</f>
        <v>0</v>
      </c>
      <c r="DF416" s="211">
        <f>IF(AND(L416&lt;DF$3,$C416="W"),1+DF415,DF415)</f>
        <v>14</v>
      </c>
      <c r="DG416" s="198">
        <f>IF(DF416&gt;DF415,L416+DG415,DG415)</f>
        <v>18.548</v>
      </c>
      <c r="DH416" s="209">
        <f>IF(AND(L416&gt;DH$3,$C416="W"),1+DH415,0+DH415)</f>
        <v>10</v>
      </c>
      <c r="DI416" s="198">
        <f>IF(DH416&gt;DH415,L416+DI415,DI415)</f>
        <v>55.13</v>
      </c>
      <c r="DJ416" t="s" s="306">
        <f>IF($D415="","",$D415)</f>
        <v>307</v>
      </c>
      <c r="DK416" s="232"/>
    </row>
    <row r="417" ht="14.55" customHeight="1">
      <c r="A417" s="149"/>
      <c r="B417" s="150"/>
      <c r="C417" t="s" s="233">
        <v>58</v>
      </c>
      <c r="D417" s="152"/>
      <c r="E417" s="153"/>
      <c r="F417" s="155"/>
      <c r="G417" s="234"/>
      <c r="H417" s="156"/>
      <c r="I417" s="235"/>
      <c r="J417" s="236"/>
      <c r="K417" s="237"/>
      <c r="L417" s="238"/>
      <c r="M417" s="239"/>
      <c r="N417" s="161"/>
      <c r="O417" t="s" s="240">
        <f>IF(OR(AE415="",AE416=""),"",IF(L417&gt;0,ROUND(IF(M417&gt;0,M417,IF(M415&gt;0,ROUND((M415*AE417)/AE415,IF(N415=0,2,IF(N415=0.1,1,0))),IF(M416&gt;0,ROUND((M416*AE417)/AE416,IF(N415=0,2,IF(N415=0.1,1,0))),IF(M417&gt;0,M417,0)))),2),""))</f>
      </c>
      <c r="P417" t="s" s="241">
        <f>IF(I416="Lay",O416*(L416/(L416-1))-O416,IF(I415="Lay",O415*(L415/(L415-1))-O415,IF(OR(L417="",O417=""),"",IF($C417="1/2W",O417/2+O417/2*L417,IF($C417="1/2L",O417/2,(O417*L417-O417)*(1-_xlfn.XLOOKUP(K417,'Janeiro 2023 - Valor Real'!A3:A15,'Janeiro 2023 - Valor Real'!C3:C15,0))+O417)))))</f>
      </c>
      <c r="Q417" t="s" s="242">
        <f>IF(K417="","",IF(_xlfn.XLOOKUP(K417,K$124:K190,DJ$124:DJ190,0,,-1)=DJ417,_xlfn.XLOOKUP(K417,K$124:K190,Q$124:Q190,1,,-1)+1,1))</f>
      </c>
      <c r="R417" t="s" s="243">
        <f>IF(K417="","",_xlfn.XLOOKUP(K417,K$124:K190,R$124:R190,0,,-1)+IF($C417=" ",1,0))</f>
      </c>
      <c r="S417" s="166"/>
      <c r="T417" s="155"/>
      <c r="U417" s="155"/>
      <c r="V417" s="166"/>
      <c r="W417" s="155"/>
      <c r="X417" s="167"/>
      <c r="Y417" s="128"/>
      <c r="Z417" s="129"/>
      <c r="AA417" s="129"/>
      <c r="AB417" s="129"/>
      <c r="AC417" s="129"/>
      <c r="AD417" s="244">
        <f>((L416/(L416-1)-1))</f>
        <v>0.714285714285714</v>
      </c>
      <c r="AE417" t="s" s="245">
        <f>IF(L417="","",(SUM(((L415-1)*(1-_xlfn.XLOOKUP(K415,'Janeiro 2023 - Valor Real'!A3:A15,'Janeiro 2023 - Valor Real'!C3:C15,0))+1),((L416-1)*(1-_xlfn.XLOOKUP(K416,'Janeiro 2023 - Valor Real'!A3:A15,'Janeiro 2023 - Valor Real'!C3:C15,0))+1),((L417-1)*(1-_xlfn.XLOOKUP(K417,'Janeiro 2023 - Valor Real'!A3:A15,'Janeiro 2023 - Valor Real'!C3:C15,0))+1))/((L417-1)*(1-_xlfn.XLOOKUP(K417,'Janeiro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Real'!C3:C15,0))+1))/((L415-1)*(1-_xlfn.XLOOKUP(K415,'Janeiro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Real'!C3:C15,0))+1))/((L416-1)*(1-_xlfn.XLOOKUP(K416,'Janeiro 2023 - Valor Real'!A3:A15,'Janeiro 2023 - Valor Real'!C3:C15,0))+1)+SUM(((L415-1)*(1-_xlfn.XLOOKUP(K415,'Janeiro 2023 - Valor Real'!A3:A15,'Janeiro 2023 - Valor Real'!C3:C15,0))+1),((L416-1)*(1-_xlfn.XLOOKUP(K416,'Janeiro 2023 - Valor Real'!A3:A15,'Janeiro 2023 - Valor Real'!C3:C15,0))+1),((L417-1)*(1-_xlfn.XLOOKUP(K417,'Janeiro 2023 - Valor Real'!A3:A15,'Janeiro 2023 - Valor Real'!C3:C15,0))+1))/((L417-1)*(1-_xlfn.XLOOKUP(K417,'Janeiro 2023 - Valor Real'!A3:A15,'Janeiro 2023 - Valor Real'!C3:C15,0))+1)))</f>
      </c>
      <c r="AF417" s="197">
        <f>IF($K417=AF$3,ROUND(IF(OR($C417="W",$C417="1/2W",$C417="1/2L"),$P417-$O417,IF($C417="X",0,-$O417)),2),0)</f>
        <v>0</v>
      </c>
      <c r="AG417" s="198">
        <f>IF($K417=AG$3,ROUND(IF(OR($C417="W",$C417="1/2W",$C417="1/2L"),$P417-$O417,IF($C417="X",0,-$O417)),2),0)</f>
        <v>0</v>
      </c>
      <c r="AH417" s="198">
        <f>IF($K417=AH$3,ROUND(IF(OR($C417="W",$C417="1/2W",$C417="1/2L"),$P417-$O417,IF($C417="X",0,-$O417)),2),0)</f>
        <v>0</v>
      </c>
      <c r="AI417" s="198">
        <f>IF($K417=AI$3,ROUND(IF(OR($C417="W",$C417="1/2W",$C417="1/2L"),$P417-$O417,IF($C417="X",0,-$O417)),2),0)</f>
        <v>0</v>
      </c>
      <c r="AJ417" s="198">
        <f>IF($K417=AJ$3,ROUND(IF(OR($C417="W",$C417="1/2W",$C417="1/2L"),$P417-$O417,IF($C417="X",0,-$O417)),2),0)</f>
        <v>0</v>
      </c>
      <c r="AK417" s="198">
        <f>IF($K417=AK$3,ROUND(IF(OR($C417="W",$C417="1/2W",$C417="1/2L"),$P417-$O417,IF($C417="X",0,-$O417)),2),0)</f>
        <v>0</v>
      </c>
      <c r="AL417" s="198">
        <f>IF($K417=AL$3,ROUND(IF(OR($C417="W",$C417="1/2W",$C417="1/2L"),$P417-$O417,IF($C417="X",0,-$O417)),2),0)</f>
        <v>0</v>
      </c>
      <c r="AM417" s="198">
        <f>IF($K417=AM$3,ROUND(IF(OR($C417="W",$C417="1/2W",$C417="1/2L"),$P417-$O417,IF($C417="X",0,-$O417)),2),0)</f>
        <v>0</v>
      </c>
      <c r="AN417" s="198">
        <f>IF($K417=AN$3,ROUND(IF(OR($C417="W",$C417="1/2W",$C417="1/2L"),$P417-$O417,IF($C417="X",0,-$O417)),2),0)</f>
        <v>0</v>
      </c>
      <c r="AO417" s="198">
        <f>IF($K417=AO$3,ROUND(IF(OR($C417="W",$C417="1/2W",$C417="1/2L"),$P417-$O417,IF($C417="X",0,-$O417)),2),0)</f>
        <v>0</v>
      </c>
      <c r="AP417" s="198">
        <f>IF($K417=AP$3,ROUND(IF(OR($C417="W",$C417="1/2W",$C417="1/2L"),$P417-$O417,IF($C417="X",0,-$O417)),2),0)</f>
        <v>0</v>
      </c>
      <c r="AQ417" s="198">
        <f>IF($K417=AQ$3,ROUND(IF(OR($C417="W",$C417="1/2W",$C417="1/2L"),$P417-$O417,IF($C417="X",0,-$O417)),2),0)</f>
        <v>0</v>
      </c>
      <c r="AR417" s="199">
        <f>IF($K417=AR$3,ROUND(IF(OR($C417="W",$C417="1/2W",$C417="1/2L"),$P417-$O417,IF($C417="X",0,-$O417)),2),0)</f>
        <v>0</v>
      </c>
      <c r="AS417" s="197">
        <f>IF(AND($B415=" ",$K417=AS$3),$O417,0)</f>
        <v>0</v>
      </c>
      <c r="AT417" s="198">
        <f>IF(AND($B415=" ",K417=AT$3),$O417,0)</f>
        <v>0</v>
      </c>
      <c r="AU417" s="198">
        <f>IF(AND($B415=" ",$K417=AU$3),$O417,0)</f>
        <v>0</v>
      </c>
      <c r="AV417" s="198">
        <f>IF(AND($B415=" ",$K417=AV$3),$O417,0)</f>
        <v>0</v>
      </c>
      <c r="AW417" s="198">
        <f>IF(AND($B415=" ",$K417=AW$3),$O417,0)</f>
        <v>0</v>
      </c>
      <c r="AX417" s="198">
        <f>IF(AND($B415=" ",$K417=AX$3),$O417,0)</f>
        <v>0</v>
      </c>
      <c r="AY417" s="200">
        <f>IF(AND($B415=" ",$K417=AY$3),$O417,0)</f>
        <v>0</v>
      </c>
      <c r="AZ417" s="201">
        <f>IF(AND($B415=" ",$K417=AZ$3),$O417,0)</f>
        <v>0</v>
      </c>
      <c r="BA417" s="201">
        <f>IF(AND($B415=" ",$K417=BA$3),$O417,0)</f>
        <v>0</v>
      </c>
      <c r="BB417" s="201">
        <f>IF(AND($B415=" ",$K417=BB$3),$O417,0)</f>
        <v>0</v>
      </c>
      <c r="BC417" s="202">
        <f>IF(AND($B415=" ",$K417=BC$3),$O417,0)</f>
        <v>0</v>
      </c>
      <c r="BD417" s="198">
        <f>IF(AND($B415=" ",$K417=BD$3),$O417,0)</f>
        <v>0</v>
      </c>
      <c r="BE417" s="199">
        <f>IF(AND($B415=" ",$K417=BE$3),$O417,0)</f>
        <v>0</v>
      </c>
      <c r="BF417" s="197">
        <f>IF($K417=BF$3,IF($C417="X",0,$O417),0)</f>
        <v>0</v>
      </c>
      <c r="BG417" s="198">
        <f>IF($K417=BG$3,IF($C417="X",0,$O417),0)</f>
        <v>0</v>
      </c>
      <c r="BH417" s="198">
        <f>IF($K417=BH$3,IF($C417="X",0,$O417),0)</f>
        <v>0</v>
      </c>
      <c r="BI417" s="198">
        <f>IF($K417=BI$3,IF($C417="X",0,$O417),0)</f>
        <v>0</v>
      </c>
      <c r="BJ417" s="198">
        <f>IF($K417=BJ$3,IF($C417="X",0,$O417),0)</f>
        <v>0</v>
      </c>
      <c r="BK417" s="198">
        <f>IF($K417=BK$3,IF($C417="X",0,$O417),0)</f>
        <v>0</v>
      </c>
      <c r="BL417" s="198">
        <f>IF($K417=BL$3,IF($C417="X",0,$O417),0)</f>
        <v>0</v>
      </c>
      <c r="BM417" s="200">
        <f>IF($K417=BM$3,IF($C417="X",0,$O417),0)</f>
        <v>0</v>
      </c>
      <c r="BN417" s="201">
        <f>IF($K417=BN$3,IF($C417="X",0,$O417),0)</f>
        <v>0</v>
      </c>
      <c r="BO417" s="201">
        <f>IF($K417=BO$3,IF($C417="X",0,$O417),0)</f>
        <v>0</v>
      </c>
      <c r="BP417" s="201">
        <f>IF($K417=BP$3,IF($C417="X",0,$O417),0)</f>
        <v>0</v>
      </c>
      <c r="BQ417" s="202">
        <f>IF($K417=BQ$3,IF($C417="X",0,$O417),0)</f>
        <v>0</v>
      </c>
      <c r="BR417" s="199">
        <f>IF($K417=BR$3,IF($C417="X",0,$O417),0)</f>
        <v>0</v>
      </c>
      <c r="BS417" s="228"/>
      <c r="BT417" s="229"/>
      <c r="BU417" s="140"/>
      <c r="BV417" s="229"/>
      <c r="BW417" s="140"/>
      <c r="BX417" s="140"/>
      <c r="BY417" s="140"/>
      <c r="BZ417" s="229"/>
      <c r="CA417" s="140"/>
      <c r="CB417" s="140"/>
      <c r="CC417" s="140"/>
      <c r="CD417" s="141"/>
      <c r="CE417" s="142"/>
      <c r="CF417" s="230">
        <f>IF(CF$3=$K417,IF($C417="W",1,IF($C417="1/2W",0.5,0)),0)</f>
        <v>0</v>
      </c>
      <c r="CG417" s="231">
        <f>IF(CF$3=$K417,IF($C417="L",1,IF($C417="1/2L",0.5,0)),0)</f>
        <v>0</v>
      </c>
      <c r="CH417" s="231">
        <f>IF(CH$3=$K417,IF($C417="W",1,IF($C417="1/2W",0.5,0)),0)</f>
        <v>0</v>
      </c>
      <c r="CI417" s="231">
        <f>IF(CH$3=$K417,IF($C417="L",1,IF($C417="1/2L",0.5,0)),0)</f>
        <v>0</v>
      </c>
      <c r="CJ417" s="231">
        <f>IF(CJ$3=$K417,IF($C417="W",1,IF($C417="1/2W",0.5,0)),0)</f>
        <v>0</v>
      </c>
      <c r="CK417" s="231">
        <f>IF(CJ$3=$K417,IF($C417="L",1,IF($C417="1/2L",0.5,0)),0)</f>
        <v>0</v>
      </c>
      <c r="CL417" s="231">
        <f>IF(CL$3=$K417,IF($C417="W",1,IF($C417="1/2W",0.5,0)),0)</f>
        <v>0</v>
      </c>
      <c r="CM417" s="231">
        <f>IF(CL$3=$K417,IF($C417="L",1,IF($C417="1/2L",0.5,0)),0)</f>
        <v>0</v>
      </c>
      <c r="CN417" s="231">
        <f>IF(CN$3=$K417,IF($C417="W",1,IF($C417="1/2W",0.5,0)),0)</f>
        <v>0</v>
      </c>
      <c r="CO417" s="231">
        <f>IF(CN$3=$K417,IF($C417="L",1,IF($C417="1/2L",0.5,0)),0)</f>
        <v>0</v>
      </c>
      <c r="CP417" s="231">
        <f>IF(CP$3=$K417,IF($C417="W",1,IF($C417="1/2W",0.5,0)),0)</f>
        <v>0</v>
      </c>
      <c r="CQ417" s="231">
        <f>IF(CP$3=$K417,IF($C417="L",1,IF($C417="1/2L",0.5,0)),0)</f>
        <v>0</v>
      </c>
      <c r="CR417" s="231">
        <f>IF(CR$3=$K417,IF($C417="W",1,IF($C417="1/2W",0.5,0)),0)</f>
        <v>0</v>
      </c>
      <c r="CS417" s="231">
        <f>IF(CR$3=$K417,IF($C417="L",1,IF($C417="1/2L",0.5,0)),0)</f>
        <v>0</v>
      </c>
      <c r="CT417" s="208">
        <f>IF(CT$3=$K417,IF($C417="W",1,IF($C417="1/2W",0.5,0)),0)</f>
        <v>0</v>
      </c>
      <c r="CU417" s="209">
        <f>IF(CT$3=$K417,IF($C417="L",1,IF($C417="1/2L",0.5,0)),0)</f>
        <v>0</v>
      </c>
      <c r="CV417" s="209">
        <f>IF(CV$3=$K417,IF($C417="W",1,IF($C417="1/2W",0.5,0)),0)</f>
        <v>0</v>
      </c>
      <c r="CW417" s="209">
        <f>IF(CV$3=$K417,IF($C417="L",1,IF($C417="1/2L",0.5,0)),0)</f>
        <v>0</v>
      </c>
      <c r="CX417" s="209">
        <f>IF(CX$3=$K417,IF($C417="W",1,IF($C417="1/2W",0.5,0)),0)</f>
        <v>0</v>
      </c>
      <c r="CY417" s="209">
        <f>IF(CX$3=$K417,IF($C417="L",1,IF($C417="1/2L",0.5,0)),0)</f>
        <v>0</v>
      </c>
      <c r="CZ417" s="209">
        <f>IF(CZ$3=$K417,IF($C417="W",1,IF($C417="1/2W",0.5,0)),0)</f>
        <v>0</v>
      </c>
      <c r="DA417" s="209">
        <f>IF(CZ$3=$K417,IF($C417="L",1,IF($C417="1/2L",0.5,0)),0)</f>
        <v>0</v>
      </c>
      <c r="DB417" s="209">
        <f>IF(DB$3=$K417,IF($C417="W",1,IF($C417="1/2W",0.5,0)),0)</f>
        <v>0</v>
      </c>
      <c r="DC417" s="209">
        <f>IF(DB$3=$K417,IF($C417="L",1,IF($C417="1/2L",0.5,0)),0)</f>
        <v>0</v>
      </c>
      <c r="DD417" s="209">
        <f>IF(DD$3=$K417,IF($C417="W",1,IF($C417="1/2W",0.5,0)),0)</f>
        <v>0</v>
      </c>
      <c r="DE417" s="210">
        <f>IF(DD$3=$K417,IF($C417="L",1,IF($C417="1/2L",0.5,0)),0)</f>
        <v>0</v>
      </c>
      <c r="DF417" s="211">
        <f>IF(AND(L417&lt;DF$3,$C417="W"),1+DF416,DF416)</f>
        <v>14</v>
      </c>
      <c r="DG417" s="198">
        <f>IF(DF417&gt;DF416,L417+DG416,DG416)</f>
        <v>18.548</v>
      </c>
      <c r="DH417" s="209">
        <f>IF(AND(L417&gt;DH$3,$C417="W"),1+DH416,0+DH416)</f>
        <v>10</v>
      </c>
      <c r="DI417" s="198">
        <f>IF(DH417&gt;DH416,L417+DI416,DI416)</f>
        <v>55.13</v>
      </c>
      <c r="DJ417" t="s" s="306">
        <f>IF($D415="","",$D415)</f>
        <v>307</v>
      </c>
      <c r="DK417" s="232"/>
    </row>
    <row r="418" ht="14.55" customHeight="1">
      <c r="A418" s="246">
        <f>$A415+1</f>
        <v>139</v>
      </c>
      <c r="B418" t="s" s="247">
        <f>IF(AND(_xlfn.XLOOKUP(H418,H$107:H185,G$107:G185,0)=G418,_xlfn.XLOOKUP("TempoBet",K418:K420,L418:L420,0)&gt;0),"X",IF(OR(C418="W",C419="W",C420="W",C418="1/2W",C419="1/2W",C420="1/2W",C418="1/2L",C419="1/2L",C420="1/2L"),"OK",IF(OR(C418="L",C419="L",C420="L"),"LOSS",IF(OR(C418="X",C419="X",C420="X"),"Anulado"," "))))</f>
        <v>50</v>
      </c>
      <c r="C418" t="s" s="248">
        <v>56</v>
      </c>
      <c r="D418" t="s" s="303">
        <f>IF(G418="","",$D415)</f>
        <v>307</v>
      </c>
      <c r="E418" t="s" s="250">
        <v>150</v>
      </c>
      <c r="F418" t="s" s="251">
        <f>IF(G418="","",IF(OR(AND($C418&lt;&gt;" ",$C419=" "),AND($C419&lt;&gt;" ",$C418=" "),AND(L420&gt;0,OR(AND($C420&lt;&gt;" ",OR($C418=" ",$C419=" ")),AND($C420=" ",OR($C418&lt;&gt;" ",$C419&lt;&gt;" "))))),IF(SUM(F$4:F417)=0,1,LARGE(F$4:F417,1)+1),IF(MONTH(G418)=MONTH(TODAY()),IF(AND(DAY(G418)&lt;DAY(TODAY()),$B418=" "),IF(SUM(F$4:F417)=0,1,LARGE(F$4:F417,1)+1),IF($B418=" ",IF(AND(DAY(G418)=DAY(TODAY()),HOUR(G418)&lt;=HOUR(NOW())+1),IF(AND(HOUR(G418)+2&lt;=HOUR(NOW()),DAY(G418)&lt;=DAY(TODAY()),MINUTE(G418)&lt;=MINUTE(NOW())),IF(SUM(F$4:F417)=0,1,LARGE(F$4:F417,1)+1),IF(OR(MINUTE(G418)&lt;=MINUTE(NOW()),HOUR(G418)&lt;=HOUR(NOW())),"!!!","")),""),"")),"")))</f>
      </c>
      <c r="G418" s="252">
        <v>44949.958333333336</v>
      </c>
      <c r="H418" t="s" s="253">
        <v>335</v>
      </c>
      <c r="I418" t="s" s="254">
        <v>65</v>
      </c>
      <c r="J418" s="255">
        <v>58.5</v>
      </c>
      <c r="K418" t="s" s="256">
        <v>41</v>
      </c>
      <c r="L418" s="257">
        <v>1.86</v>
      </c>
      <c r="M418" s="258">
        <v>5.23</v>
      </c>
      <c r="N418" s="259">
        <v>0</v>
      </c>
      <c r="O418" s="260">
        <f>IF(OR(AE418="",AE419=""),"",ROUND(IF(L420&gt;0,IF(M418&gt;0,M418,IF(M419&gt;0,ROUND((M419*AE418)/AE419,IF(N418=0,2,IF(N418=0.1,1,0))),ROUND((M420*AE418)/AE420,IF(N418=0,2,IF(N418=0.1,1,0))))),IF(M418&gt;0,M418,ROUND((M419*AE418)/AE419,IF(N418=0,2,IF(N418=0.1,1,0))))),2))</f>
        <v>5.23</v>
      </c>
      <c r="P418" s="261">
        <f>IF(OR(L418="",O418=""),"",IF($C418="1/2W",O418/2+O418/2*L418,IF($C418="1/2L",O418/2,IF(I418="Lay",(O418*(L418/(L418-1))-O418)*(1-_xlfn.XLOOKUP(K418,'Janeiro 2023 - Valor Real'!A3:A15,'Janeiro 2023 - Valor Real'!C3:C15,0))+O418,(O418*L418-O418)*(1-_xlfn.XLOOKUP(K418,'Janeiro 2023 - Valor Real'!A3:A15,'Janeiro 2023 - Valor Real'!C3:C15,0))+O418))))</f>
        <v>9.7278</v>
      </c>
      <c r="Q418" s="262">
        <f>IF(K418="","",IF(_xlfn.XLOOKUP(K418,K$107:K185,DJ$107:DJ185,0,,-1)=DJ418,_xlfn.XLOOKUP(K418,K$107:K185,Q$107:Q185,1,,-1)+1,1))</f>
        <v>1</v>
      </c>
      <c r="R418" s="263">
        <f>IF(K418="","",_xlfn.XLOOKUP(K418,K$107:K185,R$107:R185,0,,-1)+IF($C418=" ",1,0))</f>
        <v>0</v>
      </c>
      <c r="S418" s="264">
        <f>IF($B418="Anulado",0,ROUND(IF(OR($B418="LOSS",$B418="OK"),IF(OR($C418="W",$C418="1/2W",$C418="1/2L"),P418-O418,IF($C418="L",-O418,0))+IF(OR($C419="W",$C419="1/2W",$C419="1/2L"),P419-O419,IF($C419="L",-O419,0))+IF(OR($C420="W",$C420="1/2W",$C420="1/2L"),P420-O420,IF($C420="L",-O420,0)),IF(AND(OR($C418="W",$C418="1/2W",$C418="1/2L"),C419="W"),P418+P419-SUM(O418:O420)+_xlfn.XLOOKUP("X",C418:C420,O418:O420,0),IF(AND(C418=TRUE,C420="W"),P418+P420-SUM(O418:O420),IF(AND(C419="W",C420="W"),P419+P420-SUM(O418:O420)+_xlfn.XLOOKUP("X",C418:C420,O418:O420,0),IF(L420&gt;0,IF(OR($C418="W",$C418="1/2W",$C418="1/2L"),P418-SUM(O418:O420)+_xlfn.XLOOKUP("X",C418:C420,O418:O420,0),IF(OR($C418="W",$C418="1/2W",$C418="1/2L"),P419-SUM(O418:O420)+_xlfn.XLOOKUP("X",C418:C420,O418:O420,0),IF(OR($C418="W",$C418="1/2W",$C418="1/2L"),P420-SUM(O418:O420)+_xlfn.XLOOKUP("X",C418:C420,O418:O420,0),IF(SUM(P418:P420)/3-SUM(O418:O420)+_xlfn.XLOOKUP("X",C418:C420,O418:O420,0)&gt;0,SUM(P418:P420)/3-SUM(O418:O420)+_xlfn.XLOOKUP("X",C418:C420,O418:O420,0),LARGE(P418:P420,1)-SUM(O418:O420))))),IF(OR($C418="W",$C418="1/2W",$C418="1/2L"),P418-SUM(O418:O419)+_xlfn.XLOOKUP("X",C418:C420,O418:O420,0),IF(OR($C418="W",$C418="1/2W",$C418="1/2L"),P419-SUM(O418:O419)+_xlfn.XLOOKUP("X",C418:C420,O418:O420,0),SUM(P418:P419)/2-SUM(O418:O419)+_xlfn.XLOOKUP("X",C418:C420,O418:O420,0)))))))),2))</f>
        <v>0.61</v>
      </c>
      <c r="T418" s="265">
        <f>IF(S418=0,0,S418/SUM(O418:O420))</f>
        <v>0.0668859649122807</v>
      </c>
      <c r="U418" s="266">
        <f>IF($D418=$D415,IF(OR($B418="LOSS",$B418="OK",$B418="Anulada"),S418,0)+U415,IF(OR($B418="LOSS",$B418="OK",$B418="Anulada"),S418,0))</f>
        <v>31.23</v>
      </c>
      <c r="V418" s="266">
        <f>IF($D418="",0,IF($D418=$D415,IF($B418=" ",IF(I420="",IF(OR(AND(I418="DNB1",I419="DNB2"),AND(OR(I418="DNB1",I418="DNB2"),J419=0),AND(OR(I419="DNB1",I419="DNB2"),J418=0),AND(I418="DNB2",I419="DNB1"),AND(IF(J418=0,(J418+1)/ROUND(J418+1,0),J418/ROUND(J418,0))=1,IF(J419=0,(J419+1)/ROUND(IF(J419="",0,J419)+1,0),IF(J419="",0,J419)/ROUND(IF(J419="",1,J419),0))=1,OR(J418&lt;&gt;""),J419&lt;&gt;"")),0,IF(S418&lt;0,IF(I420="",SMALL(P418:P419,1)-SUM(O418:O419),0),SMALL(P418:P419,1)-SUM(O418:O419))),IF(S418&lt;0,IF(I420="",SMALL(P418:P420,1)-SUM(O418:O420),0),LARGE(P418:P420,1)-SUM(O418:O420))),S418)+V415,IF(I420="",IF(OR(AND(I418="DNB1",I419="DNB2"),AND(OR(I418="DNB1",I418="DNB2"),J419=0),AND(OR(I419="DNB1",I419="DNB2"),J418=0),AND(I418="DNB2",I419="DNB1"),AND(IF(J418=0,(J418+1)/ROUND(J418+1,0),J418/ROUND(J418,0))=1,IF(J419=0,(IF(J419="",0,J419)+1)/ROUND(IF(J419="",0,J419)+1,0),IF(J419="",0,J419)/ROUND(IF(J419="",0,J419)+1,0))=1,OR(J418&lt;&gt;""),J419&lt;&gt;"")),0,IF(S418&lt;0,IF(I420="",SMALL(P418:P419,1)-SUM(O418:O419),0),SMALL(P418:P420,1)-SUM(O418:O420))),IF(S418&lt;0,IF(I420="",SMALL(P418:P420,1)-SUM(O418:O420),0),LARGE(P418:P420,1)-SUM(O418:O420)))))</f>
        <v>31.23225</v>
      </c>
      <c r="W418" s="266">
        <f>IF($D418=$D415,IF(S418&lt;0,IF(I420="",S418,0),S418)+W415,S418)</f>
        <v>31.23</v>
      </c>
      <c r="X418" t="s" s="267">
        <f>IF(OR(SUM(R418:R420)=0,V418=W418),ROUND(IF(W418=0,0,W418/Y418)*100,2)&amp;"%",ROUND(IF(V418=0,0,V418/Y418)*100,2)&amp;"% a "&amp;ROUND(IF(W418=0,0,W418/Y418)*100,2)&amp;"%")</f>
        <v>338</v>
      </c>
      <c r="Y418" s="268">
        <f>IF($D418=$D415,Y415+SUM(O418:O420),SUM(O418:O420))</f>
        <v>511.53</v>
      </c>
      <c r="Z418" s="266">
        <f>IF($B418=" ",SUM(O418:O420),0)+Z415</f>
        <v>0</v>
      </c>
      <c r="AA418" s="266">
        <f>IF(G418="","",IF($B418="Anulado",LARGE(P418:P420,1)-SUM(O418:O420)+AA415,AA415))</f>
        <v>22.2257</v>
      </c>
      <c r="AB418" s="266">
        <f>IF($D418="","",AB415+S418)</f>
        <v>282.9</v>
      </c>
      <c r="AC418" s="269">
        <f>IF($D418="","",IF($B418=" ",IF(DAY(G418)=DAY(TODAY()),1+AC415,0+AC415),0+AC415))</f>
        <v>0</v>
      </c>
      <c r="AD418" s="270">
        <f>(1-_xlfn.XLOOKUP(K416,'Janeiro 2023 - Valor Real'!A3:A15,'Janeiro 2023 - Valor Real'!C3:C15,0))+1</f>
        <v>2</v>
      </c>
      <c r="AE418" s="271">
        <f>IF(L418="","",IF(L420&gt;0,(SUM(((L418-1)*(1-_xlfn.XLOOKUP(K418,'Janeiro 2023 - Valor Real'!A3:A15,'Janeiro 2023 - Valor Real'!C3:C15,0))+1),((L419-1)*(1-_xlfn.XLOOKUP(K419,'Janeiro 2023 - Valor Real'!A3:A15,'Janeiro 2023 - Valor Real'!C3:C15,0))+1),((L420-1)*(1-_xlfn.XLOOKUP(K420,'Janeiro 2023 - Valor Real'!A3:A15,'Janeiro 2023 - Valor Real'!C3:C15,0))+1))/((L418-1)*(1-_xlfn.XLOOKUP(K418,'Janeiro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Real'!C3:C15,0))+1))/((L418-1)*(1-_xlfn.XLOOKUP(K418,'Janeiro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Real'!C3:C15,0))+1))/((L419-1)*(1-_xlfn.XLOOKUP(K419,'Janeiro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Real'!C3:C15,0))+1))/((L420-1)*(1-_xlfn.XLOOKUP(K420,'Janeiro 2023 - Valor Real'!A3:A15,'Janeiro 2023 - Valor Real'!C3:C15,0))+1)),IF(I418="Lay",IF(I419="Lay",((L419/(L419-1)-1)*(1-_xlfn.XLOOKUP(K419,'Janeiro 2023 - Valor Real'!A3:A15,'Janeiro 2023 - Valor Real'!C3:C15,0))+1)/(((L419/(L419-1)-1)*(1-_xlfn.XLOOKUP(K419,'Janeiro 2023 - Valor Real'!A3:A15,'Janeiro 2023 - Valor Real'!C3:C15,0))+1)+((L418/(L418-1)-1)*(1-_xlfn.XLOOKUP(K418,'Janeiro 2023 - Valor Real'!A3:A15,'Janeiro 2023 - Valor Real'!C3:C15,0))+1)),((L419-1)*(1-_xlfn.XLOOKUP(K419,'Janeiro 2023 - Valor Real'!A3:A15,'Janeiro 2023 - Valor Real'!C3:C15,0))+1)/(((L419-1)*(1-_xlfn.XLOOKUP(K419,'Janeiro 2023 - Valor Real'!A3:A15,'Janeiro 2023 - Valor Real'!C3:C15,0))+1)+((L418/(L418-1)-1)*(1-_xlfn.XLOOKUP(K418,'Janeiro 2023 - Valor Real'!A3:A15,'Janeiro 2023 - Valor Real'!C3:C15,0))+1))),IF(I419="Lay",(((L419/(L419-1)-1)*(1-_xlfn.XLOOKUP(K419,'Janeiro 2023 - Valor Real'!A3:A15,'Janeiro 2023 - Valor Real'!C3:C15,0))+1))/(((L418-1)*(1-_xlfn.XLOOKUP(K418,'Janeiro 2023 - Valor Real'!A3:A15,'Janeiro 2023 - Valor Real'!C3:C15,0))+1)+((L419/(L419-1)-1)*(1-_xlfn.XLOOKUP(K419,'Janeiro 2023 - Valor Real'!A3:A15,'Janeiro 2023 - Valor Real'!C3:C15,0))+1)),((L419-1)*(1-_xlfn.XLOOKUP(K419,'Janeiro 2023 - Valor Real'!A3:A15,'Janeiro 2023 - Valor Real'!C3:C15,0))+1)/(((L419-1)*(1-_xlfn.XLOOKUP(K419,'Janeiro 2023 - Valor Real'!A3:A15,'Janeiro 2023 - Valor Real'!C3:C15,0))+1)+((L418-1)*(1-_xlfn.XLOOKUP(K418,'Janeiro 2023 - Valor Real'!A3:A15,'Janeiro 2023 - Valor Real'!C3:C15,0))+1))))))</f>
        <v>0.573394495412844</v>
      </c>
      <c r="AF418" s="132">
        <f>IF($K418=AF$3,ROUND(IF(OR($C418="W",$C418="1/2W",$C418="1/2L"),$P418-$O418,IF($C418="X",0,-$O418)),2),0)</f>
        <v>0</v>
      </c>
      <c r="AG418" s="133">
        <f>IF($K418=AG$3,ROUND(IF(OR($C418="W",$C418="1/2W",$C418="1/2L"),$P418-$O418,IF($C418="X",0,-$O418)),2),0)</f>
        <v>0</v>
      </c>
      <c r="AH418" s="133">
        <f>IF($K418=AH$3,ROUND(IF(OR($C418="W",$C418="1/2W",$C418="1/2L"),$P418-$O418,IF($C418="X",0,-$O418)),2),0)</f>
        <v>0</v>
      </c>
      <c r="AI418" s="133">
        <f>IF($K418=AI$3,ROUND(IF(OR($C418="W",$C418="1/2W",$C418="1/2L"),$P418-$O418,IF($C418="X",0,-$O418)),2),0)</f>
        <v>0</v>
      </c>
      <c r="AJ418" s="133">
        <f>IF($K418=AJ$3,ROUND(IF(OR($C418="W",$C418="1/2W",$C418="1/2L"),$P418-$O418,IF($C418="X",0,-$O418)),2),0)</f>
        <v>4.5</v>
      </c>
      <c r="AK418" s="133">
        <f>IF($K418=AK$3,ROUND(IF(OR($C418="W",$C418="1/2W",$C418="1/2L"),$P418-$O418,IF($C418="X",0,-$O418)),2),0)</f>
        <v>0</v>
      </c>
      <c r="AL418" s="133">
        <f>IF($K418=AL$3,ROUND(IF(OR($C418="W",$C418="1/2W",$C418="1/2L"),$P418-$O418,IF($C418="X",0,-$O418)),2),0)</f>
        <v>0</v>
      </c>
      <c r="AM418" s="133">
        <f>IF($K418=AM$3,ROUND(IF(OR($C418="W",$C418="1/2W",$C418="1/2L"),$P418-$O418,IF($C418="X",0,-$O418)),2),0)</f>
        <v>0</v>
      </c>
      <c r="AN418" s="133">
        <f>IF($K418=AN$3,ROUND(IF(OR($C418="W",$C418="1/2W",$C418="1/2L"),$P418-$O418,IF($C418="X",0,-$O418)),2),0)</f>
        <v>0</v>
      </c>
      <c r="AO418" s="133">
        <f>IF($K418=AO$3,ROUND(IF(OR($C418="W",$C418="1/2W",$C418="1/2L"),$P418-$O418,IF($C418="X",0,-$O418)),2),0)</f>
        <v>0</v>
      </c>
      <c r="AP418" s="133">
        <f>IF($K418=AP$3,ROUND(IF(OR($C418="W",$C418="1/2W",$C418="1/2L"),$P418-$O418,IF($C418="X",0,-$O418)),2),0)</f>
        <v>0</v>
      </c>
      <c r="AQ418" s="133">
        <f>IF($K418=AQ$3,ROUND(IF(OR($C418="W",$C418="1/2W",$C418="1/2L"),$P418-$O418,IF($C418="X",0,-$O418)),2),0)</f>
        <v>0</v>
      </c>
      <c r="AR418" s="134">
        <f>IF($K418=AR$3,ROUND(IF(OR($C418="W",$C418="1/2W",$C418="1/2L"),$P418-$O418,IF($C418="X",0,-$O418)),2),0)</f>
        <v>0</v>
      </c>
      <c r="AS418" s="132">
        <f>IF(AND($B418=" ",$K418=AS$3),$O418,0)</f>
        <v>0</v>
      </c>
      <c r="AT418" s="133">
        <f>IF(AND($B418=" ",$K418=AT$3),$O418,0)</f>
        <v>0</v>
      </c>
      <c r="AU418" s="133">
        <f>IF(AND($B418=" ",$K418=AU$3),$O418,0)</f>
        <v>0</v>
      </c>
      <c r="AV418" s="133">
        <f>IF(AND($B418=" ",$K418=AV$3),$O418,0)</f>
        <v>0</v>
      </c>
      <c r="AW418" s="133">
        <f>IF(AND($B418=" ",$K418=AW$3),$O418,0)</f>
        <v>0</v>
      </c>
      <c r="AX418" s="133">
        <f>IF(AND($B418=" ",$K418=AX$3),$O418,0)</f>
        <v>0</v>
      </c>
      <c r="AY418" s="135">
        <f>IF(AND($B418=" ",$K418=AY$3),$O418,0)</f>
        <v>0</v>
      </c>
      <c r="AZ418" s="136">
        <f>IF(AND($B418=" ",$K418=AZ$3),$O418,0)</f>
        <v>0</v>
      </c>
      <c r="BA418" s="136">
        <f>IF(AND($B418=" ",$K418=BA$3),$O418,0)</f>
        <v>0</v>
      </c>
      <c r="BB418" s="136">
        <f>IF(AND($B418=" ",$K418=BB$3),$O418,0)</f>
        <v>0</v>
      </c>
      <c r="BC418" s="137">
        <f>IF(AND($B418=" ",$K418=BC$3),$O418,0)</f>
        <v>0</v>
      </c>
      <c r="BD418" s="133">
        <f>IF(AND($B418=" ",$K418=BD$3),$O418,0)</f>
        <v>0</v>
      </c>
      <c r="BE418" s="134">
        <f>IF(AND($B418=" ",$K418=BE$3),$O418,0)</f>
        <v>0</v>
      </c>
      <c r="BF418" s="132">
        <f>IF($K418=BF$3,IF($C418="X",0,$O418),0)</f>
        <v>0</v>
      </c>
      <c r="BG418" s="133">
        <f>IF($K418=BG$3,IF($C418="X",0,$O418),0)</f>
        <v>0</v>
      </c>
      <c r="BH418" s="133">
        <f>IF($K418=BH$3,IF($C418="X",0,$O418),0)</f>
        <v>0</v>
      </c>
      <c r="BI418" s="133">
        <f>IF($K418=BI$3,IF($C418="X",0,$O418),0)</f>
        <v>0</v>
      </c>
      <c r="BJ418" s="133">
        <f>IF($K418=BJ$3,IF($C418="X",0,$O418),0)</f>
        <v>5.23</v>
      </c>
      <c r="BK418" s="133">
        <f>IF($K418=BK$3,IF($C418="X",0,$O418),0)</f>
        <v>0</v>
      </c>
      <c r="BL418" s="133">
        <f>IF($K418=BL$3,IF($C418="X",0,$O418),0)</f>
        <v>0</v>
      </c>
      <c r="BM418" s="135">
        <f>IF($K418=BM$3,IF($C418="X",0,$O418),0)</f>
        <v>0</v>
      </c>
      <c r="BN418" s="136">
        <f>IF($K418=BN$3,IF($C418="X",0,$O418),0)</f>
        <v>0</v>
      </c>
      <c r="BO418" s="136">
        <f>IF($K418=BO$3,IF($C418="X",0,$O418),0)</f>
        <v>0</v>
      </c>
      <c r="BP418" s="136">
        <f>IF($K418=BP$3,IF($C418="X",0,$O418),0)</f>
        <v>0</v>
      </c>
      <c r="BQ418" s="137">
        <f>IF($K418=BQ$3,IF($C418="X",0,$O418),0)</f>
        <v>0</v>
      </c>
      <c r="BR418" s="134">
        <f>IF($K418=BR$3,IF($C418="X",0,$O418),0)</f>
        <v>0</v>
      </c>
      <c r="BS418" s="170">
        <f>IF($B418="LOSS",IF(AND($K418=BS$3,$C418="L"),-$O418,0)+IF(AND($K419=BS$3,$C419="L"),-$O419,0)+IF(AND($K420=BS$3,$C420="L"),-$O420,0),IF(OR(AND($K418=BS$3,OR($C418="W",$C418="1/2W")),AND($K419=BS$3,OR($C419="W",$C419="1/2W")),AND($K420=BS$3,OR($C420="W",$C420="1/2W"))),$S418,0))</f>
        <v>0</v>
      </c>
      <c r="BT418" s="272">
        <f>IF($B418="LOSS",IF(AND($K418=BT$3,$C418="L"),-$O418,0)+IF(AND($K419=BT$3,$C419="L"),-$O419,0)+IF(AND($K419=BT$3,$C420="L"),-$O420,0),IF(OR(AND($K419=BT$3,OR($C418="W",$C418="1/2W")),AND($K419=BT$3,OR($C419="W",$C419="1/2W")),AND($K419=BT$3,OR($C420="W",$C420="1/2W"))),$S418,0))</f>
        <v>0.61</v>
      </c>
      <c r="BU418" s="136">
        <f>IF($B418="LOSS",IF(AND($K418=BU$3,$C418="L"),-$O418,0)+IF(AND($K419=BU$3,$C419="L"),-$O419,0)+IF(AND($K419=BU$3,$C420="L"),-$O420,0),IF(OR(AND($K419=BU$3,OR($C418="W",$C418="1/2W")),AND($K419=BU$3,OR($C419="W",$C419="1/2W")),AND($K419=BU$3,OR($C420="W",$C420="1/2W"))),$S418,0))</f>
        <v>0</v>
      </c>
      <c r="BV418" s="136">
        <f>IF($B418="LOSS",IF(AND($K418=BV$3,$C418="L"),-$O418,0)+IF(AND($K419=BV$3,$C419="L"),-$O419,0)+IF(AND($K420=BV$3,$C420="L"),-$O420,0),IF(OR(AND($K418=BV$3,OR($C418="W",$C418="1/2W")),AND($K419=BV$3,OR($C419="W",$C419="1/2W")),AND($K420=BV$3,OR($C420="W",$C420="1/2W"))),$S418,0))</f>
        <v>0</v>
      </c>
      <c r="BW418" s="136">
        <f>IF($B418="LOSS",IF(AND($K418=BW$3,$C418="L"),-$O418,0)+IF(AND($K419=BW$3,$C419="L"),-$O419,0)+IF(AND($K420=BW$3,$C420="L"),-$O420,0),IF(OR(AND($K418=BW$3,OR($C418="W",$C418="1/2W")),AND($K419=BW$3,OR($C419="W",$C419="1/2W")),AND($K420=BW$3,OR($C420="W",$C420="1/2W"))),$S418,0))</f>
        <v>0.61</v>
      </c>
      <c r="BX418" s="136">
        <f>IF($B418="LOSS",IF(AND($K418=BX$3,$C418="L"),-$O418,0)+IF(AND($K419=BX$3,$C419="L"),-$O419,0)+IF(AND($K420=BX$3,$C420="L"),-$O420,0),IF(OR(AND($K418=BX$3,OR($C418="W",$C418="1/2W")),AND($K419=BX$3,OR($C419="W",$C419="1/2W")),AND($K420=BX$3,OR($C420="W",$C420="1/2W"))),$S418,0))</f>
        <v>0</v>
      </c>
      <c r="BY418" s="136">
        <f>IF($B418="LOSS",IF(AND($K418=BY$3,$C418="L"),-$O418,0)+IF(AND($K419=BY$3,$C419="L"),-$O419,0)+IF(AND($K420=BY$3,$C420="L"),-$O420,0),IF(OR(AND($K418=BY$3,OR($C418="W",$C418="1/2W")),AND($K419=BY$3,OR($C419="W",$C419="1/2W")),AND($K420=BY$3,OR($C420="W",$C420="1/2W"))),$S418,0))</f>
        <v>0</v>
      </c>
      <c r="BZ418" s="136">
        <f>IF($B418="LOSS",IF(AND($K418=BZ$3,$C418="L"),-$O418,0)+IF(AND($K419=BZ$3,$C419="L"),-$O419,0)+IF(AND($K420=BZ$3,$C420="L"),-$O420,0),IF(OR(AND($K418=BZ$3,OR($C418="W",$C418="1/2W")),AND($K419=BZ$3,OR($C419="W",$C419="1/2W")),AND($K420=BZ$3,OR($C420="W",$C420="1/2W"))),$S418,0))</f>
        <v>0</v>
      </c>
      <c r="CA418" s="136">
        <f>IF($B418="LOSS",IF(AND($K418=CA$3,$C418="L"),-$O418,0)+IF(AND($K419=CA$3,$C419="L"),-$O419,0)+IF(AND($K420=CA$3,$C420="L"),-$O420,0),IF(OR(AND($K418=CA$3,OR($C418="W",$C418="1/2W")),AND($K419=CA$3,OR($C419="W",$C419="1/2W")),AND($K420=CA$3,OR($C420="W",$C420="1/2W"))),$S418,0))</f>
        <v>0</v>
      </c>
      <c r="CB418" s="136">
        <f>IF($B418="LOSS",IF(AND($K418=CB$3,$C418="L"),-$O418,0)+IF(AND($K419=CB$3,$C419="L"),-$O419,0)+IF(AND($K420=CB$3,$C420="L"),-$O420,0),IF(OR(AND($K418=CB$3,OR($C418="W",$C418="1/2W")),AND($K419=CB$3,OR($C419="W",$C419="1/2W")),AND($K420=CB$3,OR($C420="W",$C420="1/2W"))),$S418,0))</f>
        <v>0</v>
      </c>
      <c r="CC418" s="136">
        <f>IF($B418="LOSS",IF(AND($K418=CC$3,$C418="L"),-$O418,0)+IF(AND($K419=CC$3,$C419="L"),-$O419,0)+IF(AND($K420=CC$3,$C420="L"),-$O420,0),IF(OR(AND($K418=CC$3,OR($C418="W",$C418="1/2W")),AND($K419=CC$3,OR($C419="W",$C419="1/2W")),AND($K420=CC$3,OR($C420="W",$C420="1/2W"))),$S418,0))</f>
        <v>0</v>
      </c>
      <c r="CD418" s="137">
        <f>IF($B418="LOSS",IF(AND($K418=CD$3,$C418="L"),-$O418,0)+IF(AND($K419=CD$3,$C419="L"),-$O419,0)+IF(AND($K420=CD$3,$C420="L"),-$O420,0),IF(OR(AND($K418=CD$3,OR($C418="W",$C418="1/2W")),AND($K419=CD$3,OR($C419="W",$C419="1/2W")),AND($K420=CD$3,OR($C420="W",$C420="1/2W"))),$S418,0))</f>
        <v>0</v>
      </c>
      <c r="CE418" s="134">
        <f>IF($B418="LOSS",IF(AND($K418=CE$3,$C418="L"),-$O418,0)+IF(AND($K419=CE$3,$C419="L"),-$O419,0)+IF(AND($K420=CE$3,$C420="L"),-$O420,0),IF(OR(AND($K418=CE$3,OR($C418="W",$C418="1/2W")),AND($K419=CE$3,OR($C419="W",$C419="1/2W")),AND($K420=CE$3,OR($C420="W",$C420="1/2W"))),$S418,0))</f>
        <v>0</v>
      </c>
      <c r="CF418" s="273">
        <f>IF(CF$3=$K418,IF($C418="W",1,IF($C418="1/2W",0.5,0)),0)</f>
        <v>0</v>
      </c>
      <c r="CG418" s="274">
        <f>IF(CF$3=$K418,IF($C418="L",1,IF($C418="1/2L",0.5,0)),0)</f>
        <v>0</v>
      </c>
      <c r="CH418" s="274">
        <f>IF(CH$3=$K418,IF($C418="W",1,IF($C418="1/2W",0.5,0)),0)</f>
        <v>0</v>
      </c>
      <c r="CI418" s="274">
        <f>IF(CH$3=$K418,IF($C418="L",1,IF($C418="1/2L",0.5,0)),0)</f>
        <v>0</v>
      </c>
      <c r="CJ418" s="274">
        <f>IF(CJ$3=$K418,IF($C418="W",1,IF($C418="1/2W",0.5,0)),0)</f>
        <v>0</v>
      </c>
      <c r="CK418" s="274">
        <f>IF(CJ$3=$K418,IF($C418="L",1,IF($C418="1/2L",0.5,0)),0)</f>
        <v>0</v>
      </c>
      <c r="CL418" s="274">
        <f>IF(CL$3=$K418,IF($C418="W",1,IF($C418="1/2W",0.5,0)),0)</f>
        <v>0</v>
      </c>
      <c r="CM418" s="274">
        <f>IF(CL$3=$K418,IF($C418="L",1,IF($C418="1/2L",0.5,0)),0)</f>
        <v>0</v>
      </c>
      <c r="CN418" s="274">
        <f>IF(CN$3=$K418,IF($C418="W",1,IF($C418="1/2W",0.5,0)),0)</f>
        <v>1</v>
      </c>
      <c r="CO418" s="274">
        <f>IF(CN$3=$K418,IF($C418="L",1,IF($C418="1/2L",0.5,0)),0)</f>
        <v>0</v>
      </c>
      <c r="CP418" s="274">
        <f>IF(CP$3=$K418,IF($C418="W",1,IF($C418="1/2W",0.5,0)),0)</f>
        <v>0</v>
      </c>
      <c r="CQ418" s="274">
        <f>IF(CP$3=$K418,IF($C418="L",1,IF($C418="1/2L",0.5,0)),0)</f>
        <v>0</v>
      </c>
      <c r="CR418" s="274">
        <f>IF(CR$3=$K418,IF($C418="W",1,IF($C418="1/2W",0.5,0)),0)</f>
        <v>0</v>
      </c>
      <c r="CS418" s="274">
        <f>IF(CR$3=$K418,IF($C418="L",1,IF($C418="1/2L",0.5,0)),0)</f>
        <v>0</v>
      </c>
      <c r="CT418" s="145">
        <f>IF(CT$3=$K418,IF($C418="W",1,IF($C418="1/2W",0.5,0)),0)</f>
        <v>0</v>
      </c>
      <c r="CU418" s="146">
        <f>IF(CT$3=$K418,IF($C418="L",1,IF($C418="1/2L",0.5,0)),0)</f>
        <v>0</v>
      </c>
      <c r="CV418" s="146">
        <f>IF(CV$3=$K418,IF($C418="W",1,IF($C418="1/2W",0.5,0)),0)</f>
        <v>0</v>
      </c>
      <c r="CW418" s="146">
        <f>IF(CV$3=$K418,IF($C418="L",1,IF($C418="1/2L",0.5,0)),0)</f>
        <v>0</v>
      </c>
      <c r="CX418" s="146">
        <f>IF(CX$3=$K418,IF($C418="W",1,IF($C418="1/2W",0.5,0)),0)</f>
        <v>0</v>
      </c>
      <c r="CY418" s="146">
        <f>IF(CX$3=$K418,IF($C418="L",1,IF($C418="1/2L",0.5,0)),0)</f>
        <v>0</v>
      </c>
      <c r="CZ418" s="146">
        <f>IF(CZ$3=$K418,IF($C418="W",1,IF($C418="1/2W",0.5,0)),0)</f>
        <v>0</v>
      </c>
      <c r="DA418" s="146">
        <f>IF(CZ$3=$K418,IF($C418="L",1,IF($C418="1/2L",0.5,0)),0)</f>
        <v>0</v>
      </c>
      <c r="DB418" s="146">
        <f>IF(DB$3=$K418,IF($C418="W",1,IF($C418="1/2W",0.5,0)),0)</f>
        <v>0</v>
      </c>
      <c r="DC418" s="146">
        <f>IF(DB$3=$K418,IF($C418="L",1,IF($C418="1/2L",0.5,0)),0)</f>
        <v>0</v>
      </c>
      <c r="DD418" s="146">
        <f>IF(DD$3=$K418,IF($C418="W",1,IF($C418="1/2W",0.5,0)),0)</f>
        <v>0</v>
      </c>
      <c r="DE418" s="147">
        <f>IF(DD$3=$K418,IF($C418="L",1,IF($C418="1/2L",0.5,0)),0)</f>
        <v>0</v>
      </c>
      <c r="DF418" s="143">
        <f>IF(AND(L418&lt;DF$3,$C418="W"),1+DF417,DF417)</f>
        <v>14</v>
      </c>
      <c r="DG418" s="133">
        <f>IF(DF418&gt;DF417,L418+DG417,DG417)</f>
        <v>18.548</v>
      </c>
      <c r="DH418" s="146">
        <f>IF(AND(L418&gt;DH$3,$C418="W"),1+DH417,0+DH417)</f>
        <v>10</v>
      </c>
      <c r="DI418" s="133">
        <f>IF(DH418&gt;DH417,L418+DI417,DI417)</f>
        <v>55.13</v>
      </c>
      <c r="DJ418" t="s" s="304">
        <f>IF($D418="","",$D418)</f>
        <v>307</v>
      </c>
      <c r="DK418" s="146">
        <f>IF(AND($B418=" ",$D418&lt;&gt;""),1,0)</f>
        <v>0</v>
      </c>
    </row>
    <row r="419" ht="14.55" customHeight="1">
      <c r="A419" s="107"/>
      <c r="B419" s="108"/>
      <c r="C419" t="s" s="109">
        <v>51</v>
      </c>
      <c r="D419" s="110"/>
      <c r="E419" s="111"/>
      <c r="F419" s="113"/>
      <c r="G419" s="252"/>
      <c r="H419" s="114"/>
      <c r="I419" t="s" s="275">
        <v>67</v>
      </c>
      <c r="J419" s="276">
        <f>IF(OR(I418="TO",I418="TU",I418="TO1",I418="TU1",I418="TO2",I418="TU2"),J418,IF(OR(I418="AH1",I418="AH2"),IF(OR(I419="AH1",I419="AH2"),-J418,IF(OR(I419="EH1",I419="EH2"),-J418+0.5,"")),IF(OR(I418="EH1",I418="EH2"),IF(OR(I419="AH1",I419="AH2"),-J418+0.5,IF(OR(I419="EH1",I419="EH2"),-J418+1,"")),IF(AND(OR(I418="DNB1",I418="DNB2"),OR(I419="AH1",I419="AH2")),0,IF(AND(I418="Not ScoreBoth",OR(I419="TO1",I419="TO2")),0.5,"")))))</f>
        <v>58.5</v>
      </c>
      <c r="K419" t="s" s="117">
        <v>38</v>
      </c>
      <c r="L419" s="277">
        <v>2.5</v>
      </c>
      <c r="M419" s="278"/>
      <c r="N419" s="120"/>
      <c r="O419" s="121">
        <f>IF(OR(AE418="",AE419=""),"",ROUND(IF(L420&gt;0,IF(M419&gt;0,M419,IF(M418&gt;0,IF(N418=TRUE,ROUND((M418*AE419)/AE418,0),(M418*AE419)/AE418),IF(M419&gt;0,ROUND(M419,IF(N418=0,2,IF(N418=0.1,1,0))),IF(M420&gt;0,ROUND(O420*AE419/AE420,IF(N418=0,2,IF(N418=0.1,1,0))),0)))),IF(M419&gt;0,M419,ROUND((M418*AE419)/AE418,IF(N418=0,2,IF(N418=0.1,1,0))))),2))</f>
        <v>3.89</v>
      </c>
      <c r="P419" s="122">
        <f>IF(OR(L419="",O419=""),"",IF($C419="1/2W",O419/2+O419/2*L419,IF($C419="1/2L",O419/2,IF(I419="Lay",((O419*(L419/(L419-1)))-O419)*(1-_xlfn.XLOOKUP(K419,'Janeiro 2023 - Valor Real'!A3:A15,'Janeiro 2023 - Valor Real'!C3:C15,0))+O419,(O419*L419-O419)*(1-_xlfn.XLOOKUP(K419,'Janeiro 2023 - Valor Real'!A3:A15,'Janeiro 2023 - Valor Real'!C3:C15,0))+O419))))</f>
        <v>9.725</v>
      </c>
      <c r="Q419" s="279">
        <f>IF(K419="","",IF(_xlfn.XLOOKUP(K419,K$108:K186,DJ$108:DJ186,0,,-1)=DJ419,_xlfn.XLOOKUP(K419,K$108:K186,Q$108:Q186,1,,-1)+1,1))</f>
        <v>1</v>
      </c>
      <c r="R419" s="280">
        <f>IF(K419="","",_xlfn.XLOOKUP(K419,K$108:K186,R$108:R186,0,,-1)+IF($C419=" ",1,0))</f>
        <v>0</v>
      </c>
      <c r="S419" s="125"/>
      <c r="T419" s="126"/>
      <c r="U419" s="126"/>
      <c r="V419" s="224"/>
      <c r="W419" s="126"/>
      <c r="X419" s="127"/>
      <c r="Y419" s="128"/>
      <c r="Z419" s="129"/>
      <c r="AA419" s="129"/>
      <c r="AB419" s="129"/>
      <c r="AC419" s="129"/>
      <c r="AD419" s="130"/>
      <c r="AE419" s="131">
        <f>IF(L419="","",IF(L420&gt;0,(SUM(((L418-1)*(1-_xlfn.XLOOKUP(K418,'Janeiro 2023 - Valor Real'!A3:A15,'Janeiro 2023 - Valor Real'!C3:C15,0))+1),((L419-1)*(1-_xlfn.XLOOKUP(K419,'Janeiro 2023 - Valor Real'!A3:A15,'Janeiro 2023 - Valor Real'!C3:C15,0))+1),((L420-1)*(1-_xlfn.XLOOKUP(K420,'Janeiro 2023 - Valor Real'!A3:A15,'Janeiro 2023 - Valor Real'!C3:C15,0))+1))/((L419-1)*(1-_xlfn.XLOOKUP(K419,'Janeiro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Real'!C3:C15,0))+1))/((L418-1)*(1-_xlfn.XLOOKUP(K418,'Janeiro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Real'!C3:C15,0))+1))/((L419-1)*(1-_xlfn.XLOOKUP(K419,'Janeiro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Real'!C3:C15,0))+1))/((L420-1)*(1-_xlfn.XLOOKUP(K420,'Janeiro 2023 - Valor Real'!A3:A15,'Janeiro 2023 - Valor Real'!C3:C15,0))+1)),IF(I419="Lay",IF(I418="Lay",((L418/(L418-1)-1)*(1-_xlfn.XLOOKUP(K418,'Janeiro 2023 - Valor Real'!A3:A15,'Janeiro 2023 - Valor Real'!C3:C15,0))+1)/(((L418/(L418-1)-1)*(1-_xlfn.XLOOKUP(K418,'Janeiro 2023 - Valor Real'!A3:A15,'Janeiro 2023 - Valor Real'!C3:C15,0))+1)+((L419/(L419-1)-1)*(1-_xlfn.XLOOKUP(K419,'Janeiro 2023 - Valor Real'!A3:A15,'Janeiro 2023 - Valor Real'!C3:C15,0))+1)),((L418-1)*(1-_xlfn.XLOOKUP(K418,'Janeiro 2023 - Valor Real'!A3:A15,'Janeiro 2023 - Valor Real'!C3:C15,0))+1)/(((L418-1)*(1-_xlfn.XLOOKUP(K418,'Janeiro 2023 - Valor Real'!A3:A15,'Janeiro 2023 - Valor Real'!C3:C15,0))+1)+((L419/(L419-1)-1)*(1-_xlfn.XLOOKUP(K419,'Janeiro 2023 - Valor Real'!A3:A15,'Janeiro 2023 - Valor Real'!C3:C15,0))+1))),IF(I418="Lay",((L418/(L418-1)-1)*(1-_xlfn.XLOOKUP(K418,'Janeiro 2023 - Valor Real'!A3:A15,'Janeiro 2023 - Valor Real'!C3:C15,0))+1)/((((L418/(L418-1)-1)*(1-_xlfn.XLOOKUP(K418,'Janeiro 2023 - Valor Real'!A3:A15,'Janeiro 2023 - Valor Real'!C3:C15,0))+1))+((L419-1)*(1-_xlfn.XLOOKUP(K419,'Janeiro 2023 - Valor Real'!A3:A15,'Janeiro 2023 - Valor Real'!C3:C15,0))+1)),((L418-1)*(1-_xlfn.XLOOKUP(K418,'Janeiro 2023 - Valor Real'!A3:A15,'Janeiro 2023 - Valor Real'!C3:C15,0))+1)/(((L418-1)*(1-_xlfn.XLOOKUP(K418,'Janeiro 2023 - Valor Real'!A3:A15,'Janeiro 2023 - Valor Real'!C3:C15,0))+1)+((L419-1)*(1-_xlfn.XLOOKUP(K419,'Janeiro 2023 - Valor Real'!A3:A15,'Janeiro 2023 - Valor Real'!C3:C15,0))+1))))))</f>
        <v>0.426605504587156</v>
      </c>
      <c r="AF419" s="132">
        <f>IF($K419=AF$3,ROUND(IF(OR($C419="W",$C419="1/2W",$C419="1/2L"),$P419-$O419,IF($C419="X",0,-$O419)),2),0)</f>
        <v>0</v>
      </c>
      <c r="AG419" s="133">
        <f>IF($K419=AG$3,ROUND(IF(OR($C419="W",$C419="1/2W",$C419="1/2L"),$P419-$O419,IF($C419="X",0,-$O419)),2),0)</f>
        <v>-3.89</v>
      </c>
      <c r="AH419" s="133">
        <f>IF($K419=AH$3,ROUND(IF(OR($C419="W",$C419="1/2W",$C419="1/2L"),$P419-$O419,IF($C419="X",0,-$O419)),2),0)</f>
        <v>0</v>
      </c>
      <c r="AI419" s="133">
        <f>IF($K419=AI$3,ROUND(IF(OR($C419="W",$C419="1/2W",$C419="1/2L"),$P419-$O419,IF($C419="X",0,-$O419)),2),0)</f>
        <v>0</v>
      </c>
      <c r="AJ419" s="133">
        <f>IF($K419=AJ$3,ROUND(IF(OR($C419="W",$C419="1/2W",$C419="1/2L"),$P419-$O419,IF($C419="X",0,-$O419)),2),0)</f>
        <v>0</v>
      </c>
      <c r="AK419" s="133">
        <f>IF($K419=AK$3,ROUND(IF(OR($C419="W",$C419="1/2W",$C419="1/2L"),$P419-$O419,IF($C419="X",0,-$O419)),2),0)</f>
        <v>0</v>
      </c>
      <c r="AL419" s="133">
        <f>IF($K419=AL$3,ROUND(IF(OR($C419="W",$C419="1/2W",$C419="1/2L"),$P419-$O419,IF($C419="X",0,-$O419)),2),0)</f>
        <v>0</v>
      </c>
      <c r="AM419" s="133">
        <f>IF($K419=AM$3,ROUND(IF(OR($C419="W",$C419="1/2W",$C419="1/2L"),$P419-$O419,IF($C419="X",0,-$O419)),2),0)</f>
        <v>0</v>
      </c>
      <c r="AN419" s="133">
        <f>IF($K419=AN$3,ROUND(IF(OR($C419="W",$C419="1/2W",$C419="1/2L"),$P419-$O419,IF($C419="X",0,-$O419)),2),0)</f>
        <v>0</v>
      </c>
      <c r="AO419" s="133">
        <f>IF($K419=AO$3,ROUND(IF(OR($C419="W",$C419="1/2W",$C419="1/2L"),$P419-$O419,IF($C419="X",0,-$O419)),2),0)</f>
        <v>0</v>
      </c>
      <c r="AP419" s="133">
        <f>IF($K419=AP$3,ROUND(IF(OR($C419="W",$C419="1/2W",$C419="1/2L"),$P419-$O419,IF($C419="X",0,-$O419)),2),0)</f>
        <v>0</v>
      </c>
      <c r="AQ419" s="133">
        <f>IF($K419=AQ$3,ROUND(IF(OR($C419="W",$C419="1/2W",$C419="1/2L"),$P419-$O419,IF($C419="X",0,-$O419)),2),0)</f>
        <v>0</v>
      </c>
      <c r="AR419" s="134">
        <f>IF($K419=AR$3,ROUND(IF(OR($C419="W",$C419="1/2W",$C419="1/2L"),$P419-$O419,IF($C419="X",0,-$O419)),2),0)</f>
        <v>0</v>
      </c>
      <c r="AS419" s="132">
        <f>IF(AND($B418=" ",$K419=AS$3),$O419,0)</f>
        <v>0</v>
      </c>
      <c r="AT419" s="133">
        <f>IF(AND($B418=" ",K419=AT$3),$O419,0)</f>
        <v>0</v>
      </c>
      <c r="AU419" s="133">
        <f>IF(AND($B418=" ",$K419=AU$3),$O419,0)</f>
        <v>0</v>
      </c>
      <c r="AV419" s="133">
        <f>IF(AND($B418=" ",$K419=AV$3),$O419,0)</f>
        <v>0</v>
      </c>
      <c r="AW419" s="133">
        <f>IF(AND($B418=" ",$K419=AW$3),$O419,0)</f>
        <v>0</v>
      </c>
      <c r="AX419" s="133">
        <f>IF(AND($B418=" ",$K419=AX$3),$O419,0)</f>
        <v>0</v>
      </c>
      <c r="AY419" s="135">
        <f>IF(AND($B418=" ",$K419=AY$3),$O419,0)</f>
        <v>0</v>
      </c>
      <c r="AZ419" s="136">
        <f>IF(AND($B418=" ",$K419=AZ$3),$O419,0)</f>
        <v>0</v>
      </c>
      <c r="BA419" s="136">
        <f>IF(AND($B418=" ",$K419=BA$3),$O419,0)</f>
        <v>0</v>
      </c>
      <c r="BB419" s="136">
        <f>IF(AND($B418=" ",$K419=BB$3),$O419,0)</f>
        <v>0</v>
      </c>
      <c r="BC419" s="137">
        <f>IF(AND($B418=" ",$K419=BC$3),$O419,0)</f>
        <v>0</v>
      </c>
      <c r="BD419" s="133">
        <f>IF(AND($B418=" ",$K419=BD$3),$O419,0)</f>
        <v>0</v>
      </c>
      <c r="BE419" s="134">
        <f>IF(AND($B418=" ",$K419=BE$3),$O419,0)</f>
        <v>0</v>
      </c>
      <c r="BF419" s="132">
        <f>IF($K419=BF$3,IF($C419="X",0,$O419),0)</f>
        <v>0</v>
      </c>
      <c r="BG419" s="281">
        <f>IF($K419=BG$3,IF($C419="X",0,$O419),0)</f>
        <v>3.89</v>
      </c>
      <c r="BH419" s="133">
        <f>IF($K419=BH$3,IF($C419="X",0,$O419),0)</f>
        <v>0</v>
      </c>
      <c r="BI419" s="133">
        <f>IF($K419=BI$3,IF($C419="X",0,$O419),0)</f>
        <v>0</v>
      </c>
      <c r="BJ419" s="133">
        <f>IF($K419=BJ$3,IF($C419="X",0,$O419),0)</f>
        <v>0</v>
      </c>
      <c r="BK419" s="133">
        <f>IF($K419=BK$3,IF($C419="X",0,$O419),0)</f>
        <v>0</v>
      </c>
      <c r="BL419" s="133">
        <f>IF($K419=BL$3,IF($C419="X",0,$O419),0)</f>
        <v>0</v>
      </c>
      <c r="BM419" s="135">
        <f>IF($K419=BM$3,IF($C419="X",0,$O419),0)</f>
        <v>0</v>
      </c>
      <c r="BN419" s="136">
        <f>IF($K419=BN$3,IF($C419="X",0,$O419),0)</f>
        <v>0</v>
      </c>
      <c r="BO419" s="136">
        <f>IF($K419=BO$3,IF($C419="X",0,$O419),0)</f>
        <v>0</v>
      </c>
      <c r="BP419" s="136">
        <f>IF($K419=BP$3,IF($C419="X",0,$O419),0)</f>
        <v>0</v>
      </c>
      <c r="BQ419" s="137">
        <f>IF($K419=BQ$3,IF($C419="X",0,$O419),0)</f>
        <v>0</v>
      </c>
      <c r="BR419" s="134">
        <f>IF($K419=BR$3,IF($C419="X",0,$O419),0)</f>
        <v>0</v>
      </c>
      <c r="BS419" s="282"/>
      <c r="BT419" s="283"/>
      <c r="BU419" s="140"/>
      <c r="BV419" s="283"/>
      <c r="BW419" s="140"/>
      <c r="BX419" s="140"/>
      <c r="BY419" s="140"/>
      <c r="BZ419" s="283"/>
      <c r="CA419" s="140"/>
      <c r="CB419" s="140"/>
      <c r="CC419" s="140"/>
      <c r="CD419" s="141"/>
      <c r="CE419" s="142"/>
      <c r="CF419" s="284">
        <f>IF(CF$3=$K419,IF($C419="W",1,IF($C419="1/2W",0.5,0)),0)</f>
        <v>0</v>
      </c>
      <c r="CG419" s="285">
        <f>IF(CF$3=$K419,IF($C419="L",1,IF($C419="1/2L",0.5,0)),0)</f>
        <v>0</v>
      </c>
      <c r="CH419" s="285">
        <f>IF(CH$3=$K419,IF($C419="W",1,IF($C419="1/2W",0.5,0)),0)</f>
        <v>0</v>
      </c>
      <c r="CI419" s="285">
        <f>IF(CH$3=$K419,IF($C419="L",1,IF($C419="1/2L",0.5,0)),0)</f>
        <v>1</v>
      </c>
      <c r="CJ419" s="285">
        <f>IF(CJ$3=$K419,IF($C419="W",1,IF($C419="1/2W",0.5,0)),0)</f>
        <v>0</v>
      </c>
      <c r="CK419" s="285">
        <f>IF(CJ$3=$K419,IF($C419="L",1,IF($C419="1/2L",0.5,0)),0)</f>
        <v>0</v>
      </c>
      <c r="CL419" s="285">
        <f>IF(CL$3=$K419,IF($C419="W",1,IF($C419="1/2W",0.5,0)),0)</f>
        <v>0</v>
      </c>
      <c r="CM419" s="285">
        <f>IF(CL$3=$K419,IF($C419="L",1,IF($C419="1/2L",0.5,0)),0)</f>
        <v>0</v>
      </c>
      <c r="CN419" s="285">
        <f>IF(CN$3=$K419,IF($C419="W",1,IF($C419="1/2W",0.5,0)),0)</f>
        <v>0</v>
      </c>
      <c r="CO419" s="285">
        <f>IF(CN$3=$K419,IF($C419="L",1,IF($C419="1/2L",0.5,0)),0)</f>
        <v>0</v>
      </c>
      <c r="CP419" s="285">
        <f>IF(CP$3=$K419,IF($C419="W",1,IF($C419="1/2W",0.5,0)),0)</f>
        <v>0</v>
      </c>
      <c r="CQ419" s="285">
        <f>IF(CP$3=$K419,IF($C419="L",1,IF($C419="1/2L",0.5,0)),0)</f>
        <v>0</v>
      </c>
      <c r="CR419" s="285">
        <f>IF(CR$3=$K419,IF($C419="W",1,IF($C419="1/2W",0.5,0)),0)</f>
        <v>0</v>
      </c>
      <c r="CS419" s="285">
        <f>IF(CR$3=$K419,IF($C419="L",1,IF($C419="1/2L",0.5,0)),0)</f>
        <v>0</v>
      </c>
      <c r="CT419" s="145">
        <f>IF(CT$3=$K419,IF($C419="W",1,IF($C419="1/2W",0.5,0)),0)</f>
        <v>0</v>
      </c>
      <c r="CU419" s="146">
        <f>IF(CT$3=$K419,IF($C419="L",1,IF($C419="1/2L",0.5,0)),0)</f>
        <v>0</v>
      </c>
      <c r="CV419" s="146">
        <f>IF(CV$3=$K419,IF($C419="W",1,IF($C419="1/2W",0.5,0)),0)</f>
        <v>0</v>
      </c>
      <c r="CW419" s="146">
        <f>IF(CV$3=$K419,IF($C419="L",1,IF($C419="1/2L",0.5,0)),0)</f>
        <v>0</v>
      </c>
      <c r="CX419" s="146">
        <f>IF(CX$3=$K419,IF($C419="W",1,IF($C419="1/2W",0.5,0)),0)</f>
        <v>0</v>
      </c>
      <c r="CY419" s="146">
        <f>IF(CX$3=$K419,IF($C419="L",1,IF($C419="1/2L",0.5,0)),0)</f>
        <v>0</v>
      </c>
      <c r="CZ419" s="146">
        <f>IF(CZ$3=$K419,IF($C419="W",1,IF($C419="1/2W",0.5,0)),0)</f>
        <v>0</v>
      </c>
      <c r="DA419" s="146">
        <f>IF(CZ$3=$K419,IF($C419="L",1,IF($C419="1/2L",0.5,0)),0)</f>
        <v>0</v>
      </c>
      <c r="DB419" s="146">
        <f>IF(DB$3=$K419,IF($C419="W",1,IF($C419="1/2W",0.5,0)),0)</f>
        <v>0</v>
      </c>
      <c r="DC419" s="146">
        <f>IF(DB$3=$K419,IF($C419="L",1,IF($C419="1/2L",0.5,0)),0)</f>
        <v>0</v>
      </c>
      <c r="DD419" s="146">
        <f>IF(DD$3=$K419,IF($C419="W",1,IF($C419="1/2W",0.5,0)),0)</f>
        <v>0</v>
      </c>
      <c r="DE419" s="147">
        <f>IF(DD$3=$K419,IF($C419="L",1,IF($C419="1/2L",0.5,0)),0)</f>
        <v>0</v>
      </c>
      <c r="DF419" s="143">
        <f>IF(AND(L419&lt;DF$3,$C419="W"),1+DF418,DF418)</f>
        <v>14</v>
      </c>
      <c r="DG419" s="133">
        <f>IF(DF419&gt;DF418,L419+DG418,DG418)</f>
        <v>18.548</v>
      </c>
      <c r="DH419" s="146">
        <f>IF(AND(L419&gt;DH$3,$C419="W"),1+DH418,0+DH418)</f>
        <v>10</v>
      </c>
      <c r="DI419" s="133">
        <f>IF(DH419&gt;DH418,L419+DI418,DI418)</f>
        <v>55.13</v>
      </c>
      <c r="DJ419" t="s" s="304">
        <f>IF($D418="","",$D418)</f>
        <v>307</v>
      </c>
      <c r="DK419" s="286"/>
    </row>
    <row r="420" ht="14.55" customHeight="1">
      <c r="A420" s="149"/>
      <c r="B420" s="150"/>
      <c r="C420" t="s" s="151">
        <v>58</v>
      </c>
      <c r="D420" s="152"/>
      <c r="E420" s="153"/>
      <c r="F420" s="155"/>
      <c r="G420" s="252"/>
      <c r="H420" s="156"/>
      <c r="I420" s="287"/>
      <c r="J420" s="288"/>
      <c r="K420" s="156"/>
      <c r="L420" s="289"/>
      <c r="M420" s="290"/>
      <c r="N420" s="161"/>
      <c r="O420" t="s" s="162">
        <f>IF(OR(AE418="",AE419=""),"",IF(L420&gt;0,ROUND(IF(M420&gt;0,M420,IF(M418&gt;0,ROUND((M418*AE420)/AE418,IF(N418=0,2,IF(N418=0.1,1,0))),IF(M419&gt;0,ROUND((M419*AE420)/AE419,IF(N418=0,2,IF(N418=0.1,1,0))),IF(M420&gt;0,M420,0)))),2),""))</f>
      </c>
      <c r="P420" t="s" s="163">
        <f>IF(I419="Lay",O419*(L419/(L419-1))-O419,IF(I418="Lay",O418*(L418/(L418-1))-O418,IF(OR(L420="",O420=""),"",IF($C420="1/2W",O420/2+O420/2*L420,IF($C420="1/2L",O420/2,(O420*L420-O420)*(1-_xlfn.XLOOKUP(K420,'Janeiro 2023 - Valor Real'!A3:A15,'Janeiro 2023 - Valor Real'!C3:C15,0))+O420)))))</f>
      </c>
      <c r="Q420" t="s" s="154">
        <f>IF(K420="","",IF(_xlfn.XLOOKUP(K420,K$109:K187,DJ$109:DJ187,0,,-1)=DJ420,_xlfn.XLOOKUP(K420,K$109:K187,Q$109:Q187,1,,-1)+1,1))</f>
      </c>
      <c r="R420" t="s" s="163">
        <f>IF(K420="","",_xlfn.XLOOKUP(K420,K$109:K187,R$109:R187,0,,-1)+IF($C420=" ",1,0))</f>
      </c>
      <c r="S420" s="166"/>
      <c r="T420" s="155"/>
      <c r="U420" s="155"/>
      <c r="V420" s="166"/>
      <c r="W420" s="155"/>
      <c r="X420" s="167"/>
      <c r="Y420" s="128"/>
      <c r="Z420" s="129"/>
      <c r="AA420" s="129"/>
      <c r="AB420" s="129"/>
      <c r="AC420" s="129"/>
      <c r="AD420" s="168"/>
      <c r="AE420" t="s" s="169">
        <f>IF(L420="","",(SUM(((L418-1)*(1-_xlfn.XLOOKUP(K418,'Janeiro 2023 - Valor Real'!A3:A15,'Janeiro 2023 - Valor Real'!C3:C15,0))+1),((L419-1)*(1-_xlfn.XLOOKUP(K419,'Janeiro 2023 - Valor Real'!A3:A15,'Janeiro 2023 - Valor Real'!C3:C15,0))+1),((L420-1)*(1-_xlfn.XLOOKUP(K420,'Janeiro 2023 - Valor Real'!A3:A15,'Janeiro 2023 - Valor Real'!C3:C15,0))+1))/((L420-1)*(1-_xlfn.XLOOKUP(K420,'Janeiro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Real'!C3:C15,0))+1))/((L418-1)*(1-_xlfn.XLOOKUP(K418,'Janeiro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Real'!C3:C15,0))+1))/((L419-1)*(1-_xlfn.XLOOKUP(K419,'Janeiro 2023 - Valor Real'!A3:A15,'Janeiro 2023 - Valor Real'!C3:C15,0))+1)+SUM(((L418-1)*(1-_xlfn.XLOOKUP(K418,'Janeiro 2023 - Valor Real'!A3:A15,'Janeiro 2023 - Valor Real'!C3:C15,0))+1),((L419-1)*(1-_xlfn.XLOOKUP(K419,'Janeiro 2023 - Valor Real'!A3:A15,'Janeiro 2023 - Valor Real'!C3:C15,0))+1),((L420-1)*(1-_xlfn.XLOOKUP(K420,'Janeiro 2023 - Valor Real'!A3:A15,'Janeiro 2023 - Valor Real'!C3:C15,0))+1))/((L420-1)*(1-_xlfn.XLOOKUP(K420,'Janeiro 2023 - Valor Real'!A3:A15,'Janeiro 2023 - Valor Real'!C3:C15,0))+1)))</f>
      </c>
      <c r="AF420" s="132">
        <f>IF($K420=AF$3,ROUND(IF(OR($C420="W",$C420="1/2W",$C420="1/2L"),$P420-$O420,IF($C420="X",0,-$O420)),2),0)</f>
        <v>0</v>
      </c>
      <c r="AG420" s="133">
        <f>IF($K420=AG$3,ROUND(IF(OR($C420="W",$C420="1/2W",$C420="1/2L"),$P420-$O420,IF($C420="X",0,-$O420)),2),0)</f>
        <v>0</v>
      </c>
      <c r="AH420" s="133">
        <f>IF($K420=AH$3,ROUND(IF(OR($C420="W",$C420="1/2W",$C420="1/2L"),$P420-$O420,IF($C420="X",0,-$O420)),2),0)</f>
        <v>0</v>
      </c>
      <c r="AI420" s="133">
        <f>IF($K420=AI$3,ROUND(IF(OR($C420="W",$C420="1/2W",$C420="1/2L"),$P420-$O420,IF($C420="X",0,-$O420)),2),0)</f>
        <v>0</v>
      </c>
      <c r="AJ420" s="133">
        <f>IF($K420=AJ$3,ROUND(IF(OR($C420="W",$C420="1/2W",$C420="1/2L"),$P420-$O420,IF($C420="X",0,-$O420)),2),0)</f>
        <v>0</v>
      </c>
      <c r="AK420" s="133">
        <f>IF($K420=AK$3,ROUND(IF(OR($C420="W",$C420="1/2W",$C420="1/2L"),$P420-$O420,IF($C420="X",0,-$O420)),2),0)</f>
        <v>0</v>
      </c>
      <c r="AL420" s="133">
        <f>IF($K420=AL$3,ROUND(IF(OR($C420="W",$C420="1/2W",$C420="1/2L"),$P420-$O420,IF($C420="X",0,-$O420)),2),0)</f>
        <v>0</v>
      </c>
      <c r="AM420" s="133">
        <f>IF($K420=AM$3,ROUND(IF(OR($C420="W",$C420="1/2W",$C420="1/2L"),$P420-$O420,IF($C420="X",0,-$O420)),2),0)</f>
        <v>0</v>
      </c>
      <c r="AN420" s="133">
        <f>IF($K420=AN$3,ROUND(IF(OR($C420="W",$C420="1/2W",$C420="1/2L"),$P420-$O420,IF($C420="X",0,-$O420)),2),0)</f>
        <v>0</v>
      </c>
      <c r="AO420" s="133">
        <f>IF($K420=AO$3,ROUND(IF(OR($C420="W",$C420="1/2W",$C420="1/2L"),$P420-$O420,IF($C420="X",0,-$O420)),2),0)</f>
        <v>0</v>
      </c>
      <c r="AP420" s="133">
        <f>IF($K420=AP$3,ROUND(IF(OR($C420="W",$C420="1/2W",$C420="1/2L"),$P420-$O420,IF($C420="X",0,-$O420)),2),0)</f>
        <v>0</v>
      </c>
      <c r="AQ420" s="133">
        <f>IF($K420=AQ$3,ROUND(IF(OR($C420="W",$C420="1/2W",$C420="1/2L"),$P420-$O420,IF($C420="X",0,-$O420)),2),0)</f>
        <v>0</v>
      </c>
      <c r="AR420" s="134">
        <f>IF($K420=AR$3,ROUND(IF(OR($C420="W",$C420="1/2W",$C420="1/2L"),$P420-$O420,IF($C420="X",0,-$O420)),2),0)</f>
        <v>0</v>
      </c>
      <c r="AS420" s="132">
        <f>IF(AND($B418=" ",$K420=AS$3),$O420,0)</f>
        <v>0</v>
      </c>
      <c r="AT420" s="133">
        <f>IF(AND($B418=" ",K420=AT$3),$O420,0)</f>
        <v>0</v>
      </c>
      <c r="AU420" s="133">
        <f>IF(AND($B418=" ",$K420=AU$3),$O420,0)</f>
        <v>0</v>
      </c>
      <c r="AV420" s="133">
        <f>IF(AND($B418=" ",$K420=AV$3),$O420,0)</f>
        <v>0</v>
      </c>
      <c r="AW420" s="133">
        <f>IF(AND($B418=" ",$K420=AW$3),$O420,0)</f>
        <v>0</v>
      </c>
      <c r="AX420" s="133">
        <f>IF(AND($B418=" ",$K420=AX$3),$O420,0)</f>
        <v>0</v>
      </c>
      <c r="AY420" s="135">
        <f>IF(AND($B418=" ",$K420=AY$3),$O420,0)</f>
        <v>0</v>
      </c>
      <c r="AZ420" s="136">
        <f>IF(AND($B418=" ",$K420=AZ$3),$O420,0)</f>
        <v>0</v>
      </c>
      <c r="BA420" s="136">
        <f>IF(AND($B418=" ",$K420=BA$3),$O420,0)</f>
        <v>0</v>
      </c>
      <c r="BB420" s="136">
        <f>IF(AND($B418=" ",$K420=BB$3),$O420,0)</f>
        <v>0</v>
      </c>
      <c r="BC420" s="137">
        <f>IF(AND($B418=" ",$K420=BC$3),$O420,0)</f>
        <v>0</v>
      </c>
      <c r="BD420" s="133">
        <f>IF(AND($B418=" ",$K420=BD$3),$O420,0)</f>
        <v>0</v>
      </c>
      <c r="BE420" s="134">
        <f>IF(AND($B418=" ",$K420=BE$3),$O420,0)</f>
        <v>0</v>
      </c>
      <c r="BF420" s="132">
        <f>IF($K420=BF$3,IF($C420="X",0,$O420),0)</f>
        <v>0</v>
      </c>
      <c r="BG420" s="281">
        <f>IF($K420=BG$3,IF($C420="X",0,$O420),0)</f>
        <v>0</v>
      </c>
      <c r="BH420" s="133">
        <f>IF($K420=BH$3,IF($C420="X",0,$O420),0)</f>
        <v>0</v>
      </c>
      <c r="BI420" s="133">
        <f>IF($K420=BI$3,IF($C420="X",0,$O420),0)</f>
        <v>0</v>
      </c>
      <c r="BJ420" s="133">
        <f>IF($K420=BJ$3,IF($C420="X",0,$O420),0)</f>
        <v>0</v>
      </c>
      <c r="BK420" s="133">
        <f>IF($K420=BK$3,IF($C420="X",0,$O420),0)</f>
        <v>0</v>
      </c>
      <c r="BL420" s="133">
        <f>IF($K420=BL$3,IF($C420="X",0,$O420),0)</f>
        <v>0</v>
      </c>
      <c r="BM420" s="135">
        <f>IF($K420=BM$3,IF($C420="X",0,$O420),0)</f>
        <v>0</v>
      </c>
      <c r="BN420" s="136">
        <f>IF($K420=BN$3,IF($C420="X",0,$O420),0)</f>
        <v>0</v>
      </c>
      <c r="BO420" s="136">
        <f>IF($K420=BO$3,IF($C420="X",0,$O420),0)</f>
        <v>0</v>
      </c>
      <c r="BP420" s="136">
        <f>IF($K420=BP$3,IF($C420="X",0,$O420),0)</f>
        <v>0</v>
      </c>
      <c r="BQ420" s="137">
        <f>IF($K420=BQ$3,IF($C420="X",0,$O420),0)</f>
        <v>0</v>
      </c>
      <c r="BR420" s="134">
        <f>IF($K420=BR$3,IF($C420="X",0,$O420),0)</f>
        <v>0</v>
      </c>
      <c r="BS420" s="282"/>
      <c r="BT420" s="283"/>
      <c r="BU420" s="140"/>
      <c r="BV420" s="283"/>
      <c r="BW420" s="140"/>
      <c r="BX420" s="140"/>
      <c r="BY420" s="140"/>
      <c r="BZ420" s="283"/>
      <c r="CA420" s="140"/>
      <c r="CB420" s="140"/>
      <c r="CC420" s="140"/>
      <c r="CD420" s="141"/>
      <c r="CE420" s="142"/>
      <c r="CF420" s="284">
        <f>IF(CF$3=$K420,IF($C420="W",1,IF($C420="1/2W",0.5,0)),0)</f>
        <v>0</v>
      </c>
      <c r="CG420" s="285">
        <f>IF(CF$3=$K420,IF($C420="L",1,IF($C420="1/2L",0.5,0)),0)</f>
        <v>0</v>
      </c>
      <c r="CH420" s="285">
        <f>IF(CH$3=$K420,IF($C420="W",1,IF($C420="1/2W",0.5,0)),0)</f>
        <v>0</v>
      </c>
      <c r="CI420" s="285">
        <f>IF(CH$3=$K420,IF($C420="L",1,IF($C420="1/2L",0.5,0)),0)</f>
        <v>0</v>
      </c>
      <c r="CJ420" s="285">
        <f>IF(CJ$3=$K420,IF($C420="W",1,IF($C420="1/2W",0.5,0)),0)</f>
        <v>0</v>
      </c>
      <c r="CK420" s="285">
        <f>IF(CJ$3=$K420,IF($C420="L",1,IF($C420="1/2L",0.5,0)),0)</f>
        <v>0</v>
      </c>
      <c r="CL420" s="285">
        <f>IF(CL$3=$K420,IF($C420="W",1,IF($C420="1/2W",0.5,0)),0)</f>
        <v>0</v>
      </c>
      <c r="CM420" s="285">
        <f>IF(CL$3=$K420,IF($C420="L",1,IF($C420="1/2L",0.5,0)),0)</f>
        <v>0</v>
      </c>
      <c r="CN420" s="285">
        <f>IF(CN$3=$K420,IF($C420="W",1,IF($C420="1/2W",0.5,0)),0)</f>
        <v>0</v>
      </c>
      <c r="CO420" s="285">
        <f>IF(CN$3=$K420,IF($C420="L",1,IF($C420="1/2L",0.5,0)),0)</f>
        <v>0</v>
      </c>
      <c r="CP420" s="285">
        <f>IF(CP$3=$K420,IF($C420="W",1,IF($C420="1/2W",0.5,0)),0)</f>
        <v>0</v>
      </c>
      <c r="CQ420" s="285">
        <f>IF(CP$3=$K420,IF($C420="L",1,IF($C420="1/2L",0.5,0)),0)</f>
        <v>0</v>
      </c>
      <c r="CR420" s="285">
        <f>IF(CR$3=$K420,IF($C420="W",1,IF($C420="1/2W",0.5,0)),0)</f>
        <v>0</v>
      </c>
      <c r="CS420" s="285">
        <f>IF(CR$3=$K420,IF($C420="L",1,IF($C420="1/2L",0.5,0)),0)</f>
        <v>0</v>
      </c>
      <c r="CT420" s="145">
        <f>IF(CT$3=$K420,IF($C420="W",1,IF($C420="1/2W",0.5,0)),0)</f>
        <v>0</v>
      </c>
      <c r="CU420" s="146">
        <f>IF(CT$3=$K420,IF($C420="L",1,IF($C420="1/2L",0.5,0)),0)</f>
        <v>0</v>
      </c>
      <c r="CV420" s="146">
        <f>IF(CV$3=$K420,IF($C420="W",1,IF($C420="1/2W",0.5,0)),0)</f>
        <v>0</v>
      </c>
      <c r="CW420" s="146">
        <f>IF(CV$3=$K420,IF($C420="L",1,IF($C420="1/2L",0.5,0)),0)</f>
        <v>0</v>
      </c>
      <c r="CX420" s="146">
        <f>IF(CX$3=$K420,IF($C420="W",1,IF($C420="1/2W",0.5,0)),0)</f>
        <v>0</v>
      </c>
      <c r="CY420" s="146">
        <f>IF(CX$3=$K420,IF($C420="L",1,IF($C420="1/2L",0.5,0)),0)</f>
        <v>0</v>
      </c>
      <c r="CZ420" s="146">
        <f>IF(CZ$3=$K420,IF($C420="W",1,IF($C420="1/2W",0.5,0)),0)</f>
        <v>0</v>
      </c>
      <c r="DA420" s="146">
        <f>IF(CZ$3=$K420,IF($C420="L",1,IF($C420="1/2L",0.5,0)),0)</f>
        <v>0</v>
      </c>
      <c r="DB420" s="146">
        <f>IF(DB$3=$K420,IF($C420="W",1,IF($C420="1/2W",0.5,0)),0)</f>
        <v>0</v>
      </c>
      <c r="DC420" s="146">
        <f>IF(DB$3=$K420,IF($C420="L",1,IF($C420="1/2L",0.5,0)),0)</f>
        <v>0</v>
      </c>
      <c r="DD420" s="146">
        <f>IF(DD$3=$K420,IF($C420="W",1,IF($C420="1/2W",0.5,0)),0)</f>
        <v>0</v>
      </c>
      <c r="DE420" s="147">
        <f>IF(DD$3=$K420,IF($C420="L",1,IF($C420="1/2L",0.5,0)),0)</f>
        <v>0</v>
      </c>
      <c r="DF420" s="143">
        <f>IF(AND(L420&lt;DF$3,$C420="W"),1+DF419,DF419)</f>
        <v>14</v>
      </c>
      <c r="DG420" s="133">
        <f>IF(DF420&gt;DF419,L420+DG419,DG419)</f>
        <v>18.548</v>
      </c>
      <c r="DH420" s="146">
        <f>IF(AND(L420&gt;DH$3,$C420="W"),1+DH419,0+DH419)</f>
        <v>10</v>
      </c>
      <c r="DI420" s="133">
        <f>IF(DH420&gt;DH419,L420+DI419,DI419)</f>
        <v>55.13</v>
      </c>
      <c r="DJ420" t="s" s="304">
        <f>IF($D418="","",$D418)</f>
        <v>307</v>
      </c>
      <c r="DK420" s="286"/>
    </row>
    <row r="421" ht="14.55" customHeight="1">
      <c r="A421" s="171">
        <f>$A418+1</f>
        <v>140</v>
      </c>
      <c r="B421" t="s" s="172">
        <f>IF(AND(_xlfn.XLOOKUP(H421,H$110:H182,G$110:G182,0)=G421,_xlfn.XLOOKUP("TempoBet",K421:K423,L421:L423,0)&gt;0),"X",IF(OR(C421="W",C422="W",C423="W",C421="1/2W",C422="1/2W",C423="1/2W",C421="1/2L",C422="1/2L",C423="1/2L"),"OK",IF(OR(C421="L",C422="L",C423="L"),"LOSS",IF(OR(C421="X",C422="X",C423="X"),"Anulado"," "))))</f>
        <v>50</v>
      </c>
      <c r="C421" t="s" s="173">
        <v>56</v>
      </c>
      <c r="D421" t="s" s="305">
        <v>339</v>
      </c>
      <c r="E421" t="s" s="175">
        <f>IF(G421=""," ","– "&amp;COUNTIF(D$4:D423,$D421))</f>
        <v>52</v>
      </c>
      <c r="F421" t="s" s="176">
        <f>IF(G421="","",IF(OR(AND($C421&lt;&gt;" ",$C422=" "),AND($C422&lt;&gt;" ",$C421=" "),AND(L423&gt;0,OR(AND($C423&lt;&gt;" ",OR($C421=" ",$C422=" ")),AND($C423=" ",OR($C421&lt;&gt;" ",$C422&lt;&gt;" "))))),IF(SUM(F$4:F420)=0,1,LARGE(F$4:F420,1)+1),IF(MONTH(G421)=MONTH(TODAY()),IF(AND(DAY(G421)&lt;DAY(TODAY()),$B421=" "),IF(SUM(F$4:F420)=0,1,LARGE(F$4:F420,1)+1),IF($B421=" ",IF(AND(DAY(G421)=DAY(TODAY()),HOUR(G421)&lt;=HOUR(NOW())+1),IF(AND(HOUR(G421)+2&lt;=HOUR(NOW()),DAY(G421)&lt;=DAY(TODAY()),MINUTE(G421)&lt;=MINUTE(NOW())),IF(SUM(F$4:F420)=0,1,LARGE(F$4:F420,1)+1),IF(OR(MINUTE(G421)&lt;=MINUTE(NOW()),HOUR(G421)&lt;=HOUR(NOW())),"!!!","")),""),"")),"")))</f>
      </c>
      <c r="G421" s="177">
        <v>44950.6875</v>
      </c>
      <c r="H421" t="s" s="178">
        <v>340</v>
      </c>
      <c r="I421" t="s" s="179">
        <v>65</v>
      </c>
      <c r="J421" s="291">
        <v>11.5</v>
      </c>
      <c r="K421" t="s" s="181">
        <v>38</v>
      </c>
      <c r="L421" s="182">
        <v>3.2</v>
      </c>
      <c r="M421" s="183"/>
      <c r="N421" s="184">
        <v>0</v>
      </c>
      <c r="O421" s="185">
        <f>IF(OR(AE421="",AE422=""),"",ROUND(IF(L423&gt;0,IF(M421&gt;0,M421,IF(M422&gt;0,ROUND((M422*AE421)/AE422,IF(N421=0,2,IF(N421=0.1,1,0))),ROUND((M423*AE421)/AE423,IF(N421=0,2,IF(N421=0.1,1,0))))),IF(M421&gt;0,M421,ROUND((M422*AE421)/AE422,IF(N421=0,2,IF(N421=0.1,1,0))))),2))</f>
        <v>12.18</v>
      </c>
      <c r="P421" s="186">
        <f>IF(OR(L421="",O421=""),"",IF($C421="1/2W",O421/2+O421/2*L421,IF($C421="1/2L",O421/2,IF(I421="Lay",(O421*(L421/(L421-1))-O421)*(1-_xlfn.XLOOKUP(K421,'Janeiro 2023 - Valor Real'!A3:A15,'Janeiro 2023 - Valor Real'!C3:C15,0))+O421,(O421*L421-O421)*(1-_xlfn.XLOOKUP(K421,'Janeiro 2023 - Valor Real'!A3:A15,'Janeiro 2023 - Valor Real'!C3:C15,0))+O421))))</f>
        <v>38.976</v>
      </c>
      <c r="Q421" s="187">
        <f>IF(K421="","",IF(_xlfn.XLOOKUP(K421,K$110:K182,DJ$110:DJ182,0,,-1)=DJ421,_xlfn.XLOOKUP(K421,K$110:K182,Q$110:Q182,1,,-1)+1,1))</f>
        <v>1</v>
      </c>
      <c r="R421" s="188">
        <f>IF(K421="","",_xlfn.XLOOKUP(K421,K$110:K182,R$110:R182,0,,-1)+IF($C421=" ",1,0))</f>
        <v>0</v>
      </c>
      <c r="S421" s="189">
        <f>IF($B421="Anulado",0,ROUND(IF(OR($B421="LOSS",$B421="OK"),IF(OR($C421="W",$C421="1/2W",$C421="1/2L"),P421-O421,IF($C421="L",-O421,0))+IF(OR($C422="W",$C422="1/2W",$C422="1/2L"),P422-O422,IF($C422="L",-O422,0))+IF(OR($C423="W",$C423="1/2W",$C423="1/2L"),P423-O423,IF($C423="L",-O423,0)),IF(AND(OR($C421="W",$C421="1/2W",$C421="1/2L"),C422="W"),P421+P422-SUM(O421:O423)+_xlfn.XLOOKUP("X",C421:C423,O421:O423,0),IF(AND(C421=TRUE,C423="W"),P421+P423-SUM(O421:O423),IF(AND(C422="W",C423="W"),P422+P423-SUM(O421:O423)+_xlfn.XLOOKUP("X",C421:C423,O421:O423,0),IF(L423&gt;0,IF(OR($C421="W",$C421="1/2W",$C421="1/2L"),P421-SUM(O421:O423)+_xlfn.XLOOKUP("X",C421:C423,O421:O423,0),IF(OR($C421="W",$C421="1/2W",$C421="1/2L"),P422-SUM(O421:O423)+_xlfn.XLOOKUP("X",C421:C423,O421:O423,0),IF(OR($C421="W",$C421="1/2W",$C421="1/2L"),P423-SUM(O421:O423)+_xlfn.XLOOKUP("X",C421:C423,O421:O423,0),IF(SUM(P421:P423)/3-SUM(O421:O423)+_xlfn.XLOOKUP("X",C421:C423,O421:O423,0)&gt;0,SUM(P421:P423)/3-SUM(O421:O423)+_xlfn.XLOOKUP("X",C421:C423,O421:O423,0),LARGE(P421:P423,1)-SUM(O421:O423))))),IF(OR($C421="W",$C421="1/2W",$C421="1/2L"),P421-SUM(O421:O422)+_xlfn.XLOOKUP("X",C421:C423,O421:O423,0),IF(OR($C421="W",$C421="1/2W",$C421="1/2L"),P422-SUM(O421:O422)+_xlfn.XLOOKUP("X",C421:C423,O421:O423,0),SUM(P421:P422)/2-SUM(O421:O422)+_xlfn.XLOOKUP("X",C421:C423,O421:O423,0)))))))),2))</f>
        <v>1.33</v>
      </c>
      <c r="T421" s="190">
        <f>IF(S421=0,0,S421/SUM(O421:O423))</f>
        <v>0.0353253652058433</v>
      </c>
      <c r="U421" s="191">
        <f>IF($D421=$D418,IF(OR($B421="LOSS",$B421="OK",$B421="Anulada"),S421,0)+U418,IF(OR($B421="LOSS",$B421="OK",$B421="Anulada"),S421,0))</f>
        <v>1.33</v>
      </c>
      <c r="V421" s="191">
        <f>IF($D421="",0,IF($D421=$D418,IF($B421=" ",IF(I423="",IF(OR(AND(I421="DNB1",I422="DNB2"),AND(OR(I421="DNB1",I421="DNB2"),J422=0),AND(OR(I422="DNB1",I422="DNB2"),J421=0),AND(I421="DNB2",I422="DNB1"),AND(IF(J421=0,(J421+1)/ROUND(J421+1,0),J421/ROUND(J421,0))=1,IF(J422=0,(J422+1)/ROUND(IF(J422="",0,J422)+1,0),IF(J422="",0,J422)/ROUND(IF(J422="",1,J422),0))=1,OR(J421&lt;&gt;""),J422&lt;&gt;"")),0,IF(S421&lt;0,IF(I423="",SMALL(P421:P422,1)-SUM(O421:O422),0),SMALL(P421:P422,1)-SUM(O421:O422))),IF(S421&lt;0,IF(I423="",SMALL(P421:P423,1)-SUM(O421:O423),0),LARGE(P421:P423,1)-SUM(O421:O423))),S421)+V418,IF(I423="",IF(OR(AND(I421="DNB1",I422="DNB2"),AND(OR(I421="DNB1",I421="DNB2"),J422=0),AND(OR(I422="DNB1",I422="DNB2"),J421=0),AND(I421="DNB2",I422="DNB1"),AND(IF(J421=0,(J421+1)/ROUND(J421+1,0),J421/ROUND(J421,0))=1,IF(J422=0,(IF(J422="",0,J422)+1)/ROUND(IF(J422="",0,J422)+1,0),IF(J422="",0,J422)/ROUND(IF(J422="",0,J422)+1,0))=1,OR(J421&lt;&gt;""),J422&lt;&gt;"")),0,IF(S421&lt;0,IF(I423="",SMALL(P421:P422,1)-SUM(O421:O422),0),SMALL(P421:P423,1)-SUM(O421:O423))),IF(S421&lt;0,IF(I423="",SMALL(P421:P423,1)-SUM(O421:O423),0),LARGE(P421:P423,1)-SUM(O421:O423)))))</f>
        <v>1.3191</v>
      </c>
      <c r="W421" s="191">
        <f>IF($D421=$D418,IF(S421&lt;0,IF(I423="",S421,0),S421)+W418,S421)</f>
        <v>1.33</v>
      </c>
      <c r="X421" t="s" s="192">
        <f>IF(OR(SUM(R421:R423)=0,V421=W421),ROUND(IF(W421=0,0,W421/Y421)*100,2)&amp;"%",ROUND(IF(V421=0,0,V421/Y421)*100,2)&amp;"% a "&amp;ROUND(IF(W421=0,0,W421/Y421)*100,2)&amp;"%")</f>
        <v>341</v>
      </c>
      <c r="Y421" s="193">
        <f>IF($D421=$D418,Y418+SUM(O421:O423),SUM(O421:O423))</f>
        <v>37.65</v>
      </c>
      <c r="Z421" s="191">
        <f>IF($B421=" ",SUM(O421:O423),0)+Z418</f>
        <v>0</v>
      </c>
      <c r="AA421" s="191">
        <f>IF(G421="","",IF($B421="Anulado",LARGE(P421:P423,1)-SUM(O421:O423)+AA418,AA418))</f>
        <v>22.2257</v>
      </c>
      <c r="AB421" s="191">
        <f>IF($D421="","",AB418+S421)</f>
        <v>284.23</v>
      </c>
      <c r="AC421" s="194">
        <f>IF($D421="","",IF($B421=" ",IF(DAY(G421)=DAY(TODAY()),1+AC418,0+AC418),0+AC418))</f>
        <v>0</v>
      </c>
      <c r="AD421" s="195">
        <f>(((L422/(L422-1)-1)*(1-_xlfn.XLOOKUP(K422,'Janeiro 2023 - Valor Real'!A3:A15,'Janeiro 2023 - Valor Real'!C3:C15,0))+1))/(((L421-1)*(1-_xlfn.XLOOKUP(K421,'Janeiro 2023 - Valor Real'!A3:A15,'Janeiro 2023 - Valor Real'!C3:C15,0))+1)+((L422/(L422-1)-1)*(1-_xlfn.XLOOKUP(K422,'Janeiro 2023 - Valor Real'!A3:A15,'Janeiro 2023 - Valor Real'!C3:C15,0))+1))</f>
        <v>0.474271543707378</v>
      </c>
      <c r="AE421" s="196">
        <f>IF(L421="","",IF(L423&gt;0,(SUM(((L421-1)*(1-_xlfn.XLOOKUP(K421,'Janeiro 2023 - Valor Real'!A3:A15,'Janeiro 2023 - Valor Real'!C3:C15,0))+1),((L422-1)*(1-_xlfn.XLOOKUP(K422,'Janeiro 2023 - Valor Real'!A3:A15,'Janeiro 2023 - Valor Real'!C3:C15,0))+1),((L423-1)*(1-_xlfn.XLOOKUP(K423,'Janeiro 2023 - Valor Real'!A3:A15,'Janeiro 2023 - Valor Real'!C3:C15,0))+1))/((L421-1)*(1-_xlfn.XLOOKUP(K421,'Janeiro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Real'!C3:C15,0))+1))/((L421-1)*(1-_xlfn.XLOOKUP(K421,'Janeiro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Real'!C3:C15,0))+1))/((L422-1)*(1-_xlfn.XLOOKUP(K422,'Janeiro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Real'!C3:C15,0))+1))/((L423-1)*(1-_xlfn.XLOOKUP(K423,'Janeiro 2023 - Valor Real'!A3:A15,'Janeiro 2023 - Valor Real'!C3:C15,0))+1)),IF(I421="Lay",IF(I422="Lay",((L422/(L422-1)-1)*(1-_xlfn.XLOOKUP(K422,'Janeiro 2023 - Valor Real'!A3:A15,'Janeiro 2023 - Valor Real'!C3:C15,0))+1)/(((L422/(L422-1)-1)*(1-_xlfn.XLOOKUP(K422,'Janeiro 2023 - Valor Real'!A3:A15,'Janeiro 2023 - Valor Real'!C3:C15,0))+1)+((L421/(L421-1)-1)*(1-_xlfn.XLOOKUP(K421,'Janeiro 2023 - Valor Real'!A3:A15,'Janeiro 2023 - Valor Real'!C3:C15,0))+1)),((L422-1)*(1-_xlfn.XLOOKUP(K422,'Janeiro 2023 - Valor Real'!A3:A15,'Janeiro 2023 - Valor Real'!C3:C15,0))+1)/(((L422-1)*(1-_xlfn.XLOOKUP(K422,'Janeiro 2023 - Valor Real'!A3:A15,'Janeiro 2023 - Valor Real'!C3:C15,0))+1)+((L421/(L421-1)-1)*(1-_xlfn.XLOOKUP(K421,'Janeiro 2023 - Valor Real'!A3:A15,'Janeiro 2023 - Valor Real'!C3:C15,0))+1))),IF(I422="Lay",(((L422/(L422-1)-1)*(1-_xlfn.XLOOKUP(K422,'Janeiro 2023 - Valor Real'!A3:A15,'Janeiro 2023 - Valor Real'!C3:C15,0))+1))/(((L421-1)*(1-_xlfn.XLOOKUP(K421,'Janeiro 2023 - Valor Real'!A3:A15,'Janeiro 2023 - Valor Real'!C3:C15,0))+1)+((L422/(L422-1)-1)*(1-_xlfn.XLOOKUP(K422,'Janeiro 2023 - Valor Real'!A3:A15,'Janeiro 2023 - Valor Real'!C3:C15,0))+1)),((L422-1)*(1-_xlfn.XLOOKUP(K422,'Janeiro 2023 - Valor Real'!A3:A15,'Janeiro 2023 - Valor Real'!C3:C15,0))+1)/(((L422-1)*(1-_xlfn.XLOOKUP(K422,'Janeiro 2023 - Valor Real'!A3:A15,'Janeiro 2023 - Valor Real'!C3:C15,0))+1)+((L421-1)*(1-_xlfn.XLOOKUP(K421,'Janeiro 2023 - Valor Real'!A3:A15,'Janeiro 2023 - Valor Real'!C3:C15,0))+1))))))</f>
        <v>0.323467230443975</v>
      </c>
      <c r="AF421" s="197">
        <f>IF($K421=AF$3,ROUND(IF(OR($C421="W",$C421="1/2W",$C421="1/2L"),$P421-$O421,IF($C421="X",0,-$O421)),2),0)</f>
        <v>0</v>
      </c>
      <c r="AG421" s="198">
        <f>IF($K421=AG$3,ROUND(IF(OR($C421="W",$C421="1/2W",$C421="1/2L"),$P421-$O421,IF($C421="X",0,-$O421)),2),0)</f>
        <v>26.8</v>
      </c>
      <c r="AH421" s="198">
        <f>IF($K421=AH$3,ROUND(IF(OR($C421="W",$C421="1/2W",$C421="1/2L"),$P421-$O421,IF($C421="X",0,-$O421)),2),0)</f>
        <v>0</v>
      </c>
      <c r="AI421" s="198">
        <f>IF($K421=AI$3,ROUND(IF(OR($C421="W",$C421="1/2W",$C421="1/2L"),$P421-$O421,IF($C421="X",0,-$O421)),2),0)</f>
        <v>0</v>
      </c>
      <c r="AJ421" s="198">
        <f>IF($K421=AJ$3,ROUND(IF(OR($C421="W",$C421="1/2W",$C421="1/2L"),$P421-$O421,IF($C421="X",0,-$O421)),2),0)</f>
        <v>0</v>
      </c>
      <c r="AK421" s="198">
        <f>IF($K421=AK$3,ROUND(IF(OR($C421="W",$C421="1/2W",$C421="1/2L"),$P421-$O421,IF($C421="X",0,-$O421)),2),0)</f>
        <v>0</v>
      </c>
      <c r="AL421" s="198">
        <f>IF($K421=AL$3,ROUND(IF(OR($C421="W",$C421="1/2W",$C421="1/2L"),$P421-$O421,IF($C421="X",0,-$O421)),2),0)</f>
        <v>0</v>
      </c>
      <c r="AM421" s="198">
        <f>IF($K421=AM$3,ROUND(IF(OR($C421="W",$C421="1/2W",$C421="1/2L"),$P421-$O421,IF($C421="X",0,-$O421)),2),0)</f>
        <v>0</v>
      </c>
      <c r="AN421" s="198">
        <f>IF($K421=AN$3,ROUND(IF(OR($C421="W",$C421="1/2W",$C421="1/2L"),$P421-$O421,IF($C421="X",0,-$O421)),2),0)</f>
        <v>0</v>
      </c>
      <c r="AO421" s="198">
        <f>IF($K421=AO$3,ROUND(IF(OR($C421="W",$C421="1/2W",$C421="1/2L"),$P421-$O421,IF($C421="X",0,-$O421)),2),0)</f>
        <v>0</v>
      </c>
      <c r="AP421" s="198">
        <f>IF($K421=AP$3,ROUND(IF(OR($C421="W",$C421="1/2W",$C421="1/2L"),$P421-$O421,IF($C421="X",0,-$O421)),2),0)</f>
        <v>0</v>
      </c>
      <c r="AQ421" s="198">
        <f>IF($K421=AQ$3,ROUND(IF(OR($C421="W",$C421="1/2W",$C421="1/2L"),$P421-$O421,IF($C421="X",0,-$O421)),2),0)</f>
        <v>0</v>
      </c>
      <c r="AR421" s="199">
        <f>IF($K421=AR$3,ROUND(IF(OR($C421="W",$C421="1/2W",$C421="1/2L"),$P421-$O421,IF($C421="X",0,-$O421)),2),0)</f>
        <v>0</v>
      </c>
      <c r="AS421" s="197">
        <f>IF(AND($B421=" ",$K421=AS$3),$O421,0)</f>
        <v>0</v>
      </c>
      <c r="AT421" s="198">
        <f>IF(AND($B421=" ",$K421=AT$3),$O421,0)</f>
        <v>0</v>
      </c>
      <c r="AU421" s="198">
        <f>IF(AND($B421=" ",$K421=AU$3),$O421,0)</f>
        <v>0</v>
      </c>
      <c r="AV421" s="198">
        <f>IF(AND($B421=" ",$K421=AV$3),$O421,0)</f>
        <v>0</v>
      </c>
      <c r="AW421" s="198">
        <f>IF(AND($B421=" ",$K421=AW$3),$O421,0)</f>
        <v>0</v>
      </c>
      <c r="AX421" s="198">
        <f>IF(AND($B421=" ",$K421=AX$3),$O421,0)</f>
        <v>0</v>
      </c>
      <c r="AY421" s="200">
        <f>IF(AND($B421=" ",$K421=AY$3),$O421,0)</f>
        <v>0</v>
      </c>
      <c r="AZ421" s="201">
        <f>IF(AND($B421=" ",$K421=AZ$3),$O421,0)</f>
        <v>0</v>
      </c>
      <c r="BA421" s="201">
        <f>IF(AND($B421=" ",$K421=BA$3),$O421,0)</f>
        <v>0</v>
      </c>
      <c r="BB421" s="201">
        <f>IF(AND($B421=" ",$K421=BB$3),$O421,0)</f>
        <v>0</v>
      </c>
      <c r="BC421" s="202">
        <f>IF(AND($B421=" ",$K421=BC$3),$O421,0)</f>
        <v>0</v>
      </c>
      <c r="BD421" s="198">
        <f>IF(AND($B421=" ",$K421=BD$3),$O421,0)</f>
        <v>0</v>
      </c>
      <c r="BE421" s="199">
        <f>IF(AND($B421=" ",$K421=BE$3),$O421,0)</f>
        <v>0</v>
      </c>
      <c r="BF421" s="203">
        <f>IF($K421=BF$3,IF($C421="X",0,$O421),0)</f>
        <v>0</v>
      </c>
      <c r="BG421" s="198">
        <f>IF($K421=BG$3,IF($C421="X",0,$O421),0)</f>
        <v>12.18</v>
      </c>
      <c r="BH421" s="198">
        <f>IF($K421=BH$3,IF($C421="X",0,$O421),0)</f>
        <v>0</v>
      </c>
      <c r="BI421" s="198">
        <f>IF($K421=BI$3,IF($C421="X",0,$O421),0)</f>
        <v>0</v>
      </c>
      <c r="BJ421" s="198">
        <f>IF($K421=BJ$3,IF($C421="X",0,$O421),0)</f>
        <v>0</v>
      </c>
      <c r="BK421" s="198">
        <f>IF($K421=BK$3,IF($C421="X",0,$O421),0)</f>
        <v>0</v>
      </c>
      <c r="BL421" s="198">
        <f>IF($K421=BL$3,IF($C421="X",0,$O421),0)</f>
        <v>0</v>
      </c>
      <c r="BM421" s="200">
        <f>IF($K421=BM$3,IF($C421="X",0,$O421),0)</f>
        <v>0</v>
      </c>
      <c r="BN421" s="201">
        <f>IF($K421=BN$3,IF($C421="X",0,$O421),0)</f>
        <v>0</v>
      </c>
      <c r="BO421" s="201">
        <f>IF($K421=BO$3,IF($C421="X",0,$O421),0)</f>
        <v>0</v>
      </c>
      <c r="BP421" s="201">
        <f>IF($K421=BP$3,IF($C421="X",0,$O421),0)</f>
        <v>0</v>
      </c>
      <c r="BQ421" s="202">
        <f>IF($K421=BQ$3,IF($C421="X",0,$O421),0)</f>
        <v>0</v>
      </c>
      <c r="BR421" s="199">
        <f>IF($K421=BR$3,IF($C421="X",0,$O421),0)</f>
        <v>0</v>
      </c>
      <c r="BS421" s="204">
        <f>IF($B421="LOSS",IF(AND($K421=BS$3,$C421="L"),-$O421,0)+IF(AND($K422=BS$3,$C422="L"),-$O422,0)+IF(AND($K423=BS$3,$C423="L"),-$O423,0),IF(OR(AND($K421=BS$3,OR($C421="W",$C421="1/2W")),AND($K422=BS$3,OR($C422="W",$C422="1/2W")),AND($K423=BS$3,OR($C423="W",$C423="1/2W"))),$S421,0))</f>
        <v>0</v>
      </c>
      <c r="BT421" s="201">
        <f>IF($B421="LOSS",IF(AND($K421=BT$3,$C421="L"),-$O421,0)+IF(AND($K422=BT$3,$C422="L"),-$O422,0)+IF(AND($K422=BT$3,$C423="L"),-$O423,0),IF(OR(AND($K422=BT$3,OR($C421="W",$C421="1/2W")),AND($K422=BT$3,OR($C422="W",$C422="1/2W")),AND($K422=BT$3,OR($C423="W",$C423="1/2W"))),$S421,0))</f>
        <v>0</v>
      </c>
      <c r="BU421" s="201">
        <f>IF($B421="LOSS",IF(AND($K421=BU$3,$C421="L"),-$O421,0)+IF(AND($K422=BU$3,$C422="L"),-$O422,0)+IF(AND($K422=BU$3,$C423="L"),-$O423,0),IF(OR(AND($K422=BU$3,OR($C421="W",$C421="1/2W")),AND($K422=BU$3,OR($C422="W",$C422="1/2W")),AND($K422=BU$3,OR($C423="W",$C423="1/2W"))),$S421,0))</f>
        <v>0</v>
      </c>
      <c r="BV421" s="201">
        <f>IF($B421="LOSS",IF(AND($K421=BV$3,$C421="L"),-$O421,0)+IF(AND($K422=BV$3,$C422="L"),-$O422,0)+IF(AND($K423=BV$3,$C423="L"),-$O423,0),IF(OR(AND($K421=BV$3,OR($C421="W",$C421="1/2W")),AND($K422=BV$3,OR($C422="W",$C422="1/2W")),AND($K423=BV$3,OR($C423="W",$C423="1/2W"))),$S421,0))</f>
        <v>0</v>
      </c>
      <c r="BW421" s="201">
        <f>IF($B421="LOSS",IF(AND($K421=BW$3,$C421="L"),-$O421,0)+IF(AND($K422=BW$3,$C422="L"),-$O422,0)+IF(AND($K423=BW$3,$C423="L"),-$O423,0),IF(OR(AND($K421=BW$3,OR($C421="W",$C421="1/2W")),AND($K422=BW$3,OR($C422="W",$C422="1/2W")),AND($K423=BW$3,OR($C423="W",$C423="1/2W"))),$S421,0))</f>
        <v>0</v>
      </c>
      <c r="BX421" s="201">
        <f>IF($B421="LOSS",IF(AND($K421=BX$3,$C421="L"),-$O421,0)+IF(AND($K422=BX$3,$C422="L"),-$O422,0)+IF(AND($K423=BX$3,$C423="L"),-$O423,0),IF(OR(AND($K421=BX$3,OR($C421="W",$C421="1/2W")),AND($K422=BX$3,OR($C422="W",$C422="1/2W")),AND($K423=BX$3,OR($C423="W",$C423="1/2W"))),$S421,0))</f>
        <v>0</v>
      </c>
      <c r="BY421" s="201">
        <f>IF($B421="LOSS",IF(AND($K421=BY$3,$C421="L"),-$O421,0)+IF(AND($K422=BY$3,$C422="L"),-$O422,0)+IF(AND($K423=BY$3,$C423="L"),-$O423,0),IF(OR(AND($K421=BY$3,OR($C421="W",$C421="1/2W")),AND($K422=BY$3,OR($C422="W",$C422="1/2W")),AND($K423=BY$3,OR($C423="W",$C423="1/2W"))),$S421,0))</f>
        <v>0</v>
      </c>
      <c r="BZ421" s="205">
        <f>IF($B421="LOSS",IF(AND($K421=BZ$3,$C421="L"),-$O421,0)+IF(AND($K422=BZ$3,$C422="L"),-$O422,0)+IF(AND($K423=BZ$3,$C423="L"),-$O423,0),IF(OR(AND($K421=BZ$3,OR($C421="W",$C421="1/2W")),AND($K422=BZ$3,OR($C422="W",$C422="1/2W")),AND($K423=BZ$3,OR($C423="W",$C423="1/2W"))),$S421,0))</f>
        <v>0</v>
      </c>
      <c r="CA421" s="205">
        <f>IF($B421="LOSS",IF(AND($K421=CA$3,$C421="L"),-$O421,0)+IF(AND($K422=CA$3,$C422="L"),-$O422,0)+IF(AND($K423=CA$3,$C423="L"),-$O423,0),IF(OR(AND($K421=CA$3,OR($C421="W",$C421="1/2W")),AND($K422=CA$3,OR($C422="W",$C422="1/2W")),AND($K423=CA$3,OR($C423="W",$C423="1/2W"))),$S421,0))</f>
        <v>0</v>
      </c>
      <c r="CB421" s="205">
        <f>IF($B421="LOSS",IF(AND($K421=CB$3,$C421="L"),-$O421,0)+IF(AND($K422=CB$3,$C422="L"),-$O422,0)+IF(AND($K423=CB$3,$C423="L"),-$O423,0),IF(OR(AND($K421=CB$3,OR($C421="W",$C421="1/2W")),AND($K422=CB$3,OR($C422="W",$C422="1/2W")),AND($K423=CB$3,OR($C423="W",$C423="1/2W"))),$S421,0))</f>
        <v>0</v>
      </c>
      <c r="CC421" s="205">
        <f>IF($B421="LOSS",IF(AND($K421=CC$3,$C421="L"),-$O421,0)+IF(AND($K422=CC$3,$C422="L"),-$O422,0)+IF(AND($K423=CC$3,$C423="L"),-$O423,0),IF(OR(AND($K421=CC$3,OR($C421="W",$C421="1/2W")),AND($K422=CC$3,OR($C422="W",$C422="1/2W")),AND($K423=CC$3,OR($C423="W",$C423="1/2W"))),$S421,0))</f>
        <v>0</v>
      </c>
      <c r="CD421" s="202">
        <f>IF($B421="LOSS",IF(AND($K421=CD$3,$C421="L"),-$O421,0)+IF(AND($K422=CD$3,$C422="L"),-$O422,0)+IF(AND($K423=CD$3,$C423="L"),-$O423,0),IF(OR(AND($K421=CD$3,OR($C421="W",$C421="1/2W")),AND($K422=CD$3,OR($C422="W",$C422="1/2W")),AND($K423=CD$3,OR($C423="W",$C423="1/2W"))),$S421,0))</f>
        <v>0</v>
      </c>
      <c r="CE421" s="199">
        <f>IF($B421="LOSS",IF(AND($K421=CE$3,$C421="L"),-$O421,0)+IF(AND($K422=CE$3,$C422="L"),-$O422,0)+IF(AND($K423=CE$3,$C423="L"),-$O423,0),IF(OR(AND($K421=CE$3,OR($C421="W",$C421="1/2W")),AND($K422=CE$3,OR($C422="W",$C422="1/2W")),AND($K423=CE$3,OR($C423="W",$C423="1/2W"))),$S421,0))</f>
        <v>0</v>
      </c>
      <c r="CF421" s="206">
        <f>IF(CF$3=$K421,IF($C421="W",1,IF($C421="1/2W",0.5,0)),0)</f>
        <v>0</v>
      </c>
      <c r="CG421" s="207">
        <f>IF(CF$3=$K421,IF($C421="L",1,IF($C421="1/2L",0.5,0)),0)</f>
        <v>0</v>
      </c>
      <c r="CH421" s="207">
        <f>IF(CH$3=$K421,IF($C421="W",1,IF($C421="1/2W",0.5,0)),0)</f>
        <v>1</v>
      </c>
      <c r="CI421" s="207">
        <f>IF(CH$3=$K421,IF($C421="L",1,IF($C421="1/2L",0.5,0)),0)</f>
        <v>0</v>
      </c>
      <c r="CJ421" s="207">
        <f>IF(CJ$3=$K421,IF($C421="W",1,IF($C421="1/2W",0.5,0)),0)</f>
        <v>0</v>
      </c>
      <c r="CK421" s="207">
        <f>IF(CJ$3=$K421,IF($C421="L",1,IF($C421="1/2L",0.5,0)),0)</f>
        <v>0</v>
      </c>
      <c r="CL421" s="207">
        <f>IF(CL$3=$K421,IF($C421="W",1,IF($C421="1/2W",0.5,0)),0)</f>
        <v>0</v>
      </c>
      <c r="CM421" s="207">
        <f>IF(CL$3=$K421,IF($C421="L",1,IF($C421="1/2L",0.5,0)),0)</f>
        <v>0</v>
      </c>
      <c r="CN421" s="207">
        <f>IF(CN$3=$K421,IF($C421="W",1,IF($C421="1/2W",0.5,0)),0)</f>
        <v>0</v>
      </c>
      <c r="CO421" s="207">
        <f>IF(CN$3=$K421,IF($C421="L",1,IF($C421="1/2L",0.5,0)),0)</f>
        <v>0</v>
      </c>
      <c r="CP421" s="207">
        <f>IF(CP$3=$K421,IF($C421="W",1,IF($C421="1/2W",0.5,0)),0)</f>
        <v>0</v>
      </c>
      <c r="CQ421" s="207">
        <f>IF(CP$3=$K421,IF($C421="L",1,IF($C421="1/2L",0.5,0)),0)</f>
        <v>0</v>
      </c>
      <c r="CR421" s="207">
        <f>IF(CR$3=$K421,IF($C421="W",1,IF($C421="1/2W",0.5,0)),0)</f>
        <v>0</v>
      </c>
      <c r="CS421" s="207">
        <f>IF(CR$3=$K421,IF($C421="L",1,IF($C421="1/2L",0.5,0)),0)</f>
        <v>0</v>
      </c>
      <c r="CT421" s="208">
        <f>IF(CT$3=$K421,IF($C421="W",1,IF($C421="1/2W",0.5,0)),0)</f>
        <v>0</v>
      </c>
      <c r="CU421" s="209">
        <f>IF(CT$3=$K421,IF($C421="L",1,IF($C421="1/2L",0.5,0)),0)</f>
        <v>0</v>
      </c>
      <c r="CV421" s="209">
        <f>IF(CV$3=$K421,IF($C421="W",1,IF($C421="1/2W",0.5,0)),0)</f>
        <v>0</v>
      </c>
      <c r="CW421" s="209">
        <f>IF(CV$3=$K421,IF($C421="L",1,IF($C421="1/2L",0.5,0)),0)</f>
        <v>0</v>
      </c>
      <c r="CX421" s="209">
        <f>IF(CX$3=$K421,IF($C421="W",1,IF($C421="1/2W",0.5,0)),0)</f>
        <v>0</v>
      </c>
      <c r="CY421" s="209">
        <f>IF(CX$3=$K421,IF($C421="L",1,IF($C421="1/2L",0.5,0)),0)</f>
        <v>0</v>
      </c>
      <c r="CZ421" s="209">
        <f>IF(CZ$3=$K421,IF($C421="W",1,IF($C421="1/2W",0.5,0)),0)</f>
        <v>0</v>
      </c>
      <c r="DA421" s="209">
        <f>IF(CZ$3=$K421,IF($C421="L",1,IF($C421="1/2L",0.5,0)),0)</f>
        <v>0</v>
      </c>
      <c r="DB421" s="209">
        <f>IF(DB$3=$K421,IF($C421="W",1,IF($C421="1/2W",0.5,0)),0)</f>
        <v>0</v>
      </c>
      <c r="DC421" s="209">
        <f>IF(DB$3=$K421,IF($C421="L",1,IF($C421="1/2L",0.5,0)),0)</f>
        <v>0</v>
      </c>
      <c r="DD421" s="209">
        <f>IF(DD$3=$K421,IF($C421="W",1,IF($C421="1/2W",0.5,0)),0)</f>
        <v>0</v>
      </c>
      <c r="DE421" s="210">
        <f>IF(DD$3=$K421,IF($C421="L",1,IF($C421="1/2L",0.5,0)),0)</f>
        <v>0</v>
      </c>
      <c r="DF421" s="211">
        <f>IF(AND(L421&lt;DF$3,$C421="W"),1+DF420,DF420)</f>
        <v>14</v>
      </c>
      <c r="DG421" s="198">
        <f>IF(DF421&gt;DF420,L421+DG420,DG420)</f>
        <v>18.548</v>
      </c>
      <c r="DH421" s="209">
        <f>IF(AND(L421&gt;DH$3,$C421="W"),1+DH420,0+DH420)</f>
        <v>10</v>
      </c>
      <c r="DI421" s="198">
        <f>IF(DH421&gt;DH420,L421+DI420,DI420)</f>
        <v>55.13</v>
      </c>
      <c r="DJ421" t="s" s="306">
        <f>IF($D421="","",$D421)</f>
        <v>342</v>
      </c>
      <c r="DK421" s="209">
        <f>IF(AND($B421=" ",$D421&lt;&gt;""),1,0)</f>
        <v>0</v>
      </c>
    </row>
    <row r="422" ht="14.55" customHeight="1">
      <c r="A422" s="107"/>
      <c r="B422" s="108"/>
      <c r="C422" t="s" s="213">
        <v>51</v>
      </c>
      <c r="D422" s="110"/>
      <c r="E422" s="111"/>
      <c r="F422" s="112"/>
      <c r="G422" s="214"/>
      <c r="H422" s="114"/>
      <c r="I422" t="s" s="215">
        <v>67</v>
      </c>
      <c r="J422" s="296">
        <f>IF(OR(I421="TO",I421="TU",I421="TO1",I421="TU1",I421="TO2",I421="TU2"),J421,IF(OR(I421="AH1",I421="AH2"),IF(OR(I422="AH1",I422="AH2"),-J421,IF(OR(I422="EH1",I422="EH2"),-J421+0.5,"")),IF(OR(I421="EH1",I421="EH2"),IF(OR(I422="AH1",I422="AH2"),-J421+0.5,IF(OR(I422="EH1",I422="EH2"),-J421+1,"")),IF(AND(OR(I421="DNB1",I421="DNB2"),OR(I422="AH1",I422="AH2")),0,IF(AND(I421="Not ScoreBoth",OR(I422="TO1",I422="TO2")),0.5,"")))))</f>
        <v>11.5</v>
      </c>
      <c r="K422" t="s" s="217">
        <v>41</v>
      </c>
      <c r="L422" s="218">
        <v>1.53</v>
      </c>
      <c r="M422" s="219">
        <v>25.47</v>
      </c>
      <c r="N422" s="120"/>
      <c r="O422" s="220">
        <f>IF(OR(AE421="",AE422=""),"",ROUND(IF(L423&gt;0,IF(M422&gt;0,M422,IF(M421&gt;0,IF(N421=TRUE,ROUND((M421*AE422)/AE421,0),(M421*AE422)/AE421),IF(M422&gt;0,ROUND(M422,IF(N421=0,2,IF(N421=0.1,1,0))),IF(M423&gt;0,ROUND(O423*AE422/AE423,IF(N421=0,2,IF(N421=0.1,1,0))),0)))),IF(M422&gt;0,M422,ROUND((M421*AE422)/AE421,IF(N421=0,2,IF(N421=0.1,1,0))))),2))</f>
        <v>25.47</v>
      </c>
      <c r="P422" s="221">
        <f>IF(OR(L422="",O422=""),"",IF($C422="1/2W",O422/2+O422/2*L422,IF($C422="1/2L",O422/2,IF(I422="Lay",((O422*(L422/(L422-1)))-O422)*(1-_xlfn.XLOOKUP(K422,'Janeiro 2023 - Valor Real'!A3:A15,'Janeiro 2023 - Valor Real'!C3:C15,0))+O422,(O422*L422-O422)*(1-_xlfn.XLOOKUP(K422,'Janeiro 2023 - Valor Real'!A3:A15,'Janeiro 2023 - Valor Real'!C3:C15,0))+O422))))</f>
        <v>38.9691</v>
      </c>
      <c r="Q422" s="222">
        <f>IF(K422="","",IF(_xlfn.XLOOKUP(K422,K$111:K183,DJ$111:DJ183,0,,-1)=DJ422,_xlfn.XLOOKUP(K422,K$111:K183,Q$111:Q183,1,,-1)+1,1))</f>
        <v>1</v>
      </c>
      <c r="R422" s="223">
        <f>IF(K422="","",_xlfn.XLOOKUP(K422,K$111:K183,R$111:R183,0,,-1)+IF($C422=" ",1,0))</f>
        <v>0</v>
      </c>
      <c r="S422" s="125"/>
      <c r="T422" s="126"/>
      <c r="U422" s="126"/>
      <c r="V422" s="224"/>
      <c r="W422" s="126"/>
      <c r="X422" s="127"/>
      <c r="Y422" s="128"/>
      <c r="Z422" s="129"/>
      <c r="AA422" s="129"/>
      <c r="AB422" s="129"/>
      <c r="AC422" s="129"/>
      <c r="AD422" s="225">
        <f>(((L422/(L422-1)-1)*(1-_xlfn.XLOOKUP(K422,'Janeiro 2023 - Valor Real'!A3:A15,'Janeiro 2023 - Valor Real'!C3:C15,0))+1))</f>
        <v>2.88679245283019</v>
      </c>
      <c r="AE422" s="226">
        <f>IF(L422="","",IF(L423&gt;0,(SUM(((L421-1)*(1-_xlfn.XLOOKUP(K421,'Janeiro 2023 - Valor Real'!A3:A15,'Janeiro 2023 - Valor Real'!C3:C15,0))+1),((L422-1)*(1-_xlfn.XLOOKUP(K422,'Janeiro 2023 - Valor Real'!A3:A15,'Janeiro 2023 - Valor Real'!C3:C15,0))+1),((L423-1)*(1-_xlfn.XLOOKUP(K423,'Janeiro 2023 - Valor Real'!A3:A15,'Janeiro 2023 - Valor Real'!C3:C15,0))+1))/((L422-1)*(1-_xlfn.XLOOKUP(K422,'Janeiro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Real'!C3:C15,0))+1))/((L421-1)*(1-_xlfn.XLOOKUP(K421,'Janeiro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Real'!C3:C15,0))+1))/((L422-1)*(1-_xlfn.XLOOKUP(K422,'Janeiro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Real'!C3:C15,0))+1))/((L423-1)*(1-_xlfn.XLOOKUP(K423,'Janeiro 2023 - Valor Real'!A3:A15,'Janeiro 2023 - Valor Real'!C3:C15,0))+1)),IF(I422="Lay",IF(I421="Lay",((L421/(L421-1)-1)*(1-_xlfn.XLOOKUP(K421,'Janeiro 2023 - Valor Real'!A3:A15,'Janeiro 2023 - Valor Real'!C3:C15,0))+1)/(((L421/(L421-1)-1)*(1-_xlfn.XLOOKUP(K421,'Janeiro 2023 - Valor Real'!A3:A15,'Janeiro 2023 - Valor Real'!C3:C15,0))+1)+((L422/(L422-1)-1)*(1-_xlfn.XLOOKUP(K422,'Janeiro 2023 - Valor Real'!A3:A15,'Janeiro 2023 - Valor Real'!C3:C15,0))+1)),((L421-1)*(1-_xlfn.XLOOKUP(K421,'Janeiro 2023 - Valor Real'!A3:A15,'Janeiro 2023 - Valor Real'!C3:C15,0))+1)/(((L421-1)*(1-_xlfn.XLOOKUP(K421,'Janeiro 2023 - Valor Real'!A3:A15,'Janeiro 2023 - Valor Real'!C3:C15,0))+1)+((L422/(L422-1)-1)*(1-_xlfn.XLOOKUP(K422,'Janeiro 2023 - Valor Real'!A3:A15,'Janeiro 2023 - Valor Real'!C3:C15,0))+1))),IF(I421="Lay",((L421/(L421-1)-1)*(1-_xlfn.XLOOKUP(K421,'Janeiro 2023 - Valor Real'!A3:A15,'Janeiro 2023 - Valor Real'!C3:C15,0))+1)/((((L421/(L421-1)-1)*(1-_xlfn.XLOOKUP(K421,'Janeiro 2023 - Valor Real'!A3:A15,'Janeiro 2023 - Valor Real'!C3:C15,0))+1))+((L422-1)*(1-_xlfn.XLOOKUP(K422,'Janeiro 2023 - Valor Real'!A3:A15,'Janeiro 2023 - Valor Real'!C3:C15,0))+1)),((L421-1)*(1-_xlfn.XLOOKUP(K421,'Janeiro 2023 - Valor Real'!A3:A15,'Janeiro 2023 - Valor Real'!C3:C15,0))+1)/(((L421-1)*(1-_xlfn.XLOOKUP(K421,'Janeiro 2023 - Valor Real'!A3:A15,'Janeiro 2023 - Valor Real'!C3:C15,0))+1)+((L422-1)*(1-_xlfn.XLOOKUP(K422,'Janeiro 2023 - Valor Real'!A3:A15,'Janeiro 2023 - Valor Real'!C3:C15,0))+1))))))</f>
        <v>0.676532769556025</v>
      </c>
      <c r="AF422" s="197">
        <f>IF($K422=AF$3,ROUND(IF(OR($C422="W",$C422="1/2W",$C422="1/2L"),$P422-$O422,IF($C422="X",0,-$O422)),2),0)</f>
        <v>0</v>
      </c>
      <c r="AG422" s="198">
        <f>IF($K422=AG$3,ROUND(IF(OR($C422="W",$C422="1/2W",$C422="1/2L"),$P422-$O422,IF($C422="X",0,-$O422)),2),0)</f>
        <v>0</v>
      </c>
      <c r="AH422" s="198">
        <f>IF($K422=AH$3,ROUND(IF(OR($C422="W",$C422="1/2W",$C422="1/2L"),$P422-$O422,IF($C422="X",0,-$O422)),2),0)</f>
        <v>0</v>
      </c>
      <c r="AI422" s="198">
        <f>IF($K422=AI$3,ROUND(IF(OR($C422="W",$C422="1/2W",$C422="1/2L"),$P422-$O422,IF($C422="X",0,-$O422)),2),0)</f>
        <v>0</v>
      </c>
      <c r="AJ422" s="198">
        <f>IF($K422=AJ$3,ROUND(IF(OR($C422="W",$C422="1/2W",$C422="1/2L"),$P422-$O422,IF($C422="X",0,-$O422)),2),0)</f>
        <v>-25.47</v>
      </c>
      <c r="AK422" s="198">
        <f>IF($K422=AK$3,ROUND(IF(OR($C422="W",$C422="1/2W",$C422="1/2L"),$P422-$O422,IF($C422="X",0,-$O422)),2),0)</f>
        <v>0</v>
      </c>
      <c r="AL422" s="198">
        <f>IF($K422=AL$3,ROUND(IF(OR($C422="W",$C422="1/2W",$C422="1/2L"),$P422-$O422,IF($C422="X",0,-$O422)),2),0)</f>
        <v>0</v>
      </c>
      <c r="AM422" s="198">
        <f>IF($K422=AM$3,ROUND(IF(OR($C422="W",$C422="1/2W",$C422="1/2L"),$P422-$O422,IF($C422="X",0,-$O422)),2),0)</f>
        <v>0</v>
      </c>
      <c r="AN422" s="198">
        <f>IF($K422=AN$3,ROUND(IF(OR($C422="W",$C422="1/2W",$C422="1/2L"),$P422-$O422,IF($C422="X",0,-$O422)),2),0)</f>
        <v>0</v>
      </c>
      <c r="AO422" s="198">
        <f>IF($K422=AO$3,ROUND(IF(OR($C422="W",$C422="1/2W",$C422="1/2L"),$P422-$O422,IF($C422="X",0,-$O422)),2),0)</f>
        <v>0</v>
      </c>
      <c r="AP422" s="198">
        <f>IF($K422=AP$3,ROUND(IF(OR($C422="W",$C422="1/2W",$C422="1/2L"),$P422-$O422,IF($C422="X",0,-$O422)),2),0)</f>
        <v>0</v>
      </c>
      <c r="AQ422" s="198">
        <f>IF($K422=AQ$3,ROUND(IF(OR($C422="W",$C422="1/2W",$C422="1/2L"),$P422-$O422,IF($C422="X",0,-$O422)),2),0)</f>
        <v>0</v>
      </c>
      <c r="AR422" s="199">
        <f>IF($K422=AR$3,ROUND(IF(OR($C422="W",$C422="1/2W",$C422="1/2L"),$P422-$O422,IF($C422="X",0,-$O422)),2),0)</f>
        <v>0</v>
      </c>
      <c r="AS422" s="197">
        <f>IF(AND($B421=" ",$K422=AS$3),$O422,0)</f>
        <v>0</v>
      </c>
      <c r="AT422" s="198">
        <f>IF(AND($B421=" ",K422=AT$3),$O422,0)</f>
        <v>0</v>
      </c>
      <c r="AU422" s="198">
        <f>IF(AND($B421=" ",$K422=AU$3),$O422,0)</f>
        <v>0</v>
      </c>
      <c r="AV422" s="198">
        <f>IF(AND($B421=" ",$K422=AV$3),$O422,0)</f>
        <v>0</v>
      </c>
      <c r="AW422" s="198">
        <f>IF(AND($B421=" ",$K422=AW$3),$O422,0)</f>
        <v>0</v>
      </c>
      <c r="AX422" s="198">
        <f>IF(AND($B421=" ",$K422=AX$3),$O422,0)</f>
        <v>0</v>
      </c>
      <c r="AY422" s="200">
        <f>IF(AND($B421=" ",$K422=AY$3),$O422,0)</f>
        <v>0</v>
      </c>
      <c r="AZ422" s="201">
        <f>IF(AND($B421=" ",$K422=AZ$3),$O422,0)</f>
        <v>0</v>
      </c>
      <c r="BA422" s="201">
        <f>IF(AND($B421=" ",$K422=BA$3),$O422,0)</f>
        <v>0</v>
      </c>
      <c r="BB422" s="201">
        <f>IF(AND($B421=" ",$K422=BB$3),$O422,0)</f>
        <v>0</v>
      </c>
      <c r="BC422" s="202">
        <f>IF(AND($B421=" ",$K422=BC$3),$O422,0)</f>
        <v>0</v>
      </c>
      <c r="BD422" s="198">
        <f>IF(AND($B421=" ",$K422=BD$3),$O422,0)</f>
        <v>0</v>
      </c>
      <c r="BE422" s="199">
        <f>IF(AND($B421=" ",$K422=BE$3),$O422,0)</f>
        <v>0</v>
      </c>
      <c r="BF422" s="197">
        <f>IF($K422=BF$3,IF($C422="X",0,$O422),0)</f>
        <v>0</v>
      </c>
      <c r="BG422" s="198">
        <f>IF($K422=BG$3,IF($C422="X",0,$O422),0)</f>
        <v>0</v>
      </c>
      <c r="BH422" s="198">
        <f>IF($K422=BH$3,IF($C422="X",0,$O422),0)</f>
        <v>0</v>
      </c>
      <c r="BI422" s="198">
        <f>IF($K422=BI$3,IF($C422="X",0,$O422),0)</f>
        <v>0</v>
      </c>
      <c r="BJ422" s="198">
        <f>IF($K422=BJ$3,IF($C422="X",0,$O422),0)</f>
        <v>25.47</v>
      </c>
      <c r="BK422" s="198">
        <f>IF($K422=BK$3,IF($C422="X",0,$O422),0)</f>
        <v>0</v>
      </c>
      <c r="BL422" s="198">
        <f>IF($K422=BL$3,IF($C422="X",0,$O422),0)</f>
        <v>0</v>
      </c>
      <c r="BM422" s="227">
        <f>IF($K422=BM$3,IF($C422="X",0,$O422),0)</f>
        <v>0</v>
      </c>
      <c r="BN422" s="205">
        <f>IF($K422=BN$3,IF($C422="X",0,$O422),0)</f>
        <v>0</v>
      </c>
      <c r="BO422" s="205">
        <f>IF($K422=BO$3,IF($C422="X",0,$O422),0)</f>
        <v>0</v>
      </c>
      <c r="BP422" s="205">
        <f>IF($K422=BP$3,IF($C422="X",0,$O422),0)</f>
        <v>0</v>
      </c>
      <c r="BQ422" s="202">
        <f>IF($K422=BQ$3,IF($C422="X",0,$O422),0)</f>
        <v>0</v>
      </c>
      <c r="BR422" s="199">
        <f>IF($K422=BR$3,IF($C422="X",0,$O422),0)</f>
        <v>0</v>
      </c>
      <c r="BS422" s="228"/>
      <c r="BT422" s="229"/>
      <c r="BU422" s="140"/>
      <c r="BV422" s="229"/>
      <c r="BW422" s="140"/>
      <c r="BX422" s="140"/>
      <c r="BY422" s="140"/>
      <c r="BZ422" s="229"/>
      <c r="CA422" s="140"/>
      <c r="CB422" s="140"/>
      <c r="CC422" s="140"/>
      <c r="CD422" s="141"/>
      <c r="CE422" s="142"/>
      <c r="CF422" s="230">
        <f>IF(CF$3=$K422,IF($C422="W",1,IF($C422="1/2W",0.5,0)),0)</f>
        <v>0</v>
      </c>
      <c r="CG422" s="231">
        <f>IF(CF$3=$K422,IF($C422="L",1,IF($C422="1/2L",0.5,0)),0)</f>
        <v>0</v>
      </c>
      <c r="CH422" s="231">
        <f>IF(CH$3=$K422,IF($C422="W",1,IF($C422="1/2W",0.5,0)),0)</f>
        <v>0</v>
      </c>
      <c r="CI422" s="231">
        <f>IF(CH$3=$K422,IF($C422="L",1,IF($C422="1/2L",0.5,0)),0)</f>
        <v>0</v>
      </c>
      <c r="CJ422" s="231">
        <f>IF(CJ$3=$K422,IF($C422="W",1,IF($C422="1/2W",0.5,0)),0)</f>
        <v>0</v>
      </c>
      <c r="CK422" s="231">
        <f>IF(CJ$3=$K422,IF($C422="L",1,IF($C422="1/2L",0.5,0)),0)</f>
        <v>0</v>
      </c>
      <c r="CL422" s="231">
        <f>IF(CL$3=$K422,IF($C422="W",1,IF($C422="1/2W",0.5,0)),0)</f>
        <v>0</v>
      </c>
      <c r="CM422" s="231">
        <f>IF(CL$3=$K422,IF($C422="L",1,IF($C422="1/2L",0.5,0)),0)</f>
        <v>0</v>
      </c>
      <c r="CN422" s="231">
        <f>IF(CN$3=$K422,IF($C422="W",1,IF($C422="1/2W",0.5,0)),0)</f>
        <v>0</v>
      </c>
      <c r="CO422" s="231">
        <f>IF(CN$3=$K422,IF($C422="L",1,IF($C422="1/2L",0.5,0)),0)</f>
        <v>1</v>
      </c>
      <c r="CP422" s="231">
        <f>IF(CP$3=$K422,IF($C422="W",1,IF($C422="1/2W",0.5,0)),0)</f>
        <v>0</v>
      </c>
      <c r="CQ422" s="231">
        <f>IF(CP$3=$K422,IF($C422="L",1,IF($C422="1/2L",0.5,0)),0)</f>
        <v>0</v>
      </c>
      <c r="CR422" s="231">
        <f>IF(CR$3=$K422,IF($C422="W",1,IF($C422="1/2W",0.5,0)),0)</f>
        <v>0</v>
      </c>
      <c r="CS422" s="231">
        <f>IF(CR$3=$K422,IF($C422="L",1,IF($C422="1/2L",0.5,0)),0)</f>
        <v>0</v>
      </c>
      <c r="CT422" s="208">
        <f>IF(CT$3=$K422,IF($C422="W",1,IF($C422="1/2W",0.5,0)),0)</f>
        <v>0</v>
      </c>
      <c r="CU422" s="209">
        <f>IF(CT$3=$K422,IF($C422="L",1,IF($C422="1/2L",0.5,0)),0)</f>
        <v>0</v>
      </c>
      <c r="CV422" s="209">
        <f>IF(CV$3=$K422,IF($C422="W",1,IF($C422="1/2W",0.5,0)),0)</f>
        <v>0</v>
      </c>
      <c r="CW422" s="209">
        <f>IF(CV$3=$K422,IF($C422="L",1,IF($C422="1/2L",0.5,0)),0)</f>
        <v>0</v>
      </c>
      <c r="CX422" s="209">
        <f>IF(CX$3=$K422,IF($C422="W",1,IF($C422="1/2W",0.5,0)),0)</f>
        <v>0</v>
      </c>
      <c r="CY422" s="209">
        <f>IF(CX$3=$K422,IF($C422="L",1,IF($C422="1/2L",0.5,0)),0)</f>
        <v>0</v>
      </c>
      <c r="CZ422" s="209">
        <f>IF(CZ$3=$K422,IF($C422="W",1,IF($C422="1/2W",0.5,0)),0)</f>
        <v>0</v>
      </c>
      <c r="DA422" s="209">
        <f>IF(CZ$3=$K422,IF($C422="L",1,IF($C422="1/2L",0.5,0)),0)</f>
        <v>0</v>
      </c>
      <c r="DB422" s="209">
        <f>IF(DB$3=$K422,IF($C422="W",1,IF($C422="1/2W",0.5,0)),0)</f>
        <v>0</v>
      </c>
      <c r="DC422" s="209">
        <f>IF(DB$3=$K422,IF($C422="L",1,IF($C422="1/2L",0.5,0)),0)</f>
        <v>0</v>
      </c>
      <c r="DD422" s="209">
        <f>IF(DD$3=$K422,IF($C422="W",1,IF($C422="1/2W",0.5,0)),0)</f>
        <v>0</v>
      </c>
      <c r="DE422" s="210">
        <f>IF(DD$3=$K422,IF($C422="L",1,IF($C422="1/2L",0.5,0)),0)</f>
        <v>0</v>
      </c>
      <c r="DF422" s="211">
        <f>IF(AND(L422&lt;DF$3,$C422="W"),1+DF421,DF421)</f>
        <v>14</v>
      </c>
      <c r="DG422" s="198">
        <f>IF(DF422&gt;DF421,L422+DG421,DG421)</f>
        <v>18.548</v>
      </c>
      <c r="DH422" s="209">
        <f>IF(AND(L422&gt;DH$3,$C422="W"),1+DH421,0+DH421)</f>
        <v>10</v>
      </c>
      <c r="DI422" s="198">
        <f>IF(DH422&gt;DH421,L422+DI421,DI421)</f>
        <v>55.13</v>
      </c>
      <c r="DJ422" t="s" s="306">
        <f>IF($D421="","",$D421)</f>
        <v>342</v>
      </c>
      <c r="DK422" s="232"/>
    </row>
    <row r="423" ht="14.55" customHeight="1">
      <c r="A423" s="149"/>
      <c r="B423" s="150"/>
      <c r="C423" t="s" s="233">
        <v>58</v>
      </c>
      <c r="D423" s="152"/>
      <c r="E423" s="153"/>
      <c r="F423" s="300"/>
      <c r="G423" s="234"/>
      <c r="H423" s="156"/>
      <c r="I423" s="235"/>
      <c r="J423" s="236"/>
      <c r="K423" s="237"/>
      <c r="L423" s="238"/>
      <c r="M423" s="239"/>
      <c r="N423" s="161"/>
      <c r="O423" t="s" s="240">
        <f>IF(OR(AE421="",AE422=""),"",IF(L423&gt;0,ROUND(IF(M423&gt;0,M423,IF(M421&gt;0,ROUND((M421*AE423)/AE421,IF(N421=0,2,IF(N421=0.1,1,0))),IF(M422&gt;0,ROUND((M422*AE423)/AE422,IF(N421=0,2,IF(N421=0.1,1,0))),IF(M423&gt;0,M423,0)))),2),""))</f>
      </c>
      <c r="P423" t="s" s="241">
        <f>IF(I422="Lay",O422*(L422/(L422-1))-O422,IF(I421="Lay",O421*(L421/(L421-1))-O421,IF(OR(L423="",O423=""),"",IF($C423="1/2W",O423/2+O423/2*L423,IF($C423="1/2L",O423/2,(O423*L423-O423)*(1-_xlfn.XLOOKUP(K423,'Janeiro 2023 - Valor Real'!A3:A15,'Janeiro 2023 - Valor Real'!C3:C15,0))+O423)))))</f>
      </c>
      <c r="Q423" t="s" s="242">
        <f>IF(K423="","",IF(_xlfn.XLOOKUP(K423,K$112:K184,DJ$112:DJ184,0,,-1)=DJ423,_xlfn.XLOOKUP(K423,K$112:K184,Q$112:Q184,1,,-1)+1,1))</f>
      </c>
      <c r="R423" t="s" s="243">
        <f>IF(K423="","",_xlfn.XLOOKUP(K423,K$112:K184,R$112:R184,0,,-1)+IF($C423=" ",1,0))</f>
      </c>
      <c r="S423" s="166"/>
      <c r="T423" s="155"/>
      <c r="U423" s="155"/>
      <c r="V423" s="166"/>
      <c r="W423" s="155"/>
      <c r="X423" s="167"/>
      <c r="Y423" s="128"/>
      <c r="Z423" s="129"/>
      <c r="AA423" s="129"/>
      <c r="AB423" s="129"/>
      <c r="AC423" s="129"/>
      <c r="AD423" s="244">
        <f>((L422/(L422-1)-1))</f>
        <v>1.88679245283019</v>
      </c>
      <c r="AE423" t="s" s="245">
        <f>IF(L423="","",(SUM(((L421-1)*(1-_xlfn.XLOOKUP(K421,'Janeiro 2023 - Valor Real'!A3:A15,'Janeiro 2023 - Valor Real'!C3:C15,0))+1),((L422-1)*(1-_xlfn.XLOOKUP(K422,'Janeiro 2023 - Valor Real'!A3:A15,'Janeiro 2023 - Valor Real'!C3:C15,0))+1),((L423-1)*(1-_xlfn.XLOOKUP(K423,'Janeiro 2023 - Valor Real'!A3:A15,'Janeiro 2023 - Valor Real'!C3:C15,0))+1))/((L423-1)*(1-_xlfn.XLOOKUP(K423,'Janeiro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Real'!C3:C15,0))+1))/((L421-1)*(1-_xlfn.XLOOKUP(K421,'Janeiro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Real'!C3:C15,0))+1))/((L422-1)*(1-_xlfn.XLOOKUP(K422,'Janeiro 2023 - Valor Real'!A3:A15,'Janeiro 2023 - Valor Real'!C3:C15,0))+1)+SUM(((L421-1)*(1-_xlfn.XLOOKUP(K421,'Janeiro 2023 - Valor Real'!A3:A15,'Janeiro 2023 - Valor Real'!C3:C15,0))+1),((L422-1)*(1-_xlfn.XLOOKUP(K422,'Janeiro 2023 - Valor Real'!A3:A15,'Janeiro 2023 - Valor Real'!C3:C15,0))+1),((L423-1)*(1-_xlfn.XLOOKUP(K423,'Janeiro 2023 - Valor Real'!A3:A15,'Janeiro 2023 - Valor Real'!C3:C15,0))+1))/((L423-1)*(1-_xlfn.XLOOKUP(K423,'Janeiro 2023 - Valor Real'!A3:A15,'Janeiro 2023 - Valor Real'!C3:C15,0))+1)))</f>
      </c>
      <c r="AF423" s="197">
        <f>IF($K423=AF$3,ROUND(IF(OR($C423="W",$C423="1/2W",$C423="1/2L"),$P423-$O423,IF($C423="X",0,-$O423)),2),0)</f>
        <v>0</v>
      </c>
      <c r="AG423" s="198">
        <f>IF($K423=AG$3,ROUND(IF(OR($C423="W",$C423="1/2W",$C423="1/2L"),$P423-$O423,IF($C423="X",0,-$O423)),2),0)</f>
        <v>0</v>
      </c>
      <c r="AH423" s="198">
        <f>IF($K423=AH$3,ROUND(IF(OR($C423="W",$C423="1/2W",$C423="1/2L"),$P423-$O423,IF($C423="X",0,-$O423)),2),0)</f>
        <v>0</v>
      </c>
      <c r="AI423" s="198">
        <f>IF($K423=AI$3,ROUND(IF(OR($C423="W",$C423="1/2W",$C423="1/2L"),$P423-$O423,IF($C423="X",0,-$O423)),2),0)</f>
        <v>0</v>
      </c>
      <c r="AJ423" s="198">
        <f>IF($K423=AJ$3,ROUND(IF(OR($C423="W",$C423="1/2W",$C423="1/2L"),$P423-$O423,IF($C423="X",0,-$O423)),2),0)</f>
        <v>0</v>
      </c>
      <c r="AK423" s="198">
        <f>IF($K423=AK$3,ROUND(IF(OR($C423="W",$C423="1/2W",$C423="1/2L"),$P423-$O423,IF($C423="X",0,-$O423)),2),0)</f>
        <v>0</v>
      </c>
      <c r="AL423" s="198">
        <f>IF($K423=AL$3,ROUND(IF(OR($C423="W",$C423="1/2W",$C423="1/2L"),$P423-$O423,IF($C423="X",0,-$O423)),2),0)</f>
        <v>0</v>
      </c>
      <c r="AM423" s="198">
        <f>IF($K423=AM$3,ROUND(IF(OR($C423="W",$C423="1/2W",$C423="1/2L"),$P423-$O423,IF($C423="X",0,-$O423)),2),0)</f>
        <v>0</v>
      </c>
      <c r="AN423" s="198">
        <f>IF($K423=AN$3,ROUND(IF(OR($C423="W",$C423="1/2W",$C423="1/2L"),$P423-$O423,IF($C423="X",0,-$O423)),2),0)</f>
        <v>0</v>
      </c>
      <c r="AO423" s="198">
        <f>IF($K423=AO$3,ROUND(IF(OR($C423="W",$C423="1/2W",$C423="1/2L"),$P423-$O423,IF($C423="X",0,-$O423)),2),0)</f>
        <v>0</v>
      </c>
      <c r="AP423" s="198">
        <f>IF($K423=AP$3,ROUND(IF(OR($C423="W",$C423="1/2W",$C423="1/2L"),$P423-$O423,IF($C423="X",0,-$O423)),2),0)</f>
        <v>0</v>
      </c>
      <c r="AQ423" s="198">
        <f>IF($K423=AQ$3,ROUND(IF(OR($C423="W",$C423="1/2W",$C423="1/2L"),$P423-$O423,IF($C423="X",0,-$O423)),2),0)</f>
        <v>0</v>
      </c>
      <c r="AR423" s="199">
        <f>IF($K423=AR$3,ROUND(IF(OR($C423="W",$C423="1/2W",$C423="1/2L"),$P423-$O423,IF($C423="X",0,-$O423)),2),0)</f>
        <v>0</v>
      </c>
      <c r="AS423" s="197">
        <f>IF(AND($B421=" ",$K423=AS$3),$O423,0)</f>
        <v>0</v>
      </c>
      <c r="AT423" s="198">
        <f>IF(AND($B421=" ",K423=AT$3),$O423,0)</f>
        <v>0</v>
      </c>
      <c r="AU423" s="198">
        <f>IF(AND($B421=" ",$K423=AU$3),$O423,0)</f>
        <v>0</v>
      </c>
      <c r="AV423" s="198">
        <f>IF(AND($B421=" ",$K423=AV$3),$O423,0)</f>
        <v>0</v>
      </c>
      <c r="AW423" s="198">
        <f>IF(AND($B421=" ",$K423=AW$3),$O423,0)</f>
        <v>0</v>
      </c>
      <c r="AX423" s="198">
        <f>IF(AND($B421=" ",$K423=AX$3),$O423,0)</f>
        <v>0</v>
      </c>
      <c r="AY423" s="200">
        <f>IF(AND($B421=" ",$K423=AY$3),$O423,0)</f>
        <v>0</v>
      </c>
      <c r="AZ423" s="201">
        <f>IF(AND($B421=" ",$K423=AZ$3),$O423,0)</f>
        <v>0</v>
      </c>
      <c r="BA423" s="201">
        <f>IF(AND($B421=" ",$K423=BA$3),$O423,0)</f>
        <v>0</v>
      </c>
      <c r="BB423" s="201">
        <f>IF(AND($B421=" ",$K423=BB$3),$O423,0)</f>
        <v>0</v>
      </c>
      <c r="BC423" s="202">
        <f>IF(AND($B421=" ",$K423=BC$3),$O423,0)</f>
        <v>0</v>
      </c>
      <c r="BD423" s="198">
        <f>IF(AND($B421=" ",$K423=BD$3),$O423,0)</f>
        <v>0</v>
      </c>
      <c r="BE423" s="199">
        <f>IF(AND($B421=" ",$K423=BE$3),$O423,0)</f>
        <v>0</v>
      </c>
      <c r="BF423" s="197">
        <f>IF($K423=BF$3,IF($C423="X",0,$O423),0)</f>
        <v>0</v>
      </c>
      <c r="BG423" s="198">
        <f>IF($K423=BG$3,IF($C423="X",0,$O423),0)</f>
        <v>0</v>
      </c>
      <c r="BH423" s="198">
        <f>IF($K423=BH$3,IF($C423="X",0,$O423),0)</f>
        <v>0</v>
      </c>
      <c r="BI423" s="198">
        <f>IF($K423=BI$3,IF($C423="X",0,$O423),0)</f>
        <v>0</v>
      </c>
      <c r="BJ423" s="198">
        <f>IF($K423=BJ$3,IF($C423="X",0,$O423),0)</f>
        <v>0</v>
      </c>
      <c r="BK423" s="198">
        <f>IF($K423=BK$3,IF($C423="X",0,$O423),0)</f>
        <v>0</v>
      </c>
      <c r="BL423" s="198">
        <f>IF($K423=BL$3,IF($C423="X",0,$O423),0)</f>
        <v>0</v>
      </c>
      <c r="BM423" s="200">
        <f>IF($K423=BM$3,IF($C423="X",0,$O423),0)</f>
        <v>0</v>
      </c>
      <c r="BN423" s="201">
        <f>IF($K423=BN$3,IF($C423="X",0,$O423),0)</f>
        <v>0</v>
      </c>
      <c r="BO423" s="201">
        <f>IF($K423=BO$3,IF($C423="X",0,$O423),0)</f>
        <v>0</v>
      </c>
      <c r="BP423" s="201">
        <f>IF($K423=BP$3,IF($C423="X",0,$O423),0)</f>
        <v>0</v>
      </c>
      <c r="BQ423" s="202">
        <f>IF($K423=BQ$3,IF($C423="X",0,$O423),0)</f>
        <v>0</v>
      </c>
      <c r="BR423" s="199">
        <f>IF($K423=BR$3,IF($C423="X",0,$O423),0)</f>
        <v>0</v>
      </c>
      <c r="BS423" s="228"/>
      <c r="BT423" s="229"/>
      <c r="BU423" s="140"/>
      <c r="BV423" s="229"/>
      <c r="BW423" s="140"/>
      <c r="BX423" s="140"/>
      <c r="BY423" s="140"/>
      <c r="BZ423" s="229"/>
      <c r="CA423" s="140"/>
      <c r="CB423" s="140"/>
      <c r="CC423" s="140"/>
      <c r="CD423" s="141"/>
      <c r="CE423" s="142"/>
      <c r="CF423" s="230">
        <f>IF(CF$3=$K423,IF($C423="W",1,IF($C423="1/2W",0.5,0)),0)</f>
        <v>0</v>
      </c>
      <c r="CG423" s="231">
        <f>IF(CF$3=$K423,IF($C423="L",1,IF($C423="1/2L",0.5,0)),0)</f>
        <v>0</v>
      </c>
      <c r="CH423" s="231">
        <f>IF(CH$3=$K423,IF($C423="W",1,IF($C423="1/2W",0.5,0)),0)</f>
        <v>0</v>
      </c>
      <c r="CI423" s="231">
        <f>IF(CH$3=$K423,IF($C423="L",1,IF($C423="1/2L",0.5,0)),0)</f>
        <v>0</v>
      </c>
      <c r="CJ423" s="231">
        <f>IF(CJ$3=$K423,IF($C423="W",1,IF($C423="1/2W",0.5,0)),0)</f>
        <v>0</v>
      </c>
      <c r="CK423" s="231">
        <f>IF(CJ$3=$K423,IF($C423="L",1,IF($C423="1/2L",0.5,0)),0)</f>
        <v>0</v>
      </c>
      <c r="CL423" s="231">
        <f>IF(CL$3=$K423,IF($C423="W",1,IF($C423="1/2W",0.5,0)),0)</f>
        <v>0</v>
      </c>
      <c r="CM423" s="231">
        <f>IF(CL$3=$K423,IF($C423="L",1,IF($C423="1/2L",0.5,0)),0)</f>
        <v>0</v>
      </c>
      <c r="CN423" s="231">
        <f>IF(CN$3=$K423,IF($C423="W",1,IF($C423="1/2W",0.5,0)),0)</f>
        <v>0</v>
      </c>
      <c r="CO423" s="231">
        <f>IF(CN$3=$K423,IF($C423="L",1,IF($C423="1/2L",0.5,0)),0)</f>
        <v>0</v>
      </c>
      <c r="CP423" s="231">
        <f>IF(CP$3=$K423,IF($C423="W",1,IF($C423="1/2W",0.5,0)),0)</f>
        <v>0</v>
      </c>
      <c r="CQ423" s="231">
        <f>IF(CP$3=$K423,IF($C423="L",1,IF($C423="1/2L",0.5,0)),0)</f>
        <v>0</v>
      </c>
      <c r="CR423" s="231">
        <f>IF(CR$3=$K423,IF($C423="W",1,IF($C423="1/2W",0.5,0)),0)</f>
        <v>0</v>
      </c>
      <c r="CS423" s="231">
        <f>IF(CR$3=$K423,IF($C423="L",1,IF($C423="1/2L",0.5,0)),0)</f>
        <v>0</v>
      </c>
      <c r="CT423" s="208">
        <f>IF(CT$3=$K423,IF($C423="W",1,IF($C423="1/2W",0.5,0)),0)</f>
        <v>0</v>
      </c>
      <c r="CU423" s="209">
        <f>IF(CT$3=$K423,IF($C423="L",1,IF($C423="1/2L",0.5,0)),0)</f>
        <v>0</v>
      </c>
      <c r="CV423" s="209">
        <f>IF(CV$3=$K423,IF($C423="W",1,IF($C423="1/2W",0.5,0)),0)</f>
        <v>0</v>
      </c>
      <c r="CW423" s="209">
        <f>IF(CV$3=$K423,IF($C423="L",1,IF($C423="1/2L",0.5,0)),0)</f>
        <v>0</v>
      </c>
      <c r="CX423" s="209">
        <f>IF(CX$3=$K423,IF($C423="W",1,IF($C423="1/2W",0.5,0)),0)</f>
        <v>0</v>
      </c>
      <c r="CY423" s="209">
        <f>IF(CX$3=$K423,IF($C423="L",1,IF($C423="1/2L",0.5,0)),0)</f>
        <v>0</v>
      </c>
      <c r="CZ423" s="209">
        <f>IF(CZ$3=$K423,IF($C423="W",1,IF($C423="1/2W",0.5,0)),0)</f>
        <v>0</v>
      </c>
      <c r="DA423" s="209">
        <f>IF(CZ$3=$K423,IF($C423="L",1,IF($C423="1/2L",0.5,0)),0)</f>
        <v>0</v>
      </c>
      <c r="DB423" s="209">
        <f>IF(DB$3=$K423,IF($C423="W",1,IF($C423="1/2W",0.5,0)),0)</f>
        <v>0</v>
      </c>
      <c r="DC423" s="209">
        <f>IF(DB$3=$K423,IF($C423="L",1,IF($C423="1/2L",0.5,0)),0)</f>
        <v>0</v>
      </c>
      <c r="DD423" s="209">
        <f>IF(DD$3=$K423,IF($C423="W",1,IF($C423="1/2W",0.5,0)),0)</f>
        <v>0</v>
      </c>
      <c r="DE423" s="210">
        <f>IF(DD$3=$K423,IF($C423="L",1,IF($C423="1/2L",0.5,0)),0)</f>
        <v>0</v>
      </c>
      <c r="DF423" s="211">
        <f>IF(AND(L423&lt;DF$3,$C423="W"),1+DF422,DF422)</f>
        <v>14</v>
      </c>
      <c r="DG423" s="198">
        <f>IF(DF423&gt;DF422,L423+DG422,DG422)</f>
        <v>18.548</v>
      </c>
      <c r="DH423" s="209">
        <f>IF(AND(L423&gt;DH$3,$C423="W"),1+DH422,0+DH422)</f>
        <v>10</v>
      </c>
      <c r="DI423" s="198">
        <f>IF(DH423&gt;DH422,L423+DI422,DI422)</f>
        <v>55.13</v>
      </c>
      <c r="DJ423" t="s" s="306">
        <f>IF($D421="","",$D421)</f>
        <v>342</v>
      </c>
      <c r="DK423" s="232"/>
    </row>
    <row r="424" ht="14.55" customHeight="1">
      <c r="A424" s="246">
        <f>$A421+1</f>
        <v>141</v>
      </c>
      <c r="B424" t="s" s="247">
        <f>IF(AND(_xlfn.XLOOKUP(H424,H$107:H203,G$107:G203,0)=G424,_xlfn.XLOOKUP("TempoBet",K424:K426,L424:L426,0)&gt;0),"X",IF(OR(C424="W",C425="W",C426="W",C424="1/2W",C425="1/2W",C426="1/2W",C424="1/2L",C425="1/2L",C426="1/2L"),"OK",IF(OR(C424="L",C425="L",C426="L"),"LOSS",IF(OR(C424="X",C425="X",C426="X"),"Anulado"," "))))</f>
        <v>50</v>
      </c>
      <c r="C424" t="s" s="248">
        <v>56</v>
      </c>
      <c r="D424" t="s" s="303">
        <f>IF(G424="","",$D421)</f>
        <v>342</v>
      </c>
      <c r="E424" t="s" s="250">
        <v>59</v>
      </c>
      <c r="F424" t="s" s="302"/>
      <c r="G424" s="252">
        <v>44954.5</v>
      </c>
      <c r="H424" t="s" s="253">
        <v>343</v>
      </c>
      <c r="I424" t="s" s="254">
        <v>57</v>
      </c>
      <c r="J424" s="293"/>
      <c r="K424" t="s" s="256">
        <v>44</v>
      </c>
      <c r="L424" s="257">
        <v>1.775</v>
      </c>
      <c r="M424" s="258"/>
      <c r="N424" s="259">
        <v>0</v>
      </c>
      <c r="O424" s="260">
        <f>IF(OR(AE424="",AE425=""),"",ROUND(IF(L426&gt;0,IF(M424&gt;0,M424,IF(M425&gt;0,ROUND((M425*AE424)/AE425,IF(N424=0,2,IF(N424=0.1,1,0))),ROUND((M426*AE424)/AE426,IF(N424=0,2,IF(N424=0.1,1,0))))),IF(M424&gt;0,M424,ROUND((M425*AE424)/AE425,IF(N424=0,2,IF(N424=0.1,1,0))))),2))</f>
        <v>35.77</v>
      </c>
      <c r="P424" s="261">
        <f>IF(OR(L424="",O424=""),"",IF($C424="1/2W",O424/2+O424/2*L424,IF($C424="1/2L",O424/2,IF(I424="Lay",(O424*(L424/(L424-1))-O424)*(1-_xlfn.XLOOKUP(K424,'Janeiro 2023 - Valor Real'!A3:A15,'Janeiro 2023 - Valor Real'!C3:C15,0))+O424,(O424*L424-O424)*(1-_xlfn.XLOOKUP(K424,'Janeiro 2023 - Valor Real'!A3:A15,'Janeiro 2023 - Valor Real'!C3:C15,0))+O424))))</f>
        <v>63.49175</v>
      </c>
      <c r="Q424" s="262">
        <f>IF(K424="","",IF(_xlfn.XLOOKUP(K424,K$107:K203,DJ$107:DJ203,0,,-1)=DJ424,_xlfn.XLOOKUP(K424,K$107:K203,Q$107:Q203,1,,-1)+1,1))</f>
        <v>1</v>
      </c>
      <c r="R424" s="263">
        <f>IF(K424="","",_xlfn.XLOOKUP(K424,K$107:K203,R$107:R203,0,,-1)+IF($C424=" ",1,0))</f>
        <v>0</v>
      </c>
      <c r="S424" s="264">
        <f>IF($B424="Anulado",0,ROUND(IF(OR($B424="LOSS",$B424="OK"),IF(OR($C424="W",$C424="1/2W",$C424="1/2L"),P424-O424,IF($C424="L",-O424,0))+IF(OR($C425="W",$C425="1/2W",$C425="1/2L"),P425-O425,IF($C425="L",-O425,0))+IF(OR($C426="W",$C426="1/2W",$C426="1/2L"),P426-O426,IF($C426="L",-O426,0)),IF(AND(OR($C424="W",$C424="1/2W",$C424="1/2L"),C425="W"),P424+P425-SUM(O424:O426)+_xlfn.XLOOKUP("X",C424:C426,O424:O426,0),IF(AND(C424=TRUE,C426="W"),P424+P426-SUM(O424:O426),IF(AND(C425="W",C426="W"),P425+P426-SUM(O424:O426)+_xlfn.XLOOKUP("X",C424:C426,O424:O426,0),IF(L426&gt;0,IF(OR($C424="W",$C424="1/2W",$C424="1/2L"),P424-SUM(O424:O426)+_xlfn.XLOOKUP("X",C424:C426,O424:O426,0),IF(OR($C424="W",$C424="1/2W",$C424="1/2L"),P425-SUM(O424:O426)+_xlfn.XLOOKUP("X",C424:C426,O424:O426,0),IF(OR($C424="W",$C424="1/2W",$C424="1/2L"),P426-SUM(O424:O426)+_xlfn.XLOOKUP("X",C424:C426,O424:O426,0),IF(SUM(P424:P426)/3-SUM(O424:O426)+_xlfn.XLOOKUP("X",C424:C426,O424:O426,0)&gt;0,SUM(P424:P426)/3-SUM(O424:O426)+_xlfn.XLOOKUP("X",C424:C426,O424:O426,0),LARGE(P424:P426,1)-SUM(O424:O426))))),IF(OR($C424="W",$C424="1/2W",$C424="1/2L"),P424-SUM(O424:O425)+_xlfn.XLOOKUP("X",C424:C426,O424:O426,0),IF(OR($C424="W",$C424="1/2W",$C424="1/2L"),P425-SUM(O424:O425)+_xlfn.XLOOKUP("X",C424:C426,O424:O426,0),SUM(P424:P425)/2-SUM(O424:O425)+_xlfn.XLOOKUP("X",C424:C426,O424:O426,0)))))))),2))</f>
        <v>3.85</v>
      </c>
      <c r="T424" s="265">
        <f>IF(S424=0,0,S424/SUM(O424:O426))</f>
        <v>0.0645539906103286</v>
      </c>
      <c r="U424" s="266">
        <f>IF($D424=$D421,IF(OR($B424="LOSS",$B424="OK",$B424="Anulada"),S424,0)+U421,IF(OR($B424="LOSS",$B424="OK",$B424="Anulada"),S424,0))</f>
        <v>5.18</v>
      </c>
      <c r="V424" s="266">
        <f>IF($D424="",0,IF($D424=$D421,IF($B424=" ",IF(I426="",IF(OR(AND(I424="DNB1",I425="DNB2"),AND(OR(I424="DNB1",I424="DNB2"),J425=0),AND(OR(I425="DNB1",I425="DNB2"),J424=0),AND(I424="DNB2",I425="DNB1"),AND(IF(J424=0,(J424+1)/ROUND(J424+1,0),J424/ROUND(J424,0))=1,IF(J425=0,(J425+1)/ROUND(IF(J425="",0,J425)+1,0),IF(J425="",0,J425)/ROUND(IF(J425="",1,J425),0))=1,OR(J424&lt;&gt;""),J425&lt;&gt;"")),0,IF(S424&lt;0,IF(I426="",SMALL(P424:P425,1)-SUM(O424:O425),0),SMALL(P424:P425,1)-SUM(O424:O425))),IF(S424&lt;0,IF(I426="",SMALL(P424:P426,1)-SUM(O424:O426),0),LARGE(P424:P426,1)-SUM(O424:O426))),S424)+V421,IF(I426="",IF(OR(AND(I424="DNB1",I425="DNB2"),AND(OR(I424="DNB1",I424="DNB2"),J425=0),AND(OR(I425="DNB1",I425="DNB2"),J424=0),AND(I424="DNB2",I425="DNB1"),AND(IF(J424=0,(J424+1)/ROUND(J424+1,0),J424/ROUND(J424,0))=1,IF(J425=0,(IF(J425="",0,J425)+1)/ROUND(IF(J425="",0,J425)+1,0),IF(J425="",0,J425)/ROUND(IF(J425="",0,J425)+1,0))=1,OR(J424&lt;&gt;""),J425&lt;&gt;"")),0,IF(S424&lt;0,IF(I426="",SMALL(P424:P425,1)-SUM(O424:O425),0),SMALL(P424:P426,1)-SUM(O424:O426))),IF(S424&lt;0,IF(I426="",SMALL(P424:P426,1)-SUM(O424:O426),0),LARGE(P424:P426,1)-SUM(O424:O426)))))</f>
        <v>5.1691</v>
      </c>
      <c r="W424" s="266">
        <f>IF($D424=$D421,IF(S424&lt;0,IF(I426="",S424,0),S424)+W421,S424)</f>
        <v>5.18</v>
      </c>
      <c r="X424" t="s" s="267">
        <f>IF(OR(SUM(R424:R426)=0,V424=W424),ROUND(IF(W424=0,0,W424/Y424)*100,2)&amp;"%",ROUND(IF(V424=0,0,V424/Y424)*100,2)&amp;"% a "&amp;ROUND(IF(W424=0,0,W424/Y424)*100,2)&amp;"%")</f>
        <v>110</v>
      </c>
      <c r="Y424" s="268">
        <f>IF($D424=$D421,Y421+SUM(O424:O426),SUM(O424:O426))</f>
        <v>97.29000000000001</v>
      </c>
      <c r="Z424" s="266">
        <f>IF($B424=" ",SUM(O424:O426),0)+Z421</f>
        <v>0</v>
      </c>
      <c r="AA424" s="266">
        <f>IF(G424="","",IF($B424="Anulado",LARGE(P424:P426,1)-SUM(O424:O426)+AA421,AA421))</f>
        <v>22.2257</v>
      </c>
      <c r="AB424" s="266">
        <f>IF($D424="","",AB421+S424)</f>
        <v>288.08</v>
      </c>
      <c r="AC424" s="269">
        <f>IF($D424="","",IF($B424=" ",IF(DAY(G424)=DAY(TODAY()),1+AC421,0+AC421),0+AC421))</f>
        <v>0</v>
      </c>
      <c r="AD424" s="270">
        <f>(1-_xlfn.XLOOKUP(K422,'Janeiro 2023 - Valor Real'!A3:A15,'Janeiro 2023 - Valor Real'!C3:C15,0))+1</f>
        <v>2</v>
      </c>
      <c r="AE424" s="271">
        <f>IF(L424="","",IF(L426&gt;0,(SUM(((L424-1)*(1-_xlfn.XLOOKUP(K424,'Janeiro 2023 - Valor Real'!A3:A15,'Janeiro 2023 - Valor Real'!C3:C15,0))+1),((L425-1)*(1-_xlfn.XLOOKUP(K425,'Janeiro 2023 - Valor Real'!A3:A15,'Janeiro 2023 - Valor Real'!C3:C15,0))+1),((L426-1)*(1-_xlfn.XLOOKUP(K426,'Janeiro 2023 - Valor Real'!A3:A15,'Janeiro 2023 - Valor Real'!C3:C15,0))+1))/((L424-1)*(1-_xlfn.XLOOKUP(K424,'Janeiro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Real'!C3:C15,0))+1))/((L424-1)*(1-_xlfn.XLOOKUP(K424,'Janeiro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Real'!C3:C15,0))+1))/((L425-1)*(1-_xlfn.XLOOKUP(K425,'Janeiro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Real'!C3:C15,0))+1))/((L426-1)*(1-_xlfn.XLOOKUP(K426,'Janeiro 2023 - Valor Real'!A3:A15,'Janeiro 2023 - Valor Real'!C3:C15,0))+1)),IF(I424="Lay",IF(I425="Lay",((L425/(L425-1)-1)*(1-_xlfn.XLOOKUP(K425,'Janeiro 2023 - Valor Real'!A3:A15,'Janeiro 2023 - Valor Real'!C3:C15,0))+1)/(((L425/(L425-1)-1)*(1-_xlfn.XLOOKUP(K425,'Janeiro 2023 - Valor Real'!A3:A15,'Janeiro 2023 - Valor Real'!C3:C15,0))+1)+((L424/(L424-1)-1)*(1-_xlfn.XLOOKUP(K424,'Janeiro 2023 - Valor Real'!A3:A15,'Janeiro 2023 - Valor Real'!C3:C15,0))+1)),((L425-1)*(1-_xlfn.XLOOKUP(K425,'Janeiro 2023 - Valor Real'!A3:A15,'Janeiro 2023 - Valor Real'!C3:C15,0))+1)/(((L425-1)*(1-_xlfn.XLOOKUP(K425,'Janeiro 2023 - Valor Real'!A3:A15,'Janeiro 2023 - Valor Real'!C3:C15,0))+1)+((L424/(L424-1)-1)*(1-_xlfn.XLOOKUP(K424,'Janeiro 2023 - Valor Real'!A3:A15,'Janeiro 2023 - Valor Real'!C3:C15,0))+1))),IF(I425="Lay",(((L425/(L425-1)-1)*(1-_xlfn.XLOOKUP(K425,'Janeiro 2023 - Valor Real'!A3:A15,'Janeiro 2023 - Valor Real'!C3:C15,0))+1))/(((L424-1)*(1-_xlfn.XLOOKUP(K424,'Janeiro 2023 - Valor Real'!A3:A15,'Janeiro 2023 - Valor Real'!C3:C15,0))+1)+((L425/(L425-1)-1)*(1-_xlfn.XLOOKUP(K425,'Janeiro 2023 - Valor Real'!A3:A15,'Janeiro 2023 - Valor Real'!C3:C15,0))+1)),((L425-1)*(1-_xlfn.XLOOKUP(K425,'Janeiro 2023 - Valor Real'!A3:A15,'Janeiro 2023 - Valor Real'!C3:C15,0))+1)/(((L425-1)*(1-_xlfn.XLOOKUP(K425,'Janeiro 2023 - Valor Real'!A3:A15,'Janeiro 2023 - Valor Real'!C3:C15,0))+1)+((L424-1)*(1-_xlfn.XLOOKUP(K424,'Janeiro 2023 - Valor Real'!A3:A15,'Janeiro 2023 - Valor Real'!C3:C15,0))+1))))))</f>
        <v>0.599774520856821</v>
      </c>
      <c r="AF424" s="132">
        <f>IF($K424=AF$3,ROUND(IF(OR($C424="W",$C424="1/2W",$C424="1/2L"),$P424-$O424,IF($C424="X",0,-$O424)),2),0)</f>
        <v>0</v>
      </c>
      <c r="AG424" s="133">
        <f>IF($K424=AG$3,ROUND(IF(OR($C424="W",$C424="1/2W",$C424="1/2L"),$P424-$O424,IF($C424="X",0,-$O424)),2),0)</f>
        <v>0</v>
      </c>
      <c r="AH424" s="133">
        <f>IF($K424=AH$3,ROUND(IF(OR($C424="W",$C424="1/2W",$C424="1/2L"),$P424-$O424,IF($C424="X",0,-$O424)),2),0)</f>
        <v>0</v>
      </c>
      <c r="AI424" s="133">
        <f>IF($K424=AI$3,ROUND(IF(OR($C424="W",$C424="1/2W",$C424="1/2L"),$P424-$O424,IF($C424="X",0,-$O424)),2),0)</f>
        <v>0</v>
      </c>
      <c r="AJ424" s="133">
        <f>IF($K424=AJ$3,ROUND(IF(OR($C424="W",$C424="1/2W",$C424="1/2L"),$P424-$O424,IF($C424="X",0,-$O424)),2),0)</f>
        <v>0</v>
      </c>
      <c r="AK424" s="133">
        <f>IF($K424=AK$3,ROUND(IF(OR($C424="W",$C424="1/2W",$C424="1/2L"),$P424-$O424,IF($C424="X",0,-$O424)),2),0)</f>
        <v>0</v>
      </c>
      <c r="AL424" s="133">
        <f>IF($K424=AL$3,ROUND(IF(OR($C424="W",$C424="1/2W",$C424="1/2L"),$P424-$O424,IF($C424="X",0,-$O424)),2),0)</f>
        <v>0</v>
      </c>
      <c r="AM424" s="133">
        <f>IF($K424=AM$3,ROUND(IF(OR($C424="W",$C424="1/2W",$C424="1/2L"),$P424-$O424,IF($C424="X",0,-$O424)),2),0)</f>
        <v>27.72</v>
      </c>
      <c r="AN424" s="133">
        <f>IF($K424=AN$3,ROUND(IF(OR($C424="W",$C424="1/2W",$C424="1/2L"),$P424-$O424,IF($C424="X",0,-$O424)),2),0)</f>
        <v>0</v>
      </c>
      <c r="AO424" s="133">
        <f>IF($K424=AO$3,ROUND(IF(OR($C424="W",$C424="1/2W",$C424="1/2L"),$P424-$O424,IF($C424="X",0,-$O424)),2),0)</f>
        <v>0</v>
      </c>
      <c r="AP424" s="133">
        <f>IF($K424=AP$3,ROUND(IF(OR($C424="W",$C424="1/2W",$C424="1/2L"),$P424-$O424,IF($C424="X",0,-$O424)),2),0)</f>
        <v>0</v>
      </c>
      <c r="AQ424" s="133">
        <f>IF($K424=AQ$3,ROUND(IF(OR($C424="W",$C424="1/2W",$C424="1/2L"),$P424-$O424,IF($C424="X",0,-$O424)),2),0)</f>
        <v>0</v>
      </c>
      <c r="AR424" s="134">
        <f>IF($K424=AR$3,ROUND(IF(OR($C424="W",$C424="1/2W",$C424="1/2L"),$P424-$O424,IF($C424="X",0,-$O424)),2),0)</f>
        <v>0</v>
      </c>
      <c r="AS424" s="132">
        <f>IF(AND($B424=" ",$K424=AS$3),$O424,0)</f>
        <v>0</v>
      </c>
      <c r="AT424" s="133">
        <f>IF(AND($B424=" ",$K424=AT$3),$O424,0)</f>
        <v>0</v>
      </c>
      <c r="AU424" s="133">
        <f>IF(AND($B424=" ",$K424=AU$3),$O424,0)</f>
        <v>0</v>
      </c>
      <c r="AV424" s="133">
        <f>IF(AND($B424=" ",$K424=AV$3),$O424,0)</f>
        <v>0</v>
      </c>
      <c r="AW424" s="133">
        <f>IF(AND($B424=" ",$K424=AW$3),$O424,0)</f>
        <v>0</v>
      </c>
      <c r="AX424" s="133">
        <f>IF(AND($B424=" ",$K424=AX$3),$O424,0)</f>
        <v>0</v>
      </c>
      <c r="AY424" s="135">
        <f>IF(AND($B424=" ",$K424=AY$3),$O424,0)</f>
        <v>0</v>
      </c>
      <c r="AZ424" s="136">
        <f>IF(AND($B424=" ",$K424=AZ$3),$O424,0)</f>
        <v>0</v>
      </c>
      <c r="BA424" s="136">
        <f>IF(AND($B424=" ",$K424=BA$3),$O424,0)</f>
        <v>0</v>
      </c>
      <c r="BB424" s="136">
        <f>IF(AND($B424=" ",$K424=BB$3),$O424,0)</f>
        <v>0</v>
      </c>
      <c r="BC424" s="137">
        <f>IF(AND($B424=" ",$K424=BC$3),$O424,0)</f>
        <v>0</v>
      </c>
      <c r="BD424" s="133">
        <f>IF(AND($B424=" ",$K424=BD$3),$O424,0)</f>
        <v>0</v>
      </c>
      <c r="BE424" s="134">
        <f>IF(AND($B424=" ",$K424=BE$3),$O424,0)</f>
        <v>0</v>
      </c>
      <c r="BF424" s="132">
        <f>IF($K424=BF$3,IF($C424="X",0,$O424),0)</f>
        <v>0</v>
      </c>
      <c r="BG424" s="133">
        <f>IF($K424=BG$3,IF($C424="X",0,$O424),0)</f>
        <v>0</v>
      </c>
      <c r="BH424" s="133">
        <f>IF($K424=BH$3,IF($C424="X",0,$O424),0)</f>
        <v>0</v>
      </c>
      <c r="BI424" s="133">
        <f>IF($K424=BI$3,IF($C424="X",0,$O424),0)</f>
        <v>0</v>
      </c>
      <c r="BJ424" s="133">
        <f>IF($K424=BJ$3,IF($C424="X",0,$O424),0)</f>
        <v>0</v>
      </c>
      <c r="BK424" s="133">
        <f>IF($K424=BK$3,IF($C424="X",0,$O424),0)</f>
        <v>0</v>
      </c>
      <c r="BL424" s="133">
        <f>IF($K424=BL$3,IF($C424="X",0,$O424),0)</f>
        <v>0</v>
      </c>
      <c r="BM424" s="135">
        <f>IF($K424=BM$3,IF($C424="X",0,$O424),0)</f>
        <v>35.77</v>
      </c>
      <c r="BN424" s="136">
        <f>IF($K424=BN$3,IF($C424="X",0,$O424),0)</f>
        <v>0</v>
      </c>
      <c r="BO424" s="136">
        <f>IF($K424=BO$3,IF($C424="X",0,$O424),0)</f>
        <v>0</v>
      </c>
      <c r="BP424" s="136">
        <f>IF($K424=BP$3,IF($C424="X",0,$O424),0)</f>
        <v>0</v>
      </c>
      <c r="BQ424" s="137">
        <f>IF($K424=BQ$3,IF($C424="X",0,$O424),0)</f>
        <v>0</v>
      </c>
      <c r="BR424" s="134">
        <f>IF($K424=BR$3,IF($C424="X",0,$O424),0)</f>
        <v>0</v>
      </c>
      <c r="BS424" s="170">
        <f>IF($B424="LOSS",IF(AND($K424=BS$3,$C424="L"),-$O424,0)+IF(AND($K425=BS$3,$C425="L"),-$O425,0)+IF(AND($K426=BS$3,$C426="L"),-$O426,0),IF(OR(AND($K424=BS$3,OR($C424="W",$C424="1/2W")),AND($K425=BS$3,OR($C425="W",$C425="1/2W")),AND($K426=BS$3,OR($C426="W",$C426="1/2W"))),$S424,0))</f>
        <v>0</v>
      </c>
      <c r="BT424" s="272">
        <f>IF($B424="LOSS",IF(AND($K424=BT$3,$C424="L"),-$O424,0)+IF(AND($K425=BT$3,$C425="L"),-$O425,0)+IF(AND($K425=BT$3,$C426="L"),-$O426,0),IF(OR(AND($K425=BT$3,OR($C424="W",$C424="1/2W")),AND($K425=BT$3,OR($C425="W",$C425="1/2W")),AND($K425=BT$3,OR($C426="W",$C426="1/2W"))),$S424,0))</f>
        <v>0</v>
      </c>
      <c r="BU424" s="136">
        <f>IF($B424="LOSS",IF(AND($K424=BU$3,$C424="L"),-$O424,0)+IF(AND($K425=BU$3,$C425="L"),-$O425,0)+IF(AND($K425=BU$3,$C426="L"),-$O426,0),IF(OR(AND($K425=BU$3,OR($C424="W",$C424="1/2W")),AND($K425=BU$3,OR($C425="W",$C425="1/2W")),AND($K425=BU$3,OR($C426="W",$C426="1/2W"))),$S424,0))</f>
        <v>0</v>
      </c>
      <c r="BV424" s="136">
        <f>IF($B424="LOSS",IF(AND($K424=BV$3,$C424="L"),-$O424,0)+IF(AND($K425=BV$3,$C425="L"),-$O425,0)+IF(AND($K426=BV$3,$C426="L"),-$O426,0),IF(OR(AND($K424=BV$3,OR($C424="W",$C424="1/2W")),AND($K425=BV$3,OR($C425="W",$C425="1/2W")),AND($K426=BV$3,OR($C426="W",$C426="1/2W"))),$S424,0))</f>
        <v>0</v>
      </c>
      <c r="BW424" s="136">
        <f>IF($B424="LOSS",IF(AND($K424=BW$3,$C424="L"),-$O424,0)+IF(AND($K425=BW$3,$C425="L"),-$O425,0)+IF(AND($K426=BW$3,$C426="L"),-$O426,0),IF(OR(AND($K424=BW$3,OR($C424="W",$C424="1/2W")),AND($K425=BW$3,OR($C425="W",$C425="1/2W")),AND($K426=BW$3,OR($C426="W",$C426="1/2W"))),$S424,0))</f>
        <v>0</v>
      </c>
      <c r="BX424" s="136">
        <f>IF($B424="LOSS",IF(AND($K424=BX$3,$C424="L"),-$O424,0)+IF(AND($K425=BX$3,$C425="L"),-$O425,0)+IF(AND($K426=BX$3,$C426="L"),-$O426,0),IF(OR(AND($K424=BX$3,OR($C424="W",$C424="1/2W")),AND($K425=BX$3,OR($C425="W",$C425="1/2W")),AND($K426=BX$3,OR($C426="W",$C426="1/2W"))),$S424,0))</f>
        <v>0</v>
      </c>
      <c r="BY424" s="136">
        <f>IF($B424="LOSS",IF(AND($K424=BY$3,$C424="L"),-$O424,0)+IF(AND($K425=BY$3,$C425="L"),-$O425,0)+IF(AND($K426=BY$3,$C426="L"),-$O426,0),IF(OR(AND($K424=BY$3,OR($C424="W",$C424="1/2W")),AND($K425=BY$3,OR($C425="W",$C425="1/2W")),AND($K426=BY$3,OR($C426="W",$C426="1/2W"))),$S424,0))</f>
        <v>0</v>
      </c>
      <c r="BZ424" s="136">
        <f>IF($B424="LOSS",IF(AND($K424=BZ$3,$C424="L"),-$O424,0)+IF(AND($K425=BZ$3,$C425="L"),-$O425,0)+IF(AND($K426=BZ$3,$C426="L"),-$O426,0),IF(OR(AND($K424=BZ$3,OR($C424="W",$C424="1/2W")),AND($K425=BZ$3,OR($C425="W",$C425="1/2W")),AND($K426=BZ$3,OR($C426="W",$C426="1/2W"))),$S424,0))</f>
        <v>3.85</v>
      </c>
      <c r="CA424" s="136">
        <f>IF($B424="LOSS",IF(AND($K424=CA$3,$C424="L"),-$O424,0)+IF(AND($K425=CA$3,$C425="L"),-$O425,0)+IF(AND($K426=CA$3,$C426="L"),-$O426,0),IF(OR(AND($K424=CA$3,OR($C424="W",$C424="1/2W")),AND($K425=CA$3,OR($C425="W",$C425="1/2W")),AND($K426=CA$3,OR($C426="W",$C426="1/2W"))),$S424,0))</f>
        <v>0</v>
      </c>
      <c r="CB424" s="136">
        <f>IF($B424="LOSS",IF(AND($K424=CB$3,$C424="L"),-$O424,0)+IF(AND($K425=CB$3,$C425="L"),-$O425,0)+IF(AND($K426=CB$3,$C426="L"),-$O426,0),IF(OR(AND($K424=CB$3,OR($C424="W",$C424="1/2W")),AND($K425=CB$3,OR($C425="W",$C425="1/2W")),AND($K426=CB$3,OR($C426="W",$C426="1/2W"))),$S424,0))</f>
        <v>0</v>
      </c>
      <c r="CC424" s="136">
        <f>IF($B424="LOSS",IF(AND($K424=CC$3,$C424="L"),-$O424,0)+IF(AND($K425=CC$3,$C425="L"),-$O425,0)+IF(AND($K426=CC$3,$C426="L"),-$O426,0),IF(OR(AND($K424=CC$3,OR($C424="W",$C424="1/2W")),AND($K425=CC$3,OR($C425="W",$C425="1/2W")),AND($K426=CC$3,OR($C426="W",$C426="1/2W"))),$S424,0))</f>
        <v>0</v>
      </c>
      <c r="CD424" s="137">
        <f>IF($B424="LOSS",IF(AND($K424=CD$3,$C424="L"),-$O424,0)+IF(AND($K425=CD$3,$C425="L"),-$O425,0)+IF(AND($K426=CD$3,$C426="L"),-$O426,0),IF(OR(AND($K424=CD$3,OR($C424="W",$C424="1/2W")),AND($K425=CD$3,OR($C425="W",$C425="1/2W")),AND($K426=CD$3,OR($C426="W",$C426="1/2W"))),$S424,0))</f>
        <v>0</v>
      </c>
      <c r="CE424" s="134">
        <f>IF($B424="LOSS",IF(AND($K424=CE$3,$C424="L"),-$O424,0)+IF(AND($K425=CE$3,$C425="L"),-$O425,0)+IF(AND($K426=CE$3,$C426="L"),-$O426,0),IF(OR(AND($K424=CE$3,OR($C424="W",$C424="1/2W")),AND($K425=CE$3,OR($C425="W",$C425="1/2W")),AND($K426=CE$3,OR($C426="W",$C426="1/2W"))),$S424,0))</f>
        <v>0</v>
      </c>
      <c r="CF424" s="273">
        <f>IF(CF$3=$K424,IF($C424="W",1,IF($C424="1/2W",0.5,0)),0)</f>
        <v>0</v>
      </c>
      <c r="CG424" s="274">
        <f>IF(CF$3=$K424,IF($C424="L",1,IF($C424="1/2L",0.5,0)),0)</f>
        <v>0</v>
      </c>
      <c r="CH424" s="274">
        <f>IF(CH$3=$K424,IF($C424="W",1,IF($C424="1/2W",0.5,0)),0)</f>
        <v>0</v>
      </c>
      <c r="CI424" s="274">
        <f>IF(CH$3=$K424,IF($C424="L",1,IF($C424="1/2L",0.5,0)),0)</f>
        <v>0</v>
      </c>
      <c r="CJ424" s="274">
        <f>IF(CJ$3=$K424,IF($C424="W",1,IF($C424="1/2W",0.5,0)),0)</f>
        <v>0</v>
      </c>
      <c r="CK424" s="274">
        <f>IF(CJ$3=$K424,IF($C424="L",1,IF($C424="1/2L",0.5,0)),0)</f>
        <v>0</v>
      </c>
      <c r="CL424" s="274">
        <f>IF(CL$3=$K424,IF($C424="W",1,IF($C424="1/2W",0.5,0)),0)</f>
        <v>0</v>
      </c>
      <c r="CM424" s="274">
        <f>IF(CL$3=$K424,IF($C424="L",1,IF($C424="1/2L",0.5,0)),0)</f>
        <v>0</v>
      </c>
      <c r="CN424" s="274">
        <f>IF(CN$3=$K424,IF($C424="W",1,IF($C424="1/2W",0.5,0)),0)</f>
        <v>0</v>
      </c>
      <c r="CO424" s="274">
        <f>IF(CN$3=$K424,IF($C424="L",1,IF($C424="1/2L",0.5,0)),0)</f>
        <v>0</v>
      </c>
      <c r="CP424" s="274">
        <f>IF(CP$3=$K424,IF($C424="W",1,IF($C424="1/2W",0.5,0)),0)</f>
        <v>0</v>
      </c>
      <c r="CQ424" s="274">
        <f>IF(CP$3=$K424,IF($C424="L",1,IF($C424="1/2L",0.5,0)),0)</f>
        <v>0</v>
      </c>
      <c r="CR424" s="274">
        <f>IF(CR$3=$K424,IF($C424="W",1,IF($C424="1/2W",0.5,0)),0)</f>
        <v>0</v>
      </c>
      <c r="CS424" s="274">
        <f>IF(CR$3=$K424,IF($C424="L",1,IF($C424="1/2L",0.5,0)),0)</f>
        <v>0</v>
      </c>
      <c r="CT424" s="145">
        <f>IF(CT$3=$K424,IF($C424="W",1,IF($C424="1/2W",0.5,0)),0)</f>
        <v>1</v>
      </c>
      <c r="CU424" s="146">
        <f>IF(CT$3=$K424,IF($C424="L",1,IF($C424="1/2L",0.5,0)),0)</f>
        <v>0</v>
      </c>
      <c r="CV424" s="146">
        <f>IF(CV$3=$K424,IF($C424="W",1,IF($C424="1/2W",0.5,0)),0)</f>
        <v>0</v>
      </c>
      <c r="CW424" s="146">
        <f>IF(CV$3=$K424,IF($C424="L",1,IF($C424="1/2L",0.5,0)),0)</f>
        <v>0</v>
      </c>
      <c r="CX424" s="146">
        <f>IF(CX$3=$K424,IF($C424="W",1,IF($C424="1/2W",0.5,0)),0)</f>
        <v>0</v>
      </c>
      <c r="CY424" s="146">
        <f>IF(CX$3=$K424,IF($C424="L",1,IF($C424="1/2L",0.5,0)),0)</f>
        <v>0</v>
      </c>
      <c r="CZ424" s="146">
        <f>IF(CZ$3=$K424,IF($C424="W",1,IF($C424="1/2W",0.5,0)),0)</f>
        <v>0</v>
      </c>
      <c r="DA424" s="146">
        <f>IF(CZ$3=$K424,IF($C424="L",1,IF($C424="1/2L",0.5,0)),0)</f>
        <v>0</v>
      </c>
      <c r="DB424" s="146">
        <f>IF(DB$3=$K424,IF($C424="W",1,IF($C424="1/2W",0.5,0)),0)</f>
        <v>0</v>
      </c>
      <c r="DC424" s="146">
        <f>IF(DB$3=$K424,IF($C424="L",1,IF($C424="1/2L",0.5,0)),0)</f>
        <v>0</v>
      </c>
      <c r="DD424" s="146">
        <f>IF(DD$3=$K424,IF($C424="W",1,IF($C424="1/2W",0.5,0)),0)</f>
        <v>0</v>
      </c>
      <c r="DE424" s="147">
        <f>IF(DD$3=$K424,IF($C424="L",1,IF($C424="1/2L",0.5,0)),0)</f>
        <v>0</v>
      </c>
      <c r="DF424" s="143">
        <f>IF(AND(L424&lt;DF$3,$C424="W"),1+DF423,DF423)</f>
        <v>14</v>
      </c>
      <c r="DG424" s="133">
        <f>IF(DF424&gt;DF423,L424+DG423,DG423)</f>
        <v>18.548</v>
      </c>
      <c r="DH424" s="146">
        <f>IF(AND(L424&gt;DH$3,$C424="W"),1+DH423,0+DH423)</f>
        <v>10</v>
      </c>
      <c r="DI424" s="133">
        <f>IF(DH424&gt;DH423,L424+DI423,DI423)</f>
        <v>55.13</v>
      </c>
      <c r="DJ424" t="s" s="304">
        <f>IF($D424="","",$D424)</f>
        <v>342</v>
      </c>
      <c r="DK424" s="146">
        <f>IF(AND($B424=" ",$D424&lt;&gt;""),1,0)</f>
        <v>0</v>
      </c>
    </row>
    <row r="425" ht="14.55" customHeight="1">
      <c r="A425" s="107"/>
      <c r="B425" s="108"/>
      <c r="C425" t="s" s="109">
        <v>51</v>
      </c>
      <c r="D425" s="110"/>
      <c r="E425" s="111"/>
      <c r="F425" s="113"/>
      <c r="G425" s="252"/>
      <c r="H425" s="114"/>
      <c r="I425" s="294">
        <v>1</v>
      </c>
      <c r="J425" t="s" s="295">
        <f>IF(OR(I424="TO",I424="TU",I424="TO1",I424="TU1",I424="TO2",I424="TU2"),J424,IF(OR(I424="AH1",I424="AH2"),IF(OR(I425="AH1",I425="AH2"),-J424,IF(OR(I425="EH1",I425="EH2"),-J424+0.5,"")),IF(OR(I424="EH1",I424="EH2"),IF(OR(I425="AH1",I425="AH2"),-J424+0.5,IF(OR(I425="EH1",I425="EH2"),-J424+1,"")),IF(AND(OR(I424="DNB1",I424="DNB2"),OR(I425="AH1",I425="AH2")),0,IF(AND(I424="Not ScoreBoth",OR(I425="TO1",I425="TO2")),0.5,"")))))</f>
      </c>
      <c r="K425" t="s" s="117">
        <v>48</v>
      </c>
      <c r="L425" s="277">
        <v>2.66</v>
      </c>
      <c r="M425" s="278">
        <v>23.87</v>
      </c>
      <c r="N425" s="120"/>
      <c r="O425" s="121">
        <f>IF(OR(AE424="",AE425=""),"",ROUND(IF(L426&gt;0,IF(M425&gt;0,M425,IF(M424&gt;0,IF(N424=TRUE,ROUND((M424*AE425)/AE424,0),(M424*AE425)/AE424),IF(M425&gt;0,ROUND(M425,IF(N424=0,2,IF(N424=0.1,1,0))),IF(M426&gt;0,ROUND(O426*AE425/AE426,IF(N424=0,2,IF(N424=0.1,1,0))),0)))),IF(M425&gt;0,M425,ROUND((M424*AE425)/AE424,IF(N424=0,2,IF(N424=0.1,1,0))))),2))</f>
        <v>23.87</v>
      </c>
      <c r="P425" s="122">
        <f>IF(OR(L425="",O425=""),"",IF($C425="1/2W",O425/2+O425/2*L425,IF($C425="1/2L",O425/2,IF(I425="Lay",((O425*(L425/(L425-1)))-O425)*(1-_xlfn.XLOOKUP(K425,'Janeiro 2023 - Valor Real'!A3:A15,'Janeiro 2023 - Valor Real'!C3:C15,0))+O425,(O425*L425-O425)*(1-_xlfn.XLOOKUP(K425,'Janeiro 2023 - Valor Real'!A3:A15,'Janeiro 2023 - Valor Real'!C3:C15,0))+O425))))</f>
        <v>63.4942</v>
      </c>
      <c r="Q425" s="279">
        <f>IF(K425="","",IF(_xlfn.XLOOKUP(K425,K$120:K204,DJ$120:DJ204,0,,-1)=DJ425,_xlfn.XLOOKUP(K425,K$120:K204,Q$120:Q204,1,,-1)+1,1))</f>
        <v>1</v>
      </c>
      <c r="R425" s="280">
        <f>IF(K425="","",_xlfn.XLOOKUP(K425,K$120:K204,R$120:R204,0,,-1)+IF($C425=" ",1,0))</f>
        <v>0</v>
      </c>
      <c r="S425" s="125"/>
      <c r="T425" s="126"/>
      <c r="U425" s="126"/>
      <c r="V425" s="224"/>
      <c r="W425" s="126"/>
      <c r="X425" s="127"/>
      <c r="Y425" s="128"/>
      <c r="Z425" s="129"/>
      <c r="AA425" s="129"/>
      <c r="AB425" s="129"/>
      <c r="AC425" s="129"/>
      <c r="AD425" s="130"/>
      <c r="AE425" s="131">
        <f>IF(L425="","",IF(L426&gt;0,(SUM(((L424-1)*(1-_xlfn.XLOOKUP(K424,'Janeiro 2023 - Valor Real'!A3:A15,'Janeiro 2023 - Valor Real'!C3:C15,0))+1),((L425-1)*(1-_xlfn.XLOOKUP(K425,'Janeiro 2023 - Valor Real'!A3:A15,'Janeiro 2023 - Valor Real'!C3:C15,0))+1),((L426-1)*(1-_xlfn.XLOOKUP(K426,'Janeiro 2023 - Valor Real'!A3:A15,'Janeiro 2023 - Valor Real'!C3:C15,0))+1))/((L425-1)*(1-_xlfn.XLOOKUP(K425,'Janeiro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Real'!C3:C15,0))+1))/((L424-1)*(1-_xlfn.XLOOKUP(K424,'Janeiro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Real'!C3:C15,0))+1))/((L425-1)*(1-_xlfn.XLOOKUP(K425,'Janeiro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Real'!C3:C15,0))+1))/((L426-1)*(1-_xlfn.XLOOKUP(K426,'Janeiro 2023 - Valor Real'!A3:A15,'Janeiro 2023 - Valor Real'!C3:C15,0))+1)),IF(I425="Lay",IF(I424="Lay",((L424/(L424-1)-1)*(1-_xlfn.XLOOKUP(K424,'Janeiro 2023 - Valor Real'!A3:A15,'Janeiro 2023 - Valor Real'!C3:C15,0))+1)/(((L424/(L424-1)-1)*(1-_xlfn.XLOOKUP(K424,'Janeiro 2023 - Valor Real'!A3:A15,'Janeiro 2023 - Valor Real'!C3:C15,0))+1)+((L425/(L425-1)-1)*(1-_xlfn.XLOOKUP(K425,'Janeiro 2023 - Valor Real'!A3:A15,'Janeiro 2023 - Valor Real'!C3:C15,0))+1)),((L424-1)*(1-_xlfn.XLOOKUP(K424,'Janeiro 2023 - Valor Real'!A3:A15,'Janeiro 2023 - Valor Real'!C3:C15,0))+1)/(((L424-1)*(1-_xlfn.XLOOKUP(K424,'Janeiro 2023 - Valor Real'!A3:A15,'Janeiro 2023 - Valor Real'!C3:C15,0))+1)+((L425/(L425-1)-1)*(1-_xlfn.XLOOKUP(K425,'Janeiro 2023 - Valor Real'!A3:A15,'Janeiro 2023 - Valor Real'!C3:C15,0))+1))),IF(I424="Lay",((L424/(L424-1)-1)*(1-_xlfn.XLOOKUP(K424,'Janeiro 2023 - Valor Real'!A3:A15,'Janeiro 2023 - Valor Real'!C3:C15,0))+1)/((((L424/(L424-1)-1)*(1-_xlfn.XLOOKUP(K424,'Janeiro 2023 - Valor Real'!A3:A15,'Janeiro 2023 - Valor Real'!C3:C15,0))+1))+((L425-1)*(1-_xlfn.XLOOKUP(K425,'Janeiro 2023 - Valor Real'!A3:A15,'Janeiro 2023 - Valor Real'!C3:C15,0))+1)),((L424-1)*(1-_xlfn.XLOOKUP(K424,'Janeiro 2023 - Valor Real'!A3:A15,'Janeiro 2023 - Valor Real'!C3:C15,0))+1)/(((L424-1)*(1-_xlfn.XLOOKUP(K424,'Janeiro 2023 - Valor Real'!A3:A15,'Janeiro 2023 - Valor Real'!C3:C15,0))+1)+((L425-1)*(1-_xlfn.XLOOKUP(K425,'Janeiro 2023 - Valor Real'!A3:A15,'Janeiro 2023 - Valor Real'!C3:C15,0))+1))))))</f>
        <v>0.400225479143179</v>
      </c>
      <c r="AF425" s="132">
        <f>IF($K425=AF$3,ROUND(IF(OR($C425="W",$C425="1/2W",$C425="1/2L"),$P425-$O425,IF($C425="X",0,-$O425)),2),0)</f>
        <v>0</v>
      </c>
      <c r="AG425" s="133">
        <f>IF($K425=AG$3,ROUND(IF(OR($C425="W",$C425="1/2W",$C425="1/2L"),$P425-$O425,IF($C425="X",0,-$O425)),2),0)</f>
        <v>0</v>
      </c>
      <c r="AH425" s="133">
        <f>IF($K425=AH$3,ROUND(IF(OR($C425="W",$C425="1/2W",$C425="1/2L"),$P425-$O425,IF($C425="X",0,-$O425)),2),0)</f>
        <v>0</v>
      </c>
      <c r="AI425" s="133">
        <f>IF($K425=AI$3,ROUND(IF(OR($C425="W",$C425="1/2W",$C425="1/2L"),$P425-$O425,IF($C425="X",0,-$O425)),2),0)</f>
        <v>0</v>
      </c>
      <c r="AJ425" s="133">
        <f>IF($K425=AJ$3,ROUND(IF(OR($C425="W",$C425="1/2W",$C425="1/2L"),$P425-$O425,IF($C425="X",0,-$O425)),2),0)</f>
        <v>0</v>
      </c>
      <c r="AK425" s="133">
        <f>IF($K425=AK$3,ROUND(IF(OR($C425="W",$C425="1/2W",$C425="1/2L"),$P425-$O425,IF($C425="X",0,-$O425)),2),0)</f>
        <v>0</v>
      </c>
      <c r="AL425" s="133">
        <f>IF($K425=AL$3,ROUND(IF(OR($C425="W",$C425="1/2W",$C425="1/2L"),$P425-$O425,IF($C425="X",0,-$O425)),2),0)</f>
        <v>0</v>
      </c>
      <c r="AM425" s="133">
        <f>IF($K425=AM$3,ROUND(IF(OR($C425="W",$C425="1/2W",$C425="1/2L"),$P425-$O425,IF($C425="X",0,-$O425)),2),0)</f>
        <v>0</v>
      </c>
      <c r="AN425" s="133">
        <f>IF($K425=AN$3,ROUND(IF(OR($C425="W",$C425="1/2W",$C425="1/2L"),$P425-$O425,IF($C425="X",0,-$O425)),2),0)</f>
        <v>0</v>
      </c>
      <c r="AO425" s="133">
        <f>IF($K425=AO$3,ROUND(IF(OR($C425="W",$C425="1/2W",$C425="1/2L"),$P425-$O425,IF($C425="X",0,-$O425)),2),0)</f>
        <v>0</v>
      </c>
      <c r="AP425" s="133">
        <f>IF($K425=AP$3,ROUND(IF(OR($C425="W",$C425="1/2W",$C425="1/2L"),$P425-$O425,IF($C425="X",0,-$O425)),2),0)</f>
        <v>0</v>
      </c>
      <c r="AQ425" s="133">
        <f>IF($K425=AQ$3,ROUND(IF(OR($C425="W",$C425="1/2W",$C425="1/2L"),$P425-$O425,IF($C425="X",0,-$O425)),2),0)</f>
        <v>-23.87</v>
      </c>
      <c r="AR425" s="134">
        <f>IF($K425=AR$3,ROUND(IF(OR($C425="W",$C425="1/2W",$C425="1/2L"),$P425-$O425,IF($C425="X",0,-$O425)),2),0)</f>
        <v>0</v>
      </c>
      <c r="AS425" s="132">
        <f>IF(AND($B424=" ",$K425=AS$3),$O425,0)</f>
        <v>0</v>
      </c>
      <c r="AT425" s="133">
        <f>IF(AND($B424=" ",K425=AT$3),$O425,0)</f>
        <v>0</v>
      </c>
      <c r="AU425" s="133">
        <f>IF(AND($B424=" ",$K425=AU$3),$O425,0)</f>
        <v>0</v>
      </c>
      <c r="AV425" s="133">
        <f>IF(AND($B424=" ",$K425=AV$3),$O425,0)</f>
        <v>0</v>
      </c>
      <c r="AW425" s="133">
        <f>IF(AND($B424=" ",$K425=AW$3),$O425,0)</f>
        <v>0</v>
      </c>
      <c r="AX425" s="133">
        <f>IF(AND($B424=" ",$K425=AX$3),$O425,0)</f>
        <v>0</v>
      </c>
      <c r="AY425" s="135">
        <f>IF(AND($B424=" ",$K425=AY$3),$O425,0)</f>
        <v>0</v>
      </c>
      <c r="AZ425" s="136">
        <f>IF(AND($B424=" ",$K425=AZ$3),$O425,0)</f>
        <v>0</v>
      </c>
      <c r="BA425" s="136">
        <f>IF(AND($B424=" ",$K425=BA$3),$O425,0)</f>
        <v>0</v>
      </c>
      <c r="BB425" s="136">
        <f>IF(AND($B424=" ",$K425=BB$3),$O425,0)</f>
        <v>0</v>
      </c>
      <c r="BC425" s="137">
        <f>IF(AND($B424=" ",$K425=BC$3),$O425,0)</f>
        <v>0</v>
      </c>
      <c r="BD425" s="133">
        <f>IF(AND($B424=" ",$K425=BD$3),$O425,0)</f>
        <v>0</v>
      </c>
      <c r="BE425" s="134">
        <f>IF(AND($B424=" ",$K425=BE$3),$O425,0)</f>
        <v>0</v>
      </c>
      <c r="BF425" s="132">
        <f>IF($K425=BF$3,IF($C425="X",0,$O425),0)</f>
        <v>0</v>
      </c>
      <c r="BG425" s="281">
        <f>IF($K425=BG$3,IF($C425="X",0,$O425),0)</f>
        <v>0</v>
      </c>
      <c r="BH425" s="133">
        <f>IF($K425=BH$3,IF($C425="X",0,$O425),0)</f>
        <v>0</v>
      </c>
      <c r="BI425" s="133">
        <f>IF($K425=BI$3,IF($C425="X",0,$O425),0)</f>
        <v>0</v>
      </c>
      <c r="BJ425" s="133">
        <f>IF($K425=BJ$3,IF($C425="X",0,$O425),0)</f>
        <v>0</v>
      </c>
      <c r="BK425" s="133">
        <f>IF($K425=BK$3,IF($C425="X",0,$O425),0)</f>
        <v>0</v>
      </c>
      <c r="BL425" s="133">
        <f>IF($K425=BL$3,IF($C425="X",0,$O425),0)</f>
        <v>0</v>
      </c>
      <c r="BM425" s="135">
        <f>IF($K425=BM$3,IF($C425="X",0,$O425),0)</f>
        <v>0</v>
      </c>
      <c r="BN425" s="136">
        <f>IF($K425=BN$3,IF($C425="X",0,$O425),0)</f>
        <v>0</v>
      </c>
      <c r="BO425" s="136">
        <f>IF($K425=BO$3,IF($C425="X",0,$O425),0)</f>
        <v>0</v>
      </c>
      <c r="BP425" s="136">
        <f>IF($K425=BP$3,IF($C425="X",0,$O425),0)</f>
        <v>0</v>
      </c>
      <c r="BQ425" s="137">
        <f>IF($K425=BQ$3,IF($C425="X",0,$O425),0)</f>
        <v>23.87</v>
      </c>
      <c r="BR425" s="134">
        <f>IF($K425=BR$3,IF($C425="X",0,$O425),0)</f>
        <v>0</v>
      </c>
      <c r="BS425" s="282"/>
      <c r="BT425" s="283"/>
      <c r="BU425" s="140"/>
      <c r="BV425" s="283"/>
      <c r="BW425" s="140"/>
      <c r="BX425" s="140"/>
      <c r="BY425" s="140"/>
      <c r="BZ425" s="283"/>
      <c r="CA425" s="140"/>
      <c r="CB425" s="140"/>
      <c r="CC425" s="140"/>
      <c r="CD425" s="141"/>
      <c r="CE425" s="142"/>
      <c r="CF425" s="284">
        <f>IF(CF$3=$K425,IF($C425="W",1,IF($C425="1/2W",0.5,0)),0)</f>
        <v>0</v>
      </c>
      <c r="CG425" s="285">
        <f>IF(CF$3=$K425,IF($C425="L",1,IF($C425="1/2L",0.5,0)),0)</f>
        <v>0</v>
      </c>
      <c r="CH425" s="285">
        <f>IF(CH$3=$K425,IF($C425="W",1,IF($C425="1/2W",0.5,0)),0)</f>
        <v>0</v>
      </c>
      <c r="CI425" s="285">
        <f>IF(CH$3=$K425,IF($C425="L",1,IF($C425="1/2L",0.5,0)),0)</f>
        <v>0</v>
      </c>
      <c r="CJ425" s="285">
        <f>IF(CJ$3=$K425,IF($C425="W",1,IF($C425="1/2W",0.5,0)),0)</f>
        <v>0</v>
      </c>
      <c r="CK425" s="285">
        <f>IF(CJ$3=$K425,IF($C425="L",1,IF($C425="1/2L",0.5,0)),0)</f>
        <v>0</v>
      </c>
      <c r="CL425" s="285">
        <f>IF(CL$3=$K425,IF($C425="W",1,IF($C425="1/2W",0.5,0)),0)</f>
        <v>0</v>
      </c>
      <c r="CM425" s="285">
        <f>IF(CL$3=$K425,IF($C425="L",1,IF($C425="1/2L",0.5,0)),0)</f>
        <v>0</v>
      </c>
      <c r="CN425" s="285">
        <f>IF(CN$3=$K425,IF($C425="W",1,IF($C425="1/2W",0.5,0)),0)</f>
        <v>0</v>
      </c>
      <c r="CO425" s="285">
        <f>IF(CN$3=$K425,IF($C425="L",1,IF($C425="1/2L",0.5,0)),0)</f>
        <v>0</v>
      </c>
      <c r="CP425" s="285">
        <f>IF(CP$3=$K425,IF($C425="W",1,IF($C425="1/2W",0.5,0)),0)</f>
        <v>0</v>
      </c>
      <c r="CQ425" s="285">
        <f>IF(CP$3=$K425,IF($C425="L",1,IF($C425="1/2L",0.5,0)),0)</f>
        <v>0</v>
      </c>
      <c r="CR425" s="285">
        <f>IF(CR$3=$K425,IF($C425="W",1,IF($C425="1/2W",0.5,0)),0)</f>
        <v>0</v>
      </c>
      <c r="CS425" s="285">
        <f>IF(CR$3=$K425,IF($C425="L",1,IF($C425="1/2L",0.5,0)),0)</f>
        <v>0</v>
      </c>
      <c r="CT425" s="145">
        <f>IF(CT$3=$K425,IF($C425="W",1,IF($C425="1/2W",0.5,0)),0)</f>
        <v>0</v>
      </c>
      <c r="CU425" s="146">
        <f>IF(CT$3=$K425,IF($C425="L",1,IF($C425="1/2L",0.5,0)),0)</f>
        <v>0</v>
      </c>
      <c r="CV425" s="146">
        <f>IF(CV$3=$K425,IF($C425="W",1,IF($C425="1/2W",0.5,0)),0)</f>
        <v>0</v>
      </c>
      <c r="CW425" s="146">
        <f>IF(CV$3=$K425,IF($C425="L",1,IF($C425="1/2L",0.5,0)),0)</f>
        <v>0</v>
      </c>
      <c r="CX425" s="146">
        <f>IF(CX$3=$K425,IF($C425="W",1,IF($C425="1/2W",0.5,0)),0)</f>
        <v>0</v>
      </c>
      <c r="CY425" s="146">
        <f>IF(CX$3=$K425,IF($C425="L",1,IF($C425="1/2L",0.5,0)),0)</f>
        <v>0</v>
      </c>
      <c r="CZ425" s="146">
        <f>IF(CZ$3=$K425,IF($C425="W",1,IF($C425="1/2W",0.5,0)),0)</f>
        <v>0</v>
      </c>
      <c r="DA425" s="146">
        <f>IF(CZ$3=$K425,IF($C425="L",1,IF($C425="1/2L",0.5,0)),0)</f>
        <v>0</v>
      </c>
      <c r="DB425" s="146">
        <f>IF(DB$3=$K425,IF($C425="W",1,IF($C425="1/2W",0.5,0)),0)</f>
        <v>0</v>
      </c>
      <c r="DC425" s="146">
        <f>IF(DB$3=$K425,IF($C425="L",1,IF($C425="1/2L",0.5,0)),0)</f>
        <v>1</v>
      </c>
      <c r="DD425" s="146">
        <f>IF(DD$3=$K425,IF($C425="W",1,IF($C425="1/2W",0.5,0)),0)</f>
        <v>0</v>
      </c>
      <c r="DE425" s="147">
        <f>IF(DD$3=$K425,IF($C425="L",1,IF($C425="1/2L",0.5,0)),0)</f>
        <v>0</v>
      </c>
      <c r="DF425" s="143">
        <f>IF(AND(L425&lt;DF$3,$C425="W"),1+DF424,DF424)</f>
        <v>14</v>
      </c>
      <c r="DG425" s="133">
        <f>IF(DF425&gt;DF424,L425+DG424,DG424)</f>
        <v>18.548</v>
      </c>
      <c r="DH425" s="146">
        <f>IF(AND(L425&gt;DH$3,$C425="W"),1+DH424,0+DH424)</f>
        <v>10</v>
      </c>
      <c r="DI425" s="133">
        <f>IF(DH425&gt;DH424,L425+DI424,DI424)</f>
        <v>55.13</v>
      </c>
      <c r="DJ425" t="s" s="304">
        <f>IF($D424="","",$D424)</f>
        <v>342</v>
      </c>
      <c r="DK425" s="286"/>
    </row>
    <row r="426" ht="14.55" customHeight="1">
      <c r="A426" s="149"/>
      <c r="B426" s="150"/>
      <c r="C426" t="s" s="151">
        <v>58</v>
      </c>
      <c r="D426" s="152"/>
      <c r="E426" s="153"/>
      <c r="F426" s="155"/>
      <c r="G426" s="252"/>
      <c r="H426" s="156"/>
      <c r="I426" s="287"/>
      <c r="J426" s="288"/>
      <c r="K426" s="156"/>
      <c r="L426" s="289"/>
      <c r="M426" s="290"/>
      <c r="N426" s="161"/>
      <c r="O426" t="s" s="162">
        <f>IF(OR(AE424="",AE425=""),"",IF(L426&gt;0,ROUND(IF(M426&gt;0,M426,IF(M424&gt;0,ROUND((M424*AE426)/AE424,IF(N424=0,2,IF(N424=0.1,1,0))),IF(M425&gt;0,ROUND((M425*AE426)/AE425,IF(N424=0,2,IF(N424=0.1,1,0))),IF(M426&gt;0,M426,0)))),2),""))</f>
      </c>
      <c r="P426" t="s" s="163">
        <f>IF(I425="Lay",O425*(L425/(L425-1))-O425,IF(I424="Lay",O424*(L424/(L424-1))-O424,IF(OR(L426="",O426=""),"",IF($C426="1/2W",O426/2+O426/2*L426,IF($C426="1/2L",O426/2,(O426*L426-O426)*(1-_xlfn.XLOOKUP(K426,'Janeiro 2023 - Valor Real'!A3:A15,'Janeiro 2023 - Valor Real'!C3:C15,0))+O426)))))</f>
      </c>
      <c r="Q426" t="s" s="154">
        <f>IF(K426="","",IF(_xlfn.XLOOKUP(K426,K$121:K205,DJ$121:DJ205,0,,-1)=DJ426,_xlfn.XLOOKUP(K426,K$121:K205,Q$121:Q205,1,,-1)+1,1))</f>
      </c>
      <c r="R426" t="s" s="163">
        <f>IF(K426="","",_xlfn.XLOOKUP(K426,K$121:K205,R$121:R205,0,,-1)+IF($C426=" ",1,0))</f>
      </c>
      <c r="S426" s="166"/>
      <c r="T426" s="155"/>
      <c r="U426" s="155"/>
      <c r="V426" s="166"/>
      <c r="W426" s="155"/>
      <c r="X426" s="167"/>
      <c r="Y426" s="128"/>
      <c r="Z426" s="129"/>
      <c r="AA426" s="129"/>
      <c r="AB426" s="129"/>
      <c r="AC426" s="129"/>
      <c r="AD426" s="168"/>
      <c r="AE426" t="s" s="169">
        <f>IF(L426="","",(SUM(((L424-1)*(1-_xlfn.XLOOKUP(K424,'Janeiro 2023 - Valor Real'!A3:A15,'Janeiro 2023 - Valor Real'!C3:C15,0))+1),((L425-1)*(1-_xlfn.XLOOKUP(K425,'Janeiro 2023 - Valor Real'!A3:A15,'Janeiro 2023 - Valor Real'!C3:C15,0))+1),((L426-1)*(1-_xlfn.XLOOKUP(K426,'Janeiro 2023 - Valor Real'!A3:A15,'Janeiro 2023 - Valor Real'!C3:C15,0))+1))/((L426-1)*(1-_xlfn.XLOOKUP(K426,'Janeiro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Real'!C3:C15,0))+1))/((L424-1)*(1-_xlfn.XLOOKUP(K424,'Janeiro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Real'!C3:C15,0))+1))/((L425-1)*(1-_xlfn.XLOOKUP(K425,'Janeiro 2023 - Valor Real'!A3:A15,'Janeiro 2023 - Valor Real'!C3:C15,0))+1)+SUM(((L424-1)*(1-_xlfn.XLOOKUP(K424,'Janeiro 2023 - Valor Real'!A3:A15,'Janeiro 2023 - Valor Real'!C3:C15,0))+1),((L425-1)*(1-_xlfn.XLOOKUP(K425,'Janeiro 2023 - Valor Real'!A3:A15,'Janeiro 2023 - Valor Real'!C3:C15,0))+1),((L426-1)*(1-_xlfn.XLOOKUP(K426,'Janeiro 2023 - Valor Real'!A3:A15,'Janeiro 2023 - Valor Real'!C3:C15,0))+1))/((L426-1)*(1-_xlfn.XLOOKUP(K426,'Janeiro 2023 - Valor Real'!A3:A15,'Janeiro 2023 - Valor Real'!C3:C15,0))+1)))</f>
      </c>
      <c r="AF426" s="132">
        <f>IF($K426=AF$3,ROUND(IF(OR($C426="W",$C426="1/2W",$C426="1/2L"),$P426-$O426,IF($C426="X",0,-$O426)),2),0)</f>
        <v>0</v>
      </c>
      <c r="AG426" s="133">
        <f>IF($K426=AG$3,ROUND(IF(OR($C426="W",$C426="1/2W",$C426="1/2L"),$P426-$O426,IF($C426="X",0,-$O426)),2),0)</f>
        <v>0</v>
      </c>
      <c r="AH426" s="133">
        <f>IF($K426=AH$3,ROUND(IF(OR($C426="W",$C426="1/2W",$C426="1/2L"),$P426-$O426,IF($C426="X",0,-$O426)),2),0)</f>
        <v>0</v>
      </c>
      <c r="AI426" s="133">
        <f>IF($K426=AI$3,ROUND(IF(OR($C426="W",$C426="1/2W",$C426="1/2L"),$P426-$O426,IF($C426="X",0,-$O426)),2),0)</f>
        <v>0</v>
      </c>
      <c r="AJ426" s="133">
        <f>IF($K426=AJ$3,ROUND(IF(OR($C426="W",$C426="1/2W",$C426="1/2L"),$P426-$O426,IF($C426="X",0,-$O426)),2),0)</f>
        <v>0</v>
      </c>
      <c r="AK426" s="133">
        <f>IF($K426=AK$3,ROUND(IF(OR($C426="W",$C426="1/2W",$C426="1/2L"),$P426-$O426,IF($C426="X",0,-$O426)),2),0)</f>
        <v>0</v>
      </c>
      <c r="AL426" s="133">
        <f>IF($K426=AL$3,ROUND(IF(OR($C426="W",$C426="1/2W",$C426="1/2L"),$P426-$O426,IF($C426="X",0,-$O426)),2),0)</f>
        <v>0</v>
      </c>
      <c r="AM426" s="133">
        <f>IF($K426=AM$3,ROUND(IF(OR($C426="W",$C426="1/2W",$C426="1/2L"),$P426-$O426,IF($C426="X",0,-$O426)),2),0)</f>
        <v>0</v>
      </c>
      <c r="AN426" s="133">
        <f>IF($K426=AN$3,ROUND(IF(OR($C426="W",$C426="1/2W",$C426="1/2L"),$P426-$O426,IF($C426="X",0,-$O426)),2),0)</f>
        <v>0</v>
      </c>
      <c r="AO426" s="133">
        <f>IF($K426=AO$3,ROUND(IF(OR($C426="W",$C426="1/2W",$C426="1/2L"),$P426-$O426,IF($C426="X",0,-$O426)),2),0)</f>
        <v>0</v>
      </c>
      <c r="AP426" s="133">
        <f>IF($K426=AP$3,ROUND(IF(OR($C426="W",$C426="1/2W",$C426="1/2L"),$P426-$O426,IF($C426="X",0,-$O426)),2),0)</f>
        <v>0</v>
      </c>
      <c r="AQ426" s="133">
        <f>IF($K426=AQ$3,ROUND(IF(OR($C426="W",$C426="1/2W",$C426="1/2L"),$P426-$O426,IF($C426="X",0,-$O426)),2),0)</f>
        <v>0</v>
      </c>
      <c r="AR426" s="134">
        <f>IF($K426=AR$3,ROUND(IF(OR($C426="W",$C426="1/2W",$C426="1/2L"),$P426-$O426,IF($C426="X",0,-$O426)),2),0)</f>
        <v>0</v>
      </c>
      <c r="AS426" s="132">
        <f>IF(AND($B424=" ",$K426=AS$3),$O426,0)</f>
        <v>0</v>
      </c>
      <c r="AT426" s="133">
        <f>IF(AND($B424=" ",K426=AT$3),$O426,0)</f>
        <v>0</v>
      </c>
      <c r="AU426" s="133">
        <f>IF(AND($B424=" ",$K426=AU$3),$O426,0)</f>
        <v>0</v>
      </c>
      <c r="AV426" s="133">
        <f>IF(AND($B424=" ",$K426=AV$3),$O426,0)</f>
        <v>0</v>
      </c>
      <c r="AW426" s="133">
        <f>IF(AND($B424=" ",$K426=AW$3),$O426,0)</f>
        <v>0</v>
      </c>
      <c r="AX426" s="133">
        <f>IF(AND($B424=" ",$K426=AX$3),$O426,0)</f>
        <v>0</v>
      </c>
      <c r="AY426" s="135">
        <f>IF(AND($B424=" ",$K426=AY$3),$O426,0)</f>
        <v>0</v>
      </c>
      <c r="AZ426" s="136">
        <f>IF(AND($B424=" ",$K426=AZ$3),$O426,0)</f>
        <v>0</v>
      </c>
      <c r="BA426" s="136">
        <f>IF(AND($B424=" ",$K426=BA$3),$O426,0)</f>
        <v>0</v>
      </c>
      <c r="BB426" s="136">
        <f>IF(AND($B424=" ",$K426=BB$3),$O426,0)</f>
        <v>0</v>
      </c>
      <c r="BC426" s="137">
        <f>IF(AND($B424=" ",$K426=BC$3),$O426,0)</f>
        <v>0</v>
      </c>
      <c r="BD426" s="133">
        <f>IF(AND($B424=" ",$K426=BD$3),$O426,0)</f>
        <v>0</v>
      </c>
      <c r="BE426" s="134">
        <f>IF(AND($B424=" ",$K426=BE$3),$O426,0)</f>
        <v>0</v>
      </c>
      <c r="BF426" s="132">
        <f>IF($K426=BF$3,IF($C426="X",0,$O426),0)</f>
        <v>0</v>
      </c>
      <c r="BG426" s="281">
        <f>IF($K426=BG$3,IF($C426="X",0,$O426),0)</f>
        <v>0</v>
      </c>
      <c r="BH426" s="133">
        <f>IF($K426=BH$3,IF($C426="X",0,$O426),0)</f>
        <v>0</v>
      </c>
      <c r="BI426" s="133">
        <f>IF($K426=BI$3,IF($C426="X",0,$O426),0)</f>
        <v>0</v>
      </c>
      <c r="BJ426" s="133">
        <f>IF($K426=BJ$3,IF($C426="X",0,$O426),0)</f>
        <v>0</v>
      </c>
      <c r="BK426" s="133">
        <f>IF($K426=BK$3,IF($C426="X",0,$O426),0)</f>
        <v>0</v>
      </c>
      <c r="BL426" s="133">
        <f>IF($K426=BL$3,IF($C426="X",0,$O426),0)</f>
        <v>0</v>
      </c>
      <c r="BM426" s="135">
        <f>IF($K426=BM$3,IF($C426="X",0,$O426),0)</f>
        <v>0</v>
      </c>
      <c r="BN426" s="136">
        <f>IF($K426=BN$3,IF($C426="X",0,$O426),0)</f>
        <v>0</v>
      </c>
      <c r="BO426" s="136">
        <f>IF($K426=BO$3,IF($C426="X",0,$O426),0)</f>
        <v>0</v>
      </c>
      <c r="BP426" s="136">
        <f>IF($K426=BP$3,IF($C426="X",0,$O426),0)</f>
        <v>0</v>
      </c>
      <c r="BQ426" s="137">
        <f>IF($K426=BQ$3,IF($C426="X",0,$O426),0)</f>
        <v>0</v>
      </c>
      <c r="BR426" s="134">
        <f>IF($K426=BR$3,IF($C426="X",0,$O426),0)</f>
        <v>0</v>
      </c>
      <c r="BS426" s="282"/>
      <c r="BT426" s="283"/>
      <c r="BU426" s="140"/>
      <c r="BV426" s="283"/>
      <c r="BW426" s="140"/>
      <c r="BX426" s="140"/>
      <c r="BY426" s="140"/>
      <c r="BZ426" s="283"/>
      <c r="CA426" s="140"/>
      <c r="CB426" s="140"/>
      <c r="CC426" s="140"/>
      <c r="CD426" s="141"/>
      <c r="CE426" s="142"/>
      <c r="CF426" s="284">
        <f>IF(CF$3=$K426,IF($C426="W",1,IF($C426="1/2W",0.5,0)),0)</f>
        <v>0</v>
      </c>
      <c r="CG426" s="285">
        <f>IF(CF$3=$K426,IF($C426="L",1,IF($C426="1/2L",0.5,0)),0)</f>
        <v>0</v>
      </c>
      <c r="CH426" s="285">
        <f>IF(CH$3=$K426,IF($C426="W",1,IF($C426="1/2W",0.5,0)),0)</f>
        <v>0</v>
      </c>
      <c r="CI426" s="285">
        <f>IF(CH$3=$K426,IF($C426="L",1,IF($C426="1/2L",0.5,0)),0)</f>
        <v>0</v>
      </c>
      <c r="CJ426" s="285">
        <f>IF(CJ$3=$K426,IF($C426="W",1,IF($C426="1/2W",0.5,0)),0)</f>
        <v>0</v>
      </c>
      <c r="CK426" s="285">
        <f>IF(CJ$3=$K426,IF($C426="L",1,IF($C426="1/2L",0.5,0)),0)</f>
        <v>0</v>
      </c>
      <c r="CL426" s="285">
        <f>IF(CL$3=$K426,IF($C426="W",1,IF($C426="1/2W",0.5,0)),0)</f>
        <v>0</v>
      </c>
      <c r="CM426" s="285">
        <f>IF(CL$3=$K426,IF($C426="L",1,IF($C426="1/2L",0.5,0)),0)</f>
        <v>0</v>
      </c>
      <c r="CN426" s="285">
        <f>IF(CN$3=$K426,IF($C426="W",1,IF($C426="1/2W",0.5,0)),0)</f>
        <v>0</v>
      </c>
      <c r="CO426" s="285">
        <f>IF(CN$3=$K426,IF($C426="L",1,IF($C426="1/2L",0.5,0)),0)</f>
        <v>0</v>
      </c>
      <c r="CP426" s="285">
        <f>IF(CP$3=$K426,IF($C426="W",1,IF($C426="1/2W",0.5,0)),0)</f>
        <v>0</v>
      </c>
      <c r="CQ426" s="285">
        <f>IF(CP$3=$K426,IF($C426="L",1,IF($C426="1/2L",0.5,0)),0)</f>
        <v>0</v>
      </c>
      <c r="CR426" s="285">
        <f>IF(CR$3=$K426,IF($C426="W",1,IF($C426="1/2W",0.5,0)),0)</f>
        <v>0</v>
      </c>
      <c r="CS426" s="285">
        <f>IF(CR$3=$K426,IF($C426="L",1,IF($C426="1/2L",0.5,0)),0)</f>
        <v>0</v>
      </c>
      <c r="CT426" s="145">
        <f>IF(CT$3=$K426,IF($C426="W",1,IF($C426="1/2W",0.5,0)),0)</f>
        <v>0</v>
      </c>
      <c r="CU426" s="146">
        <f>IF(CT$3=$K426,IF($C426="L",1,IF($C426="1/2L",0.5,0)),0)</f>
        <v>0</v>
      </c>
      <c r="CV426" s="146">
        <f>IF(CV$3=$K426,IF($C426="W",1,IF($C426="1/2W",0.5,0)),0)</f>
        <v>0</v>
      </c>
      <c r="CW426" s="146">
        <f>IF(CV$3=$K426,IF($C426="L",1,IF($C426="1/2L",0.5,0)),0)</f>
        <v>0</v>
      </c>
      <c r="CX426" s="146">
        <f>IF(CX$3=$K426,IF($C426="W",1,IF($C426="1/2W",0.5,0)),0)</f>
        <v>0</v>
      </c>
      <c r="CY426" s="146">
        <f>IF(CX$3=$K426,IF($C426="L",1,IF($C426="1/2L",0.5,0)),0)</f>
        <v>0</v>
      </c>
      <c r="CZ426" s="146">
        <f>IF(CZ$3=$K426,IF($C426="W",1,IF($C426="1/2W",0.5,0)),0)</f>
        <v>0</v>
      </c>
      <c r="DA426" s="146">
        <f>IF(CZ$3=$K426,IF($C426="L",1,IF($C426="1/2L",0.5,0)),0)</f>
        <v>0</v>
      </c>
      <c r="DB426" s="146">
        <f>IF(DB$3=$K426,IF($C426="W",1,IF($C426="1/2W",0.5,0)),0)</f>
        <v>0</v>
      </c>
      <c r="DC426" s="146">
        <f>IF(DB$3=$K426,IF($C426="L",1,IF($C426="1/2L",0.5,0)),0)</f>
        <v>0</v>
      </c>
      <c r="DD426" s="146">
        <f>IF(DD$3=$K426,IF($C426="W",1,IF($C426="1/2W",0.5,0)),0)</f>
        <v>0</v>
      </c>
      <c r="DE426" s="147">
        <f>IF(DD$3=$K426,IF($C426="L",1,IF($C426="1/2L",0.5,0)),0)</f>
        <v>0</v>
      </c>
      <c r="DF426" s="143">
        <f>IF(AND(L426&lt;DF$3,$C426="W"),1+DF425,DF425)</f>
        <v>14</v>
      </c>
      <c r="DG426" s="133">
        <f>IF(DF426&gt;DF425,L426+DG425,DG425)</f>
        <v>18.548</v>
      </c>
      <c r="DH426" s="146">
        <f>IF(AND(L426&gt;DH$3,$C426="W"),1+DH425,0+DH425)</f>
        <v>10</v>
      </c>
      <c r="DI426" s="133">
        <f>IF(DH426&gt;DH425,L426+DI425,DI425)</f>
        <v>55.13</v>
      </c>
      <c r="DJ426" t="s" s="304">
        <f>IF($D424="","",$D424)</f>
        <v>342</v>
      </c>
      <c r="DK426" s="286"/>
    </row>
    <row r="427" ht="14.55" customHeight="1">
      <c r="A427" s="171">
        <f>$A424+1</f>
        <v>142</v>
      </c>
      <c r="B427" t="s" s="172">
        <f>IF(AND(_xlfn.XLOOKUP(H427,H$122:H200,G$122:G200,0)=G427,_xlfn.XLOOKUP("TempoBet",K427:K429,L427:L429,0)&gt;0),"X",IF(OR(C427="W",C428="W",C429="W",C427="1/2W",C428="1/2W",C429="1/2W",C427="1/2L",C428="1/2L",C429="1/2L"),"OK",IF(OR(C427="L",C428="L",C429="L"),"LOSS",IF(OR(C427="X",C428="X",C429="X"),"Anulado"," "))))</f>
        <v>50</v>
      </c>
      <c r="C427" t="s" s="173">
        <v>51</v>
      </c>
      <c r="D427" t="s" s="305">
        <f>IF(G427="","",$D424)</f>
        <v>342</v>
      </c>
      <c r="E427" t="s" s="175">
        <f>IF(G427=""," ","– "&amp;COUNTIF(D$4:D429,$D427))</f>
        <v>63</v>
      </c>
      <c r="F427" t="s" s="176"/>
      <c r="G427" s="177">
        <v>44951.416666666664</v>
      </c>
      <c r="H427" t="s" s="178">
        <v>344</v>
      </c>
      <c r="I427" t="s" s="179">
        <v>57</v>
      </c>
      <c r="J427" s="291">
        <v>0.5</v>
      </c>
      <c r="K427" t="s" s="181">
        <v>44</v>
      </c>
      <c r="L427" s="182">
        <v>2.13</v>
      </c>
      <c r="M427" s="183"/>
      <c r="N427" s="184">
        <v>0</v>
      </c>
      <c r="O427" s="185">
        <f>IF(OR(AE427="",AE428=""),"",ROUND(IF(L429&gt;0,IF(M427&gt;0,M427,IF(M428&gt;0,ROUND((M428*AE427)/AE428,IF(N427=0,2,IF(N427=0.1,1,0))),ROUND((M429*AE427)/AE429,IF(N427=0,2,IF(N427=0.1,1,0))))),IF(M427&gt;0,M427,ROUND((M428*AE427)/AE428,IF(N427=0,2,IF(N427=0.1,1,0))))),2))</f>
        <v>40.77</v>
      </c>
      <c r="P427" s="186">
        <f>IF(OR(L427="",O427=""),"",IF($C427="1/2W",O427/2+O427/2*L427,IF($C427="1/2L",O427/2,IF(I427="Lay",(O427*(L427/(L427-1))-O427)*(1-_xlfn.XLOOKUP(K427,'Janeiro 2023 - Valor Real'!A3:A15,'Janeiro 2023 - Valor Real'!C3:C15,0))+O427,(O427*L427-O427)*(1-_xlfn.XLOOKUP(K427,'Janeiro 2023 - Valor Real'!A3:A15,'Janeiro 2023 - Valor Real'!C3:C15,0))+O427))))</f>
        <v>86.84010000000001</v>
      </c>
      <c r="Q427" s="187">
        <f>IF(K427="","",IF(_xlfn.XLOOKUP(K427,K$122:K200,DJ$122:DJ200,0,,-1)=DJ427,_xlfn.XLOOKUP(K427,K$122:K200,Q$122:Q200,1,,-1)+1,1))</f>
        <v>1</v>
      </c>
      <c r="R427" s="188">
        <f>IF(K427="","",_xlfn.XLOOKUP(K427,K$122:K200,R$122:R200,0,,-1)+IF($C427=" ",1,0))</f>
        <v>0</v>
      </c>
      <c r="S427" s="189">
        <f>IF($B427="Anulado",0,ROUND(IF(OR($B427="LOSS",$B427="OK"),IF(OR($C427="W",$C427="1/2W",$C427="1/2L"),P427-O427,IF($C427="L",-O427,0))+IF(OR($C428="W",$C428="1/2W",$C428="1/2L"),P428-O428,IF($C428="L",-O428,0))+IF(OR($C429="W",$C429="1/2W",$C429="1/2L"),P429-O429,IF($C429="L",-O429,0)),IF(AND(OR($C427="W",$C427="1/2W",$C427="1/2L"),C428="W"),P427+P428-SUM(O427:O429)+_xlfn.XLOOKUP("X",C427:C429,O427:O429,0),IF(AND(C427=TRUE,C429="W"),P427+P429-SUM(O427:O429),IF(AND(C428="W",C429="W"),P428+P429-SUM(O427:O429)+_xlfn.XLOOKUP("X",C427:C429,O427:O429,0),IF(L429&gt;0,IF(OR($C427="W",$C427="1/2W",$C427="1/2L"),P427-SUM(O427:O429)+_xlfn.XLOOKUP("X",C427:C429,O427:O429,0),IF(OR($C427="W",$C427="1/2W",$C427="1/2L"),P428-SUM(O427:O429)+_xlfn.XLOOKUP("X",C427:C429,O427:O429,0),IF(OR($C427="W",$C427="1/2W",$C427="1/2L"),P429-SUM(O427:O429)+_xlfn.XLOOKUP("X",C427:C429,O427:O429,0),IF(SUM(P427:P429)/3-SUM(O427:O429)+_xlfn.XLOOKUP("X",C427:C429,O427:O429,0)&gt;0,SUM(P427:P429)/3-SUM(O427:O429)+_xlfn.XLOOKUP("X",C427:C429,O427:O429,0),LARGE(P427:P429,1)-SUM(O427:O429))))),IF(OR($C427="W",$C427="1/2W",$C427="1/2L"),P427-SUM(O427:O428)+_xlfn.XLOOKUP("X",C427:C429,O427:O429,0),IF(OR($C427="W",$C427="1/2W",$C427="1/2L"),P428-SUM(O427:O428)+_xlfn.XLOOKUP("X",C427:C429,O427:O429,0),SUM(P427:P428)/2-SUM(O427:O428)+_xlfn.XLOOKUP("X",C427:C429,O427:O429,0)))))))),2))</f>
        <v>2.65</v>
      </c>
      <c r="T427" s="190">
        <f>IF(S427=0,0,S427/SUM(O427:O429))</f>
        <v>0.0314764223779546</v>
      </c>
      <c r="U427" s="191">
        <f>IF($D427=$D424,IF(OR($B427="LOSS",$B427="OK",$B427="Anulada"),S427,0)+U424,IF(OR($B427="LOSS",$B427="OK",$B427="Anulada"),S427,0))</f>
        <v>7.83</v>
      </c>
      <c r="V427" s="191">
        <f>IF($D427="",0,IF($D427=$D424,IF($B427=" ",IF(I429="",IF(OR(AND(I427="DNB1",I428="DNB2"),AND(OR(I427="DNB1",I427="DNB2"),J428=0),AND(OR(I428="DNB1",I428="DNB2"),J427=0),AND(I427="DNB2",I428="DNB1"),AND(IF(J427=0,(J427+1)/ROUND(J427+1,0),J427/ROUND(J427,0))=1,IF(J428=0,(J428+1)/ROUND(IF(J428="",0,J428)+1,0),IF(J428="",0,J428)/ROUND(IF(J428="",1,J428),0))=1,OR(J427&lt;&gt;""),J428&lt;&gt;"")),0,IF(S427&lt;0,IF(I429="",SMALL(P427:P428,1)-SUM(O427:O428),0),SMALL(P427:P428,1)-SUM(O427:O428))),IF(S427&lt;0,IF(I429="",SMALL(P427:P429,1)-SUM(O427:O429),0),LARGE(P427:P429,1)-SUM(O427:O429))),S427)+V424,IF(I429="",IF(OR(AND(I427="DNB1",I428="DNB2"),AND(OR(I427="DNB1",I427="DNB2"),J428=0),AND(OR(I428="DNB1",I428="DNB2"),J427=0),AND(I427="DNB2",I428="DNB1"),AND(IF(J427=0,(J427+1)/ROUND(J427+1,0),J427/ROUND(J427,0))=1,IF(J428=0,(IF(J428="",0,J428)+1)/ROUND(IF(J428="",0,J428)+1,0),IF(J428="",0,J428)/ROUND(IF(J428="",0,J428)+1,0))=1,OR(J427&lt;&gt;""),J428&lt;&gt;"")),0,IF(S427&lt;0,IF(I429="",SMALL(P427:P428,1)-SUM(O427:O428),0),SMALL(P427:P429,1)-SUM(O427:O429))),IF(S427&lt;0,IF(I429="",SMALL(P427:P429,1)-SUM(O427:O429),0),LARGE(P427:P429,1)-SUM(O427:O429)))))</f>
        <v>7.8191</v>
      </c>
      <c r="W427" s="191">
        <f>IF($D427=$D424,IF(S427&lt;0,IF(I429="",S427,0),S427)+W424,S427)</f>
        <v>7.83</v>
      </c>
      <c r="X427" t="s" s="192">
        <f>IF(OR(SUM(R427:R429)=0,V427=W427),ROUND(IF(W427=0,0,W427/Y427)*100,2)&amp;"%",ROUND(IF(V427=0,0,V427/Y427)*100,2)&amp;"% a "&amp;ROUND(IF(W427=0,0,W427/Y427)*100,2)&amp;"%")</f>
        <v>345</v>
      </c>
      <c r="Y427" s="193">
        <f>IF($D427=$D424,Y424+SUM(O427:O429),SUM(O427:O429))</f>
        <v>181.48</v>
      </c>
      <c r="Z427" s="191">
        <f>IF($B427=" ",SUM(O427:O429),0)+Z424</f>
        <v>0</v>
      </c>
      <c r="AA427" s="191">
        <f>IF(G427="","",IF($B427="Anulado",LARGE(P427:P429,1)-SUM(O427:O429)+AA424,AA424))</f>
        <v>22.2257</v>
      </c>
      <c r="AB427" s="191">
        <f>IF($D427="","",AB424+S427)</f>
        <v>290.73</v>
      </c>
      <c r="AC427" s="194">
        <f>IF($D427="","",IF($B427=" ",IF(DAY(G427)=DAY(TODAY()),1+AC424,0+AC424),0+AC424))</f>
        <v>0</v>
      </c>
      <c r="AD427" s="195">
        <f>(((L428/(L428-1)-1)*(1-_xlfn.XLOOKUP(K428,'Janeiro 2023 - Valor Real'!A3:A15,'Janeiro 2023 - Valor Real'!C3:C15,0))+1))/(((L427-1)*(1-_xlfn.XLOOKUP(K427,'Janeiro 2023 - Valor Real'!A3:A15,'Janeiro 2023 - Valor Real'!C3:C15,0))+1)+((L428/(L428-1)-1)*(1-_xlfn.XLOOKUP(K428,'Janeiro 2023 - Valor Real'!A3:A15,'Janeiro 2023 - Valor Real'!C3:C15,0))+1))</f>
        <v>0.484261501210654</v>
      </c>
      <c r="AE427" s="196">
        <f>IF(L427="","",IF(L429&gt;0,(SUM(((L427-1)*(1-_xlfn.XLOOKUP(K427,'Janeiro 2023 - Valor Real'!A3:A15,'Janeiro 2023 - Valor Real'!C3:C15,0))+1),((L428-1)*(1-_xlfn.XLOOKUP(K428,'Janeiro 2023 - Valor Real'!A3:A15,'Janeiro 2023 - Valor Real'!C3:C15,0))+1),((L429-1)*(1-_xlfn.XLOOKUP(K429,'Janeiro 2023 - Valor Real'!A3:A15,'Janeiro 2023 - Valor Real'!C3:C15,0))+1))/((L427-1)*(1-_xlfn.XLOOKUP(K427,'Janeiro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Real'!C3:C15,0))+1))/((L427-1)*(1-_xlfn.XLOOKUP(K427,'Janeiro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Real'!C3:C15,0))+1))/((L428-1)*(1-_xlfn.XLOOKUP(K428,'Janeiro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Real'!C3:C15,0))+1))/((L429-1)*(1-_xlfn.XLOOKUP(K429,'Janeiro 2023 - Valor Real'!A3:A15,'Janeiro 2023 - Valor Real'!C3:C15,0))+1)),IF(I427="Lay",IF(I428="Lay",((L428/(L428-1)-1)*(1-_xlfn.XLOOKUP(K428,'Janeiro 2023 - Valor Real'!A3:A15,'Janeiro 2023 - Valor Real'!C3:C15,0))+1)/(((L428/(L428-1)-1)*(1-_xlfn.XLOOKUP(K428,'Janeiro 2023 - Valor Real'!A3:A15,'Janeiro 2023 - Valor Real'!C3:C15,0))+1)+((L427/(L427-1)-1)*(1-_xlfn.XLOOKUP(K427,'Janeiro 2023 - Valor Real'!A3:A15,'Janeiro 2023 - Valor Real'!C3:C15,0))+1)),((L428-1)*(1-_xlfn.XLOOKUP(K428,'Janeiro 2023 - Valor Real'!A3:A15,'Janeiro 2023 - Valor Real'!C3:C15,0))+1)/(((L428-1)*(1-_xlfn.XLOOKUP(K428,'Janeiro 2023 - Valor Real'!A3:A15,'Janeiro 2023 - Valor Real'!C3:C15,0))+1)+((L427/(L427-1)-1)*(1-_xlfn.XLOOKUP(K427,'Janeiro 2023 - Valor Real'!A3:A15,'Janeiro 2023 - Valor Real'!C3:C15,0))+1))),IF(I428="Lay",(((L428/(L428-1)-1)*(1-_xlfn.XLOOKUP(K428,'Janeiro 2023 - Valor Real'!A3:A15,'Janeiro 2023 - Valor Real'!C3:C15,0))+1))/(((L427-1)*(1-_xlfn.XLOOKUP(K427,'Janeiro 2023 - Valor Real'!A3:A15,'Janeiro 2023 - Valor Real'!C3:C15,0))+1)+((L428/(L428-1)-1)*(1-_xlfn.XLOOKUP(K428,'Janeiro 2023 - Valor Real'!A3:A15,'Janeiro 2023 - Valor Real'!C3:C15,0))+1)),((L428-1)*(1-_xlfn.XLOOKUP(K428,'Janeiro 2023 - Valor Real'!A3:A15,'Janeiro 2023 - Valor Real'!C3:C15,0))+1)/(((L428-1)*(1-_xlfn.XLOOKUP(K428,'Janeiro 2023 - Valor Real'!A3:A15,'Janeiro 2023 - Valor Real'!C3:C15,0))+1)+((L427-1)*(1-_xlfn.XLOOKUP(K427,'Janeiro 2023 - Valor Real'!A3:A15,'Janeiro 2023 - Valor Real'!C3:C15,0))+1))))))</f>
        <v>0.484261501210654</v>
      </c>
      <c r="AF427" s="197">
        <f>IF($K427=AF$3,ROUND(IF(OR($C427="W",$C427="1/2W",$C427="1/2L"),$P427-$O427,IF($C427="X",0,-$O427)),2),0)</f>
        <v>0</v>
      </c>
      <c r="AG427" s="198">
        <f>IF($K427=AG$3,ROUND(IF(OR($C427="W",$C427="1/2W",$C427="1/2L"),$P427-$O427,IF($C427="X",0,-$O427)),2),0)</f>
        <v>0</v>
      </c>
      <c r="AH427" s="198">
        <f>IF($K427=AH$3,ROUND(IF(OR($C427="W",$C427="1/2W",$C427="1/2L"),$P427-$O427,IF($C427="X",0,-$O427)),2),0)</f>
        <v>0</v>
      </c>
      <c r="AI427" s="198">
        <f>IF($K427=AI$3,ROUND(IF(OR($C427="W",$C427="1/2W",$C427="1/2L"),$P427-$O427,IF($C427="X",0,-$O427)),2),0)</f>
        <v>0</v>
      </c>
      <c r="AJ427" s="198">
        <f>IF($K427=AJ$3,ROUND(IF(OR($C427="W",$C427="1/2W",$C427="1/2L"),$P427-$O427,IF($C427="X",0,-$O427)),2),0)</f>
        <v>0</v>
      </c>
      <c r="AK427" s="198">
        <f>IF($K427=AK$3,ROUND(IF(OR($C427="W",$C427="1/2W",$C427="1/2L"),$P427-$O427,IF($C427="X",0,-$O427)),2),0)</f>
        <v>0</v>
      </c>
      <c r="AL427" s="198">
        <f>IF($K427=AL$3,ROUND(IF(OR($C427="W",$C427="1/2W",$C427="1/2L"),$P427-$O427,IF($C427="X",0,-$O427)),2),0)</f>
        <v>0</v>
      </c>
      <c r="AM427" s="198">
        <f>IF($K427=AM$3,ROUND(IF(OR($C427="W",$C427="1/2W",$C427="1/2L"),$P427-$O427,IF($C427="X",0,-$O427)),2),0)</f>
        <v>-40.77</v>
      </c>
      <c r="AN427" s="198">
        <f>IF($K427=AN$3,ROUND(IF(OR($C427="W",$C427="1/2W",$C427="1/2L"),$P427-$O427,IF($C427="X",0,-$O427)),2),0)</f>
        <v>0</v>
      </c>
      <c r="AO427" s="198">
        <f>IF($K427=AO$3,ROUND(IF(OR($C427="W",$C427="1/2W",$C427="1/2L"),$P427-$O427,IF($C427="X",0,-$O427)),2),0)</f>
        <v>0</v>
      </c>
      <c r="AP427" s="198">
        <f>IF($K427=AP$3,ROUND(IF(OR($C427="W",$C427="1/2W",$C427="1/2L"),$P427-$O427,IF($C427="X",0,-$O427)),2),0)</f>
        <v>0</v>
      </c>
      <c r="AQ427" s="198">
        <f>IF($K427=AQ$3,ROUND(IF(OR($C427="W",$C427="1/2W",$C427="1/2L"),$P427-$O427,IF($C427="X",0,-$O427)),2),0)</f>
        <v>0</v>
      </c>
      <c r="AR427" s="199">
        <f>IF($K427=AR$3,ROUND(IF(OR($C427="W",$C427="1/2W",$C427="1/2L"),$P427-$O427,IF($C427="X",0,-$O427)),2),0)</f>
        <v>0</v>
      </c>
      <c r="AS427" s="197">
        <f>IF(AND($B427=" ",$K427=AS$3),$O427,0)</f>
        <v>0</v>
      </c>
      <c r="AT427" s="198">
        <f>IF(AND($B427=" ",$K427=AT$3),$O427,0)</f>
        <v>0</v>
      </c>
      <c r="AU427" s="198">
        <f>IF(AND($B427=" ",$K427=AU$3),$O427,0)</f>
        <v>0</v>
      </c>
      <c r="AV427" s="198">
        <f>IF(AND($B427=" ",$K427=AV$3),$O427,0)</f>
        <v>0</v>
      </c>
      <c r="AW427" s="198">
        <f>IF(AND($B427=" ",$K427=AW$3),$O427,0)</f>
        <v>0</v>
      </c>
      <c r="AX427" s="198">
        <f>IF(AND($B427=" ",$K427=AX$3),$O427,0)</f>
        <v>0</v>
      </c>
      <c r="AY427" s="200">
        <f>IF(AND($B427=" ",$K427=AY$3),$O427,0)</f>
        <v>0</v>
      </c>
      <c r="AZ427" s="201">
        <f>IF(AND($B427=" ",$K427=AZ$3),$O427,0)</f>
        <v>0</v>
      </c>
      <c r="BA427" s="201">
        <f>IF(AND($B427=" ",$K427=BA$3),$O427,0)</f>
        <v>0</v>
      </c>
      <c r="BB427" s="201">
        <f>IF(AND($B427=" ",$K427=BB$3),$O427,0)</f>
        <v>0</v>
      </c>
      <c r="BC427" s="202">
        <f>IF(AND($B427=" ",$K427=BC$3),$O427,0)</f>
        <v>0</v>
      </c>
      <c r="BD427" s="198">
        <f>IF(AND($B427=" ",$K427=BD$3),$O427,0)</f>
        <v>0</v>
      </c>
      <c r="BE427" s="199">
        <f>IF(AND($B427=" ",$K427=BE$3),$O427,0)</f>
        <v>0</v>
      </c>
      <c r="BF427" s="203">
        <f>IF($K427=BF$3,IF($C427="X",0,$O427),0)</f>
        <v>0</v>
      </c>
      <c r="BG427" s="198">
        <f>IF($K427=BG$3,IF($C427="X",0,$O427),0)</f>
        <v>0</v>
      </c>
      <c r="BH427" s="198">
        <f>IF($K427=BH$3,IF($C427="X",0,$O427),0)</f>
        <v>0</v>
      </c>
      <c r="BI427" s="198">
        <f>IF($K427=BI$3,IF($C427="X",0,$O427),0)</f>
        <v>0</v>
      </c>
      <c r="BJ427" s="198">
        <f>IF($K427=BJ$3,IF($C427="X",0,$O427),0)</f>
        <v>0</v>
      </c>
      <c r="BK427" s="198">
        <f>IF($K427=BK$3,IF($C427="X",0,$O427),0)</f>
        <v>0</v>
      </c>
      <c r="BL427" s="198">
        <f>IF($K427=BL$3,IF($C427="X",0,$O427),0)</f>
        <v>0</v>
      </c>
      <c r="BM427" s="200">
        <f>IF($K427=BM$3,IF($C427="X",0,$O427),0)</f>
        <v>40.77</v>
      </c>
      <c r="BN427" s="201">
        <f>IF($K427=BN$3,IF($C427="X",0,$O427),0)</f>
        <v>0</v>
      </c>
      <c r="BO427" s="201">
        <f>IF($K427=BO$3,IF($C427="X",0,$O427),0)</f>
        <v>0</v>
      </c>
      <c r="BP427" s="201">
        <f>IF($K427=BP$3,IF($C427="X",0,$O427),0)</f>
        <v>0</v>
      </c>
      <c r="BQ427" s="202">
        <f>IF($K427=BQ$3,IF($C427="X",0,$O427),0)</f>
        <v>0</v>
      </c>
      <c r="BR427" s="199">
        <f>IF($K427=BR$3,IF($C427="X",0,$O427),0)</f>
        <v>0</v>
      </c>
      <c r="BS427" s="204">
        <f>IF($B427="LOSS",IF(AND($K427=BS$3,$C427="L"),-$O427,0)+IF(AND($K428=BS$3,$C428="L"),-$O428,0)+IF(AND($K429=BS$3,$C429="L"),-$O429,0),IF(OR(AND($K427=BS$3,OR($C427="W",$C427="1/2W")),AND($K428=BS$3,OR($C428="W",$C428="1/2W")),AND($K429=BS$3,OR($C429="W",$C429="1/2W"))),$S427,0))</f>
        <v>0</v>
      </c>
      <c r="BT427" s="201">
        <f>IF($B427="LOSS",IF(AND($K427=BT$3,$C427="L"),-$O427,0)+IF(AND($K428=BT$3,$C428="L"),-$O428,0)+IF(AND($K428=BT$3,$C429="L"),-$O429,0),IF(OR(AND($K428=BT$3,OR($C427="W",$C427="1/2W")),AND($K428=BT$3,OR($C428="W",$C428="1/2W")),AND($K428=BT$3,OR($C429="W",$C429="1/2W"))),$S427,0))</f>
        <v>2.65</v>
      </c>
      <c r="BU427" s="201">
        <f>IF($B427="LOSS",IF(AND($K427=BU$3,$C427="L"),-$O427,0)+IF(AND($K428=BU$3,$C428="L"),-$O428,0)+IF(AND($K428=BU$3,$C429="L"),-$O429,0),IF(OR(AND($K428=BU$3,OR($C427="W",$C427="1/2W")),AND($K428=BU$3,OR($C428="W",$C428="1/2W")),AND($K428=BU$3,OR($C429="W",$C429="1/2W"))),$S427,0))</f>
        <v>0</v>
      </c>
      <c r="BV427" s="201">
        <f>IF($B427="LOSS",IF(AND($K427=BV$3,$C427="L"),-$O427,0)+IF(AND($K428=BV$3,$C428="L"),-$O428,0)+IF(AND($K429=BV$3,$C429="L"),-$O429,0),IF(OR(AND($K427=BV$3,OR($C427="W",$C427="1/2W")),AND($K428=BV$3,OR($C428="W",$C428="1/2W")),AND($K429=BV$3,OR($C429="W",$C429="1/2W"))),$S427,0))</f>
        <v>0</v>
      </c>
      <c r="BW427" s="201">
        <f>IF($B427="LOSS",IF(AND($K427=BW$3,$C427="L"),-$O427,0)+IF(AND($K428=BW$3,$C428="L"),-$O428,0)+IF(AND($K429=BW$3,$C429="L"),-$O429,0),IF(OR(AND($K427=BW$3,OR($C427="W",$C427="1/2W")),AND($K428=BW$3,OR($C428="W",$C428="1/2W")),AND($K429=BW$3,OR($C429="W",$C429="1/2W"))),$S427,0))</f>
        <v>0</v>
      </c>
      <c r="BX427" s="201">
        <f>IF($B427="LOSS",IF(AND($K427=BX$3,$C427="L"),-$O427,0)+IF(AND($K428=BX$3,$C428="L"),-$O428,0)+IF(AND($K429=BX$3,$C429="L"),-$O429,0),IF(OR(AND($K427=BX$3,OR($C427="W",$C427="1/2W")),AND($K428=BX$3,OR($C428="W",$C428="1/2W")),AND($K429=BX$3,OR($C429="W",$C429="1/2W"))),$S427,0))</f>
        <v>0</v>
      </c>
      <c r="BY427" s="201">
        <f>IF($B427="LOSS",IF(AND($K427=BY$3,$C427="L"),-$O427,0)+IF(AND($K428=BY$3,$C428="L"),-$O428,0)+IF(AND($K429=BY$3,$C429="L"),-$O429,0),IF(OR(AND($K427=BY$3,OR($C427="W",$C427="1/2W")),AND($K428=BY$3,OR($C428="W",$C428="1/2W")),AND($K429=BY$3,OR($C429="W",$C429="1/2W"))),$S427,0))</f>
        <v>0</v>
      </c>
      <c r="BZ427" s="205">
        <f>IF($B427="LOSS",IF(AND($K427=BZ$3,$C427="L"),-$O427,0)+IF(AND($K428=BZ$3,$C428="L"),-$O428,0)+IF(AND($K429=BZ$3,$C429="L"),-$O429,0),IF(OR(AND($K427=BZ$3,OR($C427="W",$C427="1/2W")),AND($K428=BZ$3,OR($C428="W",$C428="1/2W")),AND($K429=BZ$3,OR($C429="W",$C429="1/2W"))),$S427,0))</f>
        <v>0</v>
      </c>
      <c r="CA427" s="205">
        <f>IF($B427="LOSS",IF(AND($K427=CA$3,$C427="L"),-$O427,0)+IF(AND($K428=CA$3,$C428="L"),-$O428,0)+IF(AND($K429=CA$3,$C429="L"),-$O429,0),IF(OR(AND($K427=CA$3,OR($C427="W",$C427="1/2W")),AND($K428=CA$3,OR($C428="W",$C428="1/2W")),AND($K429=CA$3,OR($C429="W",$C429="1/2W"))),$S427,0))</f>
        <v>0</v>
      </c>
      <c r="CB427" s="205">
        <f>IF($B427="LOSS",IF(AND($K427=CB$3,$C427="L"),-$O427,0)+IF(AND($K428=CB$3,$C428="L"),-$O428,0)+IF(AND($K429=CB$3,$C429="L"),-$O429,0),IF(OR(AND($K427=CB$3,OR($C427="W",$C427="1/2W")),AND($K428=CB$3,OR($C428="W",$C428="1/2W")),AND($K429=CB$3,OR($C429="W",$C429="1/2W"))),$S427,0))</f>
        <v>0</v>
      </c>
      <c r="CC427" s="205">
        <f>IF($B427="LOSS",IF(AND($K427=CC$3,$C427="L"),-$O427,0)+IF(AND($K428=CC$3,$C428="L"),-$O428,0)+IF(AND($K429=CC$3,$C429="L"),-$O429,0),IF(OR(AND($K427=CC$3,OR($C427="W",$C427="1/2W")),AND($K428=CC$3,OR($C428="W",$C428="1/2W")),AND($K429=CC$3,OR($C429="W",$C429="1/2W"))),$S427,0))</f>
        <v>0</v>
      </c>
      <c r="CD427" s="202">
        <f>IF($B427="LOSS",IF(AND($K427=CD$3,$C427="L"),-$O427,0)+IF(AND($K428=CD$3,$C428="L"),-$O428,0)+IF(AND($K429=CD$3,$C429="L"),-$O429,0),IF(OR(AND($K427=CD$3,OR($C427="W",$C427="1/2W")),AND($K428=CD$3,OR($C428="W",$C428="1/2W")),AND($K429=CD$3,OR($C429="W",$C429="1/2W"))),$S427,0))</f>
        <v>0</v>
      </c>
      <c r="CE427" s="199">
        <f>IF($B427="LOSS",IF(AND($K427=CE$3,$C427="L"),-$O427,0)+IF(AND($K428=CE$3,$C428="L"),-$O428,0)+IF(AND($K429=CE$3,$C429="L"),-$O429,0),IF(OR(AND($K427=CE$3,OR($C427="W",$C427="1/2W")),AND($K428=CE$3,OR($C428="W",$C428="1/2W")),AND($K429=CE$3,OR($C429="W",$C429="1/2W"))),$S427,0))</f>
        <v>0</v>
      </c>
      <c r="CF427" s="206">
        <f>IF(CF$3=$K427,IF($C427="W",1,IF($C427="1/2W",0.5,0)),0)</f>
        <v>0</v>
      </c>
      <c r="CG427" s="207">
        <f>IF(CF$3=$K427,IF($C427="L",1,IF($C427="1/2L",0.5,0)),0)</f>
        <v>0</v>
      </c>
      <c r="CH427" s="207">
        <f>IF(CH$3=$K427,IF($C427="W",1,IF($C427="1/2W",0.5,0)),0)</f>
        <v>0</v>
      </c>
      <c r="CI427" s="207">
        <f>IF(CH$3=$K427,IF($C427="L",1,IF($C427="1/2L",0.5,0)),0)</f>
        <v>0</v>
      </c>
      <c r="CJ427" s="207">
        <f>IF(CJ$3=$K427,IF($C427="W",1,IF($C427="1/2W",0.5,0)),0)</f>
        <v>0</v>
      </c>
      <c r="CK427" s="207">
        <f>IF(CJ$3=$K427,IF($C427="L",1,IF($C427="1/2L",0.5,0)),0)</f>
        <v>0</v>
      </c>
      <c r="CL427" s="207">
        <f>IF(CL$3=$K427,IF($C427="W",1,IF($C427="1/2W",0.5,0)),0)</f>
        <v>0</v>
      </c>
      <c r="CM427" s="207">
        <f>IF(CL$3=$K427,IF($C427="L",1,IF($C427="1/2L",0.5,0)),0)</f>
        <v>0</v>
      </c>
      <c r="CN427" s="207">
        <f>IF(CN$3=$K427,IF($C427="W",1,IF($C427="1/2W",0.5,0)),0)</f>
        <v>0</v>
      </c>
      <c r="CO427" s="207">
        <f>IF(CN$3=$K427,IF($C427="L",1,IF($C427="1/2L",0.5,0)),0)</f>
        <v>0</v>
      </c>
      <c r="CP427" s="207">
        <f>IF(CP$3=$K427,IF($C427="W",1,IF($C427="1/2W",0.5,0)),0)</f>
        <v>0</v>
      </c>
      <c r="CQ427" s="207">
        <f>IF(CP$3=$K427,IF($C427="L",1,IF($C427="1/2L",0.5,0)),0)</f>
        <v>0</v>
      </c>
      <c r="CR427" s="207">
        <f>IF(CR$3=$K427,IF($C427="W",1,IF($C427="1/2W",0.5,0)),0)</f>
        <v>0</v>
      </c>
      <c r="CS427" s="207">
        <f>IF(CR$3=$K427,IF($C427="L",1,IF($C427="1/2L",0.5,0)),0)</f>
        <v>0</v>
      </c>
      <c r="CT427" s="208">
        <f>IF(CT$3=$K427,IF($C427="W",1,IF($C427="1/2W",0.5,0)),0)</f>
        <v>0</v>
      </c>
      <c r="CU427" s="209">
        <f>IF(CT$3=$K427,IF($C427="L",1,IF($C427="1/2L",0.5,0)),0)</f>
        <v>1</v>
      </c>
      <c r="CV427" s="209">
        <f>IF(CV$3=$K427,IF($C427="W",1,IF($C427="1/2W",0.5,0)),0)</f>
        <v>0</v>
      </c>
      <c r="CW427" s="209">
        <f>IF(CV$3=$K427,IF($C427="L",1,IF($C427="1/2L",0.5,0)),0)</f>
        <v>0</v>
      </c>
      <c r="CX427" s="209">
        <f>IF(CX$3=$K427,IF($C427="W",1,IF($C427="1/2W",0.5,0)),0)</f>
        <v>0</v>
      </c>
      <c r="CY427" s="209">
        <f>IF(CX$3=$K427,IF($C427="L",1,IF($C427="1/2L",0.5,0)),0)</f>
        <v>0</v>
      </c>
      <c r="CZ427" s="209">
        <f>IF(CZ$3=$K427,IF($C427="W",1,IF($C427="1/2W",0.5,0)),0)</f>
        <v>0</v>
      </c>
      <c r="DA427" s="209">
        <f>IF(CZ$3=$K427,IF($C427="L",1,IF($C427="1/2L",0.5,0)),0)</f>
        <v>0</v>
      </c>
      <c r="DB427" s="209">
        <f>IF(DB$3=$K427,IF($C427="W",1,IF($C427="1/2W",0.5,0)),0)</f>
        <v>0</v>
      </c>
      <c r="DC427" s="209">
        <f>IF(DB$3=$K427,IF($C427="L",1,IF($C427="1/2L",0.5,0)),0)</f>
        <v>0</v>
      </c>
      <c r="DD427" s="209">
        <f>IF(DD$3=$K427,IF($C427="W",1,IF($C427="1/2W",0.5,0)),0)</f>
        <v>0</v>
      </c>
      <c r="DE427" s="210">
        <f>IF(DD$3=$K427,IF($C427="L",1,IF($C427="1/2L",0.5,0)),0)</f>
        <v>0</v>
      </c>
      <c r="DF427" s="211">
        <f>IF(AND(L427&lt;DF$3,$C427="W"),1+DF426,DF426)</f>
        <v>14</v>
      </c>
      <c r="DG427" s="198">
        <f>IF(DF427&gt;DF426,L427+DG426,DG426)</f>
        <v>18.548</v>
      </c>
      <c r="DH427" s="209">
        <f>IF(AND(L427&gt;DH$3,$C427="W"),1+DH426,0+DH426)</f>
        <v>10</v>
      </c>
      <c r="DI427" s="198">
        <f>IF(DH427&gt;DH426,L427+DI426,DI426)</f>
        <v>55.13</v>
      </c>
      <c r="DJ427" t="s" s="306">
        <f>IF($D427="","",$D427)</f>
        <v>342</v>
      </c>
      <c r="DK427" s="209">
        <f>IF(AND($B427=" ",$D427&lt;&gt;""),1,0)</f>
        <v>0</v>
      </c>
    </row>
    <row r="428" ht="14.55" customHeight="1">
      <c r="A428" s="107"/>
      <c r="B428" s="108"/>
      <c r="C428" t="s" s="213">
        <v>56</v>
      </c>
      <c r="D428" s="110"/>
      <c r="E428" s="111"/>
      <c r="F428" s="113"/>
      <c r="G428" s="214"/>
      <c r="H428" s="114"/>
      <c r="I428" s="299">
        <v>1</v>
      </c>
      <c r="J428" t="s" s="216">
        <f>IF(OR(I427="TO",I427="TU",I427="TO1",I427="TU1",I427="TO2",I427="TU2"),J427,IF(OR(I427="AH1",I427="AH2"),IF(OR(I428="AH1",I428="AH2"),-J427,IF(OR(I428="EH1",I428="EH2"),-J427+0.5,"")),IF(OR(I427="EH1",I427="EH2"),IF(OR(I428="AH1",I428="AH2"),-J427+0.5,IF(OR(I428="EH1",I428="EH2"),-J427+1,"")),IF(AND(OR(I427="DNB1",I427="DNB2"),OR(I428="AH1",I428="AH2")),0,IF(AND(I427="Not ScoreBoth",OR(I428="TO1",I428="TO2")),0.5,"")))))</f>
      </c>
      <c r="K428" t="s" s="217">
        <v>38</v>
      </c>
      <c r="L428" s="218">
        <v>2</v>
      </c>
      <c r="M428" s="219">
        <v>43.42</v>
      </c>
      <c r="N428" s="120"/>
      <c r="O428" s="220">
        <f>IF(OR(AE427="",AE428=""),"",ROUND(IF(L429&gt;0,IF(M428&gt;0,M428,IF(M427&gt;0,IF(N427=TRUE,ROUND((M427*AE428)/AE427,0),(M427*AE428)/AE427),IF(M428&gt;0,ROUND(M428,IF(N427=0,2,IF(N427=0.1,1,0))),IF(M429&gt;0,ROUND(O429*AE428/AE429,IF(N427=0,2,IF(N427=0.1,1,0))),0)))),IF(M428&gt;0,M428,ROUND((M427*AE428)/AE427,IF(N427=0,2,IF(N427=0.1,1,0))))),2))</f>
        <v>43.42</v>
      </c>
      <c r="P428" s="221">
        <f>IF(OR(L428="",O428=""),"",IF($C428="1/2W",O428/2+O428/2*L428,IF($C428="1/2L",O428/2,IF(I428="Lay",((O428*(L428/(L428-1)))-O428)*(1-_xlfn.XLOOKUP(K428,'Janeiro 2023 - Valor Real'!A3:A15,'Janeiro 2023 - Valor Real'!C3:C15,0))+O428,(O428*L428-O428)*(1-_xlfn.XLOOKUP(K428,'Janeiro 2023 - Valor Real'!A3:A15,'Janeiro 2023 - Valor Real'!C3:C15,0))+O428))))</f>
        <v>86.84</v>
      </c>
      <c r="Q428" s="222">
        <f>IF(K428="","",IF(_xlfn.XLOOKUP(K428,K$123:K201,DJ$123:DJ201,0,,-1)=DJ428,_xlfn.XLOOKUP(K428,K$123:K201,Q$123:Q201,1,,-1)+1,1))</f>
        <v>1</v>
      </c>
      <c r="R428" s="223">
        <f>IF(K428="","",_xlfn.XLOOKUP(K428,K$123:K201,R$123:R201,0,,-1)+IF($C428=" ",1,0))</f>
        <v>0</v>
      </c>
      <c r="S428" s="125"/>
      <c r="T428" s="126"/>
      <c r="U428" s="126"/>
      <c r="V428" s="224"/>
      <c r="W428" s="126"/>
      <c r="X428" s="127"/>
      <c r="Y428" s="128"/>
      <c r="Z428" s="129"/>
      <c r="AA428" s="129"/>
      <c r="AB428" s="129"/>
      <c r="AC428" s="129"/>
      <c r="AD428" s="225">
        <f>(((L428/(L428-1)-1)*(1-_xlfn.XLOOKUP(K428,'Janeiro 2023 - Valor Real'!A3:A15,'Janeiro 2023 - Valor Real'!C3:C15,0))+1))</f>
        <v>2</v>
      </c>
      <c r="AE428" s="226">
        <f>IF(L428="","",IF(L429&gt;0,(SUM(((L427-1)*(1-_xlfn.XLOOKUP(K427,'Janeiro 2023 - Valor Real'!A3:A15,'Janeiro 2023 - Valor Real'!C3:C15,0))+1),((L428-1)*(1-_xlfn.XLOOKUP(K428,'Janeiro 2023 - Valor Real'!A3:A15,'Janeiro 2023 - Valor Real'!C3:C15,0))+1),((L429-1)*(1-_xlfn.XLOOKUP(K429,'Janeiro 2023 - Valor Real'!A3:A15,'Janeiro 2023 - Valor Real'!C3:C15,0))+1))/((L428-1)*(1-_xlfn.XLOOKUP(K428,'Janeiro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Real'!C3:C15,0))+1))/((L427-1)*(1-_xlfn.XLOOKUP(K427,'Janeiro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Real'!C3:C15,0))+1))/((L428-1)*(1-_xlfn.XLOOKUP(K428,'Janeiro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Real'!C3:C15,0))+1))/((L429-1)*(1-_xlfn.XLOOKUP(K429,'Janeiro 2023 - Valor Real'!A3:A15,'Janeiro 2023 - Valor Real'!C3:C15,0))+1)),IF(I428="Lay",IF(I427="Lay",((L427/(L427-1)-1)*(1-_xlfn.XLOOKUP(K427,'Janeiro 2023 - Valor Real'!A3:A15,'Janeiro 2023 - Valor Real'!C3:C15,0))+1)/(((L427/(L427-1)-1)*(1-_xlfn.XLOOKUP(K427,'Janeiro 2023 - Valor Real'!A3:A15,'Janeiro 2023 - Valor Real'!C3:C15,0))+1)+((L428/(L428-1)-1)*(1-_xlfn.XLOOKUP(K428,'Janeiro 2023 - Valor Real'!A3:A15,'Janeiro 2023 - Valor Real'!C3:C15,0))+1)),((L427-1)*(1-_xlfn.XLOOKUP(K427,'Janeiro 2023 - Valor Real'!A3:A15,'Janeiro 2023 - Valor Real'!C3:C15,0))+1)/(((L427-1)*(1-_xlfn.XLOOKUP(K427,'Janeiro 2023 - Valor Real'!A3:A15,'Janeiro 2023 - Valor Real'!C3:C15,0))+1)+((L428/(L428-1)-1)*(1-_xlfn.XLOOKUP(K428,'Janeiro 2023 - Valor Real'!A3:A15,'Janeiro 2023 - Valor Real'!C3:C15,0))+1))),IF(I427="Lay",((L427/(L427-1)-1)*(1-_xlfn.XLOOKUP(K427,'Janeiro 2023 - Valor Real'!A3:A15,'Janeiro 2023 - Valor Real'!C3:C15,0))+1)/((((L427/(L427-1)-1)*(1-_xlfn.XLOOKUP(K427,'Janeiro 2023 - Valor Real'!A3:A15,'Janeiro 2023 - Valor Real'!C3:C15,0))+1))+((L428-1)*(1-_xlfn.XLOOKUP(K428,'Janeiro 2023 - Valor Real'!A3:A15,'Janeiro 2023 - Valor Real'!C3:C15,0))+1)),((L427-1)*(1-_xlfn.XLOOKUP(K427,'Janeiro 2023 - Valor Real'!A3:A15,'Janeiro 2023 - Valor Real'!C3:C15,0))+1)/(((L427-1)*(1-_xlfn.XLOOKUP(K427,'Janeiro 2023 - Valor Real'!A3:A15,'Janeiro 2023 - Valor Real'!C3:C15,0))+1)+((L428-1)*(1-_xlfn.XLOOKUP(K428,'Janeiro 2023 - Valor Real'!A3:A15,'Janeiro 2023 - Valor Real'!C3:C15,0))+1))))))</f>
        <v>0.515738498789346</v>
      </c>
      <c r="AF428" s="197">
        <f>IF($K428=AF$3,ROUND(IF(OR($C428="W",$C428="1/2W",$C428="1/2L"),$P428-$O428,IF($C428="X",0,-$O428)),2),0)</f>
        <v>0</v>
      </c>
      <c r="AG428" s="198">
        <f>IF($K428=AG$3,ROUND(IF(OR($C428="W",$C428="1/2W",$C428="1/2L"),$P428-$O428,IF($C428="X",0,-$O428)),2),0)</f>
        <v>43.42</v>
      </c>
      <c r="AH428" s="198">
        <f>IF($K428=AH$3,ROUND(IF(OR($C428="W",$C428="1/2W",$C428="1/2L"),$P428-$O428,IF($C428="X",0,-$O428)),2),0)</f>
        <v>0</v>
      </c>
      <c r="AI428" s="198">
        <f>IF($K428=AI$3,ROUND(IF(OR($C428="W",$C428="1/2W",$C428="1/2L"),$P428-$O428,IF($C428="X",0,-$O428)),2),0)</f>
        <v>0</v>
      </c>
      <c r="AJ428" s="198">
        <f>IF($K428=AJ$3,ROUND(IF(OR($C428="W",$C428="1/2W",$C428="1/2L"),$P428-$O428,IF($C428="X",0,-$O428)),2),0)</f>
        <v>0</v>
      </c>
      <c r="AK428" s="198">
        <f>IF($K428=AK$3,ROUND(IF(OR($C428="W",$C428="1/2W",$C428="1/2L"),$P428-$O428,IF($C428="X",0,-$O428)),2),0)</f>
        <v>0</v>
      </c>
      <c r="AL428" s="198">
        <f>IF($K428=AL$3,ROUND(IF(OR($C428="W",$C428="1/2W",$C428="1/2L"),$P428-$O428,IF($C428="X",0,-$O428)),2),0)</f>
        <v>0</v>
      </c>
      <c r="AM428" s="198">
        <f>IF($K428=AM$3,ROUND(IF(OR($C428="W",$C428="1/2W",$C428="1/2L"),$P428-$O428,IF($C428="X",0,-$O428)),2),0)</f>
        <v>0</v>
      </c>
      <c r="AN428" s="198">
        <f>IF($K428=AN$3,ROUND(IF(OR($C428="W",$C428="1/2W",$C428="1/2L"),$P428-$O428,IF($C428="X",0,-$O428)),2),0)</f>
        <v>0</v>
      </c>
      <c r="AO428" s="198">
        <f>IF($K428=AO$3,ROUND(IF(OR($C428="W",$C428="1/2W",$C428="1/2L"),$P428-$O428,IF($C428="X",0,-$O428)),2),0)</f>
        <v>0</v>
      </c>
      <c r="AP428" s="198">
        <f>IF($K428=AP$3,ROUND(IF(OR($C428="W",$C428="1/2W",$C428="1/2L"),$P428-$O428,IF($C428="X",0,-$O428)),2),0)</f>
        <v>0</v>
      </c>
      <c r="AQ428" s="198">
        <f>IF($K428=AQ$3,ROUND(IF(OR($C428="W",$C428="1/2W",$C428="1/2L"),$P428-$O428,IF($C428="X",0,-$O428)),2),0)</f>
        <v>0</v>
      </c>
      <c r="AR428" s="199">
        <f>IF($K428=AR$3,ROUND(IF(OR($C428="W",$C428="1/2W",$C428="1/2L"),$P428-$O428,IF($C428="X",0,-$O428)),2),0)</f>
        <v>0</v>
      </c>
      <c r="AS428" s="197">
        <f>IF(AND($B427=" ",$K428=AS$3),$O428,0)</f>
        <v>0</v>
      </c>
      <c r="AT428" s="198">
        <f>IF(AND($B427=" ",K428=AT$3),$O428,0)</f>
        <v>0</v>
      </c>
      <c r="AU428" s="198">
        <f>IF(AND($B427=" ",$K428=AU$3),$O428,0)</f>
        <v>0</v>
      </c>
      <c r="AV428" s="198">
        <f>IF(AND($B427=" ",$K428=AV$3),$O428,0)</f>
        <v>0</v>
      </c>
      <c r="AW428" s="198">
        <f>IF(AND($B427=" ",$K428=AW$3),$O428,0)</f>
        <v>0</v>
      </c>
      <c r="AX428" s="198">
        <f>IF(AND($B427=" ",$K428=AX$3),$O428,0)</f>
        <v>0</v>
      </c>
      <c r="AY428" s="200">
        <f>IF(AND($B427=" ",$K428=AY$3),$O428,0)</f>
        <v>0</v>
      </c>
      <c r="AZ428" s="201">
        <f>IF(AND($B427=" ",$K428=AZ$3),$O428,0)</f>
        <v>0</v>
      </c>
      <c r="BA428" s="201">
        <f>IF(AND($B427=" ",$K428=BA$3),$O428,0)</f>
        <v>0</v>
      </c>
      <c r="BB428" s="201">
        <f>IF(AND($B427=" ",$K428=BB$3),$O428,0)</f>
        <v>0</v>
      </c>
      <c r="BC428" s="202">
        <f>IF(AND($B427=" ",$K428=BC$3),$O428,0)</f>
        <v>0</v>
      </c>
      <c r="BD428" s="198">
        <f>IF(AND($B427=" ",$K428=BD$3),$O428,0)</f>
        <v>0</v>
      </c>
      <c r="BE428" s="199">
        <f>IF(AND($B427=" ",$K428=BE$3),$O428,0)</f>
        <v>0</v>
      </c>
      <c r="BF428" s="197">
        <f>IF($K428=BF$3,IF($C428="X",0,$O428),0)</f>
        <v>0</v>
      </c>
      <c r="BG428" s="198">
        <f>IF($K428=BG$3,IF($C428="X",0,$O428),0)</f>
        <v>43.42</v>
      </c>
      <c r="BH428" s="198">
        <f>IF($K428=BH$3,IF($C428="X",0,$O428),0)</f>
        <v>0</v>
      </c>
      <c r="BI428" s="198">
        <f>IF($K428=BI$3,IF($C428="X",0,$O428),0)</f>
        <v>0</v>
      </c>
      <c r="BJ428" s="198">
        <f>IF($K428=BJ$3,IF($C428="X",0,$O428),0)</f>
        <v>0</v>
      </c>
      <c r="BK428" s="198">
        <f>IF($K428=BK$3,IF($C428="X",0,$O428),0)</f>
        <v>0</v>
      </c>
      <c r="BL428" s="198">
        <f>IF($K428=BL$3,IF($C428="X",0,$O428),0)</f>
        <v>0</v>
      </c>
      <c r="BM428" s="227">
        <f>IF($K428=BM$3,IF($C428="X",0,$O428),0)</f>
        <v>0</v>
      </c>
      <c r="BN428" s="205">
        <f>IF($K428=BN$3,IF($C428="X",0,$O428),0)</f>
        <v>0</v>
      </c>
      <c r="BO428" s="205">
        <f>IF($K428=BO$3,IF($C428="X",0,$O428),0)</f>
        <v>0</v>
      </c>
      <c r="BP428" s="205">
        <f>IF($K428=BP$3,IF($C428="X",0,$O428),0)</f>
        <v>0</v>
      </c>
      <c r="BQ428" s="202">
        <f>IF($K428=BQ$3,IF($C428="X",0,$O428),0)</f>
        <v>0</v>
      </c>
      <c r="BR428" s="199">
        <f>IF($K428=BR$3,IF($C428="X",0,$O428),0)</f>
        <v>0</v>
      </c>
      <c r="BS428" s="228"/>
      <c r="BT428" s="229"/>
      <c r="BU428" s="140"/>
      <c r="BV428" s="229"/>
      <c r="BW428" s="140"/>
      <c r="BX428" s="140"/>
      <c r="BY428" s="140"/>
      <c r="BZ428" s="229"/>
      <c r="CA428" s="140"/>
      <c r="CB428" s="140"/>
      <c r="CC428" s="140"/>
      <c r="CD428" s="141"/>
      <c r="CE428" s="142"/>
      <c r="CF428" s="230">
        <f>IF(CF$3=$K428,IF($C428="W",1,IF($C428="1/2W",0.5,0)),0)</f>
        <v>0</v>
      </c>
      <c r="CG428" s="231">
        <f>IF(CF$3=$K428,IF($C428="L",1,IF($C428="1/2L",0.5,0)),0)</f>
        <v>0</v>
      </c>
      <c r="CH428" s="231">
        <f>IF(CH$3=$K428,IF($C428="W",1,IF($C428="1/2W",0.5,0)),0)</f>
        <v>1</v>
      </c>
      <c r="CI428" s="231">
        <f>IF(CH$3=$K428,IF($C428="L",1,IF($C428="1/2L",0.5,0)),0)</f>
        <v>0</v>
      </c>
      <c r="CJ428" s="231">
        <f>IF(CJ$3=$K428,IF($C428="W",1,IF($C428="1/2W",0.5,0)),0)</f>
        <v>0</v>
      </c>
      <c r="CK428" s="231">
        <f>IF(CJ$3=$K428,IF($C428="L",1,IF($C428="1/2L",0.5,0)),0)</f>
        <v>0</v>
      </c>
      <c r="CL428" s="231">
        <f>IF(CL$3=$K428,IF($C428="W",1,IF($C428="1/2W",0.5,0)),0)</f>
        <v>0</v>
      </c>
      <c r="CM428" s="231">
        <f>IF(CL$3=$K428,IF($C428="L",1,IF($C428="1/2L",0.5,0)),0)</f>
        <v>0</v>
      </c>
      <c r="CN428" s="231">
        <f>IF(CN$3=$K428,IF($C428="W",1,IF($C428="1/2W",0.5,0)),0)</f>
        <v>0</v>
      </c>
      <c r="CO428" s="231">
        <f>IF(CN$3=$K428,IF($C428="L",1,IF($C428="1/2L",0.5,0)),0)</f>
        <v>0</v>
      </c>
      <c r="CP428" s="231">
        <f>IF(CP$3=$K428,IF($C428="W",1,IF($C428="1/2W",0.5,0)),0)</f>
        <v>0</v>
      </c>
      <c r="CQ428" s="231">
        <f>IF(CP$3=$K428,IF($C428="L",1,IF($C428="1/2L",0.5,0)),0)</f>
        <v>0</v>
      </c>
      <c r="CR428" s="231">
        <f>IF(CR$3=$K428,IF($C428="W",1,IF($C428="1/2W",0.5,0)),0)</f>
        <v>0</v>
      </c>
      <c r="CS428" s="231">
        <f>IF(CR$3=$K428,IF($C428="L",1,IF($C428="1/2L",0.5,0)),0)</f>
        <v>0</v>
      </c>
      <c r="CT428" s="208">
        <f>IF(CT$3=$K428,IF($C428="W",1,IF($C428="1/2W",0.5,0)),0)</f>
        <v>0</v>
      </c>
      <c r="CU428" s="209">
        <f>IF(CT$3=$K428,IF($C428="L",1,IF($C428="1/2L",0.5,0)),0)</f>
        <v>0</v>
      </c>
      <c r="CV428" s="209">
        <f>IF(CV$3=$K428,IF($C428="W",1,IF($C428="1/2W",0.5,0)),0)</f>
        <v>0</v>
      </c>
      <c r="CW428" s="209">
        <f>IF(CV$3=$K428,IF($C428="L",1,IF($C428="1/2L",0.5,0)),0)</f>
        <v>0</v>
      </c>
      <c r="CX428" s="209">
        <f>IF(CX$3=$K428,IF($C428="W",1,IF($C428="1/2W",0.5,0)),0)</f>
        <v>0</v>
      </c>
      <c r="CY428" s="209">
        <f>IF(CX$3=$K428,IF($C428="L",1,IF($C428="1/2L",0.5,0)),0)</f>
        <v>0</v>
      </c>
      <c r="CZ428" s="209">
        <f>IF(CZ$3=$K428,IF($C428="W",1,IF($C428="1/2W",0.5,0)),0)</f>
        <v>0</v>
      </c>
      <c r="DA428" s="209">
        <f>IF(CZ$3=$K428,IF($C428="L",1,IF($C428="1/2L",0.5,0)),0)</f>
        <v>0</v>
      </c>
      <c r="DB428" s="209">
        <f>IF(DB$3=$K428,IF($C428="W",1,IF($C428="1/2W",0.5,0)),0)</f>
        <v>0</v>
      </c>
      <c r="DC428" s="209">
        <f>IF(DB$3=$K428,IF($C428="L",1,IF($C428="1/2L",0.5,0)),0)</f>
        <v>0</v>
      </c>
      <c r="DD428" s="209">
        <f>IF(DD$3=$K428,IF($C428="W",1,IF($C428="1/2W",0.5,0)),0)</f>
        <v>0</v>
      </c>
      <c r="DE428" s="210">
        <f>IF(DD$3=$K428,IF($C428="L",1,IF($C428="1/2L",0.5,0)),0)</f>
        <v>0</v>
      </c>
      <c r="DF428" s="211">
        <f>IF(AND(L428&lt;DF$3,$C428="W"),1+DF427,DF427)</f>
        <v>14</v>
      </c>
      <c r="DG428" s="198">
        <f>IF(DF428&gt;DF427,L428+DG427,DG427)</f>
        <v>18.548</v>
      </c>
      <c r="DH428" s="209">
        <f>IF(AND(L428&gt;DH$3,$C428="W"),1+DH427,0+DH427)</f>
        <v>10</v>
      </c>
      <c r="DI428" s="198">
        <f>IF(DH428&gt;DH427,L428+DI427,DI427)</f>
        <v>55.13</v>
      </c>
      <c r="DJ428" t="s" s="306">
        <f>IF($D427="","",$D427)</f>
        <v>342</v>
      </c>
      <c r="DK428" s="232"/>
    </row>
    <row r="429" ht="14.55" customHeight="1">
      <c r="A429" s="149"/>
      <c r="B429" s="150"/>
      <c r="C429" t="s" s="233">
        <v>58</v>
      </c>
      <c r="D429" s="152"/>
      <c r="E429" s="153"/>
      <c r="F429" s="155"/>
      <c r="G429" s="234"/>
      <c r="H429" s="156"/>
      <c r="I429" s="235"/>
      <c r="J429" s="236"/>
      <c r="K429" s="237"/>
      <c r="L429" s="238"/>
      <c r="M429" s="239"/>
      <c r="N429" s="161"/>
      <c r="O429" t="s" s="240">
        <f>IF(OR(AE427="",AE428=""),"",IF(L429&gt;0,ROUND(IF(M429&gt;0,M429,IF(M427&gt;0,ROUND((M427*AE429)/AE427,IF(N427=0,2,IF(N427=0.1,1,0))),IF(M428&gt;0,ROUND((M428*AE429)/AE428,IF(N427=0,2,IF(N427=0.1,1,0))),IF(M429&gt;0,M429,0)))),2),""))</f>
      </c>
      <c r="P429" t="s" s="241">
        <f>IF(I428="Lay",O428*(L428/(L428-1))-O428,IF(I427="Lay",O427*(L427/(L427-1))-O427,IF(OR(L429="",O429=""),"",IF($C429="1/2W",O429/2+O429/2*L429,IF($C429="1/2L",O429/2,(O429*L429-O429)*(1-_xlfn.XLOOKUP(K429,'Janeiro 2023 - Valor Real'!A3:A15,'Janeiro 2023 - Valor Real'!C3:C15,0))+O429)))))</f>
      </c>
      <c r="Q429" t="s" s="242">
        <f>IF(K429="","",IF(_xlfn.XLOOKUP(K429,K$124:K202,DJ$124:DJ202,0,,-1)=DJ429,_xlfn.XLOOKUP(K429,K$124:K202,Q$124:Q202,1,,-1)+1,1))</f>
      </c>
      <c r="R429" t="s" s="243">
        <f>IF(K429="","",_xlfn.XLOOKUP(K429,K$124:K202,R$124:R202,0,,-1)+IF($C429=" ",1,0))</f>
      </c>
      <c r="S429" s="166"/>
      <c r="T429" s="155"/>
      <c r="U429" s="155"/>
      <c r="V429" s="166"/>
      <c r="W429" s="155"/>
      <c r="X429" s="167"/>
      <c r="Y429" s="128"/>
      <c r="Z429" s="129"/>
      <c r="AA429" s="129"/>
      <c r="AB429" s="129"/>
      <c r="AC429" s="129"/>
      <c r="AD429" s="244">
        <f>((L428/(L428-1)-1))</f>
        <v>1</v>
      </c>
      <c r="AE429" t="s" s="245">
        <f>IF(L429="","",(SUM(((L427-1)*(1-_xlfn.XLOOKUP(K427,'Janeiro 2023 - Valor Real'!A3:A15,'Janeiro 2023 - Valor Real'!C3:C15,0))+1),((L428-1)*(1-_xlfn.XLOOKUP(K428,'Janeiro 2023 - Valor Real'!A3:A15,'Janeiro 2023 - Valor Real'!C3:C15,0))+1),((L429-1)*(1-_xlfn.XLOOKUP(K429,'Janeiro 2023 - Valor Real'!A3:A15,'Janeiro 2023 - Valor Real'!C3:C15,0))+1))/((L429-1)*(1-_xlfn.XLOOKUP(K429,'Janeiro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Real'!C3:C15,0))+1))/((L427-1)*(1-_xlfn.XLOOKUP(K427,'Janeiro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Real'!C3:C15,0))+1))/((L428-1)*(1-_xlfn.XLOOKUP(K428,'Janeiro 2023 - Valor Real'!A3:A15,'Janeiro 2023 - Valor Real'!C3:C15,0))+1)+SUM(((L427-1)*(1-_xlfn.XLOOKUP(K427,'Janeiro 2023 - Valor Real'!A3:A15,'Janeiro 2023 - Valor Real'!C3:C15,0))+1),((L428-1)*(1-_xlfn.XLOOKUP(K428,'Janeiro 2023 - Valor Real'!A3:A15,'Janeiro 2023 - Valor Real'!C3:C15,0))+1),((L429-1)*(1-_xlfn.XLOOKUP(K429,'Janeiro 2023 - Valor Real'!A3:A15,'Janeiro 2023 - Valor Real'!C3:C15,0))+1))/((L429-1)*(1-_xlfn.XLOOKUP(K429,'Janeiro 2023 - Valor Real'!A3:A15,'Janeiro 2023 - Valor Real'!C3:C15,0))+1)))</f>
      </c>
      <c r="AF429" s="197">
        <f>IF($K429=AF$3,ROUND(IF(OR($C429="W",$C429="1/2W",$C429="1/2L"),$P429-$O429,IF($C429="X",0,-$O429)),2),0)</f>
        <v>0</v>
      </c>
      <c r="AG429" s="198">
        <f>IF($K429=AG$3,ROUND(IF(OR($C429="W",$C429="1/2W",$C429="1/2L"),$P429-$O429,IF($C429="X",0,-$O429)),2),0)</f>
        <v>0</v>
      </c>
      <c r="AH429" s="198">
        <f>IF($K429=AH$3,ROUND(IF(OR($C429="W",$C429="1/2W",$C429="1/2L"),$P429-$O429,IF($C429="X",0,-$O429)),2),0)</f>
        <v>0</v>
      </c>
      <c r="AI429" s="198">
        <f>IF($K429=AI$3,ROUND(IF(OR($C429="W",$C429="1/2W",$C429="1/2L"),$P429-$O429,IF($C429="X",0,-$O429)),2),0)</f>
        <v>0</v>
      </c>
      <c r="AJ429" s="198">
        <f>IF($K429=AJ$3,ROUND(IF(OR($C429="W",$C429="1/2W",$C429="1/2L"),$P429-$O429,IF($C429="X",0,-$O429)),2),0)</f>
        <v>0</v>
      </c>
      <c r="AK429" s="198">
        <f>IF($K429=AK$3,ROUND(IF(OR($C429="W",$C429="1/2W",$C429="1/2L"),$P429-$O429,IF($C429="X",0,-$O429)),2),0)</f>
        <v>0</v>
      </c>
      <c r="AL429" s="198">
        <f>IF($K429=AL$3,ROUND(IF(OR($C429="W",$C429="1/2W",$C429="1/2L"),$P429-$O429,IF($C429="X",0,-$O429)),2),0)</f>
        <v>0</v>
      </c>
      <c r="AM429" s="198">
        <f>IF($K429=AM$3,ROUND(IF(OR($C429="W",$C429="1/2W",$C429="1/2L"),$P429-$O429,IF($C429="X",0,-$O429)),2),0)</f>
        <v>0</v>
      </c>
      <c r="AN429" s="198">
        <f>IF($K429=AN$3,ROUND(IF(OR($C429="W",$C429="1/2W",$C429="1/2L"),$P429-$O429,IF($C429="X",0,-$O429)),2),0)</f>
        <v>0</v>
      </c>
      <c r="AO429" s="198">
        <f>IF($K429=AO$3,ROUND(IF(OR($C429="W",$C429="1/2W",$C429="1/2L"),$P429-$O429,IF($C429="X",0,-$O429)),2),0)</f>
        <v>0</v>
      </c>
      <c r="AP429" s="198">
        <f>IF($K429=AP$3,ROUND(IF(OR($C429="W",$C429="1/2W",$C429="1/2L"),$P429-$O429,IF($C429="X",0,-$O429)),2),0)</f>
        <v>0</v>
      </c>
      <c r="AQ429" s="198">
        <f>IF($K429=AQ$3,ROUND(IF(OR($C429="W",$C429="1/2W",$C429="1/2L"),$P429-$O429,IF($C429="X",0,-$O429)),2),0)</f>
        <v>0</v>
      </c>
      <c r="AR429" s="199">
        <f>IF($K429=AR$3,ROUND(IF(OR($C429="W",$C429="1/2W",$C429="1/2L"),$P429-$O429,IF($C429="X",0,-$O429)),2),0)</f>
        <v>0</v>
      </c>
      <c r="AS429" s="197">
        <f>IF(AND($B427=" ",$K429=AS$3),$O429,0)</f>
        <v>0</v>
      </c>
      <c r="AT429" s="198">
        <f>IF(AND($B427=" ",K429=AT$3),$O429,0)</f>
        <v>0</v>
      </c>
      <c r="AU429" s="198">
        <f>IF(AND($B427=" ",$K429=AU$3),$O429,0)</f>
        <v>0</v>
      </c>
      <c r="AV429" s="198">
        <f>IF(AND($B427=" ",$K429=AV$3),$O429,0)</f>
        <v>0</v>
      </c>
      <c r="AW429" s="198">
        <f>IF(AND($B427=" ",$K429=AW$3),$O429,0)</f>
        <v>0</v>
      </c>
      <c r="AX429" s="198">
        <f>IF(AND($B427=" ",$K429=AX$3),$O429,0)</f>
        <v>0</v>
      </c>
      <c r="AY429" s="200">
        <f>IF(AND($B427=" ",$K429=AY$3),$O429,0)</f>
        <v>0</v>
      </c>
      <c r="AZ429" s="201">
        <f>IF(AND($B427=" ",$K429=AZ$3),$O429,0)</f>
        <v>0</v>
      </c>
      <c r="BA429" s="201">
        <f>IF(AND($B427=" ",$K429=BA$3),$O429,0)</f>
        <v>0</v>
      </c>
      <c r="BB429" s="201">
        <f>IF(AND($B427=" ",$K429=BB$3),$O429,0)</f>
        <v>0</v>
      </c>
      <c r="BC429" s="202">
        <f>IF(AND($B427=" ",$K429=BC$3),$O429,0)</f>
        <v>0</v>
      </c>
      <c r="BD429" s="198">
        <f>IF(AND($B427=" ",$K429=BD$3),$O429,0)</f>
        <v>0</v>
      </c>
      <c r="BE429" s="199">
        <f>IF(AND($B427=" ",$K429=BE$3),$O429,0)</f>
        <v>0</v>
      </c>
      <c r="BF429" s="197">
        <f>IF($K429=BF$3,IF($C429="X",0,$O429),0)</f>
        <v>0</v>
      </c>
      <c r="BG429" s="198">
        <f>IF($K429=BG$3,IF($C429="X",0,$O429),0)</f>
        <v>0</v>
      </c>
      <c r="BH429" s="198">
        <f>IF($K429=BH$3,IF($C429="X",0,$O429),0)</f>
        <v>0</v>
      </c>
      <c r="BI429" s="198">
        <f>IF($K429=BI$3,IF($C429="X",0,$O429),0)</f>
        <v>0</v>
      </c>
      <c r="BJ429" s="198">
        <f>IF($K429=BJ$3,IF($C429="X",0,$O429),0)</f>
        <v>0</v>
      </c>
      <c r="BK429" s="198">
        <f>IF($K429=BK$3,IF($C429="X",0,$O429),0)</f>
        <v>0</v>
      </c>
      <c r="BL429" s="198">
        <f>IF($K429=BL$3,IF($C429="X",0,$O429),0)</f>
        <v>0</v>
      </c>
      <c r="BM429" s="200">
        <f>IF($K429=BM$3,IF($C429="X",0,$O429),0)</f>
        <v>0</v>
      </c>
      <c r="BN429" s="201">
        <f>IF($K429=BN$3,IF($C429="X",0,$O429),0)</f>
        <v>0</v>
      </c>
      <c r="BO429" s="201">
        <f>IF($K429=BO$3,IF($C429="X",0,$O429),0)</f>
        <v>0</v>
      </c>
      <c r="BP429" s="201">
        <f>IF($K429=BP$3,IF($C429="X",0,$O429),0)</f>
        <v>0</v>
      </c>
      <c r="BQ429" s="202">
        <f>IF($K429=BQ$3,IF($C429="X",0,$O429),0)</f>
        <v>0</v>
      </c>
      <c r="BR429" s="199">
        <f>IF($K429=BR$3,IF($C429="X",0,$O429),0)</f>
        <v>0</v>
      </c>
      <c r="BS429" s="228"/>
      <c r="BT429" s="229"/>
      <c r="BU429" s="140"/>
      <c r="BV429" s="229"/>
      <c r="BW429" s="140"/>
      <c r="BX429" s="140"/>
      <c r="BY429" s="140"/>
      <c r="BZ429" s="229"/>
      <c r="CA429" s="140"/>
      <c r="CB429" s="140"/>
      <c r="CC429" s="140"/>
      <c r="CD429" s="141"/>
      <c r="CE429" s="142"/>
      <c r="CF429" s="230">
        <f>IF(CF$3=$K429,IF($C429="W",1,IF($C429="1/2W",0.5,0)),0)</f>
        <v>0</v>
      </c>
      <c r="CG429" s="231">
        <f>IF(CF$3=$K429,IF($C429="L",1,IF($C429="1/2L",0.5,0)),0)</f>
        <v>0</v>
      </c>
      <c r="CH429" s="231">
        <f>IF(CH$3=$K429,IF($C429="W",1,IF($C429="1/2W",0.5,0)),0)</f>
        <v>0</v>
      </c>
      <c r="CI429" s="231">
        <f>IF(CH$3=$K429,IF($C429="L",1,IF($C429="1/2L",0.5,0)),0)</f>
        <v>0</v>
      </c>
      <c r="CJ429" s="231">
        <f>IF(CJ$3=$K429,IF($C429="W",1,IF($C429="1/2W",0.5,0)),0)</f>
        <v>0</v>
      </c>
      <c r="CK429" s="231">
        <f>IF(CJ$3=$K429,IF($C429="L",1,IF($C429="1/2L",0.5,0)),0)</f>
        <v>0</v>
      </c>
      <c r="CL429" s="231">
        <f>IF(CL$3=$K429,IF($C429="W",1,IF($C429="1/2W",0.5,0)),0)</f>
        <v>0</v>
      </c>
      <c r="CM429" s="231">
        <f>IF(CL$3=$K429,IF($C429="L",1,IF($C429="1/2L",0.5,0)),0)</f>
        <v>0</v>
      </c>
      <c r="CN429" s="231">
        <f>IF(CN$3=$K429,IF($C429="W",1,IF($C429="1/2W",0.5,0)),0)</f>
        <v>0</v>
      </c>
      <c r="CO429" s="231">
        <f>IF(CN$3=$K429,IF($C429="L",1,IF($C429="1/2L",0.5,0)),0)</f>
        <v>0</v>
      </c>
      <c r="CP429" s="231">
        <f>IF(CP$3=$K429,IF($C429="W",1,IF($C429="1/2W",0.5,0)),0)</f>
        <v>0</v>
      </c>
      <c r="CQ429" s="231">
        <f>IF(CP$3=$K429,IF($C429="L",1,IF($C429="1/2L",0.5,0)),0)</f>
        <v>0</v>
      </c>
      <c r="CR429" s="231">
        <f>IF(CR$3=$K429,IF($C429="W",1,IF($C429="1/2W",0.5,0)),0)</f>
        <v>0</v>
      </c>
      <c r="CS429" s="231">
        <f>IF(CR$3=$K429,IF($C429="L",1,IF($C429="1/2L",0.5,0)),0)</f>
        <v>0</v>
      </c>
      <c r="CT429" s="208">
        <f>IF(CT$3=$K429,IF($C429="W",1,IF($C429="1/2W",0.5,0)),0)</f>
        <v>0</v>
      </c>
      <c r="CU429" s="209">
        <f>IF(CT$3=$K429,IF($C429="L",1,IF($C429="1/2L",0.5,0)),0)</f>
        <v>0</v>
      </c>
      <c r="CV429" s="209">
        <f>IF(CV$3=$K429,IF($C429="W",1,IF($C429="1/2W",0.5,0)),0)</f>
        <v>0</v>
      </c>
      <c r="CW429" s="209">
        <f>IF(CV$3=$K429,IF($C429="L",1,IF($C429="1/2L",0.5,0)),0)</f>
        <v>0</v>
      </c>
      <c r="CX429" s="209">
        <f>IF(CX$3=$K429,IF($C429="W",1,IF($C429="1/2W",0.5,0)),0)</f>
        <v>0</v>
      </c>
      <c r="CY429" s="209">
        <f>IF(CX$3=$K429,IF($C429="L",1,IF($C429="1/2L",0.5,0)),0)</f>
        <v>0</v>
      </c>
      <c r="CZ429" s="209">
        <f>IF(CZ$3=$K429,IF($C429="W",1,IF($C429="1/2W",0.5,0)),0)</f>
        <v>0</v>
      </c>
      <c r="DA429" s="209">
        <f>IF(CZ$3=$K429,IF($C429="L",1,IF($C429="1/2L",0.5,0)),0)</f>
        <v>0</v>
      </c>
      <c r="DB429" s="209">
        <f>IF(DB$3=$K429,IF($C429="W",1,IF($C429="1/2W",0.5,0)),0)</f>
        <v>0</v>
      </c>
      <c r="DC429" s="209">
        <f>IF(DB$3=$K429,IF($C429="L",1,IF($C429="1/2L",0.5,0)),0)</f>
        <v>0</v>
      </c>
      <c r="DD429" s="209">
        <f>IF(DD$3=$K429,IF($C429="W",1,IF($C429="1/2W",0.5,0)),0)</f>
        <v>0</v>
      </c>
      <c r="DE429" s="210">
        <f>IF(DD$3=$K429,IF($C429="L",1,IF($C429="1/2L",0.5,0)),0)</f>
        <v>0</v>
      </c>
      <c r="DF429" s="211">
        <f>IF(AND(L429&lt;DF$3,$C429="W"),1+DF428,DF428)</f>
        <v>14</v>
      </c>
      <c r="DG429" s="198">
        <f>IF(DF429&gt;DF428,L429+DG428,DG428)</f>
        <v>18.548</v>
      </c>
      <c r="DH429" s="209">
        <f>IF(AND(L429&gt;DH$3,$C429="W"),1+DH428,0+DH428)</f>
        <v>10</v>
      </c>
      <c r="DI429" s="198">
        <f>IF(DH429&gt;DH428,L429+DI428,DI428)</f>
        <v>55.13</v>
      </c>
      <c r="DJ429" t="s" s="306">
        <f>IF($D427="","",$D427)</f>
        <v>342</v>
      </c>
      <c r="DK429" s="232"/>
    </row>
    <row r="430" ht="14.55" customHeight="1">
      <c r="A430" s="246">
        <f>$A427+1</f>
        <v>143</v>
      </c>
      <c r="B430" t="s" s="247">
        <f>IF(AND(_xlfn.XLOOKUP(H430,H$107:H197,G$107:G197,0)=G430,_xlfn.XLOOKUP("TempoBet",K430:K432,L430:L432,0)&gt;0),"X",IF(OR(C430="W",C431="W",C432="W",C430="1/2W",C431="1/2W",C432="1/2W",C430="1/2L",C431="1/2L",C432="1/2L"),"OK",IF(OR(C430="L",C431="L",C432="L"),"LOSS",IF(OR(C430="X",C431="X",C432="X"),"Anulado"," "))))</f>
        <v>50</v>
      </c>
      <c r="C430" t="s" s="248">
        <v>51</v>
      </c>
      <c r="D430" t="s" s="303">
        <f>IF(G430="","",$D427)</f>
        <v>342</v>
      </c>
      <c r="E430" t="s" s="250">
        <v>106</v>
      </c>
      <c r="F430" t="s" s="251"/>
      <c r="G430" s="252">
        <v>44951.4375</v>
      </c>
      <c r="H430" t="s" s="253">
        <v>346</v>
      </c>
      <c r="I430" t="s" s="254">
        <v>57</v>
      </c>
      <c r="J430" s="255">
        <v>0.5</v>
      </c>
      <c r="K430" t="s" s="256">
        <v>44</v>
      </c>
      <c r="L430" s="257">
        <v>1.961</v>
      </c>
      <c r="M430" s="258"/>
      <c r="N430" s="259">
        <v>0</v>
      </c>
      <c r="O430" s="260">
        <f>IF(OR(AE430="",AE431=""),"",ROUND(IF(L432&gt;0,IF(M430&gt;0,M430,IF(M431&gt;0,ROUND((M431*AE430)/AE431,IF(N430=0,2,IF(N430=0.1,1,0))),ROUND((M432*AE430)/AE432,IF(N430=0,2,IF(N430=0.1,1,0))))),IF(M430&gt;0,M430,ROUND((M431*AE430)/AE431,IF(N430=0,2,IF(N430=0.1,1,0))))),2))</f>
        <v>23.76</v>
      </c>
      <c r="P430" s="261">
        <f>IF(OR(L430="",O430=""),"",IF($C430="1/2W",O430/2+O430/2*L430,IF($C430="1/2L",O430/2,IF(I430="Lay",(O430*(L430/(L430-1))-O430)*(1-_xlfn.XLOOKUP(K430,'Janeiro 2023 - Valor Real'!A3:A15,'Janeiro 2023 - Valor Real'!C3:C15,0))+O430,(O430*L430-O430)*(1-_xlfn.XLOOKUP(K430,'Janeiro 2023 - Valor Real'!A3:A15,'Janeiro 2023 - Valor Real'!C3:C15,0))+O430))))</f>
        <v>46.59336</v>
      </c>
      <c r="Q430" s="262">
        <f>IF(K430="","",IF(_xlfn.XLOOKUP(K430,K$107:K197,DJ$107:DJ197,0,,-1)=DJ430,_xlfn.XLOOKUP(K430,K$107:K197,Q$107:Q197,1,,-1)+1,1))</f>
        <v>1</v>
      </c>
      <c r="R430" s="263">
        <f>IF(K430="","",_xlfn.XLOOKUP(K430,K$107:K197,R$107:R197,0,,-1)+IF($C430=" ",1,0))</f>
        <v>0</v>
      </c>
      <c r="S430" s="264">
        <f>IF($B430="Anulado",0,ROUND(IF(OR($B430="LOSS",$B430="OK"),IF(OR($C430="W",$C430="1/2W",$C430="1/2L"),P430-O430,IF($C430="L",-O430,0))+IF(OR($C431="W",$C431="1/2W",$C431="1/2L"),P431-O431,IF($C431="L",-O431,0))+IF(OR($C432="W",$C432="1/2W",$C432="1/2L"),P432-O432,IF($C432="L",-O432,0)),IF(AND(OR($C430="W",$C430="1/2W",$C430="1/2L"),C431="W"),P430+P431-SUM(O430:O432)+_xlfn.XLOOKUP("X",C430:C432,O430:O432,0),IF(AND(C430=TRUE,C432="W"),P430+P432-SUM(O430:O432),IF(AND(C431="W",C432="W"),P431+P432-SUM(O430:O432)+_xlfn.XLOOKUP("X",C430:C432,O430:O432,0),IF(L432&gt;0,IF(OR($C430="W",$C430="1/2W",$C430="1/2L"),P430-SUM(O430:O432)+_xlfn.XLOOKUP("X",C430:C432,O430:O432,0),IF(OR($C430="W",$C430="1/2W",$C430="1/2L"),P431-SUM(O430:O432)+_xlfn.XLOOKUP("X",C430:C432,O430:O432,0),IF(OR($C430="W",$C430="1/2W",$C430="1/2L"),P432-SUM(O430:O432)+_xlfn.XLOOKUP("X",C430:C432,O430:O432,0),IF(SUM(P430:P432)/3-SUM(O430:O432)+_xlfn.XLOOKUP("X",C430:C432,O430:O432,0)&gt;0,SUM(P430:P432)/3-SUM(O430:O432)+_xlfn.XLOOKUP("X",C430:C432,O430:O432,0),LARGE(P430:P432,1)-SUM(O430:O432))))),IF(OR($C430="W",$C430="1/2W",$C430="1/2L"),P430-SUM(O430:O431)+_xlfn.XLOOKUP("X",C430:C432,O430:O432,0),IF(OR($C430="W",$C430="1/2W",$C430="1/2L"),P431-SUM(O430:O431)+_xlfn.XLOOKUP("X",C430:C432,O430:O432,0),SUM(P430:P431)/2-SUM(O430:O431)+_xlfn.XLOOKUP("X",C430:C432,O430:O432,0)))))))),2))</f>
        <v>2.66</v>
      </c>
      <c r="T430" s="265">
        <f>IF(S430=0,0,S430/SUM(O430:O432))</f>
        <v>0.0605508763942636</v>
      </c>
      <c r="U430" s="266">
        <f>IF($D430=$D427,IF(OR($B430="LOSS",$B430="OK",$B430="Anulada"),S430,0)+U427,IF(OR($B430="LOSS",$B430="OK",$B430="Anulada"),S430,0))</f>
        <v>10.49</v>
      </c>
      <c r="V430" s="266">
        <f>IF($D430="",0,IF($D430=$D427,IF($B430=" ",IF(I432="",IF(OR(AND(I430="DNB1",I431="DNB2"),AND(OR(I430="DNB1",I430="DNB2"),J431=0),AND(OR(I431="DNB1",I431="DNB2"),J430=0),AND(I430="DNB2",I431="DNB1"),AND(IF(J430=0,(J430+1)/ROUND(J430+1,0),J430/ROUND(J430,0))=1,IF(J431=0,(J431+1)/ROUND(IF(J431="",0,J431)+1,0),IF(J431="",0,J431)/ROUND(IF(J431="",1,J431),0))=1,OR(J430&lt;&gt;""),J431&lt;&gt;"")),0,IF(S430&lt;0,IF(I432="",SMALL(P430:P431,1)-SUM(O430:O431),0),SMALL(P430:P431,1)-SUM(O430:O431))),IF(S430&lt;0,IF(I432="",SMALL(P430:P432,1)-SUM(O430:O432),0),LARGE(P430:P432,1)-SUM(O430:O432))),S430)+V427,IF(I432="",IF(OR(AND(I430="DNB1",I431="DNB2"),AND(OR(I430="DNB1",I430="DNB2"),J431=0),AND(OR(I431="DNB1",I431="DNB2"),J430=0),AND(I430="DNB2",I431="DNB1"),AND(IF(J430=0,(J430+1)/ROUND(J430+1,0),J430/ROUND(J430,0))=1,IF(J431=0,(IF(J431="",0,J431)+1)/ROUND(IF(J431="",0,J431)+1,0),IF(J431="",0,J431)/ROUND(IF(J431="",0,J431)+1,0))=1,OR(J430&lt;&gt;""),J431&lt;&gt;"")),0,IF(S430&lt;0,IF(I432="",SMALL(P430:P431,1)-SUM(O430:O431),0),SMALL(P430:P432,1)-SUM(O430:O432))),IF(S430&lt;0,IF(I432="",SMALL(P430:P432,1)-SUM(O430:O432),0),LARGE(P430:P432,1)-SUM(O430:O432)))))</f>
        <v>10.4791</v>
      </c>
      <c r="W430" s="266">
        <f>IF($D430=$D427,IF(S430&lt;0,IF(I432="",S430,0),S430)+W427,S430)</f>
        <v>10.49</v>
      </c>
      <c r="X430" t="s" s="267">
        <f>IF(OR(SUM(R430:R432)=0,V430=W430),ROUND(IF(W430=0,0,W430/Y430)*100,2)&amp;"%",ROUND(IF(V430=0,0,V430/Y430)*100,2)&amp;"% a "&amp;ROUND(IF(W430=0,0,W430/Y430)*100,2)&amp;"%")</f>
        <v>347</v>
      </c>
      <c r="Y430" s="268">
        <f>IF($D430=$D427,Y427+SUM(O430:O432),SUM(O430:O432))</f>
        <v>225.41</v>
      </c>
      <c r="Z430" s="266">
        <f>IF($B430=" ",SUM(O430:O432),0)+Z427</f>
        <v>0</v>
      </c>
      <c r="AA430" s="266">
        <f>IF(G430="","",IF($B430="Anulado",LARGE(P430:P432,1)-SUM(O430:O432)+AA427,AA427))</f>
        <v>22.2257</v>
      </c>
      <c r="AB430" s="266">
        <f>IF($D430="","",AB427+S430)</f>
        <v>293.39</v>
      </c>
      <c r="AC430" s="269">
        <f>IF($D430="","",IF($B430=" ",IF(DAY(G430)=DAY(TODAY()),1+AC427,0+AC427),0+AC427))</f>
        <v>0</v>
      </c>
      <c r="AD430" s="270">
        <f>(1-_xlfn.XLOOKUP(K428,'Janeiro 2023 - Valor Real'!A3:A15,'Janeiro 2023 - Valor Real'!C3:C15,0))+1</f>
        <v>2</v>
      </c>
      <c r="AE430" s="271">
        <f>IF(L430="","",IF(L432&gt;0,(SUM(((L430-1)*(1-_xlfn.XLOOKUP(K430,'Janeiro 2023 - Valor Real'!A3:A15,'Janeiro 2023 - Valor Real'!C3:C15,0))+1),((L431-1)*(1-_xlfn.XLOOKUP(K431,'Janeiro 2023 - Valor Real'!A3:A15,'Janeiro 2023 - Valor Real'!C3:C15,0))+1),((L432-1)*(1-_xlfn.XLOOKUP(K432,'Janeiro 2023 - Valor Real'!A3:A15,'Janeiro 2023 - Valor Real'!C3:C15,0))+1))/((L430-1)*(1-_xlfn.XLOOKUP(K430,'Janeiro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Real'!C3:C15,0))+1))/((L430-1)*(1-_xlfn.XLOOKUP(K430,'Janeiro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Real'!C3:C15,0))+1))/((L431-1)*(1-_xlfn.XLOOKUP(K431,'Janeiro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Real'!C3:C15,0))+1))/((L432-1)*(1-_xlfn.XLOOKUP(K432,'Janeiro 2023 - Valor Real'!A3:A15,'Janeiro 2023 - Valor Real'!C3:C15,0))+1)),IF(I430="Lay",IF(I431="Lay",((L431/(L431-1)-1)*(1-_xlfn.XLOOKUP(K431,'Janeiro 2023 - Valor Real'!A3:A15,'Janeiro 2023 - Valor Real'!C3:C15,0))+1)/(((L431/(L431-1)-1)*(1-_xlfn.XLOOKUP(K431,'Janeiro 2023 - Valor Real'!A3:A15,'Janeiro 2023 - Valor Real'!C3:C15,0))+1)+((L430/(L430-1)-1)*(1-_xlfn.XLOOKUP(K430,'Janeiro 2023 - Valor Real'!A3:A15,'Janeiro 2023 - Valor Real'!C3:C15,0))+1)),((L431-1)*(1-_xlfn.XLOOKUP(K431,'Janeiro 2023 - Valor Real'!A3:A15,'Janeiro 2023 - Valor Real'!C3:C15,0))+1)/(((L431-1)*(1-_xlfn.XLOOKUP(K431,'Janeiro 2023 - Valor Real'!A3:A15,'Janeiro 2023 - Valor Real'!C3:C15,0))+1)+((L430/(L430-1)-1)*(1-_xlfn.XLOOKUP(K430,'Janeiro 2023 - Valor Real'!A3:A15,'Janeiro 2023 - Valor Real'!C3:C15,0))+1))),IF(I431="Lay",(((L431/(L431-1)-1)*(1-_xlfn.XLOOKUP(K431,'Janeiro 2023 - Valor Real'!A3:A15,'Janeiro 2023 - Valor Real'!C3:C15,0))+1))/(((L430-1)*(1-_xlfn.XLOOKUP(K430,'Janeiro 2023 - Valor Real'!A3:A15,'Janeiro 2023 - Valor Real'!C3:C15,0))+1)+((L431/(L431-1)-1)*(1-_xlfn.XLOOKUP(K431,'Janeiro 2023 - Valor Real'!A3:A15,'Janeiro 2023 - Valor Real'!C3:C15,0))+1)),((L431-1)*(1-_xlfn.XLOOKUP(K431,'Janeiro 2023 - Valor Real'!A3:A15,'Janeiro 2023 - Valor Real'!C3:C15,0))+1)/(((L431-1)*(1-_xlfn.XLOOKUP(K431,'Janeiro 2023 - Valor Real'!A3:A15,'Janeiro 2023 - Valor Real'!C3:C15,0))+1)+((L430-1)*(1-_xlfn.XLOOKUP(K430,'Janeiro 2023 - Valor Real'!A3:A15,'Janeiro 2023 - Valor Real'!C3:C15,0))+1))))))</f>
        <v>0.540856942168111</v>
      </c>
      <c r="AF430" s="132">
        <f>IF($K430=AF$3,ROUND(IF(OR($C430="W",$C430="1/2W",$C430="1/2L"),$P430-$O430,IF($C430="X",0,-$O430)),2),0)</f>
        <v>0</v>
      </c>
      <c r="AG430" s="133">
        <f>IF($K430=AG$3,ROUND(IF(OR($C430="W",$C430="1/2W",$C430="1/2L"),$P430-$O430,IF($C430="X",0,-$O430)),2),0)</f>
        <v>0</v>
      </c>
      <c r="AH430" s="133">
        <f>IF($K430=AH$3,ROUND(IF(OR($C430="W",$C430="1/2W",$C430="1/2L"),$P430-$O430,IF($C430="X",0,-$O430)),2),0)</f>
        <v>0</v>
      </c>
      <c r="AI430" s="133">
        <f>IF($K430=AI$3,ROUND(IF(OR($C430="W",$C430="1/2W",$C430="1/2L"),$P430-$O430,IF($C430="X",0,-$O430)),2),0)</f>
        <v>0</v>
      </c>
      <c r="AJ430" s="133">
        <f>IF($K430=AJ$3,ROUND(IF(OR($C430="W",$C430="1/2W",$C430="1/2L"),$P430-$O430,IF($C430="X",0,-$O430)),2),0)</f>
        <v>0</v>
      </c>
      <c r="AK430" s="133">
        <f>IF($K430=AK$3,ROUND(IF(OR($C430="W",$C430="1/2W",$C430="1/2L"),$P430-$O430,IF($C430="X",0,-$O430)),2),0)</f>
        <v>0</v>
      </c>
      <c r="AL430" s="133">
        <f>IF($K430=AL$3,ROUND(IF(OR($C430="W",$C430="1/2W",$C430="1/2L"),$P430-$O430,IF($C430="X",0,-$O430)),2),0)</f>
        <v>0</v>
      </c>
      <c r="AM430" s="133">
        <f>IF($K430=AM$3,ROUND(IF(OR($C430="W",$C430="1/2W",$C430="1/2L"),$P430-$O430,IF($C430="X",0,-$O430)),2),0)</f>
        <v>-23.76</v>
      </c>
      <c r="AN430" s="133">
        <f>IF($K430=AN$3,ROUND(IF(OR($C430="W",$C430="1/2W",$C430="1/2L"),$P430-$O430,IF($C430="X",0,-$O430)),2),0)</f>
        <v>0</v>
      </c>
      <c r="AO430" s="133">
        <f>IF($K430=AO$3,ROUND(IF(OR($C430="W",$C430="1/2W",$C430="1/2L"),$P430-$O430,IF($C430="X",0,-$O430)),2),0)</f>
        <v>0</v>
      </c>
      <c r="AP430" s="133">
        <f>IF($K430=AP$3,ROUND(IF(OR($C430="W",$C430="1/2W",$C430="1/2L"),$P430-$O430,IF($C430="X",0,-$O430)),2),0)</f>
        <v>0</v>
      </c>
      <c r="AQ430" s="133">
        <f>IF($K430=AQ$3,ROUND(IF(OR($C430="W",$C430="1/2W",$C430="1/2L"),$P430-$O430,IF($C430="X",0,-$O430)),2),0)</f>
        <v>0</v>
      </c>
      <c r="AR430" s="134">
        <f>IF($K430=AR$3,ROUND(IF(OR($C430="W",$C430="1/2W",$C430="1/2L"),$P430-$O430,IF($C430="X",0,-$O430)),2),0)</f>
        <v>0</v>
      </c>
      <c r="AS430" s="132">
        <f>IF(AND($B430=" ",$K430=AS$3),$O430,0)</f>
        <v>0</v>
      </c>
      <c r="AT430" s="133">
        <f>IF(AND($B430=" ",$K430=AT$3),$O430,0)</f>
        <v>0</v>
      </c>
      <c r="AU430" s="133">
        <f>IF(AND($B430=" ",$K430=AU$3),$O430,0)</f>
        <v>0</v>
      </c>
      <c r="AV430" s="133">
        <f>IF(AND($B430=" ",$K430=AV$3),$O430,0)</f>
        <v>0</v>
      </c>
      <c r="AW430" s="133">
        <f>IF(AND($B430=" ",$K430=AW$3),$O430,0)</f>
        <v>0</v>
      </c>
      <c r="AX430" s="133">
        <f>IF(AND($B430=" ",$K430=AX$3),$O430,0)</f>
        <v>0</v>
      </c>
      <c r="AY430" s="135">
        <f>IF(AND($B430=" ",$K430=AY$3),$O430,0)</f>
        <v>0</v>
      </c>
      <c r="AZ430" s="136">
        <f>IF(AND($B430=" ",$K430=AZ$3),$O430,0)</f>
        <v>0</v>
      </c>
      <c r="BA430" s="136">
        <f>IF(AND($B430=" ",$K430=BA$3),$O430,0)</f>
        <v>0</v>
      </c>
      <c r="BB430" s="136">
        <f>IF(AND($B430=" ",$K430=BB$3),$O430,0)</f>
        <v>0</v>
      </c>
      <c r="BC430" s="137">
        <f>IF(AND($B430=" ",$K430=BC$3),$O430,0)</f>
        <v>0</v>
      </c>
      <c r="BD430" s="133">
        <f>IF(AND($B430=" ",$K430=BD$3),$O430,0)</f>
        <v>0</v>
      </c>
      <c r="BE430" s="134">
        <f>IF(AND($B430=" ",$K430=BE$3),$O430,0)</f>
        <v>0</v>
      </c>
      <c r="BF430" s="132">
        <f>IF($K430=BF$3,IF($C430="X",0,$O430),0)</f>
        <v>0</v>
      </c>
      <c r="BG430" s="133">
        <f>IF($K430=BG$3,IF($C430="X",0,$O430),0)</f>
        <v>0</v>
      </c>
      <c r="BH430" s="133">
        <f>IF($K430=BH$3,IF($C430="X",0,$O430),0)</f>
        <v>0</v>
      </c>
      <c r="BI430" s="133">
        <f>IF($K430=BI$3,IF($C430="X",0,$O430),0)</f>
        <v>0</v>
      </c>
      <c r="BJ430" s="133">
        <f>IF($K430=BJ$3,IF($C430="X",0,$O430),0)</f>
        <v>0</v>
      </c>
      <c r="BK430" s="133">
        <f>IF($K430=BK$3,IF($C430="X",0,$O430),0)</f>
        <v>0</v>
      </c>
      <c r="BL430" s="133">
        <f>IF($K430=BL$3,IF($C430="X",0,$O430),0)</f>
        <v>0</v>
      </c>
      <c r="BM430" s="135">
        <f>IF($K430=BM$3,IF($C430="X",0,$O430),0)</f>
        <v>23.76</v>
      </c>
      <c r="BN430" s="136">
        <f>IF($K430=BN$3,IF($C430="X",0,$O430),0)</f>
        <v>0</v>
      </c>
      <c r="BO430" s="136">
        <f>IF($K430=BO$3,IF($C430="X",0,$O430),0)</f>
        <v>0</v>
      </c>
      <c r="BP430" s="136">
        <f>IF($K430=BP$3,IF($C430="X",0,$O430),0)</f>
        <v>0</v>
      </c>
      <c r="BQ430" s="137">
        <f>IF($K430=BQ$3,IF($C430="X",0,$O430),0)</f>
        <v>0</v>
      </c>
      <c r="BR430" s="134">
        <f>IF($K430=BR$3,IF($C430="X",0,$O430),0)</f>
        <v>0</v>
      </c>
      <c r="BS430" s="170">
        <f>IF($B430="LOSS",IF(AND($K430=BS$3,$C430="L"),-$O430,0)+IF(AND($K431=BS$3,$C431="L"),-$O431,0)+IF(AND($K432=BS$3,$C432="L"),-$O432,0),IF(OR(AND($K430=BS$3,OR($C430="W",$C430="1/2W")),AND($K431=BS$3,OR($C431="W",$C431="1/2W")),AND($K432=BS$3,OR($C432="W",$C432="1/2W"))),$S430,0))</f>
        <v>0</v>
      </c>
      <c r="BT430" s="272">
        <f>IF($B430="LOSS",IF(AND($K430=BT$3,$C430="L"),-$O430,0)+IF(AND($K431=BT$3,$C431="L"),-$O431,0)+IF(AND($K431=BT$3,$C432="L"),-$O432,0),IF(OR(AND($K431=BT$3,OR($C430="W",$C430="1/2W")),AND($K431=BT$3,OR($C431="W",$C431="1/2W")),AND($K431=BT$3,OR($C432="W",$C432="1/2W"))),$S430,0))</f>
        <v>0</v>
      </c>
      <c r="BU430" s="136">
        <f>IF($B430="LOSS",IF(AND($K430=BU$3,$C430="L"),-$O430,0)+IF(AND($K431=BU$3,$C431="L"),-$O431,0)+IF(AND($K431=BU$3,$C432="L"),-$O432,0),IF(OR(AND($K431=BU$3,OR($C430="W",$C430="1/2W")),AND($K431=BU$3,OR($C431="W",$C431="1/2W")),AND($K431=BU$3,OR($C432="W",$C432="1/2W"))),$S430,0))</f>
        <v>0</v>
      </c>
      <c r="BV430" s="136">
        <f>IF($B430="LOSS",IF(AND($K430=BV$3,$C430="L"),-$O430,0)+IF(AND($K431=BV$3,$C431="L"),-$O431,0)+IF(AND($K432=BV$3,$C432="L"),-$O432,0),IF(OR(AND($K430=BV$3,OR($C430="W",$C430="1/2W")),AND($K431=BV$3,OR($C431="W",$C431="1/2W")),AND($K432=BV$3,OR($C432="W",$C432="1/2W"))),$S430,0))</f>
        <v>0</v>
      </c>
      <c r="BW430" s="136">
        <f>IF($B430="LOSS",IF(AND($K430=BW$3,$C430="L"),-$O430,0)+IF(AND($K431=BW$3,$C431="L"),-$O431,0)+IF(AND($K432=BW$3,$C432="L"),-$O432,0),IF(OR(AND($K430=BW$3,OR($C430="W",$C430="1/2W")),AND($K431=BW$3,OR($C431="W",$C431="1/2W")),AND($K432=BW$3,OR($C432="W",$C432="1/2W"))),$S430,0))</f>
        <v>0</v>
      </c>
      <c r="BX430" s="136">
        <f>IF($B430="LOSS",IF(AND($K430=BX$3,$C430="L"),-$O430,0)+IF(AND($K431=BX$3,$C431="L"),-$O431,0)+IF(AND($K432=BX$3,$C432="L"),-$O432,0),IF(OR(AND($K430=BX$3,OR($C430="W",$C430="1/2W")),AND($K431=BX$3,OR($C431="W",$C431="1/2W")),AND($K432=BX$3,OR($C432="W",$C432="1/2W"))),$S430,0))</f>
        <v>0</v>
      </c>
      <c r="BY430" s="136">
        <f>IF($B430="LOSS",IF(AND($K430=BY$3,$C430="L"),-$O430,0)+IF(AND($K431=BY$3,$C431="L"),-$O431,0)+IF(AND($K432=BY$3,$C432="L"),-$O432,0),IF(OR(AND($K430=BY$3,OR($C430="W",$C430="1/2W")),AND($K431=BY$3,OR($C431="W",$C431="1/2W")),AND($K432=BY$3,OR($C432="W",$C432="1/2W"))),$S430,0))</f>
        <v>0</v>
      </c>
      <c r="BZ430" s="136">
        <f>IF($B430="LOSS",IF(AND($K430=BZ$3,$C430="L"),-$O430,0)+IF(AND($K431=BZ$3,$C431="L"),-$O431,0)+IF(AND($K432=BZ$3,$C432="L"),-$O432,0),IF(OR(AND($K430=BZ$3,OR($C430="W",$C430="1/2W")),AND($K431=BZ$3,OR($C431="W",$C431="1/2W")),AND($K432=BZ$3,OR($C432="W",$C432="1/2W"))),$S430,0))</f>
        <v>0</v>
      </c>
      <c r="CA430" s="136">
        <f>IF($B430="LOSS",IF(AND($K430=CA$3,$C430="L"),-$O430,0)+IF(AND($K431=CA$3,$C431="L"),-$O431,0)+IF(AND($K432=CA$3,$C432="L"),-$O432,0),IF(OR(AND($K430=CA$3,OR($C430="W",$C430="1/2W")),AND($K431=CA$3,OR($C431="W",$C431="1/2W")),AND($K432=CA$3,OR($C432="W",$C432="1/2W"))),$S430,0))</f>
        <v>0</v>
      </c>
      <c r="CB430" s="136">
        <f>IF($B430="LOSS",IF(AND($K430=CB$3,$C430="L"),-$O430,0)+IF(AND($K431=CB$3,$C431="L"),-$O431,0)+IF(AND($K432=CB$3,$C432="L"),-$O432,0),IF(OR(AND($K430=CB$3,OR($C430="W",$C430="1/2W")),AND($K431=CB$3,OR($C431="W",$C431="1/2W")),AND($K432=CB$3,OR($C432="W",$C432="1/2W"))),$S430,0))</f>
        <v>0</v>
      </c>
      <c r="CC430" s="136">
        <f>IF($B430="LOSS",IF(AND($K430=CC$3,$C430="L"),-$O430,0)+IF(AND($K431=CC$3,$C431="L"),-$O431,0)+IF(AND($K432=CC$3,$C432="L"),-$O432,0),IF(OR(AND($K430=CC$3,OR($C430="W",$C430="1/2W")),AND($K431=CC$3,OR($C431="W",$C431="1/2W")),AND($K432=CC$3,OR($C432="W",$C432="1/2W"))),$S430,0))</f>
        <v>0</v>
      </c>
      <c r="CD430" s="137">
        <f>IF($B430="LOSS",IF(AND($K430=CD$3,$C430="L"),-$O430,0)+IF(AND($K431=CD$3,$C431="L"),-$O431,0)+IF(AND($K432=CD$3,$C432="L"),-$O432,0),IF(OR(AND($K430=CD$3,OR($C430="W",$C430="1/2W")),AND($K431=CD$3,OR($C431="W",$C431="1/2W")),AND($K432=CD$3,OR($C432="W",$C432="1/2W"))),$S430,0))</f>
        <v>2.66</v>
      </c>
      <c r="CE430" s="134">
        <f>IF($B430="LOSS",IF(AND($K430=CE$3,$C430="L"),-$O430,0)+IF(AND($K431=CE$3,$C431="L"),-$O431,0)+IF(AND($K432=CE$3,$C432="L"),-$O432,0),IF(OR(AND($K430=CE$3,OR($C430="W",$C430="1/2W")),AND($K431=CE$3,OR($C431="W",$C431="1/2W")),AND($K432=CE$3,OR($C432="W",$C432="1/2W"))),$S430,0))</f>
        <v>0</v>
      </c>
      <c r="CF430" s="273">
        <f>IF(CF$3=$K430,IF($C430="W",1,IF($C430="1/2W",0.5,0)),0)</f>
        <v>0</v>
      </c>
      <c r="CG430" s="274">
        <f>IF(CF$3=$K430,IF($C430="L",1,IF($C430="1/2L",0.5,0)),0)</f>
        <v>0</v>
      </c>
      <c r="CH430" s="274">
        <f>IF(CH$3=$K430,IF($C430="W",1,IF($C430="1/2W",0.5,0)),0)</f>
        <v>0</v>
      </c>
      <c r="CI430" s="274">
        <f>IF(CH$3=$K430,IF($C430="L",1,IF($C430="1/2L",0.5,0)),0)</f>
        <v>0</v>
      </c>
      <c r="CJ430" s="274">
        <f>IF(CJ$3=$K430,IF($C430="W",1,IF($C430="1/2W",0.5,0)),0)</f>
        <v>0</v>
      </c>
      <c r="CK430" s="274">
        <f>IF(CJ$3=$K430,IF($C430="L",1,IF($C430="1/2L",0.5,0)),0)</f>
        <v>0</v>
      </c>
      <c r="CL430" s="274">
        <f>IF(CL$3=$K430,IF($C430="W",1,IF($C430="1/2W",0.5,0)),0)</f>
        <v>0</v>
      </c>
      <c r="CM430" s="274">
        <f>IF(CL$3=$K430,IF($C430="L",1,IF($C430="1/2L",0.5,0)),0)</f>
        <v>0</v>
      </c>
      <c r="CN430" s="274">
        <f>IF(CN$3=$K430,IF($C430="W",1,IF($C430="1/2W",0.5,0)),0)</f>
        <v>0</v>
      </c>
      <c r="CO430" s="274">
        <f>IF(CN$3=$K430,IF($C430="L",1,IF($C430="1/2L",0.5,0)),0)</f>
        <v>0</v>
      </c>
      <c r="CP430" s="274">
        <f>IF(CP$3=$K430,IF($C430="W",1,IF($C430="1/2W",0.5,0)),0)</f>
        <v>0</v>
      </c>
      <c r="CQ430" s="274">
        <f>IF(CP$3=$K430,IF($C430="L",1,IF($C430="1/2L",0.5,0)),0)</f>
        <v>0</v>
      </c>
      <c r="CR430" s="274">
        <f>IF(CR$3=$K430,IF($C430="W",1,IF($C430="1/2W",0.5,0)),0)</f>
        <v>0</v>
      </c>
      <c r="CS430" s="274">
        <f>IF(CR$3=$K430,IF($C430="L",1,IF($C430="1/2L",0.5,0)),0)</f>
        <v>0</v>
      </c>
      <c r="CT430" s="145">
        <f>IF(CT$3=$K430,IF($C430="W",1,IF($C430="1/2W",0.5,0)),0)</f>
        <v>0</v>
      </c>
      <c r="CU430" s="146">
        <f>IF(CT$3=$K430,IF($C430="L",1,IF($C430="1/2L",0.5,0)),0)</f>
        <v>1</v>
      </c>
      <c r="CV430" s="146">
        <f>IF(CV$3=$K430,IF($C430="W",1,IF($C430="1/2W",0.5,0)),0)</f>
        <v>0</v>
      </c>
      <c r="CW430" s="146">
        <f>IF(CV$3=$K430,IF($C430="L",1,IF($C430="1/2L",0.5,0)),0)</f>
        <v>0</v>
      </c>
      <c r="CX430" s="146">
        <f>IF(CX$3=$K430,IF($C430="W",1,IF($C430="1/2W",0.5,0)),0)</f>
        <v>0</v>
      </c>
      <c r="CY430" s="146">
        <f>IF(CX$3=$K430,IF($C430="L",1,IF($C430="1/2L",0.5,0)),0)</f>
        <v>0</v>
      </c>
      <c r="CZ430" s="146">
        <f>IF(CZ$3=$K430,IF($C430="W",1,IF($C430="1/2W",0.5,0)),0)</f>
        <v>0</v>
      </c>
      <c r="DA430" s="146">
        <f>IF(CZ$3=$K430,IF($C430="L",1,IF($C430="1/2L",0.5,0)),0)</f>
        <v>0</v>
      </c>
      <c r="DB430" s="146">
        <f>IF(DB$3=$K430,IF($C430="W",1,IF($C430="1/2W",0.5,0)),0)</f>
        <v>0</v>
      </c>
      <c r="DC430" s="146">
        <f>IF(DB$3=$K430,IF($C430="L",1,IF($C430="1/2L",0.5,0)),0)</f>
        <v>0</v>
      </c>
      <c r="DD430" s="146">
        <f>IF(DD$3=$K430,IF($C430="W",1,IF($C430="1/2W",0.5,0)),0)</f>
        <v>0</v>
      </c>
      <c r="DE430" s="147">
        <f>IF(DD$3=$K430,IF($C430="L",1,IF($C430="1/2L",0.5,0)),0)</f>
        <v>0</v>
      </c>
      <c r="DF430" s="143">
        <f>IF(AND(L430&lt;DF$3,$C430="W"),1+DF429,DF429)</f>
        <v>14</v>
      </c>
      <c r="DG430" s="133">
        <f>IF(DF430&gt;DF429,L430+DG429,DG429)</f>
        <v>18.548</v>
      </c>
      <c r="DH430" s="146">
        <f>IF(AND(L430&gt;DH$3,$C430="W"),1+DH429,0+DH429)</f>
        <v>10</v>
      </c>
      <c r="DI430" s="133">
        <f>IF(DH430&gt;DH429,L430+DI429,DI429)</f>
        <v>55.13</v>
      </c>
      <c r="DJ430" t="s" s="304">
        <f>IF($D430="","",$D430)</f>
        <v>342</v>
      </c>
      <c r="DK430" s="146">
        <f>IF(AND($B430=" ",$D430&lt;&gt;""),1,0)</f>
        <v>0</v>
      </c>
    </row>
    <row r="431" ht="14.55" customHeight="1">
      <c r="A431" s="107"/>
      <c r="B431" s="108"/>
      <c r="C431" t="s" s="109">
        <v>56</v>
      </c>
      <c r="D431" s="110"/>
      <c r="E431" s="111"/>
      <c r="F431" s="113"/>
      <c r="G431" s="252"/>
      <c r="H431" s="114"/>
      <c r="I431" s="294">
        <v>1</v>
      </c>
      <c r="J431" t="s" s="295">
        <f>IF(OR(I430="TO",I430="TU",I430="TO1",I430="TU1",I430="TO2",I430="TU2"),J430,IF(OR(I430="AH1",I430="AH2"),IF(OR(I431="AH1",I431="AH2"),-J430,IF(OR(I431="EH1",I431="EH2"),-J430+0.5,"")),IF(OR(I430="EH1",I430="EH2"),IF(OR(I431="AH1",I431="AH2"),-J430+0.5,IF(OR(I431="EH1",I431="EH2"),-J430+1,"")),IF(AND(OR(I430="DNB1",I430="DNB2"),OR(I431="AH1",I431="AH2")),0,IF(AND(I430="Not ScoreBoth",OR(I431="TO1",I431="TO2")),0.5,"")))))</f>
      </c>
      <c r="K431" t="s" s="117">
        <v>48</v>
      </c>
      <c r="L431" s="277">
        <v>2.31</v>
      </c>
      <c r="M431" s="278">
        <v>20.17</v>
      </c>
      <c r="N431" s="120"/>
      <c r="O431" s="121">
        <f>IF(OR(AE430="",AE431=""),"",ROUND(IF(L432&gt;0,IF(M431&gt;0,M431,IF(M430&gt;0,IF(N430=TRUE,ROUND((M430*AE431)/AE430,0),(M430*AE431)/AE430),IF(M431&gt;0,ROUND(M431,IF(N430=0,2,IF(N430=0.1,1,0))),IF(M432&gt;0,ROUND(O432*AE431/AE432,IF(N430=0,2,IF(N430=0.1,1,0))),0)))),IF(M431&gt;0,M431,ROUND((M430*AE431)/AE430,IF(N430=0,2,IF(N430=0.1,1,0))))),2))</f>
        <v>20.17</v>
      </c>
      <c r="P431" s="122">
        <f>IF(OR(L431="",O431=""),"",IF($C431="1/2W",O431/2+O431/2*L431,IF($C431="1/2L",O431/2,IF(I431="Lay",((O431*(L431/(L431-1)))-O431)*(1-_xlfn.XLOOKUP(K431,'Janeiro 2023 - Valor Real'!A3:A15,'Janeiro 2023 - Valor Real'!C3:C15,0))+O431,(O431*L431-O431)*(1-_xlfn.XLOOKUP(K431,'Janeiro 2023 - Valor Real'!A3:A15,'Janeiro 2023 - Valor Real'!C3:C15,0))+O431))))</f>
        <v>46.5927</v>
      </c>
      <c r="Q431" s="279">
        <f>IF(K431="","",IF(_xlfn.XLOOKUP(K431,K$108:K198,DJ$108:DJ198,0,,-1)=DJ431,_xlfn.XLOOKUP(K431,K$108:K198,Q$108:Q198,1,,-1)+1,1))</f>
        <v>1</v>
      </c>
      <c r="R431" s="280">
        <f>IF(K431="","",_xlfn.XLOOKUP(K431,K$108:K198,R$108:R198,0,,-1)+IF($C431=" ",1,0))</f>
        <v>0</v>
      </c>
      <c r="S431" s="125"/>
      <c r="T431" s="126"/>
      <c r="U431" s="126"/>
      <c r="V431" s="224"/>
      <c r="W431" s="126"/>
      <c r="X431" s="127"/>
      <c r="Y431" s="128"/>
      <c r="Z431" s="129"/>
      <c r="AA431" s="129"/>
      <c r="AB431" s="129"/>
      <c r="AC431" s="129"/>
      <c r="AD431" s="130"/>
      <c r="AE431" s="131">
        <f>IF(L431="","",IF(L432&gt;0,(SUM(((L430-1)*(1-_xlfn.XLOOKUP(K430,'Janeiro 2023 - Valor Real'!A3:A15,'Janeiro 2023 - Valor Real'!C3:C15,0))+1),((L431-1)*(1-_xlfn.XLOOKUP(K431,'Janeiro 2023 - Valor Real'!A3:A15,'Janeiro 2023 - Valor Real'!C3:C15,0))+1),((L432-1)*(1-_xlfn.XLOOKUP(K432,'Janeiro 2023 - Valor Real'!A3:A15,'Janeiro 2023 - Valor Real'!C3:C15,0))+1))/((L431-1)*(1-_xlfn.XLOOKUP(K431,'Janeiro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Real'!C3:C15,0))+1))/((L430-1)*(1-_xlfn.XLOOKUP(K430,'Janeiro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Real'!C3:C15,0))+1))/((L431-1)*(1-_xlfn.XLOOKUP(K431,'Janeiro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Real'!C3:C15,0))+1))/((L432-1)*(1-_xlfn.XLOOKUP(K432,'Janeiro 2023 - Valor Real'!A3:A15,'Janeiro 2023 - Valor Real'!C3:C15,0))+1)),IF(I431="Lay",IF(I430="Lay",((L430/(L430-1)-1)*(1-_xlfn.XLOOKUP(K430,'Janeiro 2023 - Valor Real'!A3:A15,'Janeiro 2023 - Valor Real'!C3:C15,0))+1)/(((L430/(L430-1)-1)*(1-_xlfn.XLOOKUP(K430,'Janeiro 2023 - Valor Real'!A3:A15,'Janeiro 2023 - Valor Real'!C3:C15,0))+1)+((L431/(L431-1)-1)*(1-_xlfn.XLOOKUP(K431,'Janeiro 2023 - Valor Real'!A3:A15,'Janeiro 2023 - Valor Real'!C3:C15,0))+1)),((L430-1)*(1-_xlfn.XLOOKUP(K430,'Janeiro 2023 - Valor Real'!A3:A15,'Janeiro 2023 - Valor Real'!C3:C15,0))+1)/(((L430-1)*(1-_xlfn.XLOOKUP(K430,'Janeiro 2023 - Valor Real'!A3:A15,'Janeiro 2023 - Valor Real'!C3:C15,0))+1)+((L431/(L431-1)-1)*(1-_xlfn.XLOOKUP(K431,'Janeiro 2023 - Valor Real'!A3:A15,'Janeiro 2023 - Valor Real'!C3:C15,0))+1))),IF(I430="Lay",((L430/(L430-1)-1)*(1-_xlfn.XLOOKUP(K430,'Janeiro 2023 - Valor Real'!A3:A15,'Janeiro 2023 - Valor Real'!C3:C15,0))+1)/((((L430/(L430-1)-1)*(1-_xlfn.XLOOKUP(K430,'Janeiro 2023 - Valor Real'!A3:A15,'Janeiro 2023 - Valor Real'!C3:C15,0))+1))+((L431-1)*(1-_xlfn.XLOOKUP(K431,'Janeiro 2023 - Valor Real'!A3:A15,'Janeiro 2023 - Valor Real'!C3:C15,0))+1)),((L430-1)*(1-_xlfn.XLOOKUP(K430,'Janeiro 2023 - Valor Real'!A3:A15,'Janeiro 2023 - Valor Real'!C3:C15,0))+1)/(((L430-1)*(1-_xlfn.XLOOKUP(K430,'Janeiro 2023 - Valor Real'!A3:A15,'Janeiro 2023 - Valor Real'!C3:C15,0))+1)+((L431-1)*(1-_xlfn.XLOOKUP(K431,'Janeiro 2023 - Valor Real'!A3:A15,'Janeiro 2023 - Valor Real'!C3:C15,0))+1))))))</f>
        <v>0.459143057831889</v>
      </c>
      <c r="AF431" s="132">
        <f>IF($K431=AF$3,ROUND(IF(OR($C431="W",$C431="1/2W",$C431="1/2L"),$P431-$O431,IF($C431="X",0,-$O431)),2),0)</f>
        <v>0</v>
      </c>
      <c r="AG431" s="133">
        <f>IF($K431=AG$3,ROUND(IF(OR($C431="W",$C431="1/2W",$C431="1/2L"),$P431-$O431,IF($C431="X",0,-$O431)),2),0)</f>
        <v>0</v>
      </c>
      <c r="AH431" s="133">
        <f>IF($K431=AH$3,ROUND(IF(OR($C431="W",$C431="1/2W",$C431="1/2L"),$P431-$O431,IF($C431="X",0,-$O431)),2),0)</f>
        <v>0</v>
      </c>
      <c r="AI431" s="133">
        <f>IF($K431=AI$3,ROUND(IF(OR($C431="W",$C431="1/2W",$C431="1/2L"),$P431-$O431,IF($C431="X",0,-$O431)),2),0)</f>
        <v>0</v>
      </c>
      <c r="AJ431" s="133">
        <f>IF($K431=AJ$3,ROUND(IF(OR($C431="W",$C431="1/2W",$C431="1/2L"),$P431-$O431,IF($C431="X",0,-$O431)),2),0)</f>
        <v>0</v>
      </c>
      <c r="AK431" s="133">
        <f>IF($K431=AK$3,ROUND(IF(OR($C431="W",$C431="1/2W",$C431="1/2L"),$P431-$O431,IF($C431="X",0,-$O431)),2),0)</f>
        <v>0</v>
      </c>
      <c r="AL431" s="133">
        <f>IF($K431=AL$3,ROUND(IF(OR($C431="W",$C431="1/2W",$C431="1/2L"),$P431-$O431,IF($C431="X",0,-$O431)),2),0)</f>
        <v>0</v>
      </c>
      <c r="AM431" s="133">
        <f>IF($K431=AM$3,ROUND(IF(OR($C431="W",$C431="1/2W",$C431="1/2L"),$P431-$O431,IF($C431="X",0,-$O431)),2),0)</f>
        <v>0</v>
      </c>
      <c r="AN431" s="133">
        <f>IF($K431=AN$3,ROUND(IF(OR($C431="W",$C431="1/2W",$C431="1/2L"),$P431-$O431,IF($C431="X",0,-$O431)),2),0)</f>
        <v>0</v>
      </c>
      <c r="AO431" s="133">
        <f>IF($K431=AO$3,ROUND(IF(OR($C431="W",$C431="1/2W",$C431="1/2L"),$P431-$O431,IF($C431="X",0,-$O431)),2),0)</f>
        <v>0</v>
      </c>
      <c r="AP431" s="133">
        <f>IF($K431=AP$3,ROUND(IF(OR($C431="W",$C431="1/2W",$C431="1/2L"),$P431-$O431,IF($C431="X",0,-$O431)),2),0)</f>
        <v>0</v>
      </c>
      <c r="AQ431" s="133">
        <f>IF($K431=AQ$3,ROUND(IF(OR($C431="W",$C431="1/2W",$C431="1/2L"),$P431-$O431,IF($C431="X",0,-$O431)),2),0)</f>
        <v>26.42</v>
      </c>
      <c r="AR431" s="134">
        <f>IF($K431=AR$3,ROUND(IF(OR($C431="W",$C431="1/2W",$C431="1/2L"),$P431-$O431,IF($C431="X",0,-$O431)),2),0)</f>
        <v>0</v>
      </c>
      <c r="AS431" s="132">
        <f>IF(AND($B430=" ",$K431=AS$3),$O431,0)</f>
        <v>0</v>
      </c>
      <c r="AT431" s="133">
        <f>IF(AND($B430=" ",K431=AT$3),$O431,0)</f>
        <v>0</v>
      </c>
      <c r="AU431" s="133">
        <f>IF(AND($B430=" ",$K431=AU$3),$O431,0)</f>
        <v>0</v>
      </c>
      <c r="AV431" s="133">
        <f>IF(AND($B430=" ",$K431=AV$3),$O431,0)</f>
        <v>0</v>
      </c>
      <c r="AW431" s="133">
        <f>IF(AND($B430=" ",$K431=AW$3),$O431,0)</f>
        <v>0</v>
      </c>
      <c r="AX431" s="133">
        <f>IF(AND($B430=" ",$K431=AX$3),$O431,0)</f>
        <v>0</v>
      </c>
      <c r="AY431" s="135">
        <f>IF(AND($B430=" ",$K431=AY$3),$O431,0)</f>
        <v>0</v>
      </c>
      <c r="AZ431" s="136">
        <f>IF(AND($B430=" ",$K431=AZ$3),$O431,0)</f>
        <v>0</v>
      </c>
      <c r="BA431" s="136">
        <f>IF(AND($B430=" ",$K431=BA$3),$O431,0)</f>
        <v>0</v>
      </c>
      <c r="BB431" s="136">
        <f>IF(AND($B430=" ",$K431=BB$3),$O431,0)</f>
        <v>0</v>
      </c>
      <c r="BC431" s="137">
        <f>IF(AND($B430=" ",$K431=BC$3),$O431,0)</f>
        <v>0</v>
      </c>
      <c r="BD431" s="133">
        <f>IF(AND($B430=" ",$K431=BD$3),$O431,0)</f>
        <v>0</v>
      </c>
      <c r="BE431" s="134">
        <f>IF(AND($B430=" ",$K431=BE$3),$O431,0)</f>
        <v>0</v>
      </c>
      <c r="BF431" s="132">
        <f>IF($K431=BF$3,IF($C431="X",0,$O431),0)</f>
        <v>0</v>
      </c>
      <c r="BG431" s="281">
        <f>IF($K431=BG$3,IF($C431="X",0,$O431),0)</f>
        <v>0</v>
      </c>
      <c r="BH431" s="133">
        <f>IF($K431=BH$3,IF($C431="X",0,$O431),0)</f>
        <v>0</v>
      </c>
      <c r="BI431" s="133">
        <f>IF($K431=BI$3,IF($C431="X",0,$O431),0)</f>
        <v>0</v>
      </c>
      <c r="BJ431" s="133">
        <f>IF($K431=BJ$3,IF($C431="X",0,$O431),0)</f>
        <v>0</v>
      </c>
      <c r="BK431" s="133">
        <f>IF($K431=BK$3,IF($C431="X",0,$O431),0)</f>
        <v>0</v>
      </c>
      <c r="BL431" s="133">
        <f>IF($K431=BL$3,IF($C431="X",0,$O431),0)</f>
        <v>0</v>
      </c>
      <c r="BM431" s="135">
        <f>IF($K431=BM$3,IF($C431="X",0,$O431),0)</f>
        <v>0</v>
      </c>
      <c r="BN431" s="136">
        <f>IF($K431=BN$3,IF($C431="X",0,$O431),0)</f>
        <v>0</v>
      </c>
      <c r="BO431" s="136">
        <f>IF($K431=BO$3,IF($C431="X",0,$O431),0)</f>
        <v>0</v>
      </c>
      <c r="BP431" s="136">
        <f>IF($K431=BP$3,IF($C431="X",0,$O431),0)</f>
        <v>0</v>
      </c>
      <c r="BQ431" s="137">
        <f>IF($K431=BQ$3,IF($C431="X",0,$O431),0)</f>
        <v>20.17</v>
      </c>
      <c r="BR431" s="134">
        <f>IF($K431=BR$3,IF($C431="X",0,$O431),0)</f>
        <v>0</v>
      </c>
      <c r="BS431" s="282"/>
      <c r="BT431" s="283"/>
      <c r="BU431" s="140"/>
      <c r="BV431" s="283"/>
      <c r="BW431" s="140"/>
      <c r="BX431" s="140"/>
      <c r="BY431" s="140"/>
      <c r="BZ431" s="283"/>
      <c r="CA431" s="140"/>
      <c r="CB431" s="140"/>
      <c r="CC431" s="140"/>
      <c r="CD431" s="141"/>
      <c r="CE431" s="142"/>
      <c r="CF431" s="284">
        <f>IF(CF$3=$K431,IF($C431="W",1,IF($C431="1/2W",0.5,0)),0)</f>
        <v>0</v>
      </c>
      <c r="CG431" s="285">
        <f>IF(CF$3=$K431,IF($C431="L",1,IF($C431="1/2L",0.5,0)),0)</f>
        <v>0</v>
      </c>
      <c r="CH431" s="285">
        <f>IF(CH$3=$K431,IF($C431="W",1,IF($C431="1/2W",0.5,0)),0)</f>
        <v>0</v>
      </c>
      <c r="CI431" s="285">
        <f>IF(CH$3=$K431,IF($C431="L",1,IF($C431="1/2L",0.5,0)),0)</f>
        <v>0</v>
      </c>
      <c r="CJ431" s="285">
        <f>IF(CJ$3=$K431,IF($C431="W",1,IF($C431="1/2W",0.5,0)),0)</f>
        <v>0</v>
      </c>
      <c r="CK431" s="285">
        <f>IF(CJ$3=$K431,IF($C431="L",1,IF($C431="1/2L",0.5,0)),0)</f>
        <v>0</v>
      </c>
      <c r="CL431" s="285">
        <f>IF(CL$3=$K431,IF($C431="W",1,IF($C431="1/2W",0.5,0)),0)</f>
        <v>0</v>
      </c>
      <c r="CM431" s="285">
        <f>IF(CL$3=$K431,IF($C431="L",1,IF($C431="1/2L",0.5,0)),0)</f>
        <v>0</v>
      </c>
      <c r="CN431" s="285">
        <f>IF(CN$3=$K431,IF($C431="W",1,IF($C431="1/2W",0.5,0)),0)</f>
        <v>0</v>
      </c>
      <c r="CO431" s="285">
        <f>IF(CN$3=$K431,IF($C431="L",1,IF($C431="1/2L",0.5,0)),0)</f>
        <v>0</v>
      </c>
      <c r="CP431" s="285">
        <f>IF(CP$3=$K431,IF($C431="W",1,IF($C431="1/2W",0.5,0)),0)</f>
        <v>0</v>
      </c>
      <c r="CQ431" s="285">
        <f>IF(CP$3=$K431,IF($C431="L",1,IF($C431="1/2L",0.5,0)),0)</f>
        <v>0</v>
      </c>
      <c r="CR431" s="285">
        <f>IF(CR$3=$K431,IF($C431="W",1,IF($C431="1/2W",0.5,0)),0)</f>
        <v>0</v>
      </c>
      <c r="CS431" s="285">
        <f>IF(CR$3=$K431,IF($C431="L",1,IF($C431="1/2L",0.5,0)),0)</f>
        <v>0</v>
      </c>
      <c r="CT431" s="145">
        <f>IF(CT$3=$K431,IF($C431="W",1,IF($C431="1/2W",0.5,0)),0)</f>
        <v>0</v>
      </c>
      <c r="CU431" s="146">
        <f>IF(CT$3=$K431,IF($C431="L",1,IF($C431="1/2L",0.5,0)),0)</f>
        <v>0</v>
      </c>
      <c r="CV431" s="146">
        <f>IF(CV$3=$K431,IF($C431="W",1,IF($C431="1/2W",0.5,0)),0)</f>
        <v>0</v>
      </c>
      <c r="CW431" s="146">
        <f>IF(CV$3=$K431,IF($C431="L",1,IF($C431="1/2L",0.5,0)),0)</f>
        <v>0</v>
      </c>
      <c r="CX431" s="146">
        <f>IF(CX$3=$K431,IF($C431="W",1,IF($C431="1/2W",0.5,0)),0)</f>
        <v>0</v>
      </c>
      <c r="CY431" s="146">
        <f>IF(CX$3=$K431,IF($C431="L",1,IF($C431="1/2L",0.5,0)),0)</f>
        <v>0</v>
      </c>
      <c r="CZ431" s="146">
        <f>IF(CZ$3=$K431,IF($C431="W",1,IF($C431="1/2W",0.5,0)),0)</f>
        <v>0</v>
      </c>
      <c r="DA431" s="146">
        <f>IF(CZ$3=$K431,IF($C431="L",1,IF($C431="1/2L",0.5,0)),0)</f>
        <v>0</v>
      </c>
      <c r="DB431" s="146">
        <f>IF(DB$3=$K431,IF($C431="W",1,IF($C431="1/2W",0.5,0)),0)</f>
        <v>1</v>
      </c>
      <c r="DC431" s="146">
        <f>IF(DB$3=$K431,IF($C431="L",1,IF($C431="1/2L",0.5,0)),0)</f>
        <v>0</v>
      </c>
      <c r="DD431" s="146">
        <f>IF(DD$3=$K431,IF($C431="W",1,IF($C431="1/2W",0.5,0)),0)</f>
        <v>0</v>
      </c>
      <c r="DE431" s="147">
        <f>IF(DD$3=$K431,IF($C431="L",1,IF($C431="1/2L",0.5,0)),0)</f>
        <v>0</v>
      </c>
      <c r="DF431" s="143">
        <f>IF(AND(L431&lt;DF$3,$C431="W"),1+DF430,DF430)</f>
        <v>14</v>
      </c>
      <c r="DG431" s="133">
        <f>IF(DF431&gt;DF430,L431+DG430,DG430)</f>
        <v>18.548</v>
      </c>
      <c r="DH431" s="146">
        <f>IF(AND(L431&gt;DH$3,$C431="W"),1+DH430,0+DH430)</f>
        <v>10</v>
      </c>
      <c r="DI431" s="133">
        <f>IF(DH431&gt;DH430,L431+DI430,DI430)</f>
        <v>55.13</v>
      </c>
      <c r="DJ431" t="s" s="304">
        <f>IF($D430="","",$D430)</f>
        <v>342</v>
      </c>
      <c r="DK431" s="286"/>
    </row>
    <row r="432" ht="14.55" customHeight="1">
      <c r="A432" s="149"/>
      <c r="B432" s="150"/>
      <c r="C432" t="s" s="151">
        <v>58</v>
      </c>
      <c r="D432" s="152"/>
      <c r="E432" s="153"/>
      <c r="F432" s="155"/>
      <c r="G432" s="252"/>
      <c r="H432" s="156"/>
      <c r="I432" s="287"/>
      <c r="J432" s="288"/>
      <c r="K432" s="156"/>
      <c r="L432" s="289"/>
      <c r="M432" s="290"/>
      <c r="N432" s="161"/>
      <c r="O432" t="s" s="162">
        <f>IF(OR(AE430="",AE431=""),"",IF(L432&gt;0,ROUND(IF(M432&gt;0,M432,IF(M430&gt;0,ROUND((M430*AE432)/AE430,IF(N430=0,2,IF(N430=0.1,1,0))),IF(M431&gt;0,ROUND((M431*AE432)/AE431,IF(N430=0,2,IF(N430=0.1,1,0))),IF(M432&gt;0,M432,0)))),2),""))</f>
      </c>
      <c r="P432" t="s" s="163">
        <f>IF(I431="Lay",O431*(L431/(L431-1))-O431,IF(I430="Lay",O430*(L430/(L430-1))-O430,IF(OR(L432="",O432=""),"",IF($C432="1/2W",O432/2+O432/2*L432,IF($C432="1/2L",O432/2,(O432*L432-O432)*(1-_xlfn.XLOOKUP(K432,'Janeiro 2023 - Valor Real'!A3:A15,'Janeiro 2023 - Valor Real'!C3:C15,0))+O432)))))</f>
      </c>
      <c r="Q432" t="s" s="154">
        <f>IF(K432="","",IF(_xlfn.XLOOKUP(K432,K$109:K199,DJ$109:DJ199,0,,-1)=DJ432,_xlfn.XLOOKUP(K432,K$109:K199,Q$109:Q199,1,,-1)+1,1))</f>
      </c>
      <c r="R432" t="s" s="163">
        <f>IF(K432="","",_xlfn.XLOOKUP(K432,K$109:K199,R$109:R199,0,,-1)+IF($C432=" ",1,0))</f>
      </c>
      <c r="S432" s="166"/>
      <c r="T432" s="155"/>
      <c r="U432" s="155"/>
      <c r="V432" s="166"/>
      <c r="W432" s="155"/>
      <c r="X432" s="167"/>
      <c r="Y432" s="128"/>
      <c r="Z432" s="129"/>
      <c r="AA432" s="129"/>
      <c r="AB432" s="129"/>
      <c r="AC432" s="129"/>
      <c r="AD432" s="168"/>
      <c r="AE432" t="s" s="169">
        <f>IF(L432="","",(SUM(((L430-1)*(1-_xlfn.XLOOKUP(K430,'Janeiro 2023 - Valor Real'!A3:A15,'Janeiro 2023 - Valor Real'!C3:C15,0))+1),((L431-1)*(1-_xlfn.XLOOKUP(K431,'Janeiro 2023 - Valor Real'!A3:A15,'Janeiro 2023 - Valor Real'!C3:C15,0))+1),((L432-1)*(1-_xlfn.XLOOKUP(K432,'Janeiro 2023 - Valor Real'!A3:A15,'Janeiro 2023 - Valor Real'!C3:C15,0))+1))/((L432-1)*(1-_xlfn.XLOOKUP(K432,'Janeiro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Real'!C3:C15,0))+1))/((L430-1)*(1-_xlfn.XLOOKUP(K430,'Janeiro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Real'!C3:C15,0))+1))/((L431-1)*(1-_xlfn.XLOOKUP(K431,'Janeiro 2023 - Valor Real'!A3:A15,'Janeiro 2023 - Valor Real'!C3:C15,0))+1)+SUM(((L430-1)*(1-_xlfn.XLOOKUP(K430,'Janeiro 2023 - Valor Real'!A3:A15,'Janeiro 2023 - Valor Real'!C3:C15,0))+1),((L431-1)*(1-_xlfn.XLOOKUP(K431,'Janeiro 2023 - Valor Real'!A3:A15,'Janeiro 2023 - Valor Real'!C3:C15,0))+1),((L432-1)*(1-_xlfn.XLOOKUP(K432,'Janeiro 2023 - Valor Real'!A3:A15,'Janeiro 2023 - Valor Real'!C3:C15,0))+1))/((L432-1)*(1-_xlfn.XLOOKUP(K432,'Janeiro 2023 - Valor Real'!A3:A15,'Janeiro 2023 - Valor Real'!C3:C15,0))+1)))</f>
      </c>
      <c r="AF432" s="132">
        <f>IF($K432=AF$3,ROUND(IF(OR($C432="W",$C432="1/2W",$C432="1/2L"),$P432-$O432,IF($C432="X",0,-$O432)),2),0)</f>
        <v>0</v>
      </c>
      <c r="AG432" s="133">
        <f>IF($K432=AG$3,ROUND(IF(OR($C432="W",$C432="1/2W",$C432="1/2L"),$P432-$O432,IF($C432="X",0,-$O432)),2),0)</f>
        <v>0</v>
      </c>
      <c r="AH432" s="133">
        <f>IF($K432=AH$3,ROUND(IF(OR($C432="W",$C432="1/2W",$C432="1/2L"),$P432-$O432,IF($C432="X",0,-$O432)),2),0)</f>
        <v>0</v>
      </c>
      <c r="AI432" s="133">
        <f>IF($K432=AI$3,ROUND(IF(OR($C432="W",$C432="1/2W",$C432="1/2L"),$P432-$O432,IF($C432="X",0,-$O432)),2),0)</f>
        <v>0</v>
      </c>
      <c r="AJ432" s="133">
        <f>IF($K432=AJ$3,ROUND(IF(OR($C432="W",$C432="1/2W",$C432="1/2L"),$P432-$O432,IF($C432="X",0,-$O432)),2),0)</f>
        <v>0</v>
      </c>
      <c r="AK432" s="133">
        <f>IF($K432=AK$3,ROUND(IF(OR($C432="W",$C432="1/2W",$C432="1/2L"),$P432-$O432,IF($C432="X",0,-$O432)),2),0)</f>
        <v>0</v>
      </c>
      <c r="AL432" s="133">
        <f>IF($K432=AL$3,ROUND(IF(OR($C432="W",$C432="1/2W",$C432="1/2L"),$P432-$O432,IF($C432="X",0,-$O432)),2),0)</f>
        <v>0</v>
      </c>
      <c r="AM432" s="133">
        <f>IF($K432=AM$3,ROUND(IF(OR($C432="W",$C432="1/2W",$C432="1/2L"),$P432-$O432,IF($C432="X",0,-$O432)),2),0)</f>
        <v>0</v>
      </c>
      <c r="AN432" s="133">
        <f>IF($K432=AN$3,ROUND(IF(OR($C432="W",$C432="1/2W",$C432="1/2L"),$P432-$O432,IF($C432="X",0,-$O432)),2),0)</f>
        <v>0</v>
      </c>
      <c r="AO432" s="133">
        <f>IF($K432=AO$3,ROUND(IF(OR($C432="W",$C432="1/2W",$C432="1/2L"),$P432-$O432,IF($C432="X",0,-$O432)),2),0)</f>
        <v>0</v>
      </c>
      <c r="AP432" s="133">
        <f>IF($K432=AP$3,ROUND(IF(OR($C432="W",$C432="1/2W",$C432="1/2L"),$P432-$O432,IF($C432="X",0,-$O432)),2),0)</f>
        <v>0</v>
      </c>
      <c r="AQ432" s="133">
        <f>IF($K432=AQ$3,ROUND(IF(OR($C432="W",$C432="1/2W",$C432="1/2L"),$P432-$O432,IF($C432="X",0,-$O432)),2),0)</f>
        <v>0</v>
      </c>
      <c r="AR432" s="134">
        <f>IF($K432=AR$3,ROUND(IF(OR($C432="W",$C432="1/2W",$C432="1/2L"),$P432-$O432,IF($C432="X",0,-$O432)),2),0)</f>
        <v>0</v>
      </c>
      <c r="AS432" s="132">
        <f>IF(AND($B430=" ",$K432=AS$3),$O432,0)</f>
        <v>0</v>
      </c>
      <c r="AT432" s="133">
        <f>IF(AND($B430=" ",K432=AT$3),$O432,0)</f>
        <v>0</v>
      </c>
      <c r="AU432" s="133">
        <f>IF(AND($B430=" ",$K432=AU$3),$O432,0)</f>
        <v>0</v>
      </c>
      <c r="AV432" s="133">
        <f>IF(AND($B430=" ",$K432=AV$3),$O432,0)</f>
        <v>0</v>
      </c>
      <c r="AW432" s="133">
        <f>IF(AND($B430=" ",$K432=AW$3),$O432,0)</f>
        <v>0</v>
      </c>
      <c r="AX432" s="133">
        <f>IF(AND($B430=" ",$K432=AX$3),$O432,0)</f>
        <v>0</v>
      </c>
      <c r="AY432" s="135">
        <f>IF(AND($B430=" ",$K432=AY$3),$O432,0)</f>
        <v>0</v>
      </c>
      <c r="AZ432" s="136">
        <f>IF(AND($B430=" ",$K432=AZ$3),$O432,0)</f>
        <v>0</v>
      </c>
      <c r="BA432" s="136">
        <f>IF(AND($B430=" ",$K432=BA$3),$O432,0)</f>
        <v>0</v>
      </c>
      <c r="BB432" s="136">
        <f>IF(AND($B430=" ",$K432=BB$3),$O432,0)</f>
        <v>0</v>
      </c>
      <c r="BC432" s="137">
        <f>IF(AND($B430=" ",$K432=BC$3),$O432,0)</f>
        <v>0</v>
      </c>
      <c r="BD432" s="133">
        <f>IF(AND($B430=" ",$K432=BD$3),$O432,0)</f>
        <v>0</v>
      </c>
      <c r="BE432" s="134">
        <f>IF(AND($B430=" ",$K432=BE$3),$O432,0)</f>
        <v>0</v>
      </c>
      <c r="BF432" s="132">
        <f>IF($K432=BF$3,IF($C432="X",0,$O432),0)</f>
        <v>0</v>
      </c>
      <c r="BG432" s="281">
        <f>IF($K432=BG$3,IF($C432="X",0,$O432),0)</f>
        <v>0</v>
      </c>
      <c r="BH432" s="133">
        <f>IF($K432=BH$3,IF($C432="X",0,$O432),0)</f>
        <v>0</v>
      </c>
      <c r="BI432" s="133">
        <f>IF($K432=BI$3,IF($C432="X",0,$O432),0)</f>
        <v>0</v>
      </c>
      <c r="BJ432" s="133">
        <f>IF($K432=BJ$3,IF($C432="X",0,$O432),0)</f>
        <v>0</v>
      </c>
      <c r="BK432" s="133">
        <f>IF($K432=BK$3,IF($C432="X",0,$O432),0)</f>
        <v>0</v>
      </c>
      <c r="BL432" s="133">
        <f>IF($K432=BL$3,IF($C432="X",0,$O432),0)</f>
        <v>0</v>
      </c>
      <c r="BM432" s="135">
        <f>IF($K432=BM$3,IF($C432="X",0,$O432),0)</f>
        <v>0</v>
      </c>
      <c r="BN432" s="136">
        <f>IF($K432=BN$3,IF($C432="X",0,$O432),0)</f>
        <v>0</v>
      </c>
      <c r="BO432" s="136">
        <f>IF($K432=BO$3,IF($C432="X",0,$O432),0)</f>
        <v>0</v>
      </c>
      <c r="BP432" s="136">
        <f>IF($K432=BP$3,IF($C432="X",0,$O432),0)</f>
        <v>0</v>
      </c>
      <c r="BQ432" s="137">
        <f>IF($K432=BQ$3,IF($C432="X",0,$O432),0)</f>
        <v>0</v>
      </c>
      <c r="BR432" s="134">
        <f>IF($K432=BR$3,IF($C432="X",0,$O432),0)</f>
        <v>0</v>
      </c>
      <c r="BS432" s="282"/>
      <c r="BT432" s="283"/>
      <c r="BU432" s="140"/>
      <c r="BV432" s="283"/>
      <c r="BW432" s="140"/>
      <c r="BX432" s="140"/>
      <c r="BY432" s="140"/>
      <c r="BZ432" s="283"/>
      <c r="CA432" s="140"/>
      <c r="CB432" s="140"/>
      <c r="CC432" s="140"/>
      <c r="CD432" s="141"/>
      <c r="CE432" s="142"/>
      <c r="CF432" s="284">
        <f>IF(CF$3=$K432,IF($C432="W",1,IF($C432="1/2W",0.5,0)),0)</f>
        <v>0</v>
      </c>
      <c r="CG432" s="285">
        <f>IF(CF$3=$K432,IF($C432="L",1,IF($C432="1/2L",0.5,0)),0)</f>
        <v>0</v>
      </c>
      <c r="CH432" s="285">
        <f>IF(CH$3=$K432,IF($C432="W",1,IF($C432="1/2W",0.5,0)),0)</f>
        <v>0</v>
      </c>
      <c r="CI432" s="285">
        <f>IF(CH$3=$K432,IF($C432="L",1,IF($C432="1/2L",0.5,0)),0)</f>
        <v>0</v>
      </c>
      <c r="CJ432" s="285">
        <f>IF(CJ$3=$K432,IF($C432="W",1,IF($C432="1/2W",0.5,0)),0)</f>
        <v>0</v>
      </c>
      <c r="CK432" s="285">
        <f>IF(CJ$3=$K432,IF($C432="L",1,IF($C432="1/2L",0.5,0)),0)</f>
        <v>0</v>
      </c>
      <c r="CL432" s="285">
        <f>IF(CL$3=$K432,IF($C432="W",1,IF($C432="1/2W",0.5,0)),0)</f>
        <v>0</v>
      </c>
      <c r="CM432" s="285">
        <f>IF(CL$3=$K432,IF($C432="L",1,IF($C432="1/2L",0.5,0)),0)</f>
        <v>0</v>
      </c>
      <c r="CN432" s="285">
        <f>IF(CN$3=$K432,IF($C432="W",1,IF($C432="1/2W",0.5,0)),0)</f>
        <v>0</v>
      </c>
      <c r="CO432" s="285">
        <f>IF(CN$3=$K432,IF($C432="L",1,IF($C432="1/2L",0.5,0)),0)</f>
        <v>0</v>
      </c>
      <c r="CP432" s="285">
        <f>IF(CP$3=$K432,IF($C432="W",1,IF($C432="1/2W",0.5,0)),0)</f>
        <v>0</v>
      </c>
      <c r="CQ432" s="285">
        <f>IF(CP$3=$K432,IF($C432="L",1,IF($C432="1/2L",0.5,0)),0)</f>
        <v>0</v>
      </c>
      <c r="CR432" s="285">
        <f>IF(CR$3=$K432,IF($C432="W",1,IF($C432="1/2W",0.5,0)),0)</f>
        <v>0</v>
      </c>
      <c r="CS432" s="285">
        <f>IF(CR$3=$K432,IF($C432="L",1,IF($C432="1/2L",0.5,0)),0)</f>
        <v>0</v>
      </c>
      <c r="CT432" s="145">
        <f>IF(CT$3=$K432,IF($C432="W",1,IF($C432="1/2W",0.5,0)),0)</f>
        <v>0</v>
      </c>
      <c r="CU432" s="146">
        <f>IF(CT$3=$K432,IF($C432="L",1,IF($C432="1/2L",0.5,0)),0)</f>
        <v>0</v>
      </c>
      <c r="CV432" s="146">
        <f>IF(CV$3=$K432,IF($C432="W",1,IF($C432="1/2W",0.5,0)),0)</f>
        <v>0</v>
      </c>
      <c r="CW432" s="146">
        <f>IF(CV$3=$K432,IF($C432="L",1,IF($C432="1/2L",0.5,0)),0)</f>
        <v>0</v>
      </c>
      <c r="CX432" s="146">
        <f>IF(CX$3=$K432,IF($C432="W",1,IF($C432="1/2W",0.5,0)),0)</f>
        <v>0</v>
      </c>
      <c r="CY432" s="146">
        <f>IF(CX$3=$K432,IF($C432="L",1,IF($C432="1/2L",0.5,0)),0)</f>
        <v>0</v>
      </c>
      <c r="CZ432" s="146">
        <f>IF(CZ$3=$K432,IF($C432="W",1,IF($C432="1/2W",0.5,0)),0)</f>
        <v>0</v>
      </c>
      <c r="DA432" s="146">
        <f>IF(CZ$3=$K432,IF($C432="L",1,IF($C432="1/2L",0.5,0)),0)</f>
        <v>0</v>
      </c>
      <c r="DB432" s="146">
        <f>IF(DB$3=$K432,IF($C432="W",1,IF($C432="1/2W",0.5,0)),0)</f>
        <v>0</v>
      </c>
      <c r="DC432" s="146">
        <f>IF(DB$3=$K432,IF($C432="L",1,IF($C432="1/2L",0.5,0)),0)</f>
        <v>0</v>
      </c>
      <c r="DD432" s="146">
        <f>IF(DD$3=$K432,IF($C432="W",1,IF($C432="1/2W",0.5,0)),0)</f>
        <v>0</v>
      </c>
      <c r="DE432" s="147">
        <f>IF(DD$3=$K432,IF($C432="L",1,IF($C432="1/2L",0.5,0)),0)</f>
        <v>0</v>
      </c>
      <c r="DF432" s="143">
        <f>IF(AND(L432&lt;DF$3,$C432="W"),1+DF431,DF431)</f>
        <v>14</v>
      </c>
      <c r="DG432" s="133">
        <f>IF(DF432&gt;DF431,L432+DG431,DG431)</f>
        <v>18.548</v>
      </c>
      <c r="DH432" s="146">
        <f>IF(AND(L432&gt;DH$3,$C432="W"),1+DH431,0+DH431)</f>
        <v>10</v>
      </c>
      <c r="DI432" s="133">
        <f>IF(DH432&gt;DH431,L432+DI431,DI431)</f>
        <v>55.13</v>
      </c>
      <c r="DJ432" t="s" s="304">
        <f>IF($D430="","",$D430)</f>
        <v>342</v>
      </c>
      <c r="DK432" s="286"/>
    </row>
    <row r="433" ht="14.55" customHeight="1">
      <c r="A433" s="171">
        <f>$A430+1</f>
        <v>144</v>
      </c>
      <c r="B433" t="s" s="172">
        <f>IF(AND(_xlfn.XLOOKUP(H433,H$110:H194,G$110:G194,0)=G433,_xlfn.XLOOKUP("TempoBet",K433:K435,L433:L435,0)&gt;0),"X",IF(OR(C433="W",C434="W",C435="W",C433="1/2W",C434="1/2W",C435="1/2W",C433="1/2L",C434="1/2L",C435="1/2L"),"OK",IF(OR(C433="L",C434="L",C435="L"),"LOSS",IF(OR(C433="X",C434="X",C435="X"),"Anulado"," "))))</f>
        <v>50</v>
      </c>
      <c r="C433" t="s" s="173">
        <v>51</v>
      </c>
      <c r="D433" t="s" s="305">
        <f>IF(G433="","",$D430)</f>
        <v>342</v>
      </c>
      <c r="E433" t="s" s="175">
        <f>IF(G433=""," ","– "&amp;COUNTIF(D$4:D435,$D433))</f>
        <v>108</v>
      </c>
      <c r="F433" t="s" s="176"/>
      <c r="G433" s="177">
        <v>44951.4375</v>
      </c>
      <c r="H433" t="s" s="178">
        <v>346</v>
      </c>
      <c r="I433" t="s" s="179">
        <v>57</v>
      </c>
      <c r="J433" s="291">
        <v>0</v>
      </c>
      <c r="K433" t="s" s="181">
        <v>44</v>
      </c>
      <c r="L433" s="182">
        <v>2.85</v>
      </c>
      <c r="M433" s="183"/>
      <c r="N433" s="184">
        <v>0</v>
      </c>
      <c r="O433" s="185">
        <f>IF(OR(AE433="",AE434=""),"",ROUND(IF(L435&gt;0,IF(M433&gt;0,M433,IF(M434&gt;0,ROUND((M434*AE433)/AE434,IF(N433=0,2,IF(N433=0.1,1,0))),ROUND((M435*AE433)/AE435,IF(N433=0,2,IF(N433=0.1,1,0))))),IF(M433&gt;0,M433,ROUND((M434*AE433)/AE434,IF(N433=0,2,IF(N433=0.1,1,0))))),2))</f>
        <v>23.1</v>
      </c>
      <c r="P433" s="186">
        <f>IF(OR(L433="",O433=""),"",IF($C433="1/2W",O433/2+O433/2*L433,IF($C433="1/2L",O433/2,IF(I433="Lay",(O433*(L433/(L433-1))-O433)*(1-_xlfn.XLOOKUP(K433,'Janeiro 2023 - Valor Real'!A3:A15,'Janeiro 2023 - Valor Real'!C3:C15,0))+O433,(O433*L433-O433)*(1-_xlfn.XLOOKUP(K433,'Janeiro 2023 - Valor Real'!A3:A15,'Janeiro 2023 - Valor Real'!C3:C15,0))+O433))))</f>
        <v>65.83499999999999</v>
      </c>
      <c r="Q433" s="187">
        <f>IF(K433="","",IF(_xlfn.XLOOKUP(K433,K$110:K194,DJ$110:DJ194,0,,-1)=DJ433,_xlfn.XLOOKUP(K433,K$110:K194,Q$110:Q194,1,,-1)+1,1))</f>
        <v>1</v>
      </c>
      <c r="R433" s="188">
        <f>IF(K433="","",_xlfn.XLOOKUP(K433,K$110:K194,R$110:R194,0,,-1)+IF($C433=" ",1,0))</f>
        <v>0</v>
      </c>
      <c r="S433" s="189">
        <f>IF($B433="Anulado",0,ROUND(IF(OR($B433="LOSS",$B433="OK"),IF(OR($C433="W",$C433="1/2W",$C433="1/2L"),P433-O433,IF($C433="L",-O433,0))+IF(OR($C434="W",$C434="1/2W",$C434="1/2L"),P434-O434,IF($C434="L",-O434,0))+IF(OR($C435="W",$C435="1/2W",$C435="1/2L"),P435-O435,IF($C435="L",-O435,0)),IF(AND(OR($C433="W",$C433="1/2W",$C433="1/2L"),C434="W"),P433+P434-SUM(O433:O435)+_xlfn.XLOOKUP("X",C433:C435,O433:O435,0),IF(AND(C433=TRUE,C435="W"),P433+P435-SUM(O433:O435),IF(AND(C434="W",C435="W"),P434+P435-SUM(O433:O435)+_xlfn.XLOOKUP("X",C433:C435,O433:O435,0),IF(L435&gt;0,IF(OR($C433="W",$C433="1/2W",$C433="1/2L"),P433-SUM(O433:O435)+_xlfn.XLOOKUP("X",C433:C435,O433:O435,0),IF(OR($C433="W",$C433="1/2W",$C433="1/2L"),P434-SUM(O433:O435)+_xlfn.XLOOKUP("X",C433:C435,O433:O435,0),IF(OR($C433="W",$C433="1/2W",$C433="1/2L"),P435-SUM(O433:O435)+_xlfn.XLOOKUP("X",C433:C435,O433:O435,0),IF(SUM(P433:P435)/3-SUM(O433:O435)+_xlfn.XLOOKUP("X",C433:C435,O433:O435,0)&gt;0,SUM(P433:P435)/3-SUM(O433:O435)+_xlfn.XLOOKUP("X",C433:C435,O433:O435,0),LARGE(P433:P435,1)-SUM(O433:O435))))),IF(OR($C433="W",$C433="1/2W",$C433="1/2L"),P433-SUM(O433:O434)+_xlfn.XLOOKUP("X",C433:C435,O433:O435,0),IF(OR($C433="W",$C433="1/2W",$C433="1/2L"),P434-SUM(O433:O434)+_xlfn.XLOOKUP("X",C433:C435,O433:O435,0),SUM(P433:P434)/2-SUM(O433:O434)+_xlfn.XLOOKUP("X",C433:C435,O433:O435,0)))))))),2))</f>
        <v>3.32</v>
      </c>
      <c r="T433" s="190">
        <f>IF(S433=0,0,S433/SUM(O433:O435))</f>
        <v>0.0530945146329762</v>
      </c>
      <c r="U433" s="191">
        <f>IF($D433=$D430,IF(OR($B433="LOSS",$B433="OK",$B433="Anulada"),S433,0)+U430,IF(OR($B433="LOSS",$B433="OK",$B433="Anulada"),S433,0))</f>
        <v>13.81</v>
      </c>
      <c r="V433" s="191">
        <f>IF($D433="",0,IF($D433=$D430,IF($B433=" ",IF(I435="",IF(OR(AND(I433="DNB1",I434="DNB2"),AND(OR(I433="DNB1",I433="DNB2"),J434=0),AND(OR(I434="DNB1",I434="DNB2"),J433=0),AND(I433="DNB2",I434="DNB1"),AND(IF(J433=0,(J433+1)/ROUND(J433+1,0),J433/ROUND(J433,0))=1,IF(J434=0,(J434+1)/ROUND(IF(J434="",0,J434)+1,0),IF(J434="",0,J434)/ROUND(IF(J434="",1,J434),0))=1,OR(J433&lt;&gt;""),J434&lt;&gt;"")),0,IF(S433&lt;0,IF(I435="",SMALL(P433:P434,1)-SUM(O433:O434),0),SMALL(P433:P434,1)-SUM(O433:O434))),IF(S433&lt;0,IF(I435="",SMALL(P433:P435,1)-SUM(O433:O435),0),LARGE(P433:P435,1)-SUM(O433:O435))),S433)+V430,IF(I435="",IF(OR(AND(I433="DNB1",I434="DNB2"),AND(OR(I433="DNB1",I433="DNB2"),J434=0),AND(OR(I434="DNB1",I434="DNB2"),J433=0),AND(I433="DNB2",I434="DNB1"),AND(IF(J433=0,(J433+1)/ROUND(J433+1,0),J433/ROUND(J433,0))=1,IF(J434=0,(IF(J434="",0,J434)+1)/ROUND(IF(J434="",0,J434)+1,0),IF(J434="",0,J434)/ROUND(IF(J434="",0,J434)+1,0))=1,OR(J433&lt;&gt;""),J434&lt;&gt;"")),0,IF(S433&lt;0,IF(I435="",SMALL(P433:P434,1)-SUM(O433:O434),0),SMALL(P433:P435,1)-SUM(O433:O435))),IF(S433&lt;0,IF(I435="",SMALL(P433:P435,1)-SUM(O433:O435),0),LARGE(P433:P435,1)-SUM(O433:O435)))))</f>
        <v>13.7991</v>
      </c>
      <c r="W433" s="191">
        <f>IF($D433=$D430,IF(S433&lt;0,IF(I435="",S433,0),S433)+W430,S433)</f>
        <v>13.81</v>
      </c>
      <c r="X433" t="s" s="192">
        <f>IF(OR(SUM(R433:R435)=0,V433=W433),ROUND(IF(W433=0,0,W433/Y433)*100,2)&amp;"%",ROUND(IF(V433=0,0,V433/Y433)*100,2)&amp;"% a "&amp;ROUND(IF(W433=0,0,W433/Y433)*100,2)&amp;"%")</f>
        <v>348</v>
      </c>
      <c r="Y433" s="193">
        <f>IF($D433=$D430,Y430+SUM(O433:O435),SUM(O433:O435))</f>
        <v>287.94</v>
      </c>
      <c r="Z433" s="191">
        <f>IF($B433=" ",SUM(O433:O435),0)+Z430</f>
        <v>0</v>
      </c>
      <c r="AA433" s="191">
        <f>IF(G433="","",IF($B433="Anulado",LARGE(P433:P435,1)-SUM(O433:O435)+AA430,AA430))</f>
        <v>22.2257</v>
      </c>
      <c r="AB433" s="191">
        <f>IF($D433="","",AB430+S433)</f>
        <v>296.71</v>
      </c>
      <c r="AC433" s="194">
        <f>IF($D433="","",IF($B433=" ",IF(DAY(G433)=DAY(TODAY()),1+AC430,0+AC430),0+AC430))</f>
        <v>0</v>
      </c>
      <c r="AD433" s="195">
        <f>(((L434/(L434-1)-1)*(1-_xlfn.XLOOKUP(K434,'Janeiro 2023 - Valor Real'!A3:A15,'Janeiro 2023 - Valor Real'!C3:C15,0))+1))/(((L433-1)*(1-_xlfn.XLOOKUP(K433,'Janeiro 2023 - Valor Real'!A3:A15,'Janeiro 2023 - Valor Real'!C3:C15,0))+1)+((L434/(L434-1)-1)*(1-_xlfn.XLOOKUP(K434,'Janeiro 2023 - Valor Real'!A3:A15,'Janeiro 2023 - Valor Real'!C3:C15,0))+1))</f>
        <v>0.466545606928342</v>
      </c>
      <c r="AE433" s="196">
        <f>IF(L433="","",IF(L435&gt;0,(SUM(((L433-1)*(1-_xlfn.XLOOKUP(K433,'Janeiro 2023 - Valor Real'!A3:A15,'Janeiro 2023 - Valor Real'!C3:C15,0))+1),((L434-1)*(1-_xlfn.XLOOKUP(K434,'Janeiro 2023 - Valor Real'!A3:A15,'Janeiro 2023 - Valor Real'!C3:C15,0))+1),((L435-1)*(1-_xlfn.XLOOKUP(K435,'Janeiro 2023 - Valor Real'!A3:A15,'Janeiro 2023 - Valor Real'!C3:C15,0))+1))/((L433-1)*(1-_xlfn.XLOOKUP(K433,'Janeiro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Real'!C3:C15,0))+1))/((L433-1)*(1-_xlfn.XLOOKUP(K433,'Janeiro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Real'!C3:C15,0))+1))/((L434-1)*(1-_xlfn.XLOOKUP(K434,'Janeiro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Real'!C3:C15,0))+1))/((L435-1)*(1-_xlfn.XLOOKUP(K435,'Janeiro 2023 - Valor Real'!A3:A15,'Janeiro 2023 - Valor Real'!C3:C15,0))+1)),IF(I433="Lay",IF(I434="Lay",((L434/(L434-1)-1)*(1-_xlfn.XLOOKUP(K434,'Janeiro 2023 - Valor Real'!A3:A15,'Janeiro 2023 - Valor Real'!C3:C15,0))+1)/(((L434/(L434-1)-1)*(1-_xlfn.XLOOKUP(K434,'Janeiro 2023 - Valor Real'!A3:A15,'Janeiro 2023 - Valor Real'!C3:C15,0))+1)+((L433/(L433-1)-1)*(1-_xlfn.XLOOKUP(K433,'Janeiro 2023 - Valor Real'!A3:A15,'Janeiro 2023 - Valor Real'!C3:C15,0))+1)),((L434-1)*(1-_xlfn.XLOOKUP(K434,'Janeiro 2023 - Valor Real'!A3:A15,'Janeiro 2023 - Valor Real'!C3:C15,0))+1)/(((L434-1)*(1-_xlfn.XLOOKUP(K434,'Janeiro 2023 - Valor Real'!A3:A15,'Janeiro 2023 - Valor Real'!C3:C15,0))+1)+((L433/(L433-1)-1)*(1-_xlfn.XLOOKUP(K433,'Janeiro 2023 - Valor Real'!A3:A15,'Janeiro 2023 - Valor Real'!C3:C15,0))+1))),IF(I434="Lay",(((L434/(L434-1)-1)*(1-_xlfn.XLOOKUP(K434,'Janeiro 2023 - Valor Real'!A3:A15,'Janeiro 2023 - Valor Real'!C3:C15,0))+1))/(((L433-1)*(1-_xlfn.XLOOKUP(K433,'Janeiro 2023 - Valor Real'!A3:A15,'Janeiro 2023 - Valor Real'!C3:C15,0))+1)+((L434/(L434-1)-1)*(1-_xlfn.XLOOKUP(K434,'Janeiro 2023 - Valor Real'!A3:A15,'Janeiro 2023 - Valor Real'!C3:C15,0))+1)),((L434-1)*(1-_xlfn.XLOOKUP(K434,'Janeiro 2023 - Valor Real'!A3:A15,'Janeiro 2023 - Valor Real'!C3:C15,0))+1)/(((L434-1)*(1-_xlfn.XLOOKUP(K434,'Janeiro 2023 - Valor Real'!A3:A15,'Janeiro 2023 - Valor Real'!C3:C15,0))+1)+((L433-1)*(1-_xlfn.XLOOKUP(K433,'Janeiro 2023 - Valor Real'!A3:A15,'Janeiro 2023 - Valor Real'!C3:C15,0))+1))))))</f>
        <v>0.369469026548673</v>
      </c>
      <c r="AF433" s="197">
        <f>IF($K433=AF$3,ROUND(IF(OR($C433="W",$C433="1/2W",$C433="1/2L"),$P433-$O433,IF($C433="X",0,-$O433)),2),0)</f>
        <v>0</v>
      </c>
      <c r="AG433" s="198">
        <f>IF($K433=AG$3,ROUND(IF(OR($C433="W",$C433="1/2W",$C433="1/2L"),$P433-$O433,IF($C433="X",0,-$O433)),2),0)</f>
        <v>0</v>
      </c>
      <c r="AH433" s="198">
        <f>IF($K433=AH$3,ROUND(IF(OR($C433="W",$C433="1/2W",$C433="1/2L"),$P433-$O433,IF($C433="X",0,-$O433)),2),0)</f>
        <v>0</v>
      </c>
      <c r="AI433" s="198">
        <f>IF($K433=AI$3,ROUND(IF(OR($C433="W",$C433="1/2W",$C433="1/2L"),$P433-$O433,IF($C433="X",0,-$O433)),2),0)</f>
        <v>0</v>
      </c>
      <c r="AJ433" s="198">
        <f>IF($K433=AJ$3,ROUND(IF(OR($C433="W",$C433="1/2W",$C433="1/2L"),$P433-$O433,IF($C433="X",0,-$O433)),2),0)</f>
        <v>0</v>
      </c>
      <c r="AK433" s="198">
        <f>IF($K433=AK$3,ROUND(IF(OR($C433="W",$C433="1/2W",$C433="1/2L"),$P433-$O433,IF($C433="X",0,-$O433)),2),0)</f>
        <v>0</v>
      </c>
      <c r="AL433" s="198">
        <f>IF($K433=AL$3,ROUND(IF(OR($C433="W",$C433="1/2W",$C433="1/2L"),$P433-$O433,IF($C433="X",0,-$O433)),2),0)</f>
        <v>0</v>
      </c>
      <c r="AM433" s="198">
        <f>IF($K433=AM$3,ROUND(IF(OR($C433="W",$C433="1/2W",$C433="1/2L"),$P433-$O433,IF($C433="X",0,-$O433)),2),0)</f>
        <v>-23.1</v>
      </c>
      <c r="AN433" s="198">
        <f>IF($K433=AN$3,ROUND(IF(OR($C433="W",$C433="1/2W",$C433="1/2L"),$P433-$O433,IF($C433="X",0,-$O433)),2),0)</f>
        <v>0</v>
      </c>
      <c r="AO433" s="198">
        <f>IF($K433=AO$3,ROUND(IF(OR($C433="W",$C433="1/2W",$C433="1/2L"),$P433-$O433,IF($C433="X",0,-$O433)),2),0)</f>
        <v>0</v>
      </c>
      <c r="AP433" s="198">
        <f>IF($K433=AP$3,ROUND(IF(OR($C433="W",$C433="1/2W",$C433="1/2L"),$P433-$O433,IF($C433="X",0,-$O433)),2),0)</f>
        <v>0</v>
      </c>
      <c r="AQ433" s="198">
        <f>IF($K433=AQ$3,ROUND(IF(OR($C433="W",$C433="1/2W",$C433="1/2L"),$P433-$O433,IF($C433="X",0,-$O433)),2),0)</f>
        <v>0</v>
      </c>
      <c r="AR433" s="199">
        <f>IF($K433=AR$3,ROUND(IF(OR($C433="W",$C433="1/2W",$C433="1/2L"),$P433-$O433,IF($C433="X",0,-$O433)),2),0)</f>
        <v>0</v>
      </c>
      <c r="AS433" s="197">
        <f>IF(AND($B433=" ",$K433=AS$3),$O433,0)</f>
        <v>0</v>
      </c>
      <c r="AT433" s="198">
        <f>IF(AND($B433=" ",$K433=AT$3),$O433,0)</f>
        <v>0</v>
      </c>
      <c r="AU433" s="198">
        <f>IF(AND($B433=" ",$K433=AU$3),$O433,0)</f>
        <v>0</v>
      </c>
      <c r="AV433" s="198">
        <f>IF(AND($B433=" ",$K433=AV$3),$O433,0)</f>
        <v>0</v>
      </c>
      <c r="AW433" s="198">
        <f>IF(AND($B433=" ",$K433=AW$3),$O433,0)</f>
        <v>0</v>
      </c>
      <c r="AX433" s="198">
        <f>IF(AND($B433=" ",$K433=AX$3),$O433,0)</f>
        <v>0</v>
      </c>
      <c r="AY433" s="200">
        <f>IF(AND($B433=" ",$K433=AY$3),$O433,0)</f>
        <v>0</v>
      </c>
      <c r="AZ433" s="201">
        <f>IF(AND($B433=" ",$K433=AZ$3),$O433,0)</f>
        <v>0</v>
      </c>
      <c r="BA433" s="201">
        <f>IF(AND($B433=" ",$K433=BA$3),$O433,0)</f>
        <v>0</v>
      </c>
      <c r="BB433" s="201">
        <f>IF(AND($B433=" ",$K433=BB$3),$O433,0)</f>
        <v>0</v>
      </c>
      <c r="BC433" s="202">
        <f>IF(AND($B433=" ",$K433=BC$3),$O433,0)</f>
        <v>0</v>
      </c>
      <c r="BD433" s="198">
        <f>IF(AND($B433=" ",$K433=BD$3),$O433,0)</f>
        <v>0</v>
      </c>
      <c r="BE433" s="199">
        <f>IF(AND($B433=" ",$K433=BE$3),$O433,0)</f>
        <v>0</v>
      </c>
      <c r="BF433" s="203">
        <f>IF($K433=BF$3,IF($C433="X",0,$O433),0)</f>
        <v>0</v>
      </c>
      <c r="BG433" s="198">
        <f>IF($K433=BG$3,IF($C433="X",0,$O433),0)</f>
        <v>0</v>
      </c>
      <c r="BH433" s="198">
        <f>IF($K433=BH$3,IF($C433="X",0,$O433),0)</f>
        <v>0</v>
      </c>
      <c r="BI433" s="198">
        <f>IF($K433=BI$3,IF($C433="X",0,$O433),0)</f>
        <v>0</v>
      </c>
      <c r="BJ433" s="198">
        <f>IF($K433=BJ$3,IF($C433="X",0,$O433),0)</f>
        <v>0</v>
      </c>
      <c r="BK433" s="198">
        <f>IF($K433=BK$3,IF($C433="X",0,$O433),0)</f>
        <v>0</v>
      </c>
      <c r="BL433" s="198">
        <f>IF($K433=BL$3,IF($C433="X",0,$O433),0)</f>
        <v>0</v>
      </c>
      <c r="BM433" s="200">
        <f>IF($K433=BM$3,IF($C433="X",0,$O433),0)</f>
        <v>23.1</v>
      </c>
      <c r="BN433" s="201">
        <f>IF($K433=BN$3,IF($C433="X",0,$O433),0)</f>
        <v>0</v>
      </c>
      <c r="BO433" s="201">
        <f>IF($K433=BO$3,IF($C433="X",0,$O433),0)</f>
        <v>0</v>
      </c>
      <c r="BP433" s="201">
        <f>IF($K433=BP$3,IF($C433="X",0,$O433),0)</f>
        <v>0</v>
      </c>
      <c r="BQ433" s="202">
        <f>IF($K433=BQ$3,IF($C433="X",0,$O433),0)</f>
        <v>0</v>
      </c>
      <c r="BR433" s="199">
        <f>IF($K433=BR$3,IF($C433="X",0,$O433),0)</f>
        <v>0</v>
      </c>
      <c r="BS433" s="204">
        <f>IF($B433="LOSS",IF(AND($K433=BS$3,$C433="L"),-$O433,0)+IF(AND($K434=BS$3,$C434="L"),-$O434,0)+IF(AND($K435=BS$3,$C435="L"),-$O435,0),IF(OR(AND($K433=BS$3,OR($C433="W",$C433="1/2W")),AND($K434=BS$3,OR($C434="W",$C434="1/2W")),AND($K435=BS$3,OR($C435="W",$C435="1/2W"))),$S433,0))</f>
        <v>0</v>
      </c>
      <c r="BT433" s="201">
        <f>IF($B433="LOSS",IF(AND($K433=BT$3,$C433="L"),-$O433,0)+IF(AND($K434=BT$3,$C434="L"),-$O434,0)+IF(AND($K434=BT$3,$C435="L"),-$O435,0),IF(OR(AND($K434=BT$3,OR($C433="W",$C433="1/2W")),AND($K434=BT$3,OR($C434="W",$C434="1/2W")),AND($K434=BT$3,OR($C435="W",$C435="1/2W"))),$S433,0))</f>
        <v>0</v>
      </c>
      <c r="BU433" s="201">
        <f>IF($B433="LOSS",IF(AND($K433=BU$3,$C433="L"),-$O433,0)+IF(AND($K434=BU$3,$C434="L"),-$O434,0)+IF(AND($K434=BU$3,$C435="L"),-$O435,0),IF(OR(AND($K434=BU$3,OR($C433="W",$C433="1/2W")),AND($K434=BU$3,OR($C434="W",$C434="1/2W")),AND($K434=BU$3,OR($C435="W",$C435="1/2W"))),$S433,0))</f>
        <v>0</v>
      </c>
      <c r="BV433" s="201">
        <f>IF($B433="LOSS",IF(AND($K433=BV$3,$C433="L"),-$O433,0)+IF(AND($K434=BV$3,$C434="L"),-$O434,0)+IF(AND($K435=BV$3,$C435="L"),-$O435,0),IF(OR(AND($K433=BV$3,OR($C433="W",$C433="1/2W")),AND($K434=BV$3,OR($C434="W",$C434="1/2W")),AND($K435=BV$3,OR($C435="W",$C435="1/2W"))),$S433,0))</f>
        <v>0</v>
      </c>
      <c r="BW433" s="201">
        <f>IF($B433="LOSS",IF(AND($K433=BW$3,$C433="L"),-$O433,0)+IF(AND($K434=BW$3,$C434="L"),-$O434,0)+IF(AND($K435=BW$3,$C435="L"),-$O435,0),IF(OR(AND($K433=BW$3,OR($C433="W",$C433="1/2W")),AND($K434=BW$3,OR($C434="W",$C434="1/2W")),AND($K435=BW$3,OR($C435="W",$C435="1/2W"))),$S433,0))</f>
        <v>0</v>
      </c>
      <c r="BX433" s="201">
        <f>IF($B433="LOSS",IF(AND($K433=BX$3,$C433="L"),-$O433,0)+IF(AND($K434=BX$3,$C434="L"),-$O434,0)+IF(AND($K435=BX$3,$C435="L"),-$O435,0),IF(OR(AND($K433=BX$3,OR($C433="W",$C433="1/2W")),AND($K434=BX$3,OR($C434="W",$C434="1/2W")),AND($K435=BX$3,OR($C435="W",$C435="1/2W"))),$S433,0))</f>
        <v>0</v>
      </c>
      <c r="BY433" s="201">
        <f>IF($B433="LOSS",IF(AND($K433=BY$3,$C433="L"),-$O433,0)+IF(AND($K434=BY$3,$C434="L"),-$O434,0)+IF(AND($K435=BY$3,$C435="L"),-$O435,0),IF(OR(AND($K433=BY$3,OR($C433="W",$C433="1/2W")),AND($K434=BY$3,OR($C434="W",$C434="1/2W")),AND($K435=BY$3,OR($C435="W",$C435="1/2W"))),$S433,0))</f>
        <v>0</v>
      </c>
      <c r="BZ433" s="205">
        <f>IF($B433="LOSS",IF(AND($K433=BZ$3,$C433="L"),-$O433,0)+IF(AND($K434=BZ$3,$C434="L"),-$O434,0)+IF(AND($K435=BZ$3,$C435="L"),-$O435,0),IF(OR(AND($K433=BZ$3,OR($C433="W",$C433="1/2W")),AND($K434=BZ$3,OR($C434="W",$C434="1/2W")),AND($K435=BZ$3,OR($C435="W",$C435="1/2W"))),$S433,0))</f>
        <v>0</v>
      </c>
      <c r="CA433" s="205">
        <f>IF($B433="LOSS",IF(AND($K433=CA$3,$C433="L"),-$O433,0)+IF(AND($K434=CA$3,$C434="L"),-$O434,0)+IF(AND($K435=CA$3,$C435="L"),-$O435,0),IF(OR(AND($K433=CA$3,OR($C433="W",$C433="1/2W")),AND($K434=CA$3,OR($C434="W",$C434="1/2W")),AND($K435=CA$3,OR($C435="W",$C435="1/2W"))),$S433,0))</f>
        <v>0</v>
      </c>
      <c r="CB433" s="205">
        <f>IF($B433="LOSS",IF(AND($K433=CB$3,$C433="L"),-$O433,0)+IF(AND($K434=CB$3,$C434="L"),-$O434,0)+IF(AND($K435=CB$3,$C435="L"),-$O435,0),IF(OR(AND($K433=CB$3,OR($C433="W",$C433="1/2W")),AND($K434=CB$3,OR($C434="W",$C434="1/2W")),AND($K435=CB$3,OR($C435="W",$C435="1/2W"))),$S433,0))</f>
        <v>0</v>
      </c>
      <c r="CC433" s="205">
        <f>IF($B433="LOSS",IF(AND($K433=CC$3,$C433="L"),-$O433,0)+IF(AND($K434=CC$3,$C434="L"),-$O434,0)+IF(AND($K435=CC$3,$C435="L"),-$O435,0),IF(OR(AND($K433=CC$3,OR($C433="W",$C433="1/2W")),AND($K434=CC$3,OR($C434="W",$C434="1/2W")),AND($K435=CC$3,OR($C435="W",$C435="1/2W"))),$S433,0))</f>
        <v>0</v>
      </c>
      <c r="CD433" s="202">
        <f>IF($B433="LOSS",IF(AND($K433=CD$3,$C433="L"),-$O433,0)+IF(AND($K434=CD$3,$C434="L"),-$O434,0)+IF(AND($K435=CD$3,$C435="L"),-$O435,0),IF(OR(AND($K433=CD$3,OR($C433="W",$C433="1/2W")),AND($K434=CD$3,OR($C434="W",$C434="1/2W")),AND($K435=CD$3,OR($C435="W",$C435="1/2W"))),$S433,0))</f>
        <v>3.32</v>
      </c>
      <c r="CE433" s="199">
        <f>IF($B433="LOSS",IF(AND($K433=CE$3,$C433="L"),-$O433,0)+IF(AND($K434=CE$3,$C434="L"),-$O434,0)+IF(AND($K435=CE$3,$C435="L"),-$O435,0),IF(OR(AND($K433=CE$3,OR($C433="W",$C433="1/2W")),AND($K434=CE$3,OR($C434="W",$C434="1/2W")),AND($K435=CE$3,OR($C435="W",$C435="1/2W"))),$S433,0))</f>
        <v>0</v>
      </c>
      <c r="CF433" s="206">
        <f>IF(CF$3=$K433,IF($C433="W",1,IF($C433="1/2W",0.5,0)),0)</f>
        <v>0</v>
      </c>
      <c r="CG433" s="207">
        <f>IF(CF$3=$K433,IF($C433="L",1,IF($C433="1/2L",0.5,0)),0)</f>
        <v>0</v>
      </c>
      <c r="CH433" s="207">
        <f>IF(CH$3=$K433,IF($C433="W",1,IF($C433="1/2W",0.5,0)),0)</f>
        <v>0</v>
      </c>
      <c r="CI433" s="207">
        <f>IF(CH$3=$K433,IF($C433="L",1,IF($C433="1/2L",0.5,0)),0)</f>
        <v>0</v>
      </c>
      <c r="CJ433" s="207">
        <f>IF(CJ$3=$K433,IF($C433="W",1,IF($C433="1/2W",0.5,0)),0)</f>
        <v>0</v>
      </c>
      <c r="CK433" s="207">
        <f>IF(CJ$3=$K433,IF($C433="L",1,IF($C433="1/2L",0.5,0)),0)</f>
        <v>0</v>
      </c>
      <c r="CL433" s="207">
        <f>IF(CL$3=$K433,IF($C433="W",1,IF($C433="1/2W",0.5,0)),0)</f>
        <v>0</v>
      </c>
      <c r="CM433" s="207">
        <f>IF(CL$3=$K433,IF($C433="L",1,IF($C433="1/2L",0.5,0)),0)</f>
        <v>0</v>
      </c>
      <c r="CN433" s="207">
        <f>IF(CN$3=$K433,IF($C433="W",1,IF($C433="1/2W",0.5,0)),0)</f>
        <v>0</v>
      </c>
      <c r="CO433" s="207">
        <f>IF(CN$3=$K433,IF($C433="L",1,IF($C433="1/2L",0.5,0)),0)</f>
        <v>0</v>
      </c>
      <c r="CP433" s="207">
        <f>IF(CP$3=$K433,IF($C433="W",1,IF($C433="1/2W",0.5,0)),0)</f>
        <v>0</v>
      </c>
      <c r="CQ433" s="207">
        <f>IF(CP$3=$K433,IF($C433="L",1,IF($C433="1/2L",0.5,0)),0)</f>
        <v>0</v>
      </c>
      <c r="CR433" s="207">
        <f>IF(CR$3=$K433,IF($C433="W",1,IF($C433="1/2W",0.5,0)),0)</f>
        <v>0</v>
      </c>
      <c r="CS433" s="207">
        <f>IF(CR$3=$K433,IF($C433="L",1,IF($C433="1/2L",0.5,0)),0)</f>
        <v>0</v>
      </c>
      <c r="CT433" s="208">
        <f>IF(CT$3=$K433,IF($C433="W",1,IF($C433="1/2W",0.5,0)),0)</f>
        <v>0</v>
      </c>
      <c r="CU433" s="209">
        <f>IF(CT$3=$K433,IF($C433="L",1,IF($C433="1/2L",0.5,0)),0)</f>
        <v>1</v>
      </c>
      <c r="CV433" s="209">
        <f>IF(CV$3=$K433,IF($C433="W",1,IF($C433="1/2W",0.5,0)),0)</f>
        <v>0</v>
      </c>
      <c r="CW433" s="209">
        <f>IF(CV$3=$K433,IF($C433="L",1,IF($C433="1/2L",0.5,0)),0)</f>
        <v>0</v>
      </c>
      <c r="CX433" s="209">
        <f>IF(CX$3=$K433,IF($C433="W",1,IF($C433="1/2W",0.5,0)),0)</f>
        <v>0</v>
      </c>
      <c r="CY433" s="209">
        <f>IF(CX$3=$K433,IF($C433="L",1,IF($C433="1/2L",0.5,0)),0)</f>
        <v>0</v>
      </c>
      <c r="CZ433" s="209">
        <f>IF(CZ$3=$K433,IF($C433="W",1,IF($C433="1/2W",0.5,0)),0)</f>
        <v>0</v>
      </c>
      <c r="DA433" s="209">
        <f>IF(CZ$3=$K433,IF($C433="L",1,IF($C433="1/2L",0.5,0)),0)</f>
        <v>0</v>
      </c>
      <c r="DB433" s="209">
        <f>IF(DB$3=$K433,IF($C433="W",1,IF($C433="1/2W",0.5,0)),0)</f>
        <v>0</v>
      </c>
      <c r="DC433" s="209">
        <f>IF(DB$3=$K433,IF($C433="L",1,IF($C433="1/2L",0.5,0)),0)</f>
        <v>0</v>
      </c>
      <c r="DD433" s="209">
        <f>IF(DD$3=$K433,IF($C433="W",1,IF($C433="1/2W",0.5,0)),0)</f>
        <v>0</v>
      </c>
      <c r="DE433" s="210">
        <f>IF(DD$3=$K433,IF($C433="L",1,IF($C433="1/2L",0.5,0)),0)</f>
        <v>0</v>
      </c>
      <c r="DF433" s="211">
        <f>IF(AND(L433&lt;DF$3,$C433="W"),1+DF432,DF432)</f>
        <v>14</v>
      </c>
      <c r="DG433" s="198">
        <f>IF(DF433&gt;DF432,L433+DG432,DG432)</f>
        <v>18.548</v>
      </c>
      <c r="DH433" s="209">
        <f>IF(AND(L433&gt;DH$3,$C433="W"),1+DH432,0+DH432)</f>
        <v>10</v>
      </c>
      <c r="DI433" s="198">
        <f>IF(DH433&gt;DH432,L433+DI432,DI432)</f>
        <v>55.13</v>
      </c>
      <c r="DJ433" t="s" s="306">
        <f>IF($D433="","",$D433)</f>
        <v>342</v>
      </c>
      <c r="DK433" s="209">
        <f>IF(AND($B433=" ",$D433&lt;&gt;""),1,0)</f>
        <v>0</v>
      </c>
    </row>
    <row r="434" ht="14.55" customHeight="1">
      <c r="A434" s="107"/>
      <c r="B434" s="108"/>
      <c r="C434" t="s" s="213">
        <v>56</v>
      </c>
      <c r="D434" s="110"/>
      <c r="E434" s="111"/>
      <c r="F434" s="113"/>
      <c r="G434" s="214"/>
      <c r="H434" s="114"/>
      <c r="I434" t="s" s="215">
        <v>54</v>
      </c>
      <c r="J434" s="296">
        <f>IF(OR(I433="TO",I433="TU",I433="TO1",I433="TU1",I433="TO2",I433="TU2"),J433,IF(OR(I433="AH1",I433="AH2"),IF(OR(I434="AH1",I434="AH2"),-J433,IF(OR(I434="EH1",I434="EH2"),-J433+0.5,"")),IF(OR(I433="EH1",I433="EH2"),IF(OR(I434="AH1",I434="AH2"),-J433+0.5,IF(OR(I434="EH1",I434="EH2"),-J433+1,"")),IF(AND(OR(I433="DNB1",I433="DNB2"),OR(I434="AH1",I434="AH2")),0,IF(AND(I433="Not ScoreBoth",OR(I434="TO1",I434="TO2")),0.5,"")))))</f>
        <v>0</v>
      </c>
      <c r="K434" t="s" s="217">
        <v>48</v>
      </c>
      <c r="L434" s="218">
        <v>1.67</v>
      </c>
      <c r="M434" s="219">
        <v>39.43</v>
      </c>
      <c r="N434" s="120"/>
      <c r="O434" s="220">
        <f>IF(OR(AE433="",AE434=""),"",ROUND(IF(L435&gt;0,IF(M434&gt;0,M434,IF(M433&gt;0,IF(N433=TRUE,ROUND((M433*AE434)/AE433,0),(M433*AE434)/AE433),IF(M434&gt;0,ROUND(M434,IF(N433=0,2,IF(N433=0.1,1,0))),IF(M435&gt;0,ROUND(O435*AE434/AE435,IF(N433=0,2,IF(N433=0.1,1,0))),0)))),IF(M434&gt;0,M434,ROUND((M433*AE434)/AE433,IF(N433=0,2,IF(N433=0.1,1,0))))),2))</f>
        <v>39.43</v>
      </c>
      <c r="P434" s="221">
        <f>IF(OR(L434="",O434=""),"",IF($C434="1/2W",O434/2+O434/2*L434,IF($C434="1/2L",O434/2,IF(I434="Lay",((O434*(L434/(L434-1)))-O434)*(1-_xlfn.XLOOKUP(K434,'Janeiro 2023 - Valor Real'!A3:A15,'Janeiro 2023 - Valor Real'!C3:C15,0))+O434,(O434*L434-O434)*(1-_xlfn.XLOOKUP(K434,'Janeiro 2023 - Valor Real'!A3:A15,'Janeiro 2023 - Valor Real'!C3:C15,0))+O434))))</f>
        <v>65.8481</v>
      </c>
      <c r="Q434" s="222">
        <f>IF(K434="","",IF(_xlfn.XLOOKUP(K434,K$111:K195,DJ$111:DJ195,0,,-1)=DJ434,_xlfn.XLOOKUP(K434,K$111:K195,Q$111:Q195,1,,-1)+1,1))</f>
        <v>1</v>
      </c>
      <c r="R434" s="223">
        <f>IF(K434="","",_xlfn.XLOOKUP(K434,K$111:K195,R$111:R195,0,,-1)+IF($C434=" ",1,0))</f>
        <v>0</v>
      </c>
      <c r="S434" s="125"/>
      <c r="T434" s="126"/>
      <c r="U434" s="126"/>
      <c r="V434" s="224"/>
      <c r="W434" s="126"/>
      <c r="X434" s="127"/>
      <c r="Y434" s="128"/>
      <c r="Z434" s="129"/>
      <c r="AA434" s="129"/>
      <c r="AB434" s="129"/>
      <c r="AC434" s="129"/>
      <c r="AD434" s="225">
        <f>(((L434/(L434-1)-1)*(1-_xlfn.XLOOKUP(K434,'Janeiro 2023 - Valor Real'!A3:A15,'Janeiro 2023 - Valor Real'!C3:C15,0))+1))</f>
        <v>2.49253731343284</v>
      </c>
      <c r="AE434" s="226">
        <f>IF(L434="","",IF(L435&gt;0,(SUM(((L433-1)*(1-_xlfn.XLOOKUP(K433,'Janeiro 2023 - Valor Real'!A3:A15,'Janeiro 2023 - Valor Real'!C3:C15,0))+1),((L434-1)*(1-_xlfn.XLOOKUP(K434,'Janeiro 2023 - Valor Real'!A3:A15,'Janeiro 2023 - Valor Real'!C3:C15,0))+1),((L435-1)*(1-_xlfn.XLOOKUP(K435,'Janeiro 2023 - Valor Real'!A3:A15,'Janeiro 2023 - Valor Real'!C3:C15,0))+1))/((L434-1)*(1-_xlfn.XLOOKUP(K434,'Janeiro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Real'!C3:C15,0))+1))/((L433-1)*(1-_xlfn.XLOOKUP(K433,'Janeiro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Real'!C3:C15,0))+1))/((L434-1)*(1-_xlfn.XLOOKUP(K434,'Janeiro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Real'!C3:C15,0))+1))/((L435-1)*(1-_xlfn.XLOOKUP(K435,'Janeiro 2023 - Valor Real'!A3:A15,'Janeiro 2023 - Valor Real'!C3:C15,0))+1)),IF(I434="Lay",IF(I433="Lay",((L433/(L433-1)-1)*(1-_xlfn.XLOOKUP(K433,'Janeiro 2023 - Valor Real'!A3:A15,'Janeiro 2023 - Valor Real'!C3:C15,0))+1)/(((L433/(L433-1)-1)*(1-_xlfn.XLOOKUP(K433,'Janeiro 2023 - Valor Real'!A3:A15,'Janeiro 2023 - Valor Real'!C3:C15,0))+1)+((L434/(L434-1)-1)*(1-_xlfn.XLOOKUP(K434,'Janeiro 2023 - Valor Real'!A3:A15,'Janeiro 2023 - Valor Real'!C3:C15,0))+1)),((L433-1)*(1-_xlfn.XLOOKUP(K433,'Janeiro 2023 - Valor Real'!A3:A15,'Janeiro 2023 - Valor Real'!C3:C15,0))+1)/(((L433-1)*(1-_xlfn.XLOOKUP(K433,'Janeiro 2023 - Valor Real'!A3:A15,'Janeiro 2023 - Valor Real'!C3:C15,0))+1)+((L434/(L434-1)-1)*(1-_xlfn.XLOOKUP(K434,'Janeiro 2023 - Valor Real'!A3:A15,'Janeiro 2023 - Valor Real'!C3:C15,0))+1))),IF(I433="Lay",((L433/(L433-1)-1)*(1-_xlfn.XLOOKUP(K433,'Janeiro 2023 - Valor Real'!A3:A15,'Janeiro 2023 - Valor Real'!C3:C15,0))+1)/((((L433/(L433-1)-1)*(1-_xlfn.XLOOKUP(K433,'Janeiro 2023 - Valor Real'!A3:A15,'Janeiro 2023 - Valor Real'!C3:C15,0))+1))+((L434-1)*(1-_xlfn.XLOOKUP(K434,'Janeiro 2023 - Valor Real'!A3:A15,'Janeiro 2023 - Valor Real'!C3:C15,0))+1)),((L433-1)*(1-_xlfn.XLOOKUP(K433,'Janeiro 2023 - Valor Real'!A3:A15,'Janeiro 2023 - Valor Real'!C3:C15,0))+1)/(((L433-1)*(1-_xlfn.XLOOKUP(K433,'Janeiro 2023 - Valor Real'!A3:A15,'Janeiro 2023 - Valor Real'!C3:C15,0))+1)+((L434-1)*(1-_xlfn.XLOOKUP(K434,'Janeiro 2023 - Valor Real'!A3:A15,'Janeiro 2023 - Valor Real'!C3:C15,0))+1))))))</f>
        <v>0.630530973451327</v>
      </c>
      <c r="AF434" s="197">
        <f>IF($K434=AF$3,ROUND(IF(OR($C434="W",$C434="1/2W",$C434="1/2L"),$P434-$O434,IF($C434="X",0,-$O434)),2),0)</f>
        <v>0</v>
      </c>
      <c r="AG434" s="198">
        <f>IF($K434=AG$3,ROUND(IF(OR($C434="W",$C434="1/2W",$C434="1/2L"),$P434-$O434,IF($C434="X",0,-$O434)),2),0)</f>
        <v>0</v>
      </c>
      <c r="AH434" s="198">
        <f>IF($K434=AH$3,ROUND(IF(OR($C434="W",$C434="1/2W",$C434="1/2L"),$P434-$O434,IF($C434="X",0,-$O434)),2),0)</f>
        <v>0</v>
      </c>
      <c r="AI434" s="198">
        <f>IF($K434=AI$3,ROUND(IF(OR($C434="W",$C434="1/2W",$C434="1/2L"),$P434-$O434,IF($C434="X",0,-$O434)),2),0)</f>
        <v>0</v>
      </c>
      <c r="AJ434" s="198">
        <f>IF($K434=AJ$3,ROUND(IF(OR($C434="W",$C434="1/2W",$C434="1/2L"),$P434-$O434,IF($C434="X",0,-$O434)),2),0)</f>
        <v>0</v>
      </c>
      <c r="AK434" s="198">
        <f>IF($K434=AK$3,ROUND(IF(OR($C434="W",$C434="1/2W",$C434="1/2L"),$P434-$O434,IF($C434="X",0,-$O434)),2),0)</f>
        <v>0</v>
      </c>
      <c r="AL434" s="198">
        <f>IF($K434=AL$3,ROUND(IF(OR($C434="W",$C434="1/2W",$C434="1/2L"),$P434-$O434,IF($C434="X",0,-$O434)),2),0)</f>
        <v>0</v>
      </c>
      <c r="AM434" s="198">
        <f>IF($K434=AM$3,ROUND(IF(OR($C434="W",$C434="1/2W",$C434="1/2L"),$P434-$O434,IF($C434="X",0,-$O434)),2),0)</f>
        <v>0</v>
      </c>
      <c r="AN434" s="198">
        <f>IF($K434=AN$3,ROUND(IF(OR($C434="W",$C434="1/2W",$C434="1/2L"),$P434-$O434,IF($C434="X",0,-$O434)),2),0)</f>
        <v>0</v>
      </c>
      <c r="AO434" s="198">
        <f>IF($K434=AO$3,ROUND(IF(OR($C434="W",$C434="1/2W",$C434="1/2L"),$P434-$O434,IF($C434="X",0,-$O434)),2),0)</f>
        <v>0</v>
      </c>
      <c r="AP434" s="198">
        <f>IF($K434=AP$3,ROUND(IF(OR($C434="W",$C434="1/2W",$C434="1/2L"),$P434-$O434,IF($C434="X",0,-$O434)),2),0)</f>
        <v>0</v>
      </c>
      <c r="AQ434" s="198">
        <f>IF($K434=AQ$3,ROUND(IF(OR($C434="W",$C434="1/2W",$C434="1/2L"),$P434-$O434,IF($C434="X",0,-$O434)),2),0)</f>
        <v>26.42</v>
      </c>
      <c r="AR434" s="199">
        <f>IF($K434=AR$3,ROUND(IF(OR($C434="W",$C434="1/2W",$C434="1/2L"),$P434-$O434,IF($C434="X",0,-$O434)),2),0)</f>
        <v>0</v>
      </c>
      <c r="AS434" s="197">
        <f>IF(AND($B433=" ",$K434=AS$3),$O434,0)</f>
        <v>0</v>
      </c>
      <c r="AT434" s="198">
        <f>IF(AND($B433=" ",K434=AT$3),$O434,0)</f>
        <v>0</v>
      </c>
      <c r="AU434" s="198">
        <f>IF(AND($B433=" ",$K434=AU$3),$O434,0)</f>
        <v>0</v>
      </c>
      <c r="AV434" s="198">
        <f>IF(AND($B433=" ",$K434=AV$3),$O434,0)</f>
        <v>0</v>
      </c>
      <c r="AW434" s="198">
        <f>IF(AND($B433=" ",$K434=AW$3),$O434,0)</f>
        <v>0</v>
      </c>
      <c r="AX434" s="198">
        <f>IF(AND($B433=" ",$K434=AX$3),$O434,0)</f>
        <v>0</v>
      </c>
      <c r="AY434" s="200">
        <f>IF(AND($B433=" ",$K434=AY$3),$O434,0)</f>
        <v>0</v>
      </c>
      <c r="AZ434" s="201">
        <f>IF(AND($B433=" ",$K434=AZ$3),$O434,0)</f>
        <v>0</v>
      </c>
      <c r="BA434" s="201">
        <f>IF(AND($B433=" ",$K434=BA$3),$O434,0)</f>
        <v>0</v>
      </c>
      <c r="BB434" s="201">
        <f>IF(AND($B433=" ",$K434=BB$3),$O434,0)</f>
        <v>0</v>
      </c>
      <c r="BC434" s="202">
        <f>IF(AND($B433=" ",$K434=BC$3),$O434,0)</f>
        <v>0</v>
      </c>
      <c r="BD434" s="198">
        <f>IF(AND($B433=" ",$K434=BD$3),$O434,0)</f>
        <v>0</v>
      </c>
      <c r="BE434" s="199">
        <f>IF(AND($B433=" ",$K434=BE$3),$O434,0)</f>
        <v>0</v>
      </c>
      <c r="BF434" s="197">
        <f>IF($K434=BF$3,IF($C434="X",0,$O434),0)</f>
        <v>0</v>
      </c>
      <c r="BG434" s="198">
        <f>IF($K434=BG$3,IF($C434="X",0,$O434),0)</f>
        <v>0</v>
      </c>
      <c r="BH434" s="198">
        <f>IF($K434=BH$3,IF($C434="X",0,$O434),0)</f>
        <v>0</v>
      </c>
      <c r="BI434" s="198">
        <f>IF($K434=BI$3,IF($C434="X",0,$O434),0)</f>
        <v>0</v>
      </c>
      <c r="BJ434" s="198">
        <f>IF($K434=BJ$3,IF($C434="X",0,$O434),0)</f>
        <v>0</v>
      </c>
      <c r="BK434" s="198">
        <f>IF($K434=BK$3,IF($C434="X",0,$O434),0)</f>
        <v>0</v>
      </c>
      <c r="BL434" s="198">
        <f>IF($K434=BL$3,IF($C434="X",0,$O434),0)</f>
        <v>0</v>
      </c>
      <c r="BM434" s="227">
        <f>IF($K434=BM$3,IF($C434="X",0,$O434),0)</f>
        <v>0</v>
      </c>
      <c r="BN434" s="205">
        <f>IF($K434=BN$3,IF($C434="X",0,$O434),0)</f>
        <v>0</v>
      </c>
      <c r="BO434" s="205">
        <f>IF($K434=BO$3,IF($C434="X",0,$O434),0)</f>
        <v>0</v>
      </c>
      <c r="BP434" s="205">
        <f>IF($K434=BP$3,IF($C434="X",0,$O434),0)</f>
        <v>0</v>
      </c>
      <c r="BQ434" s="202">
        <f>IF($K434=BQ$3,IF($C434="X",0,$O434),0)</f>
        <v>39.43</v>
      </c>
      <c r="BR434" s="199">
        <f>IF($K434=BR$3,IF($C434="X",0,$O434),0)</f>
        <v>0</v>
      </c>
      <c r="BS434" s="228"/>
      <c r="BT434" s="229"/>
      <c r="BU434" s="140"/>
      <c r="BV434" s="229"/>
      <c r="BW434" s="140"/>
      <c r="BX434" s="140"/>
      <c r="BY434" s="140"/>
      <c r="BZ434" s="229"/>
      <c r="CA434" s="140"/>
      <c r="CB434" s="140"/>
      <c r="CC434" s="140"/>
      <c r="CD434" s="141"/>
      <c r="CE434" s="142"/>
      <c r="CF434" s="230">
        <f>IF(CF$3=$K434,IF($C434="W",1,IF($C434="1/2W",0.5,0)),0)</f>
        <v>0</v>
      </c>
      <c r="CG434" s="231">
        <f>IF(CF$3=$K434,IF($C434="L",1,IF($C434="1/2L",0.5,0)),0)</f>
        <v>0</v>
      </c>
      <c r="CH434" s="231">
        <f>IF(CH$3=$K434,IF($C434="W",1,IF($C434="1/2W",0.5,0)),0)</f>
        <v>0</v>
      </c>
      <c r="CI434" s="231">
        <f>IF(CH$3=$K434,IF($C434="L",1,IF($C434="1/2L",0.5,0)),0)</f>
        <v>0</v>
      </c>
      <c r="CJ434" s="231">
        <f>IF(CJ$3=$K434,IF($C434="W",1,IF($C434="1/2W",0.5,0)),0)</f>
        <v>0</v>
      </c>
      <c r="CK434" s="231">
        <f>IF(CJ$3=$K434,IF($C434="L",1,IF($C434="1/2L",0.5,0)),0)</f>
        <v>0</v>
      </c>
      <c r="CL434" s="231">
        <f>IF(CL$3=$K434,IF($C434="W",1,IF($C434="1/2W",0.5,0)),0)</f>
        <v>0</v>
      </c>
      <c r="CM434" s="231">
        <f>IF(CL$3=$K434,IF($C434="L",1,IF($C434="1/2L",0.5,0)),0)</f>
        <v>0</v>
      </c>
      <c r="CN434" s="231">
        <f>IF(CN$3=$K434,IF($C434="W",1,IF($C434="1/2W",0.5,0)),0)</f>
        <v>0</v>
      </c>
      <c r="CO434" s="231">
        <f>IF(CN$3=$K434,IF($C434="L",1,IF($C434="1/2L",0.5,0)),0)</f>
        <v>0</v>
      </c>
      <c r="CP434" s="231">
        <f>IF(CP$3=$K434,IF($C434="W",1,IF($C434="1/2W",0.5,0)),0)</f>
        <v>0</v>
      </c>
      <c r="CQ434" s="231">
        <f>IF(CP$3=$K434,IF($C434="L",1,IF($C434="1/2L",0.5,0)),0)</f>
        <v>0</v>
      </c>
      <c r="CR434" s="231">
        <f>IF(CR$3=$K434,IF($C434="W",1,IF($C434="1/2W",0.5,0)),0)</f>
        <v>0</v>
      </c>
      <c r="CS434" s="231">
        <f>IF(CR$3=$K434,IF($C434="L",1,IF($C434="1/2L",0.5,0)),0)</f>
        <v>0</v>
      </c>
      <c r="CT434" s="208">
        <f>IF(CT$3=$K434,IF($C434="W",1,IF($C434="1/2W",0.5,0)),0)</f>
        <v>0</v>
      </c>
      <c r="CU434" s="209">
        <f>IF(CT$3=$K434,IF($C434="L",1,IF($C434="1/2L",0.5,0)),0)</f>
        <v>0</v>
      </c>
      <c r="CV434" s="209">
        <f>IF(CV$3=$K434,IF($C434="W",1,IF($C434="1/2W",0.5,0)),0)</f>
        <v>0</v>
      </c>
      <c r="CW434" s="209">
        <f>IF(CV$3=$K434,IF($C434="L",1,IF($C434="1/2L",0.5,0)),0)</f>
        <v>0</v>
      </c>
      <c r="CX434" s="209">
        <f>IF(CX$3=$K434,IF($C434="W",1,IF($C434="1/2W",0.5,0)),0)</f>
        <v>0</v>
      </c>
      <c r="CY434" s="209">
        <f>IF(CX$3=$K434,IF($C434="L",1,IF($C434="1/2L",0.5,0)),0)</f>
        <v>0</v>
      </c>
      <c r="CZ434" s="209">
        <f>IF(CZ$3=$K434,IF($C434="W",1,IF($C434="1/2W",0.5,0)),0)</f>
        <v>0</v>
      </c>
      <c r="DA434" s="209">
        <f>IF(CZ$3=$K434,IF($C434="L",1,IF($C434="1/2L",0.5,0)),0)</f>
        <v>0</v>
      </c>
      <c r="DB434" s="209">
        <f>IF(DB$3=$K434,IF($C434="W",1,IF($C434="1/2W",0.5,0)),0)</f>
        <v>1</v>
      </c>
      <c r="DC434" s="209">
        <f>IF(DB$3=$K434,IF($C434="L",1,IF($C434="1/2L",0.5,0)),0)</f>
        <v>0</v>
      </c>
      <c r="DD434" s="209">
        <f>IF(DD$3=$K434,IF($C434="W",1,IF($C434="1/2W",0.5,0)),0)</f>
        <v>0</v>
      </c>
      <c r="DE434" s="210">
        <f>IF(DD$3=$K434,IF($C434="L",1,IF($C434="1/2L",0.5,0)),0)</f>
        <v>0</v>
      </c>
      <c r="DF434" s="211">
        <f>IF(AND(L434&lt;DF$3,$C434="W"),1+DF433,DF433)</f>
        <v>14</v>
      </c>
      <c r="DG434" s="198">
        <f>IF(DF434&gt;DF433,L434+DG433,DG433)</f>
        <v>18.548</v>
      </c>
      <c r="DH434" s="209">
        <f>IF(AND(L434&gt;DH$3,$C434="W"),1+DH433,0+DH433)</f>
        <v>10</v>
      </c>
      <c r="DI434" s="198">
        <f>IF(DH434&gt;DH433,L434+DI433,DI433)</f>
        <v>55.13</v>
      </c>
      <c r="DJ434" t="s" s="306">
        <f>IF($D433="","",$D433)</f>
        <v>342</v>
      </c>
      <c r="DK434" s="232"/>
    </row>
    <row r="435" ht="14.55" customHeight="1">
      <c r="A435" s="149"/>
      <c r="B435" s="150"/>
      <c r="C435" t="s" s="233">
        <v>58</v>
      </c>
      <c r="D435" s="152"/>
      <c r="E435" s="153"/>
      <c r="F435" s="155"/>
      <c r="G435" s="234"/>
      <c r="H435" s="156"/>
      <c r="I435" s="235"/>
      <c r="J435" s="236"/>
      <c r="K435" s="237"/>
      <c r="L435" s="238"/>
      <c r="M435" s="239"/>
      <c r="N435" s="161"/>
      <c r="O435" t="s" s="240">
        <f>IF(OR(AE433="",AE434=""),"",IF(L435&gt;0,ROUND(IF(M435&gt;0,M435,IF(M433&gt;0,ROUND((M433*AE435)/AE433,IF(N433=0,2,IF(N433=0.1,1,0))),IF(M434&gt;0,ROUND((M434*AE435)/AE434,IF(N433=0,2,IF(N433=0.1,1,0))),IF(M435&gt;0,M435,0)))),2),""))</f>
      </c>
      <c r="P435" t="s" s="241">
        <f>IF(I434="Lay",O434*(L434/(L434-1))-O434,IF(I433="Lay",O433*(L433/(L433-1))-O433,IF(OR(L435="",O435=""),"",IF($C435="1/2W",O435/2+O435/2*L435,IF($C435="1/2L",O435/2,(O435*L435-O435)*(1-_xlfn.XLOOKUP(K435,'Janeiro 2023 - Valor Real'!A3:A15,'Janeiro 2023 - Valor Real'!C3:C15,0))+O435)))))</f>
      </c>
      <c r="Q435" t="s" s="242">
        <f>IF(K435="","",IF(_xlfn.XLOOKUP(K435,K$112:K196,DJ$112:DJ196,0,,-1)=DJ435,_xlfn.XLOOKUP(K435,K$112:K196,Q$112:Q196,1,,-1)+1,1))</f>
      </c>
      <c r="R435" t="s" s="243">
        <f>IF(K435="","",_xlfn.XLOOKUP(K435,K$112:K196,R$112:R196,0,,-1)+IF($C435=" ",1,0))</f>
      </c>
      <c r="S435" s="166"/>
      <c r="T435" s="155"/>
      <c r="U435" s="155"/>
      <c r="V435" s="166"/>
      <c r="W435" s="155"/>
      <c r="X435" s="167"/>
      <c r="Y435" s="128"/>
      <c r="Z435" s="129"/>
      <c r="AA435" s="129"/>
      <c r="AB435" s="129"/>
      <c r="AC435" s="129"/>
      <c r="AD435" s="244">
        <f>((L434/(L434-1)-1))</f>
        <v>1.49253731343284</v>
      </c>
      <c r="AE435" t="s" s="245">
        <f>IF(L435="","",(SUM(((L433-1)*(1-_xlfn.XLOOKUP(K433,'Janeiro 2023 - Valor Real'!A3:A15,'Janeiro 2023 - Valor Real'!C3:C15,0))+1),((L434-1)*(1-_xlfn.XLOOKUP(K434,'Janeiro 2023 - Valor Real'!A3:A15,'Janeiro 2023 - Valor Real'!C3:C15,0))+1),((L435-1)*(1-_xlfn.XLOOKUP(K435,'Janeiro 2023 - Valor Real'!A3:A15,'Janeiro 2023 - Valor Real'!C3:C15,0))+1))/((L435-1)*(1-_xlfn.XLOOKUP(K435,'Janeiro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Real'!C3:C15,0))+1))/((L433-1)*(1-_xlfn.XLOOKUP(K433,'Janeiro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Real'!C3:C15,0))+1))/((L434-1)*(1-_xlfn.XLOOKUP(K434,'Janeiro 2023 - Valor Real'!A3:A15,'Janeiro 2023 - Valor Real'!C3:C15,0))+1)+SUM(((L433-1)*(1-_xlfn.XLOOKUP(K433,'Janeiro 2023 - Valor Real'!A3:A15,'Janeiro 2023 - Valor Real'!C3:C15,0))+1),((L434-1)*(1-_xlfn.XLOOKUP(K434,'Janeiro 2023 - Valor Real'!A3:A15,'Janeiro 2023 - Valor Real'!C3:C15,0))+1),((L435-1)*(1-_xlfn.XLOOKUP(K435,'Janeiro 2023 - Valor Real'!A3:A15,'Janeiro 2023 - Valor Real'!C3:C15,0))+1))/((L435-1)*(1-_xlfn.XLOOKUP(K435,'Janeiro 2023 - Valor Real'!A3:A15,'Janeiro 2023 - Valor Real'!C3:C15,0))+1)))</f>
      </c>
      <c r="AF435" s="197">
        <f>IF($K435=AF$3,ROUND(IF(OR($C435="W",$C435="1/2W",$C435="1/2L"),$P435-$O435,IF($C435="X",0,-$O435)),2),0)</f>
        <v>0</v>
      </c>
      <c r="AG435" s="198">
        <f>IF($K435=AG$3,ROUND(IF(OR($C435="W",$C435="1/2W",$C435="1/2L"),$P435-$O435,IF($C435="X",0,-$O435)),2),0)</f>
        <v>0</v>
      </c>
      <c r="AH435" s="198">
        <f>IF($K435=AH$3,ROUND(IF(OR($C435="W",$C435="1/2W",$C435="1/2L"),$P435-$O435,IF($C435="X",0,-$O435)),2),0)</f>
        <v>0</v>
      </c>
      <c r="AI435" s="198">
        <f>IF($K435=AI$3,ROUND(IF(OR($C435="W",$C435="1/2W",$C435="1/2L"),$P435-$O435,IF($C435="X",0,-$O435)),2),0)</f>
        <v>0</v>
      </c>
      <c r="AJ435" s="198">
        <f>IF($K435=AJ$3,ROUND(IF(OR($C435="W",$C435="1/2W",$C435="1/2L"),$P435-$O435,IF($C435="X",0,-$O435)),2),0)</f>
        <v>0</v>
      </c>
      <c r="AK435" s="198">
        <f>IF($K435=AK$3,ROUND(IF(OR($C435="W",$C435="1/2W",$C435="1/2L"),$P435-$O435,IF($C435="X",0,-$O435)),2),0)</f>
        <v>0</v>
      </c>
      <c r="AL435" s="198">
        <f>IF($K435=AL$3,ROUND(IF(OR($C435="W",$C435="1/2W",$C435="1/2L"),$P435-$O435,IF($C435="X",0,-$O435)),2),0)</f>
        <v>0</v>
      </c>
      <c r="AM435" s="198">
        <f>IF($K435=AM$3,ROUND(IF(OR($C435="W",$C435="1/2W",$C435="1/2L"),$P435-$O435,IF($C435="X",0,-$O435)),2),0)</f>
        <v>0</v>
      </c>
      <c r="AN435" s="198">
        <f>IF($K435=AN$3,ROUND(IF(OR($C435="W",$C435="1/2W",$C435="1/2L"),$P435-$O435,IF($C435="X",0,-$O435)),2),0)</f>
        <v>0</v>
      </c>
      <c r="AO435" s="198">
        <f>IF($K435=AO$3,ROUND(IF(OR($C435="W",$C435="1/2W",$C435="1/2L"),$P435-$O435,IF($C435="X",0,-$O435)),2),0)</f>
        <v>0</v>
      </c>
      <c r="AP435" s="198">
        <f>IF($K435=AP$3,ROUND(IF(OR($C435="W",$C435="1/2W",$C435="1/2L"),$P435-$O435,IF($C435="X",0,-$O435)),2),0)</f>
        <v>0</v>
      </c>
      <c r="AQ435" s="198">
        <f>IF($K435=AQ$3,ROUND(IF(OR($C435="W",$C435="1/2W",$C435="1/2L"),$P435-$O435,IF($C435="X",0,-$O435)),2),0)</f>
        <v>0</v>
      </c>
      <c r="AR435" s="199">
        <f>IF($K435=AR$3,ROUND(IF(OR($C435="W",$C435="1/2W",$C435="1/2L"),$P435-$O435,IF($C435="X",0,-$O435)),2),0)</f>
        <v>0</v>
      </c>
      <c r="AS435" s="197">
        <f>IF(AND($B433=" ",$K435=AS$3),$O435,0)</f>
        <v>0</v>
      </c>
      <c r="AT435" s="198">
        <f>IF(AND($B433=" ",K435=AT$3),$O435,0)</f>
        <v>0</v>
      </c>
      <c r="AU435" s="198">
        <f>IF(AND($B433=" ",$K435=AU$3),$O435,0)</f>
        <v>0</v>
      </c>
      <c r="AV435" s="198">
        <f>IF(AND($B433=" ",$K435=AV$3),$O435,0)</f>
        <v>0</v>
      </c>
      <c r="AW435" s="198">
        <f>IF(AND($B433=" ",$K435=AW$3),$O435,0)</f>
        <v>0</v>
      </c>
      <c r="AX435" s="198">
        <f>IF(AND($B433=" ",$K435=AX$3),$O435,0)</f>
        <v>0</v>
      </c>
      <c r="AY435" s="200">
        <f>IF(AND($B433=" ",$K435=AY$3),$O435,0)</f>
        <v>0</v>
      </c>
      <c r="AZ435" s="201">
        <f>IF(AND($B433=" ",$K435=AZ$3),$O435,0)</f>
        <v>0</v>
      </c>
      <c r="BA435" s="201">
        <f>IF(AND($B433=" ",$K435=BA$3),$O435,0)</f>
        <v>0</v>
      </c>
      <c r="BB435" s="201">
        <f>IF(AND($B433=" ",$K435=BB$3),$O435,0)</f>
        <v>0</v>
      </c>
      <c r="BC435" s="202">
        <f>IF(AND($B433=" ",$K435=BC$3),$O435,0)</f>
        <v>0</v>
      </c>
      <c r="BD435" s="198">
        <f>IF(AND($B433=" ",$K435=BD$3),$O435,0)</f>
        <v>0</v>
      </c>
      <c r="BE435" s="199">
        <f>IF(AND($B433=" ",$K435=BE$3),$O435,0)</f>
        <v>0</v>
      </c>
      <c r="BF435" s="197">
        <f>IF($K435=BF$3,IF($C435="X",0,$O435),0)</f>
        <v>0</v>
      </c>
      <c r="BG435" s="198">
        <f>IF($K435=BG$3,IF($C435="X",0,$O435),0)</f>
        <v>0</v>
      </c>
      <c r="BH435" s="198">
        <f>IF($K435=BH$3,IF($C435="X",0,$O435),0)</f>
        <v>0</v>
      </c>
      <c r="BI435" s="198">
        <f>IF($K435=BI$3,IF($C435="X",0,$O435),0)</f>
        <v>0</v>
      </c>
      <c r="BJ435" s="198">
        <f>IF($K435=BJ$3,IF($C435="X",0,$O435),0)</f>
        <v>0</v>
      </c>
      <c r="BK435" s="198">
        <f>IF($K435=BK$3,IF($C435="X",0,$O435),0)</f>
        <v>0</v>
      </c>
      <c r="BL435" s="198">
        <f>IF($K435=BL$3,IF($C435="X",0,$O435),0)</f>
        <v>0</v>
      </c>
      <c r="BM435" s="200">
        <f>IF($K435=BM$3,IF($C435="X",0,$O435),0)</f>
        <v>0</v>
      </c>
      <c r="BN435" s="201">
        <f>IF($K435=BN$3,IF($C435="X",0,$O435),0)</f>
        <v>0</v>
      </c>
      <c r="BO435" s="201">
        <f>IF($K435=BO$3,IF($C435="X",0,$O435),0)</f>
        <v>0</v>
      </c>
      <c r="BP435" s="201">
        <f>IF($K435=BP$3,IF($C435="X",0,$O435),0)</f>
        <v>0</v>
      </c>
      <c r="BQ435" s="202">
        <f>IF($K435=BQ$3,IF($C435="X",0,$O435),0)</f>
        <v>0</v>
      </c>
      <c r="BR435" s="199">
        <f>IF($K435=BR$3,IF($C435="X",0,$O435),0)</f>
        <v>0</v>
      </c>
      <c r="BS435" s="228"/>
      <c r="BT435" s="229"/>
      <c r="BU435" s="140"/>
      <c r="BV435" s="229"/>
      <c r="BW435" s="140"/>
      <c r="BX435" s="140"/>
      <c r="BY435" s="140"/>
      <c r="BZ435" s="229"/>
      <c r="CA435" s="140"/>
      <c r="CB435" s="140"/>
      <c r="CC435" s="140"/>
      <c r="CD435" s="141"/>
      <c r="CE435" s="142"/>
      <c r="CF435" s="230">
        <f>IF(CF$3=$K435,IF($C435="W",1,IF($C435="1/2W",0.5,0)),0)</f>
        <v>0</v>
      </c>
      <c r="CG435" s="231">
        <f>IF(CF$3=$K435,IF($C435="L",1,IF($C435="1/2L",0.5,0)),0)</f>
        <v>0</v>
      </c>
      <c r="CH435" s="231">
        <f>IF(CH$3=$K435,IF($C435="W",1,IF($C435="1/2W",0.5,0)),0)</f>
        <v>0</v>
      </c>
      <c r="CI435" s="231">
        <f>IF(CH$3=$K435,IF($C435="L",1,IF($C435="1/2L",0.5,0)),0)</f>
        <v>0</v>
      </c>
      <c r="CJ435" s="231">
        <f>IF(CJ$3=$K435,IF($C435="W",1,IF($C435="1/2W",0.5,0)),0)</f>
        <v>0</v>
      </c>
      <c r="CK435" s="231">
        <f>IF(CJ$3=$K435,IF($C435="L",1,IF($C435="1/2L",0.5,0)),0)</f>
        <v>0</v>
      </c>
      <c r="CL435" s="231">
        <f>IF(CL$3=$K435,IF($C435="W",1,IF($C435="1/2W",0.5,0)),0)</f>
        <v>0</v>
      </c>
      <c r="CM435" s="231">
        <f>IF(CL$3=$K435,IF($C435="L",1,IF($C435="1/2L",0.5,0)),0)</f>
        <v>0</v>
      </c>
      <c r="CN435" s="231">
        <f>IF(CN$3=$K435,IF($C435="W",1,IF($C435="1/2W",0.5,0)),0)</f>
        <v>0</v>
      </c>
      <c r="CO435" s="231">
        <f>IF(CN$3=$K435,IF($C435="L",1,IF($C435="1/2L",0.5,0)),0)</f>
        <v>0</v>
      </c>
      <c r="CP435" s="231">
        <f>IF(CP$3=$K435,IF($C435="W",1,IF($C435="1/2W",0.5,0)),0)</f>
        <v>0</v>
      </c>
      <c r="CQ435" s="231">
        <f>IF(CP$3=$K435,IF($C435="L",1,IF($C435="1/2L",0.5,0)),0)</f>
        <v>0</v>
      </c>
      <c r="CR435" s="231">
        <f>IF(CR$3=$K435,IF($C435="W",1,IF($C435="1/2W",0.5,0)),0)</f>
        <v>0</v>
      </c>
      <c r="CS435" s="231">
        <f>IF(CR$3=$K435,IF($C435="L",1,IF($C435="1/2L",0.5,0)),0)</f>
        <v>0</v>
      </c>
      <c r="CT435" s="208">
        <f>IF(CT$3=$K435,IF($C435="W",1,IF($C435="1/2W",0.5,0)),0)</f>
        <v>0</v>
      </c>
      <c r="CU435" s="209">
        <f>IF(CT$3=$K435,IF($C435="L",1,IF($C435="1/2L",0.5,0)),0)</f>
        <v>0</v>
      </c>
      <c r="CV435" s="209">
        <f>IF(CV$3=$K435,IF($C435="W",1,IF($C435="1/2W",0.5,0)),0)</f>
        <v>0</v>
      </c>
      <c r="CW435" s="209">
        <f>IF(CV$3=$K435,IF($C435="L",1,IF($C435="1/2L",0.5,0)),0)</f>
        <v>0</v>
      </c>
      <c r="CX435" s="209">
        <f>IF(CX$3=$K435,IF($C435="W",1,IF($C435="1/2W",0.5,0)),0)</f>
        <v>0</v>
      </c>
      <c r="CY435" s="209">
        <f>IF(CX$3=$K435,IF($C435="L",1,IF($C435="1/2L",0.5,0)),0)</f>
        <v>0</v>
      </c>
      <c r="CZ435" s="209">
        <f>IF(CZ$3=$K435,IF($C435="W",1,IF($C435="1/2W",0.5,0)),0)</f>
        <v>0</v>
      </c>
      <c r="DA435" s="209">
        <f>IF(CZ$3=$K435,IF($C435="L",1,IF($C435="1/2L",0.5,0)),0)</f>
        <v>0</v>
      </c>
      <c r="DB435" s="209">
        <f>IF(DB$3=$K435,IF($C435="W",1,IF($C435="1/2W",0.5,0)),0)</f>
        <v>0</v>
      </c>
      <c r="DC435" s="209">
        <f>IF(DB$3=$K435,IF($C435="L",1,IF($C435="1/2L",0.5,0)),0)</f>
        <v>0</v>
      </c>
      <c r="DD435" s="209">
        <f>IF(DD$3=$K435,IF($C435="W",1,IF($C435="1/2W",0.5,0)),0)</f>
        <v>0</v>
      </c>
      <c r="DE435" s="210">
        <f>IF(DD$3=$K435,IF($C435="L",1,IF($C435="1/2L",0.5,0)),0)</f>
        <v>0</v>
      </c>
      <c r="DF435" s="211">
        <f>IF(AND(L435&lt;DF$3,$C435="W"),1+DF434,DF434)</f>
        <v>14</v>
      </c>
      <c r="DG435" s="198">
        <f>IF(DF435&gt;DF434,L435+DG434,DG434)</f>
        <v>18.548</v>
      </c>
      <c r="DH435" s="209">
        <f>IF(AND(L435&gt;DH$3,$C435="W"),1+DH434,0+DH434)</f>
        <v>10</v>
      </c>
      <c r="DI435" s="198">
        <f>IF(DH435&gt;DH434,L435+DI434,DI434)</f>
        <v>55.13</v>
      </c>
      <c r="DJ435" t="s" s="306">
        <f>IF($D433="","",$D433)</f>
        <v>342</v>
      </c>
      <c r="DK435" s="232"/>
    </row>
    <row r="436" ht="14.55" customHeight="1">
      <c r="A436" s="246">
        <f>$A433+1</f>
        <v>145</v>
      </c>
      <c r="B436" t="s" s="247">
        <f>IF(AND(_xlfn.XLOOKUP(H436,H$107:H215,G$107:G215,0)=G436,_xlfn.XLOOKUP("TempoBet",K436:K438,L436:L438,0)&gt;0),"X",IF(OR(C436="W",C437="W",C438="W",C436="1/2W",C437="1/2W",C438="1/2W",C436="1/2L",C437="1/2L",C438="1/2L"),"OK",IF(OR(C436="L",C437="L",C438="L"),"LOSS",IF(OR(C436="X",C437="X",C438="X"),"Anulado"," "))))</f>
        <v>50</v>
      </c>
      <c r="C436" t="s" s="248">
        <v>51</v>
      </c>
      <c r="D436" t="s" s="303">
        <f>IF(G436="","",$D433)</f>
        <v>342</v>
      </c>
      <c r="E436" t="s" s="250">
        <v>111</v>
      </c>
      <c r="F436" t="s" s="251"/>
      <c r="G436" s="252">
        <v>44953.583333333336</v>
      </c>
      <c r="H436" t="s" s="253">
        <v>349</v>
      </c>
      <c r="I436" t="s" s="254">
        <v>65</v>
      </c>
      <c r="J436" s="255">
        <v>4.5</v>
      </c>
      <c r="K436" t="s" s="256">
        <v>41</v>
      </c>
      <c r="L436" s="257">
        <v>2.06</v>
      </c>
      <c r="M436" s="258"/>
      <c r="N436" s="259">
        <v>0.1</v>
      </c>
      <c r="O436" s="260">
        <f>IF(OR(AE436="",AE437=""),"",ROUND(IF(L438&gt;0,IF(M436&gt;0,M436,IF(M437&gt;0,ROUND((M437*AE436)/AE437,IF(N436=0,2,IF(N436=0.1,1,0))),ROUND((M438*AE436)/AE438,IF(N436=0,2,IF(N436=0.1,1,0))))),IF(M436&gt;0,M436,ROUND((M437*AE436)/AE437,IF(N436=0,2,IF(N436=0.1,1,0))))),2))</f>
        <v>8.1</v>
      </c>
      <c r="P436" s="261">
        <f>IF(OR(L436="",O436=""),"",IF($C436="1/2W",O436/2+O436/2*L436,IF($C436="1/2L",O436/2,IF(I436="Lay",(O436*(L436/(L436-1))-O436)*(1-_xlfn.XLOOKUP(K436,'Janeiro 2023 - Valor Real'!A3:A15,'Janeiro 2023 - Valor Real'!C3:C15,0))+O436,(O436*L436-O436)*(1-_xlfn.XLOOKUP(K436,'Janeiro 2023 - Valor Real'!A3:A15,'Janeiro 2023 - Valor Real'!C3:C15,0))+O436))))</f>
        <v>16.686</v>
      </c>
      <c r="Q436" s="262">
        <f>IF(K436="","",IF(_xlfn.XLOOKUP(K436,K$107:K215,DJ$107:DJ215,0,,-1)=DJ436,_xlfn.XLOOKUP(K436,K$107:K215,Q$107:Q215,1,,-1)+1,1))</f>
        <v>1</v>
      </c>
      <c r="R436" s="263">
        <f>IF(K436="","",_xlfn.XLOOKUP(K436,K$107:K215,R$107:R215,0,,-1)+IF($C436=" ",1,0))</f>
        <v>0</v>
      </c>
      <c r="S436" s="264">
        <f>IF($B436="Anulado",0,ROUND(IF(OR($B436="LOSS",$B436="OK"),IF(OR($C436="W",$C436="1/2W",$C436="1/2L"),P436-O436,IF($C436="L",-O436,0))+IF(OR($C437="W",$C437="1/2W",$C437="1/2L"),P437-O437,IF($C437="L",-O437,0))+IF(OR($C438="W",$C438="1/2W",$C438="1/2L"),P438-O438,IF($C438="L",-O438,0)),IF(AND(OR($C436="W",$C436="1/2W",$C436="1/2L"),C437="W"),P436+P437-SUM(O436:O438)+_xlfn.XLOOKUP("X",C436:C438,O436:O438,0),IF(AND(C436=TRUE,C438="W"),P436+P438-SUM(O436:O438),IF(AND(C437="W",C438="W"),P437+P438-SUM(O436:O438)+_xlfn.XLOOKUP("X",C436:C438,O436:O438,0),IF(L438&gt;0,IF(OR($C436="W",$C436="1/2W",$C436="1/2L"),P436-SUM(O436:O438)+_xlfn.XLOOKUP("X",C436:C438,O436:O438,0),IF(OR($C436="W",$C436="1/2W",$C436="1/2L"),P437-SUM(O436:O438)+_xlfn.XLOOKUP("X",C436:C438,O436:O438,0),IF(OR($C436="W",$C436="1/2W",$C436="1/2L"),P438-SUM(O436:O438)+_xlfn.XLOOKUP("X",C436:C438,O436:O438,0),IF(SUM(P436:P438)/3-SUM(O436:O438)+_xlfn.XLOOKUP("X",C436:C438,O436:O438,0)&gt;0,SUM(P436:P438)/3-SUM(O436:O438)+_xlfn.XLOOKUP("X",C436:C438,O436:O438,0),LARGE(P436:P438,1)-SUM(O436:O438))))),IF(OR($C436="W",$C436="1/2W",$C436="1/2L"),P436-SUM(O436:O437)+_xlfn.XLOOKUP("X",C436:C438,O436:O438,0),IF(OR($C436="W",$C436="1/2W",$C436="1/2L"),P437-SUM(O436:O437)+_xlfn.XLOOKUP("X",C436:C438,O436:O438,0),SUM(P436:P437)/2-SUM(O436:O437)+_xlfn.XLOOKUP("X",C436:C438,O436:O438,0)))))))),2))</f>
        <v>1.16</v>
      </c>
      <c r="T436" s="265">
        <f>IF(S436=0,0,S436/SUM(O436:O438))</f>
        <v>0.0747904577691812</v>
      </c>
      <c r="U436" s="266">
        <f>IF($D436=$D433,IF(OR($B436="LOSS",$B436="OK",$B436="Anulada"),S436,0)+U433,IF(OR($B436="LOSS",$B436="OK",$B436="Anulada"),S436,0))</f>
        <v>14.97</v>
      </c>
      <c r="V436" s="266">
        <f>IF($D436="",0,IF($D436=$D433,IF($B436=" ",IF(I438="",IF(OR(AND(I436="DNB1",I437="DNB2"),AND(OR(I436="DNB1",I436="DNB2"),J437=0),AND(OR(I437="DNB1",I437="DNB2"),J436=0),AND(I436="DNB2",I437="DNB1"),AND(IF(J436=0,(J436+1)/ROUND(J436+1,0),J436/ROUND(J436,0))=1,IF(J437=0,(J437+1)/ROUND(IF(J437="",0,J437)+1,0),IF(J437="",0,J437)/ROUND(IF(J437="",1,J437),0))=1,OR(J436&lt;&gt;""),J437&lt;&gt;"")),0,IF(S436&lt;0,IF(I438="",SMALL(P436:P437,1)-SUM(O436:O437),0),SMALL(P436:P437,1)-SUM(O436:O437))),IF(S436&lt;0,IF(I438="",SMALL(P436:P438,1)-SUM(O436:O438),0),LARGE(P436:P438,1)-SUM(O436:O438))),S436)+V433,IF(I438="",IF(OR(AND(I436="DNB1",I437="DNB2"),AND(OR(I436="DNB1",I436="DNB2"),J437=0),AND(OR(I437="DNB1",I437="DNB2"),J436=0),AND(I436="DNB2",I437="DNB1"),AND(IF(J436=0,(J436+1)/ROUND(J436+1,0),J436/ROUND(J436,0))=1,IF(J437=0,(IF(J437="",0,J437)+1)/ROUND(IF(J437="",0,J437)+1,0),IF(J437="",0,J437)/ROUND(IF(J437="",0,J437)+1,0))=1,OR(J436&lt;&gt;""),J437&lt;&gt;"")),0,IF(S436&lt;0,IF(I438="",SMALL(P436:P437,1)-SUM(O436:O437),0),SMALL(P436:P438,1)-SUM(O436:O438))),IF(S436&lt;0,IF(I438="",SMALL(P436:P438,1)-SUM(O436:O438),0),LARGE(P436:P438,1)-SUM(O436:O438)))))</f>
        <v>14.9591</v>
      </c>
      <c r="W436" s="266">
        <f>IF($D436=$D433,IF(S436&lt;0,IF(I438="",S436,0),S436)+W433,S436)</f>
        <v>14.97</v>
      </c>
      <c r="X436" t="s" s="267">
        <f>IF(OR(SUM(R436:R438)=0,V436=W436),ROUND(IF(W436=0,0,W436/Y436)*100,2)&amp;"%",ROUND(IF(V436=0,0,V436/Y436)*100,2)&amp;"% a "&amp;ROUND(IF(W436=0,0,W436/Y436)*100,2)&amp;"%")</f>
        <v>350</v>
      </c>
      <c r="Y436" s="268">
        <f>IF($D436=$D433,Y433+SUM(O436:O438),SUM(O436:O438))</f>
        <v>303.45</v>
      </c>
      <c r="Z436" s="266">
        <f>IF($B436=" ",SUM(O436:O438),0)+Z433</f>
        <v>0</v>
      </c>
      <c r="AA436" s="266">
        <f>IF(G436="","",IF($B436="Anulado",LARGE(P436:P438,1)-SUM(O436:O438)+AA433,AA433))</f>
        <v>22.2257</v>
      </c>
      <c r="AB436" s="266">
        <f>IF($D436="","",AB433+S436)</f>
        <v>297.87</v>
      </c>
      <c r="AC436" s="269">
        <f>IF($D436="","",IF($B436=" ",IF(DAY(G436)=DAY(TODAY()),1+AC433,0+AC433),0+AC433))</f>
        <v>0</v>
      </c>
      <c r="AD436" s="270">
        <f>(1-_xlfn.XLOOKUP(K434,'Janeiro 2023 - Valor Real'!A3:A15,'Janeiro 2023 - Valor Real'!C3:C15,0))+1</f>
        <v>2</v>
      </c>
      <c r="AE436" s="271">
        <f>IF(L436="","",IF(L438&gt;0,(SUM(((L436-1)*(1-_xlfn.XLOOKUP(K436,'Janeiro 2023 - Valor Real'!A3:A15,'Janeiro 2023 - Valor Real'!C3:C15,0))+1),((L437-1)*(1-_xlfn.XLOOKUP(K437,'Janeiro 2023 - Valor Real'!A3:A15,'Janeiro 2023 - Valor Real'!C3:C15,0))+1),((L438-1)*(1-_xlfn.XLOOKUP(K438,'Janeiro 2023 - Valor Real'!A3:A15,'Janeiro 2023 - Valor Real'!C3:C15,0))+1))/((L436-1)*(1-_xlfn.XLOOKUP(K436,'Janeiro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Real'!C3:C15,0))+1))/((L436-1)*(1-_xlfn.XLOOKUP(K436,'Janeiro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Real'!C3:C15,0))+1))/((L437-1)*(1-_xlfn.XLOOKUP(K437,'Janeiro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Real'!C3:C15,0))+1))/((L438-1)*(1-_xlfn.XLOOKUP(K438,'Janeiro 2023 - Valor Real'!A3:A15,'Janeiro 2023 - Valor Real'!C3:C15,0))+1)),IF(I436="Lay",IF(I437="Lay",((L437/(L437-1)-1)*(1-_xlfn.XLOOKUP(K437,'Janeiro 2023 - Valor Real'!A3:A15,'Janeiro 2023 - Valor Real'!C3:C15,0))+1)/(((L437/(L437-1)-1)*(1-_xlfn.XLOOKUP(K437,'Janeiro 2023 - Valor Real'!A3:A15,'Janeiro 2023 - Valor Real'!C3:C15,0))+1)+((L436/(L436-1)-1)*(1-_xlfn.XLOOKUP(K436,'Janeiro 2023 - Valor Real'!A3:A15,'Janeiro 2023 - Valor Real'!C3:C15,0))+1)),((L437-1)*(1-_xlfn.XLOOKUP(K437,'Janeiro 2023 - Valor Real'!A3:A15,'Janeiro 2023 - Valor Real'!C3:C15,0))+1)/(((L437-1)*(1-_xlfn.XLOOKUP(K437,'Janeiro 2023 - Valor Real'!A3:A15,'Janeiro 2023 - Valor Real'!C3:C15,0))+1)+((L436/(L436-1)-1)*(1-_xlfn.XLOOKUP(K436,'Janeiro 2023 - Valor Real'!A3:A15,'Janeiro 2023 - Valor Real'!C3:C15,0))+1))),IF(I437="Lay",(((L437/(L437-1)-1)*(1-_xlfn.XLOOKUP(K437,'Janeiro 2023 - Valor Real'!A3:A15,'Janeiro 2023 - Valor Real'!C3:C15,0))+1))/(((L436-1)*(1-_xlfn.XLOOKUP(K436,'Janeiro 2023 - Valor Real'!A3:A15,'Janeiro 2023 - Valor Real'!C3:C15,0))+1)+((L437/(L437-1)-1)*(1-_xlfn.XLOOKUP(K437,'Janeiro 2023 - Valor Real'!A3:A15,'Janeiro 2023 - Valor Real'!C3:C15,0))+1)),((L437-1)*(1-_xlfn.XLOOKUP(K437,'Janeiro 2023 - Valor Real'!A3:A15,'Janeiro 2023 - Valor Real'!C3:C15,0))+1)/(((L437-1)*(1-_xlfn.XLOOKUP(K437,'Janeiro 2023 - Valor Real'!A3:A15,'Janeiro 2023 - Valor Real'!C3:C15,0))+1)+((L436-1)*(1-_xlfn.XLOOKUP(K436,'Janeiro 2023 - Valor Real'!A3:A15,'Janeiro 2023 - Valor Real'!C3:C15,0))+1))))))</f>
        <v>0.522041763341067</v>
      </c>
      <c r="AF436" s="132">
        <f>IF($K436=AF$3,ROUND(IF(OR($C436="W",$C436="1/2W",$C436="1/2L"),$P436-$O436,IF($C436="X",0,-$O436)),2),0)</f>
        <v>0</v>
      </c>
      <c r="AG436" s="133">
        <f>IF($K436=AG$3,ROUND(IF(OR($C436="W",$C436="1/2W",$C436="1/2L"),$P436-$O436,IF($C436="X",0,-$O436)),2),0)</f>
        <v>0</v>
      </c>
      <c r="AH436" s="133">
        <f>IF($K436=AH$3,ROUND(IF(OR($C436="W",$C436="1/2W",$C436="1/2L"),$P436-$O436,IF($C436="X",0,-$O436)),2),0)</f>
        <v>0</v>
      </c>
      <c r="AI436" s="133">
        <f>IF($K436=AI$3,ROUND(IF(OR($C436="W",$C436="1/2W",$C436="1/2L"),$P436-$O436,IF($C436="X",0,-$O436)),2),0)</f>
        <v>0</v>
      </c>
      <c r="AJ436" s="133">
        <f>IF($K436=AJ$3,ROUND(IF(OR($C436="W",$C436="1/2W",$C436="1/2L"),$P436-$O436,IF($C436="X",0,-$O436)),2),0)</f>
        <v>-8.1</v>
      </c>
      <c r="AK436" s="133">
        <f>IF($K436=AK$3,ROUND(IF(OR($C436="W",$C436="1/2W",$C436="1/2L"),$P436-$O436,IF($C436="X",0,-$O436)),2),0)</f>
        <v>0</v>
      </c>
      <c r="AL436" s="133">
        <f>IF($K436=AL$3,ROUND(IF(OR($C436="W",$C436="1/2W",$C436="1/2L"),$P436-$O436,IF($C436="X",0,-$O436)),2),0)</f>
        <v>0</v>
      </c>
      <c r="AM436" s="133">
        <f>IF($K436=AM$3,ROUND(IF(OR($C436="W",$C436="1/2W",$C436="1/2L"),$P436-$O436,IF($C436="X",0,-$O436)),2),0)</f>
        <v>0</v>
      </c>
      <c r="AN436" s="133">
        <f>IF($K436=AN$3,ROUND(IF(OR($C436="W",$C436="1/2W",$C436="1/2L"),$P436-$O436,IF($C436="X",0,-$O436)),2),0)</f>
        <v>0</v>
      </c>
      <c r="AO436" s="133">
        <f>IF($K436=AO$3,ROUND(IF(OR($C436="W",$C436="1/2W",$C436="1/2L"),$P436-$O436,IF($C436="X",0,-$O436)),2),0)</f>
        <v>0</v>
      </c>
      <c r="AP436" s="133">
        <f>IF($K436=AP$3,ROUND(IF(OR($C436="W",$C436="1/2W",$C436="1/2L"),$P436-$O436,IF($C436="X",0,-$O436)),2),0)</f>
        <v>0</v>
      </c>
      <c r="AQ436" s="133">
        <f>IF($K436=AQ$3,ROUND(IF(OR($C436="W",$C436="1/2W",$C436="1/2L"),$P436-$O436,IF($C436="X",0,-$O436)),2),0)</f>
        <v>0</v>
      </c>
      <c r="AR436" s="134">
        <f>IF($K436=AR$3,ROUND(IF(OR($C436="W",$C436="1/2W",$C436="1/2L"),$P436-$O436,IF($C436="X",0,-$O436)),2),0)</f>
        <v>0</v>
      </c>
      <c r="AS436" s="132">
        <f>IF(AND($B436=" ",$K436=AS$3),$O436,0)</f>
        <v>0</v>
      </c>
      <c r="AT436" s="133">
        <f>IF(AND($B436=" ",$K436=AT$3),$O436,0)</f>
        <v>0</v>
      </c>
      <c r="AU436" s="133">
        <f>IF(AND($B436=" ",$K436=AU$3),$O436,0)</f>
        <v>0</v>
      </c>
      <c r="AV436" s="133">
        <f>IF(AND($B436=" ",$K436=AV$3),$O436,0)</f>
        <v>0</v>
      </c>
      <c r="AW436" s="133">
        <f>IF(AND($B436=" ",$K436=AW$3),$O436,0)</f>
        <v>0</v>
      </c>
      <c r="AX436" s="133">
        <f>IF(AND($B436=" ",$K436=AX$3),$O436,0)</f>
        <v>0</v>
      </c>
      <c r="AY436" s="135">
        <f>IF(AND($B436=" ",$K436=AY$3),$O436,0)</f>
        <v>0</v>
      </c>
      <c r="AZ436" s="136">
        <f>IF(AND($B436=" ",$K436=AZ$3),$O436,0)</f>
        <v>0</v>
      </c>
      <c r="BA436" s="136">
        <f>IF(AND($B436=" ",$K436=BA$3),$O436,0)</f>
        <v>0</v>
      </c>
      <c r="BB436" s="136">
        <f>IF(AND($B436=" ",$K436=BB$3),$O436,0)</f>
        <v>0</v>
      </c>
      <c r="BC436" s="137">
        <f>IF(AND($B436=" ",$K436=BC$3),$O436,0)</f>
        <v>0</v>
      </c>
      <c r="BD436" s="133">
        <f>IF(AND($B436=" ",$K436=BD$3),$O436,0)</f>
        <v>0</v>
      </c>
      <c r="BE436" s="134">
        <f>IF(AND($B436=" ",$K436=BE$3),$O436,0)</f>
        <v>0</v>
      </c>
      <c r="BF436" s="132">
        <f>IF($K436=BF$3,IF($C436="X",0,$O436),0)</f>
        <v>0</v>
      </c>
      <c r="BG436" s="133">
        <f>IF($K436=BG$3,IF($C436="X",0,$O436),0)</f>
        <v>0</v>
      </c>
      <c r="BH436" s="133">
        <f>IF($K436=BH$3,IF($C436="X",0,$O436),0)</f>
        <v>0</v>
      </c>
      <c r="BI436" s="133">
        <f>IF($K436=BI$3,IF($C436="X",0,$O436),0)</f>
        <v>0</v>
      </c>
      <c r="BJ436" s="133">
        <f>IF($K436=BJ$3,IF($C436="X",0,$O436),0)</f>
        <v>8.1</v>
      </c>
      <c r="BK436" s="133">
        <f>IF($K436=BK$3,IF($C436="X",0,$O436),0)</f>
        <v>0</v>
      </c>
      <c r="BL436" s="133">
        <f>IF($K436=BL$3,IF($C436="X",0,$O436),0)</f>
        <v>0</v>
      </c>
      <c r="BM436" s="135">
        <f>IF($K436=BM$3,IF($C436="X",0,$O436),0)</f>
        <v>0</v>
      </c>
      <c r="BN436" s="136">
        <f>IF($K436=BN$3,IF($C436="X",0,$O436),0)</f>
        <v>0</v>
      </c>
      <c r="BO436" s="136">
        <f>IF($K436=BO$3,IF($C436="X",0,$O436),0)</f>
        <v>0</v>
      </c>
      <c r="BP436" s="136">
        <f>IF($K436=BP$3,IF($C436="X",0,$O436),0)</f>
        <v>0</v>
      </c>
      <c r="BQ436" s="137">
        <f>IF($K436=BQ$3,IF($C436="X",0,$O436),0)</f>
        <v>0</v>
      </c>
      <c r="BR436" s="134">
        <f>IF($K436=BR$3,IF($C436="X",0,$O436),0)</f>
        <v>0</v>
      </c>
      <c r="BS436" s="170">
        <f>IF($B436="LOSS",IF(AND($K436=BS$3,$C436="L"),-$O436,0)+IF(AND($K437=BS$3,$C437="L"),-$O437,0)+IF(AND($K438=BS$3,$C438="L"),-$O438,0),IF(OR(AND($K436=BS$3,OR($C436="W",$C436="1/2W")),AND($K437=BS$3,OR($C437="W",$C437="1/2W")),AND($K438=BS$3,OR($C438="W",$C438="1/2W"))),$S436,0))</f>
        <v>0</v>
      </c>
      <c r="BT436" s="272">
        <f>IF($B436="LOSS",IF(AND($K436=BT$3,$C436="L"),-$O436,0)+IF(AND($K437=BT$3,$C437="L"),-$O437,0)+IF(AND($K437=BT$3,$C438="L"),-$O438,0),IF(OR(AND($K437=BT$3,OR($C436="W",$C436="1/2W")),AND($K437=BT$3,OR($C437="W",$C437="1/2W")),AND($K437=BT$3,OR($C438="W",$C438="1/2W"))),$S436,0))</f>
        <v>1.16</v>
      </c>
      <c r="BU436" s="136">
        <f>IF($B436="LOSS",IF(AND($K436=BU$3,$C436="L"),-$O436,0)+IF(AND($K437=BU$3,$C437="L"),-$O437,0)+IF(AND($K437=BU$3,$C438="L"),-$O438,0),IF(OR(AND($K437=BU$3,OR($C436="W",$C436="1/2W")),AND($K437=BU$3,OR($C437="W",$C437="1/2W")),AND($K437=BU$3,OR($C438="W",$C438="1/2W"))),$S436,0))</f>
        <v>0</v>
      </c>
      <c r="BV436" s="136">
        <f>IF($B436="LOSS",IF(AND($K436=BV$3,$C436="L"),-$O436,0)+IF(AND($K437=BV$3,$C437="L"),-$O437,0)+IF(AND($K438=BV$3,$C438="L"),-$O438,0),IF(OR(AND($K436=BV$3,OR($C436="W",$C436="1/2W")),AND($K437=BV$3,OR($C437="W",$C437="1/2W")),AND($K438=BV$3,OR($C438="W",$C438="1/2W"))),$S436,0))</f>
        <v>0</v>
      </c>
      <c r="BW436" s="136">
        <f>IF($B436="LOSS",IF(AND($K436=BW$3,$C436="L"),-$O436,0)+IF(AND($K437=BW$3,$C437="L"),-$O437,0)+IF(AND($K438=BW$3,$C438="L"),-$O438,0),IF(OR(AND($K436=BW$3,OR($C436="W",$C436="1/2W")),AND($K437=BW$3,OR($C437="W",$C437="1/2W")),AND($K438=BW$3,OR($C438="W",$C438="1/2W"))),$S436,0))</f>
        <v>0</v>
      </c>
      <c r="BX436" s="136">
        <f>IF($B436="LOSS",IF(AND($K436=BX$3,$C436="L"),-$O436,0)+IF(AND($K437=BX$3,$C437="L"),-$O437,0)+IF(AND($K438=BX$3,$C438="L"),-$O438,0),IF(OR(AND($K436=BX$3,OR($C436="W",$C436="1/2W")),AND($K437=BX$3,OR($C437="W",$C437="1/2W")),AND($K438=BX$3,OR($C438="W",$C438="1/2W"))),$S436,0))</f>
        <v>0</v>
      </c>
      <c r="BY436" s="136">
        <f>IF($B436="LOSS",IF(AND($K436=BY$3,$C436="L"),-$O436,0)+IF(AND($K437=BY$3,$C437="L"),-$O437,0)+IF(AND($K438=BY$3,$C438="L"),-$O438,0),IF(OR(AND($K436=BY$3,OR($C436="W",$C436="1/2W")),AND($K437=BY$3,OR($C437="W",$C437="1/2W")),AND($K438=BY$3,OR($C438="W",$C438="1/2W"))),$S436,0))</f>
        <v>0</v>
      </c>
      <c r="BZ436" s="136">
        <f>IF($B436="LOSS",IF(AND($K436=BZ$3,$C436="L"),-$O436,0)+IF(AND($K437=BZ$3,$C437="L"),-$O437,0)+IF(AND($K438=BZ$3,$C438="L"),-$O438,0),IF(OR(AND($K436=BZ$3,OR($C436="W",$C436="1/2W")),AND($K437=BZ$3,OR($C437="W",$C437="1/2W")),AND($K438=BZ$3,OR($C438="W",$C438="1/2W"))),$S436,0))</f>
        <v>0</v>
      </c>
      <c r="CA436" s="136">
        <f>IF($B436="LOSS",IF(AND($K436=CA$3,$C436="L"),-$O436,0)+IF(AND($K437=CA$3,$C437="L"),-$O437,0)+IF(AND($K438=CA$3,$C438="L"),-$O438,0),IF(OR(AND($K436=CA$3,OR($C436="W",$C436="1/2W")),AND($K437=CA$3,OR($C437="W",$C437="1/2W")),AND($K438=CA$3,OR($C438="W",$C438="1/2W"))),$S436,0))</f>
        <v>0</v>
      </c>
      <c r="CB436" s="136">
        <f>IF($B436="LOSS",IF(AND($K436=CB$3,$C436="L"),-$O436,0)+IF(AND($K437=CB$3,$C437="L"),-$O437,0)+IF(AND($K438=CB$3,$C438="L"),-$O438,0),IF(OR(AND($K436=CB$3,OR($C436="W",$C436="1/2W")),AND($K437=CB$3,OR($C437="W",$C437="1/2W")),AND($K438=CB$3,OR($C438="W",$C438="1/2W"))),$S436,0))</f>
        <v>0</v>
      </c>
      <c r="CC436" s="136">
        <f>IF($B436="LOSS",IF(AND($K436=CC$3,$C436="L"),-$O436,0)+IF(AND($K437=CC$3,$C437="L"),-$O437,0)+IF(AND($K438=CC$3,$C438="L"),-$O438,0),IF(OR(AND($K436=CC$3,OR($C436="W",$C436="1/2W")),AND($K437=CC$3,OR($C437="W",$C437="1/2W")),AND($K438=CC$3,OR($C438="W",$C438="1/2W"))),$S436,0))</f>
        <v>0</v>
      </c>
      <c r="CD436" s="137">
        <f>IF($B436="LOSS",IF(AND($K436=CD$3,$C436="L"),-$O436,0)+IF(AND($K437=CD$3,$C437="L"),-$O437,0)+IF(AND($K438=CD$3,$C438="L"),-$O438,0),IF(OR(AND($K436=CD$3,OR($C436="W",$C436="1/2W")),AND($K437=CD$3,OR($C437="W",$C437="1/2W")),AND($K438=CD$3,OR($C438="W",$C438="1/2W"))),$S436,0))</f>
        <v>0</v>
      </c>
      <c r="CE436" s="134">
        <f>IF($B436="LOSS",IF(AND($K436=CE$3,$C436="L"),-$O436,0)+IF(AND($K437=CE$3,$C437="L"),-$O437,0)+IF(AND($K438=CE$3,$C438="L"),-$O438,0),IF(OR(AND($K436=CE$3,OR($C436="W",$C436="1/2W")),AND($K437=CE$3,OR($C437="W",$C437="1/2W")),AND($K438=CE$3,OR($C438="W",$C438="1/2W"))),$S436,0))</f>
        <v>0</v>
      </c>
      <c r="CF436" s="273">
        <f>IF(CF$3=$K436,IF($C436="W",1,IF($C436="1/2W",0.5,0)),0)</f>
        <v>0</v>
      </c>
      <c r="CG436" s="274">
        <f>IF(CF$3=$K436,IF($C436="L",1,IF($C436="1/2L",0.5,0)),0)</f>
        <v>0</v>
      </c>
      <c r="CH436" s="274">
        <f>IF(CH$3=$K436,IF($C436="W",1,IF($C436="1/2W",0.5,0)),0)</f>
        <v>0</v>
      </c>
      <c r="CI436" s="274">
        <f>IF(CH$3=$K436,IF($C436="L",1,IF($C436="1/2L",0.5,0)),0)</f>
        <v>0</v>
      </c>
      <c r="CJ436" s="274">
        <f>IF(CJ$3=$K436,IF($C436="W",1,IF($C436="1/2W",0.5,0)),0)</f>
        <v>0</v>
      </c>
      <c r="CK436" s="274">
        <f>IF(CJ$3=$K436,IF($C436="L",1,IF($C436="1/2L",0.5,0)),0)</f>
        <v>0</v>
      </c>
      <c r="CL436" s="274">
        <f>IF(CL$3=$K436,IF($C436="W",1,IF($C436="1/2W",0.5,0)),0)</f>
        <v>0</v>
      </c>
      <c r="CM436" s="274">
        <f>IF(CL$3=$K436,IF($C436="L",1,IF($C436="1/2L",0.5,0)),0)</f>
        <v>0</v>
      </c>
      <c r="CN436" s="274">
        <f>IF(CN$3=$K436,IF($C436="W",1,IF($C436="1/2W",0.5,0)),0)</f>
        <v>0</v>
      </c>
      <c r="CO436" s="274">
        <f>IF(CN$3=$K436,IF($C436="L",1,IF($C436="1/2L",0.5,0)),0)</f>
        <v>1</v>
      </c>
      <c r="CP436" s="274">
        <f>IF(CP$3=$K436,IF($C436="W",1,IF($C436="1/2W",0.5,0)),0)</f>
        <v>0</v>
      </c>
      <c r="CQ436" s="274">
        <f>IF(CP$3=$K436,IF($C436="L",1,IF($C436="1/2L",0.5,0)),0)</f>
        <v>0</v>
      </c>
      <c r="CR436" s="274">
        <f>IF(CR$3=$K436,IF($C436="W",1,IF($C436="1/2W",0.5,0)),0)</f>
        <v>0</v>
      </c>
      <c r="CS436" s="274">
        <f>IF(CR$3=$K436,IF($C436="L",1,IF($C436="1/2L",0.5,0)),0)</f>
        <v>0</v>
      </c>
      <c r="CT436" s="145">
        <f>IF(CT$3=$K436,IF($C436="W",1,IF($C436="1/2W",0.5,0)),0)</f>
        <v>0</v>
      </c>
      <c r="CU436" s="146">
        <f>IF(CT$3=$K436,IF($C436="L",1,IF($C436="1/2L",0.5,0)),0)</f>
        <v>0</v>
      </c>
      <c r="CV436" s="146">
        <f>IF(CV$3=$K436,IF($C436="W",1,IF($C436="1/2W",0.5,0)),0)</f>
        <v>0</v>
      </c>
      <c r="CW436" s="146">
        <f>IF(CV$3=$K436,IF($C436="L",1,IF($C436="1/2L",0.5,0)),0)</f>
        <v>0</v>
      </c>
      <c r="CX436" s="146">
        <f>IF(CX$3=$K436,IF($C436="W",1,IF($C436="1/2W",0.5,0)),0)</f>
        <v>0</v>
      </c>
      <c r="CY436" s="146">
        <f>IF(CX$3=$K436,IF($C436="L",1,IF($C436="1/2L",0.5,0)),0)</f>
        <v>0</v>
      </c>
      <c r="CZ436" s="146">
        <f>IF(CZ$3=$K436,IF($C436="W",1,IF($C436="1/2W",0.5,0)),0)</f>
        <v>0</v>
      </c>
      <c r="DA436" s="146">
        <f>IF(CZ$3=$K436,IF($C436="L",1,IF($C436="1/2L",0.5,0)),0)</f>
        <v>0</v>
      </c>
      <c r="DB436" s="146">
        <f>IF(DB$3=$K436,IF($C436="W",1,IF($C436="1/2W",0.5,0)),0)</f>
        <v>0</v>
      </c>
      <c r="DC436" s="146">
        <f>IF(DB$3=$K436,IF($C436="L",1,IF($C436="1/2L",0.5,0)),0)</f>
        <v>0</v>
      </c>
      <c r="DD436" s="146">
        <f>IF(DD$3=$K436,IF($C436="W",1,IF($C436="1/2W",0.5,0)),0)</f>
        <v>0</v>
      </c>
      <c r="DE436" s="147">
        <f>IF(DD$3=$K436,IF($C436="L",1,IF($C436="1/2L",0.5,0)),0)</f>
        <v>0</v>
      </c>
      <c r="DF436" s="143">
        <f>IF(AND(L436&lt;DF$3,$C436="W"),1+DF435,DF435)</f>
        <v>14</v>
      </c>
      <c r="DG436" s="133">
        <f>IF(DF436&gt;DF435,L436+DG435,DG435)</f>
        <v>18.548</v>
      </c>
      <c r="DH436" s="146">
        <f>IF(AND(L436&gt;DH$3,$C436="W"),1+DH435,0+DH435)</f>
        <v>10</v>
      </c>
      <c r="DI436" s="133">
        <f>IF(DH436&gt;DH435,L436+DI435,DI435)</f>
        <v>55.13</v>
      </c>
      <c r="DJ436" t="s" s="304">
        <f>IF($D436="","",$D436)</f>
        <v>342</v>
      </c>
      <c r="DK436" s="146">
        <f>IF(AND($B436=" ",$D436&lt;&gt;""),1,0)</f>
        <v>0</v>
      </c>
    </row>
    <row r="437" ht="14.55" customHeight="1">
      <c r="A437" s="107"/>
      <c r="B437" s="108"/>
      <c r="C437" t="s" s="109">
        <v>56</v>
      </c>
      <c r="D437" s="110"/>
      <c r="E437" s="111"/>
      <c r="F437" s="113"/>
      <c r="G437" s="252"/>
      <c r="H437" s="114"/>
      <c r="I437" t="s" s="275">
        <v>67</v>
      </c>
      <c r="J437" s="276">
        <f>IF(OR(I436="TO",I436="TU",I436="TO1",I436="TU1",I436="TO2",I436="TU2"),J436,IF(OR(I436="AH1",I436="AH2"),IF(OR(I437="AH1",I437="AH2"),-J436,IF(OR(I437="EH1",I437="EH2"),-J436+0.5,"")),IF(OR(I436="EH1",I436="EH2"),IF(OR(I437="AH1",I437="AH2"),-J436+0.5,IF(OR(I437="EH1",I437="EH2"),-J436+1,"")),IF(AND(OR(I436="DNB1",I436="DNB2"),OR(I437="AH1",I437="AH2")),0,IF(AND(I436="Not ScoreBoth",OR(I437="TO1",I437="TO2")),0.5,"")))))</f>
        <v>4.5</v>
      </c>
      <c r="K437" t="s" s="117">
        <v>38</v>
      </c>
      <c r="L437" s="277">
        <v>2.25</v>
      </c>
      <c r="M437" s="278">
        <v>7.41</v>
      </c>
      <c r="N437" s="120"/>
      <c r="O437" s="121">
        <f>IF(OR(AE436="",AE437=""),"",ROUND(IF(L438&gt;0,IF(M437&gt;0,M437,IF(M436&gt;0,IF(N436=TRUE,ROUND((M436*AE437)/AE436,0),(M436*AE437)/AE436),IF(M437&gt;0,ROUND(M437,IF(N436=0,2,IF(N436=0.1,1,0))),IF(M438&gt;0,ROUND(O438*AE437/AE438,IF(N436=0,2,IF(N436=0.1,1,0))),0)))),IF(M437&gt;0,M437,ROUND((M436*AE437)/AE436,IF(N436=0,2,IF(N436=0.1,1,0))))),2))</f>
        <v>7.41</v>
      </c>
      <c r="P437" s="122">
        <f>IF(OR(L437="",O437=""),"",IF($C437="1/2W",O437/2+O437/2*L437,IF($C437="1/2L",O437/2,IF(I437="Lay",((O437*(L437/(L437-1)))-O437)*(1-_xlfn.XLOOKUP(K437,'Janeiro 2023 - Valor Real'!A3:A15,'Janeiro 2023 - Valor Real'!C3:C15,0))+O437,(O437*L437-O437)*(1-_xlfn.XLOOKUP(K437,'Janeiro 2023 - Valor Real'!A3:A15,'Janeiro 2023 - Valor Real'!C3:C15,0))+O437))))</f>
        <v>16.6725</v>
      </c>
      <c r="Q437" s="279">
        <f>IF(K437="","",IF(_xlfn.XLOOKUP(K437,K$120:K216,DJ$120:DJ216,0,,-1)=DJ437,_xlfn.XLOOKUP(K437,K$120:K216,Q$120:Q216,1,,-1)+1,1))</f>
        <v>1</v>
      </c>
      <c r="R437" s="280">
        <f>IF(K437="","",_xlfn.XLOOKUP(K437,K$120:K216,R$120:R216,0,,-1)+IF($C437=" ",1,0))</f>
        <v>0</v>
      </c>
      <c r="S437" s="125"/>
      <c r="T437" s="126"/>
      <c r="U437" s="126"/>
      <c r="V437" s="224"/>
      <c r="W437" s="126"/>
      <c r="X437" s="127"/>
      <c r="Y437" s="128"/>
      <c r="Z437" s="129"/>
      <c r="AA437" s="129"/>
      <c r="AB437" s="129"/>
      <c r="AC437" s="129"/>
      <c r="AD437" s="130"/>
      <c r="AE437" s="131">
        <f>IF(L437="","",IF(L438&gt;0,(SUM(((L436-1)*(1-_xlfn.XLOOKUP(K436,'Janeiro 2023 - Valor Real'!A3:A15,'Janeiro 2023 - Valor Real'!C3:C15,0))+1),((L437-1)*(1-_xlfn.XLOOKUP(K437,'Janeiro 2023 - Valor Real'!A3:A15,'Janeiro 2023 - Valor Real'!C3:C15,0))+1),((L438-1)*(1-_xlfn.XLOOKUP(K438,'Janeiro 2023 - Valor Real'!A3:A15,'Janeiro 2023 - Valor Real'!C3:C15,0))+1))/((L437-1)*(1-_xlfn.XLOOKUP(K437,'Janeiro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Real'!C3:C15,0))+1))/((L436-1)*(1-_xlfn.XLOOKUP(K436,'Janeiro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Real'!C3:C15,0))+1))/((L437-1)*(1-_xlfn.XLOOKUP(K437,'Janeiro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Real'!C3:C15,0))+1))/((L438-1)*(1-_xlfn.XLOOKUP(K438,'Janeiro 2023 - Valor Real'!A3:A15,'Janeiro 2023 - Valor Real'!C3:C15,0))+1)),IF(I437="Lay",IF(I436="Lay",((L436/(L436-1)-1)*(1-_xlfn.XLOOKUP(K436,'Janeiro 2023 - Valor Real'!A3:A15,'Janeiro 2023 - Valor Real'!C3:C15,0))+1)/(((L436/(L436-1)-1)*(1-_xlfn.XLOOKUP(K436,'Janeiro 2023 - Valor Real'!A3:A15,'Janeiro 2023 - Valor Real'!C3:C15,0))+1)+((L437/(L437-1)-1)*(1-_xlfn.XLOOKUP(K437,'Janeiro 2023 - Valor Real'!A3:A15,'Janeiro 2023 - Valor Real'!C3:C15,0))+1)),((L436-1)*(1-_xlfn.XLOOKUP(K436,'Janeiro 2023 - Valor Real'!A3:A15,'Janeiro 2023 - Valor Real'!C3:C15,0))+1)/(((L436-1)*(1-_xlfn.XLOOKUP(K436,'Janeiro 2023 - Valor Real'!A3:A15,'Janeiro 2023 - Valor Real'!C3:C15,0))+1)+((L437/(L437-1)-1)*(1-_xlfn.XLOOKUP(K437,'Janeiro 2023 - Valor Real'!A3:A15,'Janeiro 2023 - Valor Real'!C3:C15,0))+1))),IF(I436="Lay",((L436/(L436-1)-1)*(1-_xlfn.XLOOKUP(K436,'Janeiro 2023 - Valor Real'!A3:A15,'Janeiro 2023 - Valor Real'!C3:C15,0))+1)/((((L436/(L436-1)-1)*(1-_xlfn.XLOOKUP(K436,'Janeiro 2023 - Valor Real'!A3:A15,'Janeiro 2023 - Valor Real'!C3:C15,0))+1))+((L437-1)*(1-_xlfn.XLOOKUP(K437,'Janeiro 2023 - Valor Real'!A3:A15,'Janeiro 2023 - Valor Real'!C3:C15,0))+1)),((L436-1)*(1-_xlfn.XLOOKUP(K436,'Janeiro 2023 - Valor Real'!A3:A15,'Janeiro 2023 - Valor Real'!C3:C15,0))+1)/(((L436-1)*(1-_xlfn.XLOOKUP(K436,'Janeiro 2023 - Valor Real'!A3:A15,'Janeiro 2023 - Valor Real'!C3:C15,0))+1)+((L437-1)*(1-_xlfn.XLOOKUP(K437,'Janeiro 2023 - Valor Real'!A3:A15,'Janeiro 2023 - Valor Real'!C3:C15,0))+1))))))</f>
        <v>0.477958236658933</v>
      </c>
      <c r="AF437" s="132">
        <f>IF($K437=AF$3,ROUND(IF(OR($C437="W",$C437="1/2W",$C437="1/2L"),$P437-$O437,IF($C437="X",0,-$O437)),2),0)</f>
        <v>0</v>
      </c>
      <c r="AG437" s="133">
        <f>IF($K437=AG$3,ROUND(IF(OR($C437="W",$C437="1/2W",$C437="1/2L"),$P437-$O437,IF($C437="X",0,-$O437)),2),0)</f>
        <v>9.26</v>
      </c>
      <c r="AH437" s="133">
        <f>IF($K437=AH$3,ROUND(IF(OR($C437="W",$C437="1/2W",$C437="1/2L"),$P437-$O437,IF($C437="X",0,-$O437)),2),0)</f>
        <v>0</v>
      </c>
      <c r="AI437" s="133">
        <f>IF($K437=AI$3,ROUND(IF(OR($C437="W",$C437="1/2W",$C437="1/2L"),$P437-$O437,IF($C437="X",0,-$O437)),2),0)</f>
        <v>0</v>
      </c>
      <c r="AJ437" s="133">
        <f>IF($K437=AJ$3,ROUND(IF(OR($C437="W",$C437="1/2W",$C437="1/2L"),$P437-$O437,IF($C437="X",0,-$O437)),2),0)</f>
        <v>0</v>
      </c>
      <c r="AK437" s="133">
        <f>IF($K437=AK$3,ROUND(IF(OR($C437="W",$C437="1/2W",$C437="1/2L"),$P437-$O437,IF($C437="X",0,-$O437)),2),0)</f>
        <v>0</v>
      </c>
      <c r="AL437" s="133">
        <f>IF($K437=AL$3,ROUND(IF(OR($C437="W",$C437="1/2W",$C437="1/2L"),$P437-$O437,IF($C437="X",0,-$O437)),2),0)</f>
        <v>0</v>
      </c>
      <c r="AM437" s="133">
        <f>IF($K437=AM$3,ROUND(IF(OR($C437="W",$C437="1/2W",$C437="1/2L"),$P437-$O437,IF($C437="X",0,-$O437)),2),0)</f>
        <v>0</v>
      </c>
      <c r="AN437" s="133">
        <f>IF($K437=AN$3,ROUND(IF(OR($C437="W",$C437="1/2W",$C437="1/2L"),$P437-$O437,IF($C437="X",0,-$O437)),2),0)</f>
        <v>0</v>
      </c>
      <c r="AO437" s="133">
        <f>IF($K437=AO$3,ROUND(IF(OR($C437="W",$C437="1/2W",$C437="1/2L"),$P437-$O437,IF($C437="X",0,-$O437)),2),0)</f>
        <v>0</v>
      </c>
      <c r="AP437" s="133">
        <f>IF($K437=AP$3,ROUND(IF(OR($C437="W",$C437="1/2W",$C437="1/2L"),$P437-$O437,IF($C437="X",0,-$O437)),2),0)</f>
        <v>0</v>
      </c>
      <c r="AQ437" s="133">
        <f>IF($K437=AQ$3,ROUND(IF(OR($C437="W",$C437="1/2W",$C437="1/2L"),$P437-$O437,IF($C437="X",0,-$O437)),2),0)</f>
        <v>0</v>
      </c>
      <c r="AR437" s="134">
        <f>IF($K437=AR$3,ROUND(IF(OR($C437="W",$C437="1/2W",$C437="1/2L"),$P437-$O437,IF($C437="X",0,-$O437)),2),0)</f>
        <v>0</v>
      </c>
      <c r="AS437" s="132">
        <f>IF(AND($B436=" ",$K437=AS$3),$O437,0)</f>
        <v>0</v>
      </c>
      <c r="AT437" s="133">
        <f>IF(AND($B436=" ",K437=AT$3),$O437,0)</f>
        <v>0</v>
      </c>
      <c r="AU437" s="133">
        <f>IF(AND($B436=" ",$K437=AU$3),$O437,0)</f>
        <v>0</v>
      </c>
      <c r="AV437" s="133">
        <f>IF(AND($B436=" ",$K437=AV$3),$O437,0)</f>
        <v>0</v>
      </c>
      <c r="AW437" s="133">
        <f>IF(AND($B436=" ",$K437=AW$3),$O437,0)</f>
        <v>0</v>
      </c>
      <c r="AX437" s="133">
        <f>IF(AND($B436=" ",$K437=AX$3),$O437,0)</f>
        <v>0</v>
      </c>
      <c r="AY437" s="135">
        <f>IF(AND($B436=" ",$K437=AY$3),$O437,0)</f>
        <v>0</v>
      </c>
      <c r="AZ437" s="136">
        <f>IF(AND($B436=" ",$K437=AZ$3),$O437,0)</f>
        <v>0</v>
      </c>
      <c r="BA437" s="136">
        <f>IF(AND($B436=" ",$K437=BA$3),$O437,0)</f>
        <v>0</v>
      </c>
      <c r="BB437" s="136">
        <f>IF(AND($B436=" ",$K437=BB$3),$O437,0)</f>
        <v>0</v>
      </c>
      <c r="BC437" s="137">
        <f>IF(AND($B436=" ",$K437=BC$3),$O437,0)</f>
        <v>0</v>
      </c>
      <c r="BD437" s="133">
        <f>IF(AND($B436=" ",$K437=BD$3),$O437,0)</f>
        <v>0</v>
      </c>
      <c r="BE437" s="134">
        <f>IF(AND($B436=" ",$K437=BE$3),$O437,0)</f>
        <v>0</v>
      </c>
      <c r="BF437" s="132">
        <f>IF($K437=BF$3,IF($C437="X",0,$O437),0)</f>
        <v>0</v>
      </c>
      <c r="BG437" s="281">
        <f>IF($K437=BG$3,IF($C437="X",0,$O437),0)</f>
        <v>7.41</v>
      </c>
      <c r="BH437" s="133">
        <f>IF($K437=BH$3,IF($C437="X",0,$O437),0)</f>
        <v>0</v>
      </c>
      <c r="BI437" s="133">
        <f>IF($K437=BI$3,IF($C437="X",0,$O437),0)</f>
        <v>0</v>
      </c>
      <c r="BJ437" s="133">
        <f>IF($K437=BJ$3,IF($C437="X",0,$O437),0)</f>
        <v>0</v>
      </c>
      <c r="BK437" s="133">
        <f>IF($K437=BK$3,IF($C437="X",0,$O437),0)</f>
        <v>0</v>
      </c>
      <c r="BL437" s="133">
        <f>IF($K437=BL$3,IF($C437="X",0,$O437),0)</f>
        <v>0</v>
      </c>
      <c r="BM437" s="135">
        <f>IF($K437=BM$3,IF($C437="X",0,$O437),0)</f>
        <v>0</v>
      </c>
      <c r="BN437" s="136">
        <f>IF($K437=BN$3,IF($C437="X",0,$O437),0)</f>
        <v>0</v>
      </c>
      <c r="BO437" s="136">
        <f>IF($K437=BO$3,IF($C437="X",0,$O437),0)</f>
        <v>0</v>
      </c>
      <c r="BP437" s="136">
        <f>IF($K437=BP$3,IF($C437="X",0,$O437),0)</f>
        <v>0</v>
      </c>
      <c r="BQ437" s="137">
        <f>IF($K437=BQ$3,IF($C437="X",0,$O437),0)</f>
        <v>0</v>
      </c>
      <c r="BR437" s="134">
        <f>IF($K437=BR$3,IF($C437="X",0,$O437),0)</f>
        <v>0</v>
      </c>
      <c r="BS437" s="282"/>
      <c r="BT437" s="283"/>
      <c r="BU437" s="140"/>
      <c r="BV437" s="283"/>
      <c r="BW437" s="140"/>
      <c r="BX437" s="140"/>
      <c r="BY437" s="140"/>
      <c r="BZ437" s="283"/>
      <c r="CA437" s="140"/>
      <c r="CB437" s="140"/>
      <c r="CC437" s="140"/>
      <c r="CD437" s="141"/>
      <c r="CE437" s="142"/>
      <c r="CF437" s="284">
        <f>IF(CF$3=$K437,IF($C437="W",1,IF($C437="1/2W",0.5,0)),0)</f>
        <v>0</v>
      </c>
      <c r="CG437" s="285">
        <f>IF(CF$3=$K437,IF($C437="L",1,IF($C437="1/2L",0.5,0)),0)</f>
        <v>0</v>
      </c>
      <c r="CH437" s="285">
        <f>IF(CH$3=$K437,IF($C437="W",1,IF($C437="1/2W",0.5,0)),0)</f>
        <v>1</v>
      </c>
      <c r="CI437" s="285">
        <f>IF(CH$3=$K437,IF($C437="L",1,IF($C437="1/2L",0.5,0)),0)</f>
        <v>0</v>
      </c>
      <c r="CJ437" s="285">
        <f>IF(CJ$3=$K437,IF($C437="W",1,IF($C437="1/2W",0.5,0)),0)</f>
        <v>0</v>
      </c>
      <c r="CK437" s="285">
        <f>IF(CJ$3=$K437,IF($C437="L",1,IF($C437="1/2L",0.5,0)),0)</f>
        <v>0</v>
      </c>
      <c r="CL437" s="285">
        <f>IF(CL$3=$K437,IF($C437="W",1,IF($C437="1/2W",0.5,0)),0)</f>
        <v>0</v>
      </c>
      <c r="CM437" s="285">
        <f>IF(CL$3=$K437,IF($C437="L",1,IF($C437="1/2L",0.5,0)),0)</f>
        <v>0</v>
      </c>
      <c r="CN437" s="285">
        <f>IF(CN$3=$K437,IF($C437="W",1,IF($C437="1/2W",0.5,0)),0)</f>
        <v>0</v>
      </c>
      <c r="CO437" s="285">
        <f>IF(CN$3=$K437,IF($C437="L",1,IF($C437="1/2L",0.5,0)),0)</f>
        <v>0</v>
      </c>
      <c r="CP437" s="285">
        <f>IF(CP$3=$K437,IF($C437="W",1,IF($C437="1/2W",0.5,0)),0)</f>
        <v>0</v>
      </c>
      <c r="CQ437" s="285">
        <f>IF(CP$3=$K437,IF($C437="L",1,IF($C437="1/2L",0.5,0)),0)</f>
        <v>0</v>
      </c>
      <c r="CR437" s="285">
        <f>IF(CR$3=$K437,IF($C437="W",1,IF($C437="1/2W",0.5,0)),0)</f>
        <v>0</v>
      </c>
      <c r="CS437" s="285">
        <f>IF(CR$3=$K437,IF($C437="L",1,IF($C437="1/2L",0.5,0)),0)</f>
        <v>0</v>
      </c>
      <c r="CT437" s="145">
        <f>IF(CT$3=$K437,IF($C437="W",1,IF($C437="1/2W",0.5,0)),0)</f>
        <v>0</v>
      </c>
      <c r="CU437" s="146">
        <f>IF(CT$3=$K437,IF($C437="L",1,IF($C437="1/2L",0.5,0)),0)</f>
        <v>0</v>
      </c>
      <c r="CV437" s="146">
        <f>IF(CV$3=$K437,IF($C437="W",1,IF($C437="1/2W",0.5,0)),0)</f>
        <v>0</v>
      </c>
      <c r="CW437" s="146">
        <f>IF(CV$3=$K437,IF($C437="L",1,IF($C437="1/2L",0.5,0)),0)</f>
        <v>0</v>
      </c>
      <c r="CX437" s="146">
        <f>IF(CX$3=$K437,IF($C437="W",1,IF($C437="1/2W",0.5,0)),0)</f>
        <v>0</v>
      </c>
      <c r="CY437" s="146">
        <f>IF(CX$3=$K437,IF($C437="L",1,IF($C437="1/2L",0.5,0)),0)</f>
        <v>0</v>
      </c>
      <c r="CZ437" s="146">
        <f>IF(CZ$3=$K437,IF($C437="W",1,IF($C437="1/2W",0.5,0)),0)</f>
        <v>0</v>
      </c>
      <c r="DA437" s="146">
        <f>IF(CZ$3=$K437,IF($C437="L",1,IF($C437="1/2L",0.5,0)),0)</f>
        <v>0</v>
      </c>
      <c r="DB437" s="146">
        <f>IF(DB$3=$K437,IF($C437="W",1,IF($C437="1/2W",0.5,0)),0)</f>
        <v>0</v>
      </c>
      <c r="DC437" s="146">
        <f>IF(DB$3=$K437,IF($C437="L",1,IF($C437="1/2L",0.5,0)),0)</f>
        <v>0</v>
      </c>
      <c r="DD437" s="146">
        <f>IF(DD$3=$K437,IF($C437="W",1,IF($C437="1/2W",0.5,0)),0)</f>
        <v>0</v>
      </c>
      <c r="DE437" s="147">
        <f>IF(DD$3=$K437,IF($C437="L",1,IF($C437="1/2L",0.5,0)),0)</f>
        <v>0</v>
      </c>
      <c r="DF437" s="143">
        <f>IF(AND(L437&lt;DF$3,$C437="W"),1+DF436,DF436)</f>
        <v>14</v>
      </c>
      <c r="DG437" s="133">
        <f>IF(DF437&gt;DF436,L437+DG436,DG436)</f>
        <v>18.548</v>
      </c>
      <c r="DH437" s="146">
        <f>IF(AND(L437&gt;DH$3,$C437="W"),1+DH436,0+DH436)</f>
        <v>10</v>
      </c>
      <c r="DI437" s="133">
        <f>IF(DH437&gt;DH436,L437+DI436,DI436)</f>
        <v>55.13</v>
      </c>
      <c r="DJ437" t="s" s="304">
        <f>IF($D436="","",$D436)</f>
        <v>342</v>
      </c>
      <c r="DK437" s="286"/>
    </row>
    <row r="438" ht="14.55" customHeight="1">
      <c r="A438" s="149"/>
      <c r="B438" s="150"/>
      <c r="C438" t="s" s="151">
        <v>58</v>
      </c>
      <c r="D438" s="152"/>
      <c r="E438" s="153"/>
      <c r="F438" s="155"/>
      <c r="G438" s="252"/>
      <c r="H438" s="156"/>
      <c r="I438" s="287"/>
      <c r="J438" s="288"/>
      <c r="K438" s="156"/>
      <c r="L438" s="289"/>
      <c r="M438" s="290"/>
      <c r="N438" s="161"/>
      <c r="O438" t="s" s="162">
        <f>IF(OR(AE436="",AE437=""),"",IF(L438&gt;0,ROUND(IF(M438&gt;0,M438,IF(M436&gt;0,ROUND((M436*AE438)/AE436,IF(N436=0,2,IF(N436=0.1,1,0))),IF(M437&gt;0,ROUND((M437*AE438)/AE437,IF(N436=0,2,IF(N436=0.1,1,0))),IF(M438&gt;0,M438,0)))),2),""))</f>
      </c>
      <c r="P438" t="s" s="163">
        <f>IF(I437="Lay",O437*(L437/(L437-1))-O437,IF(I436="Lay",O436*(L436/(L436-1))-O436,IF(OR(L438="",O438=""),"",IF($C438="1/2W",O438/2+O438/2*L438,IF($C438="1/2L",O438/2,(O438*L438-O438)*(1-_xlfn.XLOOKUP(K438,'Janeiro 2023 - Valor Real'!A3:A15,'Janeiro 2023 - Valor Real'!C3:C15,0))+O438)))))</f>
      </c>
      <c r="Q438" t="s" s="154">
        <f>IF(K438="","",IF(_xlfn.XLOOKUP(K438,K$121:K217,DJ$121:DJ217,0,,-1)=DJ438,_xlfn.XLOOKUP(K438,K$121:K217,Q$121:Q217,1,,-1)+1,1))</f>
      </c>
      <c r="R438" t="s" s="163">
        <f>IF(K438="","",_xlfn.XLOOKUP(K438,K$121:K217,R$121:R217,0,,-1)+IF($C438=" ",1,0))</f>
      </c>
      <c r="S438" s="166"/>
      <c r="T438" s="155"/>
      <c r="U438" s="155"/>
      <c r="V438" s="166"/>
      <c r="W438" s="155"/>
      <c r="X438" s="167"/>
      <c r="Y438" s="128"/>
      <c r="Z438" s="129"/>
      <c r="AA438" s="129"/>
      <c r="AB438" s="129"/>
      <c r="AC438" s="129"/>
      <c r="AD438" s="168"/>
      <c r="AE438" t="s" s="169">
        <f>IF(L438="","",(SUM(((L436-1)*(1-_xlfn.XLOOKUP(K436,'Janeiro 2023 - Valor Real'!A3:A15,'Janeiro 2023 - Valor Real'!C3:C15,0))+1),((L437-1)*(1-_xlfn.XLOOKUP(K437,'Janeiro 2023 - Valor Real'!A3:A15,'Janeiro 2023 - Valor Real'!C3:C15,0))+1),((L438-1)*(1-_xlfn.XLOOKUP(K438,'Janeiro 2023 - Valor Real'!A3:A15,'Janeiro 2023 - Valor Real'!C3:C15,0))+1))/((L438-1)*(1-_xlfn.XLOOKUP(K438,'Janeiro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Real'!C3:C15,0))+1))/((L436-1)*(1-_xlfn.XLOOKUP(K436,'Janeiro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Real'!C3:C15,0))+1))/((L437-1)*(1-_xlfn.XLOOKUP(K437,'Janeiro 2023 - Valor Real'!A3:A15,'Janeiro 2023 - Valor Real'!C3:C15,0))+1)+SUM(((L436-1)*(1-_xlfn.XLOOKUP(K436,'Janeiro 2023 - Valor Real'!A3:A15,'Janeiro 2023 - Valor Real'!C3:C15,0))+1),((L437-1)*(1-_xlfn.XLOOKUP(K437,'Janeiro 2023 - Valor Real'!A3:A15,'Janeiro 2023 - Valor Real'!C3:C15,0))+1),((L438-1)*(1-_xlfn.XLOOKUP(K438,'Janeiro 2023 - Valor Real'!A3:A15,'Janeiro 2023 - Valor Real'!C3:C15,0))+1))/((L438-1)*(1-_xlfn.XLOOKUP(K438,'Janeiro 2023 - Valor Real'!A3:A15,'Janeiro 2023 - Valor Real'!C3:C15,0))+1)))</f>
      </c>
      <c r="AF438" s="132">
        <f>IF($K438=AF$3,ROUND(IF(OR($C438="W",$C438="1/2W",$C438="1/2L"),$P438-$O438,IF($C438="X",0,-$O438)),2),0)</f>
        <v>0</v>
      </c>
      <c r="AG438" s="133">
        <f>IF($K438=AG$3,ROUND(IF(OR($C438="W",$C438="1/2W",$C438="1/2L"),$P438-$O438,IF($C438="X",0,-$O438)),2),0)</f>
        <v>0</v>
      </c>
      <c r="AH438" s="133">
        <f>IF($K438=AH$3,ROUND(IF(OR($C438="W",$C438="1/2W",$C438="1/2L"),$P438-$O438,IF($C438="X",0,-$O438)),2),0)</f>
        <v>0</v>
      </c>
      <c r="AI438" s="133">
        <f>IF($K438=AI$3,ROUND(IF(OR($C438="W",$C438="1/2W",$C438="1/2L"),$P438-$O438,IF($C438="X",0,-$O438)),2),0)</f>
        <v>0</v>
      </c>
      <c r="AJ438" s="133">
        <f>IF($K438=AJ$3,ROUND(IF(OR($C438="W",$C438="1/2W",$C438="1/2L"),$P438-$O438,IF($C438="X",0,-$O438)),2),0)</f>
        <v>0</v>
      </c>
      <c r="AK438" s="133">
        <f>IF($K438=AK$3,ROUND(IF(OR($C438="W",$C438="1/2W",$C438="1/2L"),$P438-$O438,IF($C438="X",0,-$O438)),2),0)</f>
        <v>0</v>
      </c>
      <c r="AL438" s="133">
        <f>IF($K438=AL$3,ROUND(IF(OR($C438="W",$C438="1/2W",$C438="1/2L"),$P438-$O438,IF($C438="X",0,-$O438)),2),0)</f>
        <v>0</v>
      </c>
      <c r="AM438" s="133">
        <f>IF($K438=AM$3,ROUND(IF(OR($C438="W",$C438="1/2W",$C438="1/2L"),$P438-$O438,IF($C438="X",0,-$O438)),2),0)</f>
        <v>0</v>
      </c>
      <c r="AN438" s="133">
        <f>IF($K438=AN$3,ROUND(IF(OR($C438="W",$C438="1/2W",$C438="1/2L"),$P438-$O438,IF($C438="X",0,-$O438)),2),0)</f>
        <v>0</v>
      </c>
      <c r="AO438" s="133">
        <f>IF($K438=AO$3,ROUND(IF(OR($C438="W",$C438="1/2W",$C438="1/2L"),$P438-$O438,IF($C438="X",0,-$O438)),2),0)</f>
        <v>0</v>
      </c>
      <c r="AP438" s="133">
        <f>IF($K438=AP$3,ROUND(IF(OR($C438="W",$C438="1/2W",$C438="1/2L"),$P438-$O438,IF($C438="X",0,-$O438)),2),0)</f>
        <v>0</v>
      </c>
      <c r="AQ438" s="133">
        <f>IF($K438=AQ$3,ROUND(IF(OR($C438="W",$C438="1/2W",$C438="1/2L"),$P438-$O438,IF($C438="X",0,-$O438)),2),0)</f>
        <v>0</v>
      </c>
      <c r="AR438" s="134">
        <f>IF($K438=AR$3,ROUND(IF(OR($C438="W",$C438="1/2W",$C438="1/2L"),$P438-$O438,IF($C438="X",0,-$O438)),2),0)</f>
        <v>0</v>
      </c>
      <c r="AS438" s="132">
        <f>IF(AND($B436=" ",$K438=AS$3),$O438,0)</f>
        <v>0</v>
      </c>
      <c r="AT438" s="133">
        <f>IF(AND($B436=" ",K438=AT$3),$O438,0)</f>
        <v>0</v>
      </c>
      <c r="AU438" s="133">
        <f>IF(AND($B436=" ",$K438=AU$3),$O438,0)</f>
        <v>0</v>
      </c>
      <c r="AV438" s="133">
        <f>IF(AND($B436=" ",$K438=AV$3),$O438,0)</f>
        <v>0</v>
      </c>
      <c r="AW438" s="133">
        <f>IF(AND($B436=" ",$K438=AW$3),$O438,0)</f>
        <v>0</v>
      </c>
      <c r="AX438" s="133">
        <f>IF(AND($B436=" ",$K438=AX$3),$O438,0)</f>
        <v>0</v>
      </c>
      <c r="AY438" s="135">
        <f>IF(AND($B436=" ",$K438=AY$3),$O438,0)</f>
        <v>0</v>
      </c>
      <c r="AZ438" s="136">
        <f>IF(AND($B436=" ",$K438=AZ$3),$O438,0)</f>
        <v>0</v>
      </c>
      <c r="BA438" s="136">
        <f>IF(AND($B436=" ",$K438=BA$3),$O438,0)</f>
        <v>0</v>
      </c>
      <c r="BB438" s="136">
        <f>IF(AND($B436=" ",$K438=BB$3),$O438,0)</f>
        <v>0</v>
      </c>
      <c r="BC438" s="137">
        <f>IF(AND($B436=" ",$K438=BC$3),$O438,0)</f>
        <v>0</v>
      </c>
      <c r="BD438" s="133">
        <f>IF(AND($B436=" ",$K438=BD$3),$O438,0)</f>
        <v>0</v>
      </c>
      <c r="BE438" s="134">
        <f>IF(AND($B436=" ",$K438=BE$3),$O438,0)</f>
        <v>0</v>
      </c>
      <c r="BF438" s="132">
        <f>IF($K438=BF$3,IF($C438="X",0,$O438),0)</f>
        <v>0</v>
      </c>
      <c r="BG438" s="281">
        <f>IF($K438=BG$3,IF($C438="X",0,$O438),0)</f>
        <v>0</v>
      </c>
      <c r="BH438" s="133">
        <f>IF($K438=BH$3,IF($C438="X",0,$O438),0)</f>
        <v>0</v>
      </c>
      <c r="BI438" s="133">
        <f>IF($K438=BI$3,IF($C438="X",0,$O438),0)</f>
        <v>0</v>
      </c>
      <c r="BJ438" s="133">
        <f>IF($K438=BJ$3,IF($C438="X",0,$O438),0)</f>
        <v>0</v>
      </c>
      <c r="BK438" s="133">
        <f>IF($K438=BK$3,IF($C438="X",0,$O438),0)</f>
        <v>0</v>
      </c>
      <c r="BL438" s="133">
        <f>IF($K438=BL$3,IF($C438="X",0,$O438),0)</f>
        <v>0</v>
      </c>
      <c r="BM438" s="135">
        <f>IF($K438=BM$3,IF($C438="X",0,$O438),0)</f>
        <v>0</v>
      </c>
      <c r="BN438" s="136">
        <f>IF($K438=BN$3,IF($C438="X",0,$O438),0)</f>
        <v>0</v>
      </c>
      <c r="BO438" s="136">
        <f>IF($K438=BO$3,IF($C438="X",0,$O438),0)</f>
        <v>0</v>
      </c>
      <c r="BP438" s="136">
        <f>IF($K438=BP$3,IF($C438="X",0,$O438),0)</f>
        <v>0</v>
      </c>
      <c r="BQ438" s="137">
        <f>IF($K438=BQ$3,IF($C438="X",0,$O438),0)</f>
        <v>0</v>
      </c>
      <c r="BR438" s="134">
        <f>IF($K438=BR$3,IF($C438="X",0,$O438),0)</f>
        <v>0</v>
      </c>
      <c r="BS438" s="282"/>
      <c r="BT438" s="283"/>
      <c r="BU438" s="140"/>
      <c r="BV438" s="283"/>
      <c r="BW438" s="140"/>
      <c r="BX438" s="140"/>
      <c r="BY438" s="140"/>
      <c r="BZ438" s="283"/>
      <c r="CA438" s="140"/>
      <c r="CB438" s="140"/>
      <c r="CC438" s="140"/>
      <c r="CD438" s="141"/>
      <c r="CE438" s="142"/>
      <c r="CF438" s="284">
        <f>IF(CF$3=$K438,IF($C438="W",1,IF($C438="1/2W",0.5,0)),0)</f>
        <v>0</v>
      </c>
      <c r="CG438" s="285">
        <f>IF(CF$3=$K438,IF($C438="L",1,IF($C438="1/2L",0.5,0)),0)</f>
        <v>0</v>
      </c>
      <c r="CH438" s="285">
        <f>IF(CH$3=$K438,IF($C438="W",1,IF($C438="1/2W",0.5,0)),0)</f>
        <v>0</v>
      </c>
      <c r="CI438" s="285">
        <f>IF(CH$3=$K438,IF($C438="L",1,IF($C438="1/2L",0.5,0)),0)</f>
        <v>0</v>
      </c>
      <c r="CJ438" s="285">
        <f>IF(CJ$3=$K438,IF($C438="W",1,IF($C438="1/2W",0.5,0)),0)</f>
        <v>0</v>
      </c>
      <c r="CK438" s="285">
        <f>IF(CJ$3=$K438,IF($C438="L",1,IF($C438="1/2L",0.5,0)),0)</f>
        <v>0</v>
      </c>
      <c r="CL438" s="285">
        <f>IF(CL$3=$K438,IF($C438="W",1,IF($C438="1/2W",0.5,0)),0)</f>
        <v>0</v>
      </c>
      <c r="CM438" s="285">
        <f>IF(CL$3=$K438,IF($C438="L",1,IF($C438="1/2L",0.5,0)),0)</f>
        <v>0</v>
      </c>
      <c r="CN438" s="285">
        <f>IF(CN$3=$K438,IF($C438="W",1,IF($C438="1/2W",0.5,0)),0)</f>
        <v>0</v>
      </c>
      <c r="CO438" s="285">
        <f>IF(CN$3=$K438,IF($C438="L",1,IF($C438="1/2L",0.5,0)),0)</f>
        <v>0</v>
      </c>
      <c r="CP438" s="285">
        <f>IF(CP$3=$K438,IF($C438="W",1,IF($C438="1/2W",0.5,0)),0)</f>
        <v>0</v>
      </c>
      <c r="CQ438" s="285">
        <f>IF(CP$3=$K438,IF($C438="L",1,IF($C438="1/2L",0.5,0)),0)</f>
        <v>0</v>
      </c>
      <c r="CR438" s="285">
        <f>IF(CR$3=$K438,IF($C438="W",1,IF($C438="1/2W",0.5,0)),0)</f>
        <v>0</v>
      </c>
      <c r="CS438" s="285">
        <f>IF(CR$3=$K438,IF($C438="L",1,IF($C438="1/2L",0.5,0)),0)</f>
        <v>0</v>
      </c>
      <c r="CT438" s="145">
        <f>IF(CT$3=$K438,IF($C438="W",1,IF($C438="1/2W",0.5,0)),0)</f>
        <v>0</v>
      </c>
      <c r="CU438" s="146">
        <f>IF(CT$3=$K438,IF($C438="L",1,IF($C438="1/2L",0.5,0)),0)</f>
        <v>0</v>
      </c>
      <c r="CV438" s="146">
        <f>IF(CV$3=$K438,IF($C438="W",1,IF($C438="1/2W",0.5,0)),0)</f>
        <v>0</v>
      </c>
      <c r="CW438" s="146">
        <f>IF(CV$3=$K438,IF($C438="L",1,IF($C438="1/2L",0.5,0)),0)</f>
        <v>0</v>
      </c>
      <c r="CX438" s="146">
        <f>IF(CX$3=$K438,IF($C438="W",1,IF($C438="1/2W",0.5,0)),0)</f>
        <v>0</v>
      </c>
      <c r="CY438" s="146">
        <f>IF(CX$3=$K438,IF($C438="L",1,IF($C438="1/2L",0.5,0)),0)</f>
        <v>0</v>
      </c>
      <c r="CZ438" s="146">
        <f>IF(CZ$3=$K438,IF($C438="W",1,IF($C438="1/2W",0.5,0)),0)</f>
        <v>0</v>
      </c>
      <c r="DA438" s="146">
        <f>IF(CZ$3=$K438,IF($C438="L",1,IF($C438="1/2L",0.5,0)),0)</f>
        <v>0</v>
      </c>
      <c r="DB438" s="146">
        <f>IF(DB$3=$K438,IF($C438="W",1,IF($C438="1/2W",0.5,0)),0)</f>
        <v>0</v>
      </c>
      <c r="DC438" s="146">
        <f>IF(DB$3=$K438,IF($C438="L",1,IF($C438="1/2L",0.5,0)),0)</f>
        <v>0</v>
      </c>
      <c r="DD438" s="146">
        <f>IF(DD$3=$K438,IF($C438="W",1,IF($C438="1/2W",0.5,0)),0)</f>
        <v>0</v>
      </c>
      <c r="DE438" s="147">
        <f>IF(DD$3=$K438,IF($C438="L",1,IF($C438="1/2L",0.5,0)),0)</f>
        <v>0</v>
      </c>
      <c r="DF438" s="143">
        <f>IF(AND(L438&lt;DF$3,$C438="W"),1+DF437,DF437)</f>
        <v>14</v>
      </c>
      <c r="DG438" s="133">
        <f>IF(DF438&gt;DF437,L438+DG437,DG437)</f>
        <v>18.548</v>
      </c>
      <c r="DH438" s="146">
        <f>IF(AND(L438&gt;DH$3,$C438="W"),1+DH437,0+DH437)</f>
        <v>10</v>
      </c>
      <c r="DI438" s="133">
        <f>IF(DH438&gt;DH437,L438+DI437,DI437)</f>
        <v>55.13</v>
      </c>
      <c r="DJ438" t="s" s="304">
        <f>IF($D436="","",$D436)</f>
        <v>342</v>
      </c>
      <c r="DK438" s="286"/>
    </row>
    <row r="439" ht="14.55" customHeight="1">
      <c r="A439" s="171">
        <f>$A436+1</f>
        <v>146</v>
      </c>
      <c r="B439" t="s" s="172">
        <f>IF(AND(_xlfn.XLOOKUP(H439,H$122:H212,G$122:G212,0)=G439,_xlfn.XLOOKUP("TempoBet",K439:K441,L439:L441,0)&gt;0),"X",IF(OR(C439="W",C440="W",C441="W",C439="1/2W",C440="1/2W",C441="1/2W",C439="1/2L",C440="1/2L",C441="1/2L"),"OK",IF(OR(C439="L",C440="L",C441="L"),"LOSS",IF(OR(C439="X",C440="X",C441="X"),"Anulado"," "))))</f>
        <v>50</v>
      </c>
      <c r="C439" t="s" s="173">
        <v>56</v>
      </c>
      <c r="D439" t="s" s="305">
        <f>IF(G439="","",$D436)</f>
        <v>342</v>
      </c>
      <c r="E439" t="s" s="175">
        <f>IF(G439=""," ","– "&amp;COUNTIF(D$4:D441,$D439))</f>
        <v>115</v>
      </c>
      <c r="F439" t="s" s="176"/>
      <c r="G439" s="177">
        <v>44950.614583333336</v>
      </c>
      <c r="H439" t="s" s="178">
        <v>351</v>
      </c>
      <c r="I439" t="s" s="179">
        <v>65</v>
      </c>
      <c r="J439" s="291">
        <v>10</v>
      </c>
      <c r="K439" t="s" s="181">
        <v>44</v>
      </c>
      <c r="L439" s="182">
        <v>2.11</v>
      </c>
      <c r="M439" s="183"/>
      <c r="N439" s="184">
        <v>0</v>
      </c>
      <c r="O439" s="185">
        <f>IF(OR(AE439="",AE440=""),"",ROUND(IF(L441&gt;0,IF(M439&gt;0,M439,IF(M440&gt;0,ROUND((M440*AE439)/AE440,IF(N439=0,2,IF(N439=0.1,1,0))),ROUND((M441*AE439)/AE441,IF(N439=0,2,IF(N439=0.1,1,0))))),IF(M439&gt;0,M439,ROUND((M440*AE439)/AE440,IF(N439=0,2,IF(N439=0.1,1,0))))),2))</f>
        <v>10.36</v>
      </c>
      <c r="P439" s="186">
        <f>IF(OR(L439="",O439=""),"",IF($C439="1/2W",O439/2+O439/2*L439,IF($C439="1/2L",O439/2,IF(I439="Lay",(O439*(L439/(L439-1))-O439)*(1-_xlfn.XLOOKUP(K439,'Janeiro 2023 - Valor Real'!A3:A15,'Janeiro 2023 - Valor Real'!C3:C15,0))+O439,(O439*L439-O439)*(1-_xlfn.XLOOKUP(K439,'Janeiro 2023 - Valor Real'!A3:A15,'Janeiro 2023 - Valor Real'!C3:C15,0))+O439))))</f>
        <v>21.8596</v>
      </c>
      <c r="Q439" s="187">
        <f>IF(K439="","",IF(_xlfn.XLOOKUP(K439,K$122:K212,DJ$122:DJ212,0,,-1)=DJ439,_xlfn.XLOOKUP(K439,K$122:K212,Q$122:Q212,1,,-1)+1,1))</f>
        <v>1</v>
      </c>
      <c r="R439" s="188">
        <f>IF(K439="","",_xlfn.XLOOKUP(K439,K$122:K212,R$122:R212,0,,-1)+IF($C439=" ",1,0))</f>
        <v>0</v>
      </c>
      <c r="S439" s="189">
        <f>IF($B439="Anulado",0,ROUND(IF(OR($B439="LOSS",$B439="OK"),IF(OR($C439="W",$C439="1/2W",$C439="1/2L"),P439-O439,IF($C439="L",-O439,0))+IF(OR($C440="W",$C440="1/2W",$C440="1/2L"),P440-O440,IF($C440="L",-O440,0))+IF(OR($C441="W",$C441="1/2W",$C441="1/2L"),P441-O441,IF($C441="L",-O441,0)),IF(AND(OR($C439="W",$C439="1/2W",$C439="1/2L"),C440="W"),P439+P440-SUM(O439:O441)+_xlfn.XLOOKUP("X",C439:C441,O439:O441,0),IF(AND(C439=TRUE,C441="W"),P439+P441-SUM(O439:O441),IF(AND(C440="W",C441="W"),P440+P441-SUM(O439:O441)+_xlfn.XLOOKUP("X",C439:C441,O439:O441,0),IF(L441&gt;0,IF(OR($C439="W",$C439="1/2W",$C439="1/2L"),P439-SUM(O439:O441)+_xlfn.XLOOKUP("X",C439:C441,O439:O441,0),IF(OR($C439="W",$C439="1/2W",$C439="1/2L"),P440-SUM(O439:O441)+_xlfn.XLOOKUP("X",C439:C441,O439:O441,0),IF(OR($C439="W",$C439="1/2W",$C439="1/2L"),P441-SUM(O439:O441)+_xlfn.XLOOKUP("X",C439:C441,O439:O441,0),IF(SUM(P439:P441)/3-SUM(O439:O441)+_xlfn.XLOOKUP("X",C439:C441,O439:O441,0)&gt;0,SUM(P439:P441)/3-SUM(O439:O441)+_xlfn.XLOOKUP("X",C439:C441,O439:O441,0),LARGE(P439:P441,1)-SUM(O439:O441))))),IF(OR($C439="W",$C439="1/2W",$C439="1/2L"),P439-SUM(O439:O440)+_xlfn.XLOOKUP("X",C439:C441,O439:O441,0),IF(OR($C439="W",$C439="1/2W",$C439="1/2L"),P440-SUM(O439:O440)+_xlfn.XLOOKUP("X",C439:C441,O439:O441,0),SUM(P439:P440)/2-SUM(O439:O440)+_xlfn.XLOOKUP("X",C439:C441,O439:O441,0)))))))),2))</f>
        <v>0.89</v>
      </c>
      <c r="T439" s="190">
        <f>IF(S439=0,0,S439/SUM(O439:O441))</f>
        <v>0.0424415832141154</v>
      </c>
      <c r="U439" s="191">
        <f>IF($D439=$D436,IF(OR($B439="LOSS",$B439="OK",$B439="Anulada"),S439,0)+U436,IF(OR($B439="LOSS",$B439="OK",$B439="Anulada"),S439,0))</f>
        <v>15.86</v>
      </c>
      <c r="V439" s="191">
        <f>IF($D439="",0,IF($D439=$D436,IF($B439=" ",IF(I441="",IF(OR(AND(I439="DNB1",I440="DNB2"),AND(OR(I439="DNB1",I439="DNB2"),J440=0),AND(OR(I440="DNB1",I440="DNB2"),J439=0),AND(I439="DNB2",I440="DNB1"),AND(IF(J439=0,(J439+1)/ROUND(J439+1,0),J439/ROUND(J439,0))=1,IF(J440=0,(J440+1)/ROUND(IF(J440="",0,J440)+1,0),IF(J440="",0,J440)/ROUND(IF(J440="",1,J440),0))=1,OR(J439&lt;&gt;""),J440&lt;&gt;"")),0,IF(S439&lt;0,IF(I441="",SMALL(P439:P440,1)-SUM(O439:O440),0),SMALL(P439:P440,1)-SUM(O439:O440))),IF(S439&lt;0,IF(I441="",SMALL(P439:P441,1)-SUM(O439:O441),0),LARGE(P439:P441,1)-SUM(O439:O441))),S439)+V436,IF(I441="",IF(OR(AND(I439="DNB1",I440="DNB2"),AND(OR(I439="DNB1",I439="DNB2"),J440=0),AND(OR(I440="DNB1",I440="DNB2"),J439=0),AND(I439="DNB2",I440="DNB1"),AND(IF(J439=0,(J439+1)/ROUND(J439+1,0),J439/ROUND(J439,0))=1,IF(J440=0,(IF(J440="",0,J440)+1)/ROUND(IF(J440="",0,J440)+1,0),IF(J440="",0,J440)/ROUND(IF(J440="",0,J440)+1,0))=1,OR(J439&lt;&gt;""),J440&lt;&gt;"")),0,IF(S439&lt;0,IF(I441="",SMALL(P439:P440,1)-SUM(O439:O440),0),SMALL(P439:P441,1)-SUM(O439:O441))),IF(S439&lt;0,IF(I441="",SMALL(P439:P441,1)-SUM(O439:O441),0),LARGE(P439:P441,1)-SUM(O439:O441)))))</f>
        <v>15.8491</v>
      </c>
      <c r="W439" s="191">
        <f>IF($D439=$D436,IF(S439&lt;0,IF(I441="",S439,0),S439)+W436,S439)</f>
        <v>15.86</v>
      </c>
      <c r="X439" t="s" s="192">
        <f>IF(OR(SUM(R439:R441)=0,V439=W439),ROUND(IF(W439=0,0,W439/Y439)*100,2)&amp;"%",ROUND(IF(V439=0,0,V439/Y439)*100,2)&amp;"% a "&amp;ROUND(IF(W439=0,0,W439/Y439)*100,2)&amp;"%")</f>
        <v>352</v>
      </c>
      <c r="Y439" s="193">
        <f>IF($D439=$D436,Y436+SUM(O439:O441),SUM(O439:O441))</f>
        <v>324.42</v>
      </c>
      <c r="Z439" s="191">
        <f>IF($B439=" ",SUM(O439:O441),0)+Z436</f>
        <v>0</v>
      </c>
      <c r="AA439" s="191">
        <f>IF(G439="","",IF($B439="Anulado",LARGE(P439:P441,1)-SUM(O439:O441)+AA436,AA436))</f>
        <v>22.2257</v>
      </c>
      <c r="AB439" s="191">
        <f>IF($D439="","",AB436+S439)</f>
        <v>298.76</v>
      </c>
      <c r="AC439" s="194">
        <f>IF($D439="","",IF($B439=" ",IF(DAY(G439)=DAY(TODAY()),1+AC436,0+AC436),0+AC436))</f>
        <v>0</v>
      </c>
      <c r="AD439" s="195">
        <f>(((L440/(L440-1)-1)*(1-_xlfn.XLOOKUP(K440,'Janeiro 2023 - Valor Real'!A3:A15,'Janeiro 2023 - Valor Real'!C3:C15,0))+1))/(((L439-1)*(1-_xlfn.XLOOKUP(K439,'Janeiro 2023 - Valor Real'!A3:A15,'Janeiro 2023 - Valor Real'!C3:C15,0))+1)+((L440/(L440-1)-1)*(1-_xlfn.XLOOKUP(K440,'Janeiro 2023 - Valor Real'!A3:A15,'Janeiro 2023 - Valor Real'!C3:C15,0))+1))</f>
        <v>0.479448866545641</v>
      </c>
      <c r="AE439" s="196">
        <f>IF(L439="","",IF(L441&gt;0,(SUM(((L439-1)*(1-_xlfn.XLOOKUP(K439,'Janeiro 2023 - Valor Real'!A3:A15,'Janeiro 2023 - Valor Real'!C3:C15,0))+1),((L440-1)*(1-_xlfn.XLOOKUP(K440,'Janeiro 2023 - Valor Real'!A3:A15,'Janeiro 2023 - Valor Real'!C3:C15,0))+1),((L441-1)*(1-_xlfn.XLOOKUP(K441,'Janeiro 2023 - Valor Real'!A3:A15,'Janeiro 2023 - Valor Real'!C3:C15,0))+1))/((L439-1)*(1-_xlfn.XLOOKUP(K439,'Janeiro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Real'!C3:C15,0))+1))/((L439-1)*(1-_xlfn.XLOOKUP(K439,'Janeiro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Real'!C3:C15,0))+1))/((L440-1)*(1-_xlfn.XLOOKUP(K440,'Janeiro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Real'!C3:C15,0))+1))/((L441-1)*(1-_xlfn.XLOOKUP(K441,'Janeiro 2023 - Valor Real'!A3:A15,'Janeiro 2023 - Valor Real'!C3:C15,0))+1)),IF(I439="Lay",IF(I440="Lay",((L440/(L440-1)-1)*(1-_xlfn.XLOOKUP(K440,'Janeiro 2023 - Valor Real'!A3:A15,'Janeiro 2023 - Valor Real'!C3:C15,0))+1)/(((L440/(L440-1)-1)*(1-_xlfn.XLOOKUP(K440,'Janeiro 2023 - Valor Real'!A3:A15,'Janeiro 2023 - Valor Real'!C3:C15,0))+1)+((L439/(L439-1)-1)*(1-_xlfn.XLOOKUP(K439,'Janeiro 2023 - Valor Real'!A3:A15,'Janeiro 2023 - Valor Real'!C3:C15,0))+1)),((L440-1)*(1-_xlfn.XLOOKUP(K440,'Janeiro 2023 - Valor Real'!A3:A15,'Janeiro 2023 - Valor Real'!C3:C15,0))+1)/(((L440-1)*(1-_xlfn.XLOOKUP(K440,'Janeiro 2023 - Valor Real'!A3:A15,'Janeiro 2023 - Valor Real'!C3:C15,0))+1)+((L439/(L439-1)-1)*(1-_xlfn.XLOOKUP(K439,'Janeiro 2023 - Valor Real'!A3:A15,'Janeiro 2023 - Valor Real'!C3:C15,0))+1))),IF(I440="Lay",(((L440/(L440-1)-1)*(1-_xlfn.XLOOKUP(K440,'Janeiro 2023 - Valor Real'!A3:A15,'Janeiro 2023 - Valor Real'!C3:C15,0))+1))/(((L439-1)*(1-_xlfn.XLOOKUP(K439,'Janeiro 2023 - Valor Real'!A3:A15,'Janeiro 2023 - Valor Real'!C3:C15,0))+1)+((L440/(L440-1)-1)*(1-_xlfn.XLOOKUP(K440,'Janeiro 2023 - Valor Real'!A3:A15,'Janeiro 2023 - Valor Real'!C3:C15,0))+1)),((L440-1)*(1-_xlfn.XLOOKUP(K440,'Janeiro 2023 - Valor Real'!A3:A15,'Janeiro 2023 - Valor Real'!C3:C15,0))+1)/(((L440-1)*(1-_xlfn.XLOOKUP(K440,'Janeiro 2023 - Valor Real'!A3:A15,'Janeiro 2023 - Valor Real'!C3:C15,0))+1)+((L439-1)*(1-_xlfn.XLOOKUP(K439,'Janeiro 2023 - Valor Real'!A3:A15,'Janeiro 2023 - Valor Real'!C3:C15,0))+1))))))</f>
        <v>0.49400479616307</v>
      </c>
      <c r="AF439" s="197">
        <f>IF($K439=AF$3,ROUND(IF(OR($C439="W",$C439="1/2W",$C439="1/2L"),$P439-$O439,IF($C439="X",0,-$O439)),2),0)</f>
        <v>0</v>
      </c>
      <c r="AG439" s="198">
        <f>IF($K439=AG$3,ROUND(IF(OR($C439="W",$C439="1/2W",$C439="1/2L"),$P439-$O439,IF($C439="X",0,-$O439)),2),0)</f>
        <v>0</v>
      </c>
      <c r="AH439" s="198">
        <f>IF($K439=AH$3,ROUND(IF(OR($C439="W",$C439="1/2W",$C439="1/2L"),$P439-$O439,IF($C439="X",0,-$O439)),2),0)</f>
        <v>0</v>
      </c>
      <c r="AI439" s="198">
        <f>IF($K439=AI$3,ROUND(IF(OR($C439="W",$C439="1/2W",$C439="1/2L"),$P439-$O439,IF($C439="X",0,-$O439)),2),0)</f>
        <v>0</v>
      </c>
      <c r="AJ439" s="198">
        <f>IF($K439=AJ$3,ROUND(IF(OR($C439="W",$C439="1/2W",$C439="1/2L"),$P439-$O439,IF($C439="X",0,-$O439)),2),0)</f>
        <v>0</v>
      </c>
      <c r="AK439" s="198">
        <f>IF($K439=AK$3,ROUND(IF(OR($C439="W",$C439="1/2W",$C439="1/2L"),$P439-$O439,IF($C439="X",0,-$O439)),2),0)</f>
        <v>0</v>
      </c>
      <c r="AL439" s="198">
        <f>IF($K439=AL$3,ROUND(IF(OR($C439="W",$C439="1/2W",$C439="1/2L"),$P439-$O439,IF($C439="X",0,-$O439)),2),0)</f>
        <v>0</v>
      </c>
      <c r="AM439" s="198">
        <f>IF($K439=AM$3,ROUND(IF(OR($C439="W",$C439="1/2W",$C439="1/2L"),$P439-$O439,IF($C439="X",0,-$O439)),2),0)</f>
        <v>11.5</v>
      </c>
      <c r="AN439" s="198">
        <f>IF($K439=AN$3,ROUND(IF(OR($C439="W",$C439="1/2W",$C439="1/2L"),$P439-$O439,IF($C439="X",0,-$O439)),2),0)</f>
        <v>0</v>
      </c>
      <c r="AO439" s="198">
        <f>IF($K439=AO$3,ROUND(IF(OR($C439="W",$C439="1/2W",$C439="1/2L"),$P439-$O439,IF($C439="X",0,-$O439)),2),0)</f>
        <v>0</v>
      </c>
      <c r="AP439" s="198">
        <f>IF($K439=AP$3,ROUND(IF(OR($C439="W",$C439="1/2W",$C439="1/2L"),$P439-$O439,IF($C439="X",0,-$O439)),2),0)</f>
        <v>0</v>
      </c>
      <c r="AQ439" s="198">
        <f>IF($K439=AQ$3,ROUND(IF(OR($C439="W",$C439="1/2W",$C439="1/2L"),$P439-$O439,IF($C439="X",0,-$O439)),2),0)</f>
        <v>0</v>
      </c>
      <c r="AR439" s="199">
        <f>IF($K439=AR$3,ROUND(IF(OR($C439="W",$C439="1/2W",$C439="1/2L"),$P439-$O439,IF($C439="X",0,-$O439)),2),0)</f>
        <v>0</v>
      </c>
      <c r="AS439" s="197">
        <f>IF(AND($B439=" ",$K439=AS$3),$O439,0)</f>
        <v>0</v>
      </c>
      <c r="AT439" s="198">
        <f>IF(AND($B439=" ",$K439=AT$3),$O439,0)</f>
        <v>0</v>
      </c>
      <c r="AU439" s="198">
        <f>IF(AND($B439=" ",$K439=AU$3),$O439,0)</f>
        <v>0</v>
      </c>
      <c r="AV439" s="198">
        <f>IF(AND($B439=" ",$K439=AV$3),$O439,0)</f>
        <v>0</v>
      </c>
      <c r="AW439" s="198">
        <f>IF(AND($B439=" ",$K439=AW$3),$O439,0)</f>
        <v>0</v>
      </c>
      <c r="AX439" s="198">
        <f>IF(AND($B439=" ",$K439=AX$3),$O439,0)</f>
        <v>0</v>
      </c>
      <c r="AY439" s="200">
        <f>IF(AND($B439=" ",$K439=AY$3),$O439,0)</f>
        <v>0</v>
      </c>
      <c r="AZ439" s="201">
        <f>IF(AND($B439=" ",$K439=AZ$3),$O439,0)</f>
        <v>0</v>
      </c>
      <c r="BA439" s="201">
        <f>IF(AND($B439=" ",$K439=BA$3),$O439,0)</f>
        <v>0</v>
      </c>
      <c r="BB439" s="201">
        <f>IF(AND($B439=" ",$K439=BB$3),$O439,0)</f>
        <v>0</v>
      </c>
      <c r="BC439" s="202">
        <f>IF(AND($B439=" ",$K439=BC$3),$O439,0)</f>
        <v>0</v>
      </c>
      <c r="BD439" s="198">
        <f>IF(AND($B439=" ",$K439=BD$3),$O439,0)</f>
        <v>0</v>
      </c>
      <c r="BE439" s="199">
        <f>IF(AND($B439=" ",$K439=BE$3),$O439,0)</f>
        <v>0</v>
      </c>
      <c r="BF439" s="203">
        <f>IF($K439=BF$3,IF($C439="X",0,$O439),0)</f>
        <v>0</v>
      </c>
      <c r="BG439" s="198">
        <f>IF($K439=BG$3,IF($C439="X",0,$O439),0)</f>
        <v>0</v>
      </c>
      <c r="BH439" s="198">
        <f>IF($K439=BH$3,IF($C439="X",0,$O439),0)</f>
        <v>0</v>
      </c>
      <c r="BI439" s="198">
        <f>IF($K439=BI$3,IF($C439="X",0,$O439),0)</f>
        <v>0</v>
      </c>
      <c r="BJ439" s="198">
        <f>IF($K439=BJ$3,IF($C439="X",0,$O439),0)</f>
        <v>0</v>
      </c>
      <c r="BK439" s="198">
        <f>IF($K439=BK$3,IF($C439="X",0,$O439),0)</f>
        <v>0</v>
      </c>
      <c r="BL439" s="198">
        <f>IF($K439=BL$3,IF($C439="X",0,$O439),0)</f>
        <v>0</v>
      </c>
      <c r="BM439" s="200">
        <f>IF($K439=BM$3,IF($C439="X",0,$O439),0)</f>
        <v>10.36</v>
      </c>
      <c r="BN439" s="201">
        <f>IF($K439=BN$3,IF($C439="X",0,$O439),0)</f>
        <v>0</v>
      </c>
      <c r="BO439" s="201">
        <f>IF($K439=BO$3,IF($C439="X",0,$O439),0)</f>
        <v>0</v>
      </c>
      <c r="BP439" s="201">
        <f>IF($K439=BP$3,IF($C439="X",0,$O439),0)</f>
        <v>0</v>
      </c>
      <c r="BQ439" s="202">
        <f>IF($K439=BQ$3,IF($C439="X",0,$O439),0)</f>
        <v>0</v>
      </c>
      <c r="BR439" s="199">
        <f>IF($K439=BR$3,IF($C439="X",0,$O439),0)</f>
        <v>0</v>
      </c>
      <c r="BS439" s="204">
        <f>IF($B439="LOSS",IF(AND($K439=BS$3,$C439="L"),-$O439,0)+IF(AND($K440=BS$3,$C440="L"),-$O440,0)+IF(AND($K441=BS$3,$C441="L"),-$O441,0),IF(OR(AND($K439=BS$3,OR($C439="W",$C439="1/2W")),AND($K440=BS$3,OR($C440="W",$C440="1/2W")),AND($K441=BS$3,OR($C441="W",$C441="1/2W"))),$S439,0))</f>
        <v>0</v>
      </c>
      <c r="BT439" s="201">
        <f>IF($B439="LOSS",IF(AND($K439=BT$3,$C439="L"),-$O439,0)+IF(AND($K440=BT$3,$C440="L"),-$O440,0)+IF(AND($K440=BT$3,$C441="L"),-$O441,0),IF(OR(AND($K440=BT$3,OR($C439="W",$C439="1/2W")),AND($K440=BT$3,OR($C440="W",$C440="1/2W")),AND($K440=BT$3,OR($C441="W",$C441="1/2W"))),$S439,0))</f>
        <v>0</v>
      </c>
      <c r="BU439" s="201">
        <f>IF($B439="LOSS",IF(AND($K439=BU$3,$C439="L"),-$O439,0)+IF(AND($K440=BU$3,$C440="L"),-$O440,0)+IF(AND($K440=BU$3,$C441="L"),-$O441,0),IF(OR(AND($K440=BU$3,OR($C439="W",$C439="1/2W")),AND($K440=BU$3,OR($C440="W",$C440="1/2W")),AND($K440=BU$3,OR($C441="W",$C441="1/2W"))),$S439,0))</f>
        <v>0</v>
      </c>
      <c r="BV439" s="201">
        <f>IF($B439="LOSS",IF(AND($K439=BV$3,$C439="L"),-$O439,0)+IF(AND($K440=BV$3,$C440="L"),-$O440,0)+IF(AND($K441=BV$3,$C441="L"),-$O441,0),IF(OR(AND($K439=BV$3,OR($C439="W",$C439="1/2W")),AND($K440=BV$3,OR($C440="W",$C440="1/2W")),AND($K441=BV$3,OR($C441="W",$C441="1/2W"))),$S439,0))</f>
        <v>0</v>
      </c>
      <c r="BW439" s="201">
        <f>IF($B439="LOSS",IF(AND($K439=BW$3,$C439="L"),-$O439,0)+IF(AND($K440=BW$3,$C440="L"),-$O440,0)+IF(AND($K441=BW$3,$C441="L"),-$O441,0),IF(OR(AND($K439=BW$3,OR($C439="W",$C439="1/2W")),AND($K440=BW$3,OR($C440="W",$C440="1/2W")),AND($K441=BW$3,OR($C441="W",$C441="1/2W"))),$S439,0))</f>
        <v>0</v>
      </c>
      <c r="BX439" s="201">
        <f>IF($B439="LOSS",IF(AND($K439=BX$3,$C439="L"),-$O439,0)+IF(AND($K440=BX$3,$C440="L"),-$O440,0)+IF(AND($K441=BX$3,$C441="L"),-$O441,0),IF(OR(AND($K439=BX$3,OR($C439="W",$C439="1/2W")),AND($K440=BX$3,OR($C440="W",$C440="1/2W")),AND($K441=BX$3,OR($C441="W",$C441="1/2W"))),$S439,0))</f>
        <v>0</v>
      </c>
      <c r="BY439" s="201">
        <f>IF($B439="LOSS",IF(AND($K439=BY$3,$C439="L"),-$O439,0)+IF(AND($K440=BY$3,$C440="L"),-$O440,0)+IF(AND($K441=BY$3,$C441="L"),-$O441,0),IF(OR(AND($K439=BY$3,OR($C439="W",$C439="1/2W")),AND($K440=BY$3,OR($C440="W",$C440="1/2W")),AND($K441=BY$3,OR($C441="W",$C441="1/2W"))),$S439,0))</f>
        <v>0</v>
      </c>
      <c r="BZ439" s="205">
        <f>IF($B439="LOSS",IF(AND($K439=BZ$3,$C439="L"),-$O439,0)+IF(AND($K440=BZ$3,$C440="L"),-$O440,0)+IF(AND($K441=BZ$3,$C441="L"),-$O441,0),IF(OR(AND($K439=BZ$3,OR($C439="W",$C439="1/2W")),AND($K440=BZ$3,OR($C440="W",$C440="1/2W")),AND($K441=BZ$3,OR($C441="W",$C441="1/2W"))),$S439,0))</f>
        <v>0.89</v>
      </c>
      <c r="CA439" s="205">
        <f>IF($B439="LOSS",IF(AND($K439=CA$3,$C439="L"),-$O439,0)+IF(AND($K440=CA$3,$C440="L"),-$O440,0)+IF(AND($K441=CA$3,$C441="L"),-$O441,0),IF(OR(AND($K439=CA$3,OR($C439="W",$C439="1/2W")),AND($K440=CA$3,OR($C440="W",$C440="1/2W")),AND($K441=CA$3,OR($C441="W",$C441="1/2W"))),$S439,0))</f>
        <v>0</v>
      </c>
      <c r="CB439" s="205">
        <f>IF($B439="LOSS",IF(AND($K439=CB$3,$C439="L"),-$O439,0)+IF(AND($K440=CB$3,$C440="L"),-$O440,0)+IF(AND($K441=CB$3,$C441="L"),-$O441,0),IF(OR(AND($K439=CB$3,OR($C439="W",$C439="1/2W")),AND($K440=CB$3,OR($C440="W",$C440="1/2W")),AND($K441=CB$3,OR($C441="W",$C441="1/2W"))),$S439,0))</f>
        <v>0</v>
      </c>
      <c r="CC439" s="205">
        <f>IF($B439="LOSS",IF(AND($K439=CC$3,$C439="L"),-$O439,0)+IF(AND($K440=CC$3,$C440="L"),-$O440,0)+IF(AND($K441=CC$3,$C441="L"),-$O441,0),IF(OR(AND($K439=CC$3,OR($C439="W",$C439="1/2W")),AND($K440=CC$3,OR($C440="W",$C440="1/2W")),AND($K441=CC$3,OR($C441="W",$C441="1/2W"))),$S439,0))</f>
        <v>0</v>
      </c>
      <c r="CD439" s="202">
        <f>IF($B439="LOSS",IF(AND($K439=CD$3,$C439="L"),-$O439,0)+IF(AND($K440=CD$3,$C440="L"),-$O440,0)+IF(AND($K441=CD$3,$C441="L"),-$O441,0),IF(OR(AND($K439=CD$3,OR($C439="W",$C439="1/2W")),AND($K440=CD$3,OR($C440="W",$C440="1/2W")),AND($K441=CD$3,OR($C441="W",$C441="1/2W"))),$S439,0))</f>
        <v>0</v>
      </c>
      <c r="CE439" s="199">
        <f>IF($B439="LOSS",IF(AND($K439=CE$3,$C439="L"),-$O439,0)+IF(AND($K440=CE$3,$C440="L"),-$O440,0)+IF(AND($K441=CE$3,$C441="L"),-$O441,0),IF(OR(AND($K439=CE$3,OR($C439="W",$C439="1/2W")),AND($K440=CE$3,OR($C440="W",$C440="1/2W")),AND($K441=CE$3,OR($C441="W",$C441="1/2W"))),$S439,0))</f>
        <v>0</v>
      </c>
      <c r="CF439" s="206">
        <f>IF(CF$3=$K439,IF($C439="W",1,IF($C439="1/2W",0.5,0)),0)</f>
        <v>0</v>
      </c>
      <c r="CG439" s="207">
        <f>IF(CF$3=$K439,IF($C439="L",1,IF($C439="1/2L",0.5,0)),0)</f>
        <v>0</v>
      </c>
      <c r="CH439" s="207">
        <f>IF(CH$3=$K439,IF($C439="W",1,IF($C439="1/2W",0.5,0)),0)</f>
        <v>0</v>
      </c>
      <c r="CI439" s="207">
        <f>IF(CH$3=$K439,IF($C439="L",1,IF($C439="1/2L",0.5,0)),0)</f>
        <v>0</v>
      </c>
      <c r="CJ439" s="207">
        <f>IF(CJ$3=$K439,IF($C439="W",1,IF($C439="1/2W",0.5,0)),0)</f>
        <v>0</v>
      </c>
      <c r="CK439" s="207">
        <f>IF(CJ$3=$K439,IF($C439="L",1,IF($C439="1/2L",0.5,0)),0)</f>
        <v>0</v>
      </c>
      <c r="CL439" s="207">
        <f>IF(CL$3=$K439,IF($C439="W",1,IF($C439="1/2W",0.5,0)),0)</f>
        <v>0</v>
      </c>
      <c r="CM439" s="207">
        <f>IF(CL$3=$K439,IF($C439="L",1,IF($C439="1/2L",0.5,0)),0)</f>
        <v>0</v>
      </c>
      <c r="CN439" s="207">
        <f>IF(CN$3=$K439,IF($C439="W",1,IF($C439="1/2W",0.5,0)),0)</f>
        <v>0</v>
      </c>
      <c r="CO439" s="207">
        <f>IF(CN$3=$K439,IF($C439="L",1,IF($C439="1/2L",0.5,0)),0)</f>
        <v>0</v>
      </c>
      <c r="CP439" s="207">
        <f>IF(CP$3=$K439,IF($C439="W",1,IF($C439="1/2W",0.5,0)),0)</f>
        <v>0</v>
      </c>
      <c r="CQ439" s="207">
        <f>IF(CP$3=$K439,IF($C439="L",1,IF($C439="1/2L",0.5,0)),0)</f>
        <v>0</v>
      </c>
      <c r="CR439" s="207">
        <f>IF(CR$3=$K439,IF($C439="W",1,IF($C439="1/2W",0.5,0)),0)</f>
        <v>0</v>
      </c>
      <c r="CS439" s="207">
        <f>IF(CR$3=$K439,IF($C439="L",1,IF($C439="1/2L",0.5,0)),0)</f>
        <v>0</v>
      </c>
      <c r="CT439" s="208">
        <f>IF(CT$3=$K439,IF($C439="W",1,IF($C439="1/2W",0.5,0)),0)</f>
        <v>1</v>
      </c>
      <c r="CU439" s="209">
        <f>IF(CT$3=$K439,IF($C439="L",1,IF($C439="1/2L",0.5,0)),0)</f>
        <v>0</v>
      </c>
      <c r="CV439" s="209">
        <f>IF(CV$3=$K439,IF($C439="W",1,IF($C439="1/2W",0.5,0)),0)</f>
        <v>0</v>
      </c>
      <c r="CW439" s="209">
        <f>IF(CV$3=$K439,IF($C439="L",1,IF($C439="1/2L",0.5,0)),0)</f>
        <v>0</v>
      </c>
      <c r="CX439" s="209">
        <f>IF(CX$3=$K439,IF($C439="W",1,IF($C439="1/2W",0.5,0)),0)</f>
        <v>0</v>
      </c>
      <c r="CY439" s="209">
        <f>IF(CX$3=$K439,IF($C439="L",1,IF($C439="1/2L",0.5,0)),0)</f>
        <v>0</v>
      </c>
      <c r="CZ439" s="209">
        <f>IF(CZ$3=$K439,IF($C439="W",1,IF($C439="1/2W",0.5,0)),0)</f>
        <v>0</v>
      </c>
      <c r="DA439" s="209">
        <f>IF(CZ$3=$K439,IF($C439="L",1,IF($C439="1/2L",0.5,0)),0)</f>
        <v>0</v>
      </c>
      <c r="DB439" s="209">
        <f>IF(DB$3=$K439,IF($C439="W",1,IF($C439="1/2W",0.5,0)),0)</f>
        <v>0</v>
      </c>
      <c r="DC439" s="209">
        <f>IF(DB$3=$K439,IF($C439="L",1,IF($C439="1/2L",0.5,0)),0)</f>
        <v>0</v>
      </c>
      <c r="DD439" s="209">
        <f>IF(DD$3=$K439,IF($C439="W",1,IF($C439="1/2W",0.5,0)),0)</f>
        <v>0</v>
      </c>
      <c r="DE439" s="210">
        <f>IF(DD$3=$K439,IF($C439="L",1,IF($C439="1/2L",0.5,0)),0)</f>
        <v>0</v>
      </c>
      <c r="DF439" s="211">
        <f>IF(AND(L439&lt;DF$3,$C439="W"),1+DF438,DF438)</f>
        <v>14</v>
      </c>
      <c r="DG439" s="198">
        <f>IF(DF439&gt;DF438,L439+DG438,DG438)</f>
        <v>18.548</v>
      </c>
      <c r="DH439" s="209">
        <f>IF(AND(L439&gt;DH$3,$C439="W"),1+DH438,0+DH438)</f>
        <v>10</v>
      </c>
      <c r="DI439" s="198">
        <f>IF(DH439&gt;DH438,L439+DI438,DI438)</f>
        <v>55.13</v>
      </c>
      <c r="DJ439" t="s" s="306">
        <f>IF($D439="","",$D439)</f>
        <v>342</v>
      </c>
      <c r="DK439" s="209">
        <f>IF(AND($B439=" ",$D439&lt;&gt;""),1,0)</f>
        <v>0</v>
      </c>
    </row>
    <row r="440" ht="14.55" customHeight="1">
      <c r="A440" s="107"/>
      <c r="B440" s="108"/>
      <c r="C440" t="s" s="213">
        <v>51</v>
      </c>
      <c r="D440" s="110"/>
      <c r="E440" s="111"/>
      <c r="F440" s="112"/>
      <c r="G440" s="214"/>
      <c r="H440" s="114"/>
      <c r="I440" t="s" s="215">
        <v>67</v>
      </c>
      <c r="J440" s="296">
        <f>IF(OR(I439="TO",I439="TU",I439="TO1",I439="TU1",I439="TO2",I439="TU2"),J439,IF(OR(I439="AH1",I439="AH2"),IF(OR(I440="AH1",I440="AH2"),-J439,IF(OR(I440="EH1",I440="EH2"),-J439+0.5,"")),IF(OR(I439="EH1",I439="EH2"),IF(OR(I440="AH1",I440="AH2"),-J439+0.5,IF(OR(I440="EH1",I440="EH2"),-J439+1,"")),IF(AND(OR(I439="DNB1",I439="DNB2"),OR(I440="AH1",I440="AH2")),0,IF(AND(I439="Not ScoreBoth",OR(I440="TO1",I440="TO2")),0.5,"")))))</f>
        <v>10</v>
      </c>
      <c r="K440" t="s" s="217">
        <v>41</v>
      </c>
      <c r="L440" s="218">
        <v>2.06</v>
      </c>
      <c r="M440" s="219">
        <v>10.61</v>
      </c>
      <c r="N440" s="120"/>
      <c r="O440" s="220">
        <f>IF(OR(AE439="",AE440=""),"",ROUND(IF(L441&gt;0,IF(M440&gt;0,M440,IF(M439&gt;0,IF(N439=TRUE,ROUND((M439*AE440)/AE439,0),(M439*AE440)/AE439),IF(M440&gt;0,ROUND(M440,IF(N439=0,2,IF(N439=0.1,1,0))),IF(M441&gt;0,ROUND(O441*AE440/AE441,IF(N439=0,2,IF(N439=0.1,1,0))),0)))),IF(M440&gt;0,M440,ROUND((M439*AE440)/AE439,IF(N439=0,2,IF(N439=0.1,1,0))))),2))</f>
        <v>10.61</v>
      </c>
      <c r="P440" s="221">
        <f>IF(OR(L440="",O440=""),"",IF($C440="1/2W",O440/2+O440/2*L440,IF($C440="1/2L",O440/2,IF(I440="Lay",((O440*(L440/(L440-1)))-O440)*(1-_xlfn.XLOOKUP(K440,'Janeiro 2023 - Valor Real'!A3:A15,'Janeiro 2023 - Valor Real'!C3:C15,0))+O440,(O440*L440-O440)*(1-_xlfn.XLOOKUP(K440,'Janeiro 2023 - Valor Real'!A3:A15,'Janeiro 2023 - Valor Real'!C3:C15,0))+O440))))</f>
        <v>21.8566</v>
      </c>
      <c r="Q440" s="222">
        <f>IF(K440="","",IF(_xlfn.XLOOKUP(K440,K$123:K213,DJ$123:DJ213,0,,-1)=DJ440,_xlfn.XLOOKUP(K440,K$123:K213,Q$123:Q213,1,,-1)+1,1))</f>
        <v>1</v>
      </c>
      <c r="R440" s="223">
        <f>IF(K440="","",_xlfn.XLOOKUP(K440,K$123:K213,R$123:R213,0,,-1)+IF($C440=" ",1,0))</f>
        <v>0</v>
      </c>
      <c r="S440" s="125"/>
      <c r="T440" s="126"/>
      <c r="U440" s="126"/>
      <c r="V440" s="224"/>
      <c r="W440" s="126"/>
      <c r="X440" s="127"/>
      <c r="Y440" s="128"/>
      <c r="Z440" s="129"/>
      <c r="AA440" s="129"/>
      <c r="AB440" s="129"/>
      <c r="AC440" s="129"/>
      <c r="AD440" s="225">
        <f>(((L440/(L440-1)-1)*(1-_xlfn.XLOOKUP(K440,'Janeiro 2023 - Valor Real'!A3:A15,'Janeiro 2023 - Valor Real'!C3:C15,0))+1))</f>
        <v>1.94339622641509</v>
      </c>
      <c r="AE440" s="226">
        <f>IF(L440="","",IF(L441&gt;0,(SUM(((L439-1)*(1-_xlfn.XLOOKUP(K439,'Janeiro 2023 - Valor Real'!A3:A15,'Janeiro 2023 - Valor Real'!C3:C15,0))+1),((L440-1)*(1-_xlfn.XLOOKUP(K440,'Janeiro 2023 - Valor Real'!A3:A15,'Janeiro 2023 - Valor Real'!C3:C15,0))+1),((L441-1)*(1-_xlfn.XLOOKUP(K441,'Janeiro 2023 - Valor Real'!A3:A15,'Janeiro 2023 - Valor Real'!C3:C15,0))+1))/((L440-1)*(1-_xlfn.XLOOKUP(K440,'Janeiro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Real'!C3:C15,0))+1))/((L439-1)*(1-_xlfn.XLOOKUP(K439,'Janeiro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Real'!C3:C15,0))+1))/((L440-1)*(1-_xlfn.XLOOKUP(K440,'Janeiro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Real'!C3:C15,0))+1))/((L441-1)*(1-_xlfn.XLOOKUP(K441,'Janeiro 2023 - Valor Real'!A3:A15,'Janeiro 2023 - Valor Real'!C3:C15,0))+1)),IF(I440="Lay",IF(I439="Lay",((L439/(L439-1)-1)*(1-_xlfn.XLOOKUP(K439,'Janeiro 2023 - Valor Real'!A3:A15,'Janeiro 2023 - Valor Real'!C3:C15,0))+1)/(((L439/(L439-1)-1)*(1-_xlfn.XLOOKUP(K439,'Janeiro 2023 - Valor Real'!A3:A15,'Janeiro 2023 - Valor Real'!C3:C15,0))+1)+((L440/(L440-1)-1)*(1-_xlfn.XLOOKUP(K440,'Janeiro 2023 - Valor Real'!A3:A15,'Janeiro 2023 - Valor Real'!C3:C15,0))+1)),((L439-1)*(1-_xlfn.XLOOKUP(K439,'Janeiro 2023 - Valor Real'!A3:A15,'Janeiro 2023 - Valor Real'!C3:C15,0))+1)/(((L439-1)*(1-_xlfn.XLOOKUP(K439,'Janeiro 2023 - Valor Real'!A3:A15,'Janeiro 2023 - Valor Real'!C3:C15,0))+1)+((L440/(L440-1)-1)*(1-_xlfn.XLOOKUP(K440,'Janeiro 2023 - Valor Real'!A3:A15,'Janeiro 2023 - Valor Real'!C3:C15,0))+1))),IF(I439="Lay",((L439/(L439-1)-1)*(1-_xlfn.XLOOKUP(K439,'Janeiro 2023 - Valor Real'!A3:A15,'Janeiro 2023 - Valor Real'!C3:C15,0))+1)/((((L439/(L439-1)-1)*(1-_xlfn.XLOOKUP(K439,'Janeiro 2023 - Valor Real'!A3:A15,'Janeiro 2023 - Valor Real'!C3:C15,0))+1))+((L440-1)*(1-_xlfn.XLOOKUP(K440,'Janeiro 2023 - Valor Real'!A3:A15,'Janeiro 2023 - Valor Real'!C3:C15,0))+1)),((L439-1)*(1-_xlfn.XLOOKUP(K439,'Janeiro 2023 - Valor Real'!A3:A15,'Janeiro 2023 - Valor Real'!C3:C15,0))+1)/(((L439-1)*(1-_xlfn.XLOOKUP(K439,'Janeiro 2023 - Valor Real'!A3:A15,'Janeiro 2023 - Valor Real'!C3:C15,0))+1)+((L440-1)*(1-_xlfn.XLOOKUP(K440,'Janeiro 2023 - Valor Real'!A3:A15,'Janeiro 2023 - Valor Real'!C3:C15,0))+1))))))</f>
        <v>0.50599520383693</v>
      </c>
      <c r="AF440" s="197">
        <f>IF($K440=AF$3,ROUND(IF(OR($C440="W",$C440="1/2W",$C440="1/2L"),$P440-$O440,IF($C440="X",0,-$O440)),2),0)</f>
        <v>0</v>
      </c>
      <c r="AG440" s="198">
        <f>IF($K440=AG$3,ROUND(IF(OR($C440="W",$C440="1/2W",$C440="1/2L"),$P440-$O440,IF($C440="X",0,-$O440)),2),0)</f>
        <v>0</v>
      </c>
      <c r="AH440" s="198">
        <f>IF($K440=AH$3,ROUND(IF(OR($C440="W",$C440="1/2W",$C440="1/2L"),$P440-$O440,IF($C440="X",0,-$O440)),2),0)</f>
        <v>0</v>
      </c>
      <c r="AI440" s="198">
        <f>IF($K440=AI$3,ROUND(IF(OR($C440="W",$C440="1/2W",$C440="1/2L"),$P440-$O440,IF($C440="X",0,-$O440)),2),0)</f>
        <v>0</v>
      </c>
      <c r="AJ440" s="198">
        <f>IF($K440=AJ$3,ROUND(IF(OR($C440="W",$C440="1/2W",$C440="1/2L"),$P440-$O440,IF($C440="X",0,-$O440)),2),0)</f>
        <v>-10.61</v>
      </c>
      <c r="AK440" s="198">
        <f>IF($K440=AK$3,ROUND(IF(OR($C440="W",$C440="1/2W",$C440="1/2L"),$P440-$O440,IF($C440="X",0,-$O440)),2),0)</f>
        <v>0</v>
      </c>
      <c r="AL440" s="198">
        <f>IF($K440=AL$3,ROUND(IF(OR($C440="W",$C440="1/2W",$C440="1/2L"),$P440-$O440,IF($C440="X",0,-$O440)),2),0)</f>
        <v>0</v>
      </c>
      <c r="AM440" s="198">
        <f>IF($K440=AM$3,ROUND(IF(OR($C440="W",$C440="1/2W",$C440="1/2L"),$P440-$O440,IF($C440="X",0,-$O440)),2),0)</f>
        <v>0</v>
      </c>
      <c r="AN440" s="198">
        <f>IF($K440=AN$3,ROUND(IF(OR($C440="W",$C440="1/2W",$C440="1/2L"),$P440-$O440,IF($C440="X",0,-$O440)),2),0)</f>
        <v>0</v>
      </c>
      <c r="AO440" s="198">
        <f>IF($K440=AO$3,ROUND(IF(OR($C440="W",$C440="1/2W",$C440="1/2L"),$P440-$O440,IF($C440="X",0,-$O440)),2),0)</f>
        <v>0</v>
      </c>
      <c r="AP440" s="198">
        <f>IF($K440=AP$3,ROUND(IF(OR($C440="W",$C440="1/2W",$C440="1/2L"),$P440-$O440,IF($C440="X",0,-$O440)),2),0)</f>
        <v>0</v>
      </c>
      <c r="AQ440" s="198">
        <f>IF($K440=AQ$3,ROUND(IF(OR($C440="W",$C440="1/2W",$C440="1/2L"),$P440-$O440,IF($C440="X",0,-$O440)),2),0)</f>
        <v>0</v>
      </c>
      <c r="AR440" s="199">
        <f>IF($K440=AR$3,ROUND(IF(OR($C440="W",$C440="1/2W",$C440="1/2L"),$P440-$O440,IF($C440="X",0,-$O440)),2),0)</f>
        <v>0</v>
      </c>
      <c r="AS440" s="197">
        <f>IF(AND($B439=" ",$K440=AS$3),$O440,0)</f>
        <v>0</v>
      </c>
      <c r="AT440" s="198">
        <f>IF(AND($B439=" ",K440=AT$3),$O440,0)</f>
        <v>0</v>
      </c>
      <c r="AU440" s="198">
        <f>IF(AND($B439=" ",$K440=AU$3),$O440,0)</f>
        <v>0</v>
      </c>
      <c r="AV440" s="198">
        <f>IF(AND($B439=" ",$K440=AV$3),$O440,0)</f>
        <v>0</v>
      </c>
      <c r="AW440" s="198">
        <f>IF(AND($B439=" ",$K440=AW$3),$O440,0)</f>
        <v>0</v>
      </c>
      <c r="AX440" s="198">
        <f>IF(AND($B439=" ",$K440=AX$3),$O440,0)</f>
        <v>0</v>
      </c>
      <c r="AY440" s="200">
        <f>IF(AND($B439=" ",$K440=AY$3),$O440,0)</f>
        <v>0</v>
      </c>
      <c r="AZ440" s="201">
        <f>IF(AND($B439=" ",$K440=AZ$3),$O440,0)</f>
        <v>0</v>
      </c>
      <c r="BA440" s="201">
        <f>IF(AND($B439=" ",$K440=BA$3),$O440,0)</f>
        <v>0</v>
      </c>
      <c r="BB440" s="201">
        <f>IF(AND($B439=" ",$K440=BB$3),$O440,0)</f>
        <v>0</v>
      </c>
      <c r="BC440" s="202">
        <f>IF(AND($B439=" ",$K440=BC$3),$O440,0)</f>
        <v>0</v>
      </c>
      <c r="BD440" s="198">
        <f>IF(AND($B439=" ",$K440=BD$3),$O440,0)</f>
        <v>0</v>
      </c>
      <c r="BE440" s="199">
        <f>IF(AND($B439=" ",$K440=BE$3),$O440,0)</f>
        <v>0</v>
      </c>
      <c r="BF440" s="197">
        <f>IF($K440=BF$3,IF($C440="X",0,$O440),0)</f>
        <v>0</v>
      </c>
      <c r="BG440" s="198">
        <f>IF($K440=BG$3,IF($C440="X",0,$O440),0)</f>
        <v>0</v>
      </c>
      <c r="BH440" s="198">
        <f>IF($K440=BH$3,IF($C440="X",0,$O440),0)</f>
        <v>0</v>
      </c>
      <c r="BI440" s="198">
        <f>IF($K440=BI$3,IF($C440="X",0,$O440),0)</f>
        <v>0</v>
      </c>
      <c r="BJ440" s="198">
        <f>IF($K440=BJ$3,IF($C440="X",0,$O440),0)</f>
        <v>10.61</v>
      </c>
      <c r="BK440" s="198">
        <f>IF($K440=BK$3,IF($C440="X",0,$O440),0)</f>
        <v>0</v>
      </c>
      <c r="BL440" s="198">
        <f>IF($K440=BL$3,IF($C440="X",0,$O440),0)</f>
        <v>0</v>
      </c>
      <c r="BM440" s="227">
        <f>IF($K440=BM$3,IF($C440="X",0,$O440),0)</f>
        <v>0</v>
      </c>
      <c r="BN440" s="205">
        <f>IF($K440=BN$3,IF($C440="X",0,$O440),0)</f>
        <v>0</v>
      </c>
      <c r="BO440" s="205">
        <f>IF($K440=BO$3,IF($C440="X",0,$O440),0)</f>
        <v>0</v>
      </c>
      <c r="BP440" s="205">
        <f>IF($K440=BP$3,IF($C440="X",0,$O440),0)</f>
        <v>0</v>
      </c>
      <c r="BQ440" s="202">
        <f>IF($K440=BQ$3,IF($C440="X",0,$O440),0)</f>
        <v>0</v>
      </c>
      <c r="BR440" s="199">
        <f>IF($K440=BR$3,IF($C440="X",0,$O440),0)</f>
        <v>0</v>
      </c>
      <c r="BS440" s="228"/>
      <c r="BT440" s="229"/>
      <c r="BU440" s="140"/>
      <c r="BV440" s="229"/>
      <c r="BW440" s="140"/>
      <c r="BX440" s="140"/>
      <c r="BY440" s="140"/>
      <c r="BZ440" s="229"/>
      <c r="CA440" s="140"/>
      <c r="CB440" s="140"/>
      <c r="CC440" s="140"/>
      <c r="CD440" s="141"/>
      <c r="CE440" s="142"/>
      <c r="CF440" s="230">
        <f>IF(CF$3=$K440,IF($C440="W",1,IF($C440="1/2W",0.5,0)),0)</f>
        <v>0</v>
      </c>
      <c r="CG440" s="231">
        <f>IF(CF$3=$K440,IF($C440="L",1,IF($C440="1/2L",0.5,0)),0)</f>
        <v>0</v>
      </c>
      <c r="CH440" s="231">
        <f>IF(CH$3=$K440,IF($C440="W",1,IF($C440="1/2W",0.5,0)),0)</f>
        <v>0</v>
      </c>
      <c r="CI440" s="231">
        <f>IF(CH$3=$K440,IF($C440="L",1,IF($C440="1/2L",0.5,0)),0)</f>
        <v>0</v>
      </c>
      <c r="CJ440" s="231">
        <f>IF(CJ$3=$K440,IF($C440="W",1,IF($C440="1/2W",0.5,0)),0)</f>
        <v>0</v>
      </c>
      <c r="CK440" s="231">
        <f>IF(CJ$3=$K440,IF($C440="L",1,IF($C440="1/2L",0.5,0)),0)</f>
        <v>0</v>
      </c>
      <c r="CL440" s="231">
        <f>IF(CL$3=$K440,IF($C440="W",1,IF($C440="1/2W",0.5,0)),0)</f>
        <v>0</v>
      </c>
      <c r="CM440" s="231">
        <f>IF(CL$3=$K440,IF($C440="L",1,IF($C440="1/2L",0.5,0)),0)</f>
        <v>0</v>
      </c>
      <c r="CN440" s="231">
        <f>IF(CN$3=$K440,IF($C440="W",1,IF($C440="1/2W",0.5,0)),0)</f>
        <v>0</v>
      </c>
      <c r="CO440" s="231">
        <f>IF(CN$3=$K440,IF($C440="L",1,IF($C440="1/2L",0.5,0)),0)</f>
        <v>1</v>
      </c>
      <c r="CP440" s="231">
        <f>IF(CP$3=$K440,IF($C440="W",1,IF($C440="1/2W",0.5,0)),0)</f>
        <v>0</v>
      </c>
      <c r="CQ440" s="231">
        <f>IF(CP$3=$K440,IF($C440="L",1,IF($C440="1/2L",0.5,0)),0)</f>
        <v>0</v>
      </c>
      <c r="CR440" s="231">
        <f>IF(CR$3=$K440,IF($C440="W",1,IF($C440="1/2W",0.5,0)),0)</f>
        <v>0</v>
      </c>
      <c r="CS440" s="231">
        <f>IF(CR$3=$K440,IF($C440="L",1,IF($C440="1/2L",0.5,0)),0)</f>
        <v>0</v>
      </c>
      <c r="CT440" s="208">
        <f>IF(CT$3=$K440,IF($C440="W",1,IF($C440="1/2W",0.5,0)),0)</f>
        <v>0</v>
      </c>
      <c r="CU440" s="209">
        <f>IF(CT$3=$K440,IF($C440="L",1,IF($C440="1/2L",0.5,0)),0)</f>
        <v>0</v>
      </c>
      <c r="CV440" s="209">
        <f>IF(CV$3=$K440,IF($C440="W",1,IF($C440="1/2W",0.5,0)),0)</f>
        <v>0</v>
      </c>
      <c r="CW440" s="209">
        <f>IF(CV$3=$K440,IF($C440="L",1,IF($C440="1/2L",0.5,0)),0)</f>
        <v>0</v>
      </c>
      <c r="CX440" s="209">
        <f>IF(CX$3=$K440,IF($C440="W",1,IF($C440="1/2W",0.5,0)),0)</f>
        <v>0</v>
      </c>
      <c r="CY440" s="209">
        <f>IF(CX$3=$K440,IF($C440="L",1,IF($C440="1/2L",0.5,0)),0)</f>
        <v>0</v>
      </c>
      <c r="CZ440" s="209">
        <f>IF(CZ$3=$K440,IF($C440="W",1,IF($C440="1/2W",0.5,0)),0)</f>
        <v>0</v>
      </c>
      <c r="DA440" s="209">
        <f>IF(CZ$3=$K440,IF($C440="L",1,IF($C440="1/2L",0.5,0)),0)</f>
        <v>0</v>
      </c>
      <c r="DB440" s="209">
        <f>IF(DB$3=$K440,IF($C440="W",1,IF($C440="1/2W",0.5,0)),0)</f>
        <v>0</v>
      </c>
      <c r="DC440" s="209">
        <f>IF(DB$3=$K440,IF($C440="L",1,IF($C440="1/2L",0.5,0)),0)</f>
        <v>0</v>
      </c>
      <c r="DD440" s="209">
        <f>IF(DD$3=$K440,IF($C440="W",1,IF($C440="1/2W",0.5,0)),0)</f>
        <v>0</v>
      </c>
      <c r="DE440" s="210">
        <f>IF(DD$3=$K440,IF($C440="L",1,IF($C440="1/2L",0.5,0)),0)</f>
        <v>0</v>
      </c>
      <c r="DF440" s="211">
        <f>IF(AND(L440&lt;DF$3,$C440="W"),1+DF439,DF439)</f>
        <v>14</v>
      </c>
      <c r="DG440" s="198">
        <f>IF(DF440&gt;DF439,L440+DG439,DG439)</f>
        <v>18.548</v>
      </c>
      <c r="DH440" s="209">
        <f>IF(AND(L440&gt;DH$3,$C440="W"),1+DH439,0+DH439)</f>
        <v>10</v>
      </c>
      <c r="DI440" s="198">
        <f>IF(DH440&gt;DH439,L440+DI439,DI439)</f>
        <v>55.13</v>
      </c>
      <c r="DJ440" t="s" s="306">
        <f>IF($D439="","",$D439)</f>
        <v>342</v>
      </c>
      <c r="DK440" s="232"/>
    </row>
    <row r="441" ht="14.55" customHeight="1">
      <c r="A441" s="149"/>
      <c r="B441" s="150"/>
      <c r="C441" t="s" s="233">
        <v>58</v>
      </c>
      <c r="D441" s="152"/>
      <c r="E441" s="153"/>
      <c r="F441" s="154"/>
      <c r="G441" s="234"/>
      <c r="H441" s="156"/>
      <c r="I441" s="235"/>
      <c r="J441" s="236"/>
      <c r="K441" s="237"/>
      <c r="L441" s="238"/>
      <c r="M441" s="239"/>
      <c r="N441" s="161"/>
      <c r="O441" t="s" s="240">
        <f>IF(OR(AE439="",AE440=""),"",IF(L441&gt;0,ROUND(IF(M441&gt;0,M441,IF(M439&gt;0,ROUND((M439*AE441)/AE439,IF(N439=0,2,IF(N439=0.1,1,0))),IF(M440&gt;0,ROUND((M440*AE441)/AE440,IF(N439=0,2,IF(N439=0.1,1,0))),IF(M441&gt;0,M441,0)))),2),""))</f>
      </c>
      <c r="P441" t="s" s="241">
        <f>IF(I440="Lay",O440*(L440/(L440-1))-O440,IF(I439="Lay",O439*(L439/(L439-1))-O439,IF(OR(L441="",O441=""),"",IF($C441="1/2W",O441/2+O441/2*L441,IF($C441="1/2L",O441/2,(O441*L441-O441)*(1-_xlfn.XLOOKUP(K441,'Janeiro 2023 - Valor Real'!A3:A15,'Janeiro 2023 - Valor Real'!C3:C15,0))+O441)))))</f>
      </c>
      <c r="Q441" t="s" s="242">
        <f>IF(K441="","",IF(_xlfn.XLOOKUP(K441,K$124:K214,DJ$124:DJ214,0,,-1)=DJ441,_xlfn.XLOOKUP(K441,K$124:K214,Q$124:Q214,1,,-1)+1,1))</f>
      </c>
      <c r="R441" t="s" s="243">
        <f>IF(K441="","",_xlfn.XLOOKUP(K441,K$124:K214,R$124:R214,0,,-1)+IF($C441=" ",1,0))</f>
      </c>
      <c r="S441" s="166"/>
      <c r="T441" s="155"/>
      <c r="U441" s="155"/>
      <c r="V441" s="166"/>
      <c r="W441" s="155"/>
      <c r="X441" s="167"/>
      <c r="Y441" s="128"/>
      <c r="Z441" s="129"/>
      <c r="AA441" s="129"/>
      <c r="AB441" s="129"/>
      <c r="AC441" s="129"/>
      <c r="AD441" s="244">
        <f>((L440/(L440-1)-1))</f>
        <v>0.943396226415094</v>
      </c>
      <c r="AE441" t="s" s="245">
        <f>IF(L441="","",(SUM(((L439-1)*(1-_xlfn.XLOOKUP(K439,'Janeiro 2023 - Valor Real'!A3:A15,'Janeiro 2023 - Valor Real'!C3:C15,0))+1),((L440-1)*(1-_xlfn.XLOOKUP(K440,'Janeiro 2023 - Valor Real'!A3:A15,'Janeiro 2023 - Valor Real'!C3:C15,0))+1),((L441-1)*(1-_xlfn.XLOOKUP(K441,'Janeiro 2023 - Valor Real'!A3:A15,'Janeiro 2023 - Valor Real'!C3:C15,0))+1))/((L441-1)*(1-_xlfn.XLOOKUP(K441,'Janeiro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Real'!C3:C15,0))+1))/((L439-1)*(1-_xlfn.XLOOKUP(K439,'Janeiro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Real'!C3:C15,0))+1))/((L440-1)*(1-_xlfn.XLOOKUP(K440,'Janeiro 2023 - Valor Real'!A3:A15,'Janeiro 2023 - Valor Real'!C3:C15,0))+1)+SUM(((L439-1)*(1-_xlfn.XLOOKUP(K439,'Janeiro 2023 - Valor Real'!A3:A15,'Janeiro 2023 - Valor Real'!C3:C15,0))+1),((L440-1)*(1-_xlfn.XLOOKUP(K440,'Janeiro 2023 - Valor Real'!A3:A15,'Janeiro 2023 - Valor Real'!C3:C15,0))+1),((L441-1)*(1-_xlfn.XLOOKUP(K441,'Janeiro 2023 - Valor Real'!A3:A15,'Janeiro 2023 - Valor Real'!C3:C15,0))+1))/((L441-1)*(1-_xlfn.XLOOKUP(K441,'Janeiro 2023 - Valor Real'!A3:A15,'Janeiro 2023 - Valor Real'!C3:C15,0))+1)))</f>
      </c>
      <c r="AF441" s="197">
        <f>IF($K441=AF$3,ROUND(IF(OR($C441="W",$C441="1/2W",$C441="1/2L"),$P441-$O441,IF($C441="X",0,-$O441)),2),0)</f>
        <v>0</v>
      </c>
      <c r="AG441" s="198">
        <f>IF($K441=AG$3,ROUND(IF(OR($C441="W",$C441="1/2W",$C441="1/2L"),$P441-$O441,IF($C441="X",0,-$O441)),2),0)</f>
        <v>0</v>
      </c>
      <c r="AH441" s="198">
        <f>IF($K441=AH$3,ROUND(IF(OR($C441="W",$C441="1/2W",$C441="1/2L"),$P441-$O441,IF($C441="X",0,-$O441)),2),0)</f>
        <v>0</v>
      </c>
      <c r="AI441" s="198">
        <f>IF($K441=AI$3,ROUND(IF(OR($C441="W",$C441="1/2W",$C441="1/2L"),$P441-$O441,IF($C441="X",0,-$O441)),2),0)</f>
        <v>0</v>
      </c>
      <c r="AJ441" s="198">
        <f>IF($K441=AJ$3,ROUND(IF(OR($C441="W",$C441="1/2W",$C441="1/2L"),$P441-$O441,IF($C441="X",0,-$O441)),2),0)</f>
        <v>0</v>
      </c>
      <c r="AK441" s="198">
        <f>IF($K441=AK$3,ROUND(IF(OR($C441="W",$C441="1/2W",$C441="1/2L"),$P441-$O441,IF($C441="X",0,-$O441)),2),0)</f>
        <v>0</v>
      </c>
      <c r="AL441" s="198">
        <f>IF($K441=AL$3,ROUND(IF(OR($C441="W",$C441="1/2W",$C441="1/2L"),$P441-$O441,IF($C441="X",0,-$O441)),2),0)</f>
        <v>0</v>
      </c>
      <c r="AM441" s="198">
        <f>IF($K441=AM$3,ROUND(IF(OR($C441="W",$C441="1/2W",$C441="1/2L"),$P441-$O441,IF($C441="X",0,-$O441)),2),0)</f>
        <v>0</v>
      </c>
      <c r="AN441" s="198">
        <f>IF($K441=AN$3,ROUND(IF(OR($C441="W",$C441="1/2W",$C441="1/2L"),$P441-$O441,IF($C441="X",0,-$O441)),2),0)</f>
        <v>0</v>
      </c>
      <c r="AO441" s="198">
        <f>IF($K441=AO$3,ROUND(IF(OR($C441="W",$C441="1/2W",$C441="1/2L"),$P441-$O441,IF($C441="X",0,-$O441)),2),0)</f>
        <v>0</v>
      </c>
      <c r="AP441" s="198">
        <f>IF($K441=AP$3,ROUND(IF(OR($C441="W",$C441="1/2W",$C441="1/2L"),$P441-$O441,IF($C441="X",0,-$O441)),2),0)</f>
        <v>0</v>
      </c>
      <c r="AQ441" s="198">
        <f>IF($K441=AQ$3,ROUND(IF(OR($C441="W",$C441="1/2W",$C441="1/2L"),$P441-$O441,IF($C441="X",0,-$O441)),2),0)</f>
        <v>0</v>
      </c>
      <c r="AR441" s="199">
        <f>IF($K441=AR$3,ROUND(IF(OR($C441="W",$C441="1/2W",$C441="1/2L"),$P441-$O441,IF($C441="X",0,-$O441)),2),0)</f>
        <v>0</v>
      </c>
      <c r="AS441" s="197">
        <f>IF(AND($B439=" ",$K441=AS$3),$O441,0)</f>
        <v>0</v>
      </c>
      <c r="AT441" s="198">
        <f>IF(AND($B439=" ",K441=AT$3),$O441,0)</f>
        <v>0</v>
      </c>
      <c r="AU441" s="198">
        <f>IF(AND($B439=" ",$K441=AU$3),$O441,0)</f>
        <v>0</v>
      </c>
      <c r="AV441" s="198">
        <f>IF(AND($B439=" ",$K441=AV$3),$O441,0)</f>
        <v>0</v>
      </c>
      <c r="AW441" s="198">
        <f>IF(AND($B439=" ",$K441=AW$3),$O441,0)</f>
        <v>0</v>
      </c>
      <c r="AX441" s="198">
        <f>IF(AND($B439=" ",$K441=AX$3),$O441,0)</f>
        <v>0</v>
      </c>
      <c r="AY441" s="200">
        <f>IF(AND($B439=" ",$K441=AY$3),$O441,0)</f>
        <v>0</v>
      </c>
      <c r="AZ441" s="201">
        <f>IF(AND($B439=" ",$K441=AZ$3),$O441,0)</f>
        <v>0</v>
      </c>
      <c r="BA441" s="201">
        <f>IF(AND($B439=" ",$K441=BA$3),$O441,0)</f>
        <v>0</v>
      </c>
      <c r="BB441" s="201">
        <f>IF(AND($B439=" ",$K441=BB$3),$O441,0)</f>
        <v>0</v>
      </c>
      <c r="BC441" s="202">
        <f>IF(AND($B439=" ",$K441=BC$3),$O441,0)</f>
        <v>0</v>
      </c>
      <c r="BD441" s="198">
        <f>IF(AND($B439=" ",$K441=BD$3),$O441,0)</f>
        <v>0</v>
      </c>
      <c r="BE441" s="199">
        <f>IF(AND($B439=" ",$K441=BE$3),$O441,0)</f>
        <v>0</v>
      </c>
      <c r="BF441" s="197">
        <f>IF($K441=BF$3,IF($C441="X",0,$O441),0)</f>
        <v>0</v>
      </c>
      <c r="BG441" s="198">
        <f>IF($K441=BG$3,IF($C441="X",0,$O441),0)</f>
        <v>0</v>
      </c>
      <c r="BH441" s="198">
        <f>IF($K441=BH$3,IF($C441="X",0,$O441),0)</f>
        <v>0</v>
      </c>
      <c r="BI441" s="198">
        <f>IF($K441=BI$3,IF($C441="X",0,$O441),0)</f>
        <v>0</v>
      </c>
      <c r="BJ441" s="198">
        <f>IF($K441=BJ$3,IF($C441="X",0,$O441),0)</f>
        <v>0</v>
      </c>
      <c r="BK441" s="198">
        <f>IF($K441=BK$3,IF($C441="X",0,$O441),0)</f>
        <v>0</v>
      </c>
      <c r="BL441" s="198">
        <f>IF($K441=BL$3,IF($C441="X",0,$O441),0)</f>
        <v>0</v>
      </c>
      <c r="BM441" s="200">
        <f>IF($K441=BM$3,IF($C441="X",0,$O441),0)</f>
        <v>0</v>
      </c>
      <c r="BN441" s="201">
        <f>IF($K441=BN$3,IF($C441="X",0,$O441),0)</f>
        <v>0</v>
      </c>
      <c r="BO441" s="201">
        <f>IF($K441=BO$3,IF($C441="X",0,$O441),0)</f>
        <v>0</v>
      </c>
      <c r="BP441" s="201">
        <f>IF($K441=BP$3,IF($C441="X",0,$O441),0)</f>
        <v>0</v>
      </c>
      <c r="BQ441" s="202">
        <f>IF($K441=BQ$3,IF($C441="X",0,$O441),0)</f>
        <v>0</v>
      </c>
      <c r="BR441" s="199">
        <f>IF($K441=BR$3,IF($C441="X",0,$O441),0)</f>
        <v>0</v>
      </c>
      <c r="BS441" s="228"/>
      <c r="BT441" s="229"/>
      <c r="BU441" s="140"/>
      <c r="BV441" s="229"/>
      <c r="BW441" s="140"/>
      <c r="BX441" s="140"/>
      <c r="BY441" s="140"/>
      <c r="BZ441" s="229"/>
      <c r="CA441" s="140"/>
      <c r="CB441" s="140"/>
      <c r="CC441" s="140"/>
      <c r="CD441" s="141"/>
      <c r="CE441" s="142"/>
      <c r="CF441" s="230">
        <f>IF(CF$3=$K441,IF($C441="W",1,IF($C441="1/2W",0.5,0)),0)</f>
        <v>0</v>
      </c>
      <c r="CG441" s="231">
        <f>IF(CF$3=$K441,IF($C441="L",1,IF($C441="1/2L",0.5,0)),0)</f>
        <v>0</v>
      </c>
      <c r="CH441" s="231">
        <f>IF(CH$3=$K441,IF($C441="W",1,IF($C441="1/2W",0.5,0)),0)</f>
        <v>0</v>
      </c>
      <c r="CI441" s="231">
        <f>IF(CH$3=$K441,IF($C441="L",1,IF($C441="1/2L",0.5,0)),0)</f>
        <v>0</v>
      </c>
      <c r="CJ441" s="231">
        <f>IF(CJ$3=$K441,IF($C441="W",1,IF($C441="1/2W",0.5,0)),0)</f>
        <v>0</v>
      </c>
      <c r="CK441" s="231">
        <f>IF(CJ$3=$K441,IF($C441="L",1,IF($C441="1/2L",0.5,0)),0)</f>
        <v>0</v>
      </c>
      <c r="CL441" s="231">
        <f>IF(CL$3=$K441,IF($C441="W",1,IF($C441="1/2W",0.5,0)),0)</f>
        <v>0</v>
      </c>
      <c r="CM441" s="231">
        <f>IF(CL$3=$K441,IF($C441="L",1,IF($C441="1/2L",0.5,0)),0)</f>
        <v>0</v>
      </c>
      <c r="CN441" s="231">
        <f>IF(CN$3=$K441,IF($C441="W",1,IF($C441="1/2W",0.5,0)),0)</f>
        <v>0</v>
      </c>
      <c r="CO441" s="231">
        <f>IF(CN$3=$K441,IF($C441="L",1,IF($C441="1/2L",0.5,0)),0)</f>
        <v>0</v>
      </c>
      <c r="CP441" s="231">
        <f>IF(CP$3=$K441,IF($C441="W",1,IF($C441="1/2W",0.5,0)),0)</f>
        <v>0</v>
      </c>
      <c r="CQ441" s="231">
        <f>IF(CP$3=$K441,IF($C441="L",1,IF($C441="1/2L",0.5,0)),0)</f>
        <v>0</v>
      </c>
      <c r="CR441" s="231">
        <f>IF(CR$3=$K441,IF($C441="W",1,IF($C441="1/2W",0.5,0)),0)</f>
        <v>0</v>
      </c>
      <c r="CS441" s="231">
        <f>IF(CR$3=$K441,IF($C441="L",1,IF($C441="1/2L",0.5,0)),0)</f>
        <v>0</v>
      </c>
      <c r="CT441" s="208">
        <f>IF(CT$3=$K441,IF($C441="W",1,IF($C441="1/2W",0.5,0)),0)</f>
        <v>0</v>
      </c>
      <c r="CU441" s="209">
        <f>IF(CT$3=$K441,IF($C441="L",1,IF($C441="1/2L",0.5,0)),0)</f>
        <v>0</v>
      </c>
      <c r="CV441" s="209">
        <f>IF(CV$3=$K441,IF($C441="W",1,IF($C441="1/2W",0.5,0)),0)</f>
        <v>0</v>
      </c>
      <c r="CW441" s="209">
        <f>IF(CV$3=$K441,IF($C441="L",1,IF($C441="1/2L",0.5,0)),0)</f>
        <v>0</v>
      </c>
      <c r="CX441" s="209">
        <f>IF(CX$3=$K441,IF($C441="W",1,IF($C441="1/2W",0.5,0)),0)</f>
        <v>0</v>
      </c>
      <c r="CY441" s="209">
        <f>IF(CX$3=$K441,IF($C441="L",1,IF($C441="1/2L",0.5,0)),0)</f>
        <v>0</v>
      </c>
      <c r="CZ441" s="209">
        <f>IF(CZ$3=$K441,IF($C441="W",1,IF($C441="1/2W",0.5,0)),0)</f>
        <v>0</v>
      </c>
      <c r="DA441" s="209">
        <f>IF(CZ$3=$K441,IF($C441="L",1,IF($C441="1/2L",0.5,0)),0)</f>
        <v>0</v>
      </c>
      <c r="DB441" s="209">
        <f>IF(DB$3=$K441,IF($C441="W",1,IF($C441="1/2W",0.5,0)),0)</f>
        <v>0</v>
      </c>
      <c r="DC441" s="209">
        <f>IF(DB$3=$K441,IF($C441="L",1,IF($C441="1/2L",0.5,0)),0)</f>
        <v>0</v>
      </c>
      <c r="DD441" s="209">
        <f>IF(DD$3=$K441,IF($C441="W",1,IF($C441="1/2W",0.5,0)),0)</f>
        <v>0</v>
      </c>
      <c r="DE441" s="210">
        <f>IF(DD$3=$K441,IF($C441="L",1,IF($C441="1/2L",0.5,0)),0)</f>
        <v>0</v>
      </c>
      <c r="DF441" s="211">
        <f>IF(AND(L441&lt;DF$3,$C441="W"),1+DF440,DF440)</f>
        <v>14</v>
      </c>
      <c r="DG441" s="198">
        <f>IF(DF441&gt;DF440,L441+DG440,DG440)</f>
        <v>18.548</v>
      </c>
      <c r="DH441" s="209">
        <f>IF(AND(L441&gt;DH$3,$C441="W"),1+DH440,0+DH440)</f>
        <v>10</v>
      </c>
      <c r="DI441" s="198">
        <f>IF(DH441&gt;DH440,L441+DI440,DI440)</f>
        <v>55.13</v>
      </c>
      <c r="DJ441" t="s" s="306">
        <f>IF($D439="","",$D439)</f>
        <v>342</v>
      </c>
      <c r="DK441" s="232"/>
    </row>
    <row r="442" ht="14.55" customHeight="1">
      <c r="A442" s="246">
        <f>$A439+1</f>
        <v>147</v>
      </c>
      <c r="B442" t="s" s="247">
        <f>IF(AND(_xlfn.XLOOKUP(H442,H$107:H209,G$107:G209,0)=G442,_xlfn.XLOOKUP("TempoBet",K442:K444,L442:L444,0)&gt;0),"X",IF(OR(C442="W",C443="W",C444="W",C442="1/2W",C443="1/2W",C444="1/2W",C442="1/2L",C443="1/2L",C444="1/2L"),"OK",IF(OR(C442="L",C443="L",C444="L"),"LOSS",IF(OR(C442="X",C443="X",C444="X"),"Anulado"," "))))</f>
        <v>50</v>
      </c>
      <c r="C442" t="s" s="248">
        <v>56</v>
      </c>
      <c r="D442" t="s" s="303">
        <f>IF(G442="","",$D439)</f>
        <v>342</v>
      </c>
      <c r="E442" t="s" s="250">
        <v>118</v>
      </c>
      <c r="F442" t="s" s="251"/>
      <c r="G442" s="252">
        <v>44950.708333333336</v>
      </c>
      <c r="H442" t="s" s="253">
        <v>353</v>
      </c>
      <c r="I442" s="292">
        <v>1</v>
      </c>
      <c r="J442" s="293"/>
      <c r="K442" t="s" s="256">
        <v>39</v>
      </c>
      <c r="L442" s="257">
        <v>1.2</v>
      </c>
      <c r="M442" s="258">
        <v>280</v>
      </c>
      <c r="N442" s="259">
        <v>0</v>
      </c>
      <c r="O442" s="260">
        <f>IF(OR(AE442="",AE443=""),"",ROUND(IF(L444&gt;0,IF(M442&gt;0,M442,IF(M443&gt;0,ROUND((M443*AE442)/AE443,IF(N442=0,2,IF(N442=0.1,1,0))),ROUND((M444*AE442)/AE444,IF(N442=0,2,IF(N442=0.1,1,0))))),IF(M442&gt;0,M442,ROUND((M443*AE442)/AE443,IF(N442=0,2,IF(N442=0.1,1,0))))),2))</f>
        <v>280</v>
      </c>
      <c r="P442" s="261">
        <f>IF(OR(L442="",O442=""),"",IF($C442="1/2W",O442/2+O442/2*L442,IF($C442="1/2L",O442/2,IF(I442="Lay",(O442*(L442/(L442-1))-O442)*(1-_xlfn.XLOOKUP(K442,'Janeiro 2023 - Valor Real'!A3:A15,'Janeiro 2023 - Valor Real'!C3:C15,0))+O442,(O442*L442-O442)*(1-_xlfn.XLOOKUP(K442,'Janeiro 2023 - Valor Real'!A3:A15,'Janeiro 2023 - Valor Real'!C3:C15,0))+O442))))</f>
        <v>332.36</v>
      </c>
      <c r="Q442" s="262">
        <f>IF(K442="","",IF(_xlfn.XLOOKUP(K442,K$107:K209,DJ$107:DJ209,0,,-1)=DJ442,_xlfn.XLOOKUP(K442,K$107:K209,Q$107:Q209,1,,-1)+1,1))</f>
        <v>1</v>
      </c>
      <c r="R442" s="263">
        <f>IF(K442="","",_xlfn.XLOOKUP(K442,K$107:K209,R$107:R209,0,,-1)+IF($C442=" ",1,0))</f>
        <v>0</v>
      </c>
      <c r="S442" s="264">
        <f>IF($B442="Anulado",0,ROUND(IF(OR($B442="LOSS",$B442="OK"),IF(OR($C442="W",$C442="1/2W",$C442="1/2L"),P442-O442,IF($C442="L",-O442,0))+IF(OR($C443="W",$C443="1/2W",$C443="1/2L"),P443-O443,IF($C443="L",-O443,0))+IF(OR($C444="W",$C444="1/2W",$C444="1/2L"),P444-O444,IF($C444="L",-O444,0)),IF(AND(OR($C442="W",$C442="1/2W",$C442="1/2L"),C443="W"),P442+P443-SUM(O442:O444)+_xlfn.XLOOKUP("X",C442:C444,O442:O444,0),IF(AND(C442=TRUE,C444="W"),P442+P444-SUM(O442:O444),IF(AND(C443="W",C444="W"),P443+P444-SUM(O442:O444)+_xlfn.XLOOKUP("X",C442:C444,O442:O444,0),IF(L444&gt;0,IF(OR($C442="W",$C442="1/2W",$C442="1/2L"),P442-SUM(O442:O444)+_xlfn.XLOOKUP("X",C442:C444,O442:O444,0),IF(OR($C442="W",$C442="1/2W",$C442="1/2L"),P443-SUM(O442:O444)+_xlfn.XLOOKUP("X",C442:C444,O442:O444,0),IF(OR($C442="W",$C442="1/2W",$C442="1/2L"),P444-SUM(O442:O444)+_xlfn.XLOOKUP("X",C442:C444,O442:O444,0),IF(SUM(P442:P444)/3-SUM(O442:O444)+_xlfn.XLOOKUP("X",C442:C444,O442:O444,0)&gt;0,SUM(P442:P444)/3-SUM(O442:O444)+_xlfn.XLOOKUP("X",C442:C444,O442:O444,0),LARGE(P442:P444,1)-SUM(O442:O444))))),IF(OR($C442="W",$C442="1/2W",$C442="1/2L"),P442-SUM(O442:O443)+_xlfn.XLOOKUP("X",C442:C444,O442:O444,0),IF(OR($C442="W",$C442="1/2W",$C442="1/2L"),P443-SUM(O442:O443)+_xlfn.XLOOKUP("X",C442:C444,O442:O444,0),SUM(P442:P443)/2-SUM(O442:O443)+_xlfn.XLOOKUP("X",C442:C444,O442:O444,0)))))))),2))</f>
        <v>9.09</v>
      </c>
      <c r="T442" s="265">
        <f>IF(S442=0,0,S442/SUM(O442:O444))</f>
        <v>0.028118909889566</v>
      </c>
      <c r="U442" s="266">
        <f>IF($D442=$D439,IF(OR($B442="LOSS",$B442="OK",$B442="Anulada"),S442,0)+U439,IF(OR($B442="LOSS",$B442="OK",$B442="Anulada"),S442,0))</f>
        <v>24.95</v>
      </c>
      <c r="V442" s="266">
        <f>IF($D442="",0,IF($D442=$D439,IF($B442=" ",IF(I444="",IF(OR(AND(I442="DNB1",I443="DNB2"),AND(OR(I442="DNB1",I442="DNB2"),J443=0),AND(OR(I443="DNB1",I443="DNB2"),J442=0),AND(I442="DNB2",I443="DNB1"),AND(IF(J442=0,(J442+1)/ROUND(J442+1,0),J442/ROUND(J442,0))=1,IF(J443=0,(J443+1)/ROUND(IF(J443="",0,J443)+1,0),IF(J443="",0,J443)/ROUND(IF(J443="",1,J443),0))=1,OR(J442&lt;&gt;""),J443&lt;&gt;"")),0,IF(S442&lt;0,IF(I444="",SMALL(P442:P443,1)-SUM(O442:O443),0),SMALL(P442:P443,1)-SUM(O442:O443))),IF(S442&lt;0,IF(I444="",SMALL(P442:P444,1)-SUM(O442:O444),0),LARGE(P442:P444,1)-SUM(O442:O444))),S442)+V439,IF(I444="",IF(OR(AND(I442="DNB1",I443="DNB2"),AND(OR(I442="DNB1",I442="DNB2"),J443=0),AND(OR(I443="DNB1",I443="DNB2"),J442=0),AND(I442="DNB2",I443="DNB1"),AND(IF(J442=0,(J442+1)/ROUND(J442+1,0),J442/ROUND(J442,0))=1,IF(J443=0,(IF(J443="",0,J443)+1)/ROUND(IF(J443="",0,J443)+1,0),IF(J443="",0,J443)/ROUND(IF(J443="",0,J443)+1,0))=1,OR(J442&lt;&gt;""),J443&lt;&gt;"")),0,IF(S442&lt;0,IF(I444="",SMALL(P442:P443,1)-SUM(O442:O443),0),SMALL(P442:P444,1)-SUM(O442:O444))),IF(S442&lt;0,IF(I444="",SMALL(P442:P444,1)-SUM(O442:O444),0),LARGE(P442:P444,1)-SUM(O442:O444)))))</f>
        <v>24.9391</v>
      </c>
      <c r="W442" s="266">
        <f>IF($D442=$D439,IF(S442&lt;0,IF(I444="",S442,0),S442)+W439,S442)</f>
        <v>24.95</v>
      </c>
      <c r="X442" t="s" s="267">
        <f>IF(OR(SUM(R442:R444)=0,V442=W442),ROUND(IF(W442=0,0,W442/Y442)*100,2)&amp;"%",ROUND(IF(V442=0,0,V442/Y442)*100,2)&amp;"% a "&amp;ROUND(IF(W442=0,0,W442/Y442)*100,2)&amp;"%")</f>
        <v>354</v>
      </c>
      <c r="Y442" s="268">
        <f>IF($D442=$D439,Y439+SUM(O442:O444),SUM(O442:O444))</f>
        <v>647.6900000000001</v>
      </c>
      <c r="Z442" s="266">
        <f>IF($B442=" ",SUM(O442:O444),0)+Z439</f>
        <v>0</v>
      </c>
      <c r="AA442" s="266">
        <f>IF(G442="","",IF($B442="Anulado",LARGE(P442:P444,1)-SUM(O442:O444)+AA439,AA439))</f>
        <v>22.2257</v>
      </c>
      <c r="AB442" s="266">
        <f>IF($D442="","",AB439+S442)</f>
        <v>307.85</v>
      </c>
      <c r="AC442" s="269">
        <f>IF($D442="","",IF($B442=" ",IF(DAY(G442)=DAY(TODAY()),1+AC439,0+AC439),0+AC439))</f>
        <v>0</v>
      </c>
      <c r="AD442" s="270">
        <f>(1-_xlfn.XLOOKUP(K440,'Janeiro 2023 - Valor Real'!A3:A15,'Janeiro 2023 - Valor Real'!C3:C15,0))+1</f>
        <v>2</v>
      </c>
      <c r="AE442" s="271">
        <f>IF(L442="","",IF(L444&gt;0,(SUM(((L442-1)*(1-_xlfn.XLOOKUP(K442,'Janeiro 2023 - Valor Real'!A3:A15,'Janeiro 2023 - Valor Real'!C3:C15,0))+1),((L443-1)*(1-_xlfn.XLOOKUP(K443,'Janeiro 2023 - Valor Real'!A3:A15,'Janeiro 2023 - Valor Real'!C3:C15,0))+1),((L444-1)*(1-_xlfn.XLOOKUP(K444,'Janeiro 2023 - Valor Real'!A3:A15,'Janeiro 2023 - Valor Real'!C3:C15,0))+1))/((L442-1)*(1-_xlfn.XLOOKUP(K442,'Janeiro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Real'!C3:C15,0))+1))/((L442-1)*(1-_xlfn.XLOOKUP(K442,'Janeiro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Real'!C3:C15,0))+1))/((L443-1)*(1-_xlfn.XLOOKUP(K443,'Janeiro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Real'!C3:C15,0))+1))/((L444-1)*(1-_xlfn.XLOOKUP(K444,'Janeiro 2023 - Valor Real'!A3:A15,'Janeiro 2023 - Valor Real'!C3:C15,0))+1)),IF(I442="Lay",IF(I443="Lay",((L443/(L443-1)-1)*(1-_xlfn.XLOOKUP(K443,'Janeiro 2023 - Valor Real'!A3:A15,'Janeiro 2023 - Valor Real'!C3:C15,0))+1)/(((L443/(L443-1)-1)*(1-_xlfn.XLOOKUP(K443,'Janeiro 2023 - Valor Real'!A3:A15,'Janeiro 2023 - Valor Real'!C3:C15,0))+1)+((L442/(L442-1)-1)*(1-_xlfn.XLOOKUP(K442,'Janeiro 2023 - Valor Real'!A3:A15,'Janeiro 2023 - Valor Real'!C3:C15,0))+1)),((L443-1)*(1-_xlfn.XLOOKUP(K443,'Janeiro 2023 - Valor Real'!A3:A15,'Janeiro 2023 - Valor Real'!C3:C15,0))+1)/(((L443-1)*(1-_xlfn.XLOOKUP(K443,'Janeiro 2023 - Valor Real'!A3:A15,'Janeiro 2023 - Valor Real'!C3:C15,0))+1)+((L442/(L442-1)-1)*(1-_xlfn.XLOOKUP(K442,'Janeiro 2023 - Valor Real'!A3:A15,'Janeiro 2023 - Valor Real'!C3:C15,0))+1))),IF(I443="Lay",(((L443/(L443-1)-1)*(1-_xlfn.XLOOKUP(K443,'Janeiro 2023 - Valor Real'!A3:A15,'Janeiro 2023 - Valor Real'!C3:C15,0))+1))/(((L442-1)*(1-_xlfn.XLOOKUP(K442,'Janeiro 2023 - Valor Real'!A3:A15,'Janeiro 2023 - Valor Real'!C3:C15,0))+1)+((L443/(L443-1)-1)*(1-_xlfn.XLOOKUP(K443,'Janeiro 2023 - Valor Real'!A3:A15,'Janeiro 2023 - Valor Real'!C3:C15,0))+1)),((L443-1)*(1-_xlfn.XLOOKUP(K443,'Janeiro 2023 - Valor Real'!A3:A15,'Janeiro 2023 - Valor Real'!C3:C15,0))+1)/(((L443-1)*(1-_xlfn.XLOOKUP(K443,'Janeiro 2023 - Valor Real'!A3:A15,'Janeiro 2023 - Valor Real'!C3:C15,0))+1)+((L442-1)*(1-_xlfn.XLOOKUP(K442,'Janeiro 2023 - Valor Real'!A3:A15,'Janeiro 2023 - Valor Real'!C3:C15,0))+1))))))</f>
        <v>0.863359042247036</v>
      </c>
      <c r="AF442" s="132">
        <f>IF($K442=AF$3,ROUND(IF(OR($C442="W",$C442="1/2W",$C442="1/2L"),$P442-$O442,IF($C442="X",0,-$O442)),2),0)</f>
        <v>0</v>
      </c>
      <c r="AG442" s="133">
        <f>IF($K442=AG$3,ROUND(IF(OR($C442="W",$C442="1/2W",$C442="1/2L"),$P442-$O442,IF($C442="X",0,-$O442)),2),0)</f>
        <v>0</v>
      </c>
      <c r="AH442" s="133">
        <f>IF($K442=AH$3,ROUND(IF(OR($C442="W",$C442="1/2W",$C442="1/2L"),$P442-$O442,IF($C442="X",0,-$O442)),2),0)</f>
        <v>52.36</v>
      </c>
      <c r="AI442" s="133">
        <f>IF($K442=AI$3,ROUND(IF(OR($C442="W",$C442="1/2W",$C442="1/2L"),$P442-$O442,IF($C442="X",0,-$O442)),2),0)</f>
        <v>0</v>
      </c>
      <c r="AJ442" s="133">
        <f>IF($K442=AJ$3,ROUND(IF(OR($C442="W",$C442="1/2W",$C442="1/2L"),$P442-$O442,IF($C442="X",0,-$O442)),2),0)</f>
        <v>0</v>
      </c>
      <c r="AK442" s="133">
        <f>IF($K442=AK$3,ROUND(IF(OR($C442="W",$C442="1/2W",$C442="1/2L"),$P442-$O442,IF($C442="X",0,-$O442)),2),0)</f>
        <v>0</v>
      </c>
      <c r="AL442" s="133">
        <f>IF($K442=AL$3,ROUND(IF(OR($C442="W",$C442="1/2W",$C442="1/2L"),$P442-$O442,IF($C442="X",0,-$O442)),2),0)</f>
        <v>0</v>
      </c>
      <c r="AM442" s="133">
        <f>IF($K442=AM$3,ROUND(IF(OR($C442="W",$C442="1/2W",$C442="1/2L"),$P442-$O442,IF($C442="X",0,-$O442)),2),0)</f>
        <v>0</v>
      </c>
      <c r="AN442" s="133">
        <f>IF($K442=AN$3,ROUND(IF(OR($C442="W",$C442="1/2W",$C442="1/2L"),$P442-$O442,IF($C442="X",0,-$O442)),2),0)</f>
        <v>0</v>
      </c>
      <c r="AO442" s="133">
        <f>IF($K442=AO$3,ROUND(IF(OR($C442="W",$C442="1/2W",$C442="1/2L"),$P442-$O442,IF($C442="X",0,-$O442)),2),0)</f>
        <v>0</v>
      </c>
      <c r="AP442" s="133">
        <f>IF($K442=AP$3,ROUND(IF(OR($C442="W",$C442="1/2W",$C442="1/2L"),$P442-$O442,IF($C442="X",0,-$O442)),2),0)</f>
        <v>0</v>
      </c>
      <c r="AQ442" s="133">
        <f>IF($K442=AQ$3,ROUND(IF(OR($C442="W",$C442="1/2W",$C442="1/2L"),$P442-$O442,IF($C442="X",0,-$O442)),2),0)</f>
        <v>0</v>
      </c>
      <c r="AR442" s="134">
        <f>IF($K442=AR$3,ROUND(IF(OR($C442="W",$C442="1/2W",$C442="1/2L"),$P442-$O442,IF($C442="X",0,-$O442)),2),0)</f>
        <v>0</v>
      </c>
      <c r="AS442" s="132">
        <f>IF(AND($B442=" ",$K442=AS$3),$O442,0)</f>
        <v>0</v>
      </c>
      <c r="AT442" s="133">
        <f>IF(AND($B442=" ",$K442=AT$3),$O442,0)</f>
        <v>0</v>
      </c>
      <c r="AU442" s="133">
        <f>IF(AND($B442=" ",$K442=AU$3),$O442,0)</f>
        <v>0</v>
      </c>
      <c r="AV442" s="133">
        <f>IF(AND($B442=" ",$K442=AV$3),$O442,0)</f>
        <v>0</v>
      </c>
      <c r="AW442" s="133">
        <f>IF(AND($B442=" ",$K442=AW$3),$O442,0)</f>
        <v>0</v>
      </c>
      <c r="AX442" s="133">
        <f>IF(AND($B442=" ",$K442=AX$3),$O442,0)</f>
        <v>0</v>
      </c>
      <c r="AY442" s="135">
        <f>IF(AND($B442=" ",$K442=AY$3),$O442,0)</f>
        <v>0</v>
      </c>
      <c r="AZ442" s="136">
        <f>IF(AND($B442=" ",$K442=AZ$3),$O442,0)</f>
        <v>0</v>
      </c>
      <c r="BA442" s="136">
        <f>IF(AND($B442=" ",$K442=BA$3),$O442,0)</f>
        <v>0</v>
      </c>
      <c r="BB442" s="136">
        <f>IF(AND($B442=" ",$K442=BB$3),$O442,0)</f>
        <v>0</v>
      </c>
      <c r="BC442" s="137">
        <f>IF(AND($B442=" ",$K442=BC$3),$O442,0)</f>
        <v>0</v>
      </c>
      <c r="BD442" s="133">
        <f>IF(AND($B442=" ",$K442=BD$3),$O442,0)</f>
        <v>0</v>
      </c>
      <c r="BE442" s="134">
        <f>IF(AND($B442=" ",$K442=BE$3),$O442,0)</f>
        <v>0</v>
      </c>
      <c r="BF442" s="132">
        <f>IF($K442=BF$3,IF($C442="X",0,$O442),0)</f>
        <v>0</v>
      </c>
      <c r="BG442" s="133">
        <f>IF($K442=BG$3,IF($C442="X",0,$O442),0)</f>
        <v>0</v>
      </c>
      <c r="BH442" s="133">
        <f>IF($K442=BH$3,IF($C442="X",0,$O442),0)</f>
        <v>280</v>
      </c>
      <c r="BI442" s="133">
        <f>IF($K442=BI$3,IF($C442="X",0,$O442),0)</f>
        <v>0</v>
      </c>
      <c r="BJ442" s="133">
        <f>IF($K442=BJ$3,IF($C442="X",0,$O442),0)</f>
        <v>0</v>
      </c>
      <c r="BK442" s="133">
        <f>IF($K442=BK$3,IF($C442="X",0,$O442),0)</f>
        <v>0</v>
      </c>
      <c r="BL442" s="133">
        <f>IF($K442=BL$3,IF($C442="X",0,$O442),0)</f>
        <v>0</v>
      </c>
      <c r="BM442" s="135">
        <f>IF($K442=BM$3,IF($C442="X",0,$O442),0)</f>
        <v>0</v>
      </c>
      <c r="BN442" s="136">
        <f>IF($K442=BN$3,IF($C442="X",0,$O442),0)</f>
        <v>0</v>
      </c>
      <c r="BO442" s="136">
        <f>IF($K442=BO$3,IF($C442="X",0,$O442),0)</f>
        <v>0</v>
      </c>
      <c r="BP442" s="136">
        <f>IF($K442=BP$3,IF($C442="X",0,$O442),0)</f>
        <v>0</v>
      </c>
      <c r="BQ442" s="137">
        <f>IF($K442=BQ$3,IF($C442="X",0,$O442),0)</f>
        <v>0</v>
      </c>
      <c r="BR442" s="134">
        <f>IF($K442=BR$3,IF($C442="X",0,$O442),0)</f>
        <v>0</v>
      </c>
      <c r="BS442" s="170">
        <f>IF($B442="LOSS",IF(AND($K442=BS$3,$C442="L"),-$O442,0)+IF(AND($K443=BS$3,$C443="L"),-$O443,0)+IF(AND($K444=BS$3,$C444="L"),-$O444,0),IF(OR(AND($K442=BS$3,OR($C442="W",$C442="1/2W")),AND($K443=BS$3,OR($C443="W",$C443="1/2W")),AND($K444=BS$3,OR($C444="W",$C444="1/2W"))),$S442,0))</f>
        <v>0</v>
      </c>
      <c r="BT442" s="272">
        <f>IF($B442="LOSS",IF(AND($K442=BT$3,$C442="L"),-$O442,0)+IF(AND($K443=BT$3,$C443="L"),-$O443,0)+IF(AND($K443=BT$3,$C444="L"),-$O444,0),IF(OR(AND($K443=BT$3,OR($C442="W",$C442="1/2W")),AND($K443=BT$3,OR($C443="W",$C443="1/2W")),AND($K443=BT$3,OR($C444="W",$C444="1/2W"))),$S442,0))</f>
        <v>0</v>
      </c>
      <c r="BU442" s="136">
        <f>IF($B442="LOSS",IF(AND($K442=BU$3,$C442="L"),-$O442,0)+IF(AND($K443=BU$3,$C443="L"),-$O443,0)+IF(AND($K443=BU$3,$C444="L"),-$O444,0),IF(OR(AND($K443=BU$3,OR($C442="W",$C442="1/2W")),AND($K443=BU$3,OR($C443="W",$C443="1/2W")),AND($K443=BU$3,OR($C444="W",$C444="1/2W"))),$S442,0))</f>
        <v>0</v>
      </c>
      <c r="BV442" s="136">
        <f>IF($B442="LOSS",IF(AND($K442=BV$3,$C442="L"),-$O442,0)+IF(AND($K443=BV$3,$C443="L"),-$O443,0)+IF(AND($K444=BV$3,$C444="L"),-$O444,0),IF(OR(AND($K442=BV$3,OR($C442="W",$C442="1/2W")),AND($K443=BV$3,OR($C443="W",$C443="1/2W")),AND($K444=BV$3,OR($C444="W",$C444="1/2W"))),$S442,0))</f>
        <v>0</v>
      </c>
      <c r="BW442" s="136">
        <f>IF($B442="LOSS",IF(AND($K442=BW$3,$C442="L"),-$O442,0)+IF(AND($K443=BW$3,$C443="L"),-$O443,0)+IF(AND($K444=BW$3,$C444="L"),-$O444,0),IF(OR(AND($K442=BW$3,OR($C442="W",$C442="1/2W")),AND($K443=BW$3,OR($C443="W",$C443="1/2W")),AND($K444=BW$3,OR($C444="W",$C444="1/2W"))),$S442,0))</f>
        <v>0</v>
      </c>
      <c r="BX442" s="136">
        <f>IF($B442="LOSS",IF(AND($K442=BX$3,$C442="L"),-$O442,0)+IF(AND($K443=BX$3,$C443="L"),-$O443,0)+IF(AND($K444=BX$3,$C444="L"),-$O444,0),IF(OR(AND($K442=BX$3,OR($C442="W",$C442="1/2W")),AND($K443=BX$3,OR($C443="W",$C443="1/2W")),AND($K444=BX$3,OR($C444="W",$C444="1/2W"))),$S442,0))</f>
        <v>0</v>
      </c>
      <c r="BY442" s="136">
        <f>IF($B442="LOSS",IF(AND($K442=BY$3,$C442="L"),-$O442,0)+IF(AND($K443=BY$3,$C443="L"),-$O443,0)+IF(AND($K444=BY$3,$C444="L"),-$O444,0),IF(OR(AND($K442=BY$3,OR($C442="W",$C442="1/2W")),AND($K443=BY$3,OR($C443="W",$C443="1/2W")),AND($K444=BY$3,OR($C444="W",$C444="1/2W"))),$S442,0))</f>
        <v>0</v>
      </c>
      <c r="BZ442" s="136">
        <f>IF($B442="LOSS",IF(AND($K442=BZ$3,$C442="L"),-$O442,0)+IF(AND($K443=BZ$3,$C443="L"),-$O443,0)+IF(AND($K444=BZ$3,$C444="L"),-$O444,0),IF(OR(AND($K442=BZ$3,OR($C442="W",$C442="1/2W")),AND($K443=BZ$3,OR($C443="W",$C443="1/2W")),AND($K444=BZ$3,OR($C444="W",$C444="1/2W"))),$S442,0))</f>
        <v>0</v>
      </c>
      <c r="CA442" s="136">
        <f>IF($B442="LOSS",IF(AND($K442=CA$3,$C442="L"),-$O442,0)+IF(AND($K443=CA$3,$C443="L"),-$O443,0)+IF(AND($K444=CA$3,$C444="L"),-$O444,0),IF(OR(AND($K442=CA$3,OR($C442="W",$C442="1/2W")),AND($K443=CA$3,OR($C443="W",$C443="1/2W")),AND($K444=CA$3,OR($C444="W",$C444="1/2W"))),$S442,0))</f>
        <v>0</v>
      </c>
      <c r="CB442" s="136">
        <f>IF($B442="LOSS",IF(AND($K442=CB$3,$C442="L"),-$O442,0)+IF(AND($K443=CB$3,$C443="L"),-$O443,0)+IF(AND($K444=CB$3,$C444="L"),-$O444,0),IF(OR(AND($K442=CB$3,OR($C442="W",$C442="1/2W")),AND($K443=CB$3,OR($C443="W",$C443="1/2W")),AND($K444=CB$3,OR($C444="W",$C444="1/2W"))),$S442,0))</f>
        <v>0</v>
      </c>
      <c r="CC442" s="136">
        <f>IF($B442="LOSS",IF(AND($K442=CC$3,$C442="L"),-$O442,0)+IF(AND($K443=CC$3,$C443="L"),-$O443,0)+IF(AND($K444=CC$3,$C444="L"),-$O444,0),IF(OR(AND($K442=CC$3,OR($C442="W",$C442="1/2W")),AND($K443=CC$3,OR($C443="W",$C443="1/2W")),AND($K444=CC$3,OR($C444="W",$C444="1/2W"))),$S442,0))</f>
        <v>0</v>
      </c>
      <c r="CD442" s="137">
        <f>IF($B442="LOSS",IF(AND($K442=CD$3,$C442="L"),-$O442,0)+IF(AND($K443=CD$3,$C443="L"),-$O443,0)+IF(AND($K444=CD$3,$C444="L"),-$O444,0),IF(OR(AND($K442=CD$3,OR($C442="W",$C442="1/2W")),AND($K443=CD$3,OR($C443="W",$C443="1/2W")),AND($K444=CD$3,OR($C444="W",$C444="1/2W"))),$S442,0))</f>
        <v>0</v>
      </c>
      <c r="CE442" s="134">
        <f>IF($B442="LOSS",IF(AND($K442=CE$3,$C442="L"),-$O442,0)+IF(AND($K443=CE$3,$C443="L"),-$O443,0)+IF(AND($K444=CE$3,$C444="L"),-$O444,0),IF(OR(AND($K442=CE$3,OR($C442="W",$C442="1/2W")),AND($K443=CE$3,OR($C443="W",$C443="1/2W")),AND($K444=CE$3,OR($C444="W",$C444="1/2W"))),$S442,0))</f>
        <v>0</v>
      </c>
      <c r="CF442" s="273">
        <f>IF(CF$3=$K442,IF($C442="W",1,IF($C442="1/2W",0.5,0)),0)</f>
        <v>0</v>
      </c>
      <c r="CG442" s="274">
        <f>IF(CF$3=$K442,IF($C442="L",1,IF($C442="1/2L",0.5,0)),0)</f>
        <v>0</v>
      </c>
      <c r="CH442" s="274">
        <f>IF(CH$3=$K442,IF($C442="W",1,IF($C442="1/2W",0.5,0)),0)</f>
        <v>0</v>
      </c>
      <c r="CI442" s="274">
        <f>IF(CH$3=$K442,IF($C442="L",1,IF($C442="1/2L",0.5,0)),0)</f>
        <v>0</v>
      </c>
      <c r="CJ442" s="274">
        <f>IF(CJ$3=$K442,IF($C442="W",1,IF($C442="1/2W",0.5,0)),0)</f>
        <v>1</v>
      </c>
      <c r="CK442" s="274">
        <f>IF(CJ$3=$K442,IF($C442="L",1,IF($C442="1/2L",0.5,0)),0)</f>
        <v>0</v>
      </c>
      <c r="CL442" s="274">
        <f>IF(CL$3=$K442,IF($C442="W",1,IF($C442="1/2W",0.5,0)),0)</f>
        <v>0</v>
      </c>
      <c r="CM442" s="274">
        <f>IF(CL$3=$K442,IF($C442="L",1,IF($C442="1/2L",0.5,0)),0)</f>
        <v>0</v>
      </c>
      <c r="CN442" s="274">
        <f>IF(CN$3=$K442,IF($C442="W",1,IF($C442="1/2W",0.5,0)),0)</f>
        <v>0</v>
      </c>
      <c r="CO442" s="274">
        <f>IF(CN$3=$K442,IF($C442="L",1,IF($C442="1/2L",0.5,0)),0)</f>
        <v>0</v>
      </c>
      <c r="CP442" s="274">
        <f>IF(CP$3=$K442,IF($C442="W",1,IF($C442="1/2W",0.5,0)),0)</f>
        <v>0</v>
      </c>
      <c r="CQ442" s="274">
        <f>IF(CP$3=$K442,IF($C442="L",1,IF($C442="1/2L",0.5,0)),0)</f>
        <v>0</v>
      </c>
      <c r="CR442" s="274">
        <f>IF(CR$3=$K442,IF($C442="W",1,IF($C442="1/2W",0.5,0)),0)</f>
        <v>0</v>
      </c>
      <c r="CS442" s="274">
        <f>IF(CR$3=$K442,IF($C442="L",1,IF($C442="1/2L",0.5,0)),0)</f>
        <v>0</v>
      </c>
      <c r="CT442" s="145">
        <f>IF(CT$3=$K442,IF($C442="W",1,IF($C442="1/2W",0.5,0)),0)</f>
        <v>0</v>
      </c>
      <c r="CU442" s="146">
        <f>IF(CT$3=$K442,IF($C442="L",1,IF($C442="1/2L",0.5,0)),0)</f>
        <v>0</v>
      </c>
      <c r="CV442" s="146">
        <f>IF(CV$3=$K442,IF($C442="W",1,IF($C442="1/2W",0.5,0)),0)</f>
        <v>0</v>
      </c>
      <c r="CW442" s="146">
        <f>IF(CV$3=$K442,IF($C442="L",1,IF($C442="1/2L",0.5,0)),0)</f>
        <v>0</v>
      </c>
      <c r="CX442" s="146">
        <f>IF(CX$3=$K442,IF($C442="W",1,IF($C442="1/2W",0.5,0)),0)</f>
        <v>0</v>
      </c>
      <c r="CY442" s="146">
        <f>IF(CX$3=$K442,IF($C442="L",1,IF($C442="1/2L",0.5,0)),0)</f>
        <v>0</v>
      </c>
      <c r="CZ442" s="146">
        <f>IF(CZ$3=$K442,IF($C442="W",1,IF($C442="1/2W",0.5,0)),0)</f>
        <v>0</v>
      </c>
      <c r="DA442" s="146">
        <f>IF(CZ$3=$K442,IF($C442="L",1,IF($C442="1/2L",0.5,0)),0)</f>
        <v>0</v>
      </c>
      <c r="DB442" s="146">
        <f>IF(DB$3=$K442,IF($C442="W",1,IF($C442="1/2W",0.5,0)),0)</f>
        <v>0</v>
      </c>
      <c r="DC442" s="146">
        <f>IF(DB$3=$K442,IF($C442="L",1,IF($C442="1/2L",0.5,0)),0)</f>
        <v>0</v>
      </c>
      <c r="DD442" s="146">
        <f>IF(DD$3=$K442,IF($C442="W",1,IF($C442="1/2W",0.5,0)),0)</f>
        <v>0</v>
      </c>
      <c r="DE442" s="147">
        <f>IF(DD$3=$K442,IF($C442="L",1,IF($C442="1/2L",0.5,0)),0)</f>
        <v>0</v>
      </c>
      <c r="DF442" s="143">
        <f>IF(AND(L442&lt;DF$3,$C442="W"),1+DF441,DF441)</f>
        <v>15</v>
      </c>
      <c r="DG442" s="133">
        <f>IF(DF442&gt;DF441,L442+DG441,DG441)</f>
        <v>19.748</v>
      </c>
      <c r="DH442" s="146">
        <f>IF(AND(L442&gt;DH$3,$C442="W"),1+DH441,0+DH441)</f>
        <v>10</v>
      </c>
      <c r="DI442" s="133">
        <f>IF(DH442&gt;DH441,L442+DI441,DI441)</f>
        <v>55.13</v>
      </c>
      <c r="DJ442" t="s" s="304">
        <f>IF($D442="","",$D442)</f>
        <v>342</v>
      </c>
      <c r="DK442" s="146">
        <f>IF(AND($B442=" ",$D442&lt;&gt;""),1,0)</f>
        <v>0</v>
      </c>
    </row>
    <row r="443" ht="14.55" customHeight="1">
      <c r="A443" s="107"/>
      <c r="B443" s="108"/>
      <c r="C443" t="s" s="109">
        <v>51</v>
      </c>
      <c r="D443" s="110"/>
      <c r="E443" s="111"/>
      <c r="F443" s="113"/>
      <c r="G443" s="252"/>
      <c r="H443" s="114"/>
      <c r="I443" s="294">
        <v>2</v>
      </c>
      <c r="J443" t="s" s="295">
        <f>IF(OR(I442="TO",I442="TU",I442="TO1",I442="TU1",I442="TO2",I442="TU2"),J442,IF(OR(I442="AH1",I442="AH2"),IF(OR(I443="AH1",I443="AH2"),-J442,IF(OR(I443="EH1",I443="EH2"),-J442+0.5,"")),IF(OR(I442="EH1",I442="EH2"),IF(OR(I443="AH1",I443="AH2"),-J442+0.5,IF(OR(I443="EH1",I443="EH2"),-J442+1,"")),IF(AND(OR(I442="DNB1",I442="DNB2"),OR(I443="AH1",I443="AH2")),0,IF(AND(I442="Not ScoreBoth",OR(I443="TO1",I443="TO2")),0.5,"")))))</f>
      </c>
      <c r="K443" t="s" s="117">
        <v>41</v>
      </c>
      <c r="L443" s="277">
        <v>7.5</v>
      </c>
      <c r="M443" s="278">
        <v>43.27</v>
      </c>
      <c r="N443" s="120"/>
      <c r="O443" s="121">
        <f>IF(OR(AE442="",AE443=""),"",ROUND(IF(L444&gt;0,IF(M443&gt;0,M443,IF(M442&gt;0,IF(N442=TRUE,ROUND((M442*AE443)/AE442,0),(M442*AE443)/AE442),IF(M443&gt;0,ROUND(M443,IF(N442=0,2,IF(N442=0.1,1,0))),IF(M444&gt;0,ROUND(O444*AE443/AE444,IF(N442=0,2,IF(N442=0.1,1,0))),0)))),IF(M443&gt;0,M443,ROUND((M442*AE443)/AE442,IF(N442=0,2,IF(N442=0.1,1,0))))),2))</f>
        <v>43.27</v>
      </c>
      <c r="P443" s="122">
        <f>IF(OR(L443="",O443=""),"",IF($C443="1/2W",O443/2+O443/2*L443,IF($C443="1/2L",O443/2,IF(I443="Lay",((O443*(L443/(L443-1)))-O443)*(1-_xlfn.XLOOKUP(K443,'Janeiro 2023 - Valor Real'!A3:A15,'Janeiro 2023 - Valor Real'!C3:C15,0))+O443,(O443*L443-O443)*(1-_xlfn.XLOOKUP(K443,'Janeiro 2023 - Valor Real'!A3:A15,'Janeiro 2023 - Valor Real'!C3:C15,0))+O443))))</f>
        <v>324.525</v>
      </c>
      <c r="Q443" s="279">
        <f>IF(K443="","",IF(_xlfn.XLOOKUP(K443,K$108:K210,DJ$108:DJ210,0,,-1)=DJ443,_xlfn.XLOOKUP(K443,K$108:K210,Q$108:Q210,1,,-1)+1,1))</f>
        <v>1</v>
      </c>
      <c r="R443" s="280">
        <f>IF(K443="","",_xlfn.XLOOKUP(K443,K$108:K210,R$108:R210,0,,-1)+IF($C443=" ",1,0))</f>
        <v>0</v>
      </c>
      <c r="S443" s="125"/>
      <c r="T443" s="126"/>
      <c r="U443" s="126"/>
      <c r="V443" s="224"/>
      <c r="W443" s="126"/>
      <c r="X443" s="127"/>
      <c r="Y443" s="128"/>
      <c r="Z443" s="129"/>
      <c r="AA443" s="129"/>
      <c r="AB443" s="129"/>
      <c r="AC443" s="129"/>
      <c r="AD443" s="130"/>
      <c r="AE443" s="131">
        <f>IF(L443="","",IF(L444&gt;0,(SUM(((L442-1)*(1-_xlfn.XLOOKUP(K442,'Janeiro 2023 - Valor Real'!A3:A15,'Janeiro 2023 - Valor Real'!C3:C15,0))+1),((L443-1)*(1-_xlfn.XLOOKUP(K443,'Janeiro 2023 - Valor Real'!A3:A15,'Janeiro 2023 - Valor Real'!C3:C15,0))+1),((L444-1)*(1-_xlfn.XLOOKUP(K444,'Janeiro 2023 - Valor Real'!A3:A15,'Janeiro 2023 - Valor Real'!C3:C15,0))+1))/((L443-1)*(1-_xlfn.XLOOKUP(K443,'Janeiro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Real'!C3:C15,0))+1))/((L442-1)*(1-_xlfn.XLOOKUP(K442,'Janeiro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Real'!C3:C15,0))+1))/((L443-1)*(1-_xlfn.XLOOKUP(K443,'Janeiro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Real'!C3:C15,0))+1))/((L444-1)*(1-_xlfn.XLOOKUP(K444,'Janeiro 2023 - Valor Real'!A3:A15,'Janeiro 2023 - Valor Real'!C3:C15,0))+1)),IF(I443="Lay",IF(I442="Lay",((L442/(L442-1)-1)*(1-_xlfn.XLOOKUP(K442,'Janeiro 2023 - Valor Real'!A3:A15,'Janeiro 2023 - Valor Real'!C3:C15,0))+1)/(((L442/(L442-1)-1)*(1-_xlfn.XLOOKUP(K442,'Janeiro 2023 - Valor Real'!A3:A15,'Janeiro 2023 - Valor Real'!C3:C15,0))+1)+((L443/(L443-1)-1)*(1-_xlfn.XLOOKUP(K443,'Janeiro 2023 - Valor Real'!A3:A15,'Janeiro 2023 - Valor Real'!C3:C15,0))+1)),((L442-1)*(1-_xlfn.XLOOKUP(K442,'Janeiro 2023 - Valor Real'!A3:A15,'Janeiro 2023 - Valor Real'!C3:C15,0))+1)/(((L442-1)*(1-_xlfn.XLOOKUP(K442,'Janeiro 2023 - Valor Real'!A3:A15,'Janeiro 2023 - Valor Real'!C3:C15,0))+1)+((L443/(L443-1)-1)*(1-_xlfn.XLOOKUP(K443,'Janeiro 2023 - Valor Real'!A3:A15,'Janeiro 2023 - Valor Real'!C3:C15,0))+1))),IF(I442="Lay",((L442/(L442-1)-1)*(1-_xlfn.XLOOKUP(K442,'Janeiro 2023 - Valor Real'!A3:A15,'Janeiro 2023 - Valor Real'!C3:C15,0))+1)/((((L442/(L442-1)-1)*(1-_xlfn.XLOOKUP(K442,'Janeiro 2023 - Valor Real'!A3:A15,'Janeiro 2023 - Valor Real'!C3:C15,0))+1))+((L443-1)*(1-_xlfn.XLOOKUP(K443,'Janeiro 2023 - Valor Real'!A3:A15,'Janeiro 2023 - Valor Real'!C3:C15,0))+1)),((L442-1)*(1-_xlfn.XLOOKUP(K442,'Janeiro 2023 - Valor Real'!A3:A15,'Janeiro 2023 - Valor Real'!C3:C15,0))+1)/(((L442-1)*(1-_xlfn.XLOOKUP(K442,'Janeiro 2023 - Valor Real'!A3:A15,'Janeiro 2023 - Valor Real'!C3:C15,0))+1)+((L443-1)*(1-_xlfn.XLOOKUP(K443,'Janeiro 2023 - Valor Real'!A3:A15,'Janeiro 2023 - Valor Real'!C3:C15,0))+1))))))</f>
        <v>0.136640957752964</v>
      </c>
      <c r="AF443" s="132">
        <f>IF($K443=AF$3,ROUND(IF(OR($C443="W",$C443="1/2W",$C443="1/2L"),$P443-$O443,IF($C443="X",0,-$O443)),2),0)</f>
        <v>0</v>
      </c>
      <c r="AG443" s="133">
        <f>IF($K443=AG$3,ROUND(IF(OR($C443="W",$C443="1/2W",$C443="1/2L"),$P443-$O443,IF($C443="X",0,-$O443)),2),0)</f>
        <v>0</v>
      </c>
      <c r="AH443" s="133">
        <f>IF($K443=AH$3,ROUND(IF(OR($C443="W",$C443="1/2W",$C443="1/2L"),$P443-$O443,IF($C443="X",0,-$O443)),2),0)</f>
        <v>0</v>
      </c>
      <c r="AI443" s="133">
        <f>IF($K443=AI$3,ROUND(IF(OR($C443="W",$C443="1/2W",$C443="1/2L"),$P443-$O443,IF($C443="X",0,-$O443)),2),0)</f>
        <v>0</v>
      </c>
      <c r="AJ443" s="133">
        <f>IF($K443=AJ$3,ROUND(IF(OR($C443="W",$C443="1/2W",$C443="1/2L"),$P443-$O443,IF($C443="X",0,-$O443)),2),0)</f>
        <v>-43.27</v>
      </c>
      <c r="AK443" s="133">
        <f>IF($K443=AK$3,ROUND(IF(OR($C443="W",$C443="1/2W",$C443="1/2L"),$P443-$O443,IF($C443="X",0,-$O443)),2),0)</f>
        <v>0</v>
      </c>
      <c r="AL443" s="133">
        <f>IF($K443=AL$3,ROUND(IF(OR($C443="W",$C443="1/2W",$C443="1/2L"),$P443-$O443,IF($C443="X",0,-$O443)),2),0)</f>
        <v>0</v>
      </c>
      <c r="AM443" s="133">
        <f>IF($K443=AM$3,ROUND(IF(OR($C443="W",$C443="1/2W",$C443="1/2L"),$P443-$O443,IF($C443="X",0,-$O443)),2),0)</f>
        <v>0</v>
      </c>
      <c r="AN443" s="133">
        <f>IF($K443=AN$3,ROUND(IF(OR($C443="W",$C443="1/2W",$C443="1/2L"),$P443-$O443,IF($C443="X",0,-$O443)),2),0)</f>
        <v>0</v>
      </c>
      <c r="AO443" s="133">
        <f>IF($K443=AO$3,ROUND(IF(OR($C443="W",$C443="1/2W",$C443="1/2L"),$P443-$O443,IF($C443="X",0,-$O443)),2),0)</f>
        <v>0</v>
      </c>
      <c r="AP443" s="133">
        <f>IF($K443=AP$3,ROUND(IF(OR($C443="W",$C443="1/2W",$C443="1/2L"),$P443-$O443,IF($C443="X",0,-$O443)),2),0)</f>
        <v>0</v>
      </c>
      <c r="AQ443" s="133">
        <f>IF($K443=AQ$3,ROUND(IF(OR($C443="W",$C443="1/2W",$C443="1/2L"),$P443-$O443,IF($C443="X",0,-$O443)),2),0)</f>
        <v>0</v>
      </c>
      <c r="AR443" s="134">
        <f>IF($K443=AR$3,ROUND(IF(OR($C443="W",$C443="1/2W",$C443="1/2L"),$P443-$O443,IF($C443="X",0,-$O443)),2),0)</f>
        <v>0</v>
      </c>
      <c r="AS443" s="132">
        <f>IF(AND($B442=" ",$K443=AS$3),$O443,0)</f>
        <v>0</v>
      </c>
      <c r="AT443" s="133">
        <f>IF(AND($B442=" ",K443=AT$3),$O443,0)</f>
        <v>0</v>
      </c>
      <c r="AU443" s="133">
        <f>IF(AND($B442=" ",$K443=AU$3),$O443,0)</f>
        <v>0</v>
      </c>
      <c r="AV443" s="133">
        <f>IF(AND($B442=" ",$K443=AV$3),$O443,0)</f>
        <v>0</v>
      </c>
      <c r="AW443" s="133">
        <f>IF(AND($B442=" ",$K443=AW$3),$O443,0)</f>
        <v>0</v>
      </c>
      <c r="AX443" s="133">
        <f>IF(AND($B442=" ",$K443=AX$3),$O443,0)</f>
        <v>0</v>
      </c>
      <c r="AY443" s="135">
        <f>IF(AND($B442=" ",$K443=AY$3),$O443,0)</f>
        <v>0</v>
      </c>
      <c r="AZ443" s="136">
        <f>IF(AND($B442=" ",$K443=AZ$3),$O443,0)</f>
        <v>0</v>
      </c>
      <c r="BA443" s="136">
        <f>IF(AND($B442=" ",$K443=BA$3),$O443,0)</f>
        <v>0</v>
      </c>
      <c r="BB443" s="136">
        <f>IF(AND($B442=" ",$K443=BB$3),$O443,0)</f>
        <v>0</v>
      </c>
      <c r="BC443" s="137">
        <f>IF(AND($B442=" ",$K443=BC$3),$O443,0)</f>
        <v>0</v>
      </c>
      <c r="BD443" s="133">
        <f>IF(AND($B442=" ",$K443=BD$3),$O443,0)</f>
        <v>0</v>
      </c>
      <c r="BE443" s="134">
        <f>IF(AND($B442=" ",$K443=BE$3),$O443,0)</f>
        <v>0</v>
      </c>
      <c r="BF443" s="132">
        <f>IF($K443=BF$3,IF($C443="X",0,$O443),0)</f>
        <v>0</v>
      </c>
      <c r="BG443" s="281">
        <f>IF($K443=BG$3,IF($C443="X",0,$O443),0)</f>
        <v>0</v>
      </c>
      <c r="BH443" s="133">
        <f>IF($K443=BH$3,IF($C443="X",0,$O443),0)</f>
        <v>0</v>
      </c>
      <c r="BI443" s="133">
        <f>IF($K443=BI$3,IF($C443="X",0,$O443),0)</f>
        <v>0</v>
      </c>
      <c r="BJ443" s="133">
        <f>IF($K443=BJ$3,IF($C443="X",0,$O443),0)</f>
        <v>43.27</v>
      </c>
      <c r="BK443" s="133">
        <f>IF($K443=BK$3,IF($C443="X",0,$O443),0)</f>
        <v>0</v>
      </c>
      <c r="BL443" s="133">
        <f>IF($K443=BL$3,IF($C443="X",0,$O443),0)</f>
        <v>0</v>
      </c>
      <c r="BM443" s="135">
        <f>IF($K443=BM$3,IF($C443="X",0,$O443),0)</f>
        <v>0</v>
      </c>
      <c r="BN443" s="136">
        <f>IF($K443=BN$3,IF($C443="X",0,$O443),0)</f>
        <v>0</v>
      </c>
      <c r="BO443" s="136">
        <f>IF($K443=BO$3,IF($C443="X",0,$O443),0)</f>
        <v>0</v>
      </c>
      <c r="BP443" s="136">
        <f>IF($K443=BP$3,IF($C443="X",0,$O443),0)</f>
        <v>0</v>
      </c>
      <c r="BQ443" s="137">
        <f>IF($K443=BQ$3,IF($C443="X",0,$O443),0)</f>
        <v>0</v>
      </c>
      <c r="BR443" s="134">
        <f>IF($K443=BR$3,IF($C443="X",0,$O443),0)</f>
        <v>0</v>
      </c>
      <c r="BS443" s="282"/>
      <c r="BT443" s="283"/>
      <c r="BU443" s="140"/>
      <c r="BV443" s="283"/>
      <c r="BW443" s="140"/>
      <c r="BX443" s="140"/>
      <c r="BY443" s="140"/>
      <c r="BZ443" s="283"/>
      <c r="CA443" s="140"/>
      <c r="CB443" s="140"/>
      <c r="CC443" s="140"/>
      <c r="CD443" s="141"/>
      <c r="CE443" s="142"/>
      <c r="CF443" s="284">
        <f>IF(CF$3=$K443,IF($C443="W",1,IF($C443="1/2W",0.5,0)),0)</f>
        <v>0</v>
      </c>
      <c r="CG443" s="285">
        <f>IF(CF$3=$K443,IF($C443="L",1,IF($C443="1/2L",0.5,0)),0)</f>
        <v>0</v>
      </c>
      <c r="CH443" s="285">
        <f>IF(CH$3=$K443,IF($C443="W",1,IF($C443="1/2W",0.5,0)),0)</f>
        <v>0</v>
      </c>
      <c r="CI443" s="285">
        <f>IF(CH$3=$K443,IF($C443="L",1,IF($C443="1/2L",0.5,0)),0)</f>
        <v>0</v>
      </c>
      <c r="CJ443" s="285">
        <f>IF(CJ$3=$K443,IF($C443="W",1,IF($C443="1/2W",0.5,0)),0)</f>
        <v>0</v>
      </c>
      <c r="CK443" s="285">
        <f>IF(CJ$3=$K443,IF($C443="L",1,IF($C443="1/2L",0.5,0)),0)</f>
        <v>0</v>
      </c>
      <c r="CL443" s="285">
        <f>IF(CL$3=$K443,IF($C443="W",1,IF($C443="1/2W",0.5,0)),0)</f>
        <v>0</v>
      </c>
      <c r="CM443" s="285">
        <f>IF(CL$3=$K443,IF($C443="L",1,IF($C443="1/2L",0.5,0)),0)</f>
        <v>0</v>
      </c>
      <c r="CN443" s="285">
        <f>IF(CN$3=$K443,IF($C443="W",1,IF($C443="1/2W",0.5,0)),0)</f>
        <v>0</v>
      </c>
      <c r="CO443" s="285">
        <f>IF(CN$3=$K443,IF($C443="L",1,IF($C443="1/2L",0.5,0)),0)</f>
        <v>1</v>
      </c>
      <c r="CP443" s="285">
        <f>IF(CP$3=$K443,IF($C443="W",1,IF($C443="1/2W",0.5,0)),0)</f>
        <v>0</v>
      </c>
      <c r="CQ443" s="285">
        <f>IF(CP$3=$K443,IF($C443="L",1,IF($C443="1/2L",0.5,0)),0)</f>
        <v>0</v>
      </c>
      <c r="CR443" s="285">
        <f>IF(CR$3=$K443,IF($C443="W",1,IF($C443="1/2W",0.5,0)),0)</f>
        <v>0</v>
      </c>
      <c r="CS443" s="285">
        <f>IF(CR$3=$K443,IF($C443="L",1,IF($C443="1/2L",0.5,0)),0)</f>
        <v>0</v>
      </c>
      <c r="CT443" s="145">
        <f>IF(CT$3=$K443,IF($C443="W",1,IF($C443="1/2W",0.5,0)),0)</f>
        <v>0</v>
      </c>
      <c r="CU443" s="146">
        <f>IF(CT$3=$K443,IF($C443="L",1,IF($C443="1/2L",0.5,0)),0)</f>
        <v>0</v>
      </c>
      <c r="CV443" s="146">
        <f>IF(CV$3=$K443,IF($C443="W",1,IF($C443="1/2W",0.5,0)),0)</f>
        <v>0</v>
      </c>
      <c r="CW443" s="146">
        <f>IF(CV$3=$K443,IF($C443="L",1,IF($C443="1/2L",0.5,0)),0)</f>
        <v>0</v>
      </c>
      <c r="CX443" s="146">
        <f>IF(CX$3=$K443,IF($C443="W",1,IF($C443="1/2W",0.5,0)),0)</f>
        <v>0</v>
      </c>
      <c r="CY443" s="146">
        <f>IF(CX$3=$K443,IF($C443="L",1,IF($C443="1/2L",0.5,0)),0)</f>
        <v>0</v>
      </c>
      <c r="CZ443" s="146">
        <f>IF(CZ$3=$K443,IF($C443="W",1,IF($C443="1/2W",0.5,0)),0)</f>
        <v>0</v>
      </c>
      <c r="DA443" s="146">
        <f>IF(CZ$3=$K443,IF($C443="L",1,IF($C443="1/2L",0.5,0)),0)</f>
        <v>0</v>
      </c>
      <c r="DB443" s="146">
        <f>IF(DB$3=$K443,IF($C443="W",1,IF($C443="1/2W",0.5,0)),0)</f>
        <v>0</v>
      </c>
      <c r="DC443" s="146">
        <f>IF(DB$3=$K443,IF($C443="L",1,IF($C443="1/2L",0.5,0)),0)</f>
        <v>0</v>
      </c>
      <c r="DD443" s="146">
        <f>IF(DD$3=$K443,IF($C443="W",1,IF($C443="1/2W",0.5,0)),0)</f>
        <v>0</v>
      </c>
      <c r="DE443" s="147">
        <f>IF(DD$3=$K443,IF($C443="L",1,IF($C443="1/2L",0.5,0)),0)</f>
        <v>0</v>
      </c>
      <c r="DF443" s="143">
        <f>IF(AND(L443&lt;DF$3,$C443="W"),1+DF442,DF442)</f>
        <v>15</v>
      </c>
      <c r="DG443" s="133">
        <f>IF(DF443&gt;DF442,L443+DG442,DG442)</f>
        <v>19.748</v>
      </c>
      <c r="DH443" s="146">
        <f>IF(AND(L443&gt;DH$3,$C443="W"),1+DH442,0+DH442)</f>
        <v>10</v>
      </c>
      <c r="DI443" s="133">
        <f>IF(DH443&gt;DH442,L443+DI442,DI442)</f>
        <v>55.13</v>
      </c>
      <c r="DJ443" t="s" s="304">
        <f>IF($D442="","",$D442)</f>
        <v>342</v>
      </c>
      <c r="DK443" s="286"/>
    </row>
    <row r="444" ht="14.55" customHeight="1">
      <c r="A444" s="149"/>
      <c r="B444" s="150"/>
      <c r="C444" t="s" s="151">
        <v>58</v>
      </c>
      <c r="D444" s="152"/>
      <c r="E444" s="153"/>
      <c r="F444" s="155"/>
      <c r="G444" s="252"/>
      <c r="H444" s="156"/>
      <c r="I444" s="287"/>
      <c r="J444" s="288"/>
      <c r="K444" s="156"/>
      <c r="L444" s="289"/>
      <c r="M444" s="290"/>
      <c r="N444" s="161"/>
      <c r="O444" t="s" s="162">
        <f>IF(OR(AE442="",AE443=""),"",IF(L444&gt;0,ROUND(IF(M444&gt;0,M444,IF(M442&gt;0,ROUND((M442*AE444)/AE442,IF(N442=0,2,IF(N442=0.1,1,0))),IF(M443&gt;0,ROUND((M443*AE444)/AE443,IF(N442=0,2,IF(N442=0.1,1,0))),IF(M444&gt;0,M444,0)))),2),""))</f>
      </c>
      <c r="P444" t="s" s="163">
        <f>IF(I443="Lay",O443*(L443/(L443-1))-O443,IF(I442="Lay",O442*(L442/(L442-1))-O442,IF(OR(L444="",O444=""),"",IF($C444="1/2W",O444/2+O444/2*L444,IF($C444="1/2L",O444/2,(O444*L444-O444)*(1-_xlfn.XLOOKUP(K444,'Janeiro 2023 - Valor Real'!A3:A15,'Janeiro 2023 - Valor Real'!C3:C15,0))+O444)))))</f>
      </c>
      <c r="Q444" t="s" s="154">
        <f>IF(K444="","",IF(_xlfn.XLOOKUP(K444,K$109:K211,DJ$109:DJ211,0,,-1)=DJ444,_xlfn.XLOOKUP(K444,K$109:K211,Q$109:Q211,1,,-1)+1,1))</f>
      </c>
      <c r="R444" t="s" s="163">
        <f>IF(K444="","",_xlfn.XLOOKUP(K444,K$109:K211,R$109:R211,0,,-1)+IF($C444=" ",1,0))</f>
      </c>
      <c r="S444" s="166"/>
      <c r="T444" s="155"/>
      <c r="U444" s="155"/>
      <c r="V444" s="166"/>
      <c r="W444" s="155"/>
      <c r="X444" s="167"/>
      <c r="Y444" s="128"/>
      <c r="Z444" s="129"/>
      <c r="AA444" s="129"/>
      <c r="AB444" s="129"/>
      <c r="AC444" s="129"/>
      <c r="AD444" s="168"/>
      <c r="AE444" t="s" s="169">
        <f>IF(L444="","",(SUM(((L442-1)*(1-_xlfn.XLOOKUP(K442,'Janeiro 2023 - Valor Real'!A3:A15,'Janeiro 2023 - Valor Real'!C3:C15,0))+1),((L443-1)*(1-_xlfn.XLOOKUP(K443,'Janeiro 2023 - Valor Real'!A3:A15,'Janeiro 2023 - Valor Real'!C3:C15,0))+1),((L444-1)*(1-_xlfn.XLOOKUP(K444,'Janeiro 2023 - Valor Real'!A3:A15,'Janeiro 2023 - Valor Real'!C3:C15,0))+1))/((L444-1)*(1-_xlfn.XLOOKUP(K444,'Janeiro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Real'!C3:C15,0))+1))/((L442-1)*(1-_xlfn.XLOOKUP(K442,'Janeiro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Real'!C3:C15,0))+1))/((L443-1)*(1-_xlfn.XLOOKUP(K443,'Janeiro 2023 - Valor Real'!A3:A15,'Janeiro 2023 - Valor Real'!C3:C15,0))+1)+SUM(((L442-1)*(1-_xlfn.XLOOKUP(K442,'Janeiro 2023 - Valor Real'!A3:A15,'Janeiro 2023 - Valor Real'!C3:C15,0))+1),((L443-1)*(1-_xlfn.XLOOKUP(K443,'Janeiro 2023 - Valor Real'!A3:A15,'Janeiro 2023 - Valor Real'!C3:C15,0))+1),((L444-1)*(1-_xlfn.XLOOKUP(K444,'Janeiro 2023 - Valor Real'!A3:A15,'Janeiro 2023 - Valor Real'!C3:C15,0))+1))/((L444-1)*(1-_xlfn.XLOOKUP(K444,'Janeiro 2023 - Valor Real'!A3:A15,'Janeiro 2023 - Valor Real'!C3:C15,0))+1)))</f>
      </c>
      <c r="AF444" s="132">
        <f>IF($K444=AF$3,ROUND(IF(OR($C444="W",$C444="1/2W",$C444="1/2L"),$P444-$O444,IF($C444="X",0,-$O444)),2),0)</f>
        <v>0</v>
      </c>
      <c r="AG444" s="133">
        <f>IF($K444=AG$3,ROUND(IF(OR($C444="W",$C444="1/2W",$C444="1/2L"),$P444-$O444,IF($C444="X",0,-$O444)),2),0)</f>
        <v>0</v>
      </c>
      <c r="AH444" s="133">
        <f>IF($K444=AH$3,ROUND(IF(OR($C444="W",$C444="1/2W",$C444="1/2L"),$P444-$O444,IF($C444="X",0,-$O444)),2),0)</f>
        <v>0</v>
      </c>
      <c r="AI444" s="133">
        <f>IF($K444=AI$3,ROUND(IF(OR($C444="W",$C444="1/2W",$C444="1/2L"),$P444-$O444,IF($C444="X",0,-$O444)),2),0)</f>
        <v>0</v>
      </c>
      <c r="AJ444" s="133">
        <f>IF($K444=AJ$3,ROUND(IF(OR($C444="W",$C444="1/2W",$C444="1/2L"),$P444-$O444,IF($C444="X",0,-$O444)),2),0)</f>
        <v>0</v>
      </c>
      <c r="AK444" s="133">
        <f>IF($K444=AK$3,ROUND(IF(OR($C444="W",$C444="1/2W",$C444="1/2L"),$P444-$O444,IF($C444="X",0,-$O444)),2),0)</f>
        <v>0</v>
      </c>
      <c r="AL444" s="133">
        <f>IF($K444=AL$3,ROUND(IF(OR($C444="W",$C444="1/2W",$C444="1/2L"),$P444-$O444,IF($C444="X",0,-$O444)),2),0)</f>
        <v>0</v>
      </c>
      <c r="AM444" s="133">
        <f>IF($K444=AM$3,ROUND(IF(OR($C444="W",$C444="1/2W",$C444="1/2L"),$P444-$O444,IF($C444="X",0,-$O444)),2),0)</f>
        <v>0</v>
      </c>
      <c r="AN444" s="133">
        <f>IF($K444=AN$3,ROUND(IF(OR($C444="W",$C444="1/2W",$C444="1/2L"),$P444-$O444,IF($C444="X",0,-$O444)),2),0)</f>
        <v>0</v>
      </c>
      <c r="AO444" s="133">
        <f>IF($K444=AO$3,ROUND(IF(OR($C444="W",$C444="1/2W",$C444="1/2L"),$P444-$O444,IF($C444="X",0,-$O444)),2),0)</f>
        <v>0</v>
      </c>
      <c r="AP444" s="133">
        <f>IF($K444=AP$3,ROUND(IF(OR($C444="W",$C444="1/2W",$C444="1/2L"),$P444-$O444,IF($C444="X",0,-$O444)),2),0)</f>
        <v>0</v>
      </c>
      <c r="AQ444" s="133">
        <f>IF($K444=AQ$3,ROUND(IF(OR($C444="W",$C444="1/2W",$C444="1/2L"),$P444-$O444,IF($C444="X",0,-$O444)),2),0)</f>
        <v>0</v>
      </c>
      <c r="AR444" s="134">
        <f>IF($K444=AR$3,ROUND(IF(OR($C444="W",$C444="1/2W",$C444="1/2L"),$P444-$O444,IF($C444="X",0,-$O444)),2),0)</f>
        <v>0</v>
      </c>
      <c r="AS444" s="132">
        <f>IF(AND($B442=" ",$K444=AS$3),$O444,0)</f>
        <v>0</v>
      </c>
      <c r="AT444" s="133">
        <f>IF(AND($B442=" ",K444=AT$3),$O444,0)</f>
        <v>0</v>
      </c>
      <c r="AU444" s="133">
        <f>IF(AND($B442=" ",$K444=AU$3),$O444,0)</f>
        <v>0</v>
      </c>
      <c r="AV444" s="133">
        <f>IF(AND($B442=" ",$K444=AV$3),$O444,0)</f>
        <v>0</v>
      </c>
      <c r="AW444" s="133">
        <f>IF(AND($B442=" ",$K444=AW$3),$O444,0)</f>
        <v>0</v>
      </c>
      <c r="AX444" s="133">
        <f>IF(AND($B442=" ",$K444=AX$3),$O444,0)</f>
        <v>0</v>
      </c>
      <c r="AY444" s="135">
        <f>IF(AND($B442=" ",$K444=AY$3),$O444,0)</f>
        <v>0</v>
      </c>
      <c r="AZ444" s="136">
        <f>IF(AND($B442=" ",$K444=AZ$3),$O444,0)</f>
        <v>0</v>
      </c>
      <c r="BA444" s="136">
        <f>IF(AND($B442=" ",$K444=BA$3),$O444,0)</f>
        <v>0</v>
      </c>
      <c r="BB444" s="136">
        <f>IF(AND($B442=" ",$K444=BB$3),$O444,0)</f>
        <v>0</v>
      </c>
      <c r="BC444" s="137">
        <f>IF(AND($B442=" ",$K444=BC$3),$O444,0)</f>
        <v>0</v>
      </c>
      <c r="BD444" s="133">
        <f>IF(AND($B442=" ",$K444=BD$3),$O444,0)</f>
        <v>0</v>
      </c>
      <c r="BE444" s="134">
        <f>IF(AND($B442=" ",$K444=BE$3),$O444,0)</f>
        <v>0</v>
      </c>
      <c r="BF444" s="132">
        <f>IF($K444=BF$3,IF($C444="X",0,$O444),0)</f>
        <v>0</v>
      </c>
      <c r="BG444" s="281">
        <f>IF($K444=BG$3,IF($C444="X",0,$O444),0)</f>
        <v>0</v>
      </c>
      <c r="BH444" s="133">
        <f>IF($K444=BH$3,IF($C444="X",0,$O444),0)</f>
        <v>0</v>
      </c>
      <c r="BI444" s="133">
        <f>IF($K444=BI$3,IF($C444="X",0,$O444),0)</f>
        <v>0</v>
      </c>
      <c r="BJ444" s="133">
        <f>IF($K444=BJ$3,IF($C444="X",0,$O444),0)</f>
        <v>0</v>
      </c>
      <c r="BK444" s="133">
        <f>IF($K444=BK$3,IF($C444="X",0,$O444),0)</f>
        <v>0</v>
      </c>
      <c r="BL444" s="133">
        <f>IF($K444=BL$3,IF($C444="X",0,$O444),0)</f>
        <v>0</v>
      </c>
      <c r="BM444" s="135">
        <f>IF($K444=BM$3,IF($C444="X",0,$O444),0)</f>
        <v>0</v>
      </c>
      <c r="BN444" s="136">
        <f>IF($K444=BN$3,IF($C444="X",0,$O444),0)</f>
        <v>0</v>
      </c>
      <c r="BO444" s="136">
        <f>IF($K444=BO$3,IF($C444="X",0,$O444),0)</f>
        <v>0</v>
      </c>
      <c r="BP444" s="136">
        <f>IF($K444=BP$3,IF($C444="X",0,$O444),0)</f>
        <v>0</v>
      </c>
      <c r="BQ444" s="137">
        <f>IF($K444=BQ$3,IF($C444="X",0,$O444),0)</f>
        <v>0</v>
      </c>
      <c r="BR444" s="134">
        <f>IF($K444=BR$3,IF($C444="X",0,$O444),0)</f>
        <v>0</v>
      </c>
      <c r="BS444" s="282"/>
      <c r="BT444" s="283"/>
      <c r="BU444" s="140"/>
      <c r="BV444" s="283"/>
      <c r="BW444" s="140"/>
      <c r="BX444" s="140"/>
      <c r="BY444" s="140"/>
      <c r="BZ444" s="283"/>
      <c r="CA444" s="140"/>
      <c r="CB444" s="140"/>
      <c r="CC444" s="140"/>
      <c r="CD444" s="141"/>
      <c r="CE444" s="142"/>
      <c r="CF444" s="284">
        <f>IF(CF$3=$K444,IF($C444="W",1,IF($C444="1/2W",0.5,0)),0)</f>
        <v>0</v>
      </c>
      <c r="CG444" s="285">
        <f>IF(CF$3=$K444,IF($C444="L",1,IF($C444="1/2L",0.5,0)),0)</f>
        <v>0</v>
      </c>
      <c r="CH444" s="285">
        <f>IF(CH$3=$K444,IF($C444="W",1,IF($C444="1/2W",0.5,0)),0)</f>
        <v>0</v>
      </c>
      <c r="CI444" s="285">
        <f>IF(CH$3=$K444,IF($C444="L",1,IF($C444="1/2L",0.5,0)),0)</f>
        <v>0</v>
      </c>
      <c r="CJ444" s="285">
        <f>IF(CJ$3=$K444,IF($C444="W",1,IF($C444="1/2W",0.5,0)),0)</f>
        <v>0</v>
      </c>
      <c r="CK444" s="285">
        <f>IF(CJ$3=$K444,IF($C444="L",1,IF($C444="1/2L",0.5,0)),0)</f>
        <v>0</v>
      </c>
      <c r="CL444" s="285">
        <f>IF(CL$3=$K444,IF($C444="W",1,IF($C444="1/2W",0.5,0)),0)</f>
        <v>0</v>
      </c>
      <c r="CM444" s="285">
        <f>IF(CL$3=$K444,IF($C444="L",1,IF($C444="1/2L",0.5,0)),0)</f>
        <v>0</v>
      </c>
      <c r="CN444" s="285">
        <f>IF(CN$3=$K444,IF($C444="W",1,IF($C444="1/2W",0.5,0)),0)</f>
        <v>0</v>
      </c>
      <c r="CO444" s="285">
        <f>IF(CN$3=$K444,IF($C444="L",1,IF($C444="1/2L",0.5,0)),0)</f>
        <v>0</v>
      </c>
      <c r="CP444" s="285">
        <f>IF(CP$3=$K444,IF($C444="W",1,IF($C444="1/2W",0.5,0)),0)</f>
        <v>0</v>
      </c>
      <c r="CQ444" s="285">
        <f>IF(CP$3=$K444,IF($C444="L",1,IF($C444="1/2L",0.5,0)),0)</f>
        <v>0</v>
      </c>
      <c r="CR444" s="285">
        <f>IF(CR$3=$K444,IF($C444="W",1,IF($C444="1/2W",0.5,0)),0)</f>
        <v>0</v>
      </c>
      <c r="CS444" s="285">
        <f>IF(CR$3=$K444,IF($C444="L",1,IF($C444="1/2L",0.5,0)),0)</f>
        <v>0</v>
      </c>
      <c r="CT444" s="145">
        <f>IF(CT$3=$K444,IF($C444="W",1,IF($C444="1/2W",0.5,0)),0)</f>
        <v>0</v>
      </c>
      <c r="CU444" s="146">
        <f>IF(CT$3=$K444,IF($C444="L",1,IF($C444="1/2L",0.5,0)),0)</f>
        <v>0</v>
      </c>
      <c r="CV444" s="146">
        <f>IF(CV$3=$K444,IF($C444="W",1,IF($C444="1/2W",0.5,0)),0)</f>
        <v>0</v>
      </c>
      <c r="CW444" s="146">
        <f>IF(CV$3=$K444,IF($C444="L",1,IF($C444="1/2L",0.5,0)),0)</f>
        <v>0</v>
      </c>
      <c r="CX444" s="146">
        <f>IF(CX$3=$K444,IF($C444="W",1,IF($C444="1/2W",0.5,0)),0)</f>
        <v>0</v>
      </c>
      <c r="CY444" s="146">
        <f>IF(CX$3=$K444,IF($C444="L",1,IF($C444="1/2L",0.5,0)),0)</f>
        <v>0</v>
      </c>
      <c r="CZ444" s="146">
        <f>IF(CZ$3=$K444,IF($C444="W",1,IF($C444="1/2W",0.5,0)),0)</f>
        <v>0</v>
      </c>
      <c r="DA444" s="146">
        <f>IF(CZ$3=$K444,IF($C444="L",1,IF($C444="1/2L",0.5,0)),0)</f>
        <v>0</v>
      </c>
      <c r="DB444" s="146">
        <f>IF(DB$3=$K444,IF($C444="W",1,IF($C444="1/2W",0.5,0)),0)</f>
        <v>0</v>
      </c>
      <c r="DC444" s="146">
        <f>IF(DB$3=$K444,IF($C444="L",1,IF($C444="1/2L",0.5,0)),0)</f>
        <v>0</v>
      </c>
      <c r="DD444" s="146">
        <f>IF(DD$3=$K444,IF($C444="W",1,IF($C444="1/2W",0.5,0)),0)</f>
        <v>0</v>
      </c>
      <c r="DE444" s="147">
        <f>IF(DD$3=$K444,IF($C444="L",1,IF($C444="1/2L",0.5,0)),0)</f>
        <v>0</v>
      </c>
      <c r="DF444" s="143">
        <f>IF(AND(L444&lt;DF$3,$C444="W"),1+DF443,DF443)</f>
        <v>15</v>
      </c>
      <c r="DG444" s="133">
        <f>IF(DF444&gt;DF443,L444+DG443,DG443)</f>
        <v>19.748</v>
      </c>
      <c r="DH444" s="146">
        <f>IF(AND(L444&gt;DH$3,$C444="W"),1+DH443,0+DH443)</f>
        <v>10</v>
      </c>
      <c r="DI444" s="133">
        <f>IF(DH444&gt;DH443,L444+DI443,DI443)</f>
        <v>55.13</v>
      </c>
      <c r="DJ444" t="s" s="304">
        <f>IF($D442="","",$D442)</f>
        <v>342</v>
      </c>
      <c r="DK444" s="286"/>
    </row>
    <row r="445" ht="14.55" customHeight="1">
      <c r="A445" s="171">
        <f>$A442+1</f>
        <v>148</v>
      </c>
      <c r="B445" t="s" s="172">
        <f>IF(AND(_xlfn.XLOOKUP(H445,H$110:H206,G$110:G206,0)=G445,_xlfn.XLOOKUP("TempoBet",K445:K447,L445:L447,0)&gt;0),"X",IF(OR(C445="W",C446="W",C447="W",C445="1/2W",C446="1/2W",C447="1/2W",C445="1/2L",C446="1/2L",C447="1/2L"),"OK",IF(OR(C445="L",C446="L",C447="L"),"LOSS",IF(OR(C445="X",C446="X",C447="X"),"Anulado"," "))))</f>
        <v>50</v>
      </c>
      <c r="C445" t="s" s="173">
        <v>51</v>
      </c>
      <c r="D445" t="s" s="305">
        <v>355</v>
      </c>
      <c r="E445" t="s" s="175">
        <f>IF(G445=""," ","– "&amp;COUNTIF(D$4:D447,$D445))</f>
        <v>52</v>
      </c>
      <c r="F445" t="s" s="176"/>
      <c r="G445" s="177">
        <v>44954.583333333336</v>
      </c>
      <c r="H445" t="s" s="178">
        <v>356</v>
      </c>
      <c r="I445" t="s" s="179">
        <v>65</v>
      </c>
      <c r="J445" s="291">
        <v>26.5</v>
      </c>
      <c r="K445" t="s" s="181">
        <v>37</v>
      </c>
      <c r="L445" s="182">
        <v>1.83</v>
      </c>
      <c r="M445" s="183"/>
      <c r="N445" s="184">
        <v>0.1</v>
      </c>
      <c r="O445" s="185">
        <f>IF(OR(AE445="",AE446=""),"",ROUND(IF(L447&gt;0,IF(M445&gt;0,M445,IF(M446&gt;0,ROUND((M446*AE445)/AE446,IF(N445=0,2,IF(N445=0.1,1,0))),ROUND((M447*AE445)/AE447,IF(N445=0,2,IF(N445=0.1,1,0))))),IF(M445&gt;0,M445,ROUND((M446*AE445)/AE446,IF(N445=0,2,IF(N445=0.1,1,0))))),2))</f>
        <v>10.5</v>
      </c>
      <c r="P445" s="186">
        <f>IF(OR(L445="",O445=""),"",IF($C445="1/2W",O445/2+O445/2*L445,IF($C445="1/2L",O445/2,IF(I445="Lay",(O445*(L445/(L445-1))-O445)*(1-_xlfn.XLOOKUP(K445,'Janeiro 2023 - Valor Real'!A3:A15,'Janeiro 2023 - Valor Real'!C3:C15,0))+O445,(O445*L445-O445)*(1-_xlfn.XLOOKUP(K445,'Janeiro 2023 - Valor Real'!A3:A15,'Janeiro 2023 - Valor Real'!C3:C15,0))+O445))))</f>
        <v>19.215</v>
      </c>
      <c r="Q445" s="187">
        <f>IF(K445="","",IF(_xlfn.XLOOKUP(K445,K$110:K206,DJ$110:DJ206,0,,-1)=DJ445,_xlfn.XLOOKUP(K445,K$110:K206,Q$110:Q206,1,,-1)+1,1))</f>
        <v>1</v>
      </c>
      <c r="R445" s="188">
        <f>IF(K445="","",_xlfn.XLOOKUP(K445,K$110:K206,R$110:R206,0,,-1)+IF($C445=" ",1,0))</f>
        <v>0</v>
      </c>
      <c r="S445" s="189">
        <f>IF($B445="Anulado",0,ROUND(IF(OR($B445="LOSS",$B445="OK"),IF(OR($C445="W",$C445="1/2W",$C445="1/2L"),P445-O445,IF($C445="L",-O445,0))+IF(OR($C446="W",$C446="1/2W",$C446="1/2L"),P446-O446,IF($C446="L",-O446,0))+IF(OR($C447="W",$C447="1/2W",$C447="1/2L"),P447-O447,IF($C447="L",-O447,0)),IF(AND(OR($C445="W",$C445="1/2W",$C445="1/2L"),C446="W"),P445+P446-SUM(O445:O447)+_xlfn.XLOOKUP("X",C445:C447,O445:O447,0),IF(AND(C445=TRUE,C447="W"),P445+P447-SUM(O445:O447),IF(AND(C446="W",C447="W"),P446+P447-SUM(O445:O447)+_xlfn.XLOOKUP("X",C445:C447,O445:O447,0),IF(L447&gt;0,IF(OR($C445="W",$C445="1/2W",$C445="1/2L"),P445-SUM(O445:O447)+_xlfn.XLOOKUP("X",C445:C447,O445:O447,0),IF(OR($C445="W",$C445="1/2W",$C445="1/2L"),P446-SUM(O445:O447)+_xlfn.XLOOKUP("X",C445:C447,O445:O447,0),IF(OR($C445="W",$C445="1/2W",$C445="1/2L"),P447-SUM(O445:O447)+_xlfn.XLOOKUP("X",C445:C447,O445:O447,0),IF(SUM(P445:P447)/3-SUM(O445:O447)+_xlfn.XLOOKUP("X",C445:C447,O445:O447,0)&gt;0,SUM(P445:P447)/3-SUM(O445:O447)+_xlfn.XLOOKUP("X",C445:C447,O445:O447,0),LARGE(P445:P447,1)-SUM(O445:O447))))),IF(OR($C445="W",$C445="1/2W",$C445="1/2L"),P445-SUM(O445:O446)+_xlfn.XLOOKUP("X",C445:C447,O445:O447,0),IF(OR($C445="W",$C445="1/2W",$C445="1/2L"),P446-SUM(O445:O446)+_xlfn.XLOOKUP("X",C445:C447,O445:O447,0),SUM(P445:P446)/2-SUM(O445:O446)+_xlfn.XLOOKUP("X",C445:C447,O445:O447,0)))))))),2))</f>
        <v>0.7</v>
      </c>
      <c r="T445" s="190">
        <f>IF(S445=0,0,S445/SUM(O445:O447))</f>
        <v>0.0378378378378378</v>
      </c>
      <c r="U445" s="191">
        <f>IF($D445=$D442,IF(OR($B445="LOSS",$B445="OK",$B445="Anulada"),S445,0)+U442,IF(OR($B445="LOSS",$B445="OK",$B445="Anulada"),S445,0))</f>
        <v>0.7</v>
      </c>
      <c r="V445" s="191">
        <f>IF($D445="",0,IF($D445=$D442,IF($B445=" ",IF(I447="",IF(OR(AND(I445="DNB1",I446="DNB2"),AND(OR(I445="DNB1",I445="DNB2"),J446=0),AND(OR(I446="DNB1",I446="DNB2"),J445=0),AND(I445="DNB2",I446="DNB1"),AND(IF(J445=0,(J445+1)/ROUND(J445+1,0),J445/ROUND(J445,0))=1,IF(J446=0,(J446+1)/ROUND(IF(J446="",0,J446)+1,0),IF(J446="",0,J446)/ROUND(IF(J446="",1,J446),0))=1,OR(J445&lt;&gt;""),J446&lt;&gt;"")),0,IF(S445&lt;0,IF(I447="",SMALL(P445:P446,1)-SUM(O445:O446),0),SMALL(P445:P446,1)-SUM(O445:O446))),IF(S445&lt;0,IF(I447="",SMALL(P445:P447,1)-SUM(O445:O447),0),LARGE(P445:P447,1)-SUM(O445:O447))),S445)+V442,IF(I447="",IF(OR(AND(I445="DNB1",I446="DNB2"),AND(OR(I445="DNB1",I445="DNB2"),J446=0),AND(OR(I446="DNB1",I446="DNB2"),J445=0),AND(I445="DNB2",I446="DNB1"),AND(IF(J445=0,(J445+1)/ROUND(J445+1,0),J445/ROUND(J445,0))=1,IF(J446=0,(IF(J446="",0,J446)+1)/ROUND(IF(J446="",0,J446)+1,0),IF(J446="",0,J446)/ROUND(IF(J446="",0,J446)+1,0))=1,OR(J445&lt;&gt;""),J446&lt;&gt;"")),0,IF(S445&lt;0,IF(I447="",SMALL(P445:P446,1)-SUM(O445:O446),0),SMALL(P445:P447,1)-SUM(O445:O447))),IF(S445&lt;0,IF(I447="",SMALL(P445:P447,1)-SUM(O445:O447),0),LARGE(P445:P447,1)-SUM(O445:O447)))))</f>
        <v>0.7</v>
      </c>
      <c r="W445" s="191">
        <f>IF($D445=$D442,IF(S445&lt;0,IF(I447="",S445,0),S445)+W442,S445)</f>
        <v>0.7</v>
      </c>
      <c r="X445" t="s" s="192">
        <f>IF(OR(SUM(R445:R447)=0,V445=W445),ROUND(IF(W445=0,0,W445/Y445)*100,2)&amp;"%",ROUND(IF(V445=0,0,V445/Y445)*100,2)&amp;"% a "&amp;ROUND(IF(W445=0,0,W445/Y445)*100,2)&amp;"%")</f>
        <v>357</v>
      </c>
      <c r="Y445" s="193">
        <f>IF($D445=$D442,Y442+SUM(O445:O447),SUM(O445:O447))</f>
        <v>18.5</v>
      </c>
      <c r="Z445" s="191">
        <f>IF($B445=" ",SUM(O445:O447),0)+Z442</f>
        <v>0</v>
      </c>
      <c r="AA445" s="191">
        <f>IF(G445="","",IF($B445="Anulado",LARGE(P445:P447,1)-SUM(O445:O447)+AA442,AA442))</f>
        <v>22.2257</v>
      </c>
      <c r="AB445" s="191">
        <f>IF($D445="","",AB442+S445)</f>
        <v>308.55</v>
      </c>
      <c r="AC445" s="194">
        <f>IF($D445="","",IF($B445=" ",IF(DAY(G445)=DAY(TODAY()),1+AC442,0+AC442),0+AC442))</f>
        <v>0</v>
      </c>
      <c r="AD445" s="195">
        <f>(((L446/(L446-1)-1)*(1-_xlfn.XLOOKUP(K446,'Janeiro 2023 - Valor Real'!A3:A15,'Janeiro 2023 - Valor Real'!C3:C15,0))+1))/(((L445-1)*(1-_xlfn.XLOOKUP(K445,'Janeiro 2023 - Valor Real'!A3:A15,'Janeiro 2023 - Valor Real'!C3:C15,0))+1)+((L446/(L446-1)-1)*(1-_xlfn.XLOOKUP(K446,'Janeiro 2023 - Valor Real'!A3:A15,'Janeiro 2023 - Valor Real'!C3:C15,0))+1))</f>
        <v>0.483675937122128</v>
      </c>
      <c r="AE445" s="196">
        <f>IF(L445="","",IF(L447&gt;0,(SUM(((L445-1)*(1-_xlfn.XLOOKUP(K445,'Janeiro 2023 - Valor Real'!A3:A15,'Janeiro 2023 - Valor Real'!C3:C15,0))+1),((L446-1)*(1-_xlfn.XLOOKUP(K446,'Janeiro 2023 - Valor Real'!A3:A15,'Janeiro 2023 - Valor Real'!C3:C15,0))+1),((L447-1)*(1-_xlfn.XLOOKUP(K447,'Janeiro 2023 - Valor Real'!A3:A15,'Janeiro 2023 - Valor Real'!C3:C15,0))+1))/((L445-1)*(1-_xlfn.XLOOKUP(K445,'Janeiro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Real'!C3:C15,0))+1))/((L445-1)*(1-_xlfn.XLOOKUP(K445,'Janeiro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Real'!C3:C15,0))+1))/((L446-1)*(1-_xlfn.XLOOKUP(K446,'Janeiro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Real'!C3:C15,0))+1))/((L447-1)*(1-_xlfn.XLOOKUP(K447,'Janeiro 2023 - Valor Real'!A3:A15,'Janeiro 2023 - Valor Real'!C3:C15,0))+1)),IF(I445="Lay",IF(I446="Lay",((L446/(L446-1)-1)*(1-_xlfn.XLOOKUP(K446,'Janeiro 2023 - Valor Real'!A3:A15,'Janeiro 2023 - Valor Real'!C3:C15,0))+1)/(((L446/(L446-1)-1)*(1-_xlfn.XLOOKUP(K446,'Janeiro 2023 - Valor Real'!A3:A15,'Janeiro 2023 - Valor Real'!C3:C15,0))+1)+((L445/(L445-1)-1)*(1-_xlfn.XLOOKUP(K445,'Janeiro 2023 - Valor Real'!A3:A15,'Janeiro 2023 - Valor Real'!C3:C15,0))+1)),((L446-1)*(1-_xlfn.XLOOKUP(K446,'Janeiro 2023 - Valor Real'!A3:A15,'Janeiro 2023 - Valor Real'!C3:C15,0))+1)/(((L446-1)*(1-_xlfn.XLOOKUP(K446,'Janeiro 2023 - Valor Real'!A3:A15,'Janeiro 2023 - Valor Real'!C3:C15,0))+1)+((L445/(L445-1)-1)*(1-_xlfn.XLOOKUP(K445,'Janeiro 2023 - Valor Real'!A3:A15,'Janeiro 2023 - Valor Real'!C3:C15,0))+1))),IF(I446="Lay",(((L446/(L446-1)-1)*(1-_xlfn.XLOOKUP(K446,'Janeiro 2023 - Valor Real'!A3:A15,'Janeiro 2023 - Valor Real'!C3:C15,0))+1))/(((L445-1)*(1-_xlfn.XLOOKUP(K445,'Janeiro 2023 - Valor Real'!A3:A15,'Janeiro 2023 - Valor Real'!C3:C15,0))+1)+((L446/(L446-1)-1)*(1-_xlfn.XLOOKUP(K446,'Janeiro 2023 - Valor Real'!A3:A15,'Janeiro 2023 - Valor Real'!C3:C15,0))+1)),((L446-1)*(1-_xlfn.XLOOKUP(K446,'Janeiro 2023 - Valor Real'!A3:A15,'Janeiro 2023 - Valor Real'!C3:C15,0))+1)/(((L446-1)*(1-_xlfn.XLOOKUP(K446,'Janeiro 2023 - Valor Real'!A3:A15,'Janeiro 2023 - Valor Real'!C3:C15,0))+1)+((L445-1)*(1-_xlfn.XLOOKUP(K445,'Janeiro 2023 - Valor Real'!A3:A15,'Janeiro 2023 - Valor Real'!C3:C15,0))+1))))))</f>
        <v>0.567375886524823</v>
      </c>
      <c r="AF445" s="197">
        <f>IF($K445=AF$3,ROUND(IF(OR($C445="W",$C445="1/2W",$C445="1/2L"),$P445-$O445,IF($C445="X",0,-$O445)),2),0)</f>
        <v>-10.5</v>
      </c>
      <c r="AG445" s="198">
        <f>IF($K445=AG$3,ROUND(IF(OR($C445="W",$C445="1/2W",$C445="1/2L"),$P445-$O445,IF($C445="X",0,-$O445)),2),0)</f>
        <v>0</v>
      </c>
      <c r="AH445" s="198">
        <f>IF($K445=AH$3,ROUND(IF(OR($C445="W",$C445="1/2W",$C445="1/2L"),$P445-$O445,IF($C445="X",0,-$O445)),2),0)</f>
        <v>0</v>
      </c>
      <c r="AI445" s="198">
        <f>IF($K445=AI$3,ROUND(IF(OR($C445="W",$C445="1/2W",$C445="1/2L"),$P445-$O445,IF($C445="X",0,-$O445)),2),0)</f>
        <v>0</v>
      </c>
      <c r="AJ445" s="198">
        <f>IF($K445=AJ$3,ROUND(IF(OR($C445="W",$C445="1/2W",$C445="1/2L"),$P445-$O445,IF($C445="X",0,-$O445)),2),0)</f>
        <v>0</v>
      </c>
      <c r="AK445" s="198">
        <f>IF($K445=AK$3,ROUND(IF(OR($C445="W",$C445="1/2W",$C445="1/2L"),$P445-$O445,IF($C445="X",0,-$O445)),2),0)</f>
        <v>0</v>
      </c>
      <c r="AL445" s="198">
        <f>IF($K445=AL$3,ROUND(IF(OR($C445="W",$C445="1/2W",$C445="1/2L"),$P445-$O445,IF($C445="X",0,-$O445)),2),0)</f>
        <v>0</v>
      </c>
      <c r="AM445" s="198">
        <f>IF($K445=AM$3,ROUND(IF(OR($C445="W",$C445="1/2W",$C445="1/2L"),$P445-$O445,IF($C445="X",0,-$O445)),2),0)</f>
        <v>0</v>
      </c>
      <c r="AN445" s="198">
        <f>IF($K445=AN$3,ROUND(IF(OR($C445="W",$C445="1/2W",$C445="1/2L"),$P445-$O445,IF($C445="X",0,-$O445)),2),0)</f>
        <v>0</v>
      </c>
      <c r="AO445" s="198">
        <f>IF($K445=AO$3,ROUND(IF(OR($C445="W",$C445="1/2W",$C445="1/2L"),$P445-$O445,IF($C445="X",0,-$O445)),2),0)</f>
        <v>0</v>
      </c>
      <c r="AP445" s="198">
        <f>IF($K445=AP$3,ROUND(IF(OR($C445="W",$C445="1/2W",$C445="1/2L"),$P445-$O445,IF($C445="X",0,-$O445)),2),0)</f>
        <v>0</v>
      </c>
      <c r="AQ445" s="198">
        <f>IF($K445=AQ$3,ROUND(IF(OR($C445="W",$C445="1/2W",$C445="1/2L"),$P445-$O445,IF($C445="X",0,-$O445)),2),0)</f>
        <v>0</v>
      </c>
      <c r="AR445" s="199">
        <f>IF($K445=AR$3,ROUND(IF(OR($C445="W",$C445="1/2W",$C445="1/2L"),$P445-$O445,IF($C445="X",0,-$O445)),2),0)</f>
        <v>0</v>
      </c>
      <c r="AS445" s="197">
        <f>IF(AND($B445=" ",$K445=AS$3),$O445,0)</f>
        <v>0</v>
      </c>
      <c r="AT445" s="198">
        <f>IF(AND($B445=" ",$K445=AT$3),$O445,0)</f>
        <v>0</v>
      </c>
      <c r="AU445" s="198">
        <f>IF(AND($B445=" ",$K445=AU$3),$O445,0)</f>
        <v>0</v>
      </c>
      <c r="AV445" s="198">
        <f>IF(AND($B445=" ",$K445=AV$3),$O445,0)</f>
        <v>0</v>
      </c>
      <c r="AW445" s="198">
        <f>IF(AND($B445=" ",$K445=AW$3),$O445,0)</f>
        <v>0</v>
      </c>
      <c r="AX445" s="198">
        <f>IF(AND($B445=" ",$K445=AX$3),$O445,0)</f>
        <v>0</v>
      </c>
      <c r="AY445" s="200">
        <f>IF(AND($B445=" ",$K445=AY$3),$O445,0)</f>
        <v>0</v>
      </c>
      <c r="AZ445" s="201">
        <f>IF(AND($B445=" ",$K445=AZ$3),$O445,0)</f>
        <v>0</v>
      </c>
      <c r="BA445" s="201">
        <f>IF(AND($B445=" ",$K445=BA$3),$O445,0)</f>
        <v>0</v>
      </c>
      <c r="BB445" s="201">
        <f>IF(AND($B445=" ",$K445=BB$3),$O445,0)</f>
        <v>0</v>
      </c>
      <c r="BC445" s="202">
        <f>IF(AND($B445=" ",$K445=BC$3),$O445,0)</f>
        <v>0</v>
      </c>
      <c r="BD445" s="198">
        <f>IF(AND($B445=" ",$K445=BD$3),$O445,0)</f>
        <v>0</v>
      </c>
      <c r="BE445" s="199">
        <f>IF(AND($B445=" ",$K445=BE$3),$O445,0)</f>
        <v>0</v>
      </c>
      <c r="BF445" s="203">
        <f>IF($K445=BF$3,IF($C445="X",0,$O445),0)</f>
        <v>10.5</v>
      </c>
      <c r="BG445" s="198">
        <f>IF($K445=BG$3,IF($C445="X",0,$O445),0)</f>
        <v>0</v>
      </c>
      <c r="BH445" s="198">
        <f>IF($K445=BH$3,IF($C445="X",0,$O445),0)</f>
        <v>0</v>
      </c>
      <c r="BI445" s="198">
        <f>IF($K445=BI$3,IF($C445="X",0,$O445),0)</f>
        <v>0</v>
      </c>
      <c r="BJ445" s="198">
        <f>IF($K445=BJ$3,IF($C445="X",0,$O445),0)</f>
        <v>0</v>
      </c>
      <c r="BK445" s="198">
        <f>IF($K445=BK$3,IF($C445="X",0,$O445),0)</f>
        <v>0</v>
      </c>
      <c r="BL445" s="198">
        <f>IF($K445=BL$3,IF($C445="X",0,$O445),0)</f>
        <v>0</v>
      </c>
      <c r="BM445" s="200">
        <f>IF($K445=BM$3,IF($C445="X",0,$O445),0)</f>
        <v>0</v>
      </c>
      <c r="BN445" s="201">
        <f>IF($K445=BN$3,IF($C445="X",0,$O445),0)</f>
        <v>0</v>
      </c>
      <c r="BO445" s="201">
        <f>IF($K445=BO$3,IF($C445="X",0,$O445),0)</f>
        <v>0</v>
      </c>
      <c r="BP445" s="201">
        <f>IF($K445=BP$3,IF($C445="X",0,$O445),0)</f>
        <v>0</v>
      </c>
      <c r="BQ445" s="202">
        <f>IF($K445=BQ$3,IF($C445="X",0,$O445),0)</f>
        <v>0</v>
      </c>
      <c r="BR445" s="199">
        <f>IF($K445=BR$3,IF($C445="X",0,$O445),0)</f>
        <v>0</v>
      </c>
      <c r="BS445" s="204">
        <f>IF($B445="LOSS",IF(AND($K445=BS$3,$C445="L"),-$O445,0)+IF(AND($K446=BS$3,$C446="L"),-$O446,0)+IF(AND($K447=BS$3,$C447="L"),-$O447,0),IF(OR(AND($K445=BS$3,OR($C445="W",$C445="1/2W")),AND($K446=BS$3,OR($C446="W",$C446="1/2W")),AND($K447=BS$3,OR($C447="W",$C447="1/2W"))),$S445,0))</f>
        <v>0</v>
      </c>
      <c r="BT445" s="201">
        <f>IF($B445="LOSS",IF(AND($K445=BT$3,$C445="L"),-$O445,0)+IF(AND($K446=BT$3,$C446="L"),-$O446,0)+IF(AND($K446=BT$3,$C447="L"),-$O447,0),IF(OR(AND($K446=BT$3,OR($C445="W",$C445="1/2W")),AND($K446=BT$3,OR($C446="W",$C446="1/2W")),AND($K446=BT$3,OR($C447="W",$C447="1/2W"))),$S445,0))</f>
        <v>0</v>
      </c>
      <c r="BU445" s="201">
        <f>IF($B445="LOSS",IF(AND($K445=BU$3,$C445="L"),-$O445,0)+IF(AND($K446=BU$3,$C446="L"),-$O446,0)+IF(AND($K446=BU$3,$C447="L"),-$O447,0),IF(OR(AND($K446=BU$3,OR($C445="W",$C445="1/2W")),AND($K446=BU$3,OR($C446="W",$C446="1/2W")),AND($K446=BU$3,OR($C447="W",$C447="1/2W"))),$S445,0))</f>
        <v>0</v>
      </c>
      <c r="BV445" s="201">
        <f>IF($B445="LOSS",IF(AND($K445=BV$3,$C445="L"),-$O445,0)+IF(AND($K446=BV$3,$C446="L"),-$O446,0)+IF(AND($K447=BV$3,$C447="L"),-$O447,0),IF(OR(AND($K445=BV$3,OR($C445="W",$C445="1/2W")),AND($K446=BV$3,OR($C446="W",$C446="1/2W")),AND($K447=BV$3,OR($C447="W",$C447="1/2W"))),$S445,0))</f>
        <v>0</v>
      </c>
      <c r="BW445" s="201">
        <f>IF($B445="LOSS",IF(AND($K445=BW$3,$C445="L"),-$O445,0)+IF(AND($K446=BW$3,$C446="L"),-$O446,0)+IF(AND($K447=BW$3,$C447="L"),-$O447,0),IF(OR(AND($K445=BW$3,OR($C445="W",$C445="1/2W")),AND($K446=BW$3,OR($C446="W",$C446="1/2W")),AND($K447=BW$3,OR($C447="W",$C447="1/2W"))),$S445,0))</f>
        <v>0.7</v>
      </c>
      <c r="BX445" s="201">
        <f>IF($B445="LOSS",IF(AND($K445=BX$3,$C445="L"),-$O445,0)+IF(AND($K446=BX$3,$C446="L"),-$O446,0)+IF(AND($K447=BX$3,$C447="L"),-$O447,0),IF(OR(AND($K445=BX$3,OR($C445="W",$C445="1/2W")),AND($K446=BX$3,OR($C446="W",$C446="1/2W")),AND($K447=BX$3,OR($C447="W",$C447="1/2W"))),$S445,0))</f>
        <v>0</v>
      </c>
      <c r="BY445" s="201">
        <f>IF($B445="LOSS",IF(AND($K445=BY$3,$C445="L"),-$O445,0)+IF(AND($K446=BY$3,$C446="L"),-$O446,0)+IF(AND($K447=BY$3,$C447="L"),-$O447,0),IF(OR(AND($K445=BY$3,OR($C445="W",$C445="1/2W")),AND($K446=BY$3,OR($C446="W",$C446="1/2W")),AND($K447=BY$3,OR($C447="W",$C447="1/2W"))),$S445,0))</f>
        <v>0</v>
      </c>
      <c r="BZ445" s="205">
        <f>IF($B445="LOSS",IF(AND($K445=BZ$3,$C445="L"),-$O445,0)+IF(AND($K446=BZ$3,$C446="L"),-$O446,0)+IF(AND($K447=BZ$3,$C447="L"),-$O447,0),IF(OR(AND($K445=BZ$3,OR($C445="W",$C445="1/2W")),AND($K446=BZ$3,OR($C446="W",$C446="1/2W")),AND($K447=BZ$3,OR($C447="W",$C447="1/2W"))),$S445,0))</f>
        <v>0</v>
      </c>
      <c r="CA445" s="205">
        <f>IF($B445="LOSS",IF(AND($K445=CA$3,$C445="L"),-$O445,0)+IF(AND($K446=CA$3,$C446="L"),-$O446,0)+IF(AND($K447=CA$3,$C447="L"),-$O447,0),IF(OR(AND($K445=CA$3,OR($C445="W",$C445="1/2W")),AND($K446=CA$3,OR($C446="W",$C446="1/2W")),AND($K447=CA$3,OR($C447="W",$C447="1/2W"))),$S445,0))</f>
        <v>0</v>
      </c>
      <c r="CB445" s="205">
        <f>IF($B445="LOSS",IF(AND($K445=CB$3,$C445="L"),-$O445,0)+IF(AND($K446=CB$3,$C446="L"),-$O446,0)+IF(AND($K447=CB$3,$C447="L"),-$O447,0),IF(OR(AND($K445=CB$3,OR($C445="W",$C445="1/2W")),AND($K446=CB$3,OR($C446="W",$C446="1/2W")),AND($K447=CB$3,OR($C447="W",$C447="1/2W"))),$S445,0))</f>
        <v>0</v>
      </c>
      <c r="CC445" s="205">
        <f>IF($B445="LOSS",IF(AND($K445=CC$3,$C445="L"),-$O445,0)+IF(AND($K446=CC$3,$C446="L"),-$O446,0)+IF(AND($K447=CC$3,$C447="L"),-$O447,0),IF(OR(AND($K445=CC$3,OR($C445="W",$C445="1/2W")),AND($K446=CC$3,OR($C446="W",$C446="1/2W")),AND($K447=CC$3,OR($C447="W",$C447="1/2W"))),$S445,0))</f>
        <v>0</v>
      </c>
      <c r="CD445" s="202">
        <f>IF($B445="LOSS",IF(AND($K445=CD$3,$C445="L"),-$O445,0)+IF(AND($K446=CD$3,$C446="L"),-$O446,0)+IF(AND($K447=CD$3,$C447="L"),-$O447,0),IF(OR(AND($K445=CD$3,OR($C445="W",$C445="1/2W")),AND($K446=CD$3,OR($C446="W",$C446="1/2W")),AND($K447=CD$3,OR($C447="W",$C447="1/2W"))),$S445,0))</f>
        <v>0</v>
      </c>
      <c r="CE445" s="199">
        <f>IF($B445="LOSS",IF(AND($K445=CE$3,$C445="L"),-$O445,0)+IF(AND($K446=CE$3,$C446="L"),-$O446,0)+IF(AND($K447=CE$3,$C447="L"),-$O447,0),IF(OR(AND($K445=CE$3,OR($C445="W",$C445="1/2W")),AND($K446=CE$3,OR($C446="W",$C446="1/2W")),AND($K447=CE$3,OR($C447="W",$C447="1/2W"))),$S445,0))</f>
        <v>0</v>
      </c>
      <c r="CF445" s="206">
        <f>IF(CF$3=$K445,IF($C445="W",1,IF($C445="1/2W",0.5,0)),0)</f>
        <v>0</v>
      </c>
      <c r="CG445" s="207">
        <f>IF(CF$3=$K445,IF($C445="L",1,IF($C445="1/2L",0.5,0)),0)</f>
        <v>1</v>
      </c>
      <c r="CH445" s="207">
        <f>IF(CH$3=$K445,IF($C445="W",1,IF($C445="1/2W",0.5,0)),0)</f>
        <v>0</v>
      </c>
      <c r="CI445" s="207">
        <f>IF(CH$3=$K445,IF($C445="L",1,IF($C445="1/2L",0.5,0)),0)</f>
        <v>0</v>
      </c>
      <c r="CJ445" s="207">
        <f>IF(CJ$3=$K445,IF($C445="W",1,IF($C445="1/2W",0.5,0)),0)</f>
        <v>0</v>
      </c>
      <c r="CK445" s="207">
        <f>IF(CJ$3=$K445,IF($C445="L",1,IF($C445="1/2L",0.5,0)),0)</f>
        <v>0</v>
      </c>
      <c r="CL445" s="207">
        <f>IF(CL$3=$K445,IF($C445="W",1,IF($C445="1/2W",0.5,0)),0)</f>
        <v>0</v>
      </c>
      <c r="CM445" s="207">
        <f>IF(CL$3=$K445,IF($C445="L",1,IF($C445="1/2L",0.5,0)),0)</f>
        <v>0</v>
      </c>
      <c r="CN445" s="207">
        <f>IF(CN$3=$K445,IF($C445="W",1,IF($C445="1/2W",0.5,0)),0)</f>
        <v>0</v>
      </c>
      <c r="CO445" s="207">
        <f>IF(CN$3=$K445,IF($C445="L",1,IF($C445="1/2L",0.5,0)),0)</f>
        <v>0</v>
      </c>
      <c r="CP445" s="207">
        <f>IF(CP$3=$K445,IF($C445="W",1,IF($C445="1/2W",0.5,0)),0)</f>
        <v>0</v>
      </c>
      <c r="CQ445" s="207">
        <f>IF(CP$3=$K445,IF($C445="L",1,IF($C445="1/2L",0.5,0)),0)</f>
        <v>0</v>
      </c>
      <c r="CR445" s="207">
        <f>IF(CR$3=$K445,IF($C445="W",1,IF($C445="1/2W",0.5,0)),0)</f>
        <v>0</v>
      </c>
      <c r="CS445" s="207">
        <f>IF(CR$3=$K445,IF($C445="L",1,IF($C445="1/2L",0.5,0)),0)</f>
        <v>0</v>
      </c>
      <c r="CT445" s="208">
        <f>IF(CT$3=$K445,IF($C445="W",1,IF($C445="1/2W",0.5,0)),0)</f>
        <v>0</v>
      </c>
      <c r="CU445" s="209">
        <f>IF(CT$3=$K445,IF($C445="L",1,IF($C445="1/2L",0.5,0)),0)</f>
        <v>0</v>
      </c>
      <c r="CV445" s="209">
        <f>IF(CV$3=$K445,IF($C445="W",1,IF($C445="1/2W",0.5,0)),0)</f>
        <v>0</v>
      </c>
      <c r="CW445" s="209">
        <f>IF(CV$3=$K445,IF($C445="L",1,IF($C445="1/2L",0.5,0)),0)</f>
        <v>0</v>
      </c>
      <c r="CX445" s="209">
        <f>IF(CX$3=$K445,IF($C445="W",1,IF($C445="1/2W",0.5,0)),0)</f>
        <v>0</v>
      </c>
      <c r="CY445" s="209">
        <f>IF(CX$3=$K445,IF($C445="L",1,IF($C445="1/2L",0.5,0)),0)</f>
        <v>0</v>
      </c>
      <c r="CZ445" s="209">
        <f>IF(CZ$3=$K445,IF($C445="W",1,IF($C445="1/2W",0.5,0)),0)</f>
        <v>0</v>
      </c>
      <c r="DA445" s="209">
        <f>IF(CZ$3=$K445,IF($C445="L",1,IF($C445="1/2L",0.5,0)),0)</f>
        <v>0</v>
      </c>
      <c r="DB445" s="209">
        <f>IF(DB$3=$K445,IF($C445="W",1,IF($C445="1/2W",0.5,0)),0)</f>
        <v>0</v>
      </c>
      <c r="DC445" s="209">
        <f>IF(DB$3=$K445,IF($C445="L",1,IF($C445="1/2L",0.5,0)),0)</f>
        <v>0</v>
      </c>
      <c r="DD445" s="209">
        <f>IF(DD$3=$K445,IF($C445="W",1,IF($C445="1/2W",0.5,0)),0)</f>
        <v>0</v>
      </c>
      <c r="DE445" s="210">
        <f>IF(DD$3=$K445,IF($C445="L",1,IF($C445="1/2L",0.5,0)),0)</f>
        <v>0</v>
      </c>
      <c r="DF445" s="211">
        <f>IF(AND(L445&lt;DF$3,$C445="W"),1+DF444,DF444)</f>
        <v>15</v>
      </c>
      <c r="DG445" s="198">
        <f>IF(DF445&gt;DF444,L445+DG444,DG444)</f>
        <v>19.748</v>
      </c>
      <c r="DH445" s="209">
        <f>IF(AND(L445&gt;DH$3,$C445="W"),1+DH444,0+DH444)</f>
        <v>10</v>
      </c>
      <c r="DI445" s="198">
        <f>IF(DH445&gt;DH444,L445+DI444,DI444)</f>
        <v>55.13</v>
      </c>
      <c r="DJ445" t="s" s="306">
        <f>IF($D445="","",$D445)</f>
        <v>358</v>
      </c>
      <c r="DK445" s="209">
        <f>IF(AND($B445=" ",$D445&lt;&gt;""),1,0)</f>
        <v>0</v>
      </c>
    </row>
    <row r="446" ht="14.55" customHeight="1">
      <c r="A446" s="107"/>
      <c r="B446" s="108"/>
      <c r="C446" t="s" s="213">
        <v>56</v>
      </c>
      <c r="D446" s="110"/>
      <c r="E446" s="111"/>
      <c r="F446" s="113"/>
      <c r="G446" s="214"/>
      <c r="H446" s="114"/>
      <c r="I446" t="s" s="215">
        <v>67</v>
      </c>
      <c r="J446" s="296">
        <v>27.5</v>
      </c>
      <c r="K446" t="s" s="217">
        <v>41</v>
      </c>
      <c r="L446" s="218">
        <v>2.4</v>
      </c>
      <c r="M446" s="219">
        <v>8</v>
      </c>
      <c r="N446" s="120"/>
      <c r="O446" s="220">
        <f>IF(OR(AE445="",AE446=""),"",ROUND(IF(L447&gt;0,IF(M446&gt;0,M446,IF(M445&gt;0,IF(N445=TRUE,ROUND((M445*AE446)/AE445,0),(M445*AE446)/AE445),IF(M446&gt;0,ROUND(M446,IF(N445=0,2,IF(N445=0.1,1,0))),IF(M447&gt;0,ROUND(O447*AE446/AE447,IF(N445=0,2,IF(N445=0.1,1,0))),0)))),IF(M446&gt;0,M446,ROUND((M445*AE446)/AE445,IF(N445=0,2,IF(N445=0.1,1,0))))),2))</f>
        <v>8</v>
      </c>
      <c r="P446" s="221">
        <f>IF(OR(L446="",O446=""),"",IF($C446="1/2W",O446/2+O446/2*L446,IF($C446="1/2L",O446/2,IF(I446="Lay",((O446*(L446/(L446-1)))-O446)*(1-_xlfn.XLOOKUP(K446,'Janeiro 2023 - Valor Real'!A3:A15,'Janeiro 2023 - Valor Real'!C3:C15,0))+O446,(O446*L446-O446)*(1-_xlfn.XLOOKUP(K446,'Janeiro 2023 - Valor Real'!A3:A15,'Janeiro 2023 - Valor Real'!C3:C15,0))+O446))))</f>
        <v>19.2</v>
      </c>
      <c r="Q446" s="222">
        <f>IF(K446="","",IF(_xlfn.XLOOKUP(K446,K$111:K207,DJ$111:DJ207,0,,-1)=DJ446,_xlfn.XLOOKUP(K446,K$111:K207,Q$111:Q207,1,,-1)+1,1))</f>
        <v>1</v>
      </c>
      <c r="R446" s="223">
        <f>IF(K446="","",_xlfn.XLOOKUP(K446,K$111:K207,R$111:R207,0,,-1)+IF($C446=" ",1,0))</f>
        <v>0</v>
      </c>
      <c r="S446" s="125"/>
      <c r="T446" s="126"/>
      <c r="U446" s="126"/>
      <c r="V446" s="224"/>
      <c r="W446" s="126"/>
      <c r="X446" s="127"/>
      <c r="Y446" s="128"/>
      <c r="Z446" s="129"/>
      <c r="AA446" s="129"/>
      <c r="AB446" s="129"/>
      <c r="AC446" s="129"/>
      <c r="AD446" s="225">
        <f>(((L446/(L446-1)-1)*(1-_xlfn.XLOOKUP(K446,'Janeiro 2023 - Valor Real'!A3:A15,'Janeiro 2023 - Valor Real'!C3:C15,0))+1))</f>
        <v>1.71428571428571</v>
      </c>
      <c r="AE446" s="226">
        <f>IF(L446="","",IF(L447&gt;0,(SUM(((L445-1)*(1-_xlfn.XLOOKUP(K445,'Janeiro 2023 - Valor Real'!A3:A15,'Janeiro 2023 - Valor Real'!C3:C15,0))+1),((L446-1)*(1-_xlfn.XLOOKUP(K446,'Janeiro 2023 - Valor Real'!A3:A15,'Janeiro 2023 - Valor Real'!C3:C15,0))+1),((L447-1)*(1-_xlfn.XLOOKUP(K447,'Janeiro 2023 - Valor Real'!A3:A15,'Janeiro 2023 - Valor Real'!C3:C15,0))+1))/((L446-1)*(1-_xlfn.XLOOKUP(K446,'Janeiro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Real'!C3:C15,0))+1))/((L445-1)*(1-_xlfn.XLOOKUP(K445,'Janeiro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Real'!C3:C15,0))+1))/((L446-1)*(1-_xlfn.XLOOKUP(K446,'Janeiro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Real'!C3:C15,0))+1))/((L447-1)*(1-_xlfn.XLOOKUP(K447,'Janeiro 2023 - Valor Real'!A3:A15,'Janeiro 2023 - Valor Real'!C3:C15,0))+1)),IF(I446="Lay",IF(I445="Lay",((L445/(L445-1)-1)*(1-_xlfn.XLOOKUP(K445,'Janeiro 2023 - Valor Real'!A3:A15,'Janeiro 2023 - Valor Real'!C3:C15,0))+1)/(((L445/(L445-1)-1)*(1-_xlfn.XLOOKUP(K445,'Janeiro 2023 - Valor Real'!A3:A15,'Janeiro 2023 - Valor Real'!C3:C15,0))+1)+((L446/(L446-1)-1)*(1-_xlfn.XLOOKUP(K446,'Janeiro 2023 - Valor Real'!A3:A15,'Janeiro 2023 - Valor Real'!C3:C15,0))+1)),((L445-1)*(1-_xlfn.XLOOKUP(K445,'Janeiro 2023 - Valor Real'!A3:A15,'Janeiro 2023 - Valor Real'!C3:C15,0))+1)/(((L445-1)*(1-_xlfn.XLOOKUP(K445,'Janeiro 2023 - Valor Real'!A3:A15,'Janeiro 2023 - Valor Real'!C3:C15,0))+1)+((L446/(L446-1)-1)*(1-_xlfn.XLOOKUP(K446,'Janeiro 2023 - Valor Real'!A3:A15,'Janeiro 2023 - Valor Real'!C3:C15,0))+1))),IF(I445="Lay",((L445/(L445-1)-1)*(1-_xlfn.XLOOKUP(K445,'Janeiro 2023 - Valor Real'!A3:A15,'Janeiro 2023 - Valor Real'!C3:C15,0))+1)/((((L445/(L445-1)-1)*(1-_xlfn.XLOOKUP(K445,'Janeiro 2023 - Valor Real'!A3:A15,'Janeiro 2023 - Valor Real'!C3:C15,0))+1))+((L446-1)*(1-_xlfn.XLOOKUP(K446,'Janeiro 2023 - Valor Real'!A3:A15,'Janeiro 2023 - Valor Real'!C3:C15,0))+1)),((L445-1)*(1-_xlfn.XLOOKUP(K445,'Janeiro 2023 - Valor Real'!A3:A15,'Janeiro 2023 - Valor Real'!C3:C15,0))+1)/(((L445-1)*(1-_xlfn.XLOOKUP(K445,'Janeiro 2023 - Valor Real'!A3:A15,'Janeiro 2023 - Valor Real'!C3:C15,0))+1)+((L446-1)*(1-_xlfn.XLOOKUP(K446,'Janeiro 2023 - Valor Real'!A3:A15,'Janeiro 2023 - Valor Real'!C3:C15,0))+1))))))</f>
        <v>0.432624113475177</v>
      </c>
      <c r="AF446" s="197">
        <f>IF($K446=AF$3,ROUND(IF(OR($C446="W",$C446="1/2W",$C446="1/2L"),$P446-$O446,IF($C446="X",0,-$O446)),2),0)</f>
        <v>0</v>
      </c>
      <c r="AG446" s="198">
        <f>IF($K446=AG$3,ROUND(IF(OR($C446="W",$C446="1/2W",$C446="1/2L"),$P446-$O446,IF($C446="X",0,-$O446)),2),0)</f>
        <v>0</v>
      </c>
      <c r="AH446" s="198">
        <f>IF($K446=AH$3,ROUND(IF(OR($C446="W",$C446="1/2W",$C446="1/2L"),$P446-$O446,IF($C446="X",0,-$O446)),2),0)</f>
        <v>0</v>
      </c>
      <c r="AI446" s="198">
        <f>IF($K446=AI$3,ROUND(IF(OR($C446="W",$C446="1/2W",$C446="1/2L"),$P446-$O446,IF($C446="X",0,-$O446)),2),0)</f>
        <v>0</v>
      </c>
      <c r="AJ446" s="198">
        <f>IF($K446=AJ$3,ROUND(IF(OR($C446="W",$C446="1/2W",$C446="1/2L"),$P446-$O446,IF($C446="X",0,-$O446)),2),0)</f>
        <v>11.2</v>
      </c>
      <c r="AK446" s="198">
        <f>IF($K446=AK$3,ROUND(IF(OR($C446="W",$C446="1/2W",$C446="1/2L"),$P446-$O446,IF($C446="X",0,-$O446)),2),0)</f>
        <v>0</v>
      </c>
      <c r="AL446" s="198">
        <f>IF($K446=AL$3,ROUND(IF(OR($C446="W",$C446="1/2W",$C446="1/2L"),$P446-$O446,IF($C446="X",0,-$O446)),2),0)</f>
        <v>0</v>
      </c>
      <c r="AM446" s="198">
        <f>IF($K446=AM$3,ROUND(IF(OR($C446="W",$C446="1/2W",$C446="1/2L"),$P446-$O446,IF($C446="X",0,-$O446)),2),0)</f>
        <v>0</v>
      </c>
      <c r="AN446" s="198">
        <f>IF($K446=AN$3,ROUND(IF(OR($C446="W",$C446="1/2W",$C446="1/2L"),$P446-$O446,IF($C446="X",0,-$O446)),2),0)</f>
        <v>0</v>
      </c>
      <c r="AO446" s="198">
        <f>IF($K446=AO$3,ROUND(IF(OR($C446="W",$C446="1/2W",$C446="1/2L"),$P446-$O446,IF($C446="X",0,-$O446)),2),0)</f>
        <v>0</v>
      </c>
      <c r="AP446" s="198">
        <f>IF($K446=AP$3,ROUND(IF(OR($C446="W",$C446="1/2W",$C446="1/2L"),$P446-$O446,IF($C446="X",0,-$O446)),2),0)</f>
        <v>0</v>
      </c>
      <c r="AQ446" s="198">
        <f>IF($K446=AQ$3,ROUND(IF(OR($C446="W",$C446="1/2W",$C446="1/2L"),$P446-$O446,IF($C446="X",0,-$O446)),2),0)</f>
        <v>0</v>
      </c>
      <c r="AR446" s="199">
        <f>IF($K446=AR$3,ROUND(IF(OR($C446="W",$C446="1/2W",$C446="1/2L"),$P446-$O446,IF($C446="X",0,-$O446)),2),0)</f>
        <v>0</v>
      </c>
      <c r="AS446" s="197">
        <f>IF(AND($B445=" ",$K446=AS$3),$O446,0)</f>
        <v>0</v>
      </c>
      <c r="AT446" s="198">
        <f>IF(AND($B445=" ",K446=AT$3),$O446,0)</f>
        <v>0</v>
      </c>
      <c r="AU446" s="198">
        <f>IF(AND($B445=" ",$K446=AU$3),$O446,0)</f>
        <v>0</v>
      </c>
      <c r="AV446" s="198">
        <f>IF(AND($B445=" ",$K446=AV$3),$O446,0)</f>
        <v>0</v>
      </c>
      <c r="AW446" s="198">
        <f>IF(AND($B445=" ",$K446=AW$3),$O446,0)</f>
        <v>0</v>
      </c>
      <c r="AX446" s="198">
        <f>IF(AND($B445=" ",$K446=AX$3),$O446,0)</f>
        <v>0</v>
      </c>
      <c r="AY446" s="200">
        <f>IF(AND($B445=" ",$K446=AY$3),$O446,0)</f>
        <v>0</v>
      </c>
      <c r="AZ446" s="201">
        <f>IF(AND($B445=" ",$K446=AZ$3),$O446,0)</f>
        <v>0</v>
      </c>
      <c r="BA446" s="201">
        <f>IF(AND($B445=" ",$K446=BA$3),$O446,0)</f>
        <v>0</v>
      </c>
      <c r="BB446" s="201">
        <f>IF(AND($B445=" ",$K446=BB$3),$O446,0)</f>
        <v>0</v>
      </c>
      <c r="BC446" s="202">
        <f>IF(AND($B445=" ",$K446=BC$3),$O446,0)</f>
        <v>0</v>
      </c>
      <c r="BD446" s="198">
        <f>IF(AND($B445=" ",$K446=BD$3),$O446,0)</f>
        <v>0</v>
      </c>
      <c r="BE446" s="199">
        <f>IF(AND($B445=" ",$K446=BE$3),$O446,0)</f>
        <v>0</v>
      </c>
      <c r="BF446" s="197">
        <f>IF($K446=BF$3,IF($C446="X",0,$O446),0)</f>
        <v>0</v>
      </c>
      <c r="BG446" s="198">
        <f>IF($K446=BG$3,IF($C446="X",0,$O446),0)</f>
        <v>0</v>
      </c>
      <c r="BH446" s="198">
        <f>IF($K446=BH$3,IF($C446="X",0,$O446),0)</f>
        <v>0</v>
      </c>
      <c r="BI446" s="198">
        <f>IF($K446=BI$3,IF($C446="X",0,$O446),0)</f>
        <v>0</v>
      </c>
      <c r="BJ446" s="198">
        <f>IF($K446=BJ$3,IF($C446="X",0,$O446),0)</f>
        <v>8</v>
      </c>
      <c r="BK446" s="198">
        <f>IF($K446=BK$3,IF($C446="X",0,$O446),0)</f>
        <v>0</v>
      </c>
      <c r="BL446" s="198">
        <f>IF($K446=BL$3,IF($C446="X",0,$O446),0)</f>
        <v>0</v>
      </c>
      <c r="BM446" s="227">
        <f>IF($K446=BM$3,IF($C446="X",0,$O446),0)</f>
        <v>0</v>
      </c>
      <c r="BN446" s="205">
        <f>IF($K446=BN$3,IF($C446="X",0,$O446),0)</f>
        <v>0</v>
      </c>
      <c r="BO446" s="205">
        <f>IF($K446=BO$3,IF($C446="X",0,$O446),0)</f>
        <v>0</v>
      </c>
      <c r="BP446" s="205">
        <f>IF($K446=BP$3,IF($C446="X",0,$O446),0)</f>
        <v>0</v>
      </c>
      <c r="BQ446" s="202">
        <f>IF($K446=BQ$3,IF($C446="X",0,$O446),0)</f>
        <v>0</v>
      </c>
      <c r="BR446" s="199">
        <f>IF($K446=BR$3,IF($C446="X",0,$O446),0)</f>
        <v>0</v>
      </c>
      <c r="BS446" s="228"/>
      <c r="BT446" s="229"/>
      <c r="BU446" s="140"/>
      <c r="BV446" s="229"/>
      <c r="BW446" s="140"/>
      <c r="BX446" s="140"/>
      <c r="BY446" s="140"/>
      <c r="BZ446" s="229"/>
      <c r="CA446" s="140"/>
      <c r="CB446" s="140"/>
      <c r="CC446" s="140"/>
      <c r="CD446" s="141"/>
      <c r="CE446" s="142"/>
      <c r="CF446" s="230">
        <f>IF(CF$3=$K446,IF($C446="W",1,IF($C446="1/2W",0.5,0)),0)</f>
        <v>0</v>
      </c>
      <c r="CG446" s="231">
        <f>IF(CF$3=$K446,IF($C446="L",1,IF($C446="1/2L",0.5,0)),0)</f>
        <v>0</v>
      </c>
      <c r="CH446" s="231">
        <f>IF(CH$3=$K446,IF($C446="W",1,IF($C446="1/2W",0.5,0)),0)</f>
        <v>0</v>
      </c>
      <c r="CI446" s="231">
        <f>IF(CH$3=$K446,IF($C446="L",1,IF($C446="1/2L",0.5,0)),0)</f>
        <v>0</v>
      </c>
      <c r="CJ446" s="231">
        <f>IF(CJ$3=$K446,IF($C446="W",1,IF($C446="1/2W",0.5,0)),0)</f>
        <v>0</v>
      </c>
      <c r="CK446" s="231">
        <f>IF(CJ$3=$K446,IF($C446="L",1,IF($C446="1/2L",0.5,0)),0)</f>
        <v>0</v>
      </c>
      <c r="CL446" s="231">
        <f>IF(CL$3=$K446,IF($C446="W",1,IF($C446="1/2W",0.5,0)),0)</f>
        <v>0</v>
      </c>
      <c r="CM446" s="231">
        <f>IF(CL$3=$K446,IF($C446="L",1,IF($C446="1/2L",0.5,0)),0)</f>
        <v>0</v>
      </c>
      <c r="CN446" s="231">
        <f>IF(CN$3=$K446,IF($C446="W",1,IF($C446="1/2W",0.5,0)),0)</f>
        <v>1</v>
      </c>
      <c r="CO446" s="231">
        <f>IF(CN$3=$K446,IF($C446="L",1,IF($C446="1/2L",0.5,0)),0)</f>
        <v>0</v>
      </c>
      <c r="CP446" s="231">
        <f>IF(CP$3=$K446,IF($C446="W",1,IF($C446="1/2W",0.5,0)),0)</f>
        <v>0</v>
      </c>
      <c r="CQ446" s="231">
        <f>IF(CP$3=$K446,IF($C446="L",1,IF($C446="1/2L",0.5,0)),0)</f>
        <v>0</v>
      </c>
      <c r="CR446" s="231">
        <f>IF(CR$3=$K446,IF($C446="W",1,IF($C446="1/2W",0.5,0)),0)</f>
        <v>0</v>
      </c>
      <c r="CS446" s="231">
        <f>IF(CR$3=$K446,IF($C446="L",1,IF($C446="1/2L",0.5,0)),0)</f>
        <v>0</v>
      </c>
      <c r="CT446" s="208">
        <f>IF(CT$3=$K446,IF($C446="W",1,IF($C446="1/2W",0.5,0)),0)</f>
        <v>0</v>
      </c>
      <c r="CU446" s="209">
        <f>IF(CT$3=$K446,IF($C446="L",1,IF($C446="1/2L",0.5,0)),0)</f>
        <v>0</v>
      </c>
      <c r="CV446" s="209">
        <f>IF(CV$3=$K446,IF($C446="W",1,IF($C446="1/2W",0.5,0)),0)</f>
        <v>0</v>
      </c>
      <c r="CW446" s="209">
        <f>IF(CV$3=$K446,IF($C446="L",1,IF($C446="1/2L",0.5,0)),0)</f>
        <v>0</v>
      </c>
      <c r="CX446" s="209">
        <f>IF(CX$3=$K446,IF($C446="W",1,IF($C446="1/2W",0.5,0)),0)</f>
        <v>0</v>
      </c>
      <c r="CY446" s="209">
        <f>IF(CX$3=$K446,IF($C446="L",1,IF($C446="1/2L",0.5,0)),0)</f>
        <v>0</v>
      </c>
      <c r="CZ446" s="209">
        <f>IF(CZ$3=$K446,IF($C446="W",1,IF($C446="1/2W",0.5,0)),0)</f>
        <v>0</v>
      </c>
      <c r="DA446" s="209">
        <f>IF(CZ$3=$K446,IF($C446="L",1,IF($C446="1/2L",0.5,0)),0)</f>
        <v>0</v>
      </c>
      <c r="DB446" s="209">
        <f>IF(DB$3=$K446,IF($C446="W",1,IF($C446="1/2W",0.5,0)),0)</f>
        <v>0</v>
      </c>
      <c r="DC446" s="209">
        <f>IF(DB$3=$K446,IF($C446="L",1,IF($C446="1/2L",0.5,0)),0)</f>
        <v>0</v>
      </c>
      <c r="DD446" s="209">
        <f>IF(DD$3=$K446,IF($C446="W",1,IF($C446="1/2W",0.5,0)),0)</f>
        <v>0</v>
      </c>
      <c r="DE446" s="210">
        <f>IF(DD$3=$K446,IF($C446="L",1,IF($C446="1/2L",0.5,0)),0)</f>
        <v>0</v>
      </c>
      <c r="DF446" s="211">
        <f>IF(AND(L446&lt;DF$3,$C446="W"),1+DF445,DF445)</f>
        <v>15</v>
      </c>
      <c r="DG446" s="198">
        <f>IF(DF446&gt;DF445,L446+DG445,DG445)</f>
        <v>19.748</v>
      </c>
      <c r="DH446" s="209">
        <f>IF(AND(L446&gt;DH$3,$C446="W"),1+DH445,0+DH445)</f>
        <v>10</v>
      </c>
      <c r="DI446" s="198">
        <f>IF(DH446&gt;DH445,L446+DI445,DI445)</f>
        <v>55.13</v>
      </c>
      <c r="DJ446" t="s" s="306">
        <f>IF($D445="","",$D445)</f>
        <v>358</v>
      </c>
      <c r="DK446" s="232"/>
    </row>
    <row r="447" ht="14.55" customHeight="1">
      <c r="A447" s="149"/>
      <c r="B447" s="150"/>
      <c r="C447" t="s" s="233">
        <v>58</v>
      </c>
      <c r="D447" s="152"/>
      <c r="E447" s="153"/>
      <c r="F447" s="155"/>
      <c r="G447" s="234"/>
      <c r="H447" s="156"/>
      <c r="I447" s="235"/>
      <c r="J447" s="236"/>
      <c r="K447" s="237"/>
      <c r="L447" s="238"/>
      <c r="M447" s="239"/>
      <c r="N447" s="161"/>
      <c r="O447" t="s" s="240">
        <f>IF(OR(AE445="",AE446=""),"",IF(L447&gt;0,ROUND(IF(M447&gt;0,M447,IF(M445&gt;0,ROUND((M445*AE447)/AE445,IF(N445=0,2,IF(N445=0.1,1,0))),IF(M446&gt;0,ROUND((M446*AE447)/AE446,IF(N445=0,2,IF(N445=0.1,1,0))),IF(M447&gt;0,M447,0)))),2),""))</f>
      </c>
      <c r="P447" t="s" s="241">
        <f>IF(I446="Lay",O446*(L446/(L446-1))-O446,IF(I445="Lay",O445*(L445/(L445-1))-O445,IF(OR(L447="",O447=""),"",IF($C447="1/2W",O447/2+O447/2*L447,IF($C447="1/2L",O447/2,(O447*L447-O447)*(1-_xlfn.XLOOKUP(K447,'Janeiro 2023 - Valor Real'!A3:A15,'Janeiro 2023 - Valor Real'!C3:C15,0))+O447)))))</f>
      </c>
      <c r="Q447" t="s" s="242">
        <f>IF(K447="","",IF(_xlfn.XLOOKUP(K447,K$112:K208,DJ$112:DJ208,0,,-1)=DJ447,_xlfn.XLOOKUP(K447,K$112:K208,Q$112:Q208,1,,-1)+1,1))</f>
      </c>
      <c r="R447" t="s" s="243">
        <f>IF(K447="","",_xlfn.XLOOKUP(K447,K$112:K208,R$112:R208,0,,-1)+IF($C447=" ",1,0))</f>
      </c>
      <c r="S447" s="166"/>
      <c r="T447" s="155"/>
      <c r="U447" s="155"/>
      <c r="V447" s="166"/>
      <c r="W447" s="155"/>
      <c r="X447" s="167"/>
      <c r="Y447" s="128"/>
      <c r="Z447" s="129"/>
      <c r="AA447" s="129"/>
      <c r="AB447" s="129"/>
      <c r="AC447" s="129"/>
      <c r="AD447" s="244">
        <f>((L446/(L446-1)-1))</f>
        <v>0.714285714285714</v>
      </c>
      <c r="AE447" t="s" s="245">
        <f>IF(L447="","",(SUM(((L445-1)*(1-_xlfn.XLOOKUP(K445,'Janeiro 2023 - Valor Real'!A3:A15,'Janeiro 2023 - Valor Real'!C3:C15,0))+1),((L446-1)*(1-_xlfn.XLOOKUP(K446,'Janeiro 2023 - Valor Real'!A3:A15,'Janeiro 2023 - Valor Real'!C3:C15,0))+1),((L447-1)*(1-_xlfn.XLOOKUP(K447,'Janeiro 2023 - Valor Real'!A3:A15,'Janeiro 2023 - Valor Real'!C3:C15,0))+1))/((L447-1)*(1-_xlfn.XLOOKUP(K447,'Janeiro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Real'!C3:C15,0))+1))/((L445-1)*(1-_xlfn.XLOOKUP(K445,'Janeiro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Real'!C3:C15,0))+1))/((L446-1)*(1-_xlfn.XLOOKUP(K446,'Janeiro 2023 - Valor Real'!A3:A15,'Janeiro 2023 - Valor Real'!C3:C15,0))+1)+SUM(((L445-1)*(1-_xlfn.XLOOKUP(K445,'Janeiro 2023 - Valor Real'!A3:A15,'Janeiro 2023 - Valor Real'!C3:C15,0))+1),((L446-1)*(1-_xlfn.XLOOKUP(K446,'Janeiro 2023 - Valor Real'!A3:A15,'Janeiro 2023 - Valor Real'!C3:C15,0))+1),((L447-1)*(1-_xlfn.XLOOKUP(K447,'Janeiro 2023 - Valor Real'!A3:A15,'Janeiro 2023 - Valor Real'!C3:C15,0))+1))/((L447-1)*(1-_xlfn.XLOOKUP(K447,'Janeiro 2023 - Valor Real'!A3:A15,'Janeiro 2023 - Valor Real'!C3:C15,0))+1)))</f>
      </c>
      <c r="AF447" s="197">
        <f>IF($K447=AF$3,ROUND(IF(OR($C447="W",$C447="1/2W",$C447="1/2L"),$P447-$O447,IF($C447="X",0,-$O447)),2),0)</f>
        <v>0</v>
      </c>
      <c r="AG447" s="198">
        <f>IF($K447=AG$3,ROUND(IF(OR($C447="W",$C447="1/2W",$C447="1/2L"),$P447-$O447,IF($C447="X",0,-$O447)),2),0)</f>
        <v>0</v>
      </c>
      <c r="AH447" s="198">
        <f>IF($K447=AH$3,ROUND(IF(OR($C447="W",$C447="1/2W",$C447="1/2L"),$P447-$O447,IF($C447="X",0,-$O447)),2),0)</f>
        <v>0</v>
      </c>
      <c r="AI447" s="198">
        <f>IF($K447=AI$3,ROUND(IF(OR($C447="W",$C447="1/2W",$C447="1/2L"),$P447-$O447,IF($C447="X",0,-$O447)),2),0)</f>
        <v>0</v>
      </c>
      <c r="AJ447" s="198">
        <f>IF($K447=AJ$3,ROUND(IF(OR($C447="W",$C447="1/2W",$C447="1/2L"),$P447-$O447,IF($C447="X",0,-$O447)),2),0)</f>
        <v>0</v>
      </c>
      <c r="AK447" s="198">
        <f>IF($K447=AK$3,ROUND(IF(OR($C447="W",$C447="1/2W",$C447="1/2L"),$P447-$O447,IF($C447="X",0,-$O447)),2),0)</f>
        <v>0</v>
      </c>
      <c r="AL447" s="198">
        <f>IF($K447=AL$3,ROUND(IF(OR($C447="W",$C447="1/2W",$C447="1/2L"),$P447-$O447,IF($C447="X",0,-$O447)),2),0)</f>
        <v>0</v>
      </c>
      <c r="AM447" s="198">
        <f>IF($K447=AM$3,ROUND(IF(OR($C447="W",$C447="1/2W",$C447="1/2L"),$P447-$O447,IF($C447="X",0,-$O447)),2),0)</f>
        <v>0</v>
      </c>
      <c r="AN447" s="198">
        <f>IF($K447=AN$3,ROUND(IF(OR($C447="W",$C447="1/2W",$C447="1/2L"),$P447-$O447,IF($C447="X",0,-$O447)),2),0)</f>
        <v>0</v>
      </c>
      <c r="AO447" s="198">
        <f>IF($K447=AO$3,ROUND(IF(OR($C447="W",$C447="1/2W",$C447="1/2L"),$P447-$O447,IF($C447="X",0,-$O447)),2),0)</f>
        <v>0</v>
      </c>
      <c r="AP447" s="198">
        <f>IF($K447=AP$3,ROUND(IF(OR($C447="W",$C447="1/2W",$C447="1/2L"),$P447-$O447,IF($C447="X",0,-$O447)),2),0)</f>
        <v>0</v>
      </c>
      <c r="AQ447" s="198">
        <f>IF($K447=AQ$3,ROUND(IF(OR($C447="W",$C447="1/2W",$C447="1/2L"),$P447-$O447,IF($C447="X",0,-$O447)),2),0)</f>
        <v>0</v>
      </c>
      <c r="AR447" s="199">
        <f>IF($K447=AR$3,ROUND(IF(OR($C447="W",$C447="1/2W",$C447="1/2L"),$P447-$O447,IF($C447="X",0,-$O447)),2),0)</f>
        <v>0</v>
      </c>
      <c r="AS447" s="197">
        <f>IF(AND($B445=" ",$K447=AS$3),$O447,0)</f>
        <v>0</v>
      </c>
      <c r="AT447" s="198">
        <f>IF(AND($B445=" ",K447=AT$3),$O447,0)</f>
        <v>0</v>
      </c>
      <c r="AU447" s="198">
        <f>IF(AND($B445=" ",$K447=AU$3),$O447,0)</f>
        <v>0</v>
      </c>
      <c r="AV447" s="198">
        <f>IF(AND($B445=" ",$K447=AV$3),$O447,0)</f>
        <v>0</v>
      </c>
      <c r="AW447" s="198">
        <f>IF(AND($B445=" ",$K447=AW$3),$O447,0)</f>
        <v>0</v>
      </c>
      <c r="AX447" s="198">
        <f>IF(AND($B445=" ",$K447=AX$3),$O447,0)</f>
        <v>0</v>
      </c>
      <c r="AY447" s="200">
        <f>IF(AND($B445=" ",$K447=AY$3),$O447,0)</f>
        <v>0</v>
      </c>
      <c r="AZ447" s="201">
        <f>IF(AND($B445=" ",$K447=AZ$3),$O447,0)</f>
        <v>0</v>
      </c>
      <c r="BA447" s="201">
        <f>IF(AND($B445=" ",$K447=BA$3),$O447,0)</f>
        <v>0</v>
      </c>
      <c r="BB447" s="201">
        <f>IF(AND($B445=" ",$K447=BB$3),$O447,0)</f>
        <v>0</v>
      </c>
      <c r="BC447" s="202">
        <f>IF(AND($B445=" ",$K447=BC$3),$O447,0)</f>
        <v>0</v>
      </c>
      <c r="BD447" s="198">
        <f>IF(AND($B445=" ",$K447=BD$3),$O447,0)</f>
        <v>0</v>
      </c>
      <c r="BE447" s="199">
        <f>IF(AND($B445=" ",$K447=BE$3),$O447,0)</f>
        <v>0</v>
      </c>
      <c r="BF447" s="197">
        <f>IF($K447=BF$3,IF($C447="X",0,$O447),0)</f>
        <v>0</v>
      </c>
      <c r="BG447" s="198">
        <f>IF($K447=BG$3,IF($C447="X",0,$O447),0)</f>
        <v>0</v>
      </c>
      <c r="BH447" s="198">
        <f>IF($K447=BH$3,IF($C447="X",0,$O447),0)</f>
        <v>0</v>
      </c>
      <c r="BI447" s="198">
        <f>IF($K447=BI$3,IF($C447="X",0,$O447),0)</f>
        <v>0</v>
      </c>
      <c r="BJ447" s="198">
        <f>IF($K447=BJ$3,IF($C447="X",0,$O447),0)</f>
        <v>0</v>
      </c>
      <c r="BK447" s="198">
        <f>IF($K447=BK$3,IF($C447="X",0,$O447),0)</f>
        <v>0</v>
      </c>
      <c r="BL447" s="198">
        <f>IF($K447=BL$3,IF($C447="X",0,$O447),0)</f>
        <v>0</v>
      </c>
      <c r="BM447" s="200">
        <f>IF($K447=BM$3,IF($C447="X",0,$O447),0)</f>
        <v>0</v>
      </c>
      <c r="BN447" s="201">
        <f>IF($K447=BN$3,IF($C447="X",0,$O447),0)</f>
        <v>0</v>
      </c>
      <c r="BO447" s="201">
        <f>IF($K447=BO$3,IF($C447="X",0,$O447),0)</f>
        <v>0</v>
      </c>
      <c r="BP447" s="201">
        <f>IF($K447=BP$3,IF($C447="X",0,$O447),0)</f>
        <v>0</v>
      </c>
      <c r="BQ447" s="202">
        <f>IF($K447=BQ$3,IF($C447="X",0,$O447),0)</f>
        <v>0</v>
      </c>
      <c r="BR447" s="199">
        <f>IF($K447=BR$3,IF($C447="X",0,$O447),0)</f>
        <v>0</v>
      </c>
      <c r="BS447" s="228"/>
      <c r="BT447" s="229"/>
      <c r="BU447" s="140"/>
      <c r="BV447" s="229"/>
      <c r="BW447" s="140"/>
      <c r="BX447" s="140"/>
      <c r="BY447" s="140"/>
      <c r="BZ447" s="229"/>
      <c r="CA447" s="140"/>
      <c r="CB447" s="140"/>
      <c r="CC447" s="140"/>
      <c r="CD447" s="141"/>
      <c r="CE447" s="142"/>
      <c r="CF447" s="230">
        <f>IF(CF$3=$K447,IF($C447="W",1,IF($C447="1/2W",0.5,0)),0)</f>
        <v>0</v>
      </c>
      <c r="CG447" s="231">
        <f>IF(CF$3=$K447,IF($C447="L",1,IF($C447="1/2L",0.5,0)),0)</f>
        <v>0</v>
      </c>
      <c r="CH447" s="231">
        <f>IF(CH$3=$K447,IF($C447="W",1,IF($C447="1/2W",0.5,0)),0)</f>
        <v>0</v>
      </c>
      <c r="CI447" s="231">
        <f>IF(CH$3=$K447,IF($C447="L",1,IF($C447="1/2L",0.5,0)),0)</f>
        <v>0</v>
      </c>
      <c r="CJ447" s="231">
        <f>IF(CJ$3=$K447,IF($C447="W",1,IF($C447="1/2W",0.5,0)),0)</f>
        <v>0</v>
      </c>
      <c r="CK447" s="231">
        <f>IF(CJ$3=$K447,IF($C447="L",1,IF($C447="1/2L",0.5,0)),0)</f>
        <v>0</v>
      </c>
      <c r="CL447" s="231">
        <f>IF(CL$3=$K447,IF($C447="W",1,IF($C447="1/2W",0.5,0)),0)</f>
        <v>0</v>
      </c>
      <c r="CM447" s="231">
        <f>IF(CL$3=$K447,IF($C447="L",1,IF($C447="1/2L",0.5,0)),0)</f>
        <v>0</v>
      </c>
      <c r="CN447" s="231">
        <f>IF(CN$3=$K447,IF($C447="W",1,IF($C447="1/2W",0.5,0)),0)</f>
        <v>0</v>
      </c>
      <c r="CO447" s="231">
        <f>IF(CN$3=$K447,IF($C447="L",1,IF($C447="1/2L",0.5,0)),0)</f>
        <v>0</v>
      </c>
      <c r="CP447" s="231">
        <f>IF(CP$3=$K447,IF($C447="W",1,IF($C447="1/2W",0.5,0)),0)</f>
        <v>0</v>
      </c>
      <c r="CQ447" s="231">
        <f>IF(CP$3=$K447,IF($C447="L",1,IF($C447="1/2L",0.5,0)),0)</f>
        <v>0</v>
      </c>
      <c r="CR447" s="231">
        <f>IF(CR$3=$K447,IF($C447="W",1,IF($C447="1/2W",0.5,0)),0)</f>
        <v>0</v>
      </c>
      <c r="CS447" s="231">
        <f>IF(CR$3=$K447,IF($C447="L",1,IF($C447="1/2L",0.5,0)),0)</f>
        <v>0</v>
      </c>
      <c r="CT447" s="208">
        <f>IF(CT$3=$K447,IF($C447="W",1,IF($C447="1/2W",0.5,0)),0)</f>
        <v>0</v>
      </c>
      <c r="CU447" s="209">
        <f>IF(CT$3=$K447,IF($C447="L",1,IF($C447="1/2L",0.5,0)),0)</f>
        <v>0</v>
      </c>
      <c r="CV447" s="209">
        <f>IF(CV$3=$K447,IF($C447="W",1,IF($C447="1/2W",0.5,0)),0)</f>
        <v>0</v>
      </c>
      <c r="CW447" s="209">
        <f>IF(CV$3=$K447,IF($C447="L",1,IF($C447="1/2L",0.5,0)),0)</f>
        <v>0</v>
      </c>
      <c r="CX447" s="209">
        <f>IF(CX$3=$K447,IF($C447="W",1,IF($C447="1/2W",0.5,0)),0)</f>
        <v>0</v>
      </c>
      <c r="CY447" s="209">
        <f>IF(CX$3=$K447,IF($C447="L",1,IF($C447="1/2L",0.5,0)),0)</f>
        <v>0</v>
      </c>
      <c r="CZ447" s="209">
        <f>IF(CZ$3=$K447,IF($C447="W",1,IF($C447="1/2W",0.5,0)),0)</f>
        <v>0</v>
      </c>
      <c r="DA447" s="209">
        <f>IF(CZ$3=$K447,IF($C447="L",1,IF($C447="1/2L",0.5,0)),0)</f>
        <v>0</v>
      </c>
      <c r="DB447" s="209">
        <f>IF(DB$3=$K447,IF($C447="W",1,IF($C447="1/2W",0.5,0)),0)</f>
        <v>0</v>
      </c>
      <c r="DC447" s="209">
        <f>IF(DB$3=$K447,IF($C447="L",1,IF($C447="1/2L",0.5,0)),0)</f>
        <v>0</v>
      </c>
      <c r="DD447" s="209">
        <f>IF(DD$3=$K447,IF($C447="W",1,IF($C447="1/2W",0.5,0)),0)</f>
        <v>0</v>
      </c>
      <c r="DE447" s="210">
        <f>IF(DD$3=$K447,IF($C447="L",1,IF($C447="1/2L",0.5,0)),0)</f>
        <v>0</v>
      </c>
      <c r="DF447" s="211">
        <f>IF(AND(L447&lt;DF$3,$C447="W"),1+DF446,DF446)</f>
        <v>15</v>
      </c>
      <c r="DG447" s="198">
        <f>IF(DF447&gt;DF446,L447+DG446,DG446)</f>
        <v>19.748</v>
      </c>
      <c r="DH447" s="209">
        <f>IF(AND(L447&gt;DH$3,$C447="W"),1+DH446,0+DH446)</f>
        <v>10</v>
      </c>
      <c r="DI447" s="198">
        <f>IF(DH447&gt;DH446,L447+DI446,DI446)</f>
        <v>55.13</v>
      </c>
      <c r="DJ447" t="s" s="306">
        <f>IF($D445="","",$D445)</f>
        <v>358</v>
      </c>
      <c r="DK447" s="232"/>
    </row>
    <row r="448" ht="14.55" customHeight="1">
      <c r="A448" s="246">
        <f>$A445+1</f>
        <v>149</v>
      </c>
      <c r="B448" t="s" s="247">
        <f>IF(AND(_xlfn.XLOOKUP(H448,H$107:H227,G$107:G227,0)=G448,_xlfn.XLOOKUP("TempoBet",K448:K450,L448:L450,0)&gt;0),"X",IF(OR(C448="W",C449="W",C450="W",C448="1/2W",C449="1/2W",C450="1/2W",C448="1/2L",C449="1/2L",C450="1/2L"),"OK",IF(OR(C448="L",C449="L",C450="L"),"LOSS",IF(OR(C448="X",C449="X",C450="X"),"Anulado"," "))))</f>
        <v>50</v>
      </c>
      <c r="C448" t="s" s="248">
        <v>51</v>
      </c>
      <c r="D448" t="s" s="303">
        <f>IF(G448="","",$D445)</f>
        <v>358</v>
      </c>
      <c r="E448" t="s" s="250">
        <v>59</v>
      </c>
      <c r="F448" t="s" s="251"/>
      <c r="G448" s="252">
        <v>44951.354166666664</v>
      </c>
      <c r="H448" t="s" s="253">
        <v>359</v>
      </c>
      <c r="I448" s="292">
        <v>1</v>
      </c>
      <c r="J448" s="293"/>
      <c r="K448" t="s" s="256">
        <v>37</v>
      </c>
      <c r="L448" s="257">
        <v>3.4</v>
      </c>
      <c r="M448" s="258">
        <v>5.83</v>
      </c>
      <c r="N448" s="259">
        <v>0</v>
      </c>
      <c r="O448" s="260">
        <f>IF(OR(AE448="",AE449=""),"",ROUND(IF(L450&gt;0,IF(M448&gt;0,M448,IF(M449&gt;0,ROUND((M449*AE448)/AE449,IF(N448=0,2,IF(N448=0.1,1,0))),ROUND((M450*AE448)/AE450,IF(N448=0,2,IF(N448=0.1,1,0))))),IF(M448&gt;0,M448,ROUND((M449*AE448)/AE449,IF(N448=0,2,IF(N448=0.1,1,0))))),2))</f>
        <v>5.83</v>
      </c>
      <c r="P448" s="261">
        <f>IF(OR(L448="",O448=""),"",IF($C448="1/2W",O448/2+O448/2*L448,IF($C448="1/2L",O448/2,IF(I448="Lay",(O448*(L448/(L448-1))-O448)*(1-_xlfn.XLOOKUP(K448,'Janeiro 2023 - Valor Real'!A3:A15,'Janeiro 2023 - Valor Real'!C3:C15,0))+O448,(O448*L448-O448)*(1-_xlfn.XLOOKUP(K448,'Janeiro 2023 - Valor Real'!A3:A15,'Janeiro 2023 - Valor Real'!C3:C15,0))+O448))))</f>
        <v>19.822</v>
      </c>
      <c r="Q448" s="262">
        <f>IF(K448="","",IF(_xlfn.XLOOKUP(K448,K$107:K227,DJ$107:DJ227,0,,-1)=DJ448,_xlfn.XLOOKUP(K448,K$107:K227,Q$107:Q227,1,,-1)+1,1))</f>
        <v>1</v>
      </c>
      <c r="R448" s="263">
        <f>IF(K448="","",_xlfn.XLOOKUP(K448,K$107:K227,R$107:R227,0,,-1)+IF($C448=" ",1,0))</f>
        <v>0</v>
      </c>
      <c r="S448" s="264">
        <f>IF($B448="Anulado",0,ROUND(IF(OR($B448="LOSS",$B448="OK"),IF(OR($C448="W",$C448="1/2W",$C448="1/2L"),P448-O448,IF($C448="L",-O448,0))+IF(OR($C449="W",$C449="1/2W",$C449="1/2L"),P449-O449,IF($C449="L",-O449,0))+IF(OR($C450="W",$C450="1/2W",$C450="1/2L"),P450-O450,IF($C450="L",-O450,0)),IF(AND(OR($C448="W",$C448="1/2W",$C448="1/2L"),C449="W"),P448+P449-SUM(O448:O450)+_xlfn.XLOOKUP("X",C448:C450,O448:O450,0),IF(AND(C448=TRUE,C450="W"),P448+P450-SUM(O448:O450),IF(AND(C449="W",C450="W"),P449+P450-SUM(O448:O450)+_xlfn.XLOOKUP("X",C448:C450,O448:O450,0),IF(L450&gt;0,IF(OR($C448="W",$C448="1/2W",$C448="1/2L"),P448-SUM(O448:O450)+_xlfn.XLOOKUP("X",C448:C450,O448:O450,0),IF(OR($C448="W",$C448="1/2W",$C448="1/2L"),P449-SUM(O448:O450)+_xlfn.XLOOKUP("X",C448:C450,O448:O450,0),IF(OR($C448="W",$C448="1/2W",$C448="1/2L"),P450-SUM(O448:O450)+_xlfn.XLOOKUP("X",C448:C450,O448:O450,0),IF(SUM(P448:P450)/3-SUM(O448:O450)+_xlfn.XLOOKUP("X",C448:C450,O448:O450,0)&gt;0,SUM(P448:P450)/3-SUM(O448:O450)+_xlfn.XLOOKUP("X",C448:C450,O448:O450,0),LARGE(P448:P450,1)-SUM(O448:O450))))),IF(OR($C448="W",$C448="1/2W",$C448="1/2L"),P448-SUM(O448:O449)+_xlfn.XLOOKUP("X",C448:C450,O448:O450,0),IF(OR($C448="W",$C448="1/2W",$C448="1/2L"),P449-SUM(O448:O449)+_xlfn.XLOOKUP("X",C448:C450,O448:O450,0),SUM(P448:P449)/2-SUM(O448:O449)+_xlfn.XLOOKUP("X",C448:C450,O448:O450,0)))))))),2))</f>
        <v>0.78</v>
      </c>
      <c r="T448" s="265">
        <f>IF(S448=0,0,S448/SUM(O448:O450))</f>
        <v>0.0409663865546218</v>
      </c>
      <c r="U448" s="266">
        <f>IF($D448=$D445,IF(OR($B448="LOSS",$B448="OK",$B448="Anulada"),S448,0)+U445,IF(OR($B448="LOSS",$B448="OK",$B448="Anulada"),S448,0))</f>
        <v>1.48</v>
      </c>
      <c r="V448" s="266">
        <f>IF($D448="",0,IF($D448=$D445,IF($B448=" ",IF(I450="",IF(OR(AND(I448="DNB1",I449="DNB2"),AND(OR(I448="DNB1",I448="DNB2"),J449=0),AND(OR(I449="DNB1",I449="DNB2"),J448=0),AND(I448="DNB2",I449="DNB1"),AND(IF(J448=0,(J448+1)/ROUND(J448+1,0),J448/ROUND(J448,0))=1,IF(J449=0,(J449+1)/ROUND(IF(J449="",0,J449)+1,0),IF(J449="",0,J449)/ROUND(IF(J449="",1,J449),0))=1,OR(J448&lt;&gt;""),J449&lt;&gt;"")),0,IF(S448&lt;0,IF(I450="",SMALL(P448:P449,1)-SUM(O448:O449),0),SMALL(P448:P449,1)-SUM(O448:O449))),IF(S448&lt;0,IF(I450="",SMALL(P448:P450,1)-SUM(O448:O450),0),LARGE(P448:P450,1)-SUM(O448:O450))),S448)+V445,IF(I450="",IF(OR(AND(I448="DNB1",I449="DNB2"),AND(OR(I448="DNB1",I448="DNB2"),J449=0),AND(OR(I449="DNB1",I449="DNB2"),J448=0),AND(I448="DNB2",I449="DNB1"),AND(IF(J448=0,(J448+1)/ROUND(J448+1,0),J448/ROUND(J448,0))=1,IF(J449=0,(IF(J449="",0,J449)+1)/ROUND(IF(J449="",0,J449)+1,0),IF(J449="",0,J449)/ROUND(IF(J449="",0,J449)+1,0))=1,OR(J448&lt;&gt;""),J449&lt;&gt;"")),0,IF(S448&lt;0,IF(I450="",SMALL(P448:P449,1)-SUM(O448:O449),0),SMALL(P448:P450,1)-SUM(O448:O450))),IF(S448&lt;0,IF(I450="",SMALL(P448:P450,1)-SUM(O448:O450),0),LARGE(P448:P450,1)-SUM(O448:O450)))))</f>
        <v>1.48</v>
      </c>
      <c r="W448" s="266">
        <f>IF($D448=$D445,IF(S448&lt;0,IF(I450="",S448,0),S448)+W445,S448)</f>
        <v>1.48</v>
      </c>
      <c r="X448" t="s" s="267">
        <f>IF(OR(SUM(R448:R450)=0,V448=W448),ROUND(IF(W448=0,0,W448/Y448)*100,2)&amp;"%",ROUND(IF(V448=0,0,V448/Y448)*100,2)&amp;"% a "&amp;ROUND(IF(W448=0,0,W448/Y448)*100,2)&amp;"%")</f>
        <v>360</v>
      </c>
      <c r="Y448" s="268">
        <f>IF($D448=$D445,Y445+SUM(O448:O450),SUM(O448:O450))</f>
        <v>37.54</v>
      </c>
      <c r="Z448" s="266">
        <f>IF($B448=" ",SUM(O448:O450),0)+Z445</f>
        <v>0</v>
      </c>
      <c r="AA448" s="266">
        <f>IF(G448="","",IF($B448="Anulado",LARGE(P448:P450,1)-SUM(O448:O450)+AA445,AA445))</f>
        <v>22.2257</v>
      </c>
      <c r="AB448" s="266">
        <f>IF($D448="","",AB445+S448)</f>
        <v>309.33</v>
      </c>
      <c r="AC448" s="269">
        <f>IF($D448="","",IF($B448=" ",IF(DAY(G448)=DAY(TODAY()),1+AC445,0+AC445),0+AC445))</f>
        <v>0</v>
      </c>
      <c r="AD448" s="270">
        <f>(1-_xlfn.XLOOKUP(K446,'Janeiro 2023 - Valor Real'!A3:A15,'Janeiro 2023 - Valor Real'!C3:C15,0))+1</f>
        <v>2</v>
      </c>
      <c r="AE448" s="271">
        <f>IF(L448="","",IF(L450&gt;0,(SUM(((L448-1)*(1-_xlfn.XLOOKUP(K448,'Janeiro 2023 - Valor Real'!A3:A15,'Janeiro 2023 - Valor Real'!C3:C15,0))+1),((L449-1)*(1-_xlfn.XLOOKUP(K449,'Janeiro 2023 - Valor Real'!A3:A15,'Janeiro 2023 - Valor Real'!C3:C15,0))+1),((L450-1)*(1-_xlfn.XLOOKUP(K450,'Janeiro 2023 - Valor Real'!A3:A15,'Janeiro 2023 - Valor Real'!C3:C15,0))+1))/((L448-1)*(1-_xlfn.XLOOKUP(K448,'Janeiro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Real'!C3:C15,0))+1))/((L448-1)*(1-_xlfn.XLOOKUP(K448,'Janeiro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Real'!C3:C15,0))+1))/((L449-1)*(1-_xlfn.XLOOKUP(K449,'Janeiro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Real'!C3:C15,0))+1))/((L450-1)*(1-_xlfn.XLOOKUP(K450,'Janeiro 2023 - Valor Real'!A3:A15,'Janeiro 2023 - Valor Real'!C3:C15,0))+1)),IF(I448="Lay",IF(I449="Lay",((L449/(L449-1)-1)*(1-_xlfn.XLOOKUP(K449,'Janeiro 2023 - Valor Real'!A3:A15,'Janeiro 2023 - Valor Real'!C3:C15,0))+1)/(((L449/(L449-1)-1)*(1-_xlfn.XLOOKUP(K449,'Janeiro 2023 - Valor Real'!A3:A15,'Janeiro 2023 - Valor Real'!C3:C15,0))+1)+((L448/(L448-1)-1)*(1-_xlfn.XLOOKUP(K448,'Janeiro 2023 - Valor Real'!A3:A15,'Janeiro 2023 - Valor Real'!C3:C15,0))+1)),((L449-1)*(1-_xlfn.XLOOKUP(K449,'Janeiro 2023 - Valor Real'!A3:A15,'Janeiro 2023 - Valor Real'!C3:C15,0))+1)/(((L449-1)*(1-_xlfn.XLOOKUP(K449,'Janeiro 2023 - Valor Real'!A3:A15,'Janeiro 2023 - Valor Real'!C3:C15,0))+1)+((L448/(L448-1)-1)*(1-_xlfn.XLOOKUP(K448,'Janeiro 2023 - Valor Real'!A3:A15,'Janeiro 2023 - Valor Real'!C3:C15,0))+1))),IF(I449="Lay",(((L449/(L449-1)-1)*(1-_xlfn.XLOOKUP(K449,'Janeiro 2023 - Valor Real'!A3:A15,'Janeiro 2023 - Valor Real'!C3:C15,0))+1))/(((L448-1)*(1-_xlfn.XLOOKUP(K448,'Janeiro 2023 - Valor Real'!A3:A15,'Janeiro 2023 - Valor Real'!C3:C15,0))+1)+((L449/(L449-1)-1)*(1-_xlfn.XLOOKUP(K449,'Janeiro 2023 - Valor Real'!A3:A15,'Janeiro 2023 - Valor Real'!C3:C15,0))+1)),((L449-1)*(1-_xlfn.XLOOKUP(K449,'Janeiro 2023 - Valor Real'!A3:A15,'Janeiro 2023 - Valor Real'!C3:C15,0))+1)/(((L449-1)*(1-_xlfn.XLOOKUP(K449,'Janeiro 2023 - Valor Real'!A3:A15,'Janeiro 2023 - Valor Real'!C3:C15,0))+1)+((L448-1)*(1-_xlfn.XLOOKUP(K448,'Janeiro 2023 - Valor Real'!A3:A15,'Janeiro 2023 - Valor Real'!C3:C15,0))+1))))))</f>
        <v>0.306122448979592</v>
      </c>
      <c r="AF448" s="132">
        <f>IF($K448=AF$3,ROUND(IF(OR($C448="W",$C448="1/2W",$C448="1/2L"),$P448-$O448,IF($C448="X",0,-$O448)),2),0)</f>
        <v>-5.83</v>
      </c>
      <c r="AG448" s="133">
        <f>IF($K448=AG$3,ROUND(IF(OR($C448="W",$C448="1/2W",$C448="1/2L"),$P448-$O448,IF($C448="X",0,-$O448)),2),0)</f>
        <v>0</v>
      </c>
      <c r="AH448" s="133">
        <f>IF($K448=AH$3,ROUND(IF(OR($C448="W",$C448="1/2W",$C448="1/2L"),$P448-$O448,IF($C448="X",0,-$O448)),2),0)</f>
        <v>0</v>
      </c>
      <c r="AI448" s="133">
        <f>IF($K448=AI$3,ROUND(IF(OR($C448="W",$C448="1/2W",$C448="1/2L"),$P448-$O448,IF($C448="X",0,-$O448)),2),0)</f>
        <v>0</v>
      </c>
      <c r="AJ448" s="133">
        <f>IF($K448=AJ$3,ROUND(IF(OR($C448="W",$C448="1/2W",$C448="1/2L"),$P448-$O448,IF($C448="X",0,-$O448)),2),0)</f>
        <v>0</v>
      </c>
      <c r="AK448" s="133">
        <f>IF($K448=AK$3,ROUND(IF(OR($C448="W",$C448="1/2W",$C448="1/2L"),$P448-$O448,IF($C448="X",0,-$O448)),2),0)</f>
        <v>0</v>
      </c>
      <c r="AL448" s="133">
        <f>IF($K448=AL$3,ROUND(IF(OR($C448="W",$C448="1/2W",$C448="1/2L"),$P448-$O448,IF($C448="X",0,-$O448)),2),0)</f>
        <v>0</v>
      </c>
      <c r="AM448" s="133">
        <f>IF($K448=AM$3,ROUND(IF(OR($C448="W",$C448="1/2W",$C448="1/2L"),$P448-$O448,IF($C448="X",0,-$O448)),2),0)</f>
        <v>0</v>
      </c>
      <c r="AN448" s="133">
        <f>IF($K448=AN$3,ROUND(IF(OR($C448="W",$C448="1/2W",$C448="1/2L"),$P448-$O448,IF($C448="X",0,-$O448)),2),0)</f>
        <v>0</v>
      </c>
      <c r="AO448" s="133">
        <f>IF($K448=AO$3,ROUND(IF(OR($C448="W",$C448="1/2W",$C448="1/2L"),$P448-$O448,IF($C448="X",0,-$O448)),2),0)</f>
        <v>0</v>
      </c>
      <c r="AP448" s="133">
        <f>IF($K448=AP$3,ROUND(IF(OR($C448="W",$C448="1/2W",$C448="1/2L"),$P448-$O448,IF($C448="X",0,-$O448)),2),0)</f>
        <v>0</v>
      </c>
      <c r="AQ448" s="133">
        <f>IF($K448=AQ$3,ROUND(IF(OR($C448="W",$C448="1/2W",$C448="1/2L"),$P448-$O448,IF($C448="X",0,-$O448)),2),0)</f>
        <v>0</v>
      </c>
      <c r="AR448" s="134">
        <f>IF($K448=AR$3,ROUND(IF(OR($C448="W",$C448="1/2W",$C448="1/2L"),$P448-$O448,IF($C448="X",0,-$O448)),2),0)</f>
        <v>0</v>
      </c>
      <c r="AS448" s="132">
        <f>IF(AND($B448=" ",$K448=AS$3),$O448,0)</f>
        <v>0</v>
      </c>
      <c r="AT448" s="133">
        <f>IF(AND($B448=" ",$K448=AT$3),$O448,0)</f>
        <v>0</v>
      </c>
      <c r="AU448" s="133">
        <f>IF(AND($B448=" ",$K448=AU$3),$O448,0)</f>
        <v>0</v>
      </c>
      <c r="AV448" s="133">
        <f>IF(AND($B448=" ",$K448=AV$3),$O448,0)</f>
        <v>0</v>
      </c>
      <c r="AW448" s="133">
        <f>IF(AND($B448=" ",$K448=AW$3),$O448,0)</f>
        <v>0</v>
      </c>
      <c r="AX448" s="133">
        <f>IF(AND($B448=" ",$K448=AX$3),$O448,0)</f>
        <v>0</v>
      </c>
      <c r="AY448" s="135">
        <f>IF(AND($B448=" ",$K448=AY$3),$O448,0)</f>
        <v>0</v>
      </c>
      <c r="AZ448" s="136">
        <f>IF(AND($B448=" ",$K448=AZ$3),$O448,0)</f>
        <v>0</v>
      </c>
      <c r="BA448" s="136">
        <f>IF(AND($B448=" ",$K448=BA$3),$O448,0)</f>
        <v>0</v>
      </c>
      <c r="BB448" s="136">
        <f>IF(AND($B448=" ",$K448=BB$3),$O448,0)</f>
        <v>0</v>
      </c>
      <c r="BC448" s="137">
        <f>IF(AND($B448=" ",$K448=BC$3),$O448,0)</f>
        <v>0</v>
      </c>
      <c r="BD448" s="133">
        <f>IF(AND($B448=" ",$K448=BD$3),$O448,0)</f>
        <v>0</v>
      </c>
      <c r="BE448" s="134">
        <f>IF(AND($B448=" ",$K448=BE$3),$O448,0)</f>
        <v>0</v>
      </c>
      <c r="BF448" s="132">
        <f>IF($K448=BF$3,IF($C448="X",0,$O448),0)</f>
        <v>5.83</v>
      </c>
      <c r="BG448" s="133">
        <f>IF($K448=BG$3,IF($C448="X",0,$O448),0)</f>
        <v>0</v>
      </c>
      <c r="BH448" s="133">
        <f>IF($K448=BH$3,IF($C448="X",0,$O448),0)</f>
        <v>0</v>
      </c>
      <c r="BI448" s="133">
        <f>IF($K448=BI$3,IF($C448="X",0,$O448),0)</f>
        <v>0</v>
      </c>
      <c r="BJ448" s="133">
        <f>IF($K448=BJ$3,IF($C448="X",0,$O448),0)</f>
        <v>0</v>
      </c>
      <c r="BK448" s="133">
        <f>IF($K448=BK$3,IF($C448="X",0,$O448),0)</f>
        <v>0</v>
      </c>
      <c r="BL448" s="133">
        <f>IF($K448=BL$3,IF($C448="X",0,$O448),0)</f>
        <v>0</v>
      </c>
      <c r="BM448" s="135">
        <f>IF($K448=BM$3,IF($C448="X",0,$O448),0)</f>
        <v>0</v>
      </c>
      <c r="BN448" s="136">
        <f>IF($K448=BN$3,IF($C448="X",0,$O448),0)</f>
        <v>0</v>
      </c>
      <c r="BO448" s="136">
        <f>IF($K448=BO$3,IF($C448="X",0,$O448),0)</f>
        <v>0</v>
      </c>
      <c r="BP448" s="136">
        <f>IF($K448=BP$3,IF($C448="X",0,$O448),0)</f>
        <v>0</v>
      </c>
      <c r="BQ448" s="137">
        <f>IF($K448=BQ$3,IF($C448="X",0,$O448),0)</f>
        <v>0</v>
      </c>
      <c r="BR448" s="134">
        <f>IF($K448=BR$3,IF($C448="X",0,$O448),0)</f>
        <v>0</v>
      </c>
      <c r="BS448" s="170">
        <f>IF($B448="LOSS",IF(AND($K448=BS$3,$C448="L"),-$O448,0)+IF(AND($K449=BS$3,$C449="L"),-$O449,0)+IF(AND($K450=BS$3,$C450="L"),-$O450,0),IF(OR(AND($K448=BS$3,OR($C448="W",$C448="1/2W")),AND($K449=BS$3,OR($C449="W",$C449="1/2W")),AND($K450=BS$3,OR($C450="W",$C450="1/2W"))),$S448,0))</f>
        <v>0</v>
      </c>
      <c r="BT448" s="272">
        <f>IF($B448="LOSS",IF(AND($K448=BT$3,$C448="L"),-$O448,0)+IF(AND($K449=BT$3,$C449="L"),-$O449,0)+IF(AND($K449=BT$3,$C450="L"),-$O450,0),IF(OR(AND($K449=BT$3,OR($C448="W",$C448="1/2W")),AND($K449=BT$3,OR($C449="W",$C449="1/2W")),AND($K449=BT$3,OR($C450="W",$C450="1/2W"))),$S448,0))</f>
        <v>0</v>
      </c>
      <c r="BU448" s="136">
        <f>IF($B448="LOSS",IF(AND($K448=BU$3,$C448="L"),-$O448,0)+IF(AND($K449=BU$3,$C449="L"),-$O449,0)+IF(AND($K449=BU$3,$C450="L"),-$O450,0),IF(OR(AND($K449=BU$3,OR($C448="W",$C448="1/2W")),AND($K449=BU$3,OR($C449="W",$C449="1/2W")),AND($K449=BU$3,OR($C450="W",$C450="1/2W"))),$S448,0))</f>
        <v>0</v>
      </c>
      <c r="BV448" s="136">
        <f>IF($B448="LOSS",IF(AND($K448=BV$3,$C448="L"),-$O448,0)+IF(AND($K449=BV$3,$C449="L"),-$O449,0)+IF(AND($K450=BV$3,$C450="L"),-$O450,0),IF(OR(AND($K448=BV$3,OR($C448="W",$C448="1/2W")),AND($K449=BV$3,OR($C449="W",$C449="1/2W")),AND($K450=BV$3,OR($C450="W",$C450="1/2W"))),$S448,0))</f>
        <v>0</v>
      </c>
      <c r="BW448" s="136">
        <f>IF($B448="LOSS",IF(AND($K448=BW$3,$C448="L"),-$O448,0)+IF(AND($K449=BW$3,$C449="L"),-$O449,0)+IF(AND($K450=BW$3,$C450="L"),-$O450,0),IF(OR(AND($K448=BW$3,OR($C448="W",$C448="1/2W")),AND($K449=BW$3,OR($C449="W",$C449="1/2W")),AND($K450=BW$3,OR($C450="W",$C450="1/2W"))),$S448,0))</f>
        <v>0</v>
      </c>
      <c r="BX448" s="136">
        <f>IF($B448="LOSS",IF(AND($K448=BX$3,$C448="L"),-$O448,0)+IF(AND($K449=BX$3,$C449="L"),-$O449,0)+IF(AND($K450=BX$3,$C450="L"),-$O450,0),IF(OR(AND($K448=BX$3,OR($C448="W",$C448="1/2W")),AND($K449=BX$3,OR($C449="W",$C449="1/2W")),AND($K450=BX$3,OR($C450="W",$C450="1/2W"))),$S448,0))</f>
        <v>0</v>
      </c>
      <c r="BY448" s="136">
        <f>IF($B448="LOSS",IF(AND($K448=BY$3,$C448="L"),-$O448,0)+IF(AND($K449=BY$3,$C449="L"),-$O449,0)+IF(AND($K450=BY$3,$C450="L"),-$O450,0),IF(OR(AND($K448=BY$3,OR($C448="W",$C448="1/2W")),AND($K449=BY$3,OR($C449="W",$C449="1/2W")),AND($K450=BY$3,OR($C450="W",$C450="1/2W"))),$S448,0))</f>
        <v>0</v>
      </c>
      <c r="BZ448" s="136">
        <f>IF($B448="LOSS",IF(AND($K448=BZ$3,$C448="L"),-$O448,0)+IF(AND($K449=BZ$3,$C449="L"),-$O449,0)+IF(AND($K450=BZ$3,$C450="L"),-$O450,0),IF(OR(AND($K448=BZ$3,OR($C448="W",$C448="1/2W")),AND($K449=BZ$3,OR($C449="W",$C449="1/2W")),AND($K450=BZ$3,OR($C450="W",$C450="1/2W"))),$S448,0))</f>
        <v>0.78</v>
      </c>
      <c r="CA448" s="136">
        <f>IF($B448="LOSS",IF(AND($K448=CA$3,$C448="L"),-$O448,0)+IF(AND($K449=CA$3,$C449="L"),-$O449,0)+IF(AND($K450=CA$3,$C450="L"),-$O450,0),IF(OR(AND($K448=CA$3,OR($C448="W",$C448="1/2W")),AND($K449=CA$3,OR($C449="W",$C449="1/2W")),AND($K450=CA$3,OR($C450="W",$C450="1/2W"))),$S448,0))</f>
        <v>0</v>
      </c>
      <c r="CB448" s="136">
        <f>IF($B448="LOSS",IF(AND($K448=CB$3,$C448="L"),-$O448,0)+IF(AND($K449=CB$3,$C449="L"),-$O449,0)+IF(AND($K450=CB$3,$C450="L"),-$O450,0),IF(OR(AND($K448=CB$3,OR($C448="W",$C448="1/2W")),AND($K449=CB$3,OR($C449="W",$C449="1/2W")),AND($K450=CB$3,OR($C450="W",$C450="1/2W"))),$S448,0))</f>
        <v>0</v>
      </c>
      <c r="CC448" s="136">
        <f>IF($B448="LOSS",IF(AND($K448=CC$3,$C448="L"),-$O448,0)+IF(AND($K449=CC$3,$C449="L"),-$O449,0)+IF(AND($K450=CC$3,$C450="L"),-$O450,0),IF(OR(AND($K448=CC$3,OR($C448="W",$C448="1/2W")),AND($K449=CC$3,OR($C449="W",$C449="1/2W")),AND($K450=CC$3,OR($C450="W",$C450="1/2W"))),$S448,0))</f>
        <v>0</v>
      </c>
      <c r="CD448" s="137">
        <f>IF($B448="LOSS",IF(AND($K448=CD$3,$C448="L"),-$O448,0)+IF(AND($K449=CD$3,$C449="L"),-$O449,0)+IF(AND($K450=CD$3,$C450="L"),-$O450,0),IF(OR(AND($K448=CD$3,OR($C448="W",$C448="1/2W")),AND($K449=CD$3,OR($C449="W",$C449="1/2W")),AND($K450=CD$3,OR($C450="W",$C450="1/2W"))),$S448,0))</f>
        <v>0</v>
      </c>
      <c r="CE448" s="134">
        <f>IF($B448="LOSS",IF(AND($K448=CE$3,$C448="L"),-$O448,0)+IF(AND($K449=CE$3,$C449="L"),-$O449,0)+IF(AND($K450=CE$3,$C450="L"),-$O450,0),IF(OR(AND($K448=CE$3,OR($C448="W",$C448="1/2W")),AND($K449=CE$3,OR($C449="W",$C449="1/2W")),AND($K450=CE$3,OR($C450="W",$C450="1/2W"))),$S448,0))</f>
        <v>0</v>
      </c>
      <c r="CF448" s="273">
        <f>IF(CF$3=$K448,IF($C448="W",1,IF($C448="1/2W",0.5,0)),0)</f>
        <v>0</v>
      </c>
      <c r="CG448" s="274">
        <f>IF(CF$3=$K448,IF($C448="L",1,IF($C448="1/2L",0.5,0)),0)</f>
        <v>1</v>
      </c>
      <c r="CH448" s="274">
        <f>IF(CH$3=$K448,IF($C448="W",1,IF($C448="1/2W",0.5,0)),0)</f>
        <v>0</v>
      </c>
      <c r="CI448" s="274">
        <f>IF(CH$3=$K448,IF($C448="L",1,IF($C448="1/2L",0.5,0)),0)</f>
        <v>0</v>
      </c>
      <c r="CJ448" s="274">
        <f>IF(CJ$3=$K448,IF($C448="W",1,IF($C448="1/2W",0.5,0)),0)</f>
        <v>0</v>
      </c>
      <c r="CK448" s="274">
        <f>IF(CJ$3=$K448,IF($C448="L",1,IF($C448="1/2L",0.5,0)),0)</f>
        <v>0</v>
      </c>
      <c r="CL448" s="274">
        <f>IF(CL$3=$K448,IF($C448="W",1,IF($C448="1/2W",0.5,0)),0)</f>
        <v>0</v>
      </c>
      <c r="CM448" s="274">
        <f>IF(CL$3=$K448,IF($C448="L",1,IF($C448="1/2L",0.5,0)),0)</f>
        <v>0</v>
      </c>
      <c r="CN448" s="274">
        <f>IF(CN$3=$K448,IF($C448="W",1,IF($C448="1/2W",0.5,0)),0)</f>
        <v>0</v>
      </c>
      <c r="CO448" s="274">
        <f>IF(CN$3=$K448,IF($C448="L",1,IF($C448="1/2L",0.5,0)),0)</f>
        <v>0</v>
      </c>
      <c r="CP448" s="274">
        <f>IF(CP$3=$K448,IF($C448="W",1,IF($C448="1/2W",0.5,0)),0)</f>
        <v>0</v>
      </c>
      <c r="CQ448" s="274">
        <f>IF(CP$3=$K448,IF($C448="L",1,IF($C448="1/2L",0.5,0)),0)</f>
        <v>0</v>
      </c>
      <c r="CR448" s="274">
        <f>IF(CR$3=$K448,IF($C448="W",1,IF($C448="1/2W",0.5,0)),0)</f>
        <v>0</v>
      </c>
      <c r="CS448" s="274">
        <f>IF(CR$3=$K448,IF($C448="L",1,IF($C448="1/2L",0.5,0)),0)</f>
        <v>0</v>
      </c>
      <c r="CT448" s="145">
        <f>IF(CT$3=$K448,IF($C448="W",1,IF($C448="1/2W",0.5,0)),0)</f>
        <v>0</v>
      </c>
      <c r="CU448" s="146">
        <f>IF(CT$3=$K448,IF($C448="L",1,IF($C448="1/2L",0.5,0)),0)</f>
        <v>0</v>
      </c>
      <c r="CV448" s="146">
        <f>IF(CV$3=$K448,IF($C448="W",1,IF($C448="1/2W",0.5,0)),0)</f>
        <v>0</v>
      </c>
      <c r="CW448" s="146">
        <f>IF(CV$3=$K448,IF($C448="L",1,IF($C448="1/2L",0.5,0)),0)</f>
        <v>0</v>
      </c>
      <c r="CX448" s="146">
        <f>IF(CX$3=$K448,IF($C448="W",1,IF($C448="1/2W",0.5,0)),0)</f>
        <v>0</v>
      </c>
      <c r="CY448" s="146">
        <f>IF(CX$3=$K448,IF($C448="L",1,IF($C448="1/2L",0.5,0)),0)</f>
        <v>0</v>
      </c>
      <c r="CZ448" s="146">
        <f>IF(CZ$3=$K448,IF($C448="W",1,IF($C448="1/2W",0.5,0)),0)</f>
        <v>0</v>
      </c>
      <c r="DA448" s="146">
        <f>IF(CZ$3=$K448,IF($C448="L",1,IF($C448="1/2L",0.5,0)),0)</f>
        <v>0</v>
      </c>
      <c r="DB448" s="146">
        <f>IF(DB$3=$K448,IF($C448="W",1,IF($C448="1/2W",0.5,0)),0)</f>
        <v>0</v>
      </c>
      <c r="DC448" s="146">
        <f>IF(DB$3=$K448,IF($C448="L",1,IF($C448="1/2L",0.5,0)),0)</f>
        <v>0</v>
      </c>
      <c r="DD448" s="146">
        <f>IF(DD$3=$K448,IF($C448="W",1,IF($C448="1/2W",0.5,0)),0)</f>
        <v>0</v>
      </c>
      <c r="DE448" s="147">
        <f>IF(DD$3=$K448,IF($C448="L",1,IF($C448="1/2L",0.5,0)),0)</f>
        <v>0</v>
      </c>
      <c r="DF448" s="143">
        <f>IF(AND(L448&lt;DF$3,$C448="W"),1+DF447,DF447)</f>
        <v>15</v>
      </c>
      <c r="DG448" s="133">
        <f>IF(DF448&gt;DF447,L448+DG447,DG447)</f>
        <v>19.748</v>
      </c>
      <c r="DH448" s="146">
        <f>IF(AND(L448&gt;DH$3,$C448="W"),1+DH447,0+DH447)</f>
        <v>10</v>
      </c>
      <c r="DI448" s="133">
        <f>IF(DH448&gt;DH447,L448+DI447,DI447)</f>
        <v>55.13</v>
      </c>
      <c r="DJ448" t="s" s="304">
        <f>IF($D448="","",$D448)</f>
        <v>358</v>
      </c>
      <c r="DK448" s="146">
        <f>IF(AND($B448=" ",$D448&lt;&gt;""),1,0)</f>
        <v>0</v>
      </c>
    </row>
    <row r="449" ht="14.55" customHeight="1">
      <c r="A449" s="107"/>
      <c r="B449" s="108"/>
      <c r="C449" t="s" s="109">
        <v>56</v>
      </c>
      <c r="D449" s="110"/>
      <c r="E449" s="111"/>
      <c r="F449" s="113"/>
      <c r="G449" s="252"/>
      <c r="H449" s="114"/>
      <c r="I449" s="294">
        <v>2</v>
      </c>
      <c r="J449" t="s" s="295">
        <f>IF(OR(I448="TO",I448="TU",I448="TO1",I448="TU1",I448="TO2",I448="TU2"),J448,IF(OR(I448="AH1",I448="AH2"),IF(OR(I449="AH1",I449="AH2"),-J448,IF(OR(I449="EH1",I449="EH2"),-J448+0.5,"")),IF(OR(I448="EH1",I448="EH2"),IF(OR(I449="AH1",I449="AH2"),-J448+0.5,IF(OR(I449="EH1",I449="EH2"),-J448+1,"")),IF(AND(OR(I448="DNB1",I448="DNB2"),OR(I449="AH1",I449="AH2")),0,IF(AND(I448="Not ScoreBoth",OR(I449="TO1",I449="TO2")),0.5,"")))))</f>
      </c>
      <c r="K449" t="s" s="117">
        <v>44</v>
      </c>
      <c r="L449" s="277">
        <v>1.5</v>
      </c>
      <c r="M449" s="278"/>
      <c r="N449" s="120"/>
      <c r="O449" s="121">
        <f>IF(OR(AE448="",AE449=""),"",ROUND(IF(L450&gt;0,IF(M449&gt;0,M449,IF(M448&gt;0,IF(N448=TRUE,ROUND((M448*AE449)/AE448,0),(M448*AE449)/AE448),IF(M449&gt;0,ROUND(M449,IF(N448=0,2,IF(N448=0.1,1,0))),IF(M450&gt;0,ROUND(O450*AE449/AE450,IF(N448=0,2,IF(N448=0.1,1,0))),0)))),IF(M449&gt;0,M449,ROUND((M448*AE449)/AE448,IF(N448=0,2,IF(N448=0.1,1,0))))),2))</f>
        <v>13.21</v>
      </c>
      <c r="P449" s="122">
        <f>IF(OR(L449="",O449=""),"",IF($C449="1/2W",O449/2+O449/2*L449,IF($C449="1/2L",O449/2,IF(I449="Lay",((O449*(L449/(L449-1)))-O449)*(1-_xlfn.XLOOKUP(K449,'Janeiro 2023 - Valor Real'!A3:A15,'Janeiro 2023 - Valor Real'!C3:C15,0))+O449,(O449*L449-O449)*(1-_xlfn.XLOOKUP(K449,'Janeiro 2023 - Valor Real'!A3:A15,'Janeiro 2023 - Valor Real'!C3:C15,0))+O449))))</f>
        <v>19.815</v>
      </c>
      <c r="Q449" s="279">
        <f>IF(K449="","",IF(_xlfn.XLOOKUP(K449,K$120:K228,DJ$120:DJ228,0,,-1)=DJ449,_xlfn.XLOOKUP(K449,K$120:K228,Q$120:Q228,1,,-1)+1,1))</f>
        <v>1</v>
      </c>
      <c r="R449" s="280">
        <f>IF(K449="","",_xlfn.XLOOKUP(K449,K$120:K228,R$120:R228,0,,-1)+IF($C449=" ",1,0))</f>
        <v>0</v>
      </c>
      <c r="S449" s="125"/>
      <c r="T449" s="126"/>
      <c r="U449" s="126"/>
      <c r="V449" s="224"/>
      <c r="W449" s="126"/>
      <c r="X449" s="127"/>
      <c r="Y449" s="128"/>
      <c r="Z449" s="129"/>
      <c r="AA449" s="129"/>
      <c r="AB449" s="129"/>
      <c r="AC449" s="129"/>
      <c r="AD449" s="130"/>
      <c r="AE449" s="131">
        <f>IF(L449="","",IF(L450&gt;0,(SUM(((L448-1)*(1-_xlfn.XLOOKUP(K448,'Janeiro 2023 - Valor Real'!A3:A15,'Janeiro 2023 - Valor Real'!C3:C15,0))+1),((L449-1)*(1-_xlfn.XLOOKUP(K449,'Janeiro 2023 - Valor Real'!A3:A15,'Janeiro 2023 - Valor Real'!C3:C15,0))+1),((L450-1)*(1-_xlfn.XLOOKUP(K450,'Janeiro 2023 - Valor Real'!A3:A15,'Janeiro 2023 - Valor Real'!C3:C15,0))+1))/((L449-1)*(1-_xlfn.XLOOKUP(K449,'Janeiro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Real'!C3:C15,0))+1))/((L448-1)*(1-_xlfn.XLOOKUP(K448,'Janeiro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Real'!C3:C15,0))+1))/((L449-1)*(1-_xlfn.XLOOKUP(K449,'Janeiro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Real'!C3:C15,0))+1))/((L450-1)*(1-_xlfn.XLOOKUP(K450,'Janeiro 2023 - Valor Real'!A3:A15,'Janeiro 2023 - Valor Real'!C3:C15,0))+1)),IF(I449="Lay",IF(I448="Lay",((L448/(L448-1)-1)*(1-_xlfn.XLOOKUP(K448,'Janeiro 2023 - Valor Real'!A3:A15,'Janeiro 2023 - Valor Real'!C3:C15,0))+1)/(((L448/(L448-1)-1)*(1-_xlfn.XLOOKUP(K448,'Janeiro 2023 - Valor Real'!A3:A15,'Janeiro 2023 - Valor Real'!C3:C15,0))+1)+((L449/(L449-1)-1)*(1-_xlfn.XLOOKUP(K449,'Janeiro 2023 - Valor Real'!A3:A15,'Janeiro 2023 - Valor Real'!C3:C15,0))+1)),((L448-1)*(1-_xlfn.XLOOKUP(K448,'Janeiro 2023 - Valor Real'!A3:A15,'Janeiro 2023 - Valor Real'!C3:C15,0))+1)/(((L448-1)*(1-_xlfn.XLOOKUP(K448,'Janeiro 2023 - Valor Real'!A3:A15,'Janeiro 2023 - Valor Real'!C3:C15,0))+1)+((L449/(L449-1)-1)*(1-_xlfn.XLOOKUP(K449,'Janeiro 2023 - Valor Real'!A3:A15,'Janeiro 2023 - Valor Real'!C3:C15,0))+1))),IF(I448="Lay",((L448/(L448-1)-1)*(1-_xlfn.XLOOKUP(K448,'Janeiro 2023 - Valor Real'!A3:A15,'Janeiro 2023 - Valor Real'!C3:C15,0))+1)/((((L448/(L448-1)-1)*(1-_xlfn.XLOOKUP(K448,'Janeiro 2023 - Valor Real'!A3:A15,'Janeiro 2023 - Valor Real'!C3:C15,0))+1))+((L449-1)*(1-_xlfn.XLOOKUP(K449,'Janeiro 2023 - Valor Real'!A3:A15,'Janeiro 2023 - Valor Real'!C3:C15,0))+1)),((L448-1)*(1-_xlfn.XLOOKUP(K448,'Janeiro 2023 - Valor Real'!A3:A15,'Janeiro 2023 - Valor Real'!C3:C15,0))+1)/(((L448-1)*(1-_xlfn.XLOOKUP(K448,'Janeiro 2023 - Valor Real'!A3:A15,'Janeiro 2023 - Valor Real'!C3:C15,0))+1)+((L449-1)*(1-_xlfn.XLOOKUP(K449,'Janeiro 2023 - Valor Real'!A3:A15,'Janeiro 2023 - Valor Real'!C3:C15,0))+1))))))</f>
        <v>0.693877551020408</v>
      </c>
      <c r="AF449" s="132">
        <f>IF($K449=AF$3,ROUND(IF(OR($C449="W",$C449="1/2W",$C449="1/2L"),$P449-$O449,IF($C449="X",0,-$O449)),2),0)</f>
        <v>0</v>
      </c>
      <c r="AG449" s="133">
        <f>IF($K449=AG$3,ROUND(IF(OR($C449="W",$C449="1/2W",$C449="1/2L"),$P449-$O449,IF($C449="X",0,-$O449)),2),0)</f>
        <v>0</v>
      </c>
      <c r="AH449" s="133">
        <f>IF($K449=AH$3,ROUND(IF(OR($C449="W",$C449="1/2W",$C449="1/2L"),$P449-$O449,IF($C449="X",0,-$O449)),2),0)</f>
        <v>0</v>
      </c>
      <c r="AI449" s="133">
        <f>IF($K449=AI$3,ROUND(IF(OR($C449="W",$C449="1/2W",$C449="1/2L"),$P449-$O449,IF($C449="X",0,-$O449)),2),0)</f>
        <v>0</v>
      </c>
      <c r="AJ449" s="133">
        <f>IF($K449=AJ$3,ROUND(IF(OR($C449="W",$C449="1/2W",$C449="1/2L"),$P449-$O449,IF($C449="X",0,-$O449)),2),0)</f>
        <v>0</v>
      </c>
      <c r="AK449" s="133">
        <f>IF($K449=AK$3,ROUND(IF(OR($C449="W",$C449="1/2W",$C449="1/2L"),$P449-$O449,IF($C449="X",0,-$O449)),2),0)</f>
        <v>0</v>
      </c>
      <c r="AL449" s="133">
        <f>IF($K449=AL$3,ROUND(IF(OR($C449="W",$C449="1/2W",$C449="1/2L"),$P449-$O449,IF($C449="X",0,-$O449)),2),0)</f>
        <v>0</v>
      </c>
      <c r="AM449" s="133">
        <f>IF($K449=AM$3,ROUND(IF(OR($C449="W",$C449="1/2W",$C449="1/2L"),$P449-$O449,IF($C449="X",0,-$O449)),2),0)</f>
        <v>6.61</v>
      </c>
      <c r="AN449" s="133">
        <f>IF($K449=AN$3,ROUND(IF(OR($C449="W",$C449="1/2W",$C449="1/2L"),$P449-$O449,IF($C449="X",0,-$O449)),2),0)</f>
        <v>0</v>
      </c>
      <c r="AO449" s="133">
        <f>IF($K449=AO$3,ROUND(IF(OR($C449="W",$C449="1/2W",$C449="1/2L"),$P449-$O449,IF($C449="X",0,-$O449)),2),0)</f>
        <v>0</v>
      </c>
      <c r="AP449" s="133">
        <f>IF($K449=AP$3,ROUND(IF(OR($C449="W",$C449="1/2W",$C449="1/2L"),$P449-$O449,IF($C449="X",0,-$O449)),2),0)</f>
        <v>0</v>
      </c>
      <c r="AQ449" s="133">
        <f>IF($K449=AQ$3,ROUND(IF(OR($C449="W",$C449="1/2W",$C449="1/2L"),$P449-$O449,IF($C449="X",0,-$O449)),2),0)</f>
        <v>0</v>
      </c>
      <c r="AR449" s="134">
        <f>IF($K449=AR$3,ROUND(IF(OR($C449="W",$C449="1/2W",$C449="1/2L"),$P449-$O449,IF($C449="X",0,-$O449)),2),0)</f>
        <v>0</v>
      </c>
      <c r="AS449" s="132">
        <f>IF(AND($B448=" ",$K449=AS$3),$O449,0)</f>
        <v>0</v>
      </c>
      <c r="AT449" s="133">
        <f>IF(AND($B448=" ",K449=AT$3),$O449,0)</f>
        <v>0</v>
      </c>
      <c r="AU449" s="133">
        <f>IF(AND($B448=" ",$K449=AU$3),$O449,0)</f>
        <v>0</v>
      </c>
      <c r="AV449" s="133">
        <f>IF(AND($B448=" ",$K449=AV$3),$O449,0)</f>
        <v>0</v>
      </c>
      <c r="AW449" s="133">
        <f>IF(AND($B448=" ",$K449=AW$3),$O449,0)</f>
        <v>0</v>
      </c>
      <c r="AX449" s="133">
        <f>IF(AND($B448=" ",$K449=AX$3),$O449,0)</f>
        <v>0</v>
      </c>
      <c r="AY449" s="135">
        <f>IF(AND($B448=" ",$K449=AY$3),$O449,0)</f>
        <v>0</v>
      </c>
      <c r="AZ449" s="136">
        <f>IF(AND($B448=" ",$K449=AZ$3),$O449,0)</f>
        <v>0</v>
      </c>
      <c r="BA449" s="136">
        <f>IF(AND($B448=" ",$K449=BA$3),$O449,0)</f>
        <v>0</v>
      </c>
      <c r="BB449" s="136">
        <f>IF(AND($B448=" ",$K449=BB$3),$O449,0)</f>
        <v>0</v>
      </c>
      <c r="BC449" s="137">
        <f>IF(AND($B448=" ",$K449=BC$3),$O449,0)</f>
        <v>0</v>
      </c>
      <c r="BD449" s="133">
        <f>IF(AND($B448=" ",$K449=BD$3),$O449,0)</f>
        <v>0</v>
      </c>
      <c r="BE449" s="134">
        <f>IF(AND($B448=" ",$K449=BE$3),$O449,0)</f>
        <v>0</v>
      </c>
      <c r="BF449" s="132">
        <f>IF($K449=BF$3,IF($C449="X",0,$O449),0)</f>
        <v>0</v>
      </c>
      <c r="BG449" s="281">
        <f>IF($K449=BG$3,IF($C449="X",0,$O449),0)</f>
        <v>0</v>
      </c>
      <c r="BH449" s="133">
        <f>IF($K449=BH$3,IF($C449="X",0,$O449),0)</f>
        <v>0</v>
      </c>
      <c r="BI449" s="133">
        <f>IF($K449=BI$3,IF($C449="X",0,$O449),0)</f>
        <v>0</v>
      </c>
      <c r="BJ449" s="133">
        <f>IF($K449=BJ$3,IF($C449="X",0,$O449),0)</f>
        <v>0</v>
      </c>
      <c r="BK449" s="133">
        <f>IF($K449=BK$3,IF($C449="X",0,$O449),0)</f>
        <v>0</v>
      </c>
      <c r="BL449" s="133">
        <f>IF($K449=BL$3,IF($C449="X",0,$O449),0)</f>
        <v>0</v>
      </c>
      <c r="BM449" s="135">
        <f>IF($K449=BM$3,IF($C449="X",0,$O449),0)</f>
        <v>13.21</v>
      </c>
      <c r="BN449" s="136">
        <f>IF($K449=BN$3,IF($C449="X",0,$O449),0)</f>
        <v>0</v>
      </c>
      <c r="BO449" s="136">
        <f>IF($K449=BO$3,IF($C449="X",0,$O449),0)</f>
        <v>0</v>
      </c>
      <c r="BP449" s="136">
        <f>IF($K449=BP$3,IF($C449="X",0,$O449),0)</f>
        <v>0</v>
      </c>
      <c r="BQ449" s="137">
        <f>IF($K449=BQ$3,IF($C449="X",0,$O449),0)</f>
        <v>0</v>
      </c>
      <c r="BR449" s="134">
        <f>IF($K449=BR$3,IF($C449="X",0,$O449),0)</f>
        <v>0</v>
      </c>
      <c r="BS449" s="282"/>
      <c r="BT449" s="283"/>
      <c r="BU449" s="140"/>
      <c r="BV449" s="283"/>
      <c r="BW449" s="140"/>
      <c r="BX449" s="140"/>
      <c r="BY449" s="140"/>
      <c r="BZ449" s="283"/>
      <c r="CA449" s="140"/>
      <c r="CB449" s="140"/>
      <c r="CC449" s="140"/>
      <c r="CD449" s="141"/>
      <c r="CE449" s="142"/>
      <c r="CF449" s="284">
        <f>IF(CF$3=$K449,IF($C449="W",1,IF($C449="1/2W",0.5,0)),0)</f>
        <v>0</v>
      </c>
      <c r="CG449" s="285">
        <f>IF(CF$3=$K449,IF($C449="L",1,IF($C449="1/2L",0.5,0)),0)</f>
        <v>0</v>
      </c>
      <c r="CH449" s="285">
        <f>IF(CH$3=$K449,IF($C449="W",1,IF($C449="1/2W",0.5,0)),0)</f>
        <v>0</v>
      </c>
      <c r="CI449" s="285">
        <f>IF(CH$3=$K449,IF($C449="L",1,IF($C449="1/2L",0.5,0)),0)</f>
        <v>0</v>
      </c>
      <c r="CJ449" s="285">
        <f>IF(CJ$3=$K449,IF($C449="W",1,IF($C449="1/2W",0.5,0)),0)</f>
        <v>0</v>
      </c>
      <c r="CK449" s="285">
        <f>IF(CJ$3=$K449,IF($C449="L",1,IF($C449="1/2L",0.5,0)),0)</f>
        <v>0</v>
      </c>
      <c r="CL449" s="285">
        <f>IF(CL$3=$K449,IF($C449="W",1,IF($C449="1/2W",0.5,0)),0)</f>
        <v>0</v>
      </c>
      <c r="CM449" s="285">
        <f>IF(CL$3=$K449,IF($C449="L",1,IF($C449="1/2L",0.5,0)),0)</f>
        <v>0</v>
      </c>
      <c r="CN449" s="285">
        <f>IF(CN$3=$K449,IF($C449="W",1,IF($C449="1/2W",0.5,0)),0)</f>
        <v>0</v>
      </c>
      <c r="CO449" s="285">
        <f>IF(CN$3=$K449,IF($C449="L",1,IF($C449="1/2L",0.5,0)),0)</f>
        <v>0</v>
      </c>
      <c r="CP449" s="285">
        <f>IF(CP$3=$K449,IF($C449="W",1,IF($C449="1/2W",0.5,0)),0)</f>
        <v>0</v>
      </c>
      <c r="CQ449" s="285">
        <f>IF(CP$3=$K449,IF($C449="L",1,IF($C449="1/2L",0.5,0)),0)</f>
        <v>0</v>
      </c>
      <c r="CR449" s="285">
        <f>IF(CR$3=$K449,IF($C449="W",1,IF($C449="1/2W",0.5,0)),0)</f>
        <v>0</v>
      </c>
      <c r="CS449" s="285">
        <f>IF(CR$3=$K449,IF($C449="L",1,IF($C449="1/2L",0.5,0)),0)</f>
        <v>0</v>
      </c>
      <c r="CT449" s="145">
        <f>IF(CT$3=$K449,IF($C449="W",1,IF($C449="1/2W",0.5,0)),0)</f>
        <v>1</v>
      </c>
      <c r="CU449" s="146">
        <f>IF(CT$3=$K449,IF($C449="L",1,IF($C449="1/2L",0.5,0)),0)</f>
        <v>0</v>
      </c>
      <c r="CV449" s="146">
        <f>IF(CV$3=$K449,IF($C449="W",1,IF($C449="1/2W",0.5,0)),0)</f>
        <v>0</v>
      </c>
      <c r="CW449" s="146">
        <f>IF(CV$3=$K449,IF($C449="L",1,IF($C449="1/2L",0.5,0)),0)</f>
        <v>0</v>
      </c>
      <c r="CX449" s="146">
        <f>IF(CX$3=$K449,IF($C449="W",1,IF($C449="1/2W",0.5,0)),0)</f>
        <v>0</v>
      </c>
      <c r="CY449" s="146">
        <f>IF(CX$3=$K449,IF($C449="L",1,IF($C449="1/2L",0.5,0)),0)</f>
        <v>0</v>
      </c>
      <c r="CZ449" s="146">
        <f>IF(CZ$3=$K449,IF($C449="W",1,IF($C449="1/2W",0.5,0)),0)</f>
        <v>0</v>
      </c>
      <c r="DA449" s="146">
        <f>IF(CZ$3=$K449,IF($C449="L",1,IF($C449="1/2L",0.5,0)),0)</f>
        <v>0</v>
      </c>
      <c r="DB449" s="146">
        <f>IF(DB$3=$K449,IF($C449="W",1,IF($C449="1/2W",0.5,0)),0)</f>
        <v>0</v>
      </c>
      <c r="DC449" s="146">
        <f>IF(DB$3=$K449,IF($C449="L",1,IF($C449="1/2L",0.5,0)),0)</f>
        <v>0</v>
      </c>
      <c r="DD449" s="146">
        <f>IF(DD$3=$K449,IF($C449="W",1,IF($C449="1/2W",0.5,0)),0)</f>
        <v>0</v>
      </c>
      <c r="DE449" s="147">
        <f>IF(DD$3=$K449,IF($C449="L",1,IF($C449="1/2L",0.5,0)),0)</f>
        <v>0</v>
      </c>
      <c r="DF449" s="143">
        <f>IF(AND(L449&lt;DF$3,$C449="W"),1+DF448,DF448)</f>
        <v>15</v>
      </c>
      <c r="DG449" s="133">
        <f>IF(DF449&gt;DF448,L449+DG448,DG448)</f>
        <v>19.748</v>
      </c>
      <c r="DH449" s="146">
        <f>IF(AND(L449&gt;DH$3,$C449="W"),1+DH448,0+DH448)</f>
        <v>10</v>
      </c>
      <c r="DI449" s="133">
        <f>IF(DH449&gt;DH448,L449+DI448,DI448)</f>
        <v>55.13</v>
      </c>
      <c r="DJ449" t="s" s="304">
        <f>IF($D448="","",$D448)</f>
        <v>358</v>
      </c>
      <c r="DK449" s="286"/>
    </row>
    <row r="450" ht="14.55" customHeight="1">
      <c r="A450" s="149"/>
      <c r="B450" s="150"/>
      <c r="C450" t="s" s="151">
        <v>58</v>
      </c>
      <c r="D450" s="152"/>
      <c r="E450" s="153"/>
      <c r="F450" s="155"/>
      <c r="G450" s="252"/>
      <c r="H450" s="156"/>
      <c r="I450" s="287"/>
      <c r="J450" s="288"/>
      <c r="K450" s="156"/>
      <c r="L450" s="289"/>
      <c r="M450" s="290"/>
      <c r="N450" s="161"/>
      <c r="O450" t="s" s="162">
        <f>IF(OR(AE448="",AE449=""),"",IF(L450&gt;0,ROUND(IF(M450&gt;0,M450,IF(M448&gt;0,ROUND((M448*AE450)/AE448,IF(N448=0,2,IF(N448=0.1,1,0))),IF(M449&gt;0,ROUND((M449*AE450)/AE449,IF(N448=0,2,IF(N448=0.1,1,0))),IF(M450&gt;0,M450,0)))),2),""))</f>
      </c>
      <c r="P450" t="s" s="163">
        <f>IF(I449="Lay",O449*(L449/(L449-1))-O449,IF(I448="Lay",O448*(L448/(L448-1))-O448,IF(OR(L450="",O450=""),"",IF($C450="1/2W",O450/2+O450/2*L450,IF($C450="1/2L",O450/2,(O450*L450-O450)*(1-_xlfn.XLOOKUP(K450,'Janeiro 2023 - Valor Real'!A3:A15,'Janeiro 2023 - Valor Real'!C3:C15,0))+O450)))))</f>
      </c>
      <c r="Q450" t="s" s="154">
        <f>IF(K450="","",IF(_xlfn.XLOOKUP(K450,K$121:K229,DJ$121:DJ229,0,,-1)=DJ450,_xlfn.XLOOKUP(K450,K$121:K229,Q$121:Q229,1,,-1)+1,1))</f>
      </c>
      <c r="R450" t="s" s="163">
        <f>IF(K450="","",_xlfn.XLOOKUP(K450,K$121:K229,R$121:R229,0,,-1)+IF($C450=" ",1,0))</f>
      </c>
      <c r="S450" s="166"/>
      <c r="T450" s="155"/>
      <c r="U450" s="155"/>
      <c r="V450" s="166"/>
      <c r="W450" s="155"/>
      <c r="X450" s="167"/>
      <c r="Y450" s="128"/>
      <c r="Z450" s="129"/>
      <c r="AA450" s="129"/>
      <c r="AB450" s="129"/>
      <c r="AC450" s="129"/>
      <c r="AD450" s="168"/>
      <c r="AE450" t="s" s="169">
        <f>IF(L450="","",(SUM(((L448-1)*(1-_xlfn.XLOOKUP(K448,'Janeiro 2023 - Valor Real'!A3:A15,'Janeiro 2023 - Valor Real'!C3:C15,0))+1),((L449-1)*(1-_xlfn.XLOOKUP(K449,'Janeiro 2023 - Valor Real'!A3:A15,'Janeiro 2023 - Valor Real'!C3:C15,0))+1),((L450-1)*(1-_xlfn.XLOOKUP(K450,'Janeiro 2023 - Valor Real'!A3:A15,'Janeiro 2023 - Valor Real'!C3:C15,0))+1))/((L450-1)*(1-_xlfn.XLOOKUP(K450,'Janeiro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Real'!C3:C15,0))+1))/((L448-1)*(1-_xlfn.XLOOKUP(K448,'Janeiro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Real'!C3:C15,0))+1))/((L449-1)*(1-_xlfn.XLOOKUP(K449,'Janeiro 2023 - Valor Real'!A3:A15,'Janeiro 2023 - Valor Real'!C3:C15,0))+1)+SUM(((L448-1)*(1-_xlfn.XLOOKUP(K448,'Janeiro 2023 - Valor Real'!A3:A15,'Janeiro 2023 - Valor Real'!C3:C15,0))+1),((L449-1)*(1-_xlfn.XLOOKUP(K449,'Janeiro 2023 - Valor Real'!A3:A15,'Janeiro 2023 - Valor Real'!C3:C15,0))+1),((L450-1)*(1-_xlfn.XLOOKUP(K450,'Janeiro 2023 - Valor Real'!A3:A15,'Janeiro 2023 - Valor Real'!C3:C15,0))+1))/((L450-1)*(1-_xlfn.XLOOKUP(K450,'Janeiro 2023 - Valor Real'!A3:A15,'Janeiro 2023 - Valor Real'!C3:C15,0))+1)))</f>
      </c>
      <c r="AF450" s="132">
        <f>IF($K450=AF$3,ROUND(IF(OR($C450="W",$C450="1/2W",$C450="1/2L"),$P450-$O450,IF($C450="X",0,-$O450)),2),0)</f>
        <v>0</v>
      </c>
      <c r="AG450" s="133">
        <f>IF($K450=AG$3,ROUND(IF(OR($C450="W",$C450="1/2W",$C450="1/2L"),$P450-$O450,IF($C450="X",0,-$O450)),2),0)</f>
        <v>0</v>
      </c>
      <c r="AH450" s="133">
        <f>IF($K450=AH$3,ROUND(IF(OR($C450="W",$C450="1/2W",$C450="1/2L"),$P450-$O450,IF($C450="X",0,-$O450)),2),0)</f>
        <v>0</v>
      </c>
      <c r="AI450" s="133">
        <f>IF($K450=AI$3,ROUND(IF(OR($C450="W",$C450="1/2W",$C450="1/2L"),$P450-$O450,IF($C450="X",0,-$O450)),2),0)</f>
        <v>0</v>
      </c>
      <c r="AJ450" s="133">
        <f>IF($K450=AJ$3,ROUND(IF(OR($C450="W",$C450="1/2W",$C450="1/2L"),$P450-$O450,IF($C450="X",0,-$O450)),2),0)</f>
        <v>0</v>
      </c>
      <c r="AK450" s="133">
        <f>IF($K450=AK$3,ROUND(IF(OR($C450="W",$C450="1/2W",$C450="1/2L"),$P450-$O450,IF($C450="X",0,-$O450)),2),0)</f>
        <v>0</v>
      </c>
      <c r="AL450" s="133">
        <f>IF($K450=AL$3,ROUND(IF(OR($C450="W",$C450="1/2W",$C450="1/2L"),$P450-$O450,IF($C450="X",0,-$O450)),2),0)</f>
        <v>0</v>
      </c>
      <c r="AM450" s="133">
        <f>IF($K450=AM$3,ROUND(IF(OR($C450="W",$C450="1/2W",$C450="1/2L"),$P450-$O450,IF($C450="X",0,-$O450)),2),0)</f>
        <v>0</v>
      </c>
      <c r="AN450" s="133">
        <f>IF($K450=AN$3,ROUND(IF(OR($C450="W",$C450="1/2W",$C450="1/2L"),$P450-$O450,IF($C450="X",0,-$O450)),2),0)</f>
        <v>0</v>
      </c>
      <c r="AO450" s="133">
        <f>IF($K450=AO$3,ROUND(IF(OR($C450="W",$C450="1/2W",$C450="1/2L"),$P450-$O450,IF($C450="X",0,-$O450)),2),0)</f>
        <v>0</v>
      </c>
      <c r="AP450" s="133">
        <f>IF($K450=AP$3,ROUND(IF(OR($C450="W",$C450="1/2W",$C450="1/2L"),$P450-$O450,IF($C450="X",0,-$O450)),2),0)</f>
        <v>0</v>
      </c>
      <c r="AQ450" s="133">
        <f>IF($K450=AQ$3,ROUND(IF(OR($C450="W",$C450="1/2W",$C450="1/2L"),$P450-$O450,IF($C450="X",0,-$O450)),2),0)</f>
        <v>0</v>
      </c>
      <c r="AR450" s="134">
        <f>IF($K450=AR$3,ROUND(IF(OR($C450="W",$C450="1/2W",$C450="1/2L"),$P450-$O450,IF($C450="X",0,-$O450)),2),0)</f>
        <v>0</v>
      </c>
      <c r="AS450" s="132">
        <f>IF(AND($B448=" ",$K450=AS$3),$O450,0)</f>
        <v>0</v>
      </c>
      <c r="AT450" s="133">
        <f>IF(AND($B448=" ",K450=AT$3),$O450,0)</f>
        <v>0</v>
      </c>
      <c r="AU450" s="133">
        <f>IF(AND($B448=" ",$K450=AU$3),$O450,0)</f>
        <v>0</v>
      </c>
      <c r="AV450" s="133">
        <f>IF(AND($B448=" ",$K450=AV$3),$O450,0)</f>
        <v>0</v>
      </c>
      <c r="AW450" s="133">
        <f>IF(AND($B448=" ",$K450=AW$3),$O450,0)</f>
        <v>0</v>
      </c>
      <c r="AX450" s="133">
        <f>IF(AND($B448=" ",$K450=AX$3),$O450,0)</f>
        <v>0</v>
      </c>
      <c r="AY450" s="135">
        <f>IF(AND($B448=" ",$K450=AY$3),$O450,0)</f>
        <v>0</v>
      </c>
      <c r="AZ450" s="136">
        <f>IF(AND($B448=" ",$K450=AZ$3),$O450,0)</f>
        <v>0</v>
      </c>
      <c r="BA450" s="136">
        <f>IF(AND($B448=" ",$K450=BA$3),$O450,0)</f>
        <v>0</v>
      </c>
      <c r="BB450" s="136">
        <f>IF(AND($B448=" ",$K450=BB$3),$O450,0)</f>
        <v>0</v>
      </c>
      <c r="BC450" s="137">
        <f>IF(AND($B448=" ",$K450=BC$3),$O450,0)</f>
        <v>0</v>
      </c>
      <c r="BD450" s="133">
        <f>IF(AND($B448=" ",$K450=BD$3),$O450,0)</f>
        <v>0</v>
      </c>
      <c r="BE450" s="134">
        <f>IF(AND($B448=" ",$K450=BE$3),$O450,0)</f>
        <v>0</v>
      </c>
      <c r="BF450" s="132">
        <f>IF($K450=BF$3,IF($C450="X",0,$O450),0)</f>
        <v>0</v>
      </c>
      <c r="BG450" s="281">
        <f>IF($K450=BG$3,IF($C450="X",0,$O450),0)</f>
        <v>0</v>
      </c>
      <c r="BH450" s="133">
        <f>IF($K450=BH$3,IF($C450="X",0,$O450),0)</f>
        <v>0</v>
      </c>
      <c r="BI450" s="133">
        <f>IF($K450=BI$3,IF($C450="X",0,$O450),0)</f>
        <v>0</v>
      </c>
      <c r="BJ450" s="133">
        <f>IF($K450=BJ$3,IF($C450="X",0,$O450),0)</f>
        <v>0</v>
      </c>
      <c r="BK450" s="133">
        <f>IF($K450=BK$3,IF($C450="X",0,$O450),0)</f>
        <v>0</v>
      </c>
      <c r="BL450" s="133">
        <f>IF($K450=BL$3,IF($C450="X",0,$O450),0)</f>
        <v>0</v>
      </c>
      <c r="BM450" s="135">
        <f>IF($K450=BM$3,IF($C450="X",0,$O450),0)</f>
        <v>0</v>
      </c>
      <c r="BN450" s="136">
        <f>IF($K450=BN$3,IF($C450="X",0,$O450),0)</f>
        <v>0</v>
      </c>
      <c r="BO450" s="136">
        <f>IF($K450=BO$3,IF($C450="X",0,$O450),0)</f>
        <v>0</v>
      </c>
      <c r="BP450" s="136">
        <f>IF($K450=BP$3,IF($C450="X",0,$O450),0)</f>
        <v>0</v>
      </c>
      <c r="BQ450" s="137">
        <f>IF($K450=BQ$3,IF($C450="X",0,$O450),0)</f>
        <v>0</v>
      </c>
      <c r="BR450" s="134">
        <f>IF($K450=BR$3,IF($C450="X",0,$O450),0)</f>
        <v>0</v>
      </c>
      <c r="BS450" s="282"/>
      <c r="BT450" s="283"/>
      <c r="BU450" s="140"/>
      <c r="BV450" s="283"/>
      <c r="BW450" s="140"/>
      <c r="BX450" s="140"/>
      <c r="BY450" s="140"/>
      <c r="BZ450" s="283"/>
      <c r="CA450" s="140"/>
      <c r="CB450" s="140"/>
      <c r="CC450" s="140"/>
      <c r="CD450" s="141"/>
      <c r="CE450" s="142"/>
      <c r="CF450" s="284">
        <f>IF(CF$3=$K450,IF($C450="W",1,IF($C450="1/2W",0.5,0)),0)</f>
        <v>0</v>
      </c>
      <c r="CG450" s="285">
        <f>IF(CF$3=$K450,IF($C450="L",1,IF($C450="1/2L",0.5,0)),0)</f>
        <v>0</v>
      </c>
      <c r="CH450" s="285">
        <f>IF(CH$3=$K450,IF($C450="W",1,IF($C450="1/2W",0.5,0)),0)</f>
        <v>0</v>
      </c>
      <c r="CI450" s="285">
        <f>IF(CH$3=$K450,IF($C450="L",1,IF($C450="1/2L",0.5,0)),0)</f>
        <v>0</v>
      </c>
      <c r="CJ450" s="285">
        <f>IF(CJ$3=$K450,IF($C450="W",1,IF($C450="1/2W",0.5,0)),0)</f>
        <v>0</v>
      </c>
      <c r="CK450" s="285">
        <f>IF(CJ$3=$K450,IF($C450="L",1,IF($C450="1/2L",0.5,0)),0)</f>
        <v>0</v>
      </c>
      <c r="CL450" s="285">
        <f>IF(CL$3=$K450,IF($C450="W",1,IF($C450="1/2W",0.5,0)),0)</f>
        <v>0</v>
      </c>
      <c r="CM450" s="285">
        <f>IF(CL$3=$K450,IF($C450="L",1,IF($C450="1/2L",0.5,0)),0)</f>
        <v>0</v>
      </c>
      <c r="CN450" s="285">
        <f>IF(CN$3=$K450,IF($C450="W",1,IF($C450="1/2W",0.5,0)),0)</f>
        <v>0</v>
      </c>
      <c r="CO450" s="285">
        <f>IF(CN$3=$K450,IF($C450="L",1,IF($C450="1/2L",0.5,0)),0)</f>
        <v>0</v>
      </c>
      <c r="CP450" s="285">
        <f>IF(CP$3=$K450,IF($C450="W",1,IF($C450="1/2W",0.5,0)),0)</f>
        <v>0</v>
      </c>
      <c r="CQ450" s="285">
        <f>IF(CP$3=$K450,IF($C450="L",1,IF($C450="1/2L",0.5,0)),0)</f>
        <v>0</v>
      </c>
      <c r="CR450" s="285">
        <f>IF(CR$3=$K450,IF($C450="W",1,IF($C450="1/2W",0.5,0)),0)</f>
        <v>0</v>
      </c>
      <c r="CS450" s="285">
        <f>IF(CR$3=$K450,IF($C450="L",1,IF($C450="1/2L",0.5,0)),0)</f>
        <v>0</v>
      </c>
      <c r="CT450" s="145">
        <f>IF(CT$3=$K450,IF($C450="W",1,IF($C450="1/2W",0.5,0)),0)</f>
        <v>0</v>
      </c>
      <c r="CU450" s="146">
        <f>IF(CT$3=$K450,IF($C450="L",1,IF($C450="1/2L",0.5,0)),0)</f>
        <v>0</v>
      </c>
      <c r="CV450" s="146">
        <f>IF(CV$3=$K450,IF($C450="W",1,IF($C450="1/2W",0.5,0)),0)</f>
        <v>0</v>
      </c>
      <c r="CW450" s="146">
        <f>IF(CV$3=$K450,IF($C450="L",1,IF($C450="1/2L",0.5,0)),0)</f>
        <v>0</v>
      </c>
      <c r="CX450" s="146">
        <f>IF(CX$3=$K450,IF($C450="W",1,IF($C450="1/2W",0.5,0)),0)</f>
        <v>0</v>
      </c>
      <c r="CY450" s="146">
        <f>IF(CX$3=$K450,IF($C450="L",1,IF($C450="1/2L",0.5,0)),0)</f>
        <v>0</v>
      </c>
      <c r="CZ450" s="146">
        <f>IF(CZ$3=$K450,IF($C450="W",1,IF($C450="1/2W",0.5,0)),0)</f>
        <v>0</v>
      </c>
      <c r="DA450" s="146">
        <f>IF(CZ$3=$K450,IF($C450="L",1,IF($C450="1/2L",0.5,0)),0)</f>
        <v>0</v>
      </c>
      <c r="DB450" s="146">
        <f>IF(DB$3=$K450,IF($C450="W",1,IF($C450="1/2W",0.5,0)),0)</f>
        <v>0</v>
      </c>
      <c r="DC450" s="146">
        <f>IF(DB$3=$K450,IF($C450="L",1,IF($C450="1/2L",0.5,0)),0)</f>
        <v>0</v>
      </c>
      <c r="DD450" s="146">
        <f>IF(DD$3=$K450,IF($C450="W",1,IF($C450="1/2W",0.5,0)),0)</f>
        <v>0</v>
      </c>
      <c r="DE450" s="147">
        <f>IF(DD$3=$K450,IF($C450="L",1,IF($C450="1/2L",0.5,0)),0)</f>
        <v>0</v>
      </c>
      <c r="DF450" s="143">
        <f>IF(AND(L450&lt;DF$3,$C450="W"),1+DF449,DF449)</f>
        <v>15</v>
      </c>
      <c r="DG450" s="133">
        <f>IF(DF450&gt;DF449,L450+DG449,DG449)</f>
        <v>19.748</v>
      </c>
      <c r="DH450" s="146">
        <f>IF(AND(L450&gt;DH$3,$C450="W"),1+DH449,0+DH449)</f>
        <v>10</v>
      </c>
      <c r="DI450" s="133">
        <f>IF(DH450&gt;DH449,L450+DI449,DI449)</f>
        <v>55.13</v>
      </c>
      <c r="DJ450" t="s" s="304">
        <f>IF($D448="","",$D448)</f>
        <v>358</v>
      </c>
      <c r="DK450" s="286"/>
    </row>
    <row r="451" ht="14.55" customHeight="1">
      <c r="A451" s="171">
        <f>$A448+1</f>
        <v>150</v>
      </c>
      <c r="B451" t="s" s="172">
        <f>IF(AND(_xlfn.XLOOKUP(H451,H$122:H224,G$122:G224,0)=G451,_xlfn.XLOOKUP("TempoBet",K451:K453,L451:L453,0)&gt;0),"X",IF(OR(C451="W",C452="W",C453="W",C451="1/2W",C452="1/2W",C453="1/2W",C451="1/2L",C452="1/2L",C453="1/2L"),"OK",IF(OR(C451="L",C452="L",C453="L"),"LOSS",IF(OR(C451="X",C452="X",C453="X"),"Anulado"," "))))</f>
        <v>50</v>
      </c>
      <c r="C451" t="s" s="173">
        <v>56</v>
      </c>
      <c r="D451" t="s" s="305">
        <f>IF(G451="","",$D448)</f>
        <v>358</v>
      </c>
      <c r="E451" t="s" s="175">
        <f>IF(G451=""," ","– "&amp;COUNTIF(D$4:D453,$D451))</f>
        <v>63</v>
      </c>
      <c r="F451" t="s" s="176"/>
      <c r="G451" s="177">
        <v>44951.166666666664</v>
      </c>
      <c r="H451" t="s" s="178">
        <v>361</v>
      </c>
      <c r="I451" t="s" s="179">
        <v>65</v>
      </c>
      <c r="J451" s="291">
        <v>210.5</v>
      </c>
      <c r="K451" t="s" s="181">
        <v>40</v>
      </c>
      <c r="L451" s="182">
        <v>2.5</v>
      </c>
      <c r="M451" s="183">
        <v>5.66</v>
      </c>
      <c r="N451" s="184">
        <v>0</v>
      </c>
      <c r="O451" s="185">
        <f>IF(OR(AE451="",AE452=""),"",ROUND(IF(L453&gt;0,IF(M451&gt;0,M451,IF(M452&gt;0,ROUND((M452*AE451)/AE452,IF(N451=0,2,IF(N451=0.1,1,0))),ROUND((M453*AE451)/AE453,IF(N451=0,2,IF(N451=0.1,1,0))))),IF(M451&gt;0,M451,ROUND((M452*AE451)/AE452,IF(N451=0,2,IF(N451=0.1,1,0))))),2))</f>
        <v>5.66</v>
      </c>
      <c r="P451" s="186">
        <f>IF(OR(L451="",O451=""),"",IF($C451="1/2W",O451/2+O451/2*L451,IF($C451="1/2L",O451/2,IF(I451="Lay",(O451*(L451/(L451-1))-O451)*(1-_xlfn.XLOOKUP(K451,'Janeiro 2023 - Valor Real'!A3:A15,'Janeiro 2023 - Valor Real'!C3:C15,0))+O451,(O451*L451-O451)*(1-_xlfn.XLOOKUP(K451,'Janeiro 2023 - Valor Real'!A3:A15,'Janeiro 2023 - Valor Real'!C3:C15,0))+O451))))</f>
        <v>14.15</v>
      </c>
      <c r="Q451" s="187">
        <f>IF(K451="","",IF(_xlfn.XLOOKUP(K451,K$122:K224,DJ$122:DJ224,0,,-1)=DJ451,_xlfn.XLOOKUP(K451,K$122:K224,Q$122:Q224,1,,-1)+1,1))</f>
        <v>1</v>
      </c>
      <c r="R451" s="188">
        <f>IF(K451="","",_xlfn.XLOOKUP(K451,K$122:K224,R$122:R224,0,,-1)+IF($C451=" ",1,0))</f>
        <v>0</v>
      </c>
      <c r="S451" s="189">
        <f>IF($B451="Anulado",0,ROUND(IF(OR($B451="LOSS",$B451="OK"),IF(OR($C451="W",$C451="1/2W",$C451="1/2L"),P451-O451,IF($C451="L",-O451,0))+IF(OR($C452="W",$C452="1/2W",$C452="1/2L"),P452-O452,IF($C452="L",-O452,0))+IF(OR($C453="W",$C453="1/2W",$C453="1/2L"),P453-O453,IF($C453="L",-O453,0)),IF(AND(OR($C451="W",$C451="1/2W",$C451="1/2L"),C452="W"),P451+P452-SUM(O451:O453)+_xlfn.XLOOKUP("X",C451:C453,O451:O453,0),IF(AND(C451=TRUE,C453="W"),P451+P453-SUM(O451:O453),IF(AND(C452="W",C453="W"),P452+P453-SUM(O451:O453)+_xlfn.XLOOKUP("X",C451:C453,O451:O453,0),IF(L453&gt;0,IF(OR($C451="W",$C451="1/2W",$C451="1/2L"),P451-SUM(O451:O453)+_xlfn.XLOOKUP("X",C451:C453,O451:O453,0),IF(OR($C451="W",$C451="1/2W",$C451="1/2L"),P452-SUM(O451:O453)+_xlfn.XLOOKUP("X",C451:C453,O451:O453,0),IF(OR($C451="W",$C451="1/2W",$C451="1/2L"),P453-SUM(O451:O453)+_xlfn.XLOOKUP("X",C451:C453,O451:O453,0),IF(SUM(P451:P453)/3-SUM(O451:O453)+_xlfn.XLOOKUP("X",C451:C453,O451:O453,0)&gt;0,SUM(P451:P453)/3-SUM(O451:O453)+_xlfn.XLOOKUP("X",C451:C453,O451:O453,0),LARGE(P451:P453,1)-SUM(O451:O453))))),IF(OR($C451="W",$C451="1/2W",$C451="1/2L"),P451-SUM(O451:O452)+_xlfn.XLOOKUP("X",C451:C453,O451:O453,0),IF(OR($C451="W",$C451="1/2W",$C451="1/2L"),P452-SUM(O451:O452)+_xlfn.XLOOKUP("X",C451:C453,O451:O453,0),SUM(P451:P452)/2-SUM(O451:O452)+_xlfn.XLOOKUP("X",C451:C453,O451:O453,0)))))))),2))</f>
        <v>0.48</v>
      </c>
      <c r="T451" s="190">
        <f>IF(S451=0,0,S451/SUM(O451:O453))</f>
        <v>0.0351133869787857</v>
      </c>
      <c r="U451" s="191">
        <f>IF($D451=$D448,IF(OR($B451="LOSS",$B451="OK",$B451="Anulada"),S451,0)+U448,IF(OR($B451="LOSS",$B451="OK",$B451="Anulada"),S451,0))</f>
        <v>1.96</v>
      </c>
      <c r="V451" s="191">
        <f>IF($D451="",0,IF($D451=$D448,IF($B451=" ",IF(I453="",IF(OR(AND(I451="DNB1",I452="DNB2"),AND(OR(I451="DNB1",I451="DNB2"),J452=0),AND(OR(I452="DNB1",I452="DNB2"),J451=0),AND(I451="DNB2",I452="DNB1"),AND(IF(J451=0,(J451+1)/ROUND(J451+1,0),J451/ROUND(J451,0))=1,IF(J452=0,(J452+1)/ROUND(IF(J452="",0,J452)+1,0),IF(J452="",0,J452)/ROUND(IF(J452="",1,J452),0))=1,OR(J451&lt;&gt;""),J452&lt;&gt;"")),0,IF(S451&lt;0,IF(I453="",SMALL(P451:P452,1)-SUM(O451:O452),0),SMALL(P451:P452,1)-SUM(O451:O452))),IF(S451&lt;0,IF(I453="",SMALL(P451:P453,1)-SUM(O451:O453),0),LARGE(P451:P453,1)-SUM(O451:O453))),S451)+V448,IF(I453="",IF(OR(AND(I451="DNB1",I452="DNB2"),AND(OR(I451="DNB1",I451="DNB2"),J452=0),AND(OR(I452="DNB1",I452="DNB2"),J451=0),AND(I451="DNB2",I452="DNB1"),AND(IF(J451=0,(J451+1)/ROUND(J451+1,0),J451/ROUND(J451,0))=1,IF(J452=0,(IF(J452="",0,J452)+1)/ROUND(IF(J452="",0,J452)+1,0),IF(J452="",0,J452)/ROUND(IF(J452="",0,J452)+1,0))=1,OR(J451&lt;&gt;""),J452&lt;&gt;"")),0,IF(S451&lt;0,IF(I453="",SMALL(P451:P452,1)-SUM(O451:O452),0),SMALL(P451:P453,1)-SUM(O451:O453))),IF(S451&lt;0,IF(I453="",SMALL(P451:P453,1)-SUM(O451:O453),0),LARGE(P451:P453,1)-SUM(O451:O453)))))</f>
        <v>1.96</v>
      </c>
      <c r="W451" s="191">
        <f>IF($D451=$D448,IF(S451&lt;0,IF(I453="",S451,0),S451)+W448,S451)</f>
        <v>1.96</v>
      </c>
      <c r="X451" t="s" s="192">
        <f>IF(OR(SUM(R451:R453)=0,V451=W451),ROUND(IF(W451=0,0,W451/Y451)*100,2)&amp;"%",ROUND(IF(V451=0,0,V451/Y451)*100,2)&amp;"% a "&amp;ROUND(IF(W451=0,0,W451/Y451)*100,2)&amp;"%")</f>
        <v>362</v>
      </c>
      <c r="Y451" s="193">
        <f>IF($D451=$D448,Y448+SUM(O451:O453),SUM(O451:O453))</f>
        <v>51.21</v>
      </c>
      <c r="Z451" s="191">
        <f>IF($B451=" ",SUM(O451:O453),0)+Z448</f>
        <v>0</v>
      </c>
      <c r="AA451" s="191">
        <f>IF(G451="","",IF($B451="Anulado",LARGE(P451:P453,1)-SUM(O451:O453)+AA448,AA448))</f>
        <v>22.2257</v>
      </c>
      <c r="AB451" s="191">
        <f>IF($D451="","",AB448+S451)</f>
        <v>309.81</v>
      </c>
      <c r="AC451" s="194">
        <f>IF($D451="","",IF($B451=" ",IF(DAY(G451)=DAY(TODAY()),1+AC448,0+AC448),0+AC448))</f>
        <v>0</v>
      </c>
      <c r="AD451" s="195">
        <f>(((L452/(L452-1)-1)*(1-_xlfn.XLOOKUP(K452,'Janeiro 2023 - Valor Real'!A3:A15,'Janeiro 2023 - Valor Real'!C3:C15,0))+1))/(((L451-1)*(1-_xlfn.XLOOKUP(K451,'Janeiro 2023 - Valor Real'!A3:A15,'Janeiro 2023 - Valor Real'!C3:C15,0))+1)+((L452/(L452-1)-1)*(1-_xlfn.XLOOKUP(K452,'Janeiro 2023 - Valor Real'!A3:A15,'Janeiro 2023 - Valor Real'!C3:C15,0))+1))</f>
        <v>0.461235216819974</v>
      </c>
      <c r="AE451" s="196">
        <f>IF(L451="","",IF(L453&gt;0,(SUM(((L451-1)*(1-_xlfn.XLOOKUP(K451,'Janeiro 2023 - Valor Real'!A3:A15,'Janeiro 2023 - Valor Real'!C3:C15,0))+1),((L452-1)*(1-_xlfn.XLOOKUP(K452,'Janeiro 2023 - Valor Real'!A3:A15,'Janeiro 2023 - Valor Real'!C3:C15,0))+1),((L453-1)*(1-_xlfn.XLOOKUP(K453,'Janeiro 2023 - Valor Real'!A3:A15,'Janeiro 2023 - Valor Real'!C3:C15,0))+1))/((L451-1)*(1-_xlfn.XLOOKUP(K451,'Janeiro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Real'!C3:C15,0))+1))/((L451-1)*(1-_xlfn.XLOOKUP(K451,'Janeiro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Real'!C3:C15,0))+1))/((L452-1)*(1-_xlfn.XLOOKUP(K452,'Janeiro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Real'!C3:C15,0))+1))/((L453-1)*(1-_xlfn.XLOOKUP(K453,'Janeiro 2023 - Valor Real'!A3:A15,'Janeiro 2023 - Valor Real'!C3:C15,0))+1)),IF(I451="Lay",IF(I452="Lay",((L452/(L452-1)-1)*(1-_xlfn.XLOOKUP(K452,'Janeiro 2023 - Valor Real'!A3:A15,'Janeiro 2023 - Valor Real'!C3:C15,0))+1)/(((L452/(L452-1)-1)*(1-_xlfn.XLOOKUP(K452,'Janeiro 2023 - Valor Real'!A3:A15,'Janeiro 2023 - Valor Real'!C3:C15,0))+1)+((L451/(L451-1)-1)*(1-_xlfn.XLOOKUP(K451,'Janeiro 2023 - Valor Real'!A3:A15,'Janeiro 2023 - Valor Real'!C3:C15,0))+1)),((L452-1)*(1-_xlfn.XLOOKUP(K452,'Janeiro 2023 - Valor Real'!A3:A15,'Janeiro 2023 - Valor Real'!C3:C15,0))+1)/(((L452-1)*(1-_xlfn.XLOOKUP(K452,'Janeiro 2023 - Valor Real'!A3:A15,'Janeiro 2023 - Valor Real'!C3:C15,0))+1)+((L451/(L451-1)-1)*(1-_xlfn.XLOOKUP(K451,'Janeiro 2023 - Valor Real'!A3:A15,'Janeiro 2023 - Valor Real'!C3:C15,0))+1))),IF(I452="Lay",(((L452/(L452-1)-1)*(1-_xlfn.XLOOKUP(K452,'Janeiro 2023 - Valor Real'!A3:A15,'Janeiro 2023 - Valor Real'!C3:C15,0))+1))/(((L451-1)*(1-_xlfn.XLOOKUP(K451,'Janeiro 2023 - Valor Real'!A3:A15,'Janeiro 2023 - Valor Real'!C3:C15,0))+1)+((L452/(L452-1)-1)*(1-_xlfn.XLOOKUP(K452,'Janeiro 2023 - Valor Real'!A3:A15,'Janeiro 2023 - Valor Real'!C3:C15,0))+1)),((L452-1)*(1-_xlfn.XLOOKUP(K452,'Janeiro 2023 - Valor Real'!A3:A15,'Janeiro 2023 - Valor Real'!C3:C15,0))+1)/(((L452-1)*(1-_xlfn.XLOOKUP(K452,'Janeiro 2023 - Valor Real'!A3:A15,'Janeiro 2023 - Valor Real'!C3:C15,0))+1)+((L451-1)*(1-_xlfn.XLOOKUP(K451,'Janeiro 2023 - Valor Real'!A3:A15,'Janeiro 2023 - Valor Real'!C3:C15,0))+1))))))</f>
        <v>0.414067077600956</v>
      </c>
      <c r="AF451" s="197">
        <f>IF($K451=AF$3,ROUND(IF(OR($C451="W",$C451="1/2W",$C451="1/2L"),$P451-$O451,IF($C451="X",0,-$O451)),2),0)</f>
        <v>0</v>
      </c>
      <c r="AG451" s="198">
        <f>IF($K451=AG$3,ROUND(IF(OR($C451="W",$C451="1/2W",$C451="1/2L"),$P451-$O451,IF($C451="X",0,-$O451)),2),0)</f>
        <v>0</v>
      </c>
      <c r="AH451" s="198">
        <f>IF($K451=AH$3,ROUND(IF(OR($C451="W",$C451="1/2W",$C451="1/2L"),$P451-$O451,IF($C451="X",0,-$O451)),2),0)</f>
        <v>0</v>
      </c>
      <c r="AI451" s="198">
        <f>IF($K451=AI$3,ROUND(IF(OR($C451="W",$C451="1/2W",$C451="1/2L"),$P451-$O451,IF($C451="X",0,-$O451)),2),0)</f>
        <v>8.49</v>
      </c>
      <c r="AJ451" s="198">
        <f>IF($K451=AJ$3,ROUND(IF(OR($C451="W",$C451="1/2W",$C451="1/2L"),$P451-$O451,IF($C451="X",0,-$O451)),2),0)</f>
        <v>0</v>
      </c>
      <c r="AK451" s="198">
        <f>IF($K451=AK$3,ROUND(IF(OR($C451="W",$C451="1/2W",$C451="1/2L"),$P451-$O451,IF($C451="X",0,-$O451)),2),0)</f>
        <v>0</v>
      </c>
      <c r="AL451" s="198">
        <f>IF($K451=AL$3,ROUND(IF(OR($C451="W",$C451="1/2W",$C451="1/2L"),$P451-$O451,IF($C451="X",0,-$O451)),2),0)</f>
        <v>0</v>
      </c>
      <c r="AM451" s="198">
        <f>IF($K451=AM$3,ROUND(IF(OR($C451="W",$C451="1/2W",$C451="1/2L"),$P451-$O451,IF($C451="X",0,-$O451)),2),0)</f>
        <v>0</v>
      </c>
      <c r="AN451" s="198">
        <f>IF($K451=AN$3,ROUND(IF(OR($C451="W",$C451="1/2W",$C451="1/2L"),$P451-$O451,IF($C451="X",0,-$O451)),2),0)</f>
        <v>0</v>
      </c>
      <c r="AO451" s="198">
        <f>IF($K451=AO$3,ROUND(IF(OR($C451="W",$C451="1/2W",$C451="1/2L"),$P451-$O451,IF($C451="X",0,-$O451)),2),0)</f>
        <v>0</v>
      </c>
      <c r="AP451" s="198">
        <f>IF($K451=AP$3,ROUND(IF(OR($C451="W",$C451="1/2W",$C451="1/2L"),$P451-$O451,IF($C451="X",0,-$O451)),2),0)</f>
        <v>0</v>
      </c>
      <c r="AQ451" s="198">
        <f>IF($K451=AQ$3,ROUND(IF(OR($C451="W",$C451="1/2W",$C451="1/2L"),$P451-$O451,IF($C451="X",0,-$O451)),2),0)</f>
        <v>0</v>
      </c>
      <c r="AR451" s="199">
        <f>IF($K451=AR$3,ROUND(IF(OR($C451="W",$C451="1/2W",$C451="1/2L"),$P451-$O451,IF($C451="X",0,-$O451)),2),0)</f>
        <v>0</v>
      </c>
      <c r="AS451" s="197">
        <f>IF(AND($B451=" ",$K451=AS$3),$O451,0)</f>
        <v>0</v>
      </c>
      <c r="AT451" s="198">
        <f>IF(AND($B451=" ",$K451=AT$3),$O451,0)</f>
        <v>0</v>
      </c>
      <c r="AU451" s="198">
        <f>IF(AND($B451=" ",$K451=AU$3),$O451,0)</f>
        <v>0</v>
      </c>
      <c r="AV451" s="198">
        <f>IF(AND($B451=" ",$K451=AV$3),$O451,0)</f>
        <v>0</v>
      </c>
      <c r="AW451" s="198">
        <f>IF(AND($B451=" ",$K451=AW$3),$O451,0)</f>
        <v>0</v>
      </c>
      <c r="AX451" s="198">
        <f>IF(AND($B451=" ",$K451=AX$3),$O451,0)</f>
        <v>0</v>
      </c>
      <c r="AY451" s="200">
        <f>IF(AND($B451=" ",$K451=AY$3),$O451,0)</f>
        <v>0</v>
      </c>
      <c r="AZ451" s="201">
        <f>IF(AND($B451=" ",$K451=AZ$3),$O451,0)</f>
        <v>0</v>
      </c>
      <c r="BA451" s="201">
        <f>IF(AND($B451=" ",$K451=BA$3),$O451,0)</f>
        <v>0</v>
      </c>
      <c r="BB451" s="201">
        <f>IF(AND($B451=" ",$K451=BB$3),$O451,0)</f>
        <v>0</v>
      </c>
      <c r="BC451" s="202">
        <f>IF(AND($B451=" ",$K451=BC$3),$O451,0)</f>
        <v>0</v>
      </c>
      <c r="BD451" s="198">
        <f>IF(AND($B451=" ",$K451=BD$3),$O451,0)</f>
        <v>0</v>
      </c>
      <c r="BE451" s="199">
        <f>IF(AND($B451=" ",$K451=BE$3),$O451,0)</f>
        <v>0</v>
      </c>
      <c r="BF451" s="203">
        <f>IF($K451=BF$3,IF($C451="X",0,$O451),0)</f>
        <v>0</v>
      </c>
      <c r="BG451" s="198">
        <f>IF($K451=BG$3,IF($C451="X",0,$O451),0)</f>
        <v>0</v>
      </c>
      <c r="BH451" s="198">
        <f>IF($K451=BH$3,IF($C451="X",0,$O451),0)</f>
        <v>0</v>
      </c>
      <c r="BI451" s="198">
        <f>IF($K451=BI$3,IF($C451="X",0,$O451),0)</f>
        <v>5.66</v>
      </c>
      <c r="BJ451" s="198">
        <f>IF($K451=BJ$3,IF($C451="X",0,$O451),0)</f>
        <v>0</v>
      </c>
      <c r="BK451" s="198">
        <f>IF($K451=BK$3,IF($C451="X",0,$O451),0)</f>
        <v>0</v>
      </c>
      <c r="BL451" s="198">
        <f>IF($K451=BL$3,IF($C451="X",0,$O451),0)</f>
        <v>0</v>
      </c>
      <c r="BM451" s="200">
        <f>IF($K451=BM$3,IF($C451="X",0,$O451),0)</f>
        <v>0</v>
      </c>
      <c r="BN451" s="201">
        <f>IF($K451=BN$3,IF($C451="X",0,$O451),0)</f>
        <v>0</v>
      </c>
      <c r="BO451" s="201">
        <f>IF($K451=BO$3,IF($C451="X",0,$O451),0)</f>
        <v>0</v>
      </c>
      <c r="BP451" s="201">
        <f>IF($K451=BP$3,IF($C451="X",0,$O451),0)</f>
        <v>0</v>
      </c>
      <c r="BQ451" s="202">
        <f>IF($K451=BQ$3,IF($C451="X",0,$O451),0)</f>
        <v>0</v>
      </c>
      <c r="BR451" s="199">
        <f>IF($K451=BR$3,IF($C451="X",0,$O451),0)</f>
        <v>0</v>
      </c>
      <c r="BS451" s="204">
        <f>IF($B451="LOSS",IF(AND($K451=BS$3,$C451="L"),-$O451,0)+IF(AND($K452=BS$3,$C452="L"),-$O452,0)+IF(AND($K453=BS$3,$C453="L"),-$O453,0),IF(OR(AND($K451=BS$3,OR($C451="W",$C451="1/2W")),AND($K452=BS$3,OR($C452="W",$C452="1/2W")),AND($K453=BS$3,OR($C453="W",$C453="1/2W"))),$S451,0))</f>
        <v>0</v>
      </c>
      <c r="BT451" s="201">
        <f>IF($B451="LOSS",IF(AND($K451=BT$3,$C451="L"),-$O451,0)+IF(AND($K452=BT$3,$C452="L"),-$O452,0)+IF(AND($K452=BT$3,$C453="L"),-$O453,0),IF(OR(AND($K452=BT$3,OR($C451="W",$C451="1/2W")),AND($K452=BT$3,OR($C452="W",$C452="1/2W")),AND($K452=BT$3,OR($C453="W",$C453="1/2W"))),$S451,0))</f>
        <v>0</v>
      </c>
      <c r="BU451" s="201">
        <f>IF($B451="LOSS",IF(AND($K451=BU$3,$C451="L"),-$O451,0)+IF(AND($K452=BU$3,$C452="L"),-$O452,0)+IF(AND($K452=BU$3,$C453="L"),-$O453,0),IF(OR(AND($K452=BU$3,OR($C451="W",$C451="1/2W")),AND($K452=BU$3,OR($C452="W",$C452="1/2W")),AND($K452=BU$3,OR($C453="W",$C453="1/2W"))),$S451,0))</f>
        <v>0.48</v>
      </c>
      <c r="BV451" s="201">
        <f>IF($B451="LOSS",IF(AND($K451=BV$3,$C451="L"),-$O451,0)+IF(AND($K452=BV$3,$C452="L"),-$O452,0)+IF(AND($K453=BV$3,$C453="L"),-$O453,0),IF(OR(AND($K451=BV$3,OR($C451="W",$C451="1/2W")),AND($K452=BV$3,OR($C452="W",$C452="1/2W")),AND($K453=BV$3,OR($C453="W",$C453="1/2W"))),$S451,0))</f>
        <v>0.48</v>
      </c>
      <c r="BW451" s="201">
        <f>IF($B451="LOSS",IF(AND($K451=BW$3,$C451="L"),-$O451,0)+IF(AND($K452=BW$3,$C452="L"),-$O452,0)+IF(AND($K453=BW$3,$C453="L"),-$O453,0),IF(OR(AND($K451=BW$3,OR($C451="W",$C451="1/2W")),AND($K452=BW$3,OR($C452="W",$C452="1/2W")),AND($K453=BW$3,OR($C453="W",$C453="1/2W"))),$S451,0))</f>
        <v>0</v>
      </c>
      <c r="BX451" s="201">
        <f>IF($B451="LOSS",IF(AND($K451=BX$3,$C451="L"),-$O451,0)+IF(AND($K452=BX$3,$C452="L"),-$O452,0)+IF(AND($K453=BX$3,$C453="L"),-$O453,0),IF(OR(AND($K451=BX$3,OR($C451="W",$C451="1/2W")),AND($K452=BX$3,OR($C452="W",$C452="1/2W")),AND($K453=BX$3,OR($C453="W",$C453="1/2W"))),$S451,0))</f>
        <v>0</v>
      </c>
      <c r="BY451" s="201">
        <f>IF($B451="LOSS",IF(AND($K451=BY$3,$C451="L"),-$O451,0)+IF(AND($K452=BY$3,$C452="L"),-$O452,0)+IF(AND($K453=BY$3,$C453="L"),-$O453,0),IF(OR(AND($K451=BY$3,OR($C451="W",$C451="1/2W")),AND($K452=BY$3,OR($C452="W",$C452="1/2W")),AND($K453=BY$3,OR($C453="W",$C453="1/2W"))),$S451,0))</f>
        <v>0</v>
      </c>
      <c r="BZ451" s="205">
        <f>IF($B451="LOSS",IF(AND($K451=BZ$3,$C451="L"),-$O451,0)+IF(AND($K452=BZ$3,$C452="L"),-$O452,0)+IF(AND($K453=BZ$3,$C453="L"),-$O453,0),IF(OR(AND($K451=BZ$3,OR($C451="W",$C451="1/2W")),AND($K452=BZ$3,OR($C452="W",$C452="1/2W")),AND($K453=BZ$3,OR($C453="W",$C453="1/2W"))),$S451,0))</f>
        <v>0</v>
      </c>
      <c r="CA451" s="205">
        <f>IF($B451="LOSS",IF(AND($K451=CA$3,$C451="L"),-$O451,0)+IF(AND($K452=CA$3,$C452="L"),-$O452,0)+IF(AND($K453=CA$3,$C453="L"),-$O453,0),IF(OR(AND($K451=CA$3,OR($C451="W",$C451="1/2W")),AND($K452=CA$3,OR($C452="W",$C452="1/2W")),AND($K453=CA$3,OR($C453="W",$C453="1/2W"))),$S451,0))</f>
        <v>0</v>
      </c>
      <c r="CB451" s="205">
        <f>IF($B451="LOSS",IF(AND($K451=CB$3,$C451="L"),-$O451,0)+IF(AND($K452=CB$3,$C452="L"),-$O452,0)+IF(AND($K453=CB$3,$C453="L"),-$O453,0),IF(OR(AND($K451=CB$3,OR($C451="W",$C451="1/2W")),AND($K452=CB$3,OR($C452="W",$C452="1/2W")),AND($K453=CB$3,OR($C453="W",$C453="1/2W"))),$S451,0))</f>
        <v>0</v>
      </c>
      <c r="CC451" s="205">
        <f>IF($B451="LOSS",IF(AND($K451=CC$3,$C451="L"),-$O451,0)+IF(AND($K452=CC$3,$C452="L"),-$O452,0)+IF(AND($K453=CC$3,$C453="L"),-$O453,0),IF(OR(AND($K451=CC$3,OR($C451="W",$C451="1/2W")),AND($K452=CC$3,OR($C452="W",$C452="1/2W")),AND($K453=CC$3,OR($C453="W",$C453="1/2W"))),$S451,0))</f>
        <v>0</v>
      </c>
      <c r="CD451" s="202">
        <f>IF($B451="LOSS",IF(AND($K451=CD$3,$C451="L"),-$O451,0)+IF(AND($K452=CD$3,$C452="L"),-$O452,0)+IF(AND($K453=CD$3,$C453="L"),-$O453,0),IF(OR(AND($K451=CD$3,OR($C451="W",$C451="1/2W")),AND($K452=CD$3,OR($C452="W",$C452="1/2W")),AND($K453=CD$3,OR($C453="W",$C453="1/2W"))),$S451,0))</f>
        <v>0</v>
      </c>
      <c r="CE451" s="199">
        <f>IF($B451="LOSS",IF(AND($K451=CE$3,$C451="L"),-$O451,0)+IF(AND($K452=CE$3,$C452="L"),-$O452,0)+IF(AND($K453=CE$3,$C453="L"),-$O453,0),IF(OR(AND($K451=CE$3,OR($C451="W",$C451="1/2W")),AND($K452=CE$3,OR($C452="W",$C452="1/2W")),AND($K453=CE$3,OR($C453="W",$C453="1/2W"))),$S451,0))</f>
        <v>0</v>
      </c>
      <c r="CF451" s="206">
        <f>IF(CF$3=$K451,IF($C451="W",1,IF($C451="1/2W",0.5,0)),0)</f>
        <v>0</v>
      </c>
      <c r="CG451" s="207">
        <f>IF(CF$3=$K451,IF($C451="L",1,IF($C451="1/2L",0.5,0)),0)</f>
        <v>0</v>
      </c>
      <c r="CH451" s="207">
        <f>IF(CH$3=$K451,IF($C451="W",1,IF($C451="1/2W",0.5,0)),0)</f>
        <v>0</v>
      </c>
      <c r="CI451" s="207">
        <f>IF(CH$3=$K451,IF($C451="L",1,IF($C451="1/2L",0.5,0)),0)</f>
        <v>0</v>
      </c>
      <c r="CJ451" s="207">
        <f>IF(CJ$3=$K451,IF($C451="W",1,IF($C451="1/2W",0.5,0)),0)</f>
        <v>0</v>
      </c>
      <c r="CK451" s="207">
        <f>IF(CJ$3=$K451,IF($C451="L",1,IF($C451="1/2L",0.5,0)),0)</f>
        <v>0</v>
      </c>
      <c r="CL451" s="207">
        <f>IF(CL$3=$K451,IF($C451="W",1,IF($C451="1/2W",0.5,0)),0)</f>
        <v>1</v>
      </c>
      <c r="CM451" s="207">
        <f>IF(CL$3=$K451,IF($C451="L",1,IF($C451="1/2L",0.5,0)),0)</f>
        <v>0</v>
      </c>
      <c r="CN451" s="207">
        <f>IF(CN$3=$K451,IF($C451="W",1,IF($C451="1/2W",0.5,0)),0)</f>
        <v>0</v>
      </c>
      <c r="CO451" s="207">
        <f>IF(CN$3=$K451,IF($C451="L",1,IF($C451="1/2L",0.5,0)),0)</f>
        <v>0</v>
      </c>
      <c r="CP451" s="207">
        <f>IF(CP$3=$K451,IF($C451="W",1,IF($C451="1/2W",0.5,0)),0)</f>
        <v>0</v>
      </c>
      <c r="CQ451" s="207">
        <f>IF(CP$3=$K451,IF($C451="L",1,IF($C451="1/2L",0.5,0)),0)</f>
        <v>0</v>
      </c>
      <c r="CR451" s="207">
        <f>IF(CR$3=$K451,IF($C451="W",1,IF($C451="1/2W",0.5,0)),0)</f>
        <v>0</v>
      </c>
      <c r="CS451" s="207">
        <f>IF(CR$3=$K451,IF($C451="L",1,IF($C451="1/2L",0.5,0)),0)</f>
        <v>0</v>
      </c>
      <c r="CT451" s="208">
        <f>IF(CT$3=$K451,IF($C451="W",1,IF($C451="1/2W",0.5,0)),0)</f>
        <v>0</v>
      </c>
      <c r="CU451" s="209">
        <f>IF(CT$3=$K451,IF($C451="L",1,IF($C451="1/2L",0.5,0)),0)</f>
        <v>0</v>
      </c>
      <c r="CV451" s="209">
        <f>IF(CV$3=$K451,IF($C451="W",1,IF($C451="1/2W",0.5,0)),0)</f>
        <v>0</v>
      </c>
      <c r="CW451" s="209">
        <f>IF(CV$3=$K451,IF($C451="L",1,IF($C451="1/2L",0.5,0)),0)</f>
        <v>0</v>
      </c>
      <c r="CX451" s="209">
        <f>IF(CX$3=$K451,IF($C451="W",1,IF($C451="1/2W",0.5,0)),0)</f>
        <v>0</v>
      </c>
      <c r="CY451" s="209">
        <f>IF(CX$3=$K451,IF($C451="L",1,IF($C451="1/2L",0.5,0)),0)</f>
        <v>0</v>
      </c>
      <c r="CZ451" s="209">
        <f>IF(CZ$3=$K451,IF($C451="W",1,IF($C451="1/2W",0.5,0)),0)</f>
        <v>0</v>
      </c>
      <c r="DA451" s="209">
        <f>IF(CZ$3=$K451,IF($C451="L",1,IF($C451="1/2L",0.5,0)),0)</f>
        <v>0</v>
      </c>
      <c r="DB451" s="209">
        <f>IF(DB$3=$K451,IF($C451="W",1,IF($C451="1/2W",0.5,0)),0)</f>
        <v>0</v>
      </c>
      <c r="DC451" s="209">
        <f>IF(DB$3=$K451,IF($C451="L",1,IF($C451="1/2L",0.5,0)),0)</f>
        <v>0</v>
      </c>
      <c r="DD451" s="209">
        <f>IF(DD$3=$K451,IF($C451="W",1,IF($C451="1/2W",0.5,0)),0)</f>
        <v>0</v>
      </c>
      <c r="DE451" s="210">
        <f>IF(DD$3=$K451,IF($C451="L",1,IF($C451="1/2L",0.5,0)),0)</f>
        <v>0</v>
      </c>
      <c r="DF451" s="211">
        <f>IF(AND(L451&lt;DF$3,$C451="W"),1+DF450,DF450)</f>
        <v>15</v>
      </c>
      <c r="DG451" s="198">
        <f>IF(DF451&gt;DF450,L451+DG450,DG450)</f>
        <v>19.748</v>
      </c>
      <c r="DH451" s="209">
        <f>IF(AND(L451&gt;DH$3,$C451="W"),1+DH450,0+DH450)</f>
        <v>10</v>
      </c>
      <c r="DI451" s="198">
        <f>IF(DH451&gt;DH450,L451+DI450,DI450)</f>
        <v>55.13</v>
      </c>
      <c r="DJ451" t="s" s="306">
        <f>IF($D451="","",$D451)</f>
        <v>358</v>
      </c>
      <c r="DK451" s="209">
        <f>IF(AND($B451=" ",$D451&lt;&gt;""),1,0)</f>
        <v>0</v>
      </c>
    </row>
    <row r="452" ht="14.55" customHeight="1">
      <c r="A452" s="107"/>
      <c r="B452" s="108"/>
      <c r="C452" t="s" s="213">
        <v>51</v>
      </c>
      <c r="D452" s="110"/>
      <c r="E452" s="111"/>
      <c r="F452" s="113"/>
      <c r="G452" s="214"/>
      <c r="H452" s="114"/>
      <c r="I452" t="s" s="215">
        <v>67</v>
      </c>
      <c r="J452" s="296">
        <f>IF(OR(I451="TO",I451="TU",I451="TO1",I451="TU1",I451="TO2",I451="TU2"),J451,IF(OR(I451="AH1",I451="AH2"),IF(OR(I452="AH1",I452="AH2"),-J451,IF(OR(I452="EH1",I452="EH2"),-J451+0.5,"")),IF(OR(I451="EH1",I451="EH2"),IF(OR(I452="AH1",I452="AH2"),-J451+0.5,IF(OR(I452="EH1",I452="EH2"),-J451+1,"")),IF(AND(OR(I451="DNB1",I451="DNB2"),OR(I452="AH1",I452="AH2")),0,IF(AND(I451="Not ScoreBoth",OR(I452="TO1",I452="TO2")),0.5,"")))))</f>
        <v>210.5</v>
      </c>
      <c r="K452" t="s" s="217">
        <v>39</v>
      </c>
      <c r="L452" s="218">
        <v>1.82</v>
      </c>
      <c r="M452" s="219"/>
      <c r="N452" s="120"/>
      <c r="O452" s="220">
        <f>IF(OR(AE451="",AE452=""),"",ROUND(IF(L453&gt;0,IF(M452&gt;0,M452,IF(M451&gt;0,IF(N451=TRUE,ROUND((M451*AE452)/AE451,0),(M451*AE452)/AE451),IF(M452&gt;0,ROUND(M452,IF(N451=0,2,IF(N451=0.1,1,0))),IF(M453&gt;0,ROUND(O453*AE452/AE453,IF(N451=0,2,IF(N451=0.1,1,0))),0)))),IF(M452&gt;0,M452,ROUND((M451*AE452)/AE451,IF(N451=0,2,IF(N451=0.1,1,0))))),2))</f>
        <v>8.01</v>
      </c>
      <c r="P452" s="221">
        <f>IF(OR(L452="",O452=""),"",IF($C452="1/2W",O452/2+O452/2*L452,IF($C452="1/2L",O452/2,IF(I452="Lay",((O452*(L452/(L452-1)))-O452)*(1-_xlfn.XLOOKUP(K452,'Janeiro 2023 - Valor Real'!A3:A15,'Janeiro 2023 - Valor Real'!C3:C15,0))+O452,(O452*L452-O452)*(1-_xlfn.XLOOKUP(K452,'Janeiro 2023 - Valor Real'!A3:A15,'Janeiro 2023 - Valor Real'!C3:C15,0))+O452))))</f>
        <v>14.151267</v>
      </c>
      <c r="Q452" s="222">
        <f>IF(K452="","",IF(_xlfn.XLOOKUP(K452,K$123:K225,DJ$123:DJ225,0,,-1)=DJ452,_xlfn.XLOOKUP(K452,K$123:K225,Q$123:Q225,1,,-1)+1,1))</f>
        <v>1</v>
      </c>
      <c r="R452" s="223">
        <f>IF(K452="","",_xlfn.XLOOKUP(K452,K$123:K225,R$123:R225,0,,-1)+IF($C452=" ",1,0))</f>
        <v>0</v>
      </c>
      <c r="S452" s="125"/>
      <c r="T452" s="126"/>
      <c r="U452" s="126"/>
      <c r="V452" s="224"/>
      <c r="W452" s="126"/>
      <c r="X452" s="127"/>
      <c r="Y452" s="128"/>
      <c r="Z452" s="129"/>
      <c r="AA452" s="129"/>
      <c r="AB452" s="129"/>
      <c r="AC452" s="129"/>
      <c r="AD452" s="225">
        <f>(((L452/(L452-1)-1)*(1-_xlfn.XLOOKUP(K452,'Janeiro 2023 - Valor Real'!A3:A15,'Janeiro 2023 - Valor Real'!C3:C15,0))+1))</f>
        <v>2.14024390243902</v>
      </c>
      <c r="AE452" s="226">
        <f>IF(L452="","",IF(L453&gt;0,(SUM(((L451-1)*(1-_xlfn.XLOOKUP(K451,'Janeiro 2023 - Valor Real'!A3:A15,'Janeiro 2023 - Valor Real'!C3:C15,0))+1),((L452-1)*(1-_xlfn.XLOOKUP(K452,'Janeiro 2023 - Valor Real'!A3:A15,'Janeiro 2023 - Valor Real'!C3:C15,0))+1),((L453-1)*(1-_xlfn.XLOOKUP(K453,'Janeiro 2023 - Valor Real'!A3:A15,'Janeiro 2023 - Valor Real'!C3:C15,0))+1))/((L452-1)*(1-_xlfn.XLOOKUP(K452,'Janeiro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Real'!C3:C15,0))+1))/((L451-1)*(1-_xlfn.XLOOKUP(K451,'Janeiro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Real'!C3:C15,0))+1))/((L452-1)*(1-_xlfn.XLOOKUP(K452,'Janeiro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Real'!C3:C15,0))+1))/((L453-1)*(1-_xlfn.XLOOKUP(K453,'Janeiro 2023 - Valor Real'!A3:A15,'Janeiro 2023 - Valor Real'!C3:C15,0))+1)),IF(I452="Lay",IF(I451="Lay",((L451/(L451-1)-1)*(1-_xlfn.XLOOKUP(K451,'Janeiro 2023 - Valor Real'!A3:A15,'Janeiro 2023 - Valor Real'!C3:C15,0))+1)/(((L451/(L451-1)-1)*(1-_xlfn.XLOOKUP(K451,'Janeiro 2023 - Valor Real'!A3:A15,'Janeiro 2023 - Valor Real'!C3:C15,0))+1)+((L452/(L452-1)-1)*(1-_xlfn.XLOOKUP(K452,'Janeiro 2023 - Valor Real'!A3:A15,'Janeiro 2023 - Valor Real'!C3:C15,0))+1)),((L451-1)*(1-_xlfn.XLOOKUP(K451,'Janeiro 2023 - Valor Real'!A3:A15,'Janeiro 2023 - Valor Real'!C3:C15,0))+1)/(((L451-1)*(1-_xlfn.XLOOKUP(K451,'Janeiro 2023 - Valor Real'!A3:A15,'Janeiro 2023 - Valor Real'!C3:C15,0))+1)+((L452/(L452-1)-1)*(1-_xlfn.XLOOKUP(K452,'Janeiro 2023 - Valor Real'!A3:A15,'Janeiro 2023 - Valor Real'!C3:C15,0))+1))),IF(I451="Lay",((L451/(L451-1)-1)*(1-_xlfn.XLOOKUP(K451,'Janeiro 2023 - Valor Real'!A3:A15,'Janeiro 2023 - Valor Real'!C3:C15,0))+1)/((((L451/(L451-1)-1)*(1-_xlfn.XLOOKUP(K451,'Janeiro 2023 - Valor Real'!A3:A15,'Janeiro 2023 - Valor Real'!C3:C15,0))+1))+((L452-1)*(1-_xlfn.XLOOKUP(K452,'Janeiro 2023 - Valor Real'!A3:A15,'Janeiro 2023 - Valor Real'!C3:C15,0))+1)),((L451-1)*(1-_xlfn.XLOOKUP(K451,'Janeiro 2023 - Valor Real'!A3:A15,'Janeiro 2023 - Valor Real'!C3:C15,0))+1)/(((L451-1)*(1-_xlfn.XLOOKUP(K451,'Janeiro 2023 - Valor Real'!A3:A15,'Janeiro 2023 - Valor Real'!C3:C15,0))+1)+((L452-1)*(1-_xlfn.XLOOKUP(K452,'Janeiro 2023 - Valor Real'!A3:A15,'Janeiro 2023 - Valor Real'!C3:C15,0))+1))))))</f>
        <v>0.585932922399044</v>
      </c>
      <c r="AF452" s="197">
        <f>IF($K452=AF$3,ROUND(IF(OR($C452="W",$C452="1/2W",$C452="1/2L"),$P452-$O452,IF($C452="X",0,-$O452)),2),0)</f>
        <v>0</v>
      </c>
      <c r="AG452" s="198">
        <f>IF($K452=AG$3,ROUND(IF(OR($C452="W",$C452="1/2W",$C452="1/2L"),$P452-$O452,IF($C452="X",0,-$O452)),2),0)</f>
        <v>0</v>
      </c>
      <c r="AH452" s="198">
        <f>IF($K452=AH$3,ROUND(IF(OR($C452="W",$C452="1/2W",$C452="1/2L"),$P452-$O452,IF($C452="X",0,-$O452)),2),0)</f>
        <v>-8.01</v>
      </c>
      <c r="AI452" s="198">
        <f>IF($K452=AI$3,ROUND(IF(OR($C452="W",$C452="1/2W",$C452="1/2L"),$P452-$O452,IF($C452="X",0,-$O452)),2),0)</f>
        <v>0</v>
      </c>
      <c r="AJ452" s="198">
        <f>IF($K452=AJ$3,ROUND(IF(OR($C452="W",$C452="1/2W",$C452="1/2L"),$P452-$O452,IF($C452="X",0,-$O452)),2),0)</f>
        <v>0</v>
      </c>
      <c r="AK452" s="198">
        <f>IF($K452=AK$3,ROUND(IF(OR($C452="W",$C452="1/2W",$C452="1/2L"),$P452-$O452,IF($C452="X",0,-$O452)),2),0)</f>
        <v>0</v>
      </c>
      <c r="AL452" s="198">
        <f>IF($K452=AL$3,ROUND(IF(OR($C452="W",$C452="1/2W",$C452="1/2L"),$P452-$O452,IF($C452="X",0,-$O452)),2),0)</f>
        <v>0</v>
      </c>
      <c r="AM452" s="198">
        <f>IF($K452=AM$3,ROUND(IF(OR($C452="W",$C452="1/2W",$C452="1/2L"),$P452-$O452,IF($C452="X",0,-$O452)),2),0)</f>
        <v>0</v>
      </c>
      <c r="AN452" s="198">
        <f>IF($K452=AN$3,ROUND(IF(OR($C452="W",$C452="1/2W",$C452="1/2L"),$P452-$O452,IF($C452="X",0,-$O452)),2),0)</f>
        <v>0</v>
      </c>
      <c r="AO452" s="198">
        <f>IF($K452=AO$3,ROUND(IF(OR($C452="W",$C452="1/2W",$C452="1/2L"),$P452-$O452,IF($C452="X",0,-$O452)),2),0)</f>
        <v>0</v>
      </c>
      <c r="AP452" s="198">
        <f>IF($K452=AP$3,ROUND(IF(OR($C452="W",$C452="1/2W",$C452="1/2L"),$P452-$O452,IF($C452="X",0,-$O452)),2),0)</f>
        <v>0</v>
      </c>
      <c r="AQ452" s="198">
        <f>IF($K452=AQ$3,ROUND(IF(OR($C452="W",$C452="1/2W",$C452="1/2L"),$P452-$O452,IF($C452="X",0,-$O452)),2),0)</f>
        <v>0</v>
      </c>
      <c r="AR452" s="199">
        <f>IF($K452=AR$3,ROUND(IF(OR($C452="W",$C452="1/2W",$C452="1/2L"),$P452-$O452,IF($C452="X",0,-$O452)),2),0)</f>
        <v>0</v>
      </c>
      <c r="AS452" s="197">
        <f>IF(AND($B451=" ",$K452=AS$3),$O452,0)</f>
        <v>0</v>
      </c>
      <c r="AT452" s="198">
        <f>IF(AND($B451=" ",K452=AT$3),$O452,0)</f>
        <v>0</v>
      </c>
      <c r="AU452" s="198">
        <f>IF(AND($B451=" ",$K452=AU$3),$O452,0)</f>
        <v>0</v>
      </c>
      <c r="AV452" s="198">
        <f>IF(AND($B451=" ",$K452=AV$3),$O452,0)</f>
        <v>0</v>
      </c>
      <c r="AW452" s="198">
        <f>IF(AND($B451=" ",$K452=AW$3),$O452,0)</f>
        <v>0</v>
      </c>
      <c r="AX452" s="198">
        <f>IF(AND($B451=" ",$K452=AX$3),$O452,0)</f>
        <v>0</v>
      </c>
      <c r="AY452" s="200">
        <f>IF(AND($B451=" ",$K452=AY$3),$O452,0)</f>
        <v>0</v>
      </c>
      <c r="AZ452" s="201">
        <f>IF(AND($B451=" ",$K452=AZ$3),$O452,0)</f>
        <v>0</v>
      </c>
      <c r="BA452" s="201">
        <f>IF(AND($B451=" ",$K452=BA$3),$O452,0)</f>
        <v>0</v>
      </c>
      <c r="BB452" s="201">
        <f>IF(AND($B451=" ",$K452=BB$3),$O452,0)</f>
        <v>0</v>
      </c>
      <c r="BC452" s="202">
        <f>IF(AND($B451=" ",$K452=BC$3),$O452,0)</f>
        <v>0</v>
      </c>
      <c r="BD452" s="198">
        <f>IF(AND($B451=" ",$K452=BD$3),$O452,0)</f>
        <v>0</v>
      </c>
      <c r="BE452" s="199">
        <f>IF(AND($B451=" ",$K452=BE$3),$O452,0)</f>
        <v>0</v>
      </c>
      <c r="BF452" s="197">
        <f>IF($K452=BF$3,IF($C452="X",0,$O452),0)</f>
        <v>0</v>
      </c>
      <c r="BG452" s="198">
        <f>IF($K452=BG$3,IF($C452="X",0,$O452),0)</f>
        <v>0</v>
      </c>
      <c r="BH452" s="198">
        <f>IF($K452=BH$3,IF($C452="X",0,$O452),0)</f>
        <v>8.01</v>
      </c>
      <c r="BI452" s="198">
        <f>IF($K452=BI$3,IF($C452="X",0,$O452),0)</f>
        <v>0</v>
      </c>
      <c r="BJ452" s="198">
        <f>IF($K452=BJ$3,IF($C452="X",0,$O452),0)</f>
        <v>0</v>
      </c>
      <c r="BK452" s="198">
        <f>IF($K452=BK$3,IF($C452="X",0,$O452),0)</f>
        <v>0</v>
      </c>
      <c r="BL452" s="198">
        <f>IF($K452=BL$3,IF($C452="X",0,$O452),0)</f>
        <v>0</v>
      </c>
      <c r="BM452" s="227">
        <f>IF($K452=BM$3,IF($C452="X",0,$O452),0)</f>
        <v>0</v>
      </c>
      <c r="BN452" s="205">
        <f>IF($K452=BN$3,IF($C452="X",0,$O452),0)</f>
        <v>0</v>
      </c>
      <c r="BO452" s="205">
        <f>IF($K452=BO$3,IF($C452="X",0,$O452),0)</f>
        <v>0</v>
      </c>
      <c r="BP452" s="205">
        <f>IF($K452=BP$3,IF($C452="X",0,$O452),0)</f>
        <v>0</v>
      </c>
      <c r="BQ452" s="202">
        <f>IF($K452=BQ$3,IF($C452="X",0,$O452),0)</f>
        <v>0</v>
      </c>
      <c r="BR452" s="199">
        <f>IF($K452=BR$3,IF($C452="X",0,$O452),0)</f>
        <v>0</v>
      </c>
      <c r="BS452" s="228"/>
      <c r="BT452" s="229"/>
      <c r="BU452" s="140"/>
      <c r="BV452" s="229"/>
      <c r="BW452" s="140"/>
      <c r="BX452" s="140"/>
      <c r="BY452" s="140"/>
      <c r="BZ452" s="229"/>
      <c r="CA452" s="140"/>
      <c r="CB452" s="140"/>
      <c r="CC452" s="140"/>
      <c r="CD452" s="141"/>
      <c r="CE452" s="142"/>
      <c r="CF452" s="230">
        <f>IF(CF$3=$K452,IF($C452="W",1,IF($C452="1/2W",0.5,0)),0)</f>
        <v>0</v>
      </c>
      <c r="CG452" s="231">
        <f>IF(CF$3=$K452,IF($C452="L",1,IF($C452="1/2L",0.5,0)),0)</f>
        <v>0</v>
      </c>
      <c r="CH452" s="231">
        <f>IF(CH$3=$K452,IF($C452="W",1,IF($C452="1/2W",0.5,0)),0)</f>
        <v>0</v>
      </c>
      <c r="CI452" s="231">
        <f>IF(CH$3=$K452,IF($C452="L",1,IF($C452="1/2L",0.5,0)),0)</f>
        <v>0</v>
      </c>
      <c r="CJ452" s="231">
        <f>IF(CJ$3=$K452,IF($C452="W",1,IF($C452="1/2W",0.5,0)),0)</f>
        <v>0</v>
      </c>
      <c r="CK452" s="231">
        <f>IF(CJ$3=$K452,IF($C452="L",1,IF($C452="1/2L",0.5,0)),0)</f>
        <v>1</v>
      </c>
      <c r="CL452" s="231">
        <f>IF(CL$3=$K452,IF($C452="W",1,IF($C452="1/2W",0.5,0)),0)</f>
        <v>0</v>
      </c>
      <c r="CM452" s="231">
        <f>IF(CL$3=$K452,IF($C452="L",1,IF($C452="1/2L",0.5,0)),0)</f>
        <v>0</v>
      </c>
      <c r="CN452" s="231">
        <f>IF(CN$3=$K452,IF($C452="W",1,IF($C452="1/2W",0.5,0)),0)</f>
        <v>0</v>
      </c>
      <c r="CO452" s="231">
        <f>IF(CN$3=$K452,IF($C452="L",1,IF($C452="1/2L",0.5,0)),0)</f>
        <v>0</v>
      </c>
      <c r="CP452" s="231">
        <f>IF(CP$3=$K452,IF($C452="W",1,IF($C452="1/2W",0.5,0)),0)</f>
        <v>0</v>
      </c>
      <c r="CQ452" s="231">
        <f>IF(CP$3=$K452,IF($C452="L",1,IF($C452="1/2L",0.5,0)),0)</f>
        <v>0</v>
      </c>
      <c r="CR452" s="231">
        <f>IF(CR$3=$K452,IF($C452="W",1,IF($C452="1/2W",0.5,0)),0)</f>
        <v>0</v>
      </c>
      <c r="CS452" s="231">
        <f>IF(CR$3=$K452,IF($C452="L",1,IF($C452="1/2L",0.5,0)),0)</f>
        <v>0</v>
      </c>
      <c r="CT452" s="208">
        <f>IF(CT$3=$K452,IF($C452="W",1,IF($C452="1/2W",0.5,0)),0)</f>
        <v>0</v>
      </c>
      <c r="CU452" s="209">
        <f>IF(CT$3=$K452,IF($C452="L",1,IF($C452="1/2L",0.5,0)),0)</f>
        <v>0</v>
      </c>
      <c r="CV452" s="209">
        <f>IF(CV$3=$K452,IF($C452="W",1,IF($C452="1/2W",0.5,0)),0)</f>
        <v>0</v>
      </c>
      <c r="CW452" s="209">
        <f>IF(CV$3=$K452,IF($C452="L",1,IF($C452="1/2L",0.5,0)),0)</f>
        <v>0</v>
      </c>
      <c r="CX452" s="209">
        <f>IF(CX$3=$K452,IF($C452="W",1,IF($C452="1/2W",0.5,0)),0)</f>
        <v>0</v>
      </c>
      <c r="CY452" s="209">
        <f>IF(CX$3=$K452,IF($C452="L",1,IF($C452="1/2L",0.5,0)),0)</f>
        <v>0</v>
      </c>
      <c r="CZ452" s="209">
        <f>IF(CZ$3=$K452,IF($C452="W",1,IF($C452="1/2W",0.5,0)),0)</f>
        <v>0</v>
      </c>
      <c r="DA452" s="209">
        <f>IF(CZ$3=$K452,IF($C452="L",1,IF($C452="1/2L",0.5,0)),0)</f>
        <v>0</v>
      </c>
      <c r="DB452" s="209">
        <f>IF(DB$3=$K452,IF($C452="W",1,IF($C452="1/2W",0.5,0)),0)</f>
        <v>0</v>
      </c>
      <c r="DC452" s="209">
        <f>IF(DB$3=$K452,IF($C452="L",1,IF($C452="1/2L",0.5,0)),0)</f>
        <v>0</v>
      </c>
      <c r="DD452" s="209">
        <f>IF(DD$3=$K452,IF($C452="W",1,IF($C452="1/2W",0.5,0)),0)</f>
        <v>0</v>
      </c>
      <c r="DE452" s="210">
        <f>IF(DD$3=$K452,IF($C452="L",1,IF($C452="1/2L",0.5,0)),0)</f>
        <v>0</v>
      </c>
      <c r="DF452" s="211">
        <f>IF(AND(L452&lt;DF$3,$C452="W"),1+DF451,DF451)</f>
        <v>15</v>
      </c>
      <c r="DG452" s="198">
        <f>IF(DF452&gt;DF451,L452+DG451,DG451)</f>
        <v>19.748</v>
      </c>
      <c r="DH452" s="209">
        <f>IF(AND(L452&gt;DH$3,$C452="W"),1+DH451,0+DH451)</f>
        <v>10</v>
      </c>
      <c r="DI452" s="198">
        <f>IF(DH452&gt;DH451,L452+DI451,DI451)</f>
        <v>55.13</v>
      </c>
      <c r="DJ452" t="s" s="306">
        <f>IF($D451="","",$D451)</f>
        <v>358</v>
      </c>
      <c r="DK452" s="232"/>
    </row>
    <row r="453" ht="14.55" customHeight="1">
      <c r="A453" s="149"/>
      <c r="B453" s="150"/>
      <c r="C453" t="s" s="233">
        <v>58</v>
      </c>
      <c r="D453" s="152"/>
      <c r="E453" s="153"/>
      <c r="F453" s="155"/>
      <c r="G453" s="234"/>
      <c r="H453" s="156"/>
      <c r="I453" s="235"/>
      <c r="J453" s="236"/>
      <c r="K453" s="237"/>
      <c r="L453" s="238"/>
      <c r="M453" s="239"/>
      <c r="N453" s="161"/>
      <c r="O453" t="s" s="240">
        <f>IF(OR(AE451="",AE452=""),"",IF(L453&gt;0,ROUND(IF(M453&gt;0,M453,IF(M451&gt;0,ROUND((M451*AE453)/AE451,IF(N451=0,2,IF(N451=0.1,1,0))),IF(M452&gt;0,ROUND((M452*AE453)/AE452,IF(N451=0,2,IF(N451=0.1,1,0))),IF(M453&gt;0,M453,0)))),2),""))</f>
      </c>
      <c r="P453" t="s" s="241">
        <f>IF(I452="Lay",O452*(L452/(L452-1))-O452,IF(I451="Lay",O451*(L451/(L451-1))-O451,IF(OR(L453="",O453=""),"",IF($C453="1/2W",O453/2+O453/2*L453,IF($C453="1/2L",O453/2,(O453*L453-O453)*(1-_xlfn.XLOOKUP(K453,'Janeiro 2023 - Valor Real'!A3:A15,'Janeiro 2023 - Valor Real'!C3:C15,0))+O453)))))</f>
      </c>
      <c r="Q453" t="s" s="242">
        <f>IF(K453="","",IF(_xlfn.XLOOKUP(K453,K$124:K226,DJ$124:DJ226,0,,-1)=DJ453,_xlfn.XLOOKUP(K453,K$124:K226,Q$124:Q226,1,,-1)+1,1))</f>
      </c>
      <c r="R453" t="s" s="243">
        <f>IF(K453="","",_xlfn.XLOOKUP(K453,K$124:K226,R$124:R226,0,,-1)+IF($C453=" ",1,0))</f>
      </c>
      <c r="S453" s="166"/>
      <c r="T453" s="155"/>
      <c r="U453" s="155"/>
      <c r="V453" s="166"/>
      <c r="W453" s="155"/>
      <c r="X453" s="167"/>
      <c r="Y453" s="128"/>
      <c r="Z453" s="129"/>
      <c r="AA453" s="129"/>
      <c r="AB453" s="129"/>
      <c r="AC453" s="129"/>
      <c r="AD453" s="244">
        <f>((L452/(L452-1)-1))</f>
        <v>1.21951219512195</v>
      </c>
      <c r="AE453" t="s" s="245">
        <f>IF(L453="","",(SUM(((L451-1)*(1-_xlfn.XLOOKUP(K451,'Janeiro 2023 - Valor Real'!A3:A15,'Janeiro 2023 - Valor Real'!C3:C15,0))+1),((L452-1)*(1-_xlfn.XLOOKUP(K452,'Janeiro 2023 - Valor Real'!A3:A15,'Janeiro 2023 - Valor Real'!C3:C15,0))+1),((L453-1)*(1-_xlfn.XLOOKUP(K453,'Janeiro 2023 - Valor Real'!A3:A15,'Janeiro 2023 - Valor Real'!C3:C15,0))+1))/((L453-1)*(1-_xlfn.XLOOKUP(K453,'Janeiro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Real'!C3:C15,0))+1))/((L451-1)*(1-_xlfn.XLOOKUP(K451,'Janeiro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Real'!C3:C15,0))+1))/((L452-1)*(1-_xlfn.XLOOKUP(K452,'Janeiro 2023 - Valor Real'!A3:A15,'Janeiro 2023 - Valor Real'!C3:C15,0))+1)+SUM(((L451-1)*(1-_xlfn.XLOOKUP(K451,'Janeiro 2023 - Valor Real'!A3:A15,'Janeiro 2023 - Valor Real'!C3:C15,0))+1),((L452-1)*(1-_xlfn.XLOOKUP(K452,'Janeiro 2023 - Valor Real'!A3:A15,'Janeiro 2023 - Valor Real'!C3:C15,0))+1),((L453-1)*(1-_xlfn.XLOOKUP(K453,'Janeiro 2023 - Valor Real'!A3:A15,'Janeiro 2023 - Valor Real'!C3:C15,0))+1))/((L453-1)*(1-_xlfn.XLOOKUP(K453,'Janeiro 2023 - Valor Real'!A3:A15,'Janeiro 2023 - Valor Real'!C3:C15,0))+1)))</f>
      </c>
      <c r="AF453" s="197">
        <f>IF($K453=AF$3,ROUND(IF(OR($C453="W",$C453="1/2W",$C453="1/2L"),$P453-$O453,IF($C453="X",0,-$O453)),2),0)</f>
        <v>0</v>
      </c>
      <c r="AG453" s="198">
        <f>IF($K453=AG$3,ROUND(IF(OR($C453="W",$C453="1/2W",$C453="1/2L"),$P453-$O453,IF($C453="X",0,-$O453)),2),0)</f>
        <v>0</v>
      </c>
      <c r="AH453" s="198">
        <f>IF($K453=AH$3,ROUND(IF(OR($C453="W",$C453="1/2W",$C453="1/2L"),$P453-$O453,IF($C453="X",0,-$O453)),2),0)</f>
        <v>0</v>
      </c>
      <c r="AI453" s="198">
        <f>IF($K453=AI$3,ROUND(IF(OR($C453="W",$C453="1/2W",$C453="1/2L"),$P453-$O453,IF($C453="X",0,-$O453)),2),0)</f>
        <v>0</v>
      </c>
      <c r="AJ453" s="198">
        <f>IF($K453=AJ$3,ROUND(IF(OR($C453="W",$C453="1/2W",$C453="1/2L"),$P453-$O453,IF($C453="X",0,-$O453)),2),0)</f>
        <v>0</v>
      </c>
      <c r="AK453" s="198">
        <f>IF($K453=AK$3,ROUND(IF(OR($C453="W",$C453="1/2W",$C453="1/2L"),$P453-$O453,IF($C453="X",0,-$O453)),2),0)</f>
        <v>0</v>
      </c>
      <c r="AL453" s="198">
        <f>IF($K453=AL$3,ROUND(IF(OR($C453="W",$C453="1/2W",$C453="1/2L"),$P453-$O453,IF($C453="X",0,-$O453)),2),0)</f>
        <v>0</v>
      </c>
      <c r="AM453" s="198">
        <f>IF($K453=AM$3,ROUND(IF(OR($C453="W",$C453="1/2W",$C453="1/2L"),$P453-$O453,IF($C453="X",0,-$O453)),2),0)</f>
        <v>0</v>
      </c>
      <c r="AN453" s="198">
        <f>IF($K453=AN$3,ROUND(IF(OR($C453="W",$C453="1/2W",$C453="1/2L"),$P453-$O453,IF($C453="X",0,-$O453)),2),0)</f>
        <v>0</v>
      </c>
      <c r="AO453" s="198">
        <f>IF($K453=AO$3,ROUND(IF(OR($C453="W",$C453="1/2W",$C453="1/2L"),$P453-$O453,IF($C453="X",0,-$O453)),2),0)</f>
        <v>0</v>
      </c>
      <c r="AP453" s="198">
        <f>IF($K453=AP$3,ROUND(IF(OR($C453="W",$C453="1/2W",$C453="1/2L"),$P453-$O453,IF($C453="X",0,-$O453)),2),0)</f>
        <v>0</v>
      </c>
      <c r="AQ453" s="198">
        <f>IF($K453=AQ$3,ROUND(IF(OR($C453="W",$C453="1/2W",$C453="1/2L"),$P453-$O453,IF($C453="X",0,-$O453)),2),0)</f>
        <v>0</v>
      </c>
      <c r="AR453" s="199">
        <f>IF($K453=AR$3,ROUND(IF(OR($C453="W",$C453="1/2W",$C453="1/2L"),$P453-$O453,IF($C453="X",0,-$O453)),2),0)</f>
        <v>0</v>
      </c>
      <c r="AS453" s="197">
        <f>IF(AND($B451=" ",$K453=AS$3),$O453,0)</f>
        <v>0</v>
      </c>
      <c r="AT453" s="198">
        <f>IF(AND($B451=" ",K453=AT$3),$O453,0)</f>
        <v>0</v>
      </c>
      <c r="AU453" s="198">
        <f>IF(AND($B451=" ",$K453=AU$3),$O453,0)</f>
        <v>0</v>
      </c>
      <c r="AV453" s="198">
        <f>IF(AND($B451=" ",$K453=AV$3),$O453,0)</f>
        <v>0</v>
      </c>
      <c r="AW453" s="198">
        <f>IF(AND($B451=" ",$K453=AW$3),$O453,0)</f>
        <v>0</v>
      </c>
      <c r="AX453" s="198">
        <f>IF(AND($B451=" ",$K453=AX$3),$O453,0)</f>
        <v>0</v>
      </c>
      <c r="AY453" s="200">
        <f>IF(AND($B451=" ",$K453=AY$3),$O453,0)</f>
        <v>0</v>
      </c>
      <c r="AZ453" s="201">
        <f>IF(AND($B451=" ",$K453=AZ$3),$O453,0)</f>
        <v>0</v>
      </c>
      <c r="BA453" s="201">
        <f>IF(AND($B451=" ",$K453=BA$3),$O453,0)</f>
        <v>0</v>
      </c>
      <c r="BB453" s="201">
        <f>IF(AND($B451=" ",$K453=BB$3),$O453,0)</f>
        <v>0</v>
      </c>
      <c r="BC453" s="202">
        <f>IF(AND($B451=" ",$K453=BC$3),$O453,0)</f>
        <v>0</v>
      </c>
      <c r="BD453" s="198">
        <f>IF(AND($B451=" ",$K453=BD$3),$O453,0)</f>
        <v>0</v>
      </c>
      <c r="BE453" s="199">
        <f>IF(AND($B451=" ",$K453=BE$3),$O453,0)</f>
        <v>0</v>
      </c>
      <c r="BF453" s="197">
        <f>IF($K453=BF$3,IF($C453="X",0,$O453),0)</f>
        <v>0</v>
      </c>
      <c r="BG453" s="198">
        <f>IF($K453=BG$3,IF($C453="X",0,$O453),0)</f>
        <v>0</v>
      </c>
      <c r="BH453" s="198">
        <f>IF($K453=BH$3,IF($C453="X",0,$O453),0)</f>
        <v>0</v>
      </c>
      <c r="BI453" s="198">
        <f>IF($K453=BI$3,IF($C453="X",0,$O453),0)</f>
        <v>0</v>
      </c>
      <c r="BJ453" s="198">
        <f>IF($K453=BJ$3,IF($C453="X",0,$O453),0)</f>
        <v>0</v>
      </c>
      <c r="BK453" s="198">
        <f>IF($K453=BK$3,IF($C453="X",0,$O453),0)</f>
        <v>0</v>
      </c>
      <c r="BL453" s="198">
        <f>IF($K453=BL$3,IF($C453="X",0,$O453),0)</f>
        <v>0</v>
      </c>
      <c r="BM453" s="200">
        <f>IF($K453=BM$3,IF($C453="X",0,$O453),0)</f>
        <v>0</v>
      </c>
      <c r="BN453" s="201">
        <f>IF($K453=BN$3,IF($C453="X",0,$O453),0)</f>
        <v>0</v>
      </c>
      <c r="BO453" s="201">
        <f>IF($K453=BO$3,IF($C453="X",0,$O453),0)</f>
        <v>0</v>
      </c>
      <c r="BP453" s="201">
        <f>IF($K453=BP$3,IF($C453="X",0,$O453),0)</f>
        <v>0</v>
      </c>
      <c r="BQ453" s="202">
        <f>IF($K453=BQ$3,IF($C453="X",0,$O453),0)</f>
        <v>0</v>
      </c>
      <c r="BR453" s="199">
        <f>IF($K453=BR$3,IF($C453="X",0,$O453),0)</f>
        <v>0</v>
      </c>
      <c r="BS453" s="228"/>
      <c r="BT453" s="229"/>
      <c r="BU453" s="140"/>
      <c r="BV453" s="229"/>
      <c r="BW453" s="140"/>
      <c r="BX453" s="140"/>
      <c r="BY453" s="140"/>
      <c r="BZ453" s="229"/>
      <c r="CA453" s="140"/>
      <c r="CB453" s="140"/>
      <c r="CC453" s="140"/>
      <c r="CD453" s="141"/>
      <c r="CE453" s="142"/>
      <c r="CF453" s="230">
        <f>IF(CF$3=$K453,IF($C453="W",1,IF($C453="1/2W",0.5,0)),0)</f>
        <v>0</v>
      </c>
      <c r="CG453" s="231">
        <f>IF(CF$3=$K453,IF($C453="L",1,IF($C453="1/2L",0.5,0)),0)</f>
        <v>0</v>
      </c>
      <c r="CH453" s="231">
        <f>IF(CH$3=$K453,IF($C453="W",1,IF($C453="1/2W",0.5,0)),0)</f>
        <v>0</v>
      </c>
      <c r="CI453" s="231">
        <f>IF(CH$3=$K453,IF($C453="L",1,IF($C453="1/2L",0.5,0)),0)</f>
        <v>0</v>
      </c>
      <c r="CJ453" s="231">
        <f>IF(CJ$3=$K453,IF($C453="W",1,IF($C453="1/2W",0.5,0)),0)</f>
        <v>0</v>
      </c>
      <c r="CK453" s="231">
        <f>IF(CJ$3=$K453,IF($C453="L",1,IF($C453="1/2L",0.5,0)),0)</f>
        <v>0</v>
      </c>
      <c r="CL453" s="231">
        <f>IF(CL$3=$K453,IF($C453="W",1,IF($C453="1/2W",0.5,0)),0)</f>
        <v>0</v>
      </c>
      <c r="CM453" s="231">
        <f>IF(CL$3=$K453,IF($C453="L",1,IF($C453="1/2L",0.5,0)),0)</f>
        <v>0</v>
      </c>
      <c r="CN453" s="231">
        <f>IF(CN$3=$K453,IF($C453="W",1,IF($C453="1/2W",0.5,0)),0)</f>
        <v>0</v>
      </c>
      <c r="CO453" s="231">
        <f>IF(CN$3=$K453,IF($C453="L",1,IF($C453="1/2L",0.5,0)),0)</f>
        <v>0</v>
      </c>
      <c r="CP453" s="231">
        <f>IF(CP$3=$K453,IF($C453="W",1,IF($C453="1/2W",0.5,0)),0)</f>
        <v>0</v>
      </c>
      <c r="CQ453" s="231">
        <f>IF(CP$3=$K453,IF($C453="L",1,IF($C453="1/2L",0.5,0)),0)</f>
        <v>0</v>
      </c>
      <c r="CR453" s="231">
        <f>IF(CR$3=$K453,IF($C453="W",1,IF($C453="1/2W",0.5,0)),0)</f>
        <v>0</v>
      </c>
      <c r="CS453" s="231">
        <f>IF(CR$3=$K453,IF($C453="L",1,IF($C453="1/2L",0.5,0)),0)</f>
        <v>0</v>
      </c>
      <c r="CT453" s="208">
        <f>IF(CT$3=$K453,IF($C453="W",1,IF($C453="1/2W",0.5,0)),0)</f>
        <v>0</v>
      </c>
      <c r="CU453" s="209">
        <f>IF(CT$3=$K453,IF($C453="L",1,IF($C453="1/2L",0.5,0)),0)</f>
        <v>0</v>
      </c>
      <c r="CV453" s="209">
        <f>IF(CV$3=$K453,IF($C453="W",1,IF($C453="1/2W",0.5,0)),0)</f>
        <v>0</v>
      </c>
      <c r="CW453" s="209">
        <f>IF(CV$3=$K453,IF($C453="L",1,IF($C453="1/2L",0.5,0)),0)</f>
        <v>0</v>
      </c>
      <c r="CX453" s="209">
        <f>IF(CX$3=$K453,IF($C453="W",1,IF($C453="1/2W",0.5,0)),0)</f>
        <v>0</v>
      </c>
      <c r="CY453" s="209">
        <f>IF(CX$3=$K453,IF($C453="L",1,IF($C453="1/2L",0.5,0)),0)</f>
        <v>0</v>
      </c>
      <c r="CZ453" s="209">
        <f>IF(CZ$3=$K453,IF($C453="W",1,IF($C453="1/2W",0.5,0)),0)</f>
        <v>0</v>
      </c>
      <c r="DA453" s="209">
        <f>IF(CZ$3=$K453,IF($C453="L",1,IF($C453="1/2L",0.5,0)),0)</f>
        <v>0</v>
      </c>
      <c r="DB453" s="209">
        <f>IF(DB$3=$K453,IF($C453="W",1,IF($C453="1/2W",0.5,0)),0)</f>
        <v>0</v>
      </c>
      <c r="DC453" s="209">
        <f>IF(DB$3=$K453,IF($C453="L",1,IF($C453="1/2L",0.5,0)),0)</f>
        <v>0</v>
      </c>
      <c r="DD453" s="209">
        <f>IF(DD$3=$K453,IF($C453="W",1,IF($C453="1/2W",0.5,0)),0)</f>
        <v>0</v>
      </c>
      <c r="DE453" s="210">
        <f>IF(DD$3=$K453,IF($C453="L",1,IF($C453="1/2L",0.5,0)),0)</f>
        <v>0</v>
      </c>
      <c r="DF453" s="211">
        <f>IF(AND(L453&lt;DF$3,$C453="W"),1+DF452,DF452)</f>
        <v>15</v>
      </c>
      <c r="DG453" s="198">
        <f>IF(DF453&gt;DF452,L453+DG452,DG452)</f>
        <v>19.748</v>
      </c>
      <c r="DH453" s="209">
        <f>IF(AND(L453&gt;DH$3,$C453="W"),1+DH452,0+DH452)</f>
        <v>10</v>
      </c>
      <c r="DI453" s="198">
        <f>IF(DH453&gt;DH452,L453+DI452,DI452)</f>
        <v>55.13</v>
      </c>
      <c r="DJ453" t="s" s="306">
        <f>IF($D451="","",$D451)</f>
        <v>358</v>
      </c>
      <c r="DK453" s="232"/>
    </row>
    <row r="454" ht="14.55" customHeight="1">
      <c r="A454" s="246">
        <f>$A451+1</f>
        <v>151</v>
      </c>
      <c r="B454" t="s" s="247">
        <f>IF(AND(_xlfn.XLOOKUP(H454,H$107:H221,G$107:G221,0)=G454,_xlfn.XLOOKUP("TempoBet",K454:K456,L454:L456,0)&gt;0),"X",IF(OR(C454="W",C455="W",C456="W",C454="1/2W",C455="1/2W",C456="1/2W",C454="1/2L",C455="1/2L",C456="1/2L"),"OK",IF(OR(C454="L",C455="L",C456="L"),"LOSS",IF(OR(C454="X",C455="X",C456="X"),"Anulado"," "))))</f>
        <v>50</v>
      </c>
      <c r="C454" t="s" s="248">
        <v>56</v>
      </c>
      <c r="D454" t="s" s="303">
        <f>IF(G454="","",$D451)</f>
        <v>358</v>
      </c>
      <c r="E454" t="s" s="250">
        <v>106</v>
      </c>
      <c r="F454" t="s" s="251"/>
      <c r="G454" s="252">
        <v>44951.166666666664</v>
      </c>
      <c r="H454" t="s" s="253">
        <v>361</v>
      </c>
      <c r="I454" t="s" s="254">
        <v>65</v>
      </c>
      <c r="J454" s="255">
        <v>208.5</v>
      </c>
      <c r="K454" t="s" s="256">
        <v>40</v>
      </c>
      <c r="L454" s="257">
        <v>2.25</v>
      </c>
      <c r="M454" s="258">
        <v>5.66</v>
      </c>
      <c r="N454" s="259">
        <v>0</v>
      </c>
      <c r="O454" s="260">
        <f>IF(OR(AE454="",AE455=""),"",ROUND(IF(L456&gt;0,IF(M454&gt;0,M454,IF(M455&gt;0,ROUND((M455*AE454)/AE455,IF(N454=0,2,IF(N454=0.1,1,0))),ROUND((M456*AE454)/AE456,IF(N454=0,2,IF(N454=0.1,1,0))))),IF(M454&gt;0,M454,ROUND((M455*AE454)/AE455,IF(N454=0,2,IF(N454=0.1,1,0))))),2))</f>
        <v>5.66</v>
      </c>
      <c r="P454" s="261">
        <f>IF(OR(L454="",O454=""),"",IF($C454="1/2W",O454/2+O454/2*L454,IF($C454="1/2L",O454/2,IF(I454="Lay",(O454*(L454/(L454-1))-O454)*(1-_xlfn.XLOOKUP(K454,'Janeiro 2023 - Valor Real'!A3:A15,'Janeiro 2023 - Valor Real'!C3:C15,0))+O454,(O454*L454-O454)*(1-_xlfn.XLOOKUP(K454,'Janeiro 2023 - Valor Real'!A3:A15,'Janeiro 2023 - Valor Real'!C3:C15,0))+O454))))</f>
        <v>12.735</v>
      </c>
      <c r="Q454" s="262">
        <f>IF(K454="","",IF(_xlfn.XLOOKUP(K454,K$107:K221,DJ$107:DJ221,0,,-1)=DJ454,_xlfn.XLOOKUP(K454,K$107:K221,Q$107:Q221,1,,-1)+1,1))</f>
        <v>1</v>
      </c>
      <c r="R454" s="263">
        <f>IF(K454="","",_xlfn.XLOOKUP(K454,K$107:K221,R$107:R221,0,,-1)+IF($C454=" ",1,0))</f>
        <v>0</v>
      </c>
      <c r="S454" s="264">
        <f>IF($B454="Anulado",0,ROUND(IF(OR($B454="LOSS",$B454="OK"),IF(OR($C454="W",$C454="1/2W",$C454="1/2L"),P454-O454,IF($C454="L",-O454,0))+IF(OR($C455="W",$C455="1/2W",$C455="1/2L"),P455-O455,IF($C455="L",-O455,0))+IF(OR($C456="W",$C456="1/2W",$C456="1/2L"),P456-O456,IF($C456="L",-O456,0)),IF(AND(OR($C454="W",$C454="1/2W",$C454="1/2L"),C455="W"),P454+P455-SUM(O454:O456)+_xlfn.XLOOKUP("X",C454:C456,O454:O456,0),IF(AND(C454=TRUE,C456="W"),P454+P456-SUM(O454:O456),IF(AND(C455="W",C456="W"),P455+P456-SUM(O454:O456)+_xlfn.XLOOKUP("X",C454:C456,O454:O456,0),IF(L456&gt;0,IF(OR($C454="W",$C454="1/2W",$C454="1/2L"),P454-SUM(O454:O456)+_xlfn.XLOOKUP("X",C454:C456,O454:O456,0),IF(OR($C454="W",$C454="1/2W",$C454="1/2L"),P455-SUM(O454:O456)+_xlfn.XLOOKUP("X",C454:C456,O454:O456,0),IF(OR($C454="W",$C454="1/2W",$C454="1/2L"),P456-SUM(O454:O456)+_xlfn.XLOOKUP("X",C454:C456,O454:O456,0),IF(SUM(P454:P456)/3-SUM(O454:O456)+_xlfn.XLOOKUP("X",C454:C456,O454:O456,0)&gt;0,SUM(P454:P456)/3-SUM(O454:O456)+_xlfn.XLOOKUP("X",C454:C456,O454:O456,0),LARGE(P454:P456,1)-SUM(O454:O456))))),IF(OR($C454="W",$C454="1/2W",$C454="1/2L"),P454-SUM(O454:O455)+_xlfn.XLOOKUP("X",C454:C456,O454:O456,0),IF(OR($C454="W",$C454="1/2W",$C454="1/2L"),P455-SUM(O454:O455)+_xlfn.XLOOKUP("X",C454:C456,O454:O456,0),SUM(P454:P455)/2-SUM(O454:O455)+_xlfn.XLOOKUP("X",C454:C456,O454:O456,0)))))))),2))</f>
        <v>0.65</v>
      </c>
      <c r="T454" s="265">
        <f>IF(S454=0,0,S454/SUM(O454:O456))</f>
        <v>0.0537634408602151</v>
      </c>
      <c r="U454" s="266">
        <f>IF($D454=$D451,IF(OR($B454="LOSS",$B454="OK",$B454="Anulada"),S454,0)+U451,IF(OR($B454="LOSS",$B454="OK",$B454="Anulada"),S454,0))</f>
        <v>2.61</v>
      </c>
      <c r="V454" s="266">
        <f>IF($D454="",0,IF($D454=$D451,IF($B454=" ",IF(I456="",IF(OR(AND(I454="DNB1",I455="DNB2"),AND(OR(I454="DNB1",I454="DNB2"),J455=0),AND(OR(I455="DNB1",I455="DNB2"),J454=0),AND(I454="DNB2",I455="DNB1"),AND(IF(J454=0,(J454+1)/ROUND(J454+1,0),J454/ROUND(J454,0))=1,IF(J455=0,(J455+1)/ROUND(IF(J455="",0,J455)+1,0),IF(J455="",0,J455)/ROUND(IF(J455="",1,J455),0))=1,OR(J454&lt;&gt;""),J455&lt;&gt;"")),0,IF(S454&lt;0,IF(I456="",SMALL(P454:P455,1)-SUM(O454:O455),0),SMALL(P454:P455,1)-SUM(O454:O455))),IF(S454&lt;0,IF(I456="",SMALL(P454:P456,1)-SUM(O454:O456),0),LARGE(P454:P456,1)-SUM(O454:O456))),S454)+V451,IF(I456="",IF(OR(AND(I454="DNB1",I455="DNB2"),AND(OR(I454="DNB1",I454="DNB2"),J455=0),AND(OR(I455="DNB1",I455="DNB2"),J454=0),AND(I454="DNB2",I455="DNB1"),AND(IF(J454=0,(J454+1)/ROUND(J454+1,0),J454/ROUND(J454,0))=1,IF(J455=0,(IF(J455="",0,J455)+1)/ROUND(IF(J455="",0,J455)+1,0),IF(J455="",0,J455)/ROUND(IF(J455="",0,J455)+1,0))=1,OR(J454&lt;&gt;""),J455&lt;&gt;"")),0,IF(S454&lt;0,IF(I456="",SMALL(P454:P455,1)-SUM(O454:O455),0),SMALL(P454:P456,1)-SUM(O454:O456))),IF(S454&lt;0,IF(I456="",SMALL(P454:P456,1)-SUM(O454:O456),0),LARGE(P454:P456,1)-SUM(O454:O456)))))</f>
        <v>2.61</v>
      </c>
      <c r="W454" s="266">
        <f>IF($D454=$D451,IF(S454&lt;0,IF(I456="",S454,0),S454)+W451,S454)</f>
        <v>2.61</v>
      </c>
      <c r="X454" t="s" s="267">
        <f>IF(OR(SUM(R454:R456)=0,V454=W454),ROUND(IF(W454=0,0,W454/Y454)*100,2)&amp;"%",ROUND(IF(V454=0,0,V454/Y454)*100,2)&amp;"% a "&amp;ROUND(IF(W454=0,0,W454/Y454)*100,2)&amp;"%")</f>
        <v>180</v>
      </c>
      <c r="Y454" s="268">
        <f>IF($D454=$D451,Y451+SUM(O454:O456),SUM(O454:O456))</f>
        <v>63.3</v>
      </c>
      <c r="Z454" s="266">
        <f>IF($B454=" ",SUM(O454:O456),0)+Z451</f>
        <v>0</v>
      </c>
      <c r="AA454" s="266">
        <f>IF(G454="","",IF($B454="Anulado",LARGE(P454:P456,1)-SUM(O454:O456)+AA451,AA451))</f>
        <v>22.2257</v>
      </c>
      <c r="AB454" s="266">
        <f>IF($D454="","",AB451+S454)</f>
        <v>310.46</v>
      </c>
      <c r="AC454" s="269">
        <f>IF($D454="","",IF($B454=" ",IF(DAY(G454)=DAY(TODAY()),1+AC451,0+AC451),0+AC451))</f>
        <v>0</v>
      </c>
      <c r="AD454" s="270">
        <f>(1-_xlfn.XLOOKUP(K452,'Janeiro 2023 - Valor Real'!A3:A15,'Janeiro 2023 - Valor Real'!C3:C15,0))+1</f>
        <v>1.935</v>
      </c>
      <c r="AE454" s="271">
        <f>IF(L454="","",IF(L456&gt;0,(SUM(((L454-1)*(1-_xlfn.XLOOKUP(K454,'Janeiro 2023 - Valor Real'!A3:A15,'Janeiro 2023 - Valor Real'!C3:C15,0))+1),((L455-1)*(1-_xlfn.XLOOKUP(K455,'Janeiro 2023 - Valor Real'!A3:A15,'Janeiro 2023 - Valor Real'!C3:C15,0))+1),((L456-1)*(1-_xlfn.XLOOKUP(K456,'Janeiro 2023 - Valor Real'!A3:A15,'Janeiro 2023 - Valor Real'!C3:C15,0))+1))/((L454-1)*(1-_xlfn.XLOOKUP(K454,'Janeiro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Real'!C3:C15,0))+1))/((L454-1)*(1-_xlfn.XLOOKUP(K454,'Janeiro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Real'!C3:C15,0))+1))/((L455-1)*(1-_xlfn.XLOOKUP(K455,'Janeiro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Real'!C3:C15,0))+1))/((L456-1)*(1-_xlfn.XLOOKUP(K456,'Janeiro 2023 - Valor Real'!A3:A15,'Janeiro 2023 - Valor Real'!C3:C15,0))+1)),IF(I454="Lay",IF(I455="Lay",((L455/(L455-1)-1)*(1-_xlfn.XLOOKUP(K455,'Janeiro 2023 - Valor Real'!A3:A15,'Janeiro 2023 - Valor Real'!C3:C15,0))+1)/(((L455/(L455-1)-1)*(1-_xlfn.XLOOKUP(K455,'Janeiro 2023 - Valor Real'!A3:A15,'Janeiro 2023 - Valor Real'!C3:C15,0))+1)+((L454/(L454-1)-1)*(1-_xlfn.XLOOKUP(K454,'Janeiro 2023 - Valor Real'!A3:A15,'Janeiro 2023 - Valor Real'!C3:C15,0))+1)),((L455-1)*(1-_xlfn.XLOOKUP(K455,'Janeiro 2023 - Valor Real'!A3:A15,'Janeiro 2023 - Valor Real'!C3:C15,0))+1)/(((L455-1)*(1-_xlfn.XLOOKUP(K455,'Janeiro 2023 - Valor Real'!A3:A15,'Janeiro 2023 - Valor Real'!C3:C15,0))+1)+((L454/(L454-1)-1)*(1-_xlfn.XLOOKUP(K454,'Janeiro 2023 - Valor Real'!A3:A15,'Janeiro 2023 - Valor Real'!C3:C15,0))+1))),IF(I455="Lay",(((L455/(L455-1)-1)*(1-_xlfn.XLOOKUP(K455,'Janeiro 2023 - Valor Real'!A3:A15,'Janeiro 2023 - Valor Real'!C3:C15,0))+1))/(((L454-1)*(1-_xlfn.XLOOKUP(K454,'Janeiro 2023 - Valor Real'!A3:A15,'Janeiro 2023 - Valor Real'!C3:C15,0))+1)+((L455/(L455-1)-1)*(1-_xlfn.XLOOKUP(K455,'Janeiro 2023 - Valor Real'!A3:A15,'Janeiro 2023 - Valor Real'!C3:C15,0))+1)),((L455-1)*(1-_xlfn.XLOOKUP(K455,'Janeiro 2023 - Valor Real'!A3:A15,'Janeiro 2023 - Valor Real'!C3:C15,0))+1)/(((L455-1)*(1-_xlfn.XLOOKUP(K455,'Janeiro 2023 - Valor Real'!A3:A15,'Janeiro 2023 - Valor Real'!C3:C15,0))+1)+((L454-1)*(1-_xlfn.XLOOKUP(K454,'Janeiro 2023 - Valor Real'!A3:A15,'Janeiro 2023 - Valor Real'!C3:C15,0))+1))))))</f>
        <v>0.468085106382979</v>
      </c>
      <c r="AF454" s="132">
        <f>IF($K454=AF$3,ROUND(IF(OR($C454="W",$C454="1/2W",$C454="1/2L"),$P454-$O454,IF($C454="X",0,-$O454)),2),0)</f>
        <v>0</v>
      </c>
      <c r="AG454" s="133">
        <f>IF($K454=AG$3,ROUND(IF(OR($C454="W",$C454="1/2W",$C454="1/2L"),$P454-$O454,IF($C454="X",0,-$O454)),2),0)</f>
        <v>0</v>
      </c>
      <c r="AH454" s="133">
        <f>IF($K454=AH$3,ROUND(IF(OR($C454="W",$C454="1/2W",$C454="1/2L"),$P454-$O454,IF($C454="X",0,-$O454)),2),0)</f>
        <v>0</v>
      </c>
      <c r="AI454" s="133">
        <f>IF($K454=AI$3,ROUND(IF(OR($C454="W",$C454="1/2W",$C454="1/2L"),$P454-$O454,IF($C454="X",0,-$O454)),2),0)</f>
        <v>7.08</v>
      </c>
      <c r="AJ454" s="133">
        <f>IF($K454=AJ$3,ROUND(IF(OR($C454="W",$C454="1/2W",$C454="1/2L"),$P454-$O454,IF($C454="X",0,-$O454)),2),0)</f>
        <v>0</v>
      </c>
      <c r="AK454" s="133">
        <f>IF($K454=AK$3,ROUND(IF(OR($C454="W",$C454="1/2W",$C454="1/2L"),$P454-$O454,IF($C454="X",0,-$O454)),2),0)</f>
        <v>0</v>
      </c>
      <c r="AL454" s="133">
        <f>IF($K454=AL$3,ROUND(IF(OR($C454="W",$C454="1/2W",$C454="1/2L"),$P454-$O454,IF($C454="X",0,-$O454)),2),0)</f>
        <v>0</v>
      </c>
      <c r="AM454" s="133">
        <f>IF($K454=AM$3,ROUND(IF(OR($C454="W",$C454="1/2W",$C454="1/2L"),$P454-$O454,IF($C454="X",0,-$O454)),2),0)</f>
        <v>0</v>
      </c>
      <c r="AN454" s="133">
        <f>IF($K454=AN$3,ROUND(IF(OR($C454="W",$C454="1/2W",$C454="1/2L"),$P454-$O454,IF($C454="X",0,-$O454)),2),0)</f>
        <v>0</v>
      </c>
      <c r="AO454" s="133">
        <f>IF($K454=AO$3,ROUND(IF(OR($C454="W",$C454="1/2W",$C454="1/2L"),$P454-$O454,IF($C454="X",0,-$O454)),2),0)</f>
        <v>0</v>
      </c>
      <c r="AP454" s="133">
        <f>IF($K454=AP$3,ROUND(IF(OR($C454="W",$C454="1/2W",$C454="1/2L"),$P454-$O454,IF($C454="X",0,-$O454)),2),0)</f>
        <v>0</v>
      </c>
      <c r="AQ454" s="133">
        <f>IF($K454=AQ$3,ROUND(IF(OR($C454="W",$C454="1/2W",$C454="1/2L"),$P454-$O454,IF($C454="X",0,-$O454)),2),0)</f>
        <v>0</v>
      </c>
      <c r="AR454" s="134">
        <f>IF($K454=AR$3,ROUND(IF(OR($C454="W",$C454="1/2W",$C454="1/2L"),$P454-$O454,IF($C454="X",0,-$O454)),2),0)</f>
        <v>0</v>
      </c>
      <c r="AS454" s="132">
        <f>IF(AND($B454=" ",$K454=AS$3),$O454,0)</f>
        <v>0</v>
      </c>
      <c r="AT454" s="133">
        <f>IF(AND($B454=" ",$K454=AT$3),$O454,0)</f>
        <v>0</v>
      </c>
      <c r="AU454" s="133">
        <f>IF(AND($B454=" ",$K454=AU$3),$O454,0)</f>
        <v>0</v>
      </c>
      <c r="AV454" s="133">
        <f>IF(AND($B454=" ",$K454=AV$3),$O454,0)</f>
        <v>0</v>
      </c>
      <c r="AW454" s="133">
        <f>IF(AND($B454=" ",$K454=AW$3),$O454,0)</f>
        <v>0</v>
      </c>
      <c r="AX454" s="133">
        <f>IF(AND($B454=" ",$K454=AX$3),$O454,0)</f>
        <v>0</v>
      </c>
      <c r="AY454" s="135">
        <f>IF(AND($B454=" ",$K454=AY$3),$O454,0)</f>
        <v>0</v>
      </c>
      <c r="AZ454" s="136">
        <f>IF(AND($B454=" ",$K454=AZ$3),$O454,0)</f>
        <v>0</v>
      </c>
      <c r="BA454" s="136">
        <f>IF(AND($B454=" ",$K454=BA$3),$O454,0)</f>
        <v>0</v>
      </c>
      <c r="BB454" s="136">
        <f>IF(AND($B454=" ",$K454=BB$3),$O454,0)</f>
        <v>0</v>
      </c>
      <c r="BC454" s="137">
        <f>IF(AND($B454=" ",$K454=BC$3),$O454,0)</f>
        <v>0</v>
      </c>
      <c r="BD454" s="133">
        <f>IF(AND($B454=" ",$K454=BD$3),$O454,0)</f>
        <v>0</v>
      </c>
      <c r="BE454" s="134">
        <f>IF(AND($B454=" ",$K454=BE$3),$O454,0)</f>
        <v>0</v>
      </c>
      <c r="BF454" s="132">
        <f>IF($K454=BF$3,IF($C454="X",0,$O454),0)</f>
        <v>0</v>
      </c>
      <c r="BG454" s="133">
        <f>IF($K454=BG$3,IF($C454="X",0,$O454),0)</f>
        <v>0</v>
      </c>
      <c r="BH454" s="133">
        <f>IF($K454=BH$3,IF($C454="X",0,$O454),0)</f>
        <v>0</v>
      </c>
      <c r="BI454" s="133">
        <f>IF($K454=BI$3,IF($C454="X",0,$O454),0)</f>
        <v>5.66</v>
      </c>
      <c r="BJ454" s="133">
        <f>IF($K454=BJ$3,IF($C454="X",0,$O454),0)</f>
        <v>0</v>
      </c>
      <c r="BK454" s="133">
        <f>IF($K454=BK$3,IF($C454="X",0,$O454),0)</f>
        <v>0</v>
      </c>
      <c r="BL454" s="133">
        <f>IF($K454=BL$3,IF($C454="X",0,$O454),0)</f>
        <v>0</v>
      </c>
      <c r="BM454" s="135">
        <f>IF($K454=BM$3,IF($C454="X",0,$O454),0)</f>
        <v>0</v>
      </c>
      <c r="BN454" s="136">
        <f>IF($K454=BN$3,IF($C454="X",0,$O454),0)</f>
        <v>0</v>
      </c>
      <c r="BO454" s="136">
        <f>IF($K454=BO$3,IF($C454="X",0,$O454),0)</f>
        <v>0</v>
      </c>
      <c r="BP454" s="136">
        <f>IF($K454=BP$3,IF($C454="X",0,$O454),0)</f>
        <v>0</v>
      </c>
      <c r="BQ454" s="137">
        <f>IF($K454=BQ$3,IF($C454="X",0,$O454),0)</f>
        <v>0</v>
      </c>
      <c r="BR454" s="134">
        <f>IF($K454=BR$3,IF($C454="X",0,$O454),0)</f>
        <v>0</v>
      </c>
      <c r="BS454" s="170">
        <f>IF($B454="LOSS",IF(AND($K454=BS$3,$C454="L"),-$O454,0)+IF(AND($K455=BS$3,$C455="L"),-$O455,0)+IF(AND($K456=BS$3,$C456="L"),-$O456,0),IF(OR(AND($K454=BS$3,OR($C454="W",$C454="1/2W")),AND($K455=BS$3,OR($C455="W",$C455="1/2W")),AND($K456=BS$3,OR($C456="W",$C456="1/2W"))),$S454,0))</f>
        <v>0</v>
      </c>
      <c r="BT454" s="272">
        <f>IF($B454="LOSS",IF(AND($K454=BT$3,$C454="L"),-$O454,0)+IF(AND($K455=BT$3,$C455="L"),-$O455,0)+IF(AND($K455=BT$3,$C456="L"),-$O456,0),IF(OR(AND($K455=BT$3,OR($C454="W",$C454="1/2W")),AND($K455=BT$3,OR($C455="W",$C455="1/2W")),AND($K455=BT$3,OR($C456="W",$C456="1/2W"))),$S454,0))</f>
        <v>0</v>
      </c>
      <c r="BU454" s="136">
        <f>IF($B454="LOSS",IF(AND($K454=BU$3,$C454="L"),-$O454,0)+IF(AND($K455=BU$3,$C455="L"),-$O455,0)+IF(AND($K455=BU$3,$C456="L"),-$O456,0),IF(OR(AND($K455=BU$3,OR($C454="W",$C454="1/2W")),AND($K455=BU$3,OR($C455="W",$C455="1/2W")),AND($K455=BU$3,OR($C456="W",$C456="1/2W"))),$S454,0))</f>
        <v>0</v>
      </c>
      <c r="BV454" s="136">
        <f>IF($B454="LOSS",IF(AND($K454=BV$3,$C454="L"),-$O454,0)+IF(AND($K455=BV$3,$C455="L"),-$O455,0)+IF(AND($K456=BV$3,$C456="L"),-$O456,0),IF(OR(AND($K454=BV$3,OR($C454="W",$C454="1/2W")),AND($K455=BV$3,OR($C455="W",$C455="1/2W")),AND($K456=BV$3,OR($C456="W",$C456="1/2W"))),$S454,0))</f>
        <v>0.65</v>
      </c>
      <c r="BW454" s="136">
        <f>IF($B454="LOSS",IF(AND($K454=BW$3,$C454="L"),-$O454,0)+IF(AND($K455=BW$3,$C455="L"),-$O455,0)+IF(AND($K456=BW$3,$C456="L"),-$O456,0),IF(OR(AND($K454=BW$3,OR($C454="W",$C454="1/2W")),AND($K455=BW$3,OR($C455="W",$C455="1/2W")),AND($K456=BW$3,OR($C456="W",$C456="1/2W"))),$S454,0))</f>
        <v>0</v>
      </c>
      <c r="BX454" s="136">
        <f>IF($B454="LOSS",IF(AND($K454=BX$3,$C454="L"),-$O454,0)+IF(AND($K455=BX$3,$C455="L"),-$O455,0)+IF(AND($K456=BX$3,$C456="L"),-$O456,0),IF(OR(AND($K454=BX$3,OR($C454="W",$C454="1/2W")),AND($K455=BX$3,OR($C455="W",$C455="1/2W")),AND($K456=BX$3,OR($C456="W",$C456="1/2W"))),$S454,0))</f>
        <v>0</v>
      </c>
      <c r="BY454" s="136">
        <f>IF($B454="LOSS",IF(AND($K454=BY$3,$C454="L"),-$O454,0)+IF(AND($K455=BY$3,$C455="L"),-$O455,0)+IF(AND($K456=BY$3,$C456="L"),-$O456,0),IF(OR(AND($K454=BY$3,OR($C454="W",$C454="1/2W")),AND($K455=BY$3,OR($C455="W",$C455="1/2W")),AND($K456=BY$3,OR($C456="W",$C456="1/2W"))),$S454,0))</f>
        <v>0</v>
      </c>
      <c r="BZ454" s="136">
        <f>IF($B454="LOSS",IF(AND($K454=BZ$3,$C454="L"),-$O454,0)+IF(AND($K455=BZ$3,$C455="L"),-$O455,0)+IF(AND($K456=BZ$3,$C456="L"),-$O456,0),IF(OR(AND($K454=BZ$3,OR($C454="W",$C454="1/2W")),AND($K455=BZ$3,OR($C455="W",$C455="1/2W")),AND($K456=BZ$3,OR($C456="W",$C456="1/2W"))),$S454,0))</f>
        <v>0</v>
      </c>
      <c r="CA454" s="136">
        <f>IF($B454="LOSS",IF(AND($K454=CA$3,$C454="L"),-$O454,0)+IF(AND($K455=CA$3,$C455="L"),-$O455,0)+IF(AND($K456=CA$3,$C456="L"),-$O456,0),IF(OR(AND($K454=CA$3,OR($C454="W",$C454="1/2W")),AND($K455=CA$3,OR($C455="W",$C455="1/2W")),AND($K456=CA$3,OR($C456="W",$C456="1/2W"))),$S454,0))</f>
        <v>0</v>
      </c>
      <c r="CB454" s="136">
        <f>IF($B454="LOSS",IF(AND($K454=CB$3,$C454="L"),-$O454,0)+IF(AND($K455=CB$3,$C455="L"),-$O455,0)+IF(AND($K456=CB$3,$C456="L"),-$O456,0),IF(OR(AND($K454=CB$3,OR($C454="W",$C454="1/2W")),AND($K455=CB$3,OR($C455="W",$C455="1/2W")),AND($K456=CB$3,OR($C456="W",$C456="1/2W"))),$S454,0))</f>
        <v>0</v>
      </c>
      <c r="CC454" s="136">
        <f>IF($B454="LOSS",IF(AND($K454=CC$3,$C454="L"),-$O454,0)+IF(AND($K455=CC$3,$C455="L"),-$O455,0)+IF(AND($K456=CC$3,$C456="L"),-$O456,0),IF(OR(AND($K454=CC$3,OR($C454="W",$C454="1/2W")),AND($K455=CC$3,OR($C455="W",$C455="1/2W")),AND($K456=CC$3,OR($C456="W",$C456="1/2W"))),$S454,0))</f>
        <v>0</v>
      </c>
      <c r="CD454" s="137">
        <f>IF($B454="LOSS",IF(AND($K454=CD$3,$C454="L"),-$O454,0)+IF(AND($K455=CD$3,$C455="L"),-$O455,0)+IF(AND($K456=CD$3,$C456="L"),-$O456,0),IF(OR(AND($K454=CD$3,OR($C454="W",$C454="1/2W")),AND($K455=CD$3,OR($C455="W",$C455="1/2W")),AND($K456=CD$3,OR($C456="W",$C456="1/2W"))),$S454,0))</f>
        <v>0</v>
      </c>
      <c r="CE454" s="134">
        <f>IF($B454="LOSS",IF(AND($K454=CE$3,$C454="L"),-$O454,0)+IF(AND($K455=CE$3,$C455="L"),-$O455,0)+IF(AND($K456=CE$3,$C456="L"),-$O456,0),IF(OR(AND($K454=CE$3,OR($C454="W",$C454="1/2W")),AND($K455=CE$3,OR($C455="W",$C455="1/2W")),AND($K456=CE$3,OR($C456="W",$C456="1/2W"))),$S454,0))</f>
        <v>0</v>
      </c>
      <c r="CF454" s="273">
        <f>IF(CF$3=$K454,IF($C454="W",1,IF($C454="1/2W",0.5,0)),0)</f>
        <v>0</v>
      </c>
      <c r="CG454" s="274">
        <f>IF(CF$3=$K454,IF($C454="L",1,IF($C454="1/2L",0.5,0)),0)</f>
        <v>0</v>
      </c>
      <c r="CH454" s="274">
        <f>IF(CH$3=$K454,IF($C454="W",1,IF($C454="1/2W",0.5,0)),0)</f>
        <v>0</v>
      </c>
      <c r="CI454" s="274">
        <f>IF(CH$3=$K454,IF($C454="L",1,IF($C454="1/2L",0.5,0)),0)</f>
        <v>0</v>
      </c>
      <c r="CJ454" s="274">
        <f>IF(CJ$3=$K454,IF($C454="W",1,IF($C454="1/2W",0.5,0)),0)</f>
        <v>0</v>
      </c>
      <c r="CK454" s="274">
        <f>IF(CJ$3=$K454,IF($C454="L",1,IF($C454="1/2L",0.5,0)),0)</f>
        <v>0</v>
      </c>
      <c r="CL454" s="274">
        <f>IF(CL$3=$K454,IF($C454="W",1,IF($C454="1/2W",0.5,0)),0)</f>
        <v>1</v>
      </c>
      <c r="CM454" s="274">
        <f>IF(CL$3=$K454,IF($C454="L",1,IF($C454="1/2L",0.5,0)),0)</f>
        <v>0</v>
      </c>
      <c r="CN454" s="274">
        <f>IF(CN$3=$K454,IF($C454="W",1,IF($C454="1/2W",0.5,0)),0)</f>
        <v>0</v>
      </c>
      <c r="CO454" s="274">
        <f>IF(CN$3=$K454,IF($C454="L",1,IF($C454="1/2L",0.5,0)),0)</f>
        <v>0</v>
      </c>
      <c r="CP454" s="274">
        <f>IF(CP$3=$K454,IF($C454="W",1,IF($C454="1/2W",0.5,0)),0)</f>
        <v>0</v>
      </c>
      <c r="CQ454" s="274">
        <f>IF(CP$3=$K454,IF($C454="L",1,IF($C454="1/2L",0.5,0)),0)</f>
        <v>0</v>
      </c>
      <c r="CR454" s="274">
        <f>IF(CR$3=$K454,IF($C454="W",1,IF($C454="1/2W",0.5,0)),0)</f>
        <v>0</v>
      </c>
      <c r="CS454" s="274">
        <f>IF(CR$3=$K454,IF($C454="L",1,IF($C454="1/2L",0.5,0)),0)</f>
        <v>0</v>
      </c>
      <c r="CT454" s="145">
        <f>IF(CT$3=$K454,IF($C454="W",1,IF($C454="1/2W",0.5,0)),0)</f>
        <v>0</v>
      </c>
      <c r="CU454" s="146">
        <f>IF(CT$3=$K454,IF($C454="L",1,IF($C454="1/2L",0.5,0)),0)</f>
        <v>0</v>
      </c>
      <c r="CV454" s="146">
        <f>IF(CV$3=$K454,IF($C454="W",1,IF($C454="1/2W",0.5,0)),0)</f>
        <v>0</v>
      </c>
      <c r="CW454" s="146">
        <f>IF(CV$3=$K454,IF($C454="L",1,IF($C454="1/2L",0.5,0)),0)</f>
        <v>0</v>
      </c>
      <c r="CX454" s="146">
        <f>IF(CX$3=$K454,IF($C454="W",1,IF($C454="1/2W",0.5,0)),0)</f>
        <v>0</v>
      </c>
      <c r="CY454" s="146">
        <f>IF(CX$3=$K454,IF($C454="L",1,IF($C454="1/2L",0.5,0)),0)</f>
        <v>0</v>
      </c>
      <c r="CZ454" s="146">
        <f>IF(CZ$3=$K454,IF($C454="W",1,IF($C454="1/2W",0.5,0)),0)</f>
        <v>0</v>
      </c>
      <c r="DA454" s="146">
        <f>IF(CZ$3=$K454,IF($C454="L",1,IF($C454="1/2L",0.5,0)),0)</f>
        <v>0</v>
      </c>
      <c r="DB454" s="146">
        <f>IF(DB$3=$K454,IF($C454="W",1,IF($C454="1/2W",0.5,0)),0)</f>
        <v>0</v>
      </c>
      <c r="DC454" s="146">
        <f>IF(DB$3=$K454,IF($C454="L",1,IF($C454="1/2L",0.5,0)),0)</f>
        <v>0</v>
      </c>
      <c r="DD454" s="146">
        <f>IF(DD$3=$K454,IF($C454="W",1,IF($C454="1/2W",0.5,0)),0)</f>
        <v>0</v>
      </c>
      <c r="DE454" s="147">
        <f>IF(DD$3=$K454,IF($C454="L",1,IF($C454="1/2L",0.5,0)),0)</f>
        <v>0</v>
      </c>
      <c r="DF454" s="143">
        <f>IF(AND(L454&lt;DF$3,$C454="W"),1+DF453,DF453)</f>
        <v>15</v>
      </c>
      <c r="DG454" s="133">
        <f>IF(DF454&gt;DF453,L454+DG453,DG453)</f>
        <v>19.748</v>
      </c>
      <c r="DH454" s="146">
        <f>IF(AND(L454&gt;DH$3,$C454="W"),1+DH453,0+DH453)</f>
        <v>10</v>
      </c>
      <c r="DI454" s="133">
        <f>IF(DH454&gt;DH453,L454+DI453,DI453)</f>
        <v>55.13</v>
      </c>
      <c r="DJ454" t="s" s="304">
        <f>IF($D454="","",$D454)</f>
        <v>358</v>
      </c>
      <c r="DK454" s="146">
        <f>IF(AND($B454=" ",$D454&lt;&gt;""),1,0)</f>
        <v>0</v>
      </c>
    </row>
    <row r="455" ht="14.55" customHeight="1">
      <c r="A455" s="107"/>
      <c r="B455" s="108"/>
      <c r="C455" t="s" s="109">
        <v>51</v>
      </c>
      <c r="D455" s="110"/>
      <c r="E455" s="111"/>
      <c r="F455" s="113"/>
      <c r="G455" s="252"/>
      <c r="H455" s="114"/>
      <c r="I455" t="s" s="275">
        <v>67</v>
      </c>
      <c r="J455" s="276">
        <f>IF(OR(I454="TO",I454="TU",I454="TO1",I454="TU1",I454="TO2",I454="TU2"),J454,IF(OR(I454="AH1",I454="AH2"),IF(OR(I455="AH1",I455="AH2"),-J454,IF(OR(I455="EH1",I455="EH2"),-J454+0.5,"")),IF(OR(I454="EH1",I454="EH2"),IF(OR(I455="AH1",I455="AH2"),-J454+0.5,IF(OR(I455="EH1",I455="EH2"),-J454+1,"")),IF(AND(OR(I454="DNB1",I454="DNB2"),OR(I455="AH1",I455="AH2")),0,IF(AND(I454="Not ScoreBoth",OR(I455="TO1",I455="TO2")),0.5,"")))))</f>
        <v>208.5</v>
      </c>
      <c r="K455" t="s" s="117">
        <v>44</v>
      </c>
      <c r="L455" s="277">
        <v>1.98</v>
      </c>
      <c r="M455" s="278"/>
      <c r="N455" s="120"/>
      <c r="O455" s="121">
        <f>IF(OR(AE454="",AE455=""),"",ROUND(IF(L456&gt;0,IF(M455&gt;0,M455,IF(M454&gt;0,IF(N454=TRUE,ROUND((M454*AE455)/AE454,0),(M454*AE455)/AE454),IF(M455&gt;0,ROUND(M455,IF(N454=0,2,IF(N454=0.1,1,0))),IF(M456&gt;0,ROUND(O456*AE455/AE456,IF(N454=0,2,IF(N454=0.1,1,0))),0)))),IF(M455&gt;0,M455,ROUND((M454*AE455)/AE454,IF(N454=0,2,IF(N454=0.1,1,0))))),2))</f>
        <v>6.43</v>
      </c>
      <c r="P455" s="122">
        <f>IF(OR(L455="",O455=""),"",IF($C455="1/2W",O455/2+O455/2*L455,IF($C455="1/2L",O455/2,IF(I455="Lay",((O455*(L455/(L455-1)))-O455)*(1-_xlfn.XLOOKUP(K455,'Janeiro 2023 - Valor Real'!A3:A15,'Janeiro 2023 - Valor Real'!C3:C15,0))+O455,(O455*L455-O455)*(1-_xlfn.XLOOKUP(K455,'Janeiro 2023 - Valor Real'!A3:A15,'Janeiro 2023 - Valor Real'!C3:C15,0))+O455))))</f>
        <v>12.7314</v>
      </c>
      <c r="Q455" s="279">
        <f>IF(K455="","",IF(_xlfn.XLOOKUP(K455,K$108:K222,DJ$108:DJ222,0,,-1)=DJ455,_xlfn.XLOOKUP(K455,K$108:K222,Q$108:Q222,1,,-1)+1,1))</f>
        <v>1</v>
      </c>
      <c r="R455" s="280">
        <f>IF(K455="","",_xlfn.XLOOKUP(K455,K$108:K222,R$108:R222,0,,-1)+IF($C455=" ",1,0))</f>
        <v>0</v>
      </c>
      <c r="S455" s="125"/>
      <c r="T455" s="126"/>
      <c r="U455" s="126"/>
      <c r="V455" s="224"/>
      <c r="W455" s="126"/>
      <c r="X455" s="127"/>
      <c r="Y455" s="128"/>
      <c r="Z455" s="129"/>
      <c r="AA455" s="129"/>
      <c r="AB455" s="129"/>
      <c r="AC455" s="129"/>
      <c r="AD455" s="130"/>
      <c r="AE455" s="131">
        <f>IF(L455="","",IF(L456&gt;0,(SUM(((L454-1)*(1-_xlfn.XLOOKUP(K454,'Janeiro 2023 - Valor Real'!A3:A15,'Janeiro 2023 - Valor Real'!C3:C15,0))+1),((L455-1)*(1-_xlfn.XLOOKUP(K455,'Janeiro 2023 - Valor Real'!A3:A15,'Janeiro 2023 - Valor Real'!C3:C15,0))+1),((L456-1)*(1-_xlfn.XLOOKUP(K456,'Janeiro 2023 - Valor Real'!A3:A15,'Janeiro 2023 - Valor Real'!C3:C15,0))+1))/((L455-1)*(1-_xlfn.XLOOKUP(K455,'Janeiro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Real'!C3:C15,0))+1))/((L454-1)*(1-_xlfn.XLOOKUP(K454,'Janeiro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Real'!C3:C15,0))+1))/((L455-1)*(1-_xlfn.XLOOKUP(K455,'Janeiro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Real'!C3:C15,0))+1))/((L456-1)*(1-_xlfn.XLOOKUP(K456,'Janeiro 2023 - Valor Real'!A3:A15,'Janeiro 2023 - Valor Real'!C3:C15,0))+1)),IF(I455="Lay",IF(I454="Lay",((L454/(L454-1)-1)*(1-_xlfn.XLOOKUP(K454,'Janeiro 2023 - Valor Real'!A3:A15,'Janeiro 2023 - Valor Real'!C3:C15,0))+1)/(((L454/(L454-1)-1)*(1-_xlfn.XLOOKUP(K454,'Janeiro 2023 - Valor Real'!A3:A15,'Janeiro 2023 - Valor Real'!C3:C15,0))+1)+((L455/(L455-1)-1)*(1-_xlfn.XLOOKUP(K455,'Janeiro 2023 - Valor Real'!A3:A15,'Janeiro 2023 - Valor Real'!C3:C15,0))+1)),((L454-1)*(1-_xlfn.XLOOKUP(K454,'Janeiro 2023 - Valor Real'!A3:A15,'Janeiro 2023 - Valor Real'!C3:C15,0))+1)/(((L454-1)*(1-_xlfn.XLOOKUP(K454,'Janeiro 2023 - Valor Real'!A3:A15,'Janeiro 2023 - Valor Real'!C3:C15,0))+1)+((L455/(L455-1)-1)*(1-_xlfn.XLOOKUP(K455,'Janeiro 2023 - Valor Real'!A3:A15,'Janeiro 2023 - Valor Real'!C3:C15,0))+1))),IF(I454="Lay",((L454/(L454-1)-1)*(1-_xlfn.XLOOKUP(K454,'Janeiro 2023 - Valor Real'!A3:A15,'Janeiro 2023 - Valor Real'!C3:C15,0))+1)/((((L454/(L454-1)-1)*(1-_xlfn.XLOOKUP(K454,'Janeiro 2023 - Valor Real'!A3:A15,'Janeiro 2023 - Valor Real'!C3:C15,0))+1))+((L455-1)*(1-_xlfn.XLOOKUP(K455,'Janeiro 2023 - Valor Real'!A3:A15,'Janeiro 2023 - Valor Real'!C3:C15,0))+1)),((L454-1)*(1-_xlfn.XLOOKUP(K454,'Janeiro 2023 - Valor Real'!A3:A15,'Janeiro 2023 - Valor Real'!C3:C15,0))+1)/(((L454-1)*(1-_xlfn.XLOOKUP(K454,'Janeiro 2023 - Valor Real'!A3:A15,'Janeiro 2023 - Valor Real'!C3:C15,0))+1)+((L455-1)*(1-_xlfn.XLOOKUP(K455,'Janeiro 2023 - Valor Real'!A3:A15,'Janeiro 2023 - Valor Real'!C3:C15,0))+1))))))</f>
        <v>0.531914893617021</v>
      </c>
      <c r="AF455" s="132">
        <f>IF($K455=AF$3,ROUND(IF(OR($C455="W",$C455="1/2W",$C455="1/2L"),$P455-$O455,IF($C455="X",0,-$O455)),2),0)</f>
        <v>0</v>
      </c>
      <c r="AG455" s="133">
        <f>IF($K455=AG$3,ROUND(IF(OR($C455="W",$C455="1/2W",$C455="1/2L"),$P455-$O455,IF($C455="X",0,-$O455)),2),0)</f>
        <v>0</v>
      </c>
      <c r="AH455" s="133">
        <f>IF($K455=AH$3,ROUND(IF(OR($C455="W",$C455="1/2W",$C455="1/2L"),$P455-$O455,IF($C455="X",0,-$O455)),2),0)</f>
        <v>0</v>
      </c>
      <c r="AI455" s="133">
        <f>IF($K455=AI$3,ROUND(IF(OR($C455="W",$C455="1/2W",$C455="1/2L"),$P455-$O455,IF($C455="X",0,-$O455)),2),0)</f>
        <v>0</v>
      </c>
      <c r="AJ455" s="133">
        <f>IF($K455=AJ$3,ROUND(IF(OR($C455="W",$C455="1/2W",$C455="1/2L"),$P455-$O455,IF($C455="X",0,-$O455)),2),0)</f>
        <v>0</v>
      </c>
      <c r="AK455" s="133">
        <f>IF($K455=AK$3,ROUND(IF(OR($C455="W",$C455="1/2W",$C455="1/2L"),$P455-$O455,IF($C455="X",0,-$O455)),2),0)</f>
        <v>0</v>
      </c>
      <c r="AL455" s="133">
        <f>IF($K455=AL$3,ROUND(IF(OR($C455="W",$C455="1/2W",$C455="1/2L"),$P455-$O455,IF($C455="X",0,-$O455)),2),0)</f>
        <v>0</v>
      </c>
      <c r="AM455" s="133">
        <f>IF($K455=AM$3,ROUND(IF(OR($C455="W",$C455="1/2W",$C455="1/2L"),$P455-$O455,IF($C455="X",0,-$O455)),2),0)</f>
        <v>-6.43</v>
      </c>
      <c r="AN455" s="133">
        <f>IF($K455=AN$3,ROUND(IF(OR($C455="W",$C455="1/2W",$C455="1/2L"),$P455-$O455,IF($C455="X",0,-$O455)),2),0)</f>
        <v>0</v>
      </c>
      <c r="AO455" s="133">
        <f>IF($K455=AO$3,ROUND(IF(OR($C455="W",$C455="1/2W",$C455="1/2L"),$P455-$O455,IF($C455="X",0,-$O455)),2),0)</f>
        <v>0</v>
      </c>
      <c r="AP455" s="133">
        <f>IF($K455=AP$3,ROUND(IF(OR($C455="W",$C455="1/2W",$C455="1/2L"),$P455-$O455,IF($C455="X",0,-$O455)),2),0)</f>
        <v>0</v>
      </c>
      <c r="AQ455" s="133">
        <f>IF($K455=AQ$3,ROUND(IF(OR($C455="W",$C455="1/2W",$C455="1/2L"),$P455-$O455,IF($C455="X",0,-$O455)),2),0)</f>
        <v>0</v>
      </c>
      <c r="AR455" s="134">
        <f>IF($K455=AR$3,ROUND(IF(OR($C455="W",$C455="1/2W",$C455="1/2L"),$P455-$O455,IF($C455="X",0,-$O455)),2),0)</f>
        <v>0</v>
      </c>
      <c r="AS455" s="132">
        <f>IF(AND($B454=" ",$K455=AS$3),$O455,0)</f>
        <v>0</v>
      </c>
      <c r="AT455" s="133">
        <f>IF(AND($B454=" ",K455=AT$3),$O455,0)</f>
        <v>0</v>
      </c>
      <c r="AU455" s="133">
        <f>IF(AND($B454=" ",$K455=AU$3),$O455,0)</f>
        <v>0</v>
      </c>
      <c r="AV455" s="133">
        <f>IF(AND($B454=" ",$K455=AV$3),$O455,0)</f>
        <v>0</v>
      </c>
      <c r="AW455" s="133">
        <f>IF(AND($B454=" ",$K455=AW$3),$O455,0)</f>
        <v>0</v>
      </c>
      <c r="AX455" s="133">
        <f>IF(AND($B454=" ",$K455=AX$3),$O455,0)</f>
        <v>0</v>
      </c>
      <c r="AY455" s="135">
        <f>IF(AND($B454=" ",$K455=AY$3),$O455,0)</f>
        <v>0</v>
      </c>
      <c r="AZ455" s="136">
        <f>IF(AND($B454=" ",$K455=AZ$3),$O455,0)</f>
        <v>0</v>
      </c>
      <c r="BA455" s="136">
        <f>IF(AND($B454=" ",$K455=BA$3),$O455,0)</f>
        <v>0</v>
      </c>
      <c r="BB455" s="136">
        <f>IF(AND($B454=" ",$K455=BB$3),$O455,0)</f>
        <v>0</v>
      </c>
      <c r="BC455" s="137">
        <f>IF(AND($B454=" ",$K455=BC$3),$O455,0)</f>
        <v>0</v>
      </c>
      <c r="BD455" s="133">
        <f>IF(AND($B454=" ",$K455=BD$3),$O455,0)</f>
        <v>0</v>
      </c>
      <c r="BE455" s="134">
        <f>IF(AND($B454=" ",$K455=BE$3),$O455,0)</f>
        <v>0</v>
      </c>
      <c r="BF455" s="132">
        <f>IF($K455=BF$3,IF($C455="X",0,$O455),0)</f>
        <v>0</v>
      </c>
      <c r="BG455" s="281">
        <f>IF($K455=BG$3,IF($C455="X",0,$O455),0)</f>
        <v>0</v>
      </c>
      <c r="BH455" s="133">
        <f>IF($K455=BH$3,IF($C455="X",0,$O455),0)</f>
        <v>0</v>
      </c>
      <c r="BI455" s="133">
        <f>IF($K455=BI$3,IF($C455="X",0,$O455),0)</f>
        <v>0</v>
      </c>
      <c r="BJ455" s="133">
        <f>IF($K455=BJ$3,IF($C455="X",0,$O455),0)</f>
        <v>0</v>
      </c>
      <c r="BK455" s="133">
        <f>IF($K455=BK$3,IF($C455="X",0,$O455),0)</f>
        <v>0</v>
      </c>
      <c r="BL455" s="133">
        <f>IF($K455=BL$3,IF($C455="X",0,$O455),0)</f>
        <v>0</v>
      </c>
      <c r="BM455" s="135">
        <f>IF($K455=BM$3,IF($C455="X",0,$O455),0)</f>
        <v>6.43</v>
      </c>
      <c r="BN455" s="136">
        <f>IF($K455=BN$3,IF($C455="X",0,$O455),0)</f>
        <v>0</v>
      </c>
      <c r="BO455" s="136">
        <f>IF($K455=BO$3,IF($C455="X",0,$O455),0)</f>
        <v>0</v>
      </c>
      <c r="BP455" s="136">
        <f>IF($K455=BP$3,IF($C455="X",0,$O455),0)</f>
        <v>0</v>
      </c>
      <c r="BQ455" s="137">
        <f>IF($K455=BQ$3,IF($C455="X",0,$O455),0)</f>
        <v>0</v>
      </c>
      <c r="BR455" s="134">
        <f>IF($K455=BR$3,IF($C455="X",0,$O455),0)</f>
        <v>0</v>
      </c>
      <c r="BS455" s="282"/>
      <c r="BT455" s="283"/>
      <c r="BU455" s="140"/>
      <c r="BV455" s="283"/>
      <c r="BW455" s="140"/>
      <c r="BX455" s="140"/>
      <c r="BY455" s="140"/>
      <c r="BZ455" s="283"/>
      <c r="CA455" s="140"/>
      <c r="CB455" s="140"/>
      <c r="CC455" s="140"/>
      <c r="CD455" s="141"/>
      <c r="CE455" s="142"/>
      <c r="CF455" s="284">
        <f>IF(CF$3=$K455,IF($C455="W",1,IF($C455="1/2W",0.5,0)),0)</f>
        <v>0</v>
      </c>
      <c r="CG455" s="285">
        <f>IF(CF$3=$K455,IF($C455="L",1,IF($C455="1/2L",0.5,0)),0)</f>
        <v>0</v>
      </c>
      <c r="CH455" s="285">
        <f>IF(CH$3=$K455,IF($C455="W",1,IF($C455="1/2W",0.5,0)),0)</f>
        <v>0</v>
      </c>
      <c r="CI455" s="285">
        <f>IF(CH$3=$K455,IF($C455="L",1,IF($C455="1/2L",0.5,0)),0)</f>
        <v>0</v>
      </c>
      <c r="CJ455" s="285">
        <f>IF(CJ$3=$K455,IF($C455="W",1,IF($C455="1/2W",0.5,0)),0)</f>
        <v>0</v>
      </c>
      <c r="CK455" s="285">
        <f>IF(CJ$3=$K455,IF($C455="L",1,IF($C455="1/2L",0.5,0)),0)</f>
        <v>0</v>
      </c>
      <c r="CL455" s="285">
        <f>IF(CL$3=$K455,IF($C455="W",1,IF($C455="1/2W",0.5,0)),0)</f>
        <v>0</v>
      </c>
      <c r="CM455" s="285">
        <f>IF(CL$3=$K455,IF($C455="L",1,IF($C455="1/2L",0.5,0)),0)</f>
        <v>0</v>
      </c>
      <c r="CN455" s="285">
        <f>IF(CN$3=$K455,IF($C455="W",1,IF($C455="1/2W",0.5,0)),0)</f>
        <v>0</v>
      </c>
      <c r="CO455" s="285">
        <f>IF(CN$3=$K455,IF($C455="L",1,IF($C455="1/2L",0.5,0)),0)</f>
        <v>0</v>
      </c>
      <c r="CP455" s="285">
        <f>IF(CP$3=$K455,IF($C455="W",1,IF($C455="1/2W",0.5,0)),0)</f>
        <v>0</v>
      </c>
      <c r="CQ455" s="285">
        <f>IF(CP$3=$K455,IF($C455="L",1,IF($C455="1/2L",0.5,0)),0)</f>
        <v>0</v>
      </c>
      <c r="CR455" s="285">
        <f>IF(CR$3=$K455,IF($C455="W",1,IF($C455="1/2W",0.5,0)),0)</f>
        <v>0</v>
      </c>
      <c r="CS455" s="285">
        <f>IF(CR$3=$K455,IF($C455="L",1,IF($C455="1/2L",0.5,0)),0)</f>
        <v>0</v>
      </c>
      <c r="CT455" s="145">
        <f>IF(CT$3=$K455,IF($C455="W",1,IF($C455="1/2W",0.5,0)),0)</f>
        <v>0</v>
      </c>
      <c r="CU455" s="146">
        <f>IF(CT$3=$K455,IF($C455="L",1,IF($C455="1/2L",0.5,0)),0)</f>
        <v>1</v>
      </c>
      <c r="CV455" s="146">
        <f>IF(CV$3=$K455,IF($C455="W",1,IF($C455="1/2W",0.5,0)),0)</f>
        <v>0</v>
      </c>
      <c r="CW455" s="146">
        <f>IF(CV$3=$K455,IF($C455="L",1,IF($C455="1/2L",0.5,0)),0)</f>
        <v>0</v>
      </c>
      <c r="CX455" s="146">
        <f>IF(CX$3=$K455,IF($C455="W",1,IF($C455="1/2W",0.5,0)),0)</f>
        <v>0</v>
      </c>
      <c r="CY455" s="146">
        <f>IF(CX$3=$K455,IF($C455="L",1,IF($C455="1/2L",0.5,0)),0)</f>
        <v>0</v>
      </c>
      <c r="CZ455" s="146">
        <f>IF(CZ$3=$K455,IF($C455="W",1,IF($C455="1/2W",0.5,0)),0)</f>
        <v>0</v>
      </c>
      <c r="DA455" s="146">
        <f>IF(CZ$3=$K455,IF($C455="L",1,IF($C455="1/2L",0.5,0)),0)</f>
        <v>0</v>
      </c>
      <c r="DB455" s="146">
        <f>IF(DB$3=$K455,IF($C455="W",1,IF($C455="1/2W",0.5,0)),0)</f>
        <v>0</v>
      </c>
      <c r="DC455" s="146">
        <f>IF(DB$3=$K455,IF($C455="L",1,IF($C455="1/2L",0.5,0)),0)</f>
        <v>0</v>
      </c>
      <c r="DD455" s="146">
        <f>IF(DD$3=$K455,IF($C455="W",1,IF($C455="1/2W",0.5,0)),0)</f>
        <v>0</v>
      </c>
      <c r="DE455" s="147">
        <f>IF(DD$3=$K455,IF($C455="L",1,IF($C455="1/2L",0.5,0)),0)</f>
        <v>0</v>
      </c>
      <c r="DF455" s="143">
        <f>IF(AND(L455&lt;DF$3,$C455="W"),1+DF454,DF454)</f>
        <v>15</v>
      </c>
      <c r="DG455" s="133">
        <f>IF(DF455&gt;DF454,L455+DG454,DG454)</f>
        <v>19.748</v>
      </c>
      <c r="DH455" s="146">
        <f>IF(AND(L455&gt;DH$3,$C455="W"),1+DH454,0+DH454)</f>
        <v>10</v>
      </c>
      <c r="DI455" s="133">
        <f>IF(DH455&gt;DH454,L455+DI454,DI454)</f>
        <v>55.13</v>
      </c>
      <c r="DJ455" t="s" s="304">
        <f>IF($D454="","",$D454)</f>
        <v>358</v>
      </c>
      <c r="DK455" s="286"/>
    </row>
    <row r="456" ht="14.55" customHeight="1">
      <c r="A456" s="149"/>
      <c r="B456" s="150"/>
      <c r="C456" t="s" s="151">
        <v>58</v>
      </c>
      <c r="D456" s="152"/>
      <c r="E456" s="153"/>
      <c r="F456" s="155"/>
      <c r="G456" s="252"/>
      <c r="H456" s="156"/>
      <c r="I456" s="287"/>
      <c r="J456" s="288"/>
      <c r="K456" s="156"/>
      <c r="L456" s="289"/>
      <c r="M456" s="290"/>
      <c r="N456" s="161"/>
      <c r="O456" t="s" s="162">
        <f>IF(OR(AE454="",AE455=""),"",IF(L456&gt;0,ROUND(IF(M456&gt;0,M456,IF(M454&gt;0,ROUND((M454*AE456)/AE454,IF(N454=0,2,IF(N454=0.1,1,0))),IF(M455&gt;0,ROUND((M455*AE456)/AE455,IF(N454=0,2,IF(N454=0.1,1,0))),IF(M456&gt;0,M456,0)))),2),""))</f>
      </c>
      <c r="P456" t="s" s="163">
        <f>IF(I455="Lay",O455*(L455/(L455-1))-O455,IF(I454="Lay",O454*(L454/(L454-1))-O454,IF(OR(L456="",O456=""),"",IF($C456="1/2W",O456/2+O456/2*L456,IF($C456="1/2L",O456/2,(O456*L456-O456)*(1-_xlfn.XLOOKUP(K456,'Janeiro 2023 - Valor Real'!A3:A15,'Janeiro 2023 - Valor Real'!C3:C15,0))+O456)))))</f>
      </c>
      <c r="Q456" t="s" s="154">
        <f>IF(K456="","",IF(_xlfn.XLOOKUP(K456,K$109:K223,DJ$109:DJ223,0,,-1)=DJ456,_xlfn.XLOOKUP(K456,K$109:K223,Q$109:Q223,1,,-1)+1,1))</f>
      </c>
      <c r="R456" t="s" s="163">
        <f>IF(K456="","",_xlfn.XLOOKUP(K456,K$109:K223,R$109:R223,0,,-1)+IF($C456=" ",1,0))</f>
      </c>
      <c r="S456" s="166"/>
      <c r="T456" s="155"/>
      <c r="U456" s="155"/>
      <c r="V456" s="166"/>
      <c r="W456" s="155"/>
      <c r="X456" s="167"/>
      <c r="Y456" s="128"/>
      <c r="Z456" s="129"/>
      <c r="AA456" s="129"/>
      <c r="AB456" s="129"/>
      <c r="AC456" s="129"/>
      <c r="AD456" s="168"/>
      <c r="AE456" t="s" s="169">
        <f>IF(L456="","",(SUM(((L454-1)*(1-_xlfn.XLOOKUP(K454,'Janeiro 2023 - Valor Real'!A3:A15,'Janeiro 2023 - Valor Real'!C3:C15,0))+1),((L455-1)*(1-_xlfn.XLOOKUP(K455,'Janeiro 2023 - Valor Real'!A3:A15,'Janeiro 2023 - Valor Real'!C3:C15,0))+1),((L456-1)*(1-_xlfn.XLOOKUP(K456,'Janeiro 2023 - Valor Real'!A3:A15,'Janeiro 2023 - Valor Real'!C3:C15,0))+1))/((L456-1)*(1-_xlfn.XLOOKUP(K456,'Janeiro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Real'!C3:C15,0))+1))/((L454-1)*(1-_xlfn.XLOOKUP(K454,'Janeiro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Real'!C3:C15,0))+1))/((L455-1)*(1-_xlfn.XLOOKUP(K455,'Janeiro 2023 - Valor Real'!A3:A15,'Janeiro 2023 - Valor Real'!C3:C15,0))+1)+SUM(((L454-1)*(1-_xlfn.XLOOKUP(K454,'Janeiro 2023 - Valor Real'!A3:A15,'Janeiro 2023 - Valor Real'!C3:C15,0))+1),((L455-1)*(1-_xlfn.XLOOKUP(K455,'Janeiro 2023 - Valor Real'!A3:A15,'Janeiro 2023 - Valor Real'!C3:C15,0))+1),((L456-1)*(1-_xlfn.XLOOKUP(K456,'Janeiro 2023 - Valor Real'!A3:A15,'Janeiro 2023 - Valor Real'!C3:C15,0))+1))/((L456-1)*(1-_xlfn.XLOOKUP(K456,'Janeiro 2023 - Valor Real'!A3:A15,'Janeiro 2023 - Valor Real'!C3:C15,0))+1)))</f>
      </c>
      <c r="AF456" s="132">
        <f>IF($K456=AF$3,ROUND(IF(OR($C456="W",$C456="1/2W",$C456="1/2L"),$P456-$O456,IF($C456="X",0,-$O456)),2),0)</f>
        <v>0</v>
      </c>
      <c r="AG456" s="133">
        <f>IF($K456=AG$3,ROUND(IF(OR($C456="W",$C456="1/2W",$C456="1/2L"),$P456-$O456,IF($C456="X",0,-$O456)),2),0)</f>
        <v>0</v>
      </c>
      <c r="AH456" s="133">
        <f>IF($K456=AH$3,ROUND(IF(OR($C456="W",$C456="1/2W",$C456="1/2L"),$P456-$O456,IF($C456="X",0,-$O456)),2),0)</f>
        <v>0</v>
      </c>
      <c r="AI456" s="133">
        <f>IF($K456=AI$3,ROUND(IF(OR($C456="W",$C456="1/2W",$C456="1/2L"),$P456-$O456,IF($C456="X",0,-$O456)),2),0)</f>
        <v>0</v>
      </c>
      <c r="AJ456" s="133">
        <f>IF($K456=AJ$3,ROUND(IF(OR($C456="W",$C456="1/2W",$C456="1/2L"),$P456-$O456,IF($C456="X",0,-$O456)),2),0)</f>
        <v>0</v>
      </c>
      <c r="AK456" s="133">
        <f>IF($K456=AK$3,ROUND(IF(OR($C456="W",$C456="1/2W",$C456="1/2L"),$P456-$O456,IF($C456="X",0,-$O456)),2),0)</f>
        <v>0</v>
      </c>
      <c r="AL456" s="133">
        <f>IF($K456=AL$3,ROUND(IF(OR($C456="W",$C456="1/2W",$C456="1/2L"),$P456-$O456,IF($C456="X",0,-$O456)),2),0)</f>
        <v>0</v>
      </c>
      <c r="AM456" s="133">
        <f>IF($K456=AM$3,ROUND(IF(OR($C456="W",$C456="1/2W",$C456="1/2L"),$P456-$O456,IF($C456="X",0,-$O456)),2),0)</f>
        <v>0</v>
      </c>
      <c r="AN456" s="133">
        <f>IF($K456=AN$3,ROUND(IF(OR($C456="W",$C456="1/2W",$C456="1/2L"),$P456-$O456,IF($C456="X",0,-$O456)),2),0)</f>
        <v>0</v>
      </c>
      <c r="AO456" s="133">
        <f>IF($K456=AO$3,ROUND(IF(OR($C456="W",$C456="1/2W",$C456="1/2L"),$P456-$O456,IF($C456="X",0,-$O456)),2),0)</f>
        <v>0</v>
      </c>
      <c r="AP456" s="133">
        <f>IF($K456=AP$3,ROUND(IF(OR($C456="W",$C456="1/2W",$C456="1/2L"),$P456-$O456,IF($C456="X",0,-$O456)),2),0)</f>
        <v>0</v>
      </c>
      <c r="AQ456" s="133">
        <f>IF($K456=AQ$3,ROUND(IF(OR($C456="W",$C456="1/2W",$C456="1/2L"),$P456-$O456,IF($C456="X",0,-$O456)),2),0)</f>
        <v>0</v>
      </c>
      <c r="AR456" s="134">
        <f>IF($K456=AR$3,ROUND(IF(OR($C456="W",$C456="1/2W",$C456="1/2L"),$P456-$O456,IF($C456="X",0,-$O456)),2),0)</f>
        <v>0</v>
      </c>
      <c r="AS456" s="132">
        <f>IF(AND($B454=" ",$K456=AS$3),$O456,0)</f>
        <v>0</v>
      </c>
      <c r="AT456" s="133">
        <f>IF(AND($B454=" ",K456=AT$3),$O456,0)</f>
        <v>0</v>
      </c>
      <c r="AU456" s="133">
        <f>IF(AND($B454=" ",$K456=AU$3),$O456,0)</f>
        <v>0</v>
      </c>
      <c r="AV456" s="133">
        <f>IF(AND($B454=" ",$K456=AV$3),$O456,0)</f>
        <v>0</v>
      </c>
      <c r="AW456" s="133">
        <f>IF(AND($B454=" ",$K456=AW$3),$O456,0)</f>
        <v>0</v>
      </c>
      <c r="AX456" s="133">
        <f>IF(AND($B454=" ",$K456=AX$3),$O456,0)</f>
        <v>0</v>
      </c>
      <c r="AY456" s="135">
        <f>IF(AND($B454=" ",$K456=AY$3),$O456,0)</f>
        <v>0</v>
      </c>
      <c r="AZ456" s="136">
        <f>IF(AND($B454=" ",$K456=AZ$3),$O456,0)</f>
        <v>0</v>
      </c>
      <c r="BA456" s="136">
        <f>IF(AND($B454=" ",$K456=BA$3),$O456,0)</f>
        <v>0</v>
      </c>
      <c r="BB456" s="136">
        <f>IF(AND($B454=" ",$K456=BB$3),$O456,0)</f>
        <v>0</v>
      </c>
      <c r="BC456" s="137">
        <f>IF(AND($B454=" ",$K456=BC$3),$O456,0)</f>
        <v>0</v>
      </c>
      <c r="BD456" s="133">
        <f>IF(AND($B454=" ",$K456=BD$3),$O456,0)</f>
        <v>0</v>
      </c>
      <c r="BE456" s="134">
        <f>IF(AND($B454=" ",$K456=BE$3),$O456,0)</f>
        <v>0</v>
      </c>
      <c r="BF456" s="132">
        <f>IF($K456=BF$3,IF($C456="X",0,$O456),0)</f>
        <v>0</v>
      </c>
      <c r="BG456" s="281">
        <f>IF($K456=BG$3,IF($C456="X",0,$O456),0)</f>
        <v>0</v>
      </c>
      <c r="BH456" s="133">
        <f>IF($K456=BH$3,IF($C456="X",0,$O456),0)</f>
        <v>0</v>
      </c>
      <c r="BI456" s="133">
        <f>IF($K456=BI$3,IF($C456="X",0,$O456),0)</f>
        <v>0</v>
      </c>
      <c r="BJ456" s="133">
        <f>IF($K456=BJ$3,IF($C456="X",0,$O456),0)</f>
        <v>0</v>
      </c>
      <c r="BK456" s="133">
        <f>IF($K456=BK$3,IF($C456="X",0,$O456),0)</f>
        <v>0</v>
      </c>
      <c r="BL456" s="133">
        <f>IF($K456=BL$3,IF($C456="X",0,$O456),0)</f>
        <v>0</v>
      </c>
      <c r="BM456" s="135">
        <f>IF($K456=BM$3,IF($C456="X",0,$O456),0)</f>
        <v>0</v>
      </c>
      <c r="BN456" s="136">
        <f>IF($K456=BN$3,IF($C456="X",0,$O456),0)</f>
        <v>0</v>
      </c>
      <c r="BO456" s="136">
        <f>IF($K456=BO$3,IF($C456="X",0,$O456),0)</f>
        <v>0</v>
      </c>
      <c r="BP456" s="136">
        <f>IF($K456=BP$3,IF($C456="X",0,$O456),0)</f>
        <v>0</v>
      </c>
      <c r="BQ456" s="137">
        <f>IF($K456=BQ$3,IF($C456="X",0,$O456),0)</f>
        <v>0</v>
      </c>
      <c r="BR456" s="134">
        <f>IF($K456=BR$3,IF($C456="X",0,$O456),0)</f>
        <v>0</v>
      </c>
      <c r="BS456" s="282"/>
      <c r="BT456" s="283"/>
      <c r="BU456" s="140"/>
      <c r="BV456" s="283"/>
      <c r="BW456" s="140"/>
      <c r="BX456" s="140"/>
      <c r="BY456" s="140"/>
      <c r="BZ456" s="283"/>
      <c r="CA456" s="140"/>
      <c r="CB456" s="140"/>
      <c r="CC456" s="140"/>
      <c r="CD456" s="141"/>
      <c r="CE456" s="142"/>
      <c r="CF456" s="284">
        <f>IF(CF$3=$K456,IF($C456="W",1,IF($C456="1/2W",0.5,0)),0)</f>
        <v>0</v>
      </c>
      <c r="CG456" s="285">
        <f>IF(CF$3=$K456,IF($C456="L",1,IF($C456="1/2L",0.5,0)),0)</f>
        <v>0</v>
      </c>
      <c r="CH456" s="285">
        <f>IF(CH$3=$K456,IF($C456="W",1,IF($C456="1/2W",0.5,0)),0)</f>
        <v>0</v>
      </c>
      <c r="CI456" s="285">
        <f>IF(CH$3=$K456,IF($C456="L",1,IF($C456="1/2L",0.5,0)),0)</f>
        <v>0</v>
      </c>
      <c r="CJ456" s="285">
        <f>IF(CJ$3=$K456,IF($C456="W",1,IF($C456="1/2W",0.5,0)),0)</f>
        <v>0</v>
      </c>
      <c r="CK456" s="285">
        <f>IF(CJ$3=$K456,IF($C456="L",1,IF($C456="1/2L",0.5,0)),0)</f>
        <v>0</v>
      </c>
      <c r="CL456" s="285">
        <f>IF(CL$3=$K456,IF($C456="W",1,IF($C456="1/2W",0.5,0)),0)</f>
        <v>0</v>
      </c>
      <c r="CM456" s="285">
        <f>IF(CL$3=$K456,IF($C456="L",1,IF($C456="1/2L",0.5,0)),0)</f>
        <v>0</v>
      </c>
      <c r="CN456" s="285">
        <f>IF(CN$3=$K456,IF($C456="W",1,IF($C456="1/2W",0.5,0)),0)</f>
        <v>0</v>
      </c>
      <c r="CO456" s="285">
        <f>IF(CN$3=$K456,IF($C456="L",1,IF($C456="1/2L",0.5,0)),0)</f>
        <v>0</v>
      </c>
      <c r="CP456" s="285">
        <f>IF(CP$3=$K456,IF($C456="W",1,IF($C456="1/2W",0.5,0)),0)</f>
        <v>0</v>
      </c>
      <c r="CQ456" s="285">
        <f>IF(CP$3=$K456,IF($C456="L",1,IF($C456="1/2L",0.5,0)),0)</f>
        <v>0</v>
      </c>
      <c r="CR456" s="285">
        <f>IF(CR$3=$K456,IF($C456="W",1,IF($C456="1/2W",0.5,0)),0)</f>
        <v>0</v>
      </c>
      <c r="CS456" s="285">
        <f>IF(CR$3=$K456,IF($C456="L",1,IF($C456="1/2L",0.5,0)),0)</f>
        <v>0</v>
      </c>
      <c r="CT456" s="145">
        <f>IF(CT$3=$K456,IF($C456="W",1,IF($C456="1/2W",0.5,0)),0)</f>
        <v>0</v>
      </c>
      <c r="CU456" s="146">
        <f>IF(CT$3=$K456,IF($C456="L",1,IF($C456="1/2L",0.5,0)),0)</f>
        <v>0</v>
      </c>
      <c r="CV456" s="146">
        <f>IF(CV$3=$K456,IF($C456="W",1,IF($C456="1/2W",0.5,0)),0)</f>
        <v>0</v>
      </c>
      <c r="CW456" s="146">
        <f>IF(CV$3=$K456,IF($C456="L",1,IF($C456="1/2L",0.5,0)),0)</f>
        <v>0</v>
      </c>
      <c r="CX456" s="146">
        <f>IF(CX$3=$K456,IF($C456="W",1,IF($C456="1/2W",0.5,0)),0)</f>
        <v>0</v>
      </c>
      <c r="CY456" s="146">
        <f>IF(CX$3=$K456,IF($C456="L",1,IF($C456="1/2L",0.5,0)),0)</f>
        <v>0</v>
      </c>
      <c r="CZ456" s="146">
        <f>IF(CZ$3=$K456,IF($C456="W",1,IF($C456="1/2W",0.5,0)),0)</f>
        <v>0</v>
      </c>
      <c r="DA456" s="146">
        <f>IF(CZ$3=$K456,IF($C456="L",1,IF($C456="1/2L",0.5,0)),0)</f>
        <v>0</v>
      </c>
      <c r="DB456" s="146">
        <f>IF(DB$3=$K456,IF($C456="W",1,IF($C456="1/2W",0.5,0)),0)</f>
        <v>0</v>
      </c>
      <c r="DC456" s="146">
        <f>IF(DB$3=$K456,IF($C456="L",1,IF($C456="1/2L",0.5,0)),0)</f>
        <v>0</v>
      </c>
      <c r="DD456" s="146">
        <f>IF(DD$3=$K456,IF($C456="W",1,IF($C456="1/2W",0.5,0)),0)</f>
        <v>0</v>
      </c>
      <c r="DE456" s="147">
        <f>IF(DD$3=$K456,IF($C456="L",1,IF($C456="1/2L",0.5,0)),0)</f>
        <v>0</v>
      </c>
      <c r="DF456" s="143">
        <f>IF(AND(L456&lt;DF$3,$C456="W"),1+DF455,DF455)</f>
        <v>15</v>
      </c>
      <c r="DG456" s="133">
        <f>IF(DF456&gt;DF455,L456+DG455,DG455)</f>
        <v>19.748</v>
      </c>
      <c r="DH456" s="146">
        <f>IF(AND(L456&gt;DH$3,$C456="W"),1+DH455,0+DH455)</f>
        <v>10</v>
      </c>
      <c r="DI456" s="133">
        <f>IF(DH456&gt;DH455,L456+DI455,DI455)</f>
        <v>55.13</v>
      </c>
      <c r="DJ456" t="s" s="304">
        <f>IF($D454="","",$D454)</f>
        <v>358</v>
      </c>
      <c r="DK456" s="286"/>
    </row>
    <row r="457" ht="14.55" customHeight="1">
      <c r="A457" s="171">
        <f>$A454+1</f>
        <v>152</v>
      </c>
      <c r="B457" t="s" s="172">
        <f>IF(AND(_xlfn.XLOOKUP(H457,H$110:H218,G$110:G218,0)=G457,_xlfn.XLOOKUP("TempoBet",K457:K459,L457:L459,0)&gt;0),"X",IF(OR(C457="W",C458="W",C459="W",C457="1/2W",C458="1/2W",C459="1/2W",C457="1/2L",C458="1/2L",C459="1/2L"),"OK",IF(OR(C457="L",C458="L",C459="L"),"LOSS",IF(OR(C457="X",C458="X",C459="X"),"Anulado"," "))))</f>
        <v>50</v>
      </c>
      <c r="C457" t="s" s="173">
        <v>56</v>
      </c>
      <c r="D457" t="s" s="305">
        <f>IF(G457="","",$D454)</f>
        <v>358</v>
      </c>
      <c r="E457" t="s" s="175">
        <f>IF(G457=""," ","– "&amp;COUNTIF(D$4:D459,$D457))</f>
        <v>108</v>
      </c>
      <c r="F457" t="s" s="176"/>
      <c r="G457" s="177">
        <v>44951.166666666664</v>
      </c>
      <c r="H457" t="s" s="178">
        <v>361</v>
      </c>
      <c r="I457" t="s" s="179">
        <v>65</v>
      </c>
      <c r="J457" s="291">
        <v>207</v>
      </c>
      <c r="K457" t="s" s="181">
        <v>41</v>
      </c>
      <c r="L457" s="182">
        <v>2.28</v>
      </c>
      <c r="M457" s="183">
        <v>17.28</v>
      </c>
      <c r="N457" s="184">
        <v>0</v>
      </c>
      <c r="O457" s="185">
        <f>IF(OR(AE457="",AE458=""),"",ROUND(IF(L459&gt;0,IF(M457&gt;0,M457,IF(M458&gt;0,ROUND((M458*AE457)/AE458,IF(N457=0,2,IF(N457=0.1,1,0))),ROUND((M459*AE457)/AE459,IF(N457=0,2,IF(N457=0.1,1,0))))),IF(M457&gt;0,M457,ROUND((M458*AE457)/AE458,IF(N457=0,2,IF(N457=0.1,1,0))))),2))</f>
        <v>17.28</v>
      </c>
      <c r="P457" s="186">
        <f>IF(OR(L457="",O457=""),"",IF($C457="1/2W",O457/2+O457/2*L457,IF($C457="1/2L",O457/2,IF(I457="Lay",(O457*(L457/(L457-1))-O457)*(1-_xlfn.XLOOKUP(K457,'Janeiro 2023 - Valor Real'!A3:A15,'Janeiro 2023 - Valor Real'!C3:C15,0))+O457,(O457*L457-O457)*(1-_xlfn.XLOOKUP(K457,'Janeiro 2023 - Valor Real'!A3:A15,'Janeiro 2023 - Valor Real'!C3:C15,0))+O457))))</f>
        <v>39.3984</v>
      </c>
      <c r="Q457" s="187">
        <f>IF(K457="","",IF(_xlfn.XLOOKUP(K457,K$110:K218,DJ$110:DJ218,0,,-1)=DJ457,_xlfn.XLOOKUP(K457,K$110:K218,Q$110:Q218,1,,-1)+1,1))</f>
        <v>1</v>
      </c>
      <c r="R457" s="188">
        <f>IF(K457="","",_xlfn.XLOOKUP(K457,K$110:K218,R$110:R218,0,,-1)+IF($C457=" ",1,0))</f>
        <v>0</v>
      </c>
      <c r="S457" s="189">
        <f>IF($B457="Anulado",0,ROUND(IF(OR($B457="LOSS",$B457="OK"),IF(OR($C457="W",$C457="1/2W",$C457="1/2L"),P457-O457,IF($C457="L",-O457,0))+IF(OR($C458="W",$C458="1/2W",$C458="1/2L"),P458-O458,IF($C458="L",-O458,0))+IF(OR($C459="W",$C459="1/2W",$C459="1/2L"),P459-O459,IF($C459="L",-O459,0)),IF(AND(OR($C457="W",$C457="1/2W",$C457="1/2L"),C458="W"),P457+P458-SUM(O457:O459)+_xlfn.XLOOKUP("X",C457:C459,O457:O459,0),IF(AND(C457=TRUE,C459="W"),P457+P459-SUM(O457:O459),IF(AND(C458="W",C459="W"),P458+P459-SUM(O457:O459)+_xlfn.XLOOKUP("X",C457:C459,O457:O459,0),IF(L459&gt;0,IF(OR($C457="W",$C457="1/2W",$C457="1/2L"),P457-SUM(O457:O459)+_xlfn.XLOOKUP("X",C457:C459,O457:O459,0),IF(OR($C457="W",$C457="1/2W",$C457="1/2L"),P458-SUM(O457:O459)+_xlfn.XLOOKUP("X",C457:C459,O457:O459,0),IF(OR($C457="W",$C457="1/2W",$C457="1/2L"),P459-SUM(O457:O459)+_xlfn.XLOOKUP("X",C457:C459,O457:O459,0),IF(SUM(P457:P459)/3-SUM(O457:O459)+_xlfn.XLOOKUP("X",C457:C459,O457:O459,0)&gt;0,SUM(P457:P459)/3-SUM(O457:O459)+_xlfn.XLOOKUP("X",C457:C459,O457:O459,0),LARGE(P457:P459,1)-SUM(O457:O459))))),IF(OR($C457="W",$C457="1/2W",$C457="1/2L"),P457-SUM(O457:O458)+_xlfn.XLOOKUP("X",C457:C459,O457:O459,0),IF(OR($C457="W",$C457="1/2W",$C457="1/2L"),P458-SUM(O457:O458)+_xlfn.XLOOKUP("X",C457:C459,O457:O459,0),SUM(P457:P458)/2-SUM(O457:O458)+_xlfn.XLOOKUP("X",C457:C459,O457:O459,0)))))))),2))</f>
        <v>3.54</v>
      </c>
      <c r="T457" s="190">
        <f>IF(S457=0,0,S457/SUM(O457:O459))</f>
        <v>0.0987172336865588</v>
      </c>
      <c r="U457" s="191">
        <f>IF($D457=$D454,IF(OR($B457="LOSS",$B457="OK",$B457="Anulada"),S457,0)+U454,IF(OR($B457="LOSS",$B457="OK",$B457="Anulada"),S457,0))</f>
        <v>6.15</v>
      </c>
      <c r="V457" s="191">
        <f>IF($D457="",0,IF($D457=$D454,IF($B457=" ",IF(I459="",IF(OR(AND(I457="DNB1",I458="DNB2"),AND(OR(I457="DNB1",I457="DNB2"),J458=0),AND(OR(I458="DNB1",I458="DNB2"),J457=0),AND(I457="DNB2",I458="DNB1"),AND(IF(J457=0,(J457+1)/ROUND(J457+1,0),J457/ROUND(J457,0))=1,IF(J458=0,(J458+1)/ROUND(IF(J458="",0,J458)+1,0),IF(J458="",0,J458)/ROUND(IF(J458="",1,J458),0))=1,OR(J457&lt;&gt;""),J458&lt;&gt;"")),0,IF(S457&lt;0,IF(I459="",SMALL(P457:P458,1)-SUM(O457:O458),0),SMALL(P457:P458,1)-SUM(O457:O458))),IF(S457&lt;0,IF(I459="",SMALL(P457:P459,1)-SUM(O457:O459),0),LARGE(P457:P459,1)-SUM(O457:O459))),S457)+V454,IF(I459="",IF(OR(AND(I457="DNB1",I458="DNB2"),AND(OR(I457="DNB1",I457="DNB2"),J458=0),AND(OR(I458="DNB1",I458="DNB2"),J457=0),AND(I457="DNB2",I458="DNB1"),AND(IF(J457=0,(J457+1)/ROUND(J457+1,0),J457/ROUND(J457,0))=1,IF(J458=0,(IF(J458="",0,J458)+1)/ROUND(IF(J458="",0,J458)+1,0),IF(J458="",0,J458)/ROUND(IF(J458="",0,J458)+1,0))=1,OR(J457&lt;&gt;""),J458&lt;&gt;"")),0,IF(S457&lt;0,IF(I459="",SMALL(P457:P458,1)-SUM(O457:O458),0),SMALL(P457:P459,1)-SUM(O457:O459))),IF(S457&lt;0,IF(I459="",SMALL(P457:P459,1)-SUM(O457:O459),0),LARGE(P457:P459,1)-SUM(O457:O459)))))</f>
        <v>6.15</v>
      </c>
      <c r="W457" s="191">
        <f>IF($D457=$D454,IF(S457&lt;0,IF(I459="",S457,0),S457)+W454,S457)</f>
        <v>6.15</v>
      </c>
      <c r="X457" t="s" s="192">
        <f>IF(OR(SUM(R457:R459)=0,V457=W457),ROUND(IF(W457=0,0,W457/Y457)*100,2)&amp;"%",ROUND(IF(V457=0,0,V457/Y457)*100,2)&amp;"% a "&amp;ROUND(IF(W457=0,0,W457/Y457)*100,2)&amp;"%")</f>
        <v>363</v>
      </c>
      <c r="Y457" s="193">
        <f>IF($D457=$D454,Y454+SUM(O457:O459),SUM(O457:O459))</f>
        <v>99.16</v>
      </c>
      <c r="Z457" s="191">
        <f>IF($B457=" ",SUM(O457:O459),0)+Z454</f>
        <v>0</v>
      </c>
      <c r="AA457" s="191">
        <f>IF(G457="","",IF($B457="Anulado",LARGE(P457:P459,1)-SUM(O457:O459)+AA454,AA454))</f>
        <v>22.2257</v>
      </c>
      <c r="AB457" s="191">
        <f>IF($D457="","",AB454+S457)</f>
        <v>314</v>
      </c>
      <c r="AC457" s="194">
        <f>IF($D457="","",IF($B457=" ",IF(DAY(G457)=DAY(TODAY()),1+AC454,0+AC454),0+AC454))</f>
        <v>0</v>
      </c>
      <c r="AD457" s="195">
        <f>(((L458/(L458-1)-1)*(1-_xlfn.XLOOKUP(K458,'Janeiro 2023 - Valor Real'!A3:A15,'Janeiro 2023 - Valor Real'!C3:C15,0))+1))/(((L457-1)*(1-_xlfn.XLOOKUP(K457,'Janeiro 2023 - Valor Real'!A3:A15,'Janeiro 2023 - Valor Real'!C3:C15,0))+1)+((L458/(L458-1)-1)*(1-_xlfn.XLOOKUP(K458,'Janeiro 2023 - Valor Real'!A3:A15,'Janeiro 2023 - Valor Real'!C3:C15,0))+1))</f>
        <v>0.453611776788771</v>
      </c>
      <c r="AE457" s="196">
        <f>IF(L457="","",IF(L459&gt;0,(SUM(((L457-1)*(1-_xlfn.XLOOKUP(K457,'Janeiro 2023 - Valor Real'!A3:A15,'Janeiro 2023 - Valor Real'!C3:C15,0))+1),((L458-1)*(1-_xlfn.XLOOKUP(K458,'Janeiro 2023 - Valor Real'!A3:A15,'Janeiro 2023 - Valor Real'!C3:C15,0))+1),((L459-1)*(1-_xlfn.XLOOKUP(K459,'Janeiro 2023 - Valor Real'!A3:A15,'Janeiro 2023 - Valor Real'!C3:C15,0))+1))/((L457-1)*(1-_xlfn.XLOOKUP(K457,'Janeiro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Real'!C3:C15,0))+1))/((L457-1)*(1-_xlfn.XLOOKUP(K457,'Janeiro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Real'!C3:C15,0))+1))/((L458-1)*(1-_xlfn.XLOOKUP(K458,'Janeiro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Real'!C3:C15,0))+1))/((L459-1)*(1-_xlfn.XLOOKUP(K459,'Janeiro 2023 - Valor Real'!A3:A15,'Janeiro 2023 - Valor Real'!C3:C15,0))+1)),IF(I457="Lay",IF(I458="Lay",((L458/(L458-1)-1)*(1-_xlfn.XLOOKUP(K458,'Janeiro 2023 - Valor Real'!A3:A15,'Janeiro 2023 - Valor Real'!C3:C15,0))+1)/(((L458/(L458-1)-1)*(1-_xlfn.XLOOKUP(K458,'Janeiro 2023 - Valor Real'!A3:A15,'Janeiro 2023 - Valor Real'!C3:C15,0))+1)+((L457/(L457-1)-1)*(1-_xlfn.XLOOKUP(K457,'Janeiro 2023 - Valor Real'!A3:A15,'Janeiro 2023 - Valor Real'!C3:C15,0))+1)),((L458-1)*(1-_xlfn.XLOOKUP(K458,'Janeiro 2023 - Valor Real'!A3:A15,'Janeiro 2023 - Valor Real'!C3:C15,0))+1)/(((L458-1)*(1-_xlfn.XLOOKUP(K458,'Janeiro 2023 - Valor Real'!A3:A15,'Janeiro 2023 - Valor Real'!C3:C15,0))+1)+((L457/(L457-1)-1)*(1-_xlfn.XLOOKUP(K457,'Janeiro 2023 - Valor Real'!A3:A15,'Janeiro 2023 - Valor Real'!C3:C15,0))+1))),IF(I458="Lay",(((L458/(L458-1)-1)*(1-_xlfn.XLOOKUP(K458,'Janeiro 2023 - Valor Real'!A3:A15,'Janeiro 2023 - Valor Real'!C3:C15,0))+1))/(((L457-1)*(1-_xlfn.XLOOKUP(K457,'Janeiro 2023 - Valor Real'!A3:A15,'Janeiro 2023 - Valor Real'!C3:C15,0))+1)+((L458/(L458-1)-1)*(1-_xlfn.XLOOKUP(K458,'Janeiro 2023 - Valor Real'!A3:A15,'Janeiro 2023 - Valor Real'!C3:C15,0))+1)),((L458-1)*(1-_xlfn.XLOOKUP(K458,'Janeiro 2023 - Valor Real'!A3:A15,'Janeiro 2023 - Valor Real'!C3:C15,0))+1)/(((L458-1)*(1-_xlfn.XLOOKUP(K458,'Janeiro 2023 - Valor Real'!A3:A15,'Janeiro 2023 - Valor Real'!C3:C15,0))+1)+((L457-1)*(1-_xlfn.XLOOKUP(K457,'Janeiro 2023 - Valor Real'!A3:A15,'Janeiro 2023 - Valor Real'!C3:C15,0))+1))))))</f>
        <v>0.481818181818182</v>
      </c>
      <c r="AF457" s="197">
        <f>IF($K457=AF$3,ROUND(IF(OR($C457="W",$C457="1/2W",$C457="1/2L"),$P457-$O457,IF($C457="X",0,-$O457)),2),0)</f>
        <v>0</v>
      </c>
      <c r="AG457" s="198">
        <f>IF($K457=AG$3,ROUND(IF(OR($C457="W",$C457="1/2W",$C457="1/2L"),$P457-$O457,IF($C457="X",0,-$O457)),2),0)</f>
        <v>0</v>
      </c>
      <c r="AH457" s="198">
        <f>IF($K457=AH$3,ROUND(IF(OR($C457="W",$C457="1/2W",$C457="1/2L"),$P457-$O457,IF($C457="X",0,-$O457)),2),0)</f>
        <v>0</v>
      </c>
      <c r="AI457" s="198">
        <f>IF($K457=AI$3,ROUND(IF(OR($C457="W",$C457="1/2W",$C457="1/2L"),$P457-$O457,IF($C457="X",0,-$O457)),2),0)</f>
        <v>0</v>
      </c>
      <c r="AJ457" s="198">
        <f>IF($K457=AJ$3,ROUND(IF(OR($C457="W",$C457="1/2W",$C457="1/2L"),$P457-$O457,IF($C457="X",0,-$O457)),2),0)</f>
        <v>22.12</v>
      </c>
      <c r="AK457" s="198">
        <f>IF($K457=AK$3,ROUND(IF(OR($C457="W",$C457="1/2W",$C457="1/2L"),$P457-$O457,IF($C457="X",0,-$O457)),2),0)</f>
        <v>0</v>
      </c>
      <c r="AL457" s="198">
        <f>IF($K457=AL$3,ROUND(IF(OR($C457="W",$C457="1/2W",$C457="1/2L"),$P457-$O457,IF($C457="X",0,-$O457)),2),0)</f>
        <v>0</v>
      </c>
      <c r="AM457" s="198">
        <f>IF($K457=AM$3,ROUND(IF(OR($C457="W",$C457="1/2W",$C457="1/2L"),$P457-$O457,IF($C457="X",0,-$O457)),2),0)</f>
        <v>0</v>
      </c>
      <c r="AN457" s="198">
        <f>IF($K457=AN$3,ROUND(IF(OR($C457="W",$C457="1/2W",$C457="1/2L"),$P457-$O457,IF($C457="X",0,-$O457)),2),0)</f>
        <v>0</v>
      </c>
      <c r="AO457" s="198">
        <f>IF($K457=AO$3,ROUND(IF(OR($C457="W",$C457="1/2W",$C457="1/2L"),$P457-$O457,IF($C457="X",0,-$O457)),2),0)</f>
        <v>0</v>
      </c>
      <c r="AP457" s="198">
        <f>IF($K457=AP$3,ROUND(IF(OR($C457="W",$C457="1/2W",$C457="1/2L"),$P457-$O457,IF($C457="X",0,-$O457)),2),0)</f>
        <v>0</v>
      </c>
      <c r="AQ457" s="198">
        <f>IF($K457=AQ$3,ROUND(IF(OR($C457="W",$C457="1/2W",$C457="1/2L"),$P457-$O457,IF($C457="X",0,-$O457)),2),0)</f>
        <v>0</v>
      </c>
      <c r="AR457" s="199">
        <f>IF($K457=AR$3,ROUND(IF(OR($C457="W",$C457="1/2W",$C457="1/2L"),$P457-$O457,IF($C457="X",0,-$O457)),2),0)</f>
        <v>0</v>
      </c>
      <c r="AS457" s="197">
        <f>IF(AND($B457=" ",$K457=AS$3),$O457,0)</f>
        <v>0</v>
      </c>
      <c r="AT457" s="198">
        <f>IF(AND($B457=" ",$K457=AT$3),$O457,0)</f>
        <v>0</v>
      </c>
      <c r="AU457" s="198">
        <f>IF(AND($B457=" ",$K457=AU$3),$O457,0)</f>
        <v>0</v>
      </c>
      <c r="AV457" s="198">
        <f>IF(AND($B457=" ",$K457=AV$3),$O457,0)</f>
        <v>0</v>
      </c>
      <c r="AW457" s="198">
        <f>IF(AND($B457=" ",$K457=AW$3),$O457,0)</f>
        <v>0</v>
      </c>
      <c r="AX457" s="198">
        <f>IF(AND($B457=" ",$K457=AX$3),$O457,0)</f>
        <v>0</v>
      </c>
      <c r="AY457" s="200">
        <f>IF(AND($B457=" ",$K457=AY$3),$O457,0)</f>
        <v>0</v>
      </c>
      <c r="AZ457" s="201">
        <f>IF(AND($B457=" ",$K457=AZ$3),$O457,0)</f>
        <v>0</v>
      </c>
      <c r="BA457" s="201">
        <f>IF(AND($B457=" ",$K457=BA$3),$O457,0)</f>
        <v>0</v>
      </c>
      <c r="BB457" s="201">
        <f>IF(AND($B457=" ",$K457=BB$3),$O457,0)</f>
        <v>0</v>
      </c>
      <c r="BC457" s="202">
        <f>IF(AND($B457=" ",$K457=BC$3),$O457,0)</f>
        <v>0</v>
      </c>
      <c r="BD457" s="198">
        <f>IF(AND($B457=" ",$K457=BD$3),$O457,0)</f>
        <v>0</v>
      </c>
      <c r="BE457" s="199">
        <f>IF(AND($B457=" ",$K457=BE$3),$O457,0)</f>
        <v>0</v>
      </c>
      <c r="BF457" s="203">
        <f>IF($K457=BF$3,IF($C457="X",0,$O457),0)</f>
        <v>0</v>
      </c>
      <c r="BG457" s="198">
        <f>IF($K457=BG$3,IF($C457="X",0,$O457),0)</f>
        <v>0</v>
      </c>
      <c r="BH457" s="198">
        <f>IF($K457=BH$3,IF($C457="X",0,$O457),0)</f>
        <v>0</v>
      </c>
      <c r="BI457" s="198">
        <f>IF($K457=BI$3,IF($C457="X",0,$O457),0)</f>
        <v>0</v>
      </c>
      <c r="BJ457" s="198">
        <f>IF($K457=BJ$3,IF($C457="X",0,$O457),0)</f>
        <v>17.28</v>
      </c>
      <c r="BK457" s="198">
        <f>IF($K457=BK$3,IF($C457="X",0,$O457),0)</f>
        <v>0</v>
      </c>
      <c r="BL457" s="198">
        <f>IF($K457=BL$3,IF($C457="X",0,$O457),0)</f>
        <v>0</v>
      </c>
      <c r="BM457" s="200">
        <f>IF($K457=BM$3,IF($C457="X",0,$O457),0)</f>
        <v>0</v>
      </c>
      <c r="BN457" s="201">
        <f>IF($K457=BN$3,IF($C457="X",0,$O457),0)</f>
        <v>0</v>
      </c>
      <c r="BO457" s="201">
        <f>IF($K457=BO$3,IF($C457="X",0,$O457),0)</f>
        <v>0</v>
      </c>
      <c r="BP457" s="201">
        <f>IF($K457=BP$3,IF($C457="X",0,$O457),0)</f>
        <v>0</v>
      </c>
      <c r="BQ457" s="202">
        <f>IF($K457=BQ$3,IF($C457="X",0,$O457),0)</f>
        <v>0</v>
      </c>
      <c r="BR457" s="199">
        <f>IF($K457=BR$3,IF($C457="X",0,$O457),0)</f>
        <v>0</v>
      </c>
      <c r="BS457" s="204">
        <f>IF($B457="LOSS",IF(AND($K457=BS$3,$C457="L"),-$O457,0)+IF(AND($K458=BS$3,$C458="L"),-$O458,0)+IF(AND($K459=BS$3,$C459="L"),-$O459,0),IF(OR(AND($K457=BS$3,OR($C457="W",$C457="1/2W")),AND($K458=BS$3,OR($C458="W",$C458="1/2W")),AND($K459=BS$3,OR($C459="W",$C459="1/2W"))),$S457,0))</f>
        <v>0</v>
      </c>
      <c r="BT457" s="201">
        <f>IF($B457="LOSS",IF(AND($K457=BT$3,$C457="L"),-$O457,0)+IF(AND($K458=BT$3,$C458="L"),-$O458,0)+IF(AND($K458=BT$3,$C459="L"),-$O459,0),IF(OR(AND($K458=BT$3,OR($C457="W",$C457="1/2W")),AND($K458=BT$3,OR($C458="W",$C458="1/2W")),AND($K458=BT$3,OR($C459="W",$C459="1/2W"))),$S457,0))</f>
        <v>0</v>
      </c>
      <c r="BU457" s="201">
        <f>IF($B457="LOSS",IF(AND($K457=BU$3,$C457="L"),-$O457,0)+IF(AND($K458=BU$3,$C458="L"),-$O458,0)+IF(AND($K458=BU$3,$C459="L"),-$O459,0),IF(OR(AND($K458=BU$3,OR($C457="W",$C457="1/2W")),AND($K458=BU$3,OR($C458="W",$C458="1/2W")),AND($K458=BU$3,OR($C459="W",$C459="1/2W"))),$S457,0))</f>
        <v>0</v>
      </c>
      <c r="BV457" s="201">
        <f>IF($B457="LOSS",IF(AND($K457=BV$3,$C457="L"),-$O457,0)+IF(AND($K458=BV$3,$C458="L"),-$O458,0)+IF(AND($K459=BV$3,$C459="L"),-$O459,0),IF(OR(AND($K457=BV$3,OR($C457="W",$C457="1/2W")),AND($K458=BV$3,OR($C458="W",$C458="1/2W")),AND($K459=BV$3,OR($C459="W",$C459="1/2W"))),$S457,0))</f>
        <v>0</v>
      </c>
      <c r="BW457" s="201">
        <f>IF($B457="LOSS",IF(AND($K457=BW$3,$C457="L"),-$O457,0)+IF(AND($K458=BW$3,$C458="L"),-$O458,0)+IF(AND($K459=BW$3,$C459="L"),-$O459,0),IF(OR(AND($K457=BW$3,OR($C457="W",$C457="1/2W")),AND($K458=BW$3,OR($C458="W",$C458="1/2W")),AND($K459=BW$3,OR($C459="W",$C459="1/2W"))),$S457,0))</f>
        <v>3.54</v>
      </c>
      <c r="BX457" s="201">
        <f>IF($B457="LOSS",IF(AND($K457=BX$3,$C457="L"),-$O457,0)+IF(AND($K458=BX$3,$C458="L"),-$O458,0)+IF(AND($K459=BX$3,$C459="L"),-$O459,0),IF(OR(AND($K457=BX$3,OR($C457="W",$C457="1/2W")),AND($K458=BX$3,OR($C458="W",$C458="1/2W")),AND($K459=BX$3,OR($C459="W",$C459="1/2W"))),$S457,0))</f>
        <v>0</v>
      </c>
      <c r="BY457" s="201">
        <f>IF($B457="LOSS",IF(AND($K457=BY$3,$C457="L"),-$O457,0)+IF(AND($K458=BY$3,$C458="L"),-$O458,0)+IF(AND($K459=BY$3,$C459="L"),-$O459,0),IF(OR(AND($K457=BY$3,OR($C457="W",$C457="1/2W")),AND($K458=BY$3,OR($C458="W",$C458="1/2W")),AND($K459=BY$3,OR($C459="W",$C459="1/2W"))),$S457,0))</f>
        <v>0</v>
      </c>
      <c r="BZ457" s="205">
        <f>IF($B457="LOSS",IF(AND($K457=BZ$3,$C457="L"),-$O457,0)+IF(AND($K458=BZ$3,$C458="L"),-$O458,0)+IF(AND($K459=BZ$3,$C459="L"),-$O459,0),IF(OR(AND($K457=BZ$3,OR($C457="W",$C457="1/2W")),AND($K458=BZ$3,OR($C458="W",$C458="1/2W")),AND($K459=BZ$3,OR($C459="W",$C459="1/2W"))),$S457,0))</f>
        <v>0</v>
      </c>
      <c r="CA457" s="205">
        <f>IF($B457="LOSS",IF(AND($K457=CA$3,$C457="L"),-$O457,0)+IF(AND($K458=CA$3,$C458="L"),-$O458,0)+IF(AND($K459=CA$3,$C459="L"),-$O459,0),IF(OR(AND($K457=CA$3,OR($C457="W",$C457="1/2W")),AND($K458=CA$3,OR($C458="W",$C458="1/2W")),AND($K459=CA$3,OR($C459="W",$C459="1/2W"))),$S457,0))</f>
        <v>0</v>
      </c>
      <c r="CB457" s="205">
        <f>IF($B457="LOSS",IF(AND($K457=CB$3,$C457="L"),-$O457,0)+IF(AND($K458=CB$3,$C458="L"),-$O458,0)+IF(AND($K459=CB$3,$C459="L"),-$O459,0),IF(OR(AND($K457=CB$3,OR($C457="W",$C457="1/2W")),AND($K458=CB$3,OR($C458="W",$C458="1/2W")),AND($K459=CB$3,OR($C459="W",$C459="1/2W"))),$S457,0))</f>
        <v>0</v>
      </c>
      <c r="CC457" s="205">
        <f>IF($B457="LOSS",IF(AND($K457=CC$3,$C457="L"),-$O457,0)+IF(AND($K458=CC$3,$C458="L"),-$O458,0)+IF(AND($K459=CC$3,$C459="L"),-$O459,0),IF(OR(AND($K457=CC$3,OR($C457="W",$C457="1/2W")),AND($K458=CC$3,OR($C458="W",$C458="1/2W")),AND($K459=CC$3,OR($C459="W",$C459="1/2W"))),$S457,0))</f>
        <v>0</v>
      </c>
      <c r="CD457" s="202">
        <f>IF($B457="LOSS",IF(AND($K457=CD$3,$C457="L"),-$O457,0)+IF(AND($K458=CD$3,$C458="L"),-$O458,0)+IF(AND($K459=CD$3,$C459="L"),-$O459,0),IF(OR(AND($K457=CD$3,OR($C457="W",$C457="1/2W")),AND($K458=CD$3,OR($C458="W",$C458="1/2W")),AND($K459=CD$3,OR($C459="W",$C459="1/2W"))),$S457,0))</f>
        <v>0</v>
      </c>
      <c r="CE457" s="199">
        <f>IF($B457="LOSS",IF(AND($K457=CE$3,$C457="L"),-$O457,0)+IF(AND($K458=CE$3,$C458="L"),-$O458,0)+IF(AND($K459=CE$3,$C459="L"),-$O459,0),IF(OR(AND($K457=CE$3,OR($C457="W",$C457="1/2W")),AND($K458=CE$3,OR($C458="W",$C458="1/2W")),AND($K459=CE$3,OR($C459="W",$C459="1/2W"))),$S457,0))</f>
        <v>0</v>
      </c>
      <c r="CF457" s="206">
        <f>IF(CF$3=$K457,IF($C457="W",1,IF($C457="1/2W",0.5,0)),0)</f>
        <v>0</v>
      </c>
      <c r="CG457" s="207">
        <f>IF(CF$3=$K457,IF($C457="L",1,IF($C457="1/2L",0.5,0)),0)</f>
        <v>0</v>
      </c>
      <c r="CH457" s="207">
        <f>IF(CH$3=$K457,IF($C457="W",1,IF($C457="1/2W",0.5,0)),0)</f>
        <v>0</v>
      </c>
      <c r="CI457" s="207">
        <f>IF(CH$3=$K457,IF($C457="L",1,IF($C457="1/2L",0.5,0)),0)</f>
        <v>0</v>
      </c>
      <c r="CJ457" s="207">
        <f>IF(CJ$3=$K457,IF($C457="W",1,IF($C457="1/2W",0.5,0)),0)</f>
        <v>0</v>
      </c>
      <c r="CK457" s="207">
        <f>IF(CJ$3=$K457,IF($C457="L",1,IF($C457="1/2L",0.5,0)),0)</f>
        <v>0</v>
      </c>
      <c r="CL457" s="207">
        <f>IF(CL$3=$K457,IF($C457="W",1,IF($C457="1/2W",0.5,0)),0)</f>
        <v>0</v>
      </c>
      <c r="CM457" s="207">
        <f>IF(CL$3=$K457,IF($C457="L",1,IF($C457="1/2L",0.5,0)),0)</f>
        <v>0</v>
      </c>
      <c r="CN457" s="207">
        <f>IF(CN$3=$K457,IF($C457="W",1,IF($C457="1/2W",0.5,0)),0)</f>
        <v>1</v>
      </c>
      <c r="CO457" s="207">
        <f>IF(CN$3=$K457,IF($C457="L",1,IF($C457="1/2L",0.5,0)),0)</f>
        <v>0</v>
      </c>
      <c r="CP457" s="207">
        <f>IF(CP$3=$K457,IF($C457="W",1,IF($C457="1/2W",0.5,0)),0)</f>
        <v>0</v>
      </c>
      <c r="CQ457" s="207">
        <f>IF(CP$3=$K457,IF($C457="L",1,IF($C457="1/2L",0.5,0)),0)</f>
        <v>0</v>
      </c>
      <c r="CR457" s="207">
        <f>IF(CR$3=$K457,IF($C457="W",1,IF($C457="1/2W",0.5,0)),0)</f>
        <v>0</v>
      </c>
      <c r="CS457" s="207">
        <f>IF(CR$3=$K457,IF($C457="L",1,IF($C457="1/2L",0.5,0)),0)</f>
        <v>0</v>
      </c>
      <c r="CT457" s="208">
        <f>IF(CT$3=$K457,IF($C457="W",1,IF($C457="1/2W",0.5,0)),0)</f>
        <v>0</v>
      </c>
      <c r="CU457" s="209">
        <f>IF(CT$3=$K457,IF($C457="L",1,IF($C457="1/2L",0.5,0)),0)</f>
        <v>0</v>
      </c>
      <c r="CV457" s="209">
        <f>IF(CV$3=$K457,IF($C457="W",1,IF($C457="1/2W",0.5,0)),0)</f>
        <v>0</v>
      </c>
      <c r="CW457" s="209">
        <f>IF(CV$3=$K457,IF($C457="L",1,IF($C457="1/2L",0.5,0)),0)</f>
        <v>0</v>
      </c>
      <c r="CX457" s="209">
        <f>IF(CX$3=$K457,IF($C457="W",1,IF($C457="1/2W",0.5,0)),0)</f>
        <v>0</v>
      </c>
      <c r="CY457" s="209">
        <f>IF(CX$3=$K457,IF($C457="L",1,IF($C457="1/2L",0.5,0)),0)</f>
        <v>0</v>
      </c>
      <c r="CZ457" s="209">
        <f>IF(CZ$3=$K457,IF($C457="W",1,IF($C457="1/2W",0.5,0)),0)</f>
        <v>0</v>
      </c>
      <c r="DA457" s="209">
        <f>IF(CZ$3=$K457,IF($C457="L",1,IF($C457="1/2L",0.5,0)),0)</f>
        <v>0</v>
      </c>
      <c r="DB457" s="209">
        <f>IF(DB$3=$K457,IF($C457="W",1,IF($C457="1/2W",0.5,0)),0)</f>
        <v>0</v>
      </c>
      <c r="DC457" s="209">
        <f>IF(DB$3=$K457,IF($C457="L",1,IF($C457="1/2L",0.5,0)),0)</f>
        <v>0</v>
      </c>
      <c r="DD457" s="209">
        <f>IF(DD$3=$K457,IF($C457="W",1,IF($C457="1/2W",0.5,0)),0)</f>
        <v>0</v>
      </c>
      <c r="DE457" s="210">
        <f>IF(DD$3=$K457,IF($C457="L",1,IF($C457="1/2L",0.5,0)),0)</f>
        <v>0</v>
      </c>
      <c r="DF457" s="211">
        <f>IF(AND(L457&lt;DF$3,$C457="W"),1+DF456,DF456)</f>
        <v>15</v>
      </c>
      <c r="DG457" s="198">
        <f>IF(DF457&gt;DF456,L457+DG456,DG456)</f>
        <v>19.748</v>
      </c>
      <c r="DH457" s="209">
        <f>IF(AND(L457&gt;DH$3,$C457="W"),1+DH456,0+DH456)</f>
        <v>10</v>
      </c>
      <c r="DI457" s="198">
        <f>IF(DH457&gt;DH456,L457+DI456,DI456)</f>
        <v>55.13</v>
      </c>
      <c r="DJ457" t="s" s="306">
        <f>IF($D457="","",$D457)</f>
        <v>358</v>
      </c>
      <c r="DK457" s="209">
        <f>IF(AND($B457=" ",$D457&lt;&gt;""),1,0)</f>
        <v>0</v>
      </c>
    </row>
    <row r="458" ht="14.55" customHeight="1">
      <c r="A458" s="107"/>
      <c r="B458" s="108"/>
      <c r="C458" t="s" s="213">
        <v>51</v>
      </c>
      <c r="D458" s="110"/>
      <c r="E458" s="111"/>
      <c r="F458" s="112"/>
      <c r="G458" s="214"/>
      <c r="H458" s="114"/>
      <c r="I458" t="s" s="215">
        <v>67</v>
      </c>
      <c r="J458" s="296">
        <f>IF(OR(I457="TO",I457="TU",I457="TO1",I457="TU1",I457="TO2",I457="TU2"),J457,IF(OR(I457="AH1",I457="AH2"),IF(OR(I458="AH1",I458="AH2"),-J457,IF(OR(I458="EH1",I458="EH2"),-J457+0.5,"")),IF(OR(I457="EH1",I457="EH2"),IF(OR(I458="AH1",I458="AH2"),-J457+0.5,IF(OR(I458="EH1",I458="EH2"),-J457+1,"")),IF(AND(OR(I457="DNB1",I457="DNB2"),OR(I458="AH1",I458="AH2")),0,IF(AND(I457="Not ScoreBoth",OR(I458="TO1",I458="TO2")),0.5,"")))))</f>
        <v>207</v>
      </c>
      <c r="K458" t="s" s="217">
        <v>44</v>
      </c>
      <c r="L458" s="218">
        <v>2.12</v>
      </c>
      <c r="M458" s="219"/>
      <c r="N458" s="120"/>
      <c r="O458" s="220">
        <f>IF(OR(AE457="",AE458=""),"",ROUND(IF(L459&gt;0,IF(M458&gt;0,M458,IF(M457&gt;0,IF(N457=TRUE,ROUND((M457*AE458)/AE457,0),(M457*AE458)/AE457),IF(M458&gt;0,ROUND(M458,IF(N457=0,2,IF(N457=0.1,1,0))),IF(M459&gt;0,ROUND(O459*AE458/AE459,IF(N457=0,2,IF(N457=0.1,1,0))),0)))),IF(M458&gt;0,M458,ROUND((M457*AE458)/AE457,IF(N457=0,2,IF(N457=0.1,1,0))))),2))</f>
        <v>18.58</v>
      </c>
      <c r="P458" s="221">
        <f>IF(OR(L458="",O458=""),"",IF($C458="1/2W",O458/2+O458/2*L458,IF($C458="1/2L",O458/2,IF(I458="Lay",((O458*(L458/(L458-1)))-O458)*(1-_xlfn.XLOOKUP(K458,'Janeiro 2023 - Valor Real'!A3:A15,'Janeiro 2023 - Valor Real'!C3:C15,0))+O458,(O458*L458-O458)*(1-_xlfn.XLOOKUP(K458,'Janeiro 2023 - Valor Real'!A3:A15,'Janeiro 2023 - Valor Real'!C3:C15,0))+O458))))</f>
        <v>39.3896</v>
      </c>
      <c r="Q458" s="222">
        <f>IF(K458="","",IF(_xlfn.XLOOKUP(K458,K$111:K219,DJ$111:DJ219,0,,-1)=DJ458,_xlfn.XLOOKUP(K458,K$111:K219,Q$111:Q219,1,,-1)+1,1))</f>
        <v>1</v>
      </c>
      <c r="R458" s="223">
        <f>IF(K458="","",_xlfn.XLOOKUP(K458,K$111:K219,R$111:R219,0,,-1)+IF($C458=" ",1,0))</f>
        <v>0</v>
      </c>
      <c r="S458" s="125"/>
      <c r="T458" s="126"/>
      <c r="U458" s="126"/>
      <c r="V458" s="224"/>
      <c r="W458" s="126"/>
      <c r="X458" s="127"/>
      <c r="Y458" s="128"/>
      <c r="Z458" s="129"/>
      <c r="AA458" s="129"/>
      <c r="AB458" s="129"/>
      <c r="AC458" s="129"/>
      <c r="AD458" s="225">
        <f>(((L458/(L458-1)-1)*(1-_xlfn.XLOOKUP(K458,'Janeiro 2023 - Valor Real'!A3:A15,'Janeiro 2023 - Valor Real'!C3:C15,0))+1))</f>
        <v>1.89285714285714</v>
      </c>
      <c r="AE458" s="226">
        <f>IF(L458="","",IF(L459&gt;0,(SUM(((L457-1)*(1-_xlfn.XLOOKUP(K457,'Janeiro 2023 - Valor Real'!A3:A15,'Janeiro 2023 - Valor Real'!C3:C15,0))+1),((L458-1)*(1-_xlfn.XLOOKUP(K458,'Janeiro 2023 - Valor Real'!A3:A15,'Janeiro 2023 - Valor Real'!C3:C15,0))+1),((L459-1)*(1-_xlfn.XLOOKUP(K459,'Janeiro 2023 - Valor Real'!A3:A15,'Janeiro 2023 - Valor Real'!C3:C15,0))+1))/((L458-1)*(1-_xlfn.XLOOKUP(K458,'Janeiro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Real'!C3:C15,0))+1))/((L457-1)*(1-_xlfn.XLOOKUP(K457,'Janeiro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Real'!C3:C15,0))+1))/((L458-1)*(1-_xlfn.XLOOKUP(K458,'Janeiro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Real'!C3:C15,0))+1))/((L459-1)*(1-_xlfn.XLOOKUP(K459,'Janeiro 2023 - Valor Real'!A3:A15,'Janeiro 2023 - Valor Real'!C3:C15,0))+1)),IF(I458="Lay",IF(I457="Lay",((L457/(L457-1)-1)*(1-_xlfn.XLOOKUP(K457,'Janeiro 2023 - Valor Real'!A3:A15,'Janeiro 2023 - Valor Real'!C3:C15,0))+1)/(((L457/(L457-1)-1)*(1-_xlfn.XLOOKUP(K457,'Janeiro 2023 - Valor Real'!A3:A15,'Janeiro 2023 - Valor Real'!C3:C15,0))+1)+((L458/(L458-1)-1)*(1-_xlfn.XLOOKUP(K458,'Janeiro 2023 - Valor Real'!A3:A15,'Janeiro 2023 - Valor Real'!C3:C15,0))+1)),((L457-1)*(1-_xlfn.XLOOKUP(K457,'Janeiro 2023 - Valor Real'!A3:A15,'Janeiro 2023 - Valor Real'!C3:C15,0))+1)/(((L457-1)*(1-_xlfn.XLOOKUP(K457,'Janeiro 2023 - Valor Real'!A3:A15,'Janeiro 2023 - Valor Real'!C3:C15,0))+1)+((L458/(L458-1)-1)*(1-_xlfn.XLOOKUP(K458,'Janeiro 2023 - Valor Real'!A3:A15,'Janeiro 2023 - Valor Real'!C3:C15,0))+1))),IF(I457="Lay",((L457/(L457-1)-1)*(1-_xlfn.XLOOKUP(K457,'Janeiro 2023 - Valor Real'!A3:A15,'Janeiro 2023 - Valor Real'!C3:C15,0))+1)/((((L457/(L457-1)-1)*(1-_xlfn.XLOOKUP(K457,'Janeiro 2023 - Valor Real'!A3:A15,'Janeiro 2023 - Valor Real'!C3:C15,0))+1))+((L458-1)*(1-_xlfn.XLOOKUP(K458,'Janeiro 2023 - Valor Real'!A3:A15,'Janeiro 2023 - Valor Real'!C3:C15,0))+1)),((L457-1)*(1-_xlfn.XLOOKUP(K457,'Janeiro 2023 - Valor Real'!A3:A15,'Janeiro 2023 - Valor Real'!C3:C15,0))+1)/(((L457-1)*(1-_xlfn.XLOOKUP(K457,'Janeiro 2023 - Valor Real'!A3:A15,'Janeiro 2023 - Valor Real'!C3:C15,0))+1)+((L458-1)*(1-_xlfn.XLOOKUP(K458,'Janeiro 2023 - Valor Real'!A3:A15,'Janeiro 2023 - Valor Real'!C3:C15,0))+1))))))</f>
        <v>0.518181818181818</v>
      </c>
      <c r="AF458" s="197">
        <f>IF($K458=AF$3,ROUND(IF(OR($C458="W",$C458="1/2W",$C458="1/2L"),$P458-$O458,IF($C458="X",0,-$O458)),2),0)</f>
        <v>0</v>
      </c>
      <c r="AG458" s="198">
        <f>IF($K458=AG$3,ROUND(IF(OR($C458="W",$C458="1/2W",$C458="1/2L"),$P458-$O458,IF($C458="X",0,-$O458)),2),0)</f>
        <v>0</v>
      </c>
      <c r="AH458" s="198">
        <f>IF($K458=AH$3,ROUND(IF(OR($C458="W",$C458="1/2W",$C458="1/2L"),$P458-$O458,IF($C458="X",0,-$O458)),2),0)</f>
        <v>0</v>
      </c>
      <c r="AI458" s="198">
        <f>IF($K458=AI$3,ROUND(IF(OR($C458="W",$C458="1/2W",$C458="1/2L"),$P458-$O458,IF($C458="X",0,-$O458)),2),0)</f>
        <v>0</v>
      </c>
      <c r="AJ458" s="198">
        <f>IF($K458=AJ$3,ROUND(IF(OR($C458="W",$C458="1/2W",$C458="1/2L"),$P458-$O458,IF($C458="X",0,-$O458)),2),0)</f>
        <v>0</v>
      </c>
      <c r="AK458" s="198">
        <f>IF($K458=AK$3,ROUND(IF(OR($C458="W",$C458="1/2W",$C458="1/2L"),$P458-$O458,IF($C458="X",0,-$O458)),2),0)</f>
        <v>0</v>
      </c>
      <c r="AL458" s="198">
        <f>IF($K458=AL$3,ROUND(IF(OR($C458="W",$C458="1/2W",$C458="1/2L"),$P458-$O458,IF($C458="X",0,-$O458)),2),0)</f>
        <v>0</v>
      </c>
      <c r="AM458" s="198">
        <f>IF($K458=AM$3,ROUND(IF(OR($C458="W",$C458="1/2W",$C458="1/2L"),$P458-$O458,IF($C458="X",0,-$O458)),2),0)</f>
        <v>-18.58</v>
      </c>
      <c r="AN458" s="198">
        <f>IF($K458=AN$3,ROUND(IF(OR($C458="W",$C458="1/2W",$C458="1/2L"),$P458-$O458,IF($C458="X",0,-$O458)),2),0)</f>
        <v>0</v>
      </c>
      <c r="AO458" s="198">
        <f>IF($K458=AO$3,ROUND(IF(OR($C458="W",$C458="1/2W",$C458="1/2L"),$P458-$O458,IF($C458="X",0,-$O458)),2),0)</f>
        <v>0</v>
      </c>
      <c r="AP458" s="198">
        <f>IF($K458=AP$3,ROUND(IF(OR($C458="W",$C458="1/2W",$C458="1/2L"),$P458-$O458,IF($C458="X",0,-$O458)),2),0)</f>
        <v>0</v>
      </c>
      <c r="AQ458" s="198">
        <f>IF($K458=AQ$3,ROUND(IF(OR($C458="W",$C458="1/2W",$C458="1/2L"),$P458-$O458,IF($C458="X",0,-$O458)),2),0)</f>
        <v>0</v>
      </c>
      <c r="AR458" s="199">
        <f>IF($K458=AR$3,ROUND(IF(OR($C458="W",$C458="1/2W",$C458="1/2L"),$P458-$O458,IF($C458="X",0,-$O458)),2),0)</f>
        <v>0</v>
      </c>
      <c r="AS458" s="197">
        <f>IF(AND($B457=" ",$K458=AS$3),$O458,0)</f>
        <v>0</v>
      </c>
      <c r="AT458" s="198">
        <f>IF(AND($B457=" ",K458=AT$3),$O458,0)</f>
        <v>0</v>
      </c>
      <c r="AU458" s="198">
        <f>IF(AND($B457=" ",$K458=AU$3),$O458,0)</f>
        <v>0</v>
      </c>
      <c r="AV458" s="198">
        <f>IF(AND($B457=" ",$K458=AV$3),$O458,0)</f>
        <v>0</v>
      </c>
      <c r="AW458" s="198">
        <f>IF(AND($B457=" ",$K458=AW$3),$O458,0)</f>
        <v>0</v>
      </c>
      <c r="AX458" s="198">
        <f>IF(AND($B457=" ",$K458=AX$3),$O458,0)</f>
        <v>0</v>
      </c>
      <c r="AY458" s="200">
        <f>IF(AND($B457=" ",$K458=AY$3),$O458,0)</f>
        <v>0</v>
      </c>
      <c r="AZ458" s="201">
        <f>IF(AND($B457=" ",$K458=AZ$3),$O458,0)</f>
        <v>0</v>
      </c>
      <c r="BA458" s="201">
        <f>IF(AND($B457=" ",$K458=BA$3),$O458,0)</f>
        <v>0</v>
      </c>
      <c r="BB458" s="201">
        <f>IF(AND($B457=" ",$K458=BB$3),$O458,0)</f>
        <v>0</v>
      </c>
      <c r="BC458" s="202">
        <f>IF(AND($B457=" ",$K458=BC$3),$O458,0)</f>
        <v>0</v>
      </c>
      <c r="BD458" s="198">
        <f>IF(AND($B457=" ",$K458=BD$3),$O458,0)</f>
        <v>0</v>
      </c>
      <c r="BE458" s="199">
        <f>IF(AND($B457=" ",$K458=BE$3),$O458,0)</f>
        <v>0</v>
      </c>
      <c r="BF458" s="197">
        <f>IF($K458=BF$3,IF($C458="X",0,$O458),0)</f>
        <v>0</v>
      </c>
      <c r="BG458" s="198">
        <f>IF($K458=BG$3,IF($C458="X",0,$O458),0)</f>
        <v>0</v>
      </c>
      <c r="BH458" s="198">
        <f>IF($K458=BH$3,IF($C458="X",0,$O458),0)</f>
        <v>0</v>
      </c>
      <c r="BI458" s="198">
        <f>IF($K458=BI$3,IF($C458="X",0,$O458),0)</f>
        <v>0</v>
      </c>
      <c r="BJ458" s="198">
        <f>IF($K458=BJ$3,IF($C458="X",0,$O458),0)</f>
        <v>0</v>
      </c>
      <c r="BK458" s="198">
        <f>IF($K458=BK$3,IF($C458="X",0,$O458),0)</f>
        <v>0</v>
      </c>
      <c r="BL458" s="198">
        <f>IF($K458=BL$3,IF($C458="X",0,$O458),0)</f>
        <v>0</v>
      </c>
      <c r="BM458" s="227">
        <f>IF($K458=BM$3,IF($C458="X",0,$O458),0)</f>
        <v>18.58</v>
      </c>
      <c r="BN458" s="205">
        <f>IF($K458=BN$3,IF($C458="X",0,$O458),0)</f>
        <v>0</v>
      </c>
      <c r="BO458" s="205">
        <f>IF($K458=BO$3,IF($C458="X",0,$O458),0)</f>
        <v>0</v>
      </c>
      <c r="BP458" s="205">
        <f>IF($K458=BP$3,IF($C458="X",0,$O458),0)</f>
        <v>0</v>
      </c>
      <c r="BQ458" s="202">
        <f>IF($K458=BQ$3,IF($C458="X",0,$O458),0)</f>
        <v>0</v>
      </c>
      <c r="BR458" s="199">
        <f>IF($K458=BR$3,IF($C458="X",0,$O458),0)</f>
        <v>0</v>
      </c>
      <c r="BS458" s="228"/>
      <c r="BT458" s="229"/>
      <c r="BU458" s="140"/>
      <c r="BV458" s="229"/>
      <c r="BW458" s="140"/>
      <c r="BX458" s="140"/>
      <c r="BY458" s="140"/>
      <c r="BZ458" s="229"/>
      <c r="CA458" s="140"/>
      <c r="CB458" s="140"/>
      <c r="CC458" s="140"/>
      <c r="CD458" s="141"/>
      <c r="CE458" s="142"/>
      <c r="CF458" s="230">
        <f>IF(CF$3=$K458,IF($C458="W",1,IF($C458="1/2W",0.5,0)),0)</f>
        <v>0</v>
      </c>
      <c r="CG458" s="231">
        <f>IF(CF$3=$K458,IF($C458="L",1,IF($C458="1/2L",0.5,0)),0)</f>
        <v>0</v>
      </c>
      <c r="CH458" s="231">
        <f>IF(CH$3=$K458,IF($C458="W",1,IF($C458="1/2W",0.5,0)),0)</f>
        <v>0</v>
      </c>
      <c r="CI458" s="231">
        <f>IF(CH$3=$K458,IF($C458="L",1,IF($C458="1/2L",0.5,0)),0)</f>
        <v>0</v>
      </c>
      <c r="CJ458" s="231">
        <f>IF(CJ$3=$K458,IF($C458="W",1,IF($C458="1/2W",0.5,0)),0)</f>
        <v>0</v>
      </c>
      <c r="CK458" s="231">
        <f>IF(CJ$3=$K458,IF($C458="L",1,IF($C458="1/2L",0.5,0)),0)</f>
        <v>0</v>
      </c>
      <c r="CL458" s="231">
        <f>IF(CL$3=$K458,IF($C458="W",1,IF($C458="1/2W",0.5,0)),0)</f>
        <v>0</v>
      </c>
      <c r="CM458" s="231">
        <f>IF(CL$3=$K458,IF($C458="L",1,IF($C458="1/2L",0.5,0)),0)</f>
        <v>0</v>
      </c>
      <c r="CN458" s="231">
        <f>IF(CN$3=$K458,IF($C458="W",1,IF($C458="1/2W",0.5,0)),0)</f>
        <v>0</v>
      </c>
      <c r="CO458" s="231">
        <f>IF(CN$3=$K458,IF($C458="L",1,IF($C458="1/2L",0.5,0)),0)</f>
        <v>0</v>
      </c>
      <c r="CP458" s="231">
        <f>IF(CP$3=$K458,IF($C458="W",1,IF($C458="1/2W",0.5,0)),0)</f>
        <v>0</v>
      </c>
      <c r="CQ458" s="231">
        <f>IF(CP$3=$K458,IF($C458="L",1,IF($C458="1/2L",0.5,0)),0)</f>
        <v>0</v>
      </c>
      <c r="CR458" s="231">
        <f>IF(CR$3=$K458,IF($C458="W",1,IF($C458="1/2W",0.5,0)),0)</f>
        <v>0</v>
      </c>
      <c r="CS458" s="231">
        <f>IF(CR$3=$K458,IF($C458="L",1,IF($C458="1/2L",0.5,0)),0)</f>
        <v>0</v>
      </c>
      <c r="CT458" s="208">
        <f>IF(CT$3=$K458,IF($C458="W",1,IF($C458="1/2W",0.5,0)),0)</f>
        <v>0</v>
      </c>
      <c r="CU458" s="209">
        <f>IF(CT$3=$K458,IF($C458="L",1,IF($C458="1/2L",0.5,0)),0)</f>
        <v>1</v>
      </c>
      <c r="CV458" s="209">
        <f>IF(CV$3=$K458,IF($C458="W",1,IF($C458="1/2W",0.5,0)),0)</f>
        <v>0</v>
      </c>
      <c r="CW458" s="209">
        <f>IF(CV$3=$K458,IF($C458="L",1,IF($C458="1/2L",0.5,0)),0)</f>
        <v>0</v>
      </c>
      <c r="CX458" s="209">
        <f>IF(CX$3=$K458,IF($C458="W",1,IF($C458="1/2W",0.5,0)),0)</f>
        <v>0</v>
      </c>
      <c r="CY458" s="209">
        <f>IF(CX$3=$K458,IF($C458="L",1,IF($C458="1/2L",0.5,0)),0)</f>
        <v>0</v>
      </c>
      <c r="CZ458" s="209">
        <f>IF(CZ$3=$K458,IF($C458="W",1,IF($C458="1/2W",0.5,0)),0)</f>
        <v>0</v>
      </c>
      <c r="DA458" s="209">
        <f>IF(CZ$3=$K458,IF($C458="L",1,IF($C458="1/2L",0.5,0)),0)</f>
        <v>0</v>
      </c>
      <c r="DB458" s="209">
        <f>IF(DB$3=$K458,IF($C458="W",1,IF($C458="1/2W",0.5,0)),0)</f>
        <v>0</v>
      </c>
      <c r="DC458" s="209">
        <f>IF(DB$3=$K458,IF($C458="L",1,IF($C458="1/2L",0.5,0)),0)</f>
        <v>0</v>
      </c>
      <c r="DD458" s="209">
        <f>IF(DD$3=$K458,IF($C458="W",1,IF($C458="1/2W",0.5,0)),0)</f>
        <v>0</v>
      </c>
      <c r="DE458" s="210">
        <f>IF(DD$3=$K458,IF($C458="L",1,IF($C458="1/2L",0.5,0)),0)</f>
        <v>0</v>
      </c>
      <c r="DF458" s="211">
        <f>IF(AND(L458&lt;DF$3,$C458="W"),1+DF457,DF457)</f>
        <v>15</v>
      </c>
      <c r="DG458" s="198">
        <f>IF(DF458&gt;DF457,L458+DG457,DG457)</f>
        <v>19.748</v>
      </c>
      <c r="DH458" s="209">
        <f>IF(AND(L458&gt;DH$3,$C458="W"),1+DH457,0+DH457)</f>
        <v>10</v>
      </c>
      <c r="DI458" s="198">
        <f>IF(DH458&gt;DH457,L458+DI457,DI457)</f>
        <v>55.13</v>
      </c>
      <c r="DJ458" t="s" s="306">
        <f>IF($D457="","",$D457)</f>
        <v>358</v>
      </c>
      <c r="DK458" s="232"/>
    </row>
    <row r="459" ht="14.55" customHeight="1">
      <c r="A459" s="149"/>
      <c r="B459" s="150"/>
      <c r="C459" t="s" s="233">
        <v>58</v>
      </c>
      <c r="D459" s="152"/>
      <c r="E459" s="153"/>
      <c r="F459" s="154"/>
      <c r="G459" s="234"/>
      <c r="H459" s="156"/>
      <c r="I459" s="235"/>
      <c r="J459" s="236"/>
      <c r="K459" s="237"/>
      <c r="L459" s="238"/>
      <c r="M459" s="239"/>
      <c r="N459" s="161"/>
      <c r="O459" t="s" s="240">
        <f>IF(OR(AE457="",AE458=""),"",IF(L459&gt;0,ROUND(IF(M459&gt;0,M459,IF(M457&gt;0,ROUND((M457*AE459)/AE457,IF(N457=0,2,IF(N457=0.1,1,0))),IF(M458&gt;0,ROUND((M458*AE459)/AE458,IF(N457=0,2,IF(N457=0.1,1,0))),IF(M459&gt;0,M459,0)))),2),""))</f>
      </c>
      <c r="P459" t="s" s="241">
        <f>IF(I458="Lay",O458*(L458/(L458-1))-O458,IF(I457="Lay",O457*(L457/(L457-1))-O457,IF(OR(L459="",O459=""),"",IF($C459="1/2W",O459/2+O459/2*L459,IF($C459="1/2L",O459/2,(O459*L459-O459)*(1-_xlfn.XLOOKUP(K459,'Janeiro 2023 - Valor Real'!A3:A15,'Janeiro 2023 - Valor Real'!C3:C15,0))+O459)))))</f>
      </c>
      <c r="Q459" t="s" s="242">
        <f>IF(K459="","",IF(_xlfn.XLOOKUP(K459,K$112:K220,DJ$112:DJ220,0,,-1)=DJ459,_xlfn.XLOOKUP(K459,K$112:K220,Q$112:Q220,1,,-1)+1,1))</f>
      </c>
      <c r="R459" t="s" s="243">
        <f>IF(K459="","",_xlfn.XLOOKUP(K459,K$112:K220,R$112:R220,0,,-1)+IF($C459=" ",1,0))</f>
      </c>
      <c r="S459" s="166"/>
      <c r="T459" s="155"/>
      <c r="U459" s="155"/>
      <c r="V459" s="166"/>
      <c r="W459" s="155"/>
      <c r="X459" s="167"/>
      <c r="Y459" s="128"/>
      <c r="Z459" s="129"/>
      <c r="AA459" s="129"/>
      <c r="AB459" s="129"/>
      <c r="AC459" s="129"/>
      <c r="AD459" s="244">
        <f>((L458/(L458-1)-1))</f>
        <v>0.892857142857143</v>
      </c>
      <c r="AE459" t="s" s="245">
        <f>IF(L459="","",(SUM(((L457-1)*(1-_xlfn.XLOOKUP(K457,'Janeiro 2023 - Valor Real'!A3:A15,'Janeiro 2023 - Valor Real'!C3:C15,0))+1),((L458-1)*(1-_xlfn.XLOOKUP(K458,'Janeiro 2023 - Valor Real'!A3:A15,'Janeiro 2023 - Valor Real'!C3:C15,0))+1),((L459-1)*(1-_xlfn.XLOOKUP(K459,'Janeiro 2023 - Valor Real'!A3:A15,'Janeiro 2023 - Valor Real'!C3:C15,0))+1))/((L459-1)*(1-_xlfn.XLOOKUP(K459,'Janeiro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Real'!C3:C15,0))+1))/((L457-1)*(1-_xlfn.XLOOKUP(K457,'Janeiro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Real'!C3:C15,0))+1))/((L458-1)*(1-_xlfn.XLOOKUP(K458,'Janeiro 2023 - Valor Real'!A3:A15,'Janeiro 2023 - Valor Real'!C3:C15,0))+1)+SUM(((L457-1)*(1-_xlfn.XLOOKUP(K457,'Janeiro 2023 - Valor Real'!A3:A15,'Janeiro 2023 - Valor Real'!C3:C15,0))+1),((L458-1)*(1-_xlfn.XLOOKUP(K458,'Janeiro 2023 - Valor Real'!A3:A15,'Janeiro 2023 - Valor Real'!C3:C15,0))+1),((L459-1)*(1-_xlfn.XLOOKUP(K459,'Janeiro 2023 - Valor Real'!A3:A15,'Janeiro 2023 - Valor Real'!C3:C15,0))+1))/((L459-1)*(1-_xlfn.XLOOKUP(K459,'Janeiro 2023 - Valor Real'!A3:A15,'Janeiro 2023 - Valor Real'!C3:C15,0))+1)))</f>
      </c>
      <c r="AF459" s="197">
        <f>IF($K459=AF$3,ROUND(IF(OR($C459="W",$C459="1/2W",$C459="1/2L"),$P459-$O459,IF($C459="X",0,-$O459)),2),0)</f>
        <v>0</v>
      </c>
      <c r="AG459" s="198">
        <f>IF($K459=AG$3,ROUND(IF(OR($C459="W",$C459="1/2W",$C459="1/2L"),$P459-$O459,IF($C459="X",0,-$O459)),2),0)</f>
        <v>0</v>
      </c>
      <c r="AH459" s="198">
        <f>IF($K459=AH$3,ROUND(IF(OR($C459="W",$C459="1/2W",$C459="1/2L"),$P459-$O459,IF($C459="X",0,-$O459)),2),0)</f>
        <v>0</v>
      </c>
      <c r="AI459" s="198">
        <f>IF($K459=AI$3,ROUND(IF(OR($C459="W",$C459="1/2W",$C459="1/2L"),$P459-$O459,IF($C459="X",0,-$O459)),2),0)</f>
        <v>0</v>
      </c>
      <c r="AJ459" s="198">
        <f>IF($K459=AJ$3,ROUND(IF(OR($C459="W",$C459="1/2W",$C459="1/2L"),$P459-$O459,IF($C459="X",0,-$O459)),2),0)</f>
        <v>0</v>
      </c>
      <c r="AK459" s="198">
        <f>IF($K459=AK$3,ROUND(IF(OR($C459="W",$C459="1/2W",$C459="1/2L"),$P459-$O459,IF($C459="X",0,-$O459)),2),0)</f>
        <v>0</v>
      </c>
      <c r="AL459" s="198">
        <f>IF($K459=AL$3,ROUND(IF(OR($C459="W",$C459="1/2W",$C459="1/2L"),$P459-$O459,IF($C459="X",0,-$O459)),2),0)</f>
        <v>0</v>
      </c>
      <c r="AM459" s="198">
        <f>IF($K459=AM$3,ROUND(IF(OR($C459="W",$C459="1/2W",$C459="1/2L"),$P459-$O459,IF($C459="X",0,-$O459)),2),0)</f>
        <v>0</v>
      </c>
      <c r="AN459" s="198">
        <f>IF($K459=AN$3,ROUND(IF(OR($C459="W",$C459="1/2W",$C459="1/2L"),$P459-$O459,IF($C459="X",0,-$O459)),2),0)</f>
        <v>0</v>
      </c>
      <c r="AO459" s="198">
        <f>IF($K459=AO$3,ROUND(IF(OR($C459="W",$C459="1/2W",$C459="1/2L"),$P459-$O459,IF($C459="X",0,-$O459)),2),0)</f>
        <v>0</v>
      </c>
      <c r="AP459" s="198">
        <f>IF($K459=AP$3,ROUND(IF(OR($C459="W",$C459="1/2W",$C459="1/2L"),$P459-$O459,IF($C459="X",0,-$O459)),2),0)</f>
        <v>0</v>
      </c>
      <c r="AQ459" s="198">
        <f>IF($K459=AQ$3,ROUND(IF(OR($C459="W",$C459="1/2W",$C459="1/2L"),$P459-$O459,IF($C459="X",0,-$O459)),2),0)</f>
        <v>0</v>
      </c>
      <c r="AR459" s="199">
        <f>IF($K459=AR$3,ROUND(IF(OR($C459="W",$C459="1/2W",$C459="1/2L"),$P459-$O459,IF($C459="X",0,-$O459)),2),0)</f>
        <v>0</v>
      </c>
      <c r="AS459" s="197">
        <f>IF(AND($B457=" ",$K459=AS$3),$O459,0)</f>
        <v>0</v>
      </c>
      <c r="AT459" s="198">
        <f>IF(AND($B457=" ",K459=AT$3),$O459,0)</f>
        <v>0</v>
      </c>
      <c r="AU459" s="198">
        <f>IF(AND($B457=" ",$K459=AU$3),$O459,0)</f>
        <v>0</v>
      </c>
      <c r="AV459" s="198">
        <f>IF(AND($B457=" ",$K459=AV$3),$O459,0)</f>
        <v>0</v>
      </c>
      <c r="AW459" s="198">
        <f>IF(AND($B457=" ",$K459=AW$3),$O459,0)</f>
        <v>0</v>
      </c>
      <c r="AX459" s="198">
        <f>IF(AND($B457=" ",$K459=AX$3),$O459,0)</f>
        <v>0</v>
      </c>
      <c r="AY459" s="200">
        <f>IF(AND($B457=" ",$K459=AY$3),$O459,0)</f>
        <v>0</v>
      </c>
      <c r="AZ459" s="201">
        <f>IF(AND($B457=" ",$K459=AZ$3),$O459,0)</f>
        <v>0</v>
      </c>
      <c r="BA459" s="201">
        <f>IF(AND($B457=" ",$K459=BA$3),$O459,0)</f>
        <v>0</v>
      </c>
      <c r="BB459" s="201">
        <f>IF(AND($B457=" ",$K459=BB$3),$O459,0)</f>
        <v>0</v>
      </c>
      <c r="BC459" s="202">
        <f>IF(AND($B457=" ",$K459=BC$3),$O459,0)</f>
        <v>0</v>
      </c>
      <c r="BD459" s="198">
        <f>IF(AND($B457=" ",$K459=BD$3),$O459,0)</f>
        <v>0</v>
      </c>
      <c r="BE459" s="199">
        <f>IF(AND($B457=" ",$K459=BE$3),$O459,0)</f>
        <v>0</v>
      </c>
      <c r="BF459" s="197">
        <f>IF($K459=BF$3,IF($C459="X",0,$O459),0)</f>
        <v>0</v>
      </c>
      <c r="BG459" s="198">
        <f>IF($K459=BG$3,IF($C459="X",0,$O459),0)</f>
        <v>0</v>
      </c>
      <c r="BH459" s="198">
        <f>IF($K459=BH$3,IF($C459="X",0,$O459),0)</f>
        <v>0</v>
      </c>
      <c r="BI459" s="198">
        <f>IF($K459=BI$3,IF($C459="X",0,$O459),0)</f>
        <v>0</v>
      </c>
      <c r="BJ459" s="198">
        <f>IF($K459=BJ$3,IF($C459="X",0,$O459),0)</f>
        <v>0</v>
      </c>
      <c r="BK459" s="198">
        <f>IF($K459=BK$3,IF($C459="X",0,$O459),0)</f>
        <v>0</v>
      </c>
      <c r="BL459" s="198">
        <f>IF($K459=BL$3,IF($C459="X",0,$O459),0)</f>
        <v>0</v>
      </c>
      <c r="BM459" s="200">
        <f>IF($K459=BM$3,IF($C459="X",0,$O459),0)</f>
        <v>0</v>
      </c>
      <c r="BN459" s="201">
        <f>IF($K459=BN$3,IF($C459="X",0,$O459),0)</f>
        <v>0</v>
      </c>
      <c r="BO459" s="201">
        <f>IF($K459=BO$3,IF($C459="X",0,$O459),0)</f>
        <v>0</v>
      </c>
      <c r="BP459" s="201">
        <f>IF($K459=BP$3,IF($C459="X",0,$O459),0)</f>
        <v>0</v>
      </c>
      <c r="BQ459" s="202">
        <f>IF($K459=BQ$3,IF($C459="X",0,$O459),0)</f>
        <v>0</v>
      </c>
      <c r="BR459" s="199">
        <f>IF($K459=BR$3,IF($C459="X",0,$O459),0)</f>
        <v>0</v>
      </c>
      <c r="BS459" s="228"/>
      <c r="BT459" s="229"/>
      <c r="BU459" s="140"/>
      <c r="BV459" s="229"/>
      <c r="BW459" s="140"/>
      <c r="BX459" s="140"/>
      <c r="BY459" s="140"/>
      <c r="BZ459" s="229"/>
      <c r="CA459" s="140"/>
      <c r="CB459" s="140"/>
      <c r="CC459" s="140"/>
      <c r="CD459" s="141"/>
      <c r="CE459" s="142"/>
      <c r="CF459" s="230">
        <f>IF(CF$3=$K459,IF($C459="W",1,IF($C459="1/2W",0.5,0)),0)</f>
        <v>0</v>
      </c>
      <c r="CG459" s="231">
        <f>IF(CF$3=$K459,IF($C459="L",1,IF($C459="1/2L",0.5,0)),0)</f>
        <v>0</v>
      </c>
      <c r="CH459" s="231">
        <f>IF(CH$3=$K459,IF($C459="W",1,IF($C459="1/2W",0.5,0)),0)</f>
        <v>0</v>
      </c>
      <c r="CI459" s="231">
        <f>IF(CH$3=$K459,IF($C459="L",1,IF($C459="1/2L",0.5,0)),0)</f>
        <v>0</v>
      </c>
      <c r="CJ459" s="231">
        <f>IF(CJ$3=$K459,IF($C459="W",1,IF($C459="1/2W",0.5,0)),0)</f>
        <v>0</v>
      </c>
      <c r="CK459" s="231">
        <f>IF(CJ$3=$K459,IF($C459="L",1,IF($C459="1/2L",0.5,0)),0)</f>
        <v>0</v>
      </c>
      <c r="CL459" s="231">
        <f>IF(CL$3=$K459,IF($C459="W",1,IF($C459="1/2W",0.5,0)),0)</f>
        <v>0</v>
      </c>
      <c r="CM459" s="231">
        <f>IF(CL$3=$K459,IF($C459="L",1,IF($C459="1/2L",0.5,0)),0)</f>
        <v>0</v>
      </c>
      <c r="CN459" s="231">
        <f>IF(CN$3=$K459,IF($C459="W",1,IF($C459="1/2W",0.5,0)),0)</f>
        <v>0</v>
      </c>
      <c r="CO459" s="231">
        <f>IF(CN$3=$K459,IF($C459="L",1,IF($C459="1/2L",0.5,0)),0)</f>
        <v>0</v>
      </c>
      <c r="CP459" s="231">
        <f>IF(CP$3=$K459,IF($C459="W",1,IF($C459="1/2W",0.5,0)),0)</f>
        <v>0</v>
      </c>
      <c r="CQ459" s="231">
        <f>IF(CP$3=$K459,IF($C459="L",1,IF($C459="1/2L",0.5,0)),0)</f>
        <v>0</v>
      </c>
      <c r="CR459" s="231">
        <f>IF(CR$3=$K459,IF($C459="W",1,IF($C459="1/2W",0.5,0)),0)</f>
        <v>0</v>
      </c>
      <c r="CS459" s="231">
        <f>IF(CR$3=$K459,IF($C459="L",1,IF($C459="1/2L",0.5,0)),0)</f>
        <v>0</v>
      </c>
      <c r="CT459" s="208">
        <f>IF(CT$3=$K459,IF($C459="W",1,IF($C459="1/2W",0.5,0)),0)</f>
        <v>0</v>
      </c>
      <c r="CU459" s="209">
        <f>IF(CT$3=$K459,IF($C459="L",1,IF($C459="1/2L",0.5,0)),0)</f>
        <v>0</v>
      </c>
      <c r="CV459" s="209">
        <f>IF(CV$3=$K459,IF($C459="W",1,IF($C459="1/2W",0.5,0)),0)</f>
        <v>0</v>
      </c>
      <c r="CW459" s="209">
        <f>IF(CV$3=$K459,IF($C459="L",1,IF($C459="1/2L",0.5,0)),0)</f>
        <v>0</v>
      </c>
      <c r="CX459" s="209">
        <f>IF(CX$3=$K459,IF($C459="W",1,IF($C459="1/2W",0.5,0)),0)</f>
        <v>0</v>
      </c>
      <c r="CY459" s="209">
        <f>IF(CX$3=$K459,IF($C459="L",1,IF($C459="1/2L",0.5,0)),0)</f>
        <v>0</v>
      </c>
      <c r="CZ459" s="209">
        <f>IF(CZ$3=$K459,IF($C459="W",1,IF($C459="1/2W",0.5,0)),0)</f>
        <v>0</v>
      </c>
      <c r="DA459" s="209">
        <f>IF(CZ$3=$K459,IF($C459="L",1,IF($C459="1/2L",0.5,0)),0)</f>
        <v>0</v>
      </c>
      <c r="DB459" s="209">
        <f>IF(DB$3=$K459,IF($C459="W",1,IF($C459="1/2W",0.5,0)),0)</f>
        <v>0</v>
      </c>
      <c r="DC459" s="209">
        <f>IF(DB$3=$K459,IF($C459="L",1,IF($C459="1/2L",0.5,0)),0)</f>
        <v>0</v>
      </c>
      <c r="DD459" s="209">
        <f>IF(DD$3=$K459,IF($C459="W",1,IF($C459="1/2W",0.5,0)),0)</f>
        <v>0</v>
      </c>
      <c r="DE459" s="210">
        <f>IF(DD$3=$K459,IF($C459="L",1,IF($C459="1/2L",0.5,0)),0)</f>
        <v>0</v>
      </c>
      <c r="DF459" s="211">
        <f>IF(AND(L459&lt;DF$3,$C459="W"),1+DF458,DF458)</f>
        <v>15</v>
      </c>
      <c r="DG459" s="198">
        <f>IF(DF459&gt;DF458,L459+DG458,DG458)</f>
        <v>19.748</v>
      </c>
      <c r="DH459" s="209">
        <f>IF(AND(L459&gt;DH$3,$C459="W"),1+DH458,0+DH458)</f>
        <v>10</v>
      </c>
      <c r="DI459" s="198">
        <f>IF(DH459&gt;DH458,L459+DI458,DI458)</f>
        <v>55.13</v>
      </c>
      <c r="DJ459" t="s" s="306">
        <f>IF($D457="","",$D457)</f>
        <v>358</v>
      </c>
      <c r="DK459" s="232"/>
    </row>
    <row r="460" ht="14.55" customHeight="1">
      <c r="A460" s="246">
        <f>$A457+1</f>
        <v>153</v>
      </c>
      <c r="B460" t="s" s="247">
        <f>IF(AND(_xlfn.XLOOKUP(H460,H$107:H239,G$107:G239,0)=G460,_xlfn.XLOOKUP("TempoBet",K460:K462,L460:L462,0)&gt;0),"X",IF(OR(C460="W",C461="W",C462="W",C460="1/2W",C461="1/2W",C462="1/2W",C460="1/2L",C461="1/2L",C462="1/2L"),"OK",IF(OR(C460="L",C461="L",C462="L"),"LOSS",IF(OR(C460="X",C461="X",C462="X"),"Anulado"," "))))</f>
        <v>50</v>
      </c>
      <c r="C460" t="s" s="248">
        <v>51</v>
      </c>
      <c r="D460" t="s" s="303">
        <f>IF(G460="","",$D457)</f>
        <v>358</v>
      </c>
      <c r="E460" t="s" s="250">
        <v>111</v>
      </c>
      <c r="F460" t="s" s="251"/>
      <c r="G460" s="252">
        <v>44957.208333333336</v>
      </c>
      <c r="H460" t="s" s="253">
        <v>364</v>
      </c>
      <c r="I460" s="292">
        <v>1</v>
      </c>
      <c r="J460" s="293"/>
      <c r="K460" t="s" s="256">
        <v>44</v>
      </c>
      <c r="L460" s="257">
        <v>1.51</v>
      </c>
      <c r="M460" s="258"/>
      <c r="N460" s="259">
        <v>0</v>
      </c>
      <c r="O460" s="260">
        <f>IF(OR(AE460="",AE461=""),"",ROUND(IF(L462&gt;0,IF(M460&gt;0,M460,IF(M461&gt;0,ROUND((M461*AE460)/AE461,IF(N460=0,2,IF(N460=0.1,1,0))),ROUND((M462*AE460)/AE462,IF(N460=0,2,IF(N460=0.1,1,0))))),IF(M460&gt;0,M460,ROUND((M461*AE460)/AE461,IF(N460=0,2,IF(N460=0.1,1,0))))),2))</f>
        <v>18.54</v>
      </c>
      <c r="P460" s="261">
        <f>IF(OR(L460="",O460=""),"",IF($C460="1/2W",O460/2+O460/2*L460,IF($C460="1/2L",O460/2,IF(I460="Lay",(O460*(L460/(L460-1))-O460)*(1-_xlfn.XLOOKUP(K460,'Janeiro 2023 - Valor Real'!A3:A15,'Janeiro 2023 - Valor Real'!C3:C15,0))+O460,(O460*L460-O460)*(1-_xlfn.XLOOKUP(K460,'Janeiro 2023 - Valor Real'!A3:A15,'Janeiro 2023 - Valor Real'!C3:C15,0))+O460))))</f>
        <v>27.9954</v>
      </c>
      <c r="Q460" s="262">
        <f>IF(K460="","",IF(_xlfn.XLOOKUP(K460,K$107:K239,DJ$107:DJ239,0,,-1)=DJ460,_xlfn.XLOOKUP(K460,K$107:K239,Q$107:Q239,1,,-1)+1,1))</f>
        <v>1</v>
      </c>
      <c r="R460" s="263">
        <f>IF(K460="","",_xlfn.XLOOKUP(K460,K$107:K239,R$107:R239,0,,-1)+IF($C460=" ",1,0))</f>
        <v>0</v>
      </c>
      <c r="S460" s="264">
        <f>IF($B460="Anulado",0,ROUND(IF(OR($B460="LOSS",$B460="OK"),IF(OR($C460="W",$C460="1/2W",$C460="1/2L"),P460-O460,IF($C460="L",-O460,0))+IF(OR($C461="W",$C461="1/2W",$C461="1/2L"),P461-O461,IF($C461="L",-O461,0))+IF(OR($C462="W",$C462="1/2W",$C462="1/2L"),P462-O462,IF($C462="L",-O462,0)),IF(AND(OR($C460="W",$C460="1/2W",$C460="1/2L"),C461="W"),P460+P461-SUM(O460:O462)+_xlfn.XLOOKUP("X",C460:C462,O460:O462,0),IF(AND(C460=TRUE,C462="W"),P460+P462-SUM(O460:O462),IF(AND(C461="W",C462="W"),P461+P462-SUM(O460:O462)+_xlfn.XLOOKUP("X",C460:C462,O460:O462,0),IF(L462&gt;0,IF(OR($C460="W",$C460="1/2W",$C460="1/2L"),P460-SUM(O460:O462)+_xlfn.XLOOKUP("X",C460:C462,O460:O462,0),IF(OR($C460="W",$C460="1/2W",$C460="1/2L"),P461-SUM(O460:O462)+_xlfn.XLOOKUP("X",C460:C462,O460:O462,0),IF(OR($C460="W",$C460="1/2W",$C460="1/2L"),P462-SUM(O460:O462)+_xlfn.XLOOKUP("X",C460:C462,O460:O462,0),IF(SUM(P460:P462)/3-SUM(O460:O462)+_xlfn.XLOOKUP("X",C460:C462,O460:O462,0)&gt;0,SUM(P460:P462)/3-SUM(O460:O462)+_xlfn.XLOOKUP("X",C460:C462,O460:O462,0),LARGE(P460:P462,1)-SUM(O460:O462))))),IF(OR($C460="W",$C460="1/2W",$C460="1/2L"),P460-SUM(O460:O461)+_xlfn.XLOOKUP("X",C460:C462,O460:O462,0),IF(OR($C460="W",$C460="1/2W",$C460="1/2L"),P461-SUM(O460:O461)+_xlfn.XLOOKUP("X",C460:C462,O460:O462,0),SUM(P460:P461)/2-SUM(O460:O461)+_xlfn.XLOOKUP("X",C460:C462,O460:O462,0)))))))),2))</f>
        <v>2.46</v>
      </c>
      <c r="T460" s="265">
        <f>IF(S460=0,0,S460/SUM(O460:O462))</f>
        <v>0.096319498825372</v>
      </c>
      <c r="U460" s="266">
        <f>IF($D460=$D457,IF(OR($B460="LOSS",$B460="OK",$B460="Anulada"),S460,0)+U457,IF(OR($B460="LOSS",$B460="OK",$B460="Anulada"),S460,0))</f>
        <v>8.609999999999999</v>
      </c>
      <c r="V460" s="266">
        <f>IF($D460="",0,IF($D460=$D457,IF($B460=" ",IF(I462="",IF(OR(AND(I460="DNB1",I461="DNB2"),AND(OR(I460="DNB1",I460="DNB2"),J461=0),AND(OR(I461="DNB1",I461="DNB2"),J460=0),AND(I460="DNB2",I461="DNB1"),AND(IF(J460=0,(J460+1)/ROUND(J460+1,0),J460/ROUND(J460,0))=1,IF(J461=0,(J461+1)/ROUND(IF(J461="",0,J461)+1,0),IF(J461="",0,J461)/ROUND(IF(J461="",1,J461),0))=1,OR(J460&lt;&gt;""),J461&lt;&gt;"")),0,IF(S460&lt;0,IF(I462="",SMALL(P460:P461,1)-SUM(O460:O461),0),SMALL(P460:P461,1)-SUM(O460:O461))),IF(S460&lt;0,IF(I462="",SMALL(P460:P462,1)-SUM(O460:O462),0),LARGE(P460:P462,1)-SUM(O460:O462))),S460)+V457,IF(I462="",IF(OR(AND(I460="DNB1",I461="DNB2"),AND(OR(I460="DNB1",I460="DNB2"),J461=0),AND(OR(I461="DNB1",I461="DNB2"),J460=0),AND(I460="DNB2",I461="DNB1"),AND(IF(J460=0,(J460+1)/ROUND(J460+1,0),J460/ROUND(J460,0))=1,IF(J461=0,(IF(J461="",0,J461)+1)/ROUND(IF(J461="",0,J461)+1,0),IF(J461="",0,J461)/ROUND(IF(J461="",0,J461)+1,0))=1,OR(J460&lt;&gt;""),J461&lt;&gt;"")),0,IF(S460&lt;0,IF(I462="",SMALL(P460:P461,1)-SUM(O460:O461),0),SMALL(P460:P462,1)-SUM(O460:O462))),IF(S460&lt;0,IF(I462="",SMALL(P460:P462,1)-SUM(O460:O462),0),LARGE(P460:P462,1)-SUM(O460:O462)))))</f>
        <v>8.609999999999999</v>
      </c>
      <c r="W460" s="266">
        <f>IF($D460=$D457,IF(S460&lt;0,IF(I462="",S460,0),S460)+W457,S460)</f>
        <v>8.609999999999999</v>
      </c>
      <c r="X460" t="s" s="267">
        <f>IF(OR(SUM(R460:R462)=0,V460=W460),ROUND(IF(W460=0,0,W460/Y460)*100,2)&amp;"%",ROUND(IF(V460=0,0,V460/Y460)*100,2)&amp;"% a "&amp;ROUND(IF(W460=0,0,W460/Y460)*100,2)&amp;"%")</f>
        <v>365</v>
      </c>
      <c r="Y460" s="268">
        <f>IF($D460=$D457,Y457+SUM(O460:O462),SUM(O460:O462))</f>
        <v>124.7</v>
      </c>
      <c r="Z460" s="266">
        <f>IF($B460=" ",SUM(O460:O462),0)+Z457</f>
        <v>0</v>
      </c>
      <c r="AA460" s="266">
        <f>IF(G460="","",IF($B460="Anulado",LARGE(P460:P462,1)-SUM(O460:O462)+AA457,AA457))</f>
        <v>22.2257</v>
      </c>
      <c r="AB460" s="266">
        <f>IF($D460="","",AB457+S460)</f>
        <v>316.46</v>
      </c>
      <c r="AC460" s="269">
        <f>IF($D460="","",IF($B460=" ",IF(DAY(G460)=DAY(TODAY()),1+AC457,0+AC457),0+AC457))</f>
        <v>0</v>
      </c>
      <c r="AD460" s="270">
        <f>(1-_xlfn.XLOOKUP(K458,'Janeiro 2023 - Valor Real'!A3:A15,'Janeiro 2023 - Valor Real'!C3:C15,0))+1</f>
        <v>2</v>
      </c>
      <c r="AE460" s="271">
        <f>IF(L460="","",IF(L462&gt;0,(SUM(((L460-1)*(1-_xlfn.XLOOKUP(K460,'Janeiro 2023 - Valor Real'!A3:A15,'Janeiro 2023 - Valor Real'!C3:C15,0))+1),((L461-1)*(1-_xlfn.XLOOKUP(K461,'Janeiro 2023 - Valor Real'!A3:A15,'Janeiro 2023 - Valor Real'!C3:C15,0))+1),((L462-1)*(1-_xlfn.XLOOKUP(K462,'Janeiro 2023 - Valor Real'!A3:A15,'Janeiro 2023 - Valor Real'!C3:C15,0))+1))/((L460-1)*(1-_xlfn.XLOOKUP(K460,'Janeiro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Real'!C3:C15,0))+1))/((L460-1)*(1-_xlfn.XLOOKUP(K460,'Janeiro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Real'!C3:C15,0))+1))/((L461-1)*(1-_xlfn.XLOOKUP(K461,'Janeiro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Real'!C3:C15,0))+1))/((L462-1)*(1-_xlfn.XLOOKUP(K462,'Janeiro 2023 - Valor Real'!A3:A15,'Janeiro 2023 - Valor Real'!C3:C15,0))+1)),IF(I460="Lay",IF(I461="Lay",((L461/(L461-1)-1)*(1-_xlfn.XLOOKUP(K461,'Janeiro 2023 - Valor Real'!A3:A15,'Janeiro 2023 - Valor Real'!C3:C15,0))+1)/(((L461/(L461-1)-1)*(1-_xlfn.XLOOKUP(K461,'Janeiro 2023 - Valor Real'!A3:A15,'Janeiro 2023 - Valor Real'!C3:C15,0))+1)+((L460/(L460-1)-1)*(1-_xlfn.XLOOKUP(K460,'Janeiro 2023 - Valor Real'!A3:A15,'Janeiro 2023 - Valor Real'!C3:C15,0))+1)),((L461-1)*(1-_xlfn.XLOOKUP(K461,'Janeiro 2023 - Valor Real'!A3:A15,'Janeiro 2023 - Valor Real'!C3:C15,0))+1)/(((L461-1)*(1-_xlfn.XLOOKUP(K461,'Janeiro 2023 - Valor Real'!A3:A15,'Janeiro 2023 - Valor Real'!C3:C15,0))+1)+((L460/(L460-1)-1)*(1-_xlfn.XLOOKUP(K460,'Janeiro 2023 - Valor Real'!A3:A15,'Janeiro 2023 - Valor Real'!C3:C15,0))+1))),IF(I461="Lay",(((L461/(L461-1)-1)*(1-_xlfn.XLOOKUP(K461,'Janeiro 2023 - Valor Real'!A3:A15,'Janeiro 2023 - Valor Real'!C3:C15,0))+1))/(((L460-1)*(1-_xlfn.XLOOKUP(K460,'Janeiro 2023 - Valor Real'!A3:A15,'Janeiro 2023 - Valor Real'!C3:C15,0))+1)+((L461/(L461-1)-1)*(1-_xlfn.XLOOKUP(K461,'Janeiro 2023 - Valor Real'!A3:A15,'Janeiro 2023 - Valor Real'!C3:C15,0))+1)),((L461-1)*(1-_xlfn.XLOOKUP(K461,'Janeiro 2023 - Valor Real'!A3:A15,'Janeiro 2023 - Valor Real'!C3:C15,0))+1)/(((L461-1)*(1-_xlfn.XLOOKUP(K461,'Janeiro 2023 - Valor Real'!A3:A15,'Janeiro 2023 - Valor Real'!C3:C15,0))+1)+((L460-1)*(1-_xlfn.XLOOKUP(K460,'Janeiro 2023 - Valor Real'!A3:A15,'Janeiro 2023 - Valor Real'!C3:C15,0))+1))))))</f>
        <v>0.725952813067151</v>
      </c>
      <c r="AF460" s="132">
        <f>IF($K460=AF$3,ROUND(IF(OR($C460="W",$C460="1/2W",$C460="1/2L"),$P460-$O460,IF($C460="X",0,-$O460)),2),0)</f>
        <v>0</v>
      </c>
      <c r="AG460" s="133">
        <f>IF($K460=AG$3,ROUND(IF(OR($C460="W",$C460="1/2W",$C460="1/2L"),$P460-$O460,IF($C460="X",0,-$O460)),2),0)</f>
        <v>0</v>
      </c>
      <c r="AH460" s="133">
        <f>IF($K460=AH$3,ROUND(IF(OR($C460="W",$C460="1/2W",$C460="1/2L"),$P460-$O460,IF($C460="X",0,-$O460)),2),0)</f>
        <v>0</v>
      </c>
      <c r="AI460" s="133">
        <f>IF($K460=AI$3,ROUND(IF(OR($C460="W",$C460="1/2W",$C460="1/2L"),$P460-$O460,IF($C460="X",0,-$O460)),2),0)</f>
        <v>0</v>
      </c>
      <c r="AJ460" s="133">
        <f>IF($K460=AJ$3,ROUND(IF(OR($C460="W",$C460="1/2W",$C460="1/2L"),$P460-$O460,IF($C460="X",0,-$O460)),2),0)</f>
        <v>0</v>
      </c>
      <c r="AK460" s="133">
        <f>IF($K460=AK$3,ROUND(IF(OR($C460="W",$C460="1/2W",$C460="1/2L"),$P460-$O460,IF($C460="X",0,-$O460)),2),0)</f>
        <v>0</v>
      </c>
      <c r="AL460" s="133">
        <f>IF($K460=AL$3,ROUND(IF(OR($C460="W",$C460="1/2W",$C460="1/2L"),$P460-$O460,IF($C460="X",0,-$O460)),2),0)</f>
        <v>0</v>
      </c>
      <c r="AM460" s="133">
        <f>IF($K460=AM$3,ROUND(IF(OR($C460="W",$C460="1/2W",$C460="1/2L"),$P460-$O460,IF($C460="X",0,-$O460)),2),0)</f>
        <v>-18.54</v>
      </c>
      <c r="AN460" s="133">
        <f>IF($K460=AN$3,ROUND(IF(OR($C460="W",$C460="1/2W",$C460="1/2L"),$P460-$O460,IF($C460="X",0,-$O460)),2),0)</f>
        <v>0</v>
      </c>
      <c r="AO460" s="133">
        <f>IF($K460=AO$3,ROUND(IF(OR($C460="W",$C460="1/2W",$C460="1/2L"),$P460-$O460,IF($C460="X",0,-$O460)),2),0)</f>
        <v>0</v>
      </c>
      <c r="AP460" s="133">
        <f>IF($K460=AP$3,ROUND(IF(OR($C460="W",$C460="1/2W",$C460="1/2L"),$P460-$O460,IF($C460="X",0,-$O460)),2),0)</f>
        <v>0</v>
      </c>
      <c r="AQ460" s="133">
        <f>IF($K460=AQ$3,ROUND(IF(OR($C460="W",$C460="1/2W",$C460="1/2L"),$P460-$O460,IF($C460="X",0,-$O460)),2),0)</f>
        <v>0</v>
      </c>
      <c r="AR460" s="134">
        <f>IF($K460=AR$3,ROUND(IF(OR($C460="W",$C460="1/2W",$C460="1/2L"),$P460-$O460,IF($C460="X",0,-$O460)),2),0)</f>
        <v>0</v>
      </c>
      <c r="AS460" s="132">
        <f>IF(AND($B460=" ",$K460=AS$3),$O460,0)</f>
        <v>0</v>
      </c>
      <c r="AT460" s="133">
        <f>IF(AND($B460=" ",$K460=AT$3),$O460,0)</f>
        <v>0</v>
      </c>
      <c r="AU460" s="133">
        <f>IF(AND($B460=" ",$K460=AU$3),$O460,0)</f>
        <v>0</v>
      </c>
      <c r="AV460" s="133">
        <f>IF(AND($B460=" ",$K460=AV$3),$O460,0)</f>
        <v>0</v>
      </c>
      <c r="AW460" s="133">
        <f>IF(AND($B460=" ",$K460=AW$3),$O460,0)</f>
        <v>0</v>
      </c>
      <c r="AX460" s="133">
        <f>IF(AND($B460=" ",$K460=AX$3),$O460,0)</f>
        <v>0</v>
      </c>
      <c r="AY460" s="135">
        <f>IF(AND($B460=" ",$K460=AY$3),$O460,0)</f>
        <v>0</v>
      </c>
      <c r="AZ460" s="136">
        <f>IF(AND($B460=" ",$K460=AZ$3),$O460,0)</f>
        <v>0</v>
      </c>
      <c r="BA460" s="136">
        <f>IF(AND($B460=" ",$K460=BA$3),$O460,0)</f>
        <v>0</v>
      </c>
      <c r="BB460" s="136">
        <f>IF(AND($B460=" ",$K460=BB$3),$O460,0)</f>
        <v>0</v>
      </c>
      <c r="BC460" s="137">
        <f>IF(AND($B460=" ",$K460=BC$3),$O460,0)</f>
        <v>0</v>
      </c>
      <c r="BD460" s="133">
        <f>IF(AND($B460=" ",$K460=BD$3),$O460,0)</f>
        <v>0</v>
      </c>
      <c r="BE460" s="134">
        <f>IF(AND($B460=" ",$K460=BE$3),$O460,0)</f>
        <v>0</v>
      </c>
      <c r="BF460" s="132">
        <f>IF($K460=BF$3,IF($C460="X",0,$O460),0)</f>
        <v>0</v>
      </c>
      <c r="BG460" s="133">
        <f>IF($K460=BG$3,IF($C460="X",0,$O460),0)</f>
        <v>0</v>
      </c>
      <c r="BH460" s="133">
        <f>IF($K460=BH$3,IF($C460="X",0,$O460),0)</f>
        <v>0</v>
      </c>
      <c r="BI460" s="133">
        <f>IF($K460=BI$3,IF($C460="X",0,$O460),0)</f>
        <v>0</v>
      </c>
      <c r="BJ460" s="133">
        <f>IF($K460=BJ$3,IF($C460="X",0,$O460),0)</f>
        <v>0</v>
      </c>
      <c r="BK460" s="133">
        <f>IF($K460=BK$3,IF($C460="X",0,$O460),0)</f>
        <v>0</v>
      </c>
      <c r="BL460" s="133">
        <f>IF($K460=BL$3,IF($C460="X",0,$O460),0)</f>
        <v>0</v>
      </c>
      <c r="BM460" s="135">
        <f>IF($K460=BM$3,IF($C460="X",0,$O460),0)</f>
        <v>18.54</v>
      </c>
      <c r="BN460" s="136">
        <f>IF($K460=BN$3,IF($C460="X",0,$O460),0)</f>
        <v>0</v>
      </c>
      <c r="BO460" s="136">
        <f>IF($K460=BO$3,IF($C460="X",0,$O460),0)</f>
        <v>0</v>
      </c>
      <c r="BP460" s="136">
        <f>IF($K460=BP$3,IF($C460="X",0,$O460),0)</f>
        <v>0</v>
      </c>
      <c r="BQ460" s="137">
        <f>IF($K460=BQ$3,IF($C460="X",0,$O460),0)</f>
        <v>0</v>
      </c>
      <c r="BR460" s="134">
        <f>IF($K460=BR$3,IF($C460="X",0,$O460),0)</f>
        <v>0</v>
      </c>
      <c r="BS460" s="170">
        <f>IF($B460="LOSS",IF(AND($K460=BS$3,$C460="L"),-$O460,0)+IF(AND($K461=BS$3,$C461="L"),-$O461,0)+IF(AND($K462=BS$3,$C462="L"),-$O462,0),IF(OR(AND($K460=BS$3,OR($C460="W",$C460="1/2W")),AND($K461=BS$3,OR($C461="W",$C461="1/2W")),AND($K462=BS$3,OR($C462="W",$C462="1/2W"))),$S460,0))</f>
        <v>2.46</v>
      </c>
      <c r="BT460" s="272">
        <f>IF($B460="LOSS",IF(AND($K460=BT$3,$C460="L"),-$O460,0)+IF(AND($K461=BT$3,$C461="L"),-$O461,0)+IF(AND($K461=BT$3,$C462="L"),-$O462,0),IF(OR(AND($K461=BT$3,OR($C460="W",$C460="1/2W")),AND($K461=BT$3,OR($C461="W",$C461="1/2W")),AND($K461=BT$3,OR($C462="W",$C462="1/2W"))),$S460,0))</f>
        <v>0</v>
      </c>
      <c r="BU460" s="136">
        <f>IF($B460="LOSS",IF(AND($K460=BU$3,$C460="L"),-$O460,0)+IF(AND($K461=BU$3,$C461="L"),-$O461,0)+IF(AND($K461=BU$3,$C462="L"),-$O462,0),IF(OR(AND($K461=BU$3,OR($C460="W",$C460="1/2W")),AND($K461=BU$3,OR($C461="W",$C461="1/2W")),AND($K461=BU$3,OR($C462="W",$C462="1/2W"))),$S460,0))</f>
        <v>0</v>
      </c>
      <c r="BV460" s="136">
        <f>IF($B460="LOSS",IF(AND($K460=BV$3,$C460="L"),-$O460,0)+IF(AND($K461=BV$3,$C461="L"),-$O461,0)+IF(AND($K462=BV$3,$C462="L"),-$O462,0),IF(OR(AND($K460=BV$3,OR($C460="W",$C460="1/2W")),AND($K461=BV$3,OR($C461="W",$C461="1/2W")),AND($K462=BV$3,OR($C462="W",$C462="1/2W"))),$S460,0))</f>
        <v>0</v>
      </c>
      <c r="BW460" s="136">
        <f>IF($B460="LOSS",IF(AND($K460=BW$3,$C460="L"),-$O460,0)+IF(AND($K461=BW$3,$C461="L"),-$O461,0)+IF(AND($K462=BW$3,$C462="L"),-$O462,0),IF(OR(AND($K460=BW$3,OR($C460="W",$C460="1/2W")),AND($K461=BW$3,OR($C461="W",$C461="1/2W")),AND($K462=BW$3,OR($C462="W",$C462="1/2W"))),$S460,0))</f>
        <v>0</v>
      </c>
      <c r="BX460" s="136">
        <f>IF($B460="LOSS",IF(AND($K460=BX$3,$C460="L"),-$O460,0)+IF(AND($K461=BX$3,$C461="L"),-$O461,0)+IF(AND($K462=BX$3,$C462="L"),-$O462,0),IF(OR(AND($K460=BX$3,OR($C460="W",$C460="1/2W")),AND($K461=BX$3,OR($C461="W",$C461="1/2W")),AND($K462=BX$3,OR($C462="W",$C462="1/2W"))),$S460,0))</f>
        <v>0</v>
      </c>
      <c r="BY460" s="136">
        <f>IF($B460="LOSS",IF(AND($K460=BY$3,$C460="L"),-$O460,0)+IF(AND($K461=BY$3,$C461="L"),-$O461,0)+IF(AND($K462=BY$3,$C462="L"),-$O462,0),IF(OR(AND($K460=BY$3,OR($C460="W",$C460="1/2W")),AND($K461=BY$3,OR($C461="W",$C461="1/2W")),AND($K462=BY$3,OR($C462="W",$C462="1/2W"))),$S460,0))</f>
        <v>0</v>
      </c>
      <c r="BZ460" s="136">
        <f>IF($B460="LOSS",IF(AND($K460=BZ$3,$C460="L"),-$O460,0)+IF(AND($K461=BZ$3,$C461="L"),-$O461,0)+IF(AND($K462=BZ$3,$C462="L"),-$O462,0),IF(OR(AND($K460=BZ$3,OR($C460="W",$C460="1/2W")),AND($K461=BZ$3,OR($C461="W",$C461="1/2W")),AND($K462=BZ$3,OR($C462="W",$C462="1/2W"))),$S460,0))</f>
        <v>0</v>
      </c>
      <c r="CA460" s="136">
        <f>IF($B460="LOSS",IF(AND($K460=CA$3,$C460="L"),-$O460,0)+IF(AND($K461=CA$3,$C461="L"),-$O461,0)+IF(AND($K462=CA$3,$C462="L"),-$O462,0),IF(OR(AND($K460=CA$3,OR($C460="W",$C460="1/2W")),AND($K461=CA$3,OR($C461="W",$C461="1/2W")),AND($K462=CA$3,OR($C462="W",$C462="1/2W"))),$S460,0))</f>
        <v>0</v>
      </c>
      <c r="CB460" s="136">
        <f>IF($B460="LOSS",IF(AND($K460=CB$3,$C460="L"),-$O460,0)+IF(AND($K461=CB$3,$C461="L"),-$O461,0)+IF(AND($K462=CB$3,$C462="L"),-$O462,0),IF(OR(AND($K460=CB$3,OR($C460="W",$C460="1/2W")),AND($K461=CB$3,OR($C461="W",$C461="1/2W")),AND($K462=CB$3,OR($C462="W",$C462="1/2W"))),$S460,0))</f>
        <v>0</v>
      </c>
      <c r="CC460" s="136">
        <f>IF($B460="LOSS",IF(AND($K460=CC$3,$C460="L"),-$O460,0)+IF(AND($K461=CC$3,$C461="L"),-$O461,0)+IF(AND($K462=CC$3,$C462="L"),-$O462,0),IF(OR(AND($K460=CC$3,OR($C460="W",$C460="1/2W")),AND($K461=CC$3,OR($C461="W",$C461="1/2W")),AND($K462=CC$3,OR($C462="W",$C462="1/2W"))),$S460,0))</f>
        <v>0</v>
      </c>
      <c r="CD460" s="137">
        <f>IF($B460="LOSS",IF(AND($K460=CD$3,$C460="L"),-$O460,0)+IF(AND($K461=CD$3,$C461="L"),-$O461,0)+IF(AND($K462=CD$3,$C462="L"),-$O462,0),IF(OR(AND($K460=CD$3,OR($C460="W",$C460="1/2W")),AND($K461=CD$3,OR($C461="W",$C461="1/2W")),AND($K462=CD$3,OR($C462="W",$C462="1/2W"))),$S460,0))</f>
        <v>0</v>
      </c>
      <c r="CE460" s="134">
        <f>IF($B460="LOSS",IF(AND($K460=CE$3,$C460="L"),-$O460,0)+IF(AND($K461=CE$3,$C461="L"),-$O461,0)+IF(AND($K462=CE$3,$C462="L"),-$O462,0),IF(OR(AND($K460=CE$3,OR($C460="W",$C460="1/2W")),AND($K461=CE$3,OR($C461="W",$C461="1/2W")),AND($K462=CE$3,OR($C462="W",$C462="1/2W"))),$S460,0))</f>
        <v>0</v>
      </c>
      <c r="CF460" s="273">
        <f>IF(CF$3=$K460,IF($C460="W",1,IF($C460="1/2W",0.5,0)),0)</f>
        <v>0</v>
      </c>
      <c r="CG460" s="274">
        <f>IF(CF$3=$K460,IF($C460="L",1,IF($C460="1/2L",0.5,0)),0)</f>
        <v>0</v>
      </c>
      <c r="CH460" s="274">
        <f>IF(CH$3=$K460,IF($C460="W",1,IF($C460="1/2W",0.5,0)),0)</f>
        <v>0</v>
      </c>
      <c r="CI460" s="274">
        <f>IF(CH$3=$K460,IF($C460="L",1,IF($C460="1/2L",0.5,0)),0)</f>
        <v>0</v>
      </c>
      <c r="CJ460" s="274">
        <f>IF(CJ$3=$K460,IF($C460="W",1,IF($C460="1/2W",0.5,0)),0)</f>
        <v>0</v>
      </c>
      <c r="CK460" s="274">
        <f>IF(CJ$3=$K460,IF($C460="L",1,IF($C460="1/2L",0.5,0)),0)</f>
        <v>0</v>
      </c>
      <c r="CL460" s="274">
        <f>IF(CL$3=$K460,IF($C460="W",1,IF($C460="1/2W",0.5,0)),0)</f>
        <v>0</v>
      </c>
      <c r="CM460" s="274">
        <f>IF(CL$3=$K460,IF($C460="L",1,IF($C460="1/2L",0.5,0)),0)</f>
        <v>0</v>
      </c>
      <c r="CN460" s="274">
        <f>IF(CN$3=$K460,IF($C460="W",1,IF($C460="1/2W",0.5,0)),0)</f>
        <v>0</v>
      </c>
      <c r="CO460" s="274">
        <f>IF(CN$3=$K460,IF($C460="L",1,IF($C460="1/2L",0.5,0)),0)</f>
        <v>0</v>
      </c>
      <c r="CP460" s="274">
        <f>IF(CP$3=$K460,IF($C460="W",1,IF($C460="1/2W",0.5,0)),0)</f>
        <v>0</v>
      </c>
      <c r="CQ460" s="274">
        <f>IF(CP$3=$K460,IF($C460="L",1,IF($C460="1/2L",0.5,0)),0)</f>
        <v>0</v>
      </c>
      <c r="CR460" s="274">
        <f>IF(CR$3=$K460,IF($C460="W",1,IF($C460="1/2W",0.5,0)),0)</f>
        <v>0</v>
      </c>
      <c r="CS460" s="274">
        <f>IF(CR$3=$K460,IF($C460="L",1,IF($C460="1/2L",0.5,0)),0)</f>
        <v>0</v>
      </c>
      <c r="CT460" s="145">
        <f>IF(CT$3=$K460,IF($C460="W",1,IF($C460="1/2W",0.5,0)),0)</f>
        <v>0</v>
      </c>
      <c r="CU460" s="146">
        <f>IF(CT$3=$K460,IF($C460="L",1,IF($C460="1/2L",0.5,0)),0)</f>
        <v>1</v>
      </c>
      <c r="CV460" s="146">
        <f>IF(CV$3=$K460,IF($C460="W",1,IF($C460="1/2W",0.5,0)),0)</f>
        <v>0</v>
      </c>
      <c r="CW460" s="146">
        <f>IF(CV$3=$K460,IF($C460="L",1,IF($C460="1/2L",0.5,0)),0)</f>
        <v>0</v>
      </c>
      <c r="CX460" s="146">
        <f>IF(CX$3=$K460,IF($C460="W",1,IF($C460="1/2W",0.5,0)),0)</f>
        <v>0</v>
      </c>
      <c r="CY460" s="146">
        <f>IF(CX$3=$K460,IF($C460="L",1,IF($C460="1/2L",0.5,0)),0)</f>
        <v>0</v>
      </c>
      <c r="CZ460" s="146">
        <f>IF(CZ$3=$K460,IF($C460="W",1,IF($C460="1/2W",0.5,0)),0)</f>
        <v>0</v>
      </c>
      <c r="DA460" s="146">
        <f>IF(CZ$3=$K460,IF($C460="L",1,IF($C460="1/2L",0.5,0)),0)</f>
        <v>0</v>
      </c>
      <c r="DB460" s="146">
        <f>IF(DB$3=$K460,IF($C460="W",1,IF($C460="1/2W",0.5,0)),0)</f>
        <v>0</v>
      </c>
      <c r="DC460" s="146">
        <f>IF(DB$3=$K460,IF($C460="L",1,IF($C460="1/2L",0.5,0)),0)</f>
        <v>0</v>
      </c>
      <c r="DD460" s="146">
        <f>IF(DD$3=$K460,IF($C460="W",1,IF($C460="1/2W",0.5,0)),0)</f>
        <v>0</v>
      </c>
      <c r="DE460" s="147">
        <f>IF(DD$3=$K460,IF($C460="L",1,IF($C460="1/2L",0.5,0)),0)</f>
        <v>0</v>
      </c>
      <c r="DF460" s="143">
        <f>IF(AND(L460&lt;DF$3,$C460="W"),1+DF459,DF459)</f>
        <v>15</v>
      </c>
      <c r="DG460" s="133">
        <f>IF(DF460&gt;DF459,L460+DG459,DG459)</f>
        <v>19.748</v>
      </c>
      <c r="DH460" s="146">
        <f>IF(AND(L460&gt;DH$3,$C460="W"),1+DH459,0+DH459)</f>
        <v>10</v>
      </c>
      <c r="DI460" s="133">
        <f>IF(DH460&gt;DH459,L460+DI459,DI459)</f>
        <v>55.13</v>
      </c>
      <c r="DJ460" t="s" s="304">
        <f>IF($D460="","",$D460)</f>
        <v>358</v>
      </c>
      <c r="DK460" s="146">
        <f>IF(AND($B460=" ",$D460&lt;&gt;""),1,0)</f>
        <v>0</v>
      </c>
    </row>
    <row r="461" ht="14.55" customHeight="1">
      <c r="A461" s="107"/>
      <c r="B461" s="108"/>
      <c r="C461" t="s" s="109">
        <v>56</v>
      </c>
      <c r="D461" s="110"/>
      <c r="E461" s="111"/>
      <c r="F461" s="113"/>
      <c r="G461" s="252"/>
      <c r="H461" s="114"/>
      <c r="I461" s="294">
        <v>2</v>
      </c>
      <c r="J461" t="s" s="295">
        <f>IF(OR(I460="TO",I460="TU",I460="TO1",I460="TU1",I460="TO2",I460="TU2"),J460,IF(OR(I460="AH1",I460="AH2"),IF(OR(I461="AH1",I461="AH2"),-J460,IF(OR(I461="EH1",I461="EH2"),-J460+0.5,"")),IF(OR(I460="EH1",I460="EH2"),IF(OR(I461="AH1",I461="AH2"),-J460+0.5,IF(OR(I461="EH1",I461="EH2"),-J460+1,"")),IF(AND(OR(I460="DNB1",I460="DNB2"),OR(I461="AH1",I461="AH2")),0,IF(AND(I460="Not ScoreBoth",OR(I461="TO1",I461="TO2")),0.5,"")))))</f>
      </c>
      <c r="K461" t="s" s="117">
        <v>37</v>
      </c>
      <c r="L461" s="277">
        <v>4</v>
      </c>
      <c r="M461" s="278">
        <v>7</v>
      </c>
      <c r="N461" s="120"/>
      <c r="O461" s="121">
        <f>IF(OR(AE460="",AE461=""),"",ROUND(IF(L462&gt;0,IF(M461&gt;0,M461,IF(M460&gt;0,IF(N460=TRUE,ROUND((M460*AE461)/AE460,0),(M460*AE461)/AE460),IF(M461&gt;0,ROUND(M461,IF(N460=0,2,IF(N460=0.1,1,0))),IF(M462&gt;0,ROUND(O462*AE461/AE462,IF(N460=0,2,IF(N460=0.1,1,0))),0)))),IF(M461&gt;0,M461,ROUND((M460*AE461)/AE460,IF(N460=0,2,IF(N460=0.1,1,0))))),2))</f>
        <v>7</v>
      </c>
      <c r="P461" s="122">
        <f>IF(OR(L461="",O461=""),"",IF($C461="1/2W",O461/2+O461/2*L461,IF($C461="1/2L",O461/2,IF(I461="Lay",((O461*(L461/(L461-1)))-O461)*(1-_xlfn.XLOOKUP(K461,'Janeiro 2023 - Valor Real'!A3:A15,'Janeiro 2023 - Valor Real'!C3:C15,0))+O461,(O461*L461-O461)*(1-_xlfn.XLOOKUP(K461,'Janeiro 2023 - Valor Real'!A3:A15,'Janeiro 2023 - Valor Real'!C3:C15,0))+O461))))</f>
        <v>28</v>
      </c>
      <c r="Q461" s="279">
        <f>IF(K461="","",IF(_xlfn.XLOOKUP(K461,K$120:K240,DJ$120:DJ240,0,,-1)=DJ461,_xlfn.XLOOKUP(K461,K$120:K240,Q$120:Q240,1,,-1)+1,1))</f>
        <v>1</v>
      </c>
      <c r="R461" s="280">
        <f>IF(K461="","",_xlfn.XLOOKUP(K461,K$120:K240,R$120:R240,0,,-1)+IF($C461=" ",1,0))</f>
        <v>0</v>
      </c>
      <c r="S461" s="125"/>
      <c r="T461" s="126"/>
      <c r="U461" s="126"/>
      <c r="V461" s="224"/>
      <c r="W461" s="126"/>
      <c r="X461" s="127"/>
      <c r="Y461" s="128"/>
      <c r="Z461" s="129"/>
      <c r="AA461" s="129"/>
      <c r="AB461" s="129"/>
      <c r="AC461" s="129"/>
      <c r="AD461" s="130"/>
      <c r="AE461" s="131">
        <f>IF(L461="","",IF(L462&gt;0,(SUM(((L460-1)*(1-_xlfn.XLOOKUP(K460,'Janeiro 2023 - Valor Real'!A3:A15,'Janeiro 2023 - Valor Real'!C3:C15,0))+1),((L461-1)*(1-_xlfn.XLOOKUP(K461,'Janeiro 2023 - Valor Real'!A3:A15,'Janeiro 2023 - Valor Real'!C3:C15,0))+1),((L462-1)*(1-_xlfn.XLOOKUP(K462,'Janeiro 2023 - Valor Real'!A3:A15,'Janeiro 2023 - Valor Real'!C3:C15,0))+1))/((L461-1)*(1-_xlfn.XLOOKUP(K461,'Janeiro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Real'!C3:C15,0))+1))/((L460-1)*(1-_xlfn.XLOOKUP(K460,'Janeiro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Real'!C3:C15,0))+1))/((L461-1)*(1-_xlfn.XLOOKUP(K461,'Janeiro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Real'!C3:C15,0))+1))/((L462-1)*(1-_xlfn.XLOOKUP(K462,'Janeiro 2023 - Valor Real'!A3:A15,'Janeiro 2023 - Valor Real'!C3:C15,0))+1)),IF(I461="Lay",IF(I460="Lay",((L460/(L460-1)-1)*(1-_xlfn.XLOOKUP(K460,'Janeiro 2023 - Valor Real'!A3:A15,'Janeiro 2023 - Valor Real'!C3:C15,0))+1)/(((L460/(L460-1)-1)*(1-_xlfn.XLOOKUP(K460,'Janeiro 2023 - Valor Real'!A3:A15,'Janeiro 2023 - Valor Real'!C3:C15,0))+1)+((L461/(L461-1)-1)*(1-_xlfn.XLOOKUP(K461,'Janeiro 2023 - Valor Real'!A3:A15,'Janeiro 2023 - Valor Real'!C3:C15,0))+1)),((L460-1)*(1-_xlfn.XLOOKUP(K460,'Janeiro 2023 - Valor Real'!A3:A15,'Janeiro 2023 - Valor Real'!C3:C15,0))+1)/(((L460-1)*(1-_xlfn.XLOOKUP(K460,'Janeiro 2023 - Valor Real'!A3:A15,'Janeiro 2023 - Valor Real'!C3:C15,0))+1)+((L461/(L461-1)-1)*(1-_xlfn.XLOOKUP(K461,'Janeiro 2023 - Valor Real'!A3:A15,'Janeiro 2023 - Valor Real'!C3:C15,0))+1))),IF(I460="Lay",((L460/(L460-1)-1)*(1-_xlfn.XLOOKUP(K460,'Janeiro 2023 - Valor Real'!A3:A15,'Janeiro 2023 - Valor Real'!C3:C15,0))+1)/((((L460/(L460-1)-1)*(1-_xlfn.XLOOKUP(K460,'Janeiro 2023 - Valor Real'!A3:A15,'Janeiro 2023 - Valor Real'!C3:C15,0))+1))+((L461-1)*(1-_xlfn.XLOOKUP(K461,'Janeiro 2023 - Valor Real'!A3:A15,'Janeiro 2023 - Valor Real'!C3:C15,0))+1)),((L460-1)*(1-_xlfn.XLOOKUP(K460,'Janeiro 2023 - Valor Real'!A3:A15,'Janeiro 2023 - Valor Real'!C3:C15,0))+1)/(((L460-1)*(1-_xlfn.XLOOKUP(K460,'Janeiro 2023 - Valor Real'!A3:A15,'Janeiro 2023 - Valor Real'!C3:C15,0))+1)+((L461-1)*(1-_xlfn.XLOOKUP(K461,'Janeiro 2023 - Valor Real'!A3:A15,'Janeiro 2023 - Valor Real'!C3:C15,0))+1))))))</f>
        <v>0.274047186932849</v>
      </c>
      <c r="AF461" s="132">
        <f>IF($K461=AF$3,ROUND(IF(OR($C461="W",$C461="1/2W",$C461="1/2L"),$P461-$O461,IF($C461="X",0,-$O461)),2),0)</f>
        <v>21</v>
      </c>
      <c r="AG461" s="133">
        <f>IF($K461=AG$3,ROUND(IF(OR($C461="W",$C461="1/2W",$C461="1/2L"),$P461-$O461,IF($C461="X",0,-$O461)),2),0)</f>
        <v>0</v>
      </c>
      <c r="AH461" s="133">
        <f>IF($K461=AH$3,ROUND(IF(OR($C461="W",$C461="1/2W",$C461="1/2L"),$P461-$O461,IF($C461="X",0,-$O461)),2),0)</f>
        <v>0</v>
      </c>
      <c r="AI461" s="133">
        <f>IF($K461=AI$3,ROUND(IF(OR($C461="W",$C461="1/2W",$C461="1/2L"),$P461-$O461,IF($C461="X",0,-$O461)),2),0)</f>
        <v>0</v>
      </c>
      <c r="AJ461" s="133">
        <f>IF($K461=AJ$3,ROUND(IF(OR($C461="W",$C461="1/2W",$C461="1/2L"),$P461-$O461,IF($C461="X",0,-$O461)),2),0)</f>
        <v>0</v>
      </c>
      <c r="AK461" s="133">
        <f>IF($K461=AK$3,ROUND(IF(OR($C461="W",$C461="1/2W",$C461="1/2L"),$P461-$O461,IF($C461="X",0,-$O461)),2),0)</f>
        <v>0</v>
      </c>
      <c r="AL461" s="133">
        <f>IF($K461=AL$3,ROUND(IF(OR($C461="W",$C461="1/2W",$C461="1/2L"),$P461-$O461,IF($C461="X",0,-$O461)),2),0)</f>
        <v>0</v>
      </c>
      <c r="AM461" s="133">
        <f>IF($K461=AM$3,ROUND(IF(OR($C461="W",$C461="1/2W",$C461="1/2L"),$P461-$O461,IF($C461="X",0,-$O461)),2),0)</f>
        <v>0</v>
      </c>
      <c r="AN461" s="133">
        <f>IF($K461=AN$3,ROUND(IF(OR($C461="W",$C461="1/2W",$C461="1/2L"),$P461-$O461,IF($C461="X",0,-$O461)),2),0)</f>
        <v>0</v>
      </c>
      <c r="AO461" s="133">
        <f>IF($K461=AO$3,ROUND(IF(OR($C461="W",$C461="1/2W",$C461="1/2L"),$P461-$O461,IF($C461="X",0,-$O461)),2),0)</f>
        <v>0</v>
      </c>
      <c r="AP461" s="133">
        <f>IF($K461=AP$3,ROUND(IF(OR($C461="W",$C461="1/2W",$C461="1/2L"),$P461-$O461,IF($C461="X",0,-$O461)),2),0)</f>
        <v>0</v>
      </c>
      <c r="AQ461" s="133">
        <f>IF($K461=AQ$3,ROUND(IF(OR($C461="W",$C461="1/2W",$C461="1/2L"),$P461-$O461,IF($C461="X",0,-$O461)),2),0)</f>
        <v>0</v>
      </c>
      <c r="AR461" s="134">
        <f>IF($K461=AR$3,ROUND(IF(OR($C461="W",$C461="1/2W",$C461="1/2L"),$P461-$O461,IF($C461="X",0,-$O461)),2),0)</f>
        <v>0</v>
      </c>
      <c r="AS461" s="132">
        <f>IF(AND($B460=" ",$K461=AS$3),$O461,0)</f>
        <v>0</v>
      </c>
      <c r="AT461" s="133">
        <f>IF(AND($B460=" ",K461=AT$3),$O461,0)</f>
        <v>0</v>
      </c>
      <c r="AU461" s="133">
        <f>IF(AND($B460=" ",$K461=AU$3),$O461,0)</f>
        <v>0</v>
      </c>
      <c r="AV461" s="133">
        <f>IF(AND($B460=" ",$K461=AV$3),$O461,0)</f>
        <v>0</v>
      </c>
      <c r="AW461" s="133">
        <f>IF(AND($B460=" ",$K461=AW$3),$O461,0)</f>
        <v>0</v>
      </c>
      <c r="AX461" s="133">
        <f>IF(AND($B460=" ",$K461=AX$3),$O461,0)</f>
        <v>0</v>
      </c>
      <c r="AY461" s="135">
        <f>IF(AND($B460=" ",$K461=AY$3),$O461,0)</f>
        <v>0</v>
      </c>
      <c r="AZ461" s="136">
        <f>IF(AND($B460=" ",$K461=AZ$3),$O461,0)</f>
        <v>0</v>
      </c>
      <c r="BA461" s="136">
        <f>IF(AND($B460=" ",$K461=BA$3),$O461,0)</f>
        <v>0</v>
      </c>
      <c r="BB461" s="136">
        <f>IF(AND($B460=" ",$K461=BB$3),$O461,0)</f>
        <v>0</v>
      </c>
      <c r="BC461" s="137">
        <f>IF(AND($B460=" ",$K461=BC$3),$O461,0)</f>
        <v>0</v>
      </c>
      <c r="BD461" s="133">
        <f>IF(AND($B460=" ",$K461=BD$3),$O461,0)</f>
        <v>0</v>
      </c>
      <c r="BE461" s="134">
        <f>IF(AND($B460=" ",$K461=BE$3),$O461,0)</f>
        <v>0</v>
      </c>
      <c r="BF461" s="132">
        <f>IF($K461=BF$3,IF($C461="X",0,$O461),0)</f>
        <v>7</v>
      </c>
      <c r="BG461" s="281">
        <f>IF($K461=BG$3,IF($C461="X",0,$O461),0)</f>
        <v>0</v>
      </c>
      <c r="BH461" s="133">
        <f>IF($K461=BH$3,IF($C461="X",0,$O461),0)</f>
        <v>0</v>
      </c>
      <c r="BI461" s="133">
        <f>IF($K461=BI$3,IF($C461="X",0,$O461),0)</f>
        <v>0</v>
      </c>
      <c r="BJ461" s="133">
        <f>IF($K461=BJ$3,IF($C461="X",0,$O461),0)</f>
        <v>0</v>
      </c>
      <c r="BK461" s="133">
        <f>IF($K461=BK$3,IF($C461="X",0,$O461),0)</f>
        <v>0</v>
      </c>
      <c r="BL461" s="133">
        <f>IF($K461=BL$3,IF($C461="X",0,$O461),0)</f>
        <v>0</v>
      </c>
      <c r="BM461" s="135">
        <f>IF($K461=BM$3,IF($C461="X",0,$O461),0)</f>
        <v>0</v>
      </c>
      <c r="BN461" s="136">
        <f>IF($K461=BN$3,IF($C461="X",0,$O461),0)</f>
        <v>0</v>
      </c>
      <c r="BO461" s="136">
        <f>IF($K461=BO$3,IF($C461="X",0,$O461),0)</f>
        <v>0</v>
      </c>
      <c r="BP461" s="136">
        <f>IF($K461=BP$3,IF($C461="X",0,$O461),0)</f>
        <v>0</v>
      </c>
      <c r="BQ461" s="137">
        <f>IF($K461=BQ$3,IF($C461="X",0,$O461),0)</f>
        <v>0</v>
      </c>
      <c r="BR461" s="134">
        <f>IF($K461=BR$3,IF($C461="X",0,$O461),0)</f>
        <v>0</v>
      </c>
      <c r="BS461" s="282"/>
      <c r="BT461" s="283"/>
      <c r="BU461" s="140"/>
      <c r="BV461" s="283"/>
      <c r="BW461" s="140"/>
      <c r="BX461" s="140"/>
      <c r="BY461" s="140"/>
      <c r="BZ461" s="283"/>
      <c r="CA461" s="140"/>
      <c r="CB461" s="140"/>
      <c r="CC461" s="140"/>
      <c r="CD461" s="141"/>
      <c r="CE461" s="142"/>
      <c r="CF461" s="284">
        <f>IF(CF$3=$K461,IF($C461="W",1,IF($C461="1/2W",0.5,0)),0)</f>
        <v>1</v>
      </c>
      <c r="CG461" s="285">
        <f>IF(CF$3=$K461,IF($C461="L",1,IF($C461="1/2L",0.5,0)),0)</f>
        <v>0</v>
      </c>
      <c r="CH461" s="285">
        <f>IF(CH$3=$K461,IF($C461="W",1,IF($C461="1/2W",0.5,0)),0)</f>
        <v>0</v>
      </c>
      <c r="CI461" s="285">
        <f>IF(CH$3=$K461,IF($C461="L",1,IF($C461="1/2L",0.5,0)),0)</f>
        <v>0</v>
      </c>
      <c r="CJ461" s="285">
        <f>IF(CJ$3=$K461,IF($C461="W",1,IF($C461="1/2W",0.5,0)),0)</f>
        <v>0</v>
      </c>
      <c r="CK461" s="285">
        <f>IF(CJ$3=$K461,IF($C461="L",1,IF($C461="1/2L",0.5,0)),0)</f>
        <v>0</v>
      </c>
      <c r="CL461" s="285">
        <f>IF(CL$3=$K461,IF($C461="W",1,IF($C461="1/2W",0.5,0)),0)</f>
        <v>0</v>
      </c>
      <c r="CM461" s="285">
        <f>IF(CL$3=$K461,IF($C461="L",1,IF($C461="1/2L",0.5,0)),0)</f>
        <v>0</v>
      </c>
      <c r="CN461" s="285">
        <f>IF(CN$3=$K461,IF($C461="W",1,IF($C461="1/2W",0.5,0)),0)</f>
        <v>0</v>
      </c>
      <c r="CO461" s="285">
        <f>IF(CN$3=$K461,IF($C461="L",1,IF($C461="1/2L",0.5,0)),0)</f>
        <v>0</v>
      </c>
      <c r="CP461" s="285">
        <f>IF(CP$3=$K461,IF($C461="W",1,IF($C461="1/2W",0.5,0)),0)</f>
        <v>0</v>
      </c>
      <c r="CQ461" s="285">
        <f>IF(CP$3=$K461,IF($C461="L",1,IF($C461="1/2L",0.5,0)),0)</f>
        <v>0</v>
      </c>
      <c r="CR461" s="285">
        <f>IF(CR$3=$K461,IF($C461="W",1,IF($C461="1/2W",0.5,0)),0)</f>
        <v>0</v>
      </c>
      <c r="CS461" s="285">
        <f>IF(CR$3=$K461,IF($C461="L",1,IF($C461="1/2L",0.5,0)),0)</f>
        <v>0</v>
      </c>
      <c r="CT461" s="145">
        <f>IF(CT$3=$K461,IF($C461="W",1,IF($C461="1/2W",0.5,0)),0)</f>
        <v>0</v>
      </c>
      <c r="CU461" s="146">
        <f>IF(CT$3=$K461,IF($C461="L",1,IF($C461="1/2L",0.5,0)),0)</f>
        <v>0</v>
      </c>
      <c r="CV461" s="146">
        <f>IF(CV$3=$K461,IF($C461="W",1,IF($C461="1/2W",0.5,0)),0)</f>
        <v>0</v>
      </c>
      <c r="CW461" s="146">
        <f>IF(CV$3=$K461,IF($C461="L",1,IF($C461="1/2L",0.5,0)),0)</f>
        <v>0</v>
      </c>
      <c r="CX461" s="146">
        <f>IF(CX$3=$K461,IF($C461="W",1,IF($C461="1/2W",0.5,0)),0)</f>
        <v>0</v>
      </c>
      <c r="CY461" s="146">
        <f>IF(CX$3=$K461,IF($C461="L",1,IF($C461="1/2L",0.5,0)),0)</f>
        <v>0</v>
      </c>
      <c r="CZ461" s="146">
        <f>IF(CZ$3=$K461,IF($C461="W",1,IF($C461="1/2W",0.5,0)),0)</f>
        <v>0</v>
      </c>
      <c r="DA461" s="146">
        <f>IF(CZ$3=$K461,IF($C461="L",1,IF($C461="1/2L",0.5,0)),0)</f>
        <v>0</v>
      </c>
      <c r="DB461" s="146">
        <f>IF(DB$3=$K461,IF($C461="W",1,IF($C461="1/2W",0.5,0)),0)</f>
        <v>0</v>
      </c>
      <c r="DC461" s="146">
        <f>IF(DB$3=$K461,IF($C461="L",1,IF($C461="1/2L",0.5,0)),0)</f>
        <v>0</v>
      </c>
      <c r="DD461" s="146">
        <f>IF(DD$3=$K461,IF($C461="W",1,IF($C461="1/2W",0.5,0)),0)</f>
        <v>0</v>
      </c>
      <c r="DE461" s="147">
        <f>IF(DD$3=$K461,IF($C461="L",1,IF($C461="1/2L",0.5,0)),0)</f>
        <v>0</v>
      </c>
      <c r="DF461" s="143">
        <f>IF(AND(L461&lt;DF$3,$C461="W"),1+DF460,DF460)</f>
        <v>15</v>
      </c>
      <c r="DG461" s="133">
        <f>IF(DF461&gt;DF460,L461+DG460,DG460)</f>
        <v>19.748</v>
      </c>
      <c r="DH461" s="146">
        <f>IF(AND(L461&gt;DH$3,$C461="W"),1+DH460,0+DH460)</f>
        <v>11</v>
      </c>
      <c r="DI461" s="133">
        <f>IF(DH461&gt;DH460,L461+DI460,DI460)</f>
        <v>59.13</v>
      </c>
      <c r="DJ461" t="s" s="304">
        <f>IF($D460="","",$D460)</f>
        <v>358</v>
      </c>
      <c r="DK461" s="286"/>
    </row>
    <row r="462" ht="14.55" customHeight="1">
      <c r="A462" s="149"/>
      <c r="B462" s="150"/>
      <c r="C462" t="s" s="151">
        <v>58</v>
      </c>
      <c r="D462" s="152"/>
      <c r="E462" s="153"/>
      <c r="F462" s="155"/>
      <c r="G462" s="252"/>
      <c r="H462" s="156"/>
      <c r="I462" s="287"/>
      <c r="J462" s="288"/>
      <c r="K462" s="156"/>
      <c r="L462" s="289"/>
      <c r="M462" s="290"/>
      <c r="N462" s="161"/>
      <c r="O462" t="s" s="162">
        <f>IF(OR(AE460="",AE461=""),"",IF(L462&gt;0,ROUND(IF(M462&gt;0,M462,IF(M460&gt;0,ROUND((M460*AE462)/AE460,IF(N460=0,2,IF(N460=0.1,1,0))),IF(M461&gt;0,ROUND((M461*AE462)/AE461,IF(N460=0,2,IF(N460=0.1,1,0))),IF(M462&gt;0,M462,0)))),2),""))</f>
      </c>
      <c r="P462" t="s" s="163">
        <f>IF(I461="Lay",O461*(L461/(L461-1))-O461,IF(I460="Lay",O460*(L460/(L460-1))-O460,IF(OR(L462="",O462=""),"",IF($C462="1/2W",O462/2+O462/2*L462,IF($C462="1/2L",O462/2,(O462*L462-O462)*(1-_xlfn.XLOOKUP(K462,'Janeiro 2023 - Valor Real'!A3:A15,'Janeiro 2023 - Valor Real'!C3:C15,0))+O462)))))</f>
      </c>
      <c r="Q462" t="s" s="154">
        <f>IF(K462="","",IF(_xlfn.XLOOKUP(K462,K$121:K241,DJ$121:DJ241,0,,-1)=DJ462,_xlfn.XLOOKUP(K462,K$121:K241,Q$121:Q241,1,,-1)+1,1))</f>
      </c>
      <c r="R462" t="s" s="163">
        <f>IF(K462="","",_xlfn.XLOOKUP(K462,K$121:K241,R$121:R241,0,,-1)+IF($C462=" ",1,0))</f>
      </c>
      <c r="S462" s="166"/>
      <c r="T462" s="155"/>
      <c r="U462" s="155"/>
      <c r="V462" s="166"/>
      <c r="W462" s="155"/>
      <c r="X462" s="167"/>
      <c r="Y462" s="128"/>
      <c r="Z462" s="129"/>
      <c r="AA462" s="129"/>
      <c r="AB462" s="129"/>
      <c r="AC462" s="129"/>
      <c r="AD462" s="168"/>
      <c r="AE462" t="s" s="169">
        <f>IF(L462="","",(SUM(((L460-1)*(1-_xlfn.XLOOKUP(K460,'Janeiro 2023 - Valor Real'!A3:A15,'Janeiro 2023 - Valor Real'!C3:C15,0))+1),((L461-1)*(1-_xlfn.XLOOKUP(K461,'Janeiro 2023 - Valor Real'!A3:A15,'Janeiro 2023 - Valor Real'!C3:C15,0))+1),((L462-1)*(1-_xlfn.XLOOKUP(K462,'Janeiro 2023 - Valor Real'!A3:A15,'Janeiro 2023 - Valor Real'!C3:C15,0))+1))/((L462-1)*(1-_xlfn.XLOOKUP(K462,'Janeiro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Real'!C3:C15,0))+1))/((L460-1)*(1-_xlfn.XLOOKUP(K460,'Janeiro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Real'!C3:C15,0))+1))/((L461-1)*(1-_xlfn.XLOOKUP(K461,'Janeiro 2023 - Valor Real'!A3:A15,'Janeiro 2023 - Valor Real'!C3:C15,0))+1)+SUM(((L460-1)*(1-_xlfn.XLOOKUP(K460,'Janeiro 2023 - Valor Real'!A3:A15,'Janeiro 2023 - Valor Real'!C3:C15,0))+1),((L461-1)*(1-_xlfn.XLOOKUP(K461,'Janeiro 2023 - Valor Real'!A3:A15,'Janeiro 2023 - Valor Real'!C3:C15,0))+1),((L462-1)*(1-_xlfn.XLOOKUP(K462,'Janeiro 2023 - Valor Real'!A3:A15,'Janeiro 2023 - Valor Real'!C3:C15,0))+1))/((L462-1)*(1-_xlfn.XLOOKUP(K462,'Janeiro 2023 - Valor Real'!A3:A15,'Janeiro 2023 - Valor Real'!C3:C15,0))+1)))</f>
      </c>
      <c r="AF462" s="132">
        <f>IF($K462=AF$3,ROUND(IF(OR($C462="W",$C462="1/2W",$C462="1/2L"),$P462-$O462,IF($C462="X",0,-$O462)),2),0)</f>
        <v>0</v>
      </c>
      <c r="AG462" s="133">
        <f>IF($K462=AG$3,ROUND(IF(OR($C462="W",$C462="1/2W",$C462="1/2L"),$P462-$O462,IF($C462="X",0,-$O462)),2),0)</f>
        <v>0</v>
      </c>
      <c r="AH462" s="133">
        <f>IF($K462=AH$3,ROUND(IF(OR($C462="W",$C462="1/2W",$C462="1/2L"),$P462-$O462,IF($C462="X",0,-$O462)),2),0)</f>
        <v>0</v>
      </c>
      <c r="AI462" s="133">
        <f>IF($K462=AI$3,ROUND(IF(OR($C462="W",$C462="1/2W",$C462="1/2L"),$P462-$O462,IF($C462="X",0,-$O462)),2),0)</f>
        <v>0</v>
      </c>
      <c r="AJ462" s="133">
        <f>IF($K462=AJ$3,ROUND(IF(OR($C462="W",$C462="1/2W",$C462="1/2L"),$P462-$O462,IF($C462="X",0,-$O462)),2),0)</f>
        <v>0</v>
      </c>
      <c r="AK462" s="133">
        <f>IF($K462=AK$3,ROUND(IF(OR($C462="W",$C462="1/2W",$C462="1/2L"),$P462-$O462,IF($C462="X",0,-$O462)),2),0)</f>
        <v>0</v>
      </c>
      <c r="AL462" s="133">
        <f>IF($K462=AL$3,ROUND(IF(OR($C462="W",$C462="1/2W",$C462="1/2L"),$P462-$O462,IF($C462="X",0,-$O462)),2),0)</f>
        <v>0</v>
      </c>
      <c r="AM462" s="133">
        <f>IF($K462=AM$3,ROUND(IF(OR($C462="W",$C462="1/2W",$C462="1/2L"),$P462-$O462,IF($C462="X",0,-$O462)),2),0)</f>
        <v>0</v>
      </c>
      <c r="AN462" s="133">
        <f>IF($K462=AN$3,ROUND(IF(OR($C462="W",$C462="1/2W",$C462="1/2L"),$P462-$O462,IF($C462="X",0,-$O462)),2),0)</f>
        <v>0</v>
      </c>
      <c r="AO462" s="133">
        <f>IF($K462=AO$3,ROUND(IF(OR($C462="W",$C462="1/2W",$C462="1/2L"),$P462-$O462,IF($C462="X",0,-$O462)),2),0)</f>
        <v>0</v>
      </c>
      <c r="AP462" s="133">
        <f>IF($K462=AP$3,ROUND(IF(OR($C462="W",$C462="1/2W",$C462="1/2L"),$P462-$O462,IF($C462="X",0,-$O462)),2),0)</f>
        <v>0</v>
      </c>
      <c r="AQ462" s="133">
        <f>IF($K462=AQ$3,ROUND(IF(OR($C462="W",$C462="1/2W",$C462="1/2L"),$P462-$O462,IF($C462="X",0,-$O462)),2),0)</f>
        <v>0</v>
      </c>
      <c r="AR462" s="134">
        <f>IF($K462=AR$3,ROUND(IF(OR($C462="W",$C462="1/2W",$C462="1/2L"),$P462-$O462,IF($C462="X",0,-$O462)),2),0)</f>
        <v>0</v>
      </c>
      <c r="AS462" s="132">
        <f>IF(AND($B460=" ",$K462=AS$3),$O462,0)</f>
        <v>0</v>
      </c>
      <c r="AT462" s="133">
        <f>IF(AND($B460=" ",K462=AT$3),$O462,0)</f>
        <v>0</v>
      </c>
      <c r="AU462" s="133">
        <f>IF(AND($B460=" ",$K462=AU$3),$O462,0)</f>
        <v>0</v>
      </c>
      <c r="AV462" s="133">
        <f>IF(AND($B460=" ",$K462=AV$3),$O462,0)</f>
        <v>0</v>
      </c>
      <c r="AW462" s="133">
        <f>IF(AND($B460=" ",$K462=AW$3),$O462,0)</f>
        <v>0</v>
      </c>
      <c r="AX462" s="133">
        <f>IF(AND($B460=" ",$K462=AX$3),$O462,0)</f>
        <v>0</v>
      </c>
      <c r="AY462" s="135">
        <f>IF(AND($B460=" ",$K462=AY$3),$O462,0)</f>
        <v>0</v>
      </c>
      <c r="AZ462" s="136">
        <f>IF(AND($B460=" ",$K462=AZ$3),$O462,0)</f>
        <v>0</v>
      </c>
      <c r="BA462" s="136">
        <f>IF(AND($B460=" ",$K462=BA$3),$O462,0)</f>
        <v>0</v>
      </c>
      <c r="BB462" s="136">
        <f>IF(AND($B460=" ",$K462=BB$3),$O462,0)</f>
        <v>0</v>
      </c>
      <c r="BC462" s="137">
        <f>IF(AND($B460=" ",$K462=BC$3),$O462,0)</f>
        <v>0</v>
      </c>
      <c r="BD462" s="133">
        <f>IF(AND($B460=" ",$K462=BD$3),$O462,0)</f>
        <v>0</v>
      </c>
      <c r="BE462" s="134">
        <f>IF(AND($B460=" ",$K462=BE$3),$O462,0)</f>
        <v>0</v>
      </c>
      <c r="BF462" s="132">
        <f>IF($K462=BF$3,IF($C462="X",0,$O462),0)</f>
        <v>0</v>
      </c>
      <c r="BG462" s="281">
        <f>IF($K462=BG$3,IF($C462="X",0,$O462),0)</f>
        <v>0</v>
      </c>
      <c r="BH462" s="133">
        <f>IF($K462=BH$3,IF($C462="X",0,$O462),0)</f>
        <v>0</v>
      </c>
      <c r="BI462" s="133">
        <f>IF($K462=BI$3,IF($C462="X",0,$O462),0)</f>
        <v>0</v>
      </c>
      <c r="BJ462" s="133">
        <f>IF($K462=BJ$3,IF($C462="X",0,$O462),0)</f>
        <v>0</v>
      </c>
      <c r="BK462" s="133">
        <f>IF($K462=BK$3,IF($C462="X",0,$O462),0)</f>
        <v>0</v>
      </c>
      <c r="BL462" s="133">
        <f>IF($K462=BL$3,IF($C462="X",0,$O462),0)</f>
        <v>0</v>
      </c>
      <c r="BM462" s="135">
        <f>IF($K462=BM$3,IF($C462="X",0,$O462),0)</f>
        <v>0</v>
      </c>
      <c r="BN462" s="136">
        <f>IF($K462=BN$3,IF($C462="X",0,$O462),0)</f>
        <v>0</v>
      </c>
      <c r="BO462" s="136">
        <f>IF($K462=BO$3,IF($C462="X",0,$O462),0)</f>
        <v>0</v>
      </c>
      <c r="BP462" s="136">
        <f>IF($K462=BP$3,IF($C462="X",0,$O462),0)</f>
        <v>0</v>
      </c>
      <c r="BQ462" s="137">
        <f>IF($K462=BQ$3,IF($C462="X",0,$O462),0)</f>
        <v>0</v>
      </c>
      <c r="BR462" s="134">
        <f>IF($K462=BR$3,IF($C462="X",0,$O462),0)</f>
        <v>0</v>
      </c>
      <c r="BS462" s="282"/>
      <c r="BT462" s="283"/>
      <c r="BU462" s="140"/>
      <c r="BV462" s="283"/>
      <c r="BW462" s="140"/>
      <c r="BX462" s="140"/>
      <c r="BY462" s="140"/>
      <c r="BZ462" s="283"/>
      <c r="CA462" s="140"/>
      <c r="CB462" s="140"/>
      <c r="CC462" s="140"/>
      <c r="CD462" s="141"/>
      <c r="CE462" s="142"/>
      <c r="CF462" s="284">
        <f>IF(CF$3=$K462,IF($C462="W",1,IF($C462="1/2W",0.5,0)),0)</f>
        <v>0</v>
      </c>
      <c r="CG462" s="285">
        <f>IF(CF$3=$K462,IF($C462="L",1,IF($C462="1/2L",0.5,0)),0)</f>
        <v>0</v>
      </c>
      <c r="CH462" s="285">
        <f>IF(CH$3=$K462,IF($C462="W",1,IF($C462="1/2W",0.5,0)),0)</f>
        <v>0</v>
      </c>
      <c r="CI462" s="285">
        <f>IF(CH$3=$K462,IF($C462="L",1,IF($C462="1/2L",0.5,0)),0)</f>
        <v>0</v>
      </c>
      <c r="CJ462" s="285">
        <f>IF(CJ$3=$K462,IF($C462="W",1,IF($C462="1/2W",0.5,0)),0)</f>
        <v>0</v>
      </c>
      <c r="CK462" s="285">
        <f>IF(CJ$3=$K462,IF($C462="L",1,IF($C462="1/2L",0.5,0)),0)</f>
        <v>0</v>
      </c>
      <c r="CL462" s="285">
        <f>IF(CL$3=$K462,IF($C462="W",1,IF($C462="1/2W",0.5,0)),0)</f>
        <v>0</v>
      </c>
      <c r="CM462" s="285">
        <f>IF(CL$3=$K462,IF($C462="L",1,IF($C462="1/2L",0.5,0)),0)</f>
        <v>0</v>
      </c>
      <c r="CN462" s="285">
        <f>IF(CN$3=$K462,IF($C462="W",1,IF($C462="1/2W",0.5,0)),0)</f>
        <v>0</v>
      </c>
      <c r="CO462" s="285">
        <f>IF(CN$3=$K462,IF($C462="L",1,IF($C462="1/2L",0.5,0)),0)</f>
        <v>0</v>
      </c>
      <c r="CP462" s="285">
        <f>IF(CP$3=$K462,IF($C462="W",1,IF($C462="1/2W",0.5,0)),0)</f>
        <v>0</v>
      </c>
      <c r="CQ462" s="285">
        <f>IF(CP$3=$K462,IF($C462="L",1,IF($C462="1/2L",0.5,0)),0)</f>
        <v>0</v>
      </c>
      <c r="CR462" s="285">
        <f>IF(CR$3=$K462,IF($C462="W",1,IF($C462="1/2W",0.5,0)),0)</f>
        <v>0</v>
      </c>
      <c r="CS462" s="285">
        <f>IF(CR$3=$K462,IF($C462="L",1,IF($C462="1/2L",0.5,0)),0)</f>
        <v>0</v>
      </c>
      <c r="CT462" s="145">
        <f>IF(CT$3=$K462,IF($C462="W",1,IF($C462="1/2W",0.5,0)),0)</f>
        <v>0</v>
      </c>
      <c r="CU462" s="146">
        <f>IF(CT$3=$K462,IF($C462="L",1,IF($C462="1/2L",0.5,0)),0)</f>
        <v>0</v>
      </c>
      <c r="CV462" s="146">
        <f>IF(CV$3=$K462,IF($C462="W",1,IF($C462="1/2W",0.5,0)),0)</f>
        <v>0</v>
      </c>
      <c r="CW462" s="146">
        <f>IF(CV$3=$K462,IF($C462="L",1,IF($C462="1/2L",0.5,0)),0)</f>
        <v>0</v>
      </c>
      <c r="CX462" s="146">
        <f>IF(CX$3=$K462,IF($C462="W",1,IF($C462="1/2W",0.5,0)),0)</f>
        <v>0</v>
      </c>
      <c r="CY462" s="146">
        <f>IF(CX$3=$K462,IF($C462="L",1,IF($C462="1/2L",0.5,0)),0)</f>
        <v>0</v>
      </c>
      <c r="CZ462" s="146">
        <f>IF(CZ$3=$K462,IF($C462="W",1,IF($C462="1/2W",0.5,0)),0)</f>
        <v>0</v>
      </c>
      <c r="DA462" s="146">
        <f>IF(CZ$3=$K462,IF($C462="L",1,IF($C462="1/2L",0.5,0)),0)</f>
        <v>0</v>
      </c>
      <c r="DB462" s="146">
        <f>IF(DB$3=$K462,IF($C462="W",1,IF($C462="1/2W",0.5,0)),0)</f>
        <v>0</v>
      </c>
      <c r="DC462" s="146">
        <f>IF(DB$3=$K462,IF($C462="L",1,IF($C462="1/2L",0.5,0)),0)</f>
        <v>0</v>
      </c>
      <c r="DD462" s="146">
        <f>IF(DD$3=$K462,IF($C462="W",1,IF($C462="1/2W",0.5,0)),0)</f>
        <v>0</v>
      </c>
      <c r="DE462" s="147">
        <f>IF(DD$3=$K462,IF($C462="L",1,IF($C462="1/2L",0.5,0)),0)</f>
        <v>0</v>
      </c>
      <c r="DF462" s="143">
        <f>IF(AND(L462&lt;DF$3,$C462="W"),1+DF461,DF461)</f>
        <v>15</v>
      </c>
      <c r="DG462" s="133">
        <f>IF(DF462&gt;DF461,L462+DG461,DG461)</f>
        <v>19.748</v>
      </c>
      <c r="DH462" s="146">
        <f>IF(AND(L462&gt;DH$3,$C462="W"),1+DH461,0+DH461)</f>
        <v>11</v>
      </c>
      <c r="DI462" s="133">
        <f>IF(DH462&gt;DH461,L462+DI461,DI461)</f>
        <v>59.13</v>
      </c>
      <c r="DJ462" t="s" s="304">
        <f>IF($D460="","",$D460)</f>
        <v>358</v>
      </c>
      <c r="DK462" s="286"/>
    </row>
    <row r="463" ht="14.55" customHeight="1">
      <c r="A463" s="171">
        <f>$A460+1</f>
        <v>154</v>
      </c>
      <c r="B463" t="s" s="172">
        <f>IF(AND(_xlfn.XLOOKUP(H463,H$122:H236,G$122:G236,0)=G463,_xlfn.XLOOKUP("TempoBet",K463:K465,L463:L465,0)&gt;0),"X",IF(OR(C463="W",C464="W",C465="W",C463="1/2W",C464="1/2W",C465="1/2W",C463="1/2L",C464="1/2L",C465="1/2L"),"OK",IF(OR(C463="L",C464="L",C465="L"),"LOSS",IF(OR(C463="X",C464="X",C465="X"),"Anulado"," "))))</f>
        <v>50</v>
      </c>
      <c r="C463" t="s" s="173">
        <v>51</v>
      </c>
      <c r="D463" t="s" s="305">
        <f>IF(G463="","",$D460)</f>
        <v>358</v>
      </c>
      <c r="E463" t="s" s="175">
        <f>IF(G463=""," ","– "&amp;COUNTIF(D$4:D465,$D463))</f>
        <v>115</v>
      </c>
      <c r="F463" t="s" s="176"/>
      <c r="G463" s="177">
        <v>44951.229166666664</v>
      </c>
      <c r="H463" t="s" s="178">
        <v>366</v>
      </c>
      <c r="I463" s="298">
        <v>2</v>
      </c>
      <c r="J463" s="180"/>
      <c r="K463" t="s" s="181">
        <v>41</v>
      </c>
      <c r="L463" s="182">
        <v>2.88</v>
      </c>
      <c r="M463" s="183">
        <v>11.97</v>
      </c>
      <c r="N463" s="184">
        <v>0</v>
      </c>
      <c r="O463" s="185">
        <f>IF(OR(AE463="",AE464=""),"",ROUND(IF(L465&gt;0,IF(M463&gt;0,M463,IF(M464&gt;0,ROUND((M464*AE463)/AE464,IF(N463=0,2,IF(N463=0.1,1,0))),ROUND((M465*AE463)/AE465,IF(N463=0,2,IF(N463=0.1,1,0))))),IF(M463&gt;0,M463,ROUND((M464*AE463)/AE464,IF(N463=0,2,IF(N463=0.1,1,0))))),2))</f>
        <v>11.97</v>
      </c>
      <c r="P463" s="186">
        <f>IF(OR(L463="",O463=""),"",IF($C463="1/2W",O463/2+O463/2*L463,IF($C463="1/2L",O463/2,IF(I463="Lay",(O463*(L463/(L463-1))-O463)*(1-_xlfn.XLOOKUP(K463,'Janeiro 2023 - Valor Real'!A3:A15,'Janeiro 2023 - Valor Real'!C3:C15,0))+O463,(O463*L463-O463)*(1-_xlfn.XLOOKUP(K463,'Janeiro 2023 - Valor Real'!A3:A15,'Janeiro 2023 - Valor Real'!C3:C15,0))+O463))))</f>
        <v>34.4736</v>
      </c>
      <c r="Q463" s="187">
        <f>IF(K463="","",IF(_xlfn.XLOOKUP(K463,K$122:K236,DJ$122:DJ236,0,,-1)=DJ463,_xlfn.XLOOKUP(K463,K$122:K236,Q$122:Q236,1,,-1)+1,1))</f>
        <v>1</v>
      </c>
      <c r="R463" s="188">
        <f>IF(K463="","",_xlfn.XLOOKUP(K463,K$122:K236,R$122:R236,0,,-1)+IF($C463=" ",1,0))</f>
        <v>0</v>
      </c>
      <c r="S463" s="189">
        <f>IF($B463="Anulado",0,ROUND(IF(OR($B463="LOSS",$B463="OK"),IF(OR($C463="W",$C463="1/2W",$C463="1/2L"),P463-O463,IF($C463="L",-O463,0))+IF(OR($C464="W",$C464="1/2W",$C464="1/2L"),P464-O464,IF($C464="L",-O464,0))+IF(OR($C465="W",$C465="1/2W",$C465="1/2L"),P465-O465,IF($C465="L",-O465,0)),IF(AND(OR($C463="W",$C463="1/2W",$C463="1/2L"),C464="W"),P463+P464-SUM(O463:O465)+_xlfn.XLOOKUP("X",C463:C465,O463:O465,0),IF(AND(C463=TRUE,C465="W"),P463+P465-SUM(O463:O465),IF(AND(C464="W",C465="W"),P464+P465-SUM(O463:O465)+_xlfn.XLOOKUP("X",C463:C465,O463:O465,0),IF(L465&gt;0,IF(OR($C463="W",$C463="1/2W",$C463="1/2L"),P463-SUM(O463:O465)+_xlfn.XLOOKUP("X",C463:C465,O463:O465,0),IF(OR($C463="W",$C463="1/2W",$C463="1/2L"),P464-SUM(O463:O465)+_xlfn.XLOOKUP("X",C463:C465,O463:O465,0),IF(OR($C463="W",$C463="1/2W",$C463="1/2L"),P465-SUM(O463:O465)+_xlfn.XLOOKUP("X",C463:C465,O463:O465,0),IF(SUM(P463:P465)/3-SUM(O463:O465)+_xlfn.XLOOKUP("X",C463:C465,O463:O465,0)&gt;0,SUM(P463:P465)/3-SUM(O463:O465)+_xlfn.XLOOKUP("X",C463:C465,O463:O465,0),LARGE(P463:P465,1)-SUM(O463:O465))))),IF(OR($C463="W",$C463="1/2W",$C463="1/2L"),P463-SUM(O463:O464)+_xlfn.XLOOKUP("X",C463:C465,O463:O465,0),IF(OR($C463="W",$C463="1/2W",$C463="1/2L"),P464-SUM(O463:O464)+_xlfn.XLOOKUP("X",C463:C465,O463:O465,0),SUM(P463:P464)/2-SUM(O463:O464)+_xlfn.XLOOKUP("X",C463:C465,O463:O465,0)))))))),2))</f>
        <v>0.95</v>
      </c>
      <c r="T463" s="190">
        <f>IF(S463=0,0,S463/SUM(O463:O465))</f>
        <v>0.0283328362660304</v>
      </c>
      <c r="U463" s="191">
        <f>IF($D463=$D460,IF(OR($B463="LOSS",$B463="OK",$B463="Anulada"),S463,0)+U460,IF(OR($B463="LOSS",$B463="OK",$B463="Anulada"),S463,0))</f>
        <v>9.56</v>
      </c>
      <c r="V463" s="191">
        <f>IF($D463="",0,IF($D463=$D460,IF($B463=" ",IF(I465="",IF(OR(AND(I463="DNB1",I464="DNB2"),AND(OR(I463="DNB1",I463="DNB2"),J464=0),AND(OR(I464="DNB1",I464="DNB2"),J463=0),AND(I463="DNB2",I464="DNB1"),AND(IF(J463=0,(J463+1)/ROUND(J463+1,0),J463/ROUND(J463,0))=1,IF(J464=0,(J464+1)/ROUND(IF(J464="",0,J464)+1,0),IF(J464="",0,J464)/ROUND(IF(J464="",1,J464),0))=1,OR(J463&lt;&gt;""),J464&lt;&gt;"")),0,IF(S463&lt;0,IF(I465="",SMALL(P463:P464,1)-SUM(O463:O464),0),SMALL(P463:P464,1)-SUM(O463:O464))),IF(S463&lt;0,IF(I465="",SMALL(P463:P465,1)-SUM(O463:O465),0),LARGE(P463:P465,1)-SUM(O463:O465))),S463)+V460,IF(I465="",IF(OR(AND(I463="DNB1",I464="DNB2"),AND(OR(I463="DNB1",I463="DNB2"),J464=0),AND(OR(I464="DNB1",I464="DNB2"),J463=0),AND(I463="DNB2",I464="DNB1"),AND(IF(J463=0,(J463+1)/ROUND(J463+1,0),J463/ROUND(J463,0))=1,IF(J464=0,(IF(J464="",0,J464)+1)/ROUND(IF(J464="",0,J464)+1,0),IF(J464="",0,J464)/ROUND(IF(J464="",0,J464)+1,0))=1,OR(J463&lt;&gt;""),J464&lt;&gt;"")),0,IF(S463&lt;0,IF(I465="",SMALL(P463:P464,1)-SUM(O463:O464),0),SMALL(P463:P465,1)-SUM(O463:O465))),IF(S463&lt;0,IF(I465="",SMALL(P463:P465,1)-SUM(O463:O465),0),LARGE(P463:P465,1)-SUM(O463:O465)))))</f>
        <v>9.56</v>
      </c>
      <c r="W463" s="191">
        <f>IF($D463=$D460,IF(S463&lt;0,IF(I465="",S463,0),S463)+W460,S463)</f>
        <v>9.56</v>
      </c>
      <c r="X463" t="s" s="192">
        <f>IF(OR(SUM(R463:R465)=0,V463=W463),ROUND(IF(W463=0,0,W463/Y463)*100,2)&amp;"%",ROUND(IF(V463=0,0,V463/Y463)*100,2)&amp;"% a "&amp;ROUND(IF(W463=0,0,W463/Y463)*100,2)&amp;"%")</f>
        <v>367</v>
      </c>
      <c r="Y463" s="193">
        <f>IF($D463=$D460,Y460+SUM(O463:O465),SUM(O463:O465))</f>
        <v>158.23</v>
      </c>
      <c r="Z463" s="191">
        <f>IF($B463=" ",SUM(O463:O465),0)+Z460</f>
        <v>0</v>
      </c>
      <c r="AA463" s="191">
        <f>IF(G463="","",IF($B463="Anulado",LARGE(P463:P465,1)-SUM(O463:O465)+AA460,AA460))</f>
        <v>22.2257</v>
      </c>
      <c r="AB463" s="191">
        <f>IF($D463="","",AB460+S463)</f>
        <v>317.41</v>
      </c>
      <c r="AC463" s="194">
        <f>IF($D463="","",IF($B463=" ",IF(DAY(G463)=DAY(TODAY()),1+AC460,0+AC460),0+AC460))</f>
        <v>0</v>
      </c>
      <c r="AD463" s="195">
        <f>(((L464/(L464-1)-1)*(1-_xlfn.XLOOKUP(K464,'Janeiro 2023 - Valor Real'!A3:A15,'Janeiro 2023 - Valor Real'!C3:C15,0))+1))/(((L463-1)*(1-_xlfn.XLOOKUP(K463,'Janeiro 2023 - Valor Real'!A3:A15,'Janeiro 2023 - Valor Real'!C3:C15,0))+1)+((L464/(L464-1)-1)*(1-_xlfn.XLOOKUP(K464,'Janeiro 2023 - Valor Real'!A3:A15,'Janeiro 2023 - Valor Real'!C3:C15,0))+1))</f>
        <v>0.357050860070408</v>
      </c>
      <c r="AE463" s="196">
        <f>IF(L463="","",IF(L465&gt;0,(SUM(((L463-1)*(1-_xlfn.XLOOKUP(K463,'Janeiro 2023 - Valor Real'!A3:A15,'Janeiro 2023 - Valor Real'!C3:C15,0))+1),((L464-1)*(1-_xlfn.XLOOKUP(K464,'Janeiro 2023 - Valor Real'!A3:A15,'Janeiro 2023 - Valor Real'!C3:C15,0))+1),((L465-1)*(1-_xlfn.XLOOKUP(K465,'Janeiro 2023 - Valor Real'!A3:A15,'Janeiro 2023 - Valor Real'!C3:C15,0))+1))/((L463-1)*(1-_xlfn.XLOOKUP(K463,'Janeiro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Real'!C3:C15,0))+1))/((L463-1)*(1-_xlfn.XLOOKUP(K463,'Janeiro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Real'!C3:C15,0))+1))/((L464-1)*(1-_xlfn.XLOOKUP(K464,'Janeiro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Real'!C3:C15,0))+1))/((L465-1)*(1-_xlfn.XLOOKUP(K465,'Janeiro 2023 - Valor Real'!A3:A15,'Janeiro 2023 - Valor Real'!C3:C15,0))+1)),IF(I463="Lay",IF(I464="Lay",((L464/(L464-1)-1)*(1-_xlfn.XLOOKUP(K464,'Janeiro 2023 - Valor Real'!A3:A15,'Janeiro 2023 - Valor Real'!C3:C15,0))+1)/(((L464/(L464-1)-1)*(1-_xlfn.XLOOKUP(K464,'Janeiro 2023 - Valor Real'!A3:A15,'Janeiro 2023 - Valor Real'!C3:C15,0))+1)+((L463/(L463-1)-1)*(1-_xlfn.XLOOKUP(K463,'Janeiro 2023 - Valor Real'!A3:A15,'Janeiro 2023 - Valor Real'!C3:C15,0))+1)),((L464-1)*(1-_xlfn.XLOOKUP(K464,'Janeiro 2023 - Valor Real'!A3:A15,'Janeiro 2023 - Valor Real'!C3:C15,0))+1)/(((L464-1)*(1-_xlfn.XLOOKUP(K464,'Janeiro 2023 - Valor Real'!A3:A15,'Janeiro 2023 - Valor Real'!C3:C15,0))+1)+((L463/(L463-1)-1)*(1-_xlfn.XLOOKUP(K463,'Janeiro 2023 - Valor Real'!A3:A15,'Janeiro 2023 - Valor Real'!C3:C15,0))+1))),IF(I464="Lay",(((L464/(L464-1)-1)*(1-_xlfn.XLOOKUP(K464,'Janeiro 2023 - Valor Real'!A3:A15,'Janeiro 2023 - Valor Real'!C3:C15,0))+1))/(((L463-1)*(1-_xlfn.XLOOKUP(K463,'Janeiro 2023 - Valor Real'!A3:A15,'Janeiro 2023 - Valor Real'!C3:C15,0))+1)+((L464/(L464-1)-1)*(1-_xlfn.XLOOKUP(K464,'Janeiro 2023 - Valor Real'!A3:A15,'Janeiro 2023 - Valor Real'!C3:C15,0))+1)),((L464-1)*(1-_xlfn.XLOOKUP(K464,'Janeiro 2023 - Valor Real'!A3:A15,'Janeiro 2023 - Valor Real'!C3:C15,0))+1)/(((L464-1)*(1-_xlfn.XLOOKUP(K464,'Janeiro 2023 - Valor Real'!A3:A15,'Janeiro 2023 - Valor Real'!C3:C15,0))+1)+((L463-1)*(1-_xlfn.XLOOKUP(K463,'Janeiro 2023 - Valor Real'!A3:A15,'Janeiro 2023 - Valor Real'!C3:C15,0))+1))))))</f>
        <v>0.357050860070408</v>
      </c>
      <c r="AF463" s="197">
        <f>IF($K463=AF$3,ROUND(IF(OR($C463="W",$C463="1/2W",$C463="1/2L"),$P463-$O463,IF($C463="X",0,-$O463)),2),0)</f>
        <v>0</v>
      </c>
      <c r="AG463" s="198">
        <f>IF($K463=AG$3,ROUND(IF(OR($C463="W",$C463="1/2W",$C463="1/2L"),$P463-$O463,IF($C463="X",0,-$O463)),2),0)</f>
        <v>0</v>
      </c>
      <c r="AH463" s="198">
        <f>IF($K463=AH$3,ROUND(IF(OR($C463="W",$C463="1/2W",$C463="1/2L"),$P463-$O463,IF($C463="X",0,-$O463)),2),0)</f>
        <v>0</v>
      </c>
      <c r="AI463" s="198">
        <f>IF($K463=AI$3,ROUND(IF(OR($C463="W",$C463="1/2W",$C463="1/2L"),$P463-$O463,IF($C463="X",0,-$O463)),2),0)</f>
        <v>0</v>
      </c>
      <c r="AJ463" s="198">
        <f>IF($K463=AJ$3,ROUND(IF(OR($C463="W",$C463="1/2W",$C463="1/2L"),$P463-$O463,IF($C463="X",0,-$O463)),2),0)</f>
        <v>-11.97</v>
      </c>
      <c r="AK463" s="198">
        <f>IF($K463=AK$3,ROUND(IF(OR($C463="W",$C463="1/2W",$C463="1/2L"),$P463-$O463,IF($C463="X",0,-$O463)),2),0)</f>
        <v>0</v>
      </c>
      <c r="AL463" s="198">
        <f>IF($K463=AL$3,ROUND(IF(OR($C463="W",$C463="1/2W",$C463="1/2L"),$P463-$O463,IF($C463="X",0,-$O463)),2),0)</f>
        <v>0</v>
      </c>
      <c r="AM463" s="198">
        <f>IF($K463=AM$3,ROUND(IF(OR($C463="W",$C463="1/2W",$C463="1/2L"),$P463-$O463,IF($C463="X",0,-$O463)),2),0)</f>
        <v>0</v>
      </c>
      <c r="AN463" s="198">
        <f>IF($K463=AN$3,ROUND(IF(OR($C463="W",$C463="1/2W",$C463="1/2L"),$P463-$O463,IF($C463="X",0,-$O463)),2),0)</f>
        <v>0</v>
      </c>
      <c r="AO463" s="198">
        <f>IF($K463=AO$3,ROUND(IF(OR($C463="W",$C463="1/2W",$C463="1/2L"),$P463-$O463,IF($C463="X",0,-$O463)),2),0)</f>
        <v>0</v>
      </c>
      <c r="AP463" s="198">
        <f>IF($K463=AP$3,ROUND(IF(OR($C463="W",$C463="1/2W",$C463="1/2L"),$P463-$O463,IF($C463="X",0,-$O463)),2),0)</f>
        <v>0</v>
      </c>
      <c r="AQ463" s="198">
        <f>IF($K463=AQ$3,ROUND(IF(OR($C463="W",$C463="1/2W",$C463="1/2L"),$P463-$O463,IF($C463="X",0,-$O463)),2),0)</f>
        <v>0</v>
      </c>
      <c r="AR463" s="199">
        <f>IF($K463=AR$3,ROUND(IF(OR($C463="W",$C463="1/2W",$C463="1/2L"),$P463-$O463,IF($C463="X",0,-$O463)),2),0)</f>
        <v>0</v>
      </c>
      <c r="AS463" s="197">
        <f>IF(AND($B463=" ",$K463=AS$3),$O463,0)</f>
        <v>0</v>
      </c>
      <c r="AT463" s="198">
        <f>IF(AND($B463=" ",$K463=AT$3),$O463,0)</f>
        <v>0</v>
      </c>
      <c r="AU463" s="198">
        <f>IF(AND($B463=" ",$K463=AU$3),$O463,0)</f>
        <v>0</v>
      </c>
      <c r="AV463" s="198">
        <f>IF(AND($B463=" ",$K463=AV$3),$O463,0)</f>
        <v>0</v>
      </c>
      <c r="AW463" s="198">
        <f>IF(AND($B463=" ",$K463=AW$3),$O463,0)</f>
        <v>0</v>
      </c>
      <c r="AX463" s="198">
        <f>IF(AND($B463=" ",$K463=AX$3),$O463,0)</f>
        <v>0</v>
      </c>
      <c r="AY463" s="200">
        <f>IF(AND($B463=" ",$K463=AY$3),$O463,0)</f>
        <v>0</v>
      </c>
      <c r="AZ463" s="201">
        <f>IF(AND($B463=" ",$K463=AZ$3),$O463,0)</f>
        <v>0</v>
      </c>
      <c r="BA463" s="201">
        <f>IF(AND($B463=" ",$K463=BA$3),$O463,0)</f>
        <v>0</v>
      </c>
      <c r="BB463" s="201">
        <f>IF(AND($B463=" ",$K463=BB$3),$O463,0)</f>
        <v>0</v>
      </c>
      <c r="BC463" s="202">
        <f>IF(AND($B463=" ",$K463=BC$3),$O463,0)</f>
        <v>0</v>
      </c>
      <c r="BD463" s="198">
        <f>IF(AND($B463=" ",$K463=BD$3),$O463,0)</f>
        <v>0</v>
      </c>
      <c r="BE463" s="199">
        <f>IF(AND($B463=" ",$K463=BE$3),$O463,0)</f>
        <v>0</v>
      </c>
      <c r="BF463" s="203">
        <f>IF($K463=BF$3,IF($C463="X",0,$O463),0)</f>
        <v>0</v>
      </c>
      <c r="BG463" s="198">
        <f>IF($K463=BG$3,IF($C463="X",0,$O463),0)</f>
        <v>0</v>
      </c>
      <c r="BH463" s="198">
        <f>IF($K463=BH$3,IF($C463="X",0,$O463),0)</f>
        <v>0</v>
      </c>
      <c r="BI463" s="198">
        <f>IF($K463=BI$3,IF($C463="X",0,$O463),0)</f>
        <v>0</v>
      </c>
      <c r="BJ463" s="198">
        <f>IF($K463=BJ$3,IF($C463="X",0,$O463),0)</f>
        <v>11.97</v>
      </c>
      <c r="BK463" s="198">
        <f>IF($K463=BK$3,IF($C463="X",0,$O463),0)</f>
        <v>0</v>
      </c>
      <c r="BL463" s="198">
        <f>IF($K463=BL$3,IF($C463="X",0,$O463),0)</f>
        <v>0</v>
      </c>
      <c r="BM463" s="200">
        <f>IF($K463=BM$3,IF($C463="X",0,$O463),0)</f>
        <v>0</v>
      </c>
      <c r="BN463" s="201">
        <f>IF($K463=BN$3,IF($C463="X",0,$O463),0)</f>
        <v>0</v>
      </c>
      <c r="BO463" s="201">
        <f>IF($K463=BO$3,IF($C463="X",0,$O463),0)</f>
        <v>0</v>
      </c>
      <c r="BP463" s="201">
        <f>IF($K463=BP$3,IF($C463="X",0,$O463),0)</f>
        <v>0</v>
      </c>
      <c r="BQ463" s="202">
        <f>IF($K463=BQ$3,IF($C463="X",0,$O463),0)</f>
        <v>0</v>
      </c>
      <c r="BR463" s="199">
        <f>IF($K463=BR$3,IF($C463="X",0,$O463),0)</f>
        <v>0</v>
      </c>
      <c r="BS463" s="204">
        <f>IF($B463="LOSS",IF(AND($K463=BS$3,$C463="L"),-$O463,0)+IF(AND($K464=BS$3,$C464="L"),-$O464,0)+IF(AND($K465=BS$3,$C465="L"),-$O465,0),IF(OR(AND($K463=BS$3,OR($C463="W",$C463="1/2W")),AND($K464=BS$3,OR($C464="W",$C464="1/2W")),AND($K465=BS$3,OR($C465="W",$C465="1/2W"))),$S463,0))</f>
        <v>0</v>
      </c>
      <c r="BT463" s="201">
        <f>IF($B463="LOSS",IF(AND($K463=BT$3,$C463="L"),-$O463,0)+IF(AND($K464=BT$3,$C464="L"),-$O464,0)+IF(AND($K464=BT$3,$C465="L"),-$O465,0),IF(OR(AND($K464=BT$3,OR($C463="W",$C463="1/2W")),AND($K464=BT$3,OR($C464="W",$C464="1/2W")),AND($K464=BT$3,OR($C465="W",$C465="1/2W"))),$S463,0))</f>
        <v>0</v>
      </c>
      <c r="BU463" s="201">
        <f>IF($B463="LOSS",IF(AND($K463=BU$3,$C463="L"),-$O463,0)+IF(AND($K464=BU$3,$C464="L"),-$O464,0)+IF(AND($K464=BU$3,$C465="L"),-$O465,0),IF(OR(AND($K464=BU$3,OR($C463="W",$C463="1/2W")),AND($K464=BU$3,OR($C464="W",$C464="1/2W")),AND($K464=BU$3,OR($C465="W",$C465="1/2W"))),$S463,0))</f>
        <v>0.95</v>
      </c>
      <c r="BV463" s="201">
        <f>IF($B463="LOSS",IF(AND($K463=BV$3,$C463="L"),-$O463,0)+IF(AND($K464=BV$3,$C464="L"),-$O464,0)+IF(AND($K465=BV$3,$C465="L"),-$O465,0),IF(OR(AND($K463=BV$3,OR($C463="W",$C463="1/2W")),AND($K464=BV$3,OR($C464="W",$C464="1/2W")),AND($K465=BV$3,OR($C465="W",$C465="1/2W"))),$S463,0))</f>
        <v>0</v>
      </c>
      <c r="BW463" s="201">
        <f>IF($B463="LOSS",IF(AND($K463=BW$3,$C463="L"),-$O463,0)+IF(AND($K464=BW$3,$C464="L"),-$O464,0)+IF(AND($K465=BW$3,$C465="L"),-$O465,0),IF(OR(AND($K463=BW$3,OR($C463="W",$C463="1/2W")),AND($K464=BW$3,OR($C464="W",$C464="1/2W")),AND($K465=BW$3,OR($C465="W",$C465="1/2W"))),$S463,0))</f>
        <v>0</v>
      </c>
      <c r="BX463" s="201">
        <f>IF($B463="LOSS",IF(AND($K463=BX$3,$C463="L"),-$O463,0)+IF(AND($K464=BX$3,$C464="L"),-$O464,0)+IF(AND($K465=BX$3,$C465="L"),-$O465,0),IF(OR(AND($K463=BX$3,OR($C463="W",$C463="1/2W")),AND($K464=BX$3,OR($C464="W",$C464="1/2W")),AND($K465=BX$3,OR($C465="W",$C465="1/2W"))),$S463,0))</f>
        <v>0</v>
      </c>
      <c r="BY463" s="201">
        <f>IF($B463="LOSS",IF(AND($K463=BY$3,$C463="L"),-$O463,0)+IF(AND($K464=BY$3,$C464="L"),-$O464,0)+IF(AND($K465=BY$3,$C465="L"),-$O465,0),IF(OR(AND($K463=BY$3,OR($C463="W",$C463="1/2W")),AND($K464=BY$3,OR($C464="W",$C464="1/2W")),AND($K465=BY$3,OR($C465="W",$C465="1/2W"))),$S463,0))</f>
        <v>0</v>
      </c>
      <c r="BZ463" s="205">
        <f>IF($B463="LOSS",IF(AND($K463=BZ$3,$C463="L"),-$O463,0)+IF(AND($K464=BZ$3,$C464="L"),-$O464,0)+IF(AND($K465=BZ$3,$C465="L"),-$O465,0),IF(OR(AND($K463=BZ$3,OR($C463="W",$C463="1/2W")),AND($K464=BZ$3,OR($C464="W",$C464="1/2W")),AND($K465=BZ$3,OR($C465="W",$C465="1/2W"))),$S463,0))</f>
        <v>0</v>
      </c>
      <c r="CA463" s="205">
        <f>IF($B463="LOSS",IF(AND($K463=CA$3,$C463="L"),-$O463,0)+IF(AND($K464=CA$3,$C464="L"),-$O464,0)+IF(AND($K465=CA$3,$C465="L"),-$O465,0),IF(OR(AND($K463=CA$3,OR($C463="W",$C463="1/2W")),AND($K464=CA$3,OR($C464="W",$C464="1/2W")),AND($K465=CA$3,OR($C465="W",$C465="1/2W"))),$S463,0))</f>
        <v>0</v>
      </c>
      <c r="CB463" s="205">
        <f>IF($B463="LOSS",IF(AND($K463=CB$3,$C463="L"),-$O463,0)+IF(AND($K464=CB$3,$C464="L"),-$O464,0)+IF(AND($K465=CB$3,$C465="L"),-$O465,0),IF(OR(AND($K463=CB$3,OR($C463="W",$C463="1/2W")),AND($K464=CB$3,OR($C464="W",$C464="1/2W")),AND($K465=CB$3,OR($C465="W",$C465="1/2W"))),$S463,0))</f>
        <v>0</v>
      </c>
      <c r="CC463" s="205">
        <f>IF($B463="LOSS",IF(AND($K463=CC$3,$C463="L"),-$O463,0)+IF(AND($K464=CC$3,$C464="L"),-$O464,0)+IF(AND($K465=CC$3,$C465="L"),-$O465,0),IF(OR(AND($K463=CC$3,OR($C463="W",$C463="1/2W")),AND($K464=CC$3,OR($C464="W",$C464="1/2W")),AND($K465=CC$3,OR($C465="W",$C465="1/2W"))),$S463,0))</f>
        <v>0</v>
      </c>
      <c r="CD463" s="202">
        <f>IF($B463="LOSS",IF(AND($K463=CD$3,$C463="L"),-$O463,0)+IF(AND($K464=CD$3,$C464="L"),-$O464,0)+IF(AND($K465=CD$3,$C465="L"),-$O465,0),IF(OR(AND($K463=CD$3,OR($C463="W",$C463="1/2W")),AND($K464=CD$3,OR($C464="W",$C464="1/2W")),AND($K465=CD$3,OR($C465="W",$C465="1/2W"))),$S463,0))</f>
        <v>0</v>
      </c>
      <c r="CE463" s="199">
        <f>IF($B463="LOSS",IF(AND($K463=CE$3,$C463="L"),-$O463,0)+IF(AND($K464=CE$3,$C464="L"),-$O464,0)+IF(AND($K465=CE$3,$C465="L"),-$O465,0),IF(OR(AND($K463=CE$3,OR($C463="W",$C463="1/2W")),AND($K464=CE$3,OR($C464="W",$C464="1/2W")),AND($K465=CE$3,OR($C465="W",$C465="1/2W"))),$S463,0))</f>
        <v>0</v>
      </c>
      <c r="CF463" s="206">
        <f>IF(CF$3=$K463,IF($C463="W",1,IF($C463="1/2W",0.5,0)),0)</f>
        <v>0</v>
      </c>
      <c r="CG463" s="207">
        <f>IF(CF$3=$K463,IF($C463="L",1,IF($C463="1/2L",0.5,0)),0)</f>
        <v>0</v>
      </c>
      <c r="CH463" s="207">
        <f>IF(CH$3=$K463,IF($C463="W",1,IF($C463="1/2W",0.5,0)),0)</f>
        <v>0</v>
      </c>
      <c r="CI463" s="207">
        <f>IF(CH$3=$K463,IF($C463="L",1,IF($C463="1/2L",0.5,0)),0)</f>
        <v>0</v>
      </c>
      <c r="CJ463" s="207">
        <f>IF(CJ$3=$K463,IF($C463="W",1,IF($C463="1/2W",0.5,0)),0)</f>
        <v>0</v>
      </c>
      <c r="CK463" s="207">
        <f>IF(CJ$3=$K463,IF($C463="L",1,IF($C463="1/2L",0.5,0)),0)</f>
        <v>0</v>
      </c>
      <c r="CL463" s="207">
        <f>IF(CL$3=$K463,IF($C463="W",1,IF($C463="1/2W",0.5,0)),0)</f>
        <v>0</v>
      </c>
      <c r="CM463" s="207">
        <f>IF(CL$3=$K463,IF($C463="L",1,IF($C463="1/2L",0.5,0)),0)</f>
        <v>0</v>
      </c>
      <c r="CN463" s="207">
        <f>IF(CN$3=$K463,IF($C463="W",1,IF($C463="1/2W",0.5,0)),0)</f>
        <v>0</v>
      </c>
      <c r="CO463" s="207">
        <f>IF(CN$3=$K463,IF($C463="L",1,IF($C463="1/2L",0.5,0)),0)</f>
        <v>1</v>
      </c>
      <c r="CP463" s="207">
        <f>IF(CP$3=$K463,IF($C463="W",1,IF($C463="1/2W",0.5,0)),0)</f>
        <v>0</v>
      </c>
      <c r="CQ463" s="207">
        <f>IF(CP$3=$K463,IF($C463="L",1,IF($C463="1/2L",0.5,0)),0)</f>
        <v>0</v>
      </c>
      <c r="CR463" s="207">
        <f>IF(CR$3=$K463,IF($C463="W",1,IF($C463="1/2W",0.5,0)),0)</f>
        <v>0</v>
      </c>
      <c r="CS463" s="207">
        <f>IF(CR$3=$K463,IF($C463="L",1,IF($C463="1/2L",0.5,0)),0)</f>
        <v>0</v>
      </c>
      <c r="CT463" s="208">
        <f>IF(CT$3=$K463,IF($C463="W",1,IF($C463="1/2W",0.5,0)),0)</f>
        <v>0</v>
      </c>
      <c r="CU463" s="209">
        <f>IF(CT$3=$K463,IF($C463="L",1,IF($C463="1/2L",0.5,0)),0)</f>
        <v>0</v>
      </c>
      <c r="CV463" s="209">
        <f>IF(CV$3=$K463,IF($C463="W",1,IF($C463="1/2W",0.5,0)),0)</f>
        <v>0</v>
      </c>
      <c r="CW463" s="209">
        <f>IF(CV$3=$K463,IF($C463="L",1,IF($C463="1/2L",0.5,0)),0)</f>
        <v>0</v>
      </c>
      <c r="CX463" s="209">
        <f>IF(CX$3=$K463,IF($C463="W",1,IF($C463="1/2W",0.5,0)),0)</f>
        <v>0</v>
      </c>
      <c r="CY463" s="209">
        <f>IF(CX$3=$K463,IF($C463="L",1,IF($C463="1/2L",0.5,0)),0)</f>
        <v>0</v>
      </c>
      <c r="CZ463" s="209">
        <f>IF(CZ$3=$K463,IF($C463="W",1,IF($C463="1/2W",0.5,0)),0)</f>
        <v>0</v>
      </c>
      <c r="DA463" s="209">
        <f>IF(CZ$3=$K463,IF($C463="L",1,IF($C463="1/2L",0.5,0)),0)</f>
        <v>0</v>
      </c>
      <c r="DB463" s="209">
        <f>IF(DB$3=$K463,IF($C463="W",1,IF($C463="1/2W",0.5,0)),0)</f>
        <v>0</v>
      </c>
      <c r="DC463" s="209">
        <f>IF(DB$3=$K463,IF($C463="L",1,IF($C463="1/2L",0.5,0)),0)</f>
        <v>0</v>
      </c>
      <c r="DD463" s="209">
        <f>IF(DD$3=$K463,IF($C463="W",1,IF($C463="1/2W",0.5,0)),0)</f>
        <v>0</v>
      </c>
      <c r="DE463" s="210">
        <f>IF(DD$3=$K463,IF($C463="L",1,IF($C463="1/2L",0.5,0)),0)</f>
        <v>0</v>
      </c>
      <c r="DF463" s="211">
        <f>IF(AND(L463&lt;DF$3,$C463="W"),1+DF462,DF462)</f>
        <v>15</v>
      </c>
      <c r="DG463" s="198">
        <f>IF(DF463&gt;DF462,L463+DG462,DG462)</f>
        <v>19.748</v>
      </c>
      <c r="DH463" s="209">
        <f>IF(AND(L463&gt;DH$3,$C463="W"),1+DH462,0+DH462)</f>
        <v>11</v>
      </c>
      <c r="DI463" s="198">
        <f>IF(DH463&gt;DH462,L463+DI462,DI462)</f>
        <v>59.13</v>
      </c>
      <c r="DJ463" t="s" s="306">
        <f>IF($D463="","",$D463)</f>
        <v>358</v>
      </c>
      <c r="DK463" s="209">
        <f>IF(AND($B463=" ",$D463&lt;&gt;""),1,0)</f>
        <v>0</v>
      </c>
    </row>
    <row r="464" ht="14.55" customHeight="1">
      <c r="A464" s="107"/>
      <c r="B464" s="108"/>
      <c r="C464" t="s" s="213">
        <v>56</v>
      </c>
      <c r="D464" s="110"/>
      <c r="E464" s="111"/>
      <c r="F464" s="113"/>
      <c r="G464" s="214"/>
      <c r="H464" s="114"/>
      <c r="I464" t="s" s="215">
        <v>75</v>
      </c>
      <c r="J464" t="s" s="216">
        <f>IF(OR(I463="TO",I463="TU",I463="TO1",I463="TU1",I463="TO2",I463="TU2"),J463,IF(OR(I463="AH1",I463="AH2"),IF(OR(I464="AH1",I464="AH2"),-J463,IF(OR(I464="EH1",I464="EH2"),-J463+0.5,"")),IF(OR(I463="EH1",I463="EH2"),IF(OR(I464="AH1",I464="AH2"),-J463+0.5,IF(OR(I464="EH1",I464="EH2"),-J463+1,"")),IF(AND(OR(I463="DNB1",I463="DNB2"),OR(I464="AH1",I464="AH2")),0,IF(AND(I463="Not ScoreBoth",OR(I464="TO1",I464="TO2")),0.5,"")))))</f>
      </c>
      <c r="K464" t="s" s="217">
        <v>39</v>
      </c>
      <c r="L464" s="218">
        <v>2.56</v>
      </c>
      <c r="M464" s="219">
        <v>21.56</v>
      </c>
      <c r="N464" s="120"/>
      <c r="O464" s="220">
        <f>IF(OR(AE463="",AE464=""),"",ROUND(IF(L465&gt;0,IF(M464&gt;0,M464,IF(M463&gt;0,IF(N463=TRUE,ROUND((M463*AE464)/AE463,0),(M463*AE464)/AE463),IF(M464&gt;0,ROUND(M464,IF(N463=0,2,IF(N463=0.1,1,0))),IF(M465&gt;0,ROUND(O465*AE464/AE465,IF(N463=0,2,IF(N463=0.1,1,0))),0)))),IF(M464&gt;0,M464,ROUND((M463*AE464)/AE463,IF(N463=0,2,IF(N463=0.1,1,0))))),2))</f>
        <v>21.56</v>
      </c>
      <c r="P464" s="221">
        <f>IF(OR(L464="",O464=""),"",IF($C464="1/2W",O464/2+O464/2*L464,IF($C464="1/2L",O464/2,IF(I464="Lay",((O464*(L464/(L464-1)))-O464)*(1-_xlfn.XLOOKUP(K464,'Janeiro 2023 - Valor Real'!A3:A15,'Janeiro 2023 - Valor Real'!C3:C15,0))+O464,(O464*L464-O464)*(1-_xlfn.XLOOKUP(K464,'Janeiro 2023 - Valor Real'!A3:A15,'Janeiro 2023 - Valor Real'!C3:C15,0))+O464))))</f>
        <v>34.4821794871795</v>
      </c>
      <c r="Q464" s="222">
        <f>IF(K464="","",IF(_xlfn.XLOOKUP(K464,K$123:K237,DJ$123:DJ237,0,,-1)=DJ464,_xlfn.XLOOKUP(K464,K$123:K237,Q$123:Q237,1,,-1)+1,1))</f>
        <v>1</v>
      </c>
      <c r="R464" s="223">
        <f>IF(K464="","",_xlfn.XLOOKUP(K464,K$123:K237,R$123:R237,0,,-1)+IF($C464=" ",1,0))</f>
        <v>0</v>
      </c>
      <c r="S464" s="125"/>
      <c r="T464" s="126"/>
      <c r="U464" s="126"/>
      <c r="V464" s="224"/>
      <c r="W464" s="126"/>
      <c r="X464" s="127"/>
      <c r="Y464" s="128"/>
      <c r="Z464" s="129"/>
      <c r="AA464" s="129"/>
      <c r="AB464" s="129"/>
      <c r="AC464" s="129"/>
      <c r="AD464" s="225">
        <f>(((L464/(L464-1)-1)*(1-_xlfn.XLOOKUP(K464,'Janeiro 2023 - Valor Real'!A3:A15,'Janeiro 2023 - Valor Real'!C3:C15,0))+1))</f>
        <v>1.59935897435897</v>
      </c>
      <c r="AE464" s="226">
        <f>IF(L464="","",IF(L465&gt;0,(SUM(((L463-1)*(1-_xlfn.XLOOKUP(K463,'Janeiro 2023 - Valor Real'!A3:A15,'Janeiro 2023 - Valor Real'!C3:C15,0))+1),((L464-1)*(1-_xlfn.XLOOKUP(K464,'Janeiro 2023 - Valor Real'!A3:A15,'Janeiro 2023 - Valor Real'!C3:C15,0))+1),((L465-1)*(1-_xlfn.XLOOKUP(K465,'Janeiro 2023 - Valor Real'!A3:A15,'Janeiro 2023 - Valor Real'!C3:C15,0))+1))/((L464-1)*(1-_xlfn.XLOOKUP(K464,'Janeiro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Real'!C3:C15,0))+1))/((L463-1)*(1-_xlfn.XLOOKUP(K463,'Janeiro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Real'!C3:C15,0))+1))/((L464-1)*(1-_xlfn.XLOOKUP(K464,'Janeiro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Real'!C3:C15,0))+1))/((L465-1)*(1-_xlfn.XLOOKUP(K465,'Janeiro 2023 - Valor Real'!A3:A15,'Janeiro 2023 - Valor Real'!C3:C15,0))+1)),IF(I464="Lay",IF(I463="Lay",((L463/(L463-1)-1)*(1-_xlfn.XLOOKUP(K463,'Janeiro 2023 - Valor Real'!A3:A15,'Janeiro 2023 - Valor Real'!C3:C15,0))+1)/(((L463/(L463-1)-1)*(1-_xlfn.XLOOKUP(K463,'Janeiro 2023 - Valor Real'!A3:A15,'Janeiro 2023 - Valor Real'!C3:C15,0))+1)+((L464/(L464-1)-1)*(1-_xlfn.XLOOKUP(K464,'Janeiro 2023 - Valor Real'!A3:A15,'Janeiro 2023 - Valor Real'!C3:C15,0))+1)),((L463-1)*(1-_xlfn.XLOOKUP(K463,'Janeiro 2023 - Valor Real'!A3:A15,'Janeiro 2023 - Valor Real'!C3:C15,0))+1)/(((L463-1)*(1-_xlfn.XLOOKUP(K463,'Janeiro 2023 - Valor Real'!A3:A15,'Janeiro 2023 - Valor Real'!C3:C15,0))+1)+((L464/(L464-1)-1)*(1-_xlfn.XLOOKUP(K464,'Janeiro 2023 - Valor Real'!A3:A15,'Janeiro 2023 - Valor Real'!C3:C15,0))+1))),IF(I463="Lay",((L463/(L463-1)-1)*(1-_xlfn.XLOOKUP(K463,'Janeiro 2023 - Valor Real'!A3:A15,'Janeiro 2023 - Valor Real'!C3:C15,0))+1)/((((L463/(L463-1)-1)*(1-_xlfn.XLOOKUP(K463,'Janeiro 2023 - Valor Real'!A3:A15,'Janeiro 2023 - Valor Real'!C3:C15,0))+1))+((L464-1)*(1-_xlfn.XLOOKUP(K464,'Janeiro 2023 - Valor Real'!A3:A15,'Janeiro 2023 - Valor Real'!C3:C15,0))+1)),((L463-1)*(1-_xlfn.XLOOKUP(K463,'Janeiro 2023 - Valor Real'!A3:A15,'Janeiro 2023 - Valor Real'!C3:C15,0))+1)/(((L463-1)*(1-_xlfn.XLOOKUP(K463,'Janeiro 2023 - Valor Real'!A3:A15,'Janeiro 2023 - Valor Real'!C3:C15,0))+1)+((L464-1)*(1-_xlfn.XLOOKUP(K464,'Janeiro 2023 - Valor Real'!A3:A15,'Janeiro 2023 - Valor Real'!C3:C15,0))+1))))))</f>
        <v>0.642949139929592</v>
      </c>
      <c r="AF464" s="197">
        <f>IF($K464=AF$3,ROUND(IF(OR($C464="W",$C464="1/2W",$C464="1/2L"),$P464-$O464,IF($C464="X",0,-$O464)),2),0)</f>
        <v>0</v>
      </c>
      <c r="AG464" s="198">
        <f>IF($K464=AG$3,ROUND(IF(OR($C464="W",$C464="1/2W",$C464="1/2L"),$P464-$O464,IF($C464="X",0,-$O464)),2),0)</f>
        <v>0</v>
      </c>
      <c r="AH464" s="198">
        <f>IF($K464=AH$3,ROUND(IF(OR($C464="W",$C464="1/2W",$C464="1/2L"),$P464-$O464,IF($C464="X",0,-$O464)),2),0)</f>
        <v>12.92</v>
      </c>
      <c r="AI464" s="198">
        <f>IF($K464=AI$3,ROUND(IF(OR($C464="W",$C464="1/2W",$C464="1/2L"),$P464-$O464,IF($C464="X",0,-$O464)),2),0)</f>
        <v>0</v>
      </c>
      <c r="AJ464" s="198">
        <f>IF($K464=AJ$3,ROUND(IF(OR($C464="W",$C464="1/2W",$C464="1/2L"),$P464-$O464,IF($C464="X",0,-$O464)),2),0)</f>
        <v>0</v>
      </c>
      <c r="AK464" s="198">
        <f>IF($K464=AK$3,ROUND(IF(OR($C464="W",$C464="1/2W",$C464="1/2L"),$P464-$O464,IF($C464="X",0,-$O464)),2),0)</f>
        <v>0</v>
      </c>
      <c r="AL464" s="198">
        <f>IF($K464=AL$3,ROUND(IF(OR($C464="W",$C464="1/2W",$C464="1/2L"),$P464-$O464,IF($C464="X",0,-$O464)),2),0)</f>
        <v>0</v>
      </c>
      <c r="AM464" s="198">
        <f>IF($K464=AM$3,ROUND(IF(OR($C464="W",$C464="1/2W",$C464="1/2L"),$P464-$O464,IF($C464="X",0,-$O464)),2),0)</f>
        <v>0</v>
      </c>
      <c r="AN464" s="198">
        <f>IF($K464=AN$3,ROUND(IF(OR($C464="W",$C464="1/2W",$C464="1/2L"),$P464-$O464,IF($C464="X",0,-$O464)),2),0)</f>
        <v>0</v>
      </c>
      <c r="AO464" s="198">
        <f>IF($K464=AO$3,ROUND(IF(OR($C464="W",$C464="1/2W",$C464="1/2L"),$P464-$O464,IF($C464="X",0,-$O464)),2),0)</f>
        <v>0</v>
      </c>
      <c r="AP464" s="198">
        <f>IF($K464=AP$3,ROUND(IF(OR($C464="W",$C464="1/2W",$C464="1/2L"),$P464-$O464,IF($C464="X",0,-$O464)),2),0)</f>
        <v>0</v>
      </c>
      <c r="AQ464" s="198">
        <f>IF($K464=AQ$3,ROUND(IF(OR($C464="W",$C464="1/2W",$C464="1/2L"),$P464-$O464,IF($C464="X",0,-$O464)),2),0)</f>
        <v>0</v>
      </c>
      <c r="AR464" s="199">
        <f>IF($K464=AR$3,ROUND(IF(OR($C464="W",$C464="1/2W",$C464="1/2L"),$P464-$O464,IF($C464="X",0,-$O464)),2),0)</f>
        <v>0</v>
      </c>
      <c r="AS464" s="197">
        <f>IF(AND($B463=" ",$K464=AS$3),$O464,0)</f>
        <v>0</v>
      </c>
      <c r="AT464" s="198">
        <f>IF(AND($B463=" ",K464=AT$3),$O464,0)</f>
        <v>0</v>
      </c>
      <c r="AU464" s="198">
        <f>IF(AND($B463=" ",$K464=AU$3),$O464,0)</f>
        <v>0</v>
      </c>
      <c r="AV464" s="198">
        <f>IF(AND($B463=" ",$K464=AV$3),$O464,0)</f>
        <v>0</v>
      </c>
      <c r="AW464" s="198">
        <f>IF(AND($B463=" ",$K464=AW$3),$O464,0)</f>
        <v>0</v>
      </c>
      <c r="AX464" s="198">
        <f>IF(AND($B463=" ",$K464=AX$3),$O464,0)</f>
        <v>0</v>
      </c>
      <c r="AY464" s="200">
        <f>IF(AND($B463=" ",$K464=AY$3),$O464,0)</f>
        <v>0</v>
      </c>
      <c r="AZ464" s="201">
        <f>IF(AND($B463=" ",$K464=AZ$3),$O464,0)</f>
        <v>0</v>
      </c>
      <c r="BA464" s="201">
        <f>IF(AND($B463=" ",$K464=BA$3),$O464,0)</f>
        <v>0</v>
      </c>
      <c r="BB464" s="201">
        <f>IF(AND($B463=" ",$K464=BB$3),$O464,0)</f>
        <v>0</v>
      </c>
      <c r="BC464" s="202">
        <f>IF(AND($B463=" ",$K464=BC$3),$O464,0)</f>
        <v>0</v>
      </c>
      <c r="BD464" s="198">
        <f>IF(AND($B463=" ",$K464=BD$3),$O464,0)</f>
        <v>0</v>
      </c>
      <c r="BE464" s="199">
        <f>IF(AND($B463=" ",$K464=BE$3),$O464,0)</f>
        <v>0</v>
      </c>
      <c r="BF464" s="197">
        <f>IF($K464=BF$3,IF($C464="X",0,$O464),0)</f>
        <v>0</v>
      </c>
      <c r="BG464" s="198">
        <f>IF($K464=BG$3,IF($C464="X",0,$O464),0)</f>
        <v>0</v>
      </c>
      <c r="BH464" s="198">
        <f>IF($K464=BH$3,IF($C464="X",0,$O464),0)</f>
        <v>21.56</v>
      </c>
      <c r="BI464" s="198">
        <f>IF($K464=BI$3,IF($C464="X",0,$O464),0)</f>
        <v>0</v>
      </c>
      <c r="BJ464" s="198">
        <f>IF($K464=BJ$3,IF($C464="X",0,$O464),0)</f>
        <v>0</v>
      </c>
      <c r="BK464" s="198">
        <f>IF($K464=BK$3,IF($C464="X",0,$O464),0)</f>
        <v>0</v>
      </c>
      <c r="BL464" s="198">
        <f>IF($K464=BL$3,IF($C464="X",0,$O464),0)</f>
        <v>0</v>
      </c>
      <c r="BM464" s="227">
        <f>IF($K464=BM$3,IF($C464="X",0,$O464),0)</f>
        <v>0</v>
      </c>
      <c r="BN464" s="205">
        <f>IF($K464=BN$3,IF($C464="X",0,$O464),0)</f>
        <v>0</v>
      </c>
      <c r="BO464" s="205">
        <f>IF($K464=BO$3,IF($C464="X",0,$O464),0)</f>
        <v>0</v>
      </c>
      <c r="BP464" s="205">
        <f>IF($K464=BP$3,IF($C464="X",0,$O464),0)</f>
        <v>0</v>
      </c>
      <c r="BQ464" s="202">
        <f>IF($K464=BQ$3,IF($C464="X",0,$O464),0)</f>
        <v>0</v>
      </c>
      <c r="BR464" s="199">
        <f>IF($K464=BR$3,IF($C464="X",0,$O464),0)</f>
        <v>0</v>
      </c>
      <c r="BS464" s="228"/>
      <c r="BT464" s="229"/>
      <c r="BU464" s="140"/>
      <c r="BV464" s="229"/>
      <c r="BW464" s="140"/>
      <c r="BX464" s="140"/>
      <c r="BY464" s="140"/>
      <c r="BZ464" s="229"/>
      <c r="CA464" s="140"/>
      <c r="CB464" s="140"/>
      <c r="CC464" s="140"/>
      <c r="CD464" s="141"/>
      <c r="CE464" s="142"/>
      <c r="CF464" s="230">
        <f>IF(CF$3=$K464,IF($C464="W",1,IF($C464="1/2W",0.5,0)),0)</f>
        <v>0</v>
      </c>
      <c r="CG464" s="231">
        <f>IF(CF$3=$K464,IF($C464="L",1,IF($C464="1/2L",0.5,0)),0)</f>
        <v>0</v>
      </c>
      <c r="CH464" s="231">
        <f>IF(CH$3=$K464,IF($C464="W",1,IF($C464="1/2W",0.5,0)),0)</f>
        <v>0</v>
      </c>
      <c r="CI464" s="231">
        <f>IF(CH$3=$K464,IF($C464="L",1,IF($C464="1/2L",0.5,0)),0)</f>
        <v>0</v>
      </c>
      <c r="CJ464" s="231">
        <f>IF(CJ$3=$K464,IF($C464="W",1,IF($C464="1/2W",0.5,0)),0)</f>
        <v>1</v>
      </c>
      <c r="CK464" s="231">
        <f>IF(CJ$3=$K464,IF($C464="L",1,IF($C464="1/2L",0.5,0)),0)</f>
        <v>0</v>
      </c>
      <c r="CL464" s="231">
        <f>IF(CL$3=$K464,IF($C464="W",1,IF($C464="1/2W",0.5,0)),0)</f>
        <v>0</v>
      </c>
      <c r="CM464" s="231">
        <f>IF(CL$3=$K464,IF($C464="L",1,IF($C464="1/2L",0.5,0)),0)</f>
        <v>0</v>
      </c>
      <c r="CN464" s="231">
        <f>IF(CN$3=$K464,IF($C464="W",1,IF($C464="1/2W",0.5,0)),0)</f>
        <v>0</v>
      </c>
      <c r="CO464" s="231">
        <f>IF(CN$3=$K464,IF($C464="L",1,IF($C464="1/2L",0.5,0)),0)</f>
        <v>0</v>
      </c>
      <c r="CP464" s="231">
        <f>IF(CP$3=$K464,IF($C464="W",1,IF($C464="1/2W",0.5,0)),0)</f>
        <v>0</v>
      </c>
      <c r="CQ464" s="231">
        <f>IF(CP$3=$K464,IF($C464="L",1,IF($C464="1/2L",0.5,0)),0)</f>
        <v>0</v>
      </c>
      <c r="CR464" s="231">
        <f>IF(CR$3=$K464,IF($C464="W",1,IF($C464="1/2W",0.5,0)),0)</f>
        <v>0</v>
      </c>
      <c r="CS464" s="231">
        <f>IF(CR$3=$K464,IF($C464="L",1,IF($C464="1/2L",0.5,0)),0)</f>
        <v>0</v>
      </c>
      <c r="CT464" s="208">
        <f>IF(CT$3=$K464,IF($C464="W",1,IF($C464="1/2W",0.5,0)),0)</f>
        <v>0</v>
      </c>
      <c r="CU464" s="209">
        <f>IF(CT$3=$K464,IF($C464="L",1,IF($C464="1/2L",0.5,0)),0)</f>
        <v>0</v>
      </c>
      <c r="CV464" s="209">
        <f>IF(CV$3=$K464,IF($C464="W",1,IF($C464="1/2W",0.5,0)),0)</f>
        <v>0</v>
      </c>
      <c r="CW464" s="209">
        <f>IF(CV$3=$K464,IF($C464="L",1,IF($C464="1/2L",0.5,0)),0)</f>
        <v>0</v>
      </c>
      <c r="CX464" s="209">
        <f>IF(CX$3=$K464,IF($C464="W",1,IF($C464="1/2W",0.5,0)),0)</f>
        <v>0</v>
      </c>
      <c r="CY464" s="209">
        <f>IF(CX$3=$K464,IF($C464="L",1,IF($C464="1/2L",0.5,0)),0)</f>
        <v>0</v>
      </c>
      <c r="CZ464" s="209">
        <f>IF(CZ$3=$K464,IF($C464="W",1,IF($C464="1/2W",0.5,0)),0)</f>
        <v>0</v>
      </c>
      <c r="DA464" s="209">
        <f>IF(CZ$3=$K464,IF($C464="L",1,IF($C464="1/2L",0.5,0)),0)</f>
        <v>0</v>
      </c>
      <c r="DB464" s="209">
        <f>IF(DB$3=$K464,IF($C464="W",1,IF($C464="1/2W",0.5,0)),0)</f>
        <v>0</v>
      </c>
      <c r="DC464" s="209">
        <f>IF(DB$3=$K464,IF($C464="L",1,IF($C464="1/2L",0.5,0)),0)</f>
        <v>0</v>
      </c>
      <c r="DD464" s="209">
        <f>IF(DD$3=$K464,IF($C464="W",1,IF($C464="1/2W",0.5,0)),0)</f>
        <v>0</v>
      </c>
      <c r="DE464" s="210">
        <f>IF(DD$3=$K464,IF($C464="L",1,IF($C464="1/2L",0.5,0)),0)</f>
        <v>0</v>
      </c>
      <c r="DF464" s="211">
        <f>IF(AND(L464&lt;DF$3,$C464="W"),1+DF463,DF463)</f>
        <v>15</v>
      </c>
      <c r="DG464" s="198">
        <f>IF(DF464&gt;DF463,L464+DG463,DG463)</f>
        <v>19.748</v>
      </c>
      <c r="DH464" s="209">
        <f>IF(AND(L464&gt;DH$3,$C464="W"),1+DH463,0+DH463)</f>
        <v>11</v>
      </c>
      <c r="DI464" s="198">
        <f>IF(DH464&gt;DH463,L464+DI463,DI463)</f>
        <v>59.13</v>
      </c>
      <c r="DJ464" t="s" s="306">
        <f>IF($D463="","",$D463)</f>
        <v>358</v>
      </c>
      <c r="DK464" s="232"/>
    </row>
    <row r="465" ht="14.55" customHeight="1">
      <c r="A465" s="149"/>
      <c r="B465" s="150"/>
      <c r="C465" t="s" s="233">
        <v>58</v>
      </c>
      <c r="D465" s="152"/>
      <c r="E465" s="153"/>
      <c r="F465" s="155"/>
      <c r="G465" s="234"/>
      <c r="H465" s="156"/>
      <c r="I465" s="235"/>
      <c r="J465" s="236"/>
      <c r="K465" s="237"/>
      <c r="L465" s="238"/>
      <c r="M465" s="239"/>
      <c r="N465" s="161"/>
      <c r="O465" t="s" s="240">
        <f>IF(OR(AE463="",AE464=""),"",IF(L465&gt;0,ROUND(IF(M465&gt;0,M465,IF(M463&gt;0,ROUND((M463*AE465)/AE463,IF(N463=0,2,IF(N463=0.1,1,0))),IF(M464&gt;0,ROUND((M464*AE465)/AE464,IF(N463=0,2,IF(N463=0.1,1,0))),IF(M465&gt;0,M465,0)))),2),""))</f>
      </c>
      <c r="P465" s="309">
        <f>IF(I464="Lay",O464*(L464/(L464-1))-O464,IF(I463="Lay",O463*(L463/(L463-1))-O463,IF(OR(L465="",O465=""),"",IF($C465="1/2W",O465/2+O465/2*L465,IF($C465="1/2L",O465/2,(O465*L465-O465)*(1-_xlfn.XLOOKUP(K465,'Janeiro 2023 - Valor Real'!A3:A15,'Janeiro 2023 - Valor Real'!C3:C15,0))+O465)))))</f>
        <v>13.8205128205128</v>
      </c>
      <c r="Q465" t="s" s="242">
        <f>IF(K465="","",IF(_xlfn.XLOOKUP(K465,K$124:K238,DJ$124:DJ238,0,,-1)=DJ465,_xlfn.XLOOKUP(K465,K$124:K238,Q$124:Q238,1,,-1)+1,1))</f>
      </c>
      <c r="R465" t="s" s="243">
        <f>IF(K465="","",_xlfn.XLOOKUP(K465,K$124:K238,R$124:R238,0,,-1)+IF($C465=" ",1,0))</f>
      </c>
      <c r="S465" s="166"/>
      <c r="T465" s="155"/>
      <c r="U465" s="155"/>
      <c r="V465" s="166"/>
      <c r="W465" s="155"/>
      <c r="X465" s="167"/>
      <c r="Y465" s="128"/>
      <c r="Z465" s="129"/>
      <c r="AA465" s="129"/>
      <c r="AB465" s="129"/>
      <c r="AC465" s="129"/>
      <c r="AD465" s="244">
        <f>((L464/(L464-1)-1))</f>
        <v>0.641025641025641</v>
      </c>
      <c r="AE465" t="s" s="245">
        <f>IF(L465="","",(SUM(((L463-1)*(1-_xlfn.XLOOKUP(K463,'Janeiro 2023 - Valor Real'!A3:A15,'Janeiro 2023 - Valor Real'!C3:C15,0))+1),((L464-1)*(1-_xlfn.XLOOKUP(K464,'Janeiro 2023 - Valor Real'!A3:A15,'Janeiro 2023 - Valor Real'!C3:C15,0))+1),((L465-1)*(1-_xlfn.XLOOKUP(K465,'Janeiro 2023 - Valor Real'!A3:A15,'Janeiro 2023 - Valor Real'!C3:C15,0))+1))/((L465-1)*(1-_xlfn.XLOOKUP(K465,'Janeiro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Real'!C3:C15,0))+1))/((L463-1)*(1-_xlfn.XLOOKUP(K463,'Janeiro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Real'!C3:C15,0))+1))/((L464-1)*(1-_xlfn.XLOOKUP(K464,'Janeiro 2023 - Valor Real'!A3:A15,'Janeiro 2023 - Valor Real'!C3:C15,0))+1)+SUM(((L463-1)*(1-_xlfn.XLOOKUP(K463,'Janeiro 2023 - Valor Real'!A3:A15,'Janeiro 2023 - Valor Real'!C3:C15,0))+1),((L464-1)*(1-_xlfn.XLOOKUP(K464,'Janeiro 2023 - Valor Real'!A3:A15,'Janeiro 2023 - Valor Real'!C3:C15,0))+1),((L465-1)*(1-_xlfn.XLOOKUP(K465,'Janeiro 2023 - Valor Real'!A3:A15,'Janeiro 2023 - Valor Real'!C3:C15,0))+1))/((L465-1)*(1-_xlfn.XLOOKUP(K465,'Janeiro 2023 - Valor Real'!A3:A15,'Janeiro 2023 - Valor Real'!C3:C15,0))+1)))</f>
      </c>
      <c r="AF465" s="197">
        <f>IF($K465=AF$3,ROUND(IF(OR($C465="W",$C465="1/2W",$C465="1/2L"),$P465-$O465,IF($C465="X",0,-$O465)),2),0)</f>
        <v>0</v>
      </c>
      <c r="AG465" s="198">
        <f>IF($K465=AG$3,ROUND(IF(OR($C465="W",$C465="1/2W",$C465="1/2L"),$P465-$O465,IF($C465="X",0,-$O465)),2),0)</f>
        <v>0</v>
      </c>
      <c r="AH465" s="198">
        <f>IF($K465=AH$3,ROUND(IF(OR($C465="W",$C465="1/2W",$C465="1/2L"),$P465-$O465,IF($C465="X",0,-$O465)),2),0)</f>
        <v>0</v>
      </c>
      <c r="AI465" s="198">
        <f>IF($K465=AI$3,ROUND(IF(OR($C465="W",$C465="1/2W",$C465="1/2L"),$P465-$O465,IF($C465="X",0,-$O465)),2),0)</f>
        <v>0</v>
      </c>
      <c r="AJ465" s="198">
        <f>IF($K465=AJ$3,ROUND(IF(OR($C465="W",$C465="1/2W",$C465="1/2L"),$P465-$O465,IF($C465="X",0,-$O465)),2),0)</f>
        <v>0</v>
      </c>
      <c r="AK465" s="198">
        <f>IF($K465=AK$3,ROUND(IF(OR($C465="W",$C465="1/2W",$C465="1/2L"),$P465-$O465,IF($C465="X",0,-$O465)),2),0)</f>
        <v>0</v>
      </c>
      <c r="AL465" s="198">
        <f>IF($K465=AL$3,ROUND(IF(OR($C465="W",$C465="1/2W",$C465="1/2L"),$P465-$O465,IF($C465="X",0,-$O465)),2),0)</f>
        <v>0</v>
      </c>
      <c r="AM465" s="198">
        <f>IF($K465=AM$3,ROUND(IF(OR($C465="W",$C465="1/2W",$C465="1/2L"),$P465-$O465,IF($C465="X",0,-$O465)),2),0)</f>
        <v>0</v>
      </c>
      <c r="AN465" s="198">
        <f>IF($K465=AN$3,ROUND(IF(OR($C465="W",$C465="1/2W",$C465="1/2L"),$P465-$O465,IF($C465="X",0,-$O465)),2),0)</f>
        <v>0</v>
      </c>
      <c r="AO465" s="198">
        <f>IF($K465=AO$3,ROUND(IF(OR($C465="W",$C465="1/2W",$C465="1/2L"),$P465-$O465,IF($C465="X",0,-$O465)),2),0)</f>
        <v>0</v>
      </c>
      <c r="AP465" s="198">
        <f>IF($K465=AP$3,ROUND(IF(OR($C465="W",$C465="1/2W",$C465="1/2L"),$P465-$O465,IF($C465="X",0,-$O465)),2),0)</f>
        <v>0</v>
      </c>
      <c r="AQ465" s="198">
        <f>IF($K465=AQ$3,ROUND(IF(OR($C465="W",$C465="1/2W",$C465="1/2L"),$P465-$O465,IF($C465="X",0,-$O465)),2),0)</f>
        <v>0</v>
      </c>
      <c r="AR465" s="199">
        <f>IF($K465=AR$3,ROUND(IF(OR($C465="W",$C465="1/2W",$C465="1/2L"),$P465-$O465,IF($C465="X",0,-$O465)),2),0)</f>
        <v>0</v>
      </c>
      <c r="AS465" s="197">
        <f>IF(AND($B463=" ",$K465=AS$3),$O465,0)</f>
        <v>0</v>
      </c>
      <c r="AT465" s="198">
        <f>IF(AND($B463=" ",K465=AT$3),$O465,0)</f>
        <v>0</v>
      </c>
      <c r="AU465" s="198">
        <f>IF(AND($B463=" ",$K465=AU$3),$O465,0)</f>
        <v>0</v>
      </c>
      <c r="AV465" s="198">
        <f>IF(AND($B463=" ",$K465=AV$3),$O465,0)</f>
        <v>0</v>
      </c>
      <c r="AW465" s="198">
        <f>IF(AND($B463=" ",$K465=AW$3),$O465,0)</f>
        <v>0</v>
      </c>
      <c r="AX465" s="198">
        <f>IF(AND($B463=" ",$K465=AX$3),$O465,0)</f>
        <v>0</v>
      </c>
      <c r="AY465" s="200">
        <f>IF(AND($B463=" ",$K465=AY$3),$O465,0)</f>
        <v>0</v>
      </c>
      <c r="AZ465" s="201">
        <f>IF(AND($B463=" ",$K465=AZ$3),$O465,0)</f>
        <v>0</v>
      </c>
      <c r="BA465" s="201">
        <f>IF(AND($B463=" ",$K465=BA$3),$O465,0)</f>
        <v>0</v>
      </c>
      <c r="BB465" s="201">
        <f>IF(AND($B463=" ",$K465=BB$3),$O465,0)</f>
        <v>0</v>
      </c>
      <c r="BC465" s="202">
        <f>IF(AND($B463=" ",$K465=BC$3),$O465,0)</f>
        <v>0</v>
      </c>
      <c r="BD465" s="198">
        <f>IF(AND($B463=" ",$K465=BD$3),$O465,0)</f>
        <v>0</v>
      </c>
      <c r="BE465" s="199">
        <f>IF(AND($B463=" ",$K465=BE$3),$O465,0)</f>
        <v>0</v>
      </c>
      <c r="BF465" s="197">
        <f>IF($K465=BF$3,IF($C465="X",0,$O465),0)</f>
        <v>0</v>
      </c>
      <c r="BG465" s="198">
        <f>IF($K465=BG$3,IF($C465="X",0,$O465),0)</f>
        <v>0</v>
      </c>
      <c r="BH465" s="198">
        <f>IF($K465=BH$3,IF($C465="X",0,$O465),0)</f>
        <v>0</v>
      </c>
      <c r="BI465" s="198">
        <f>IF($K465=BI$3,IF($C465="X",0,$O465),0)</f>
        <v>0</v>
      </c>
      <c r="BJ465" s="198">
        <f>IF($K465=BJ$3,IF($C465="X",0,$O465),0)</f>
        <v>0</v>
      </c>
      <c r="BK465" s="198">
        <f>IF($K465=BK$3,IF($C465="X",0,$O465),0)</f>
        <v>0</v>
      </c>
      <c r="BL465" s="198">
        <f>IF($K465=BL$3,IF($C465="X",0,$O465),0)</f>
        <v>0</v>
      </c>
      <c r="BM465" s="200">
        <f>IF($K465=BM$3,IF($C465="X",0,$O465),0)</f>
        <v>0</v>
      </c>
      <c r="BN465" s="201">
        <f>IF($K465=BN$3,IF($C465="X",0,$O465),0)</f>
        <v>0</v>
      </c>
      <c r="BO465" s="201">
        <f>IF($K465=BO$3,IF($C465="X",0,$O465),0)</f>
        <v>0</v>
      </c>
      <c r="BP465" s="201">
        <f>IF($K465=BP$3,IF($C465="X",0,$O465),0)</f>
        <v>0</v>
      </c>
      <c r="BQ465" s="202">
        <f>IF($K465=BQ$3,IF($C465="X",0,$O465),0)</f>
        <v>0</v>
      </c>
      <c r="BR465" s="199">
        <f>IF($K465=BR$3,IF($C465="X",0,$O465),0)</f>
        <v>0</v>
      </c>
      <c r="BS465" s="228"/>
      <c r="BT465" s="229"/>
      <c r="BU465" s="140"/>
      <c r="BV465" s="229"/>
      <c r="BW465" s="140"/>
      <c r="BX465" s="140"/>
      <c r="BY465" s="140"/>
      <c r="BZ465" s="229"/>
      <c r="CA465" s="140"/>
      <c r="CB465" s="140"/>
      <c r="CC465" s="140"/>
      <c r="CD465" s="141"/>
      <c r="CE465" s="142"/>
      <c r="CF465" s="230">
        <f>IF(CF$3=$K465,IF($C465="W",1,IF($C465="1/2W",0.5,0)),0)</f>
        <v>0</v>
      </c>
      <c r="CG465" s="231">
        <f>IF(CF$3=$K465,IF($C465="L",1,IF($C465="1/2L",0.5,0)),0)</f>
        <v>0</v>
      </c>
      <c r="CH465" s="231">
        <f>IF(CH$3=$K465,IF($C465="W",1,IF($C465="1/2W",0.5,0)),0)</f>
        <v>0</v>
      </c>
      <c r="CI465" s="231">
        <f>IF(CH$3=$K465,IF($C465="L",1,IF($C465="1/2L",0.5,0)),0)</f>
        <v>0</v>
      </c>
      <c r="CJ465" s="231">
        <f>IF(CJ$3=$K465,IF($C465="W",1,IF($C465="1/2W",0.5,0)),0)</f>
        <v>0</v>
      </c>
      <c r="CK465" s="231">
        <f>IF(CJ$3=$K465,IF($C465="L",1,IF($C465="1/2L",0.5,0)),0)</f>
        <v>0</v>
      </c>
      <c r="CL465" s="231">
        <f>IF(CL$3=$K465,IF($C465="W",1,IF($C465="1/2W",0.5,0)),0)</f>
        <v>0</v>
      </c>
      <c r="CM465" s="231">
        <f>IF(CL$3=$K465,IF($C465="L",1,IF($C465="1/2L",0.5,0)),0)</f>
        <v>0</v>
      </c>
      <c r="CN465" s="231">
        <f>IF(CN$3=$K465,IF($C465="W",1,IF($C465="1/2W",0.5,0)),0)</f>
        <v>0</v>
      </c>
      <c r="CO465" s="231">
        <f>IF(CN$3=$K465,IF($C465="L",1,IF($C465="1/2L",0.5,0)),0)</f>
        <v>0</v>
      </c>
      <c r="CP465" s="231">
        <f>IF(CP$3=$K465,IF($C465="W",1,IF($C465="1/2W",0.5,0)),0)</f>
        <v>0</v>
      </c>
      <c r="CQ465" s="231">
        <f>IF(CP$3=$K465,IF($C465="L",1,IF($C465="1/2L",0.5,0)),0)</f>
        <v>0</v>
      </c>
      <c r="CR465" s="231">
        <f>IF(CR$3=$K465,IF($C465="W",1,IF($C465="1/2W",0.5,0)),0)</f>
        <v>0</v>
      </c>
      <c r="CS465" s="231">
        <f>IF(CR$3=$K465,IF($C465="L",1,IF($C465="1/2L",0.5,0)),0)</f>
        <v>0</v>
      </c>
      <c r="CT465" s="208">
        <f>IF(CT$3=$K465,IF($C465="W",1,IF($C465="1/2W",0.5,0)),0)</f>
        <v>0</v>
      </c>
      <c r="CU465" s="209">
        <f>IF(CT$3=$K465,IF($C465="L",1,IF($C465="1/2L",0.5,0)),0)</f>
        <v>0</v>
      </c>
      <c r="CV465" s="209">
        <f>IF(CV$3=$K465,IF($C465="W",1,IF($C465="1/2W",0.5,0)),0)</f>
        <v>0</v>
      </c>
      <c r="CW465" s="209">
        <f>IF(CV$3=$K465,IF($C465="L",1,IF($C465="1/2L",0.5,0)),0)</f>
        <v>0</v>
      </c>
      <c r="CX465" s="209">
        <f>IF(CX$3=$K465,IF($C465="W",1,IF($C465="1/2W",0.5,0)),0)</f>
        <v>0</v>
      </c>
      <c r="CY465" s="209">
        <f>IF(CX$3=$K465,IF($C465="L",1,IF($C465="1/2L",0.5,0)),0)</f>
        <v>0</v>
      </c>
      <c r="CZ465" s="209">
        <f>IF(CZ$3=$K465,IF($C465="W",1,IF($C465="1/2W",0.5,0)),0)</f>
        <v>0</v>
      </c>
      <c r="DA465" s="209">
        <f>IF(CZ$3=$K465,IF($C465="L",1,IF($C465="1/2L",0.5,0)),0)</f>
        <v>0</v>
      </c>
      <c r="DB465" s="209">
        <f>IF(DB$3=$K465,IF($C465="W",1,IF($C465="1/2W",0.5,0)),0)</f>
        <v>0</v>
      </c>
      <c r="DC465" s="209">
        <f>IF(DB$3=$K465,IF($C465="L",1,IF($C465="1/2L",0.5,0)),0)</f>
        <v>0</v>
      </c>
      <c r="DD465" s="209">
        <f>IF(DD$3=$K465,IF($C465="W",1,IF($C465="1/2W",0.5,0)),0)</f>
        <v>0</v>
      </c>
      <c r="DE465" s="210">
        <f>IF(DD$3=$K465,IF($C465="L",1,IF($C465="1/2L",0.5,0)),0)</f>
        <v>0</v>
      </c>
      <c r="DF465" s="211">
        <f>IF(AND(L465&lt;DF$3,$C465="W"),1+DF464,DF464)</f>
        <v>15</v>
      </c>
      <c r="DG465" s="198">
        <f>IF(DF465&gt;DF464,L465+DG464,DG464)</f>
        <v>19.748</v>
      </c>
      <c r="DH465" s="209">
        <f>IF(AND(L465&gt;DH$3,$C465="W"),1+DH464,0+DH464)</f>
        <v>11</v>
      </c>
      <c r="DI465" s="198">
        <f>IF(DH465&gt;DH464,L465+DI464,DI464)</f>
        <v>59.13</v>
      </c>
      <c r="DJ465" t="s" s="306">
        <f>IF($D463="","",$D463)</f>
        <v>358</v>
      </c>
      <c r="DK465" s="232"/>
    </row>
    <row r="466" ht="14.55" customHeight="1">
      <c r="A466" s="246">
        <f>$A463+1</f>
        <v>155</v>
      </c>
      <c r="B466" t="s" s="247">
        <f>IF(AND(_xlfn.XLOOKUP(H466,H$107:H233,G$107:G233,0)=G466,_xlfn.XLOOKUP("TempoBet",K466:K468,L466:L468,0)&gt;0),"X",IF(OR(C466="W",C467="W",C468="W",C466="1/2W",C467="1/2W",C468="1/2W",C466="1/2L",C467="1/2L",C468="1/2L"),"OK",IF(OR(C466="L",C467="L",C468="L"),"LOSS",IF(OR(C466="X",C467="X",C468="X"),"Anulado"," "))))</f>
        <v>50</v>
      </c>
      <c r="C466" t="s" s="248">
        <v>284</v>
      </c>
      <c r="D466" t="s" s="303">
        <f>IF(G466="","",$D463)</f>
        <v>358</v>
      </c>
      <c r="E466" t="s" s="250">
        <v>118</v>
      </c>
      <c r="F466" t="s" s="251"/>
      <c r="G466" s="252">
        <v>44951.333333333336</v>
      </c>
      <c r="H466" t="s" s="253">
        <v>368</v>
      </c>
      <c r="I466" t="s" s="254">
        <v>65</v>
      </c>
      <c r="J466" s="255">
        <v>1.75</v>
      </c>
      <c r="K466" t="s" s="256">
        <v>48</v>
      </c>
      <c r="L466" s="257">
        <v>2.44</v>
      </c>
      <c r="M466" s="258">
        <v>18.35</v>
      </c>
      <c r="N466" s="259">
        <v>0</v>
      </c>
      <c r="O466" s="260">
        <f>IF(OR(AE466="",AE467=""),"",ROUND(IF(L468&gt;0,IF(M466&gt;0,M466,IF(M467&gt;0,ROUND((M467*AE466)/AE467,IF(N466=0,2,IF(N466=0.1,1,0))),ROUND((M468*AE466)/AE468,IF(N466=0,2,IF(N466=0.1,1,0))))),IF(M466&gt;0,M466,ROUND((M467*AE466)/AE467,IF(N466=0,2,IF(N466=0.1,1,0))))),2))</f>
        <v>18.35</v>
      </c>
      <c r="P466" s="261">
        <f>IF(OR(L466="",O466=""),"",IF($C466="1/2W",O466/2+O466/2*L466,IF($C466="1/2L",O466/2,IF(I466="Lay",(O466*(L466/(L466-1))-O466)*(1-_xlfn.XLOOKUP(K466,'Janeiro 2023 - Valor Real'!A3:A15,'Janeiro 2023 - Valor Real'!C3:C15,0))+O466,(O466*L466-O466)*(1-_xlfn.XLOOKUP(K466,'Janeiro 2023 - Valor Real'!A3:A15,'Janeiro 2023 - Valor Real'!C3:C15,0))+O466))))</f>
        <v>31.562</v>
      </c>
      <c r="Q466" s="262">
        <f>IF(K466="","",IF(_xlfn.XLOOKUP(K466,K$107:K233,DJ$107:DJ233,0,,-1)=DJ466,_xlfn.XLOOKUP(K466,K$107:K233,Q$107:Q233,1,,-1)+1,1))</f>
        <v>1</v>
      </c>
      <c r="R466" s="263">
        <f>IF(K466="","",_xlfn.XLOOKUP(K466,K$107:K233,R$107:R233,0,,-1)+IF($C466=" ",1,0))</f>
        <v>0</v>
      </c>
      <c r="S466" s="264">
        <f>IF($B466="Anulado",0,ROUND(IF(OR($B466="LOSS",$B466="OK"),IF(OR($C466="W",$C466="1/2W",$C466="1/2L"),P466-O466,IF($C466="L",-O466,0))+IF(OR($C467="W",$C467="1/2W",$C467="1/2L"),P467-O467,IF($C467="L",-O467,0))+IF(OR($C468="W",$C468="1/2W",$C468="1/2L"),P468-O468,IF($C468="L",-O468,0)),IF(AND(OR($C466="W",$C466="1/2W",$C466="1/2L"),C467="W"),P466+P467-SUM(O466:O468)+_xlfn.XLOOKUP("X",C466:C468,O466:O468,0),IF(AND(C466=TRUE,C468="W"),P466+P468-SUM(O466:O468),IF(AND(C467="W",C468="W"),P467+P468-SUM(O466:O468)+_xlfn.XLOOKUP("X",C466:C468,O466:O468,0),IF(L468&gt;0,IF(OR($C466="W",$C466="1/2W",$C466="1/2L"),P466-SUM(O466:O468)+_xlfn.XLOOKUP("X",C466:C468,O466:O468,0),IF(OR($C466="W",$C466="1/2W",$C466="1/2L"),P467-SUM(O466:O468)+_xlfn.XLOOKUP("X",C466:C468,O466:O468,0),IF(OR($C466="W",$C466="1/2W",$C466="1/2L"),P468-SUM(O466:O468)+_xlfn.XLOOKUP("X",C466:C468,O466:O468,0),IF(SUM(P466:P468)/3-SUM(O466:O468)+_xlfn.XLOOKUP("X",C466:C468,O466:O468,0)&gt;0,SUM(P466:P468)/3-SUM(O466:O468)+_xlfn.XLOOKUP("X",C466:C468,O466:O468,0),LARGE(P466:P468,1)-SUM(O466:O468))))),IF(OR($C466="W",$C466="1/2W",$C466="1/2L"),P466-SUM(O466:O467)+_xlfn.XLOOKUP("X",C466:C468,O466:O468,0),IF(OR($C466="W",$C466="1/2W",$C466="1/2L"),P467-SUM(O466:O467)+_xlfn.XLOOKUP("X",C466:C468,O466:O468,0),SUM(P466:P467)/2-SUM(O466:O467)+_xlfn.XLOOKUP("X",C466:C468,O466:O468,0)))))))),2))</f>
        <v>0.5600000000000001</v>
      </c>
      <c r="T466" s="265">
        <f>IF(S466=0,0,S466/SUM(O466:O468))</f>
        <v>0.0128263857077416</v>
      </c>
      <c r="U466" s="266">
        <f>IF($D466=$D463,IF(OR($B466="LOSS",$B466="OK",$B466="Anulada"),S466,0)+U463,IF(OR($B466="LOSS",$B466="OK",$B466="Anulada"),S466,0))</f>
        <v>10.12</v>
      </c>
      <c r="V466" s="266">
        <f>IF($D466="",0,IF($D466=$D463,IF($B466=" ",IF(I468="",IF(OR(AND(I466="DNB1",I467="DNB2"),AND(OR(I466="DNB1",I466="DNB2"),J467=0),AND(OR(I467="DNB1",I467="DNB2"),J466=0),AND(I466="DNB2",I467="DNB1"),AND(IF(J466=0,(J466+1)/ROUND(J466+1,0),J466/ROUND(J466,0))=1,IF(J467=0,(J467+1)/ROUND(IF(J467="",0,J467)+1,0),IF(J467="",0,J467)/ROUND(IF(J467="",1,J467),0))=1,OR(J466&lt;&gt;""),J467&lt;&gt;"")),0,IF(S466&lt;0,IF(I468="",SMALL(P466:P467,1)-SUM(O466:O467),0),SMALL(P466:P467,1)-SUM(O466:O467))),IF(S466&lt;0,IF(I468="",SMALL(P466:P468,1)-SUM(O466:O468),0),LARGE(P466:P468,1)-SUM(O466:O468))),S466)+V463,IF(I468="",IF(OR(AND(I466="DNB1",I467="DNB2"),AND(OR(I466="DNB1",I466="DNB2"),J467=0),AND(OR(I467="DNB1",I467="DNB2"),J466=0),AND(I466="DNB2",I467="DNB1"),AND(IF(J466=0,(J466+1)/ROUND(J466+1,0),J466/ROUND(J466,0))=1,IF(J467=0,(IF(J467="",0,J467)+1)/ROUND(IF(J467="",0,J467)+1,0),IF(J467="",0,J467)/ROUND(IF(J467="",0,J467)+1,0))=1,OR(J466&lt;&gt;""),J467&lt;&gt;"")),0,IF(S466&lt;0,IF(I468="",SMALL(P466:P467,1)-SUM(O466:O467),0),SMALL(P466:P468,1)-SUM(O466:O468))),IF(S466&lt;0,IF(I468="",SMALL(P466:P468,1)-SUM(O466:O468),0),LARGE(P466:P468,1)-SUM(O466:O468)))))</f>
        <v>10.12</v>
      </c>
      <c r="W466" s="266">
        <f>IF($D466=$D463,IF(S466&lt;0,IF(I468="",S466,0),S466)+W463,S466)</f>
        <v>10.12</v>
      </c>
      <c r="X466" t="s" s="267">
        <f>IF(OR(SUM(R466:R468)=0,V466=W466),ROUND(IF(W466=0,0,W466/Y466)*100,2)&amp;"%",ROUND(IF(V466=0,0,V466/Y466)*100,2)&amp;"% a "&amp;ROUND(IF(W466=0,0,W466/Y466)*100,2)&amp;"%")</f>
        <v>369</v>
      </c>
      <c r="Y466" s="268">
        <f>IF($D466=$D463,Y463+SUM(O466:O468),SUM(O466:O468))</f>
        <v>201.89</v>
      </c>
      <c r="Z466" s="266">
        <f>IF($B466=" ",SUM(O466:O468),0)+Z463</f>
        <v>0</v>
      </c>
      <c r="AA466" s="266">
        <f>IF(G466="","",IF($B466="Anulado",LARGE(P466:P468,1)-SUM(O466:O468)+AA463,AA463))</f>
        <v>22.2257</v>
      </c>
      <c r="AB466" s="266">
        <f>IF($D466="","",AB463+S466)</f>
        <v>317.97</v>
      </c>
      <c r="AC466" s="269">
        <f>IF($D466="","",IF($B466=" ",IF(DAY(G466)=DAY(TODAY()),1+AC463,0+AC463),0+AC463))</f>
        <v>0</v>
      </c>
      <c r="AD466" s="270">
        <f>(1-_xlfn.XLOOKUP(K464,'Janeiro 2023 - Valor Real'!A3:A15,'Janeiro 2023 - Valor Real'!C3:C15,0))+1</f>
        <v>1.935</v>
      </c>
      <c r="AE466" s="271">
        <f>IF(L466="","",IF(L468&gt;0,(SUM(((L466-1)*(1-_xlfn.XLOOKUP(K466,'Janeiro 2023 - Valor Real'!A3:A15,'Janeiro 2023 - Valor Real'!C3:C15,0))+1),((L467-1)*(1-_xlfn.XLOOKUP(K467,'Janeiro 2023 - Valor Real'!A3:A15,'Janeiro 2023 - Valor Real'!C3:C15,0))+1),((L468-1)*(1-_xlfn.XLOOKUP(K468,'Janeiro 2023 - Valor Real'!A3:A15,'Janeiro 2023 - Valor Real'!C3:C15,0))+1))/((L466-1)*(1-_xlfn.XLOOKUP(K466,'Janeiro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Real'!C3:C15,0))+1))/((L466-1)*(1-_xlfn.XLOOKUP(K466,'Janeiro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Real'!C3:C15,0))+1))/((L467-1)*(1-_xlfn.XLOOKUP(K467,'Janeiro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Real'!C3:C15,0))+1))/((L468-1)*(1-_xlfn.XLOOKUP(K468,'Janeiro 2023 - Valor Real'!A3:A15,'Janeiro 2023 - Valor Real'!C3:C15,0))+1)),IF(I466="Lay",IF(I467="Lay",((L467/(L467-1)-1)*(1-_xlfn.XLOOKUP(K467,'Janeiro 2023 - Valor Real'!A3:A15,'Janeiro 2023 - Valor Real'!C3:C15,0))+1)/(((L467/(L467-1)-1)*(1-_xlfn.XLOOKUP(K467,'Janeiro 2023 - Valor Real'!A3:A15,'Janeiro 2023 - Valor Real'!C3:C15,0))+1)+((L466/(L466-1)-1)*(1-_xlfn.XLOOKUP(K466,'Janeiro 2023 - Valor Real'!A3:A15,'Janeiro 2023 - Valor Real'!C3:C15,0))+1)),((L467-1)*(1-_xlfn.XLOOKUP(K467,'Janeiro 2023 - Valor Real'!A3:A15,'Janeiro 2023 - Valor Real'!C3:C15,0))+1)/(((L467-1)*(1-_xlfn.XLOOKUP(K467,'Janeiro 2023 - Valor Real'!A3:A15,'Janeiro 2023 - Valor Real'!C3:C15,0))+1)+((L466/(L466-1)-1)*(1-_xlfn.XLOOKUP(K466,'Janeiro 2023 - Valor Real'!A3:A15,'Janeiro 2023 - Valor Real'!C3:C15,0))+1))),IF(I467="Lay",(((L467/(L467-1)-1)*(1-_xlfn.XLOOKUP(K467,'Janeiro 2023 - Valor Real'!A3:A15,'Janeiro 2023 - Valor Real'!C3:C15,0))+1))/(((L466-1)*(1-_xlfn.XLOOKUP(K466,'Janeiro 2023 - Valor Real'!A3:A15,'Janeiro 2023 - Valor Real'!C3:C15,0))+1)+((L467/(L467-1)-1)*(1-_xlfn.XLOOKUP(K467,'Janeiro 2023 - Valor Real'!A3:A15,'Janeiro 2023 - Valor Real'!C3:C15,0))+1)),((L467-1)*(1-_xlfn.XLOOKUP(K467,'Janeiro 2023 - Valor Real'!A3:A15,'Janeiro 2023 - Valor Real'!C3:C15,0))+1)/(((L467-1)*(1-_xlfn.XLOOKUP(K467,'Janeiro 2023 - Valor Real'!A3:A15,'Janeiro 2023 - Valor Real'!C3:C15,0))+1)+((L466-1)*(1-_xlfn.XLOOKUP(K466,'Janeiro 2023 - Valor Real'!A3:A15,'Janeiro 2023 - Valor Real'!C3:C15,0))+1))))))</f>
        <v>0.420289855072464</v>
      </c>
      <c r="AF466" s="132">
        <f>IF($K466=AF$3,ROUND(IF(OR($C466="W",$C466="1/2W",$C466="1/2L"),$P466-$O466,IF($C466="X",0,-$O466)),2),0)</f>
        <v>0</v>
      </c>
      <c r="AG466" s="133">
        <f>IF($K466=AG$3,ROUND(IF(OR($C466="W",$C466="1/2W",$C466="1/2L"),$P466-$O466,IF($C466="X",0,-$O466)),2),0)</f>
        <v>0</v>
      </c>
      <c r="AH466" s="133">
        <f>IF($K466=AH$3,ROUND(IF(OR($C466="W",$C466="1/2W",$C466="1/2L"),$P466-$O466,IF($C466="X",0,-$O466)),2),0)</f>
        <v>0</v>
      </c>
      <c r="AI466" s="133">
        <f>IF($K466=AI$3,ROUND(IF(OR($C466="W",$C466="1/2W",$C466="1/2L"),$P466-$O466,IF($C466="X",0,-$O466)),2),0)</f>
        <v>0</v>
      </c>
      <c r="AJ466" s="133">
        <f>IF($K466=AJ$3,ROUND(IF(OR($C466="W",$C466="1/2W",$C466="1/2L"),$P466-$O466,IF($C466="X",0,-$O466)),2),0)</f>
        <v>0</v>
      </c>
      <c r="AK466" s="133">
        <f>IF($K466=AK$3,ROUND(IF(OR($C466="W",$C466="1/2W",$C466="1/2L"),$P466-$O466,IF($C466="X",0,-$O466)),2),0)</f>
        <v>0</v>
      </c>
      <c r="AL466" s="133">
        <f>IF($K466=AL$3,ROUND(IF(OR($C466="W",$C466="1/2W",$C466="1/2L"),$P466-$O466,IF($C466="X",0,-$O466)),2),0)</f>
        <v>0</v>
      </c>
      <c r="AM466" s="133">
        <f>IF($K466=AM$3,ROUND(IF(OR($C466="W",$C466="1/2W",$C466="1/2L"),$P466-$O466,IF($C466="X",0,-$O466)),2),0)</f>
        <v>0</v>
      </c>
      <c r="AN466" s="133">
        <f>IF($K466=AN$3,ROUND(IF(OR($C466="W",$C466="1/2W",$C466="1/2L"),$P466-$O466,IF($C466="X",0,-$O466)),2),0)</f>
        <v>0</v>
      </c>
      <c r="AO466" s="133">
        <f>IF($K466=AO$3,ROUND(IF(OR($C466="W",$C466="1/2W",$C466="1/2L"),$P466-$O466,IF($C466="X",0,-$O466)),2),0)</f>
        <v>0</v>
      </c>
      <c r="AP466" s="133">
        <f>IF($K466=AP$3,ROUND(IF(OR($C466="W",$C466="1/2W",$C466="1/2L"),$P466-$O466,IF($C466="X",0,-$O466)),2),0)</f>
        <v>0</v>
      </c>
      <c r="AQ466" s="133">
        <f>IF($K466=AQ$3,ROUND(IF(OR($C466="W",$C466="1/2W",$C466="1/2L"),$P466-$O466,IF($C466="X",0,-$O466)),2),0)</f>
        <v>13.21</v>
      </c>
      <c r="AR466" s="134">
        <f>IF($K466=AR$3,ROUND(IF(OR($C466="W",$C466="1/2W",$C466="1/2L"),$P466-$O466,IF($C466="X",0,-$O466)),2),0)</f>
        <v>0</v>
      </c>
      <c r="AS466" s="132">
        <f>IF(AND($B466=" ",$K466=AS$3),$O466,0)</f>
        <v>0</v>
      </c>
      <c r="AT466" s="133">
        <f>IF(AND($B466=" ",$K466=AT$3),$O466,0)</f>
        <v>0</v>
      </c>
      <c r="AU466" s="133">
        <f>IF(AND($B466=" ",$K466=AU$3),$O466,0)</f>
        <v>0</v>
      </c>
      <c r="AV466" s="133">
        <f>IF(AND($B466=" ",$K466=AV$3),$O466,0)</f>
        <v>0</v>
      </c>
      <c r="AW466" s="133">
        <f>IF(AND($B466=" ",$K466=AW$3),$O466,0)</f>
        <v>0</v>
      </c>
      <c r="AX466" s="133">
        <f>IF(AND($B466=" ",$K466=AX$3),$O466,0)</f>
        <v>0</v>
      </c>
      <c r="AY466" s="135">
        <f>IF(AND($B466=" ",$K466=AY$3),$O466,0)</f>
        <v>0</v>
      </c>
      <c r="AZ466" s="136">
        <f>IF(AND($B466=" ",$K466=AZ$3),$O466,0)</f>
        <v>0</v>
      </c>
      <c r="BA466" s="136">
        <f>IF(AND($B466=" ",$K466=BA$3),$O466,0)</f>
        <v>0</v>
      </c>
      <c r="BB466" s="136">
        <f>IF(AND($B466=" ",$K466=BB$3),$O466,0)</f>
        <v>0</v>
      </c>
      <c r="BC466" s="137">
        <f>IF(AND($B466=" ",$K466=BC$3),$O466,0)</f>
        <v>0</v>
      </c>
      <c r="BD466" s="133">
        <f>IF(AND($B466=" ",$K466=BD$3),$O466,0)</f>
        <v>0</v>
      </c>
      <c r="BE466" s="134">
        <f>IF(AND($B466=" ",$K466=BE$3),$O466,0)</f>
        <v>0</v>
      </c>
      <c r="BF466" s="132">
        <f>IF($K466=BF$3,IF($C466="X",0,$O466),0)</f>
        <v>0</v>
      </c>
      <c r="BG466" s="133">
        <f>IF($K466=BG$3,IF($C466="X",0,$O466),0)</f>
        <v>0</v>
      </c>
      <c r="BH466" s="133">
        <f>IF($K466=BH$3,IF($C466="X",0,$O466),0)</f>
        <v>0</v>
      </c>
      <c r="BI466" s="133">
        <f>IF($K466=BI$3,IF($C466="X",0,$O466),0)</f>
        <v>0</v>
      </c>
      <c r="BJ466" s="133">
        <f>IF($K466=BJ$3,IF($C466="X",0,$O466),0)</f>
        <v>0</v>
      </c>
      <c r="BK466" s="133">
        <f>IF($K466=BK$3,IF($C466="X",0,$O466),0)</f>
        <v>0</v>
      </c>
      <c r="BL466" s="133">
        <f>IF($K466=BL$3,IF($C466="X",0,$O466),0)</f>
        <v>0</v>
      </c>
      <c r="BM466" s="135">
        <f>IF($K466=BM$3,IF($C466="X",0,$O466),0)</f>
        <v>0</v>
      </c>
      <c r="BN466" s="136">
        <f>IF($K466=BN$3,IF($C466="X",0,$O466),0)</f>
        <v>0</v>
      </c>
      <c r="BO466" s="136">
        <f>IF($K466=BO$3,IF($C466="X",0,$O466),0)</f>
        <v>0</v>
      </c>
      <c r="BP466" s="136">
        <f>IF($K466=BP$3,IF($C466="X",0,$O466),0)</f>
        <v>0</v>
      </c>
      <c r="BQ466" s="137">
        <f>IF($K466=BQ$3,IF($C466="X",0,$O466),0)</f>
        <v>18.35</v>
      </c>
      <c r="BR466" s="134">
        <f>IF($K466=BR$3,IF($C466="X",0,$O466),0)</f>
        <v>0</v>
      </c>
      <c r="BS466" s="170">
        <f>IF($B466="LOSS",IF(AND($K466=BS$3,$C466="L"),-$O466,0)+IF(AND($K467=BS$3,$C467="L"),-$O467,0)+IF(AND($K468=BS$3,$C468="L"),-$O468,0),IF(OR(AND($K466=BS$3,OR($C466="W",$C466="1/2W")),AND($K467=BS$3,OR($C467="W",$C467="1/2W")),AND($K468=BS$3,OR($C468="W",$C468="1/2W"))),$S466,0))</f>
        <v>0</v>
      </c>
      <c r="BT466" s="272">
        <f>IF($B466="LOSS",IF(AND($K466=BT$3,$C466="L"),-$O466,0)+IF(AND($K467=BT$3,$C467="L"),-$O467,0)+IF(AND($K467=BT$3,$C468="L"),-$O468,0),IF(OR(AND($K467=BT$3,OR($C466="W",$C466="1/2W")),AND($K467=BT$3,OR($C467="W",$C467="1/2W")),AND($K467=BT$3,OR($C468="W",$C468="1/2W"))),$S466,0))</f>
        <v>0</v>
      </c>
      <c r="BU466" s="136">
        <f>IF($B466="LOSS",IF(AND($K466=BU$3,$C466="L"),-$O466,0)+IF(AND($K467=BU$3,$C467="L"),-$O467,0)+IF(AND($K467=BU$3,$C468="L"),-$O468,0),IF(OR(AND($K467=BU$3,OR($C466="W",$C466="1/2W")),AND($K467=BU$3,OR($C467="W",$C467="1/2W")),AND($K467=BU$3,OR($C468="W",$C468="1/2W"))),$S466,0))</f>
        <v>0</v>
      </c>
      <c r="BV466" s="136">
        <f>IF($B466="LOSS",IF(AND($K466=BV$3,$C466="L"),-$O466,0)+IF(AND($K467=BV$3,$C467="L"),-$O467,0)+IF(AND($K468=BV$3,$C468="L"),-$O468,0),IF(OR(AND($K466=BV$3,OR($C466="W",$C466="1/2W")),AND($K467=BV$3,OR($C467="W",$C467="1/2W")),AND($K468=BV$3,OR($C468="W",$C468="1/2W"))),$S466,0))</f>
        <v>0</v>
      </c>
      <c r="BW466" s="136">
        <f>IF($B466="LOSS",IF(AND($K466=BW$3,$C466="L"),-$O466,0)+IF(AND($K467=BW$3,$C467="L"),-$O467,0)+IF(AND($K468=BW$3,$C468="L"),-$O468,0),IF(OR(AND($K466=BW$3,OR($C466="W",$C466="1/2W")),AND($K467=BW$3,OR($C467="W",$C467="1/2W")),AND($K468=BW$3,OR($C468="W",$C468="1/2W"))),$S466,0))</f>
        <v>0</v>
      </c>
      <c r="BX466" s="136">
        <f>IF($B466="LOSS",IF(AND($K466=BX$3,$C466="L"),-$O466,0)+IF(AND($K467=BX$3,$C467="L"),-$O467,0)+IF(AND($K468=BX$3,$C468="L"),-$O468,0),IF(OR(AND($K466=BX$3,OR($C466="W",$C466="1/2W")),AND($K467=BX$3,OR($C467="W",$C467="1/2W")),AND($K468=BX$3,OR($C468="W",$C468="1/2W"))),$S466,0))</f>
        <v>0</v>
      </c>
      <c r="BY466" s="136">
        <f>IF($B466="LOSS",IF(AND($K466=BY$3,$C466="L"),-$O466,0)+IF(AND($K467=BY$3,$C467="L"),-$O467,0)+IF(AND($K468=BY$3,$C468="L"),-$O468,0),IF(OR(AND($K466=BY$3,OR($C466="W",$C466="1/2W")),AND($K467=BY$3,OR($C467="W",$C467="1/2W")),AND($K468=BY$3,OR($C468="W",$C468="1/2W"))),$S466,0))</f>
        <v>0</v>
      </c>
      <c r="BZ466" s="136">
        <f>IF($B466="LOSS",IF(AND($K466=BZ$3,$C466="L"),-$O466,0)+IF(AND($K467=BZ$3,$C467="L"),-$O467,0)+IF(AND($K468=BZ$3,$C468="L"),-$O468,0),IF(OR(AND($K466=BZ$3,OR($C466="W",$C466="1/2W")),AND($K467=BZ$3,OR($C467="W",$C467="1/2W")),AND($K468=BZ$3,OR($C468="W",$C468="1/2W"))),$S466,0))</f>
        <v>0</v>
      </c>
      <c r="CA466" s="136">
        <f>IF($B466="LOSS",IF(AND($K466=CA$3,$C466="L"),-$O466,0)+IF(AND($K467=CA$3,$C467="L"),-$O467,0)+IF(AND($K468=CA$3,$C468="L"),-$O468,0),IF(OR(AND($K466=CA$3,OR($C466="W",$C466="1/2W")),AND($K467=CA$3,OR($C467="W",$C467="1/2W")),AND($K468=CA$3,OR($C468="W",$C468="1/2W"))),$S466,0))</f>
        <v>0</v>
      </c>
      <c r="CB466" s="136">
        <f>IF($B466="LOSS",IF(AND($K466=CB$3,$C466="L"),-$O466,0)+IF(AND($K467=CB$3,$C467="L"),-$O467,0)+IF(AND($K468=CB$3,$C468="L"),-$O468,0),IF(OR(AND($K466=CB$3,OR($C466="W",$C466="1/2W")),AND($K467=CB$3,OR($C467="W",$C467="1/2W")),AND($K468=CB$3,OR($C468="W",$C468="1/2W"))),$S466,0))</f>
        <v>0</v>
      </c>
      <c r="CC466" s="136">
        <f>IF($B466="LOSS",IF(AND($K466=CC$3,$C466="L"),-$O466,0)+IF(AND($K467=CC$3,$C467="L"),-$O467,0)+IF(AND($K468=CC$3,$C468="L"),-$O468,0),IF(OR(AND($K466=CC$3,OR($C466="W",$C466="1/2W")),AND($K467=CC$3,OR($C467="W",$C467="1/2W")),AND($K468=CC$3,OR($C468="W",$C468="1/2W"))),$S466,0))</f>
        <v>0</v>
      </c>
      <c r="CD466" s="137">
        <f>IF($B466="LOSS",IF(AND($K466=CD$3,$C466="L"),-$O466,0)+IF(AND($K467=CD$3,$C467="L"),-$O467,0)+IF(AND($K468=CD$3,$C468="L"),-$O468,0),IF(OR(AND($K466=CD$3,OR($C466="W",$C466="1/2W")),AND($K467=CD$3,OR($C467="W",$C467="1/2W")),AND($K468=CD$3,OR($C468="W",$C468="1/2W"))),$S466,0))</f>
        <v>0.5600000000000001</v>
      </c>
      <c r="CE466" s="134">
        <f>IF($B466="LOSS",IF(AND($K466=CE$3,$C466="L"),-$O466,0)+IF(AND($K467=CE$3,$C467="L"),-$O467,0)+IF(AND($K468=CE$3,$C468="L"),-$O468,0),IF(OR(AND($K466=CE$3,OR($C466="W",$C466="1/2W")),AND($K467=CE$3,OR($C467="W",$C467="1/2W")),AND($K468=CE$3,OR($C468="W",$C468="1/2W"))),$S466,0))</f>
        <v>0</v>
      </c>
      <c r="CF466" s="273">
        <f>IF(CF$3=$K466,IF($C466="W",1,IF($C466="1/2W",0.5,0)),0)</f>
        <v>0</v>
      </c>
      <c r="CG466" s="274">
        <f>IF(CF$3=$K466,IF($C466="L",1,IF($C466="1/2L",0.5,0)),0)</f>
        <v>0</v>
      </c>
      <c r="CH466" s="274">
        <f>IF(CH$3=$K466,IF($C466="W",1,IF($C466="1/2W",0.5,0)),0)</f>
        <v>0</v>
      </c>
      <c r="CI466" s="274">
        <f>IF(CH$3=$K466,IF($C466="L",1,IF($C466="1/2L",0.5,0)),0)</f>
        <v>0</v>
      </c>
      <c r="CJ466" s="274">
        <f>IF(CJ$3=$K466,IF($C466="W",1,IF($C466="1/2W",0.5,0)),0)</f>
        <v>0</v>
      </c>
      <c r="CK466" s="274">
        <f>IF(CJ$3=$K466,IF($C466="L",1,IF($C466="1/2L",0.5,0)),0)</f>
        <v>0</v>
      </c>
      <c r="CL466" s="274">
        <f>IF(CL$3=$K466,IF($C466="W",1,IF($C466="1/2W",0.5,0)),0)</f>
        <v>0</v>
      </c>
      <c r="CM466" s="274">
        <f>IF(CL$3=$K466,IF($C466="L",1,IF($C466="1/2L",0.5,0)),0)</f>
        <v>0</v>
      </c>
      <c r="CN466" s="274">
        <f>IF(CN$3=$K466,IF($C466="W",1,IF($C466="1/2W",0.5,0)),0)</f>
        <v>0</v>
      </c>
      <c r="CO466" s="274">
        <f>IF(CN$3=$K466,IF($C466="L",1,IF($C466="1/2L",0.5,0)),0)</f>
        <v>0</v>
      </c>
      <c r="CP466" s="274">
        <f>IF(CP$3=$K466,IF($C466="W",1,IF($C466="1/2W",0.5,0)),0)</f>
        <v>0</v>
      </c>
      <c r="CQ466" s="274">
        <f>IF(CP$3=$K466,IF($C466="L",1,IF($C466="1/2L",0.5,0)),0)</f>
        <v>0</v>
      </c>
      <c r="CR466" s="274">
        <f>IF(CR$3=$K466,IF($C466="W",1,IF($C466="1/2W",0.5,0)),0)</f>
        <v>0</v>
      </c>
      <c r="CS466" s="274">
        <f>IF(CR$3=$K466,IF($C466="L",1,IF($C466="1/2L",0.5,0)),0)</f>
        <v>0</v>
      </c>
      <c r="CT466" s="145">
        <f>IF(CT$3=$K466,IF($C466="W",1,IF($C466="1/2W",0.5,0)),0)</f>
        <v>0</v>
      </c>
      <c r="CU466" s="146">
        <f>IF(CT$3=$K466,IF($C466="L",1,IF($C466="1/2L",0.5,0)),0)</f>
        <v>0</v>
      </c>
      <c r="CV466" s="146">
        <f>IF(CV$3=$K466,IF($C466="W",1,IF($C466="1/2W",0.5,0)),0)</f>
        <v>0</v>
      </c>
      <c r="CW466" s="146">
        <f>IF(CV$3=$K466,IF($C466="L",1,IF($C466="1/2L",0.5,0)),0)</f>
        <v>0</v>
      </c>
      <c r="CX466" s="146">
        <f>IF(CX$3=$K466,IF($C466="W",1,IF($C466="1/2W",0.5,0)),0)</f>
        <v>0</v>
      </c>
      <c r="CY466" s="146">
        <f>IF(CX$3=$K466,IF($C466="L",1,IF($C466="1/2L",0.5,0)),0)</f>
        <v>0</v>
      </c>
      <c r="CZ466" s="146">
        <f>IF(CZ$3=$K466,IF($C466="W",1,IF($C466="1/2W",0.5,0)),0)</f>
        <v>0</v>
      </c>
      <c r="DA466" s="146">
        <f>IF(CZ$3=$K466,IF($C466="L",1,IF($C466="1/2L",0.5,0)),0)</f>
        <v>0</v>
      </c>
      <c r="DB466" s="146">
        <f>IF(DB$3=$K466,IF($C466="W",1,IF($C466="1/2W",0.5,0)),0)</f>
        <v>0.5</v>
      </c>
      <c r="DC466" s="146">
        <f>IF(DB$3=$K466,IF($C466="L",1,IF($C466="1/2L",0.5,0)),0)</f>
        <v>0</v>
      </c>
      <c r="DD466" s="146">
        <f>IF(DD$3=$K466,IF($C466="W",1,IF($C466="1/2W",0.5,0)),0)</f>
        <v>0</v>
      </c>
      <c r="DE466" s="147">
        <f>IF(DD$3=$K466,IF($C466="L",1,IF($C466="1/2L",0.5,0)),0)</f>
        <v>0</v>
      </c>
      <c r="DF466" s="143">
        <f>IF(AND(L466&lt;DF$3,$C466="W"),1+DF465,DF465)</f>
        <v>15</v>
      </c>
      <c r="DG466" s="133">
        <f>IF(DF466&gt;DF465,L466+DG465,DG465)</f>
        <v>19.748</v>
      </c>
      <c r="DH466" s="146">
        <f>IF(AND(L466&gt;DH$3,$C466="W"),1+DH465,0+DH465)</f>
        <v>11</v>
      </c>
      <c r="DI466" s="133">
        <f>IF(DH466&gt;DH465,L466+DI465,DI465)</f>
        <v>59.13</v>
      </c>
      <c r="DJ466" t="s" s="304">
        <f>IF($D466="","",$D466)</f>
        <v>358</v>
      </c>
      <c r="DK466" s="146">
        <f>IF(AND($B466=" ",$D466&lt;&gt;""),1,0)</f>
        <v>0</v>
      </c>
    </row>
    <row r="467" ht="14.55" customHeight="1">
      <c r="A467" s="107"/>
      <c r="B467" s="108"/>
      <c r="C467" t="s" s="109">
        <v>281</v>
      </c>
      <c r="D467" s="110"/>
      <c r="E467" s="111"/>
      <c r="F467" s="113"/>
      <c r="G467" s="252"/>
      <c r="H467" s="114"/>
      <c r="I467" t="s" s="275">
        <v>67</v>
      </c>
      <c r="J467" s="276">
        <f>IF(OR(I466="TO",I466="TU",I466="TO1",I466="TU1",I466="TO2",I466="TU2"),J466,IF(OR(I466="AH1",I466="AH2"),IF(OR(I467="AH1",I467="AH2"),-J466,IF(OR(I467="EH1",I467="EH2"),-J466+0.5,"")),IF(OR(I466="EH1",I466="EH2"),IF(OR(I467="AH1",I467="AH2"),-J466+0.5,IF(OR(I467="EH1",I467="EH2"),-J466+1,"")),IF(AND(OR(I466="DNB1",I466="DNB2"),OR(I467="AH1",I467="AH2")),0,IF(AND(I466="Not ScoreBoth",OR(I467="TO1",I467="TO2")),0.5,"")))))</f>
        <v>1.75</v>
      </c>
      <c r="K467" t="s" s="117">
        <v>44</v>
      </c>
      <c r="L467" s="277">
        <v>1.769</v>
      </c>
      <c r="M467" s="278"/>
      <c r="N467" s="120"/>
      <c r="O467" s="121">
        <f>IF(OR(AE466="",AE467=""),"",ROUND(IF(L468&gt;0,IF(M467&gt;0,M467,IF(M466&gt;0,IF(N466=TRUE,ROUND((M466*AE467)/AE466,0),(M466*AE467)/AE466),IF(M467&gt;0,ROUND(M467,IF(N466=0,2,IF(N466=0.1,1,0))),IF(M468&gt;0,ROUND(O468*AE467/AE468,IF(N466=0,2,IF(N466=0.1,1,0))),0)))),IF(M467&gt;0,M467,ROUND((M466*AE467)/AE466,IF(N466=0,2,IF(N466=0.1,1,0))))),2))</f>
        <v>25.31</v>
      </c>
      <c r="P467" s="122">
        <f>IF(OR(L467="",O467=""),"",IF($C467="1/2W",O467/2+O467/2*L467,IF($C467="1/2L",O467/2,IF(I467="Lay",((O467*(L467/(L467-1)))-O467)*(1-_xlfn.XLOOKUP(K467,'Janeiro 2023 - Valor Real'!A3:A15,'Janeiro 2023 - Valor Real'!C3:C15,0))+O467,(O467*L467-O467)*(1-_xlfn.XLOOKUP(K467,'Janeiro 2023 - Valor Real'!A3:A15,'Janeiro 2023 - Valor Real'!C3:C15,0))+O467))))</f>
        <v>12.655</v>
      </c>
      <c r="Q467" s="279">
        <f>IF(K467="","",IF(_xlfn.XLOOKUP(K467,K$108:K234,DJ$108:DJ234,0,,-1)=DJ467,_xlfn.XLOOKUP(K467,K$108:K234,Q$108:Q234,1,,-1)+1,1))</f>
        <v>1</v>
      </c>
      <c r="R467" s="280">
        <f>IF(K467="","",_xlfn.XLOOKUP(K467,K$108:K234,R$108:R234,0,,-1)+IF($C467=" ",1,0))</f>
        <v>0</v>
      </c>
      <c r="S467" s="125"/>
      <c r="T467" s="126"/>
      <c r="U467" s="126"/>
      <c r="V467" s="224"/>
      <c r="W467" s="126"/>
      <c r="X467" s="127"/>
      <c r="Y467" s="128"/>
      <c r="Z467" s="129"/>
      <c r="AA467" s="129"/>
      <c r="AB467" s="129"/>
      <c r="AC467" s="129"/>
      <c r="AD467" s="130"/>
      <c r="AE467" s="131">
        <f>IF(L467="","",IF(L468&gt;0,(SUM(((L466-1)*(1-_xlfn.XLOOKUP(K466,'Janeiro 2023 - Valor Real'!A3:A15,'Janeiro 2023 - Valor Real'!C3:C15,0))+1),((L467-1)*(1-_xlfn.XLOOKUP(K467,'Janeiro 2023 - Valor Real'!A3:A15,'Janeiro 2023 - Valor Real'!C3:C15,0))+1),((L468-1)*(1-_xlfn.XLOOKUP(K468,'Janeiro 2023 - Valor Real'!A3:A15,'Janeiro 2023 - Valor Real'!C3:C15,0))+1))/((L467-1)*(1-_xlfn.XLOOKUP(K467,'Janeiro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Real'!C3:C15,0))+1))/((L466-1)*(1-_xlfn.XLOOKUP(K466,'Janeiro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Real'!C3:C15,0))+1))/((L467-1)*(1-_xlfn.XLOOKUP(K467,'Janeiro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Real'!C3:C15,0))+1))/((L468-1)*(1-_xlfn.XLOOKUP(K468,'Janeiro 2023 - Valor Real'!A3:A15,'Janeiro 2023 - Valor Real'!C3:C15,0))+1)),IF(I467="Lay",IF(I466="Lay",((L466/(L466-1)-1)*(1-_xlfn.XLOOKUP(K466,'Janeiro 2023 - Valor Real'!A3:A15,'Janeiro 2023 - Valor Real'!C3:C15,0))+1)/(((L466/(L466-1)-1)*(1-_xlfn.XLOOKUP(K466,'Janeiro 2023 - Valor Real'!A3:A15,'Janeiro 2023 - Valor Real'!C3:C15,0))+1)+((L467/(L467-1)-1)*(1-_xlfn.XLOOKUP(K467,'Janeiro 2023 - Valor Real'!A3:A15,'Janeiro 2023 - Valor Real'!C3:C15,0))+1)),((L466-1)*(1-_xlfn.XLOOKUP(K466,'Janeiro 2023 - Valor Real'!A3:A15,'Janeiro 2023 - Valor Real'!C3:C15,0))+1)/(((L466-1)*(1-_xlfn.XLOOKUP(K466,'Janeiro 2023 - Valor Real'!A3:A15,'Janeiro 2023 - Valor Real'!C3:C15,0))+1)+((L467/(L467-1)-1)*(1-_xlfn.XLOOKUP(K467,'Janeiro 2023 - Valor Real'!A3:A15,'Janeiro 2023 - Valor Real'!C3:C15,0))+1))),IF(I466="Lay",((L466/(L466-1)-1)*(1-_xlfn.XLOOKUP(K466,'Janeiro 2023 - Valor Real'!A3:A15,'Janeiro 2023 - Valor Real'!C3:C15,0))+1)/((((L466/(L466-1)-1)*(1-_xlfn.XLOOKUP(K466,'Janeiro 2023 - Valor Real'!A3:A15,'Janeiro 2023 - Valor Real'!C3:C15,0))+1))+((L467-1)*(1-_xlfn.XLOOKUP(K467,'Janeiro 2023 - Valor Real'!A3:A15,'Janeiro 2023 - Valor Real'!C3:C15,0))+1)),((L466-1)*(1-_xlfn.XLOOKUP(K466,'Janeiro 2023 - Valor Real'!A3:A15,'Janeiro 2023 - Valor Real'!C3:C15,0))+1)/(((L466-1)*(1-_xlfn.XLOOKUP(K466,'Janeiro 2023 - Valor Real'!A3:A15,'Janeiro 2023 - Valor Real'!C3:C15,0))+1)+((L467-1)*(1-_xlfn.XLOOKUP(K467,'Janeiro 2023 - Valor Real'!A3:A15,'Janeiro 2023 - Valor Real'!C3:C15,0))+1))))))</f>
        <v>0.579710144927536</v>
      </c>
      <c r="AF467" s="132">
        <f>IF($K467=AF$3,ROUND(IF(OR($C467="W",$C467="1/2W",$C467="1/2L"),$P467-$O467,IF($C467="X",0,-$O467)),2),0)</f>
        <v>0</v>
      </c>
      <c r="AG467" s="133">
        <f>IF($K467=AG$3,ROUND(IF(OR($C467="W",$C467="1/2W",$C467="1/2L"),$P467-$O467,IF($C467="X",0,-$O467)),2),0)</f>
        <v>0</v>
      </c>
      <c r="AH467" s="133">
        <f>IF($K467=AH$3,ROUND(IF(OR($C467="W",$C467="1/2W",$C467="1/2L"),$P467-$O467,IF($C467="X",0,-$O467)),2),0)</f>
        <v>0</v>
      </c>
      <c r="AI467" s="133">
        <f>IF($K467=AI$3,ROUND(IF(OR($C467="W",$C467="1/2W",$C467="1/2L"),$P467-$O467,IF($C467="X",0,-$O467)),2),0)</f>
        <v>0</v>
      </c>
      <c r="AJ467" s="133">
        <f>IF($K467=AJ$3,ROUND(IF(OR($C467="W",$C467="1/2W",$C467="1/2L"),$P467-$O467,IF($C467="X",0,-$O467)),2),0)</f>
        <v>0</v>
      </c>
      <c r="AK467" s="133">
        <f>IF($K467=AK$3,ROUND(IF(OR($C467="W",$C467="1/2W",$C467="1/2L"),$P467-$O467,IF($C467="X",0,-$O467)),2),0)</f>
        <v>0</v>
      </c>
      <c r="AL467" s="133">
        <f>IF($K467=AL$3,ROUND(IF(OR($C467="W",$C467="1/2W",$C467="1/2L"),$P467-$O467,IF($C467="X",0,-$O467)),2),0)</f>
        <v>0</v>
      </c>
      <c r="AM467" s="133">
        <f>IF($K467=AM$3,ROUND(IF(OR($C467="W",$C467="1/2W",$C467="1/2L"),$P467-$O467,IF($C467="X",0,-$O467)),2),0)</f>
        <v>-12.66</v>
      </c>
      <c r="AN467" s="133">
        <f>IF($K467=AN$3,ROUND(IF(OR($C467="W",$C467="1/2W",$C467="1/2L"),$P467-$O467,IF($C467="X",0,-$O467)),2),0)</f>
        <v>0</v>
      </c>
      <c r="AO467" s="133">
        <f>IF($K467=AO$3,ROUND(IF(OR($C467="W",$C467="1/2W",$C467="1/2L"),$P467-$O467,IF($C467="X",0,-$O467)),2),0)</f>
        <v>0</v>
      </c>
      <c r="AP467" s="133">
        <f>IF($K467=AP$3,ROUND(IF(OR($C467="W",$C467="1/2W",$C467="1/2L"),$P467-$O467,IF($C467="X",0,-$O467)),2),0)</f>
        <v>0</v>
      </c>
      <c r="AQ467" s="133">
        <f>IF($K467=AQ$3,ROUND(IF(OR($C467="W",$C467="1/2W",$C467="1/2L"),$P467-$O467,IF($C467="X",0,-$O467)),2),0)</f>
        <v>0</v>
      </c>
      <c r="AR467" s="134">
        <f>IF($K467=AR$3,ROUND(IF(OR($C467="W",$C467="1/2W",$C467="1/2L"),$P467-$O467,IF($C467="X",0,-$O467)),2),0)</f>
        <v>0</v>
      </c>
      <c r="AS467" s="132">
        <f>IF(AND($B466=" ",$K467=AS$3),$O467,0)</f>
        <v>0</v>
      </c>
      <c r="AT467" s="133">
        <f>IF(AND($B466=" ",K467=AT$3),$O467,0)</f>
        <v>0</v>
      </c>
      <c r="AU467" s="133">
        <f>IF(AND($B466=" ",$K467=AU$3),$O467,0)</f>
        <v>0</v>
      </c>
      <c r="AV467" s="133">
        <f>IF(AND($B466=" ",$K467=AV$3),$O467,0)</f>
        <v>0</v>
      </c>
      <c r="AW467" s="133">
        <f>IF(AND($B466=" ",$K467=AW$3),$O467,0)</f>
        <v>0</v>
      </c>
      <c r="AX467" s="133">
        <f>IF(AND($B466=" ",$K467=AX$3),$O467,0)</f>
        <v>0</v>
      </c>
      <c r="AY467" s="135">
        <f>IF(AND($B466=" ",$K467=AY$3),$O467,0)</f>
        <v>0</v>
      </c>
      <c r="AZ467" s="136">
        <f>IF(AND($B466=" ",$K467=AZ$3),$O467,0)</f>
        <v>0</v>
      </c>
      <c r="BA467" s="136">
        <f>IF(AND($B466=" ",$K467=BA$3),$O467,0)</f>
        <v>0</v>
      </c>
      <c r="BB467" s="136">
        <f>IF(AND($B466=" ",$K467=BB$3),$O467,0)</f>
        <v>0</v>
      </c>
      <c r="BC467" s="137">
        <f>IF(AND($B466=" ",$K467=BC$3),$O467,0)</f>
        <v>0</v>
      </c>
      <c r="BD467" s="133">
        <f>IF(AND($B466=" ",$K467=BD$3),$O467,0)</f>
        <v>0</v>
      </c>
      <c r="BE467" s="134">
        <f>IF(AND($B466=" ",$K467=BE$3),$O467,0)</f>
        <v>0</v>
      </c>
      <c r="BF467" s="132">
        <f>IF($K467=BF$3,IF($C467="X",0,$O467),0)</f>
        <v>0</v>
      </c>
      <c r="BG467" s="281">
        <f>IF($K467=BG$3,IF($C467="X",0,$O467),0)</f>
        <v>0</v>
      </c>
      <c r="BH467" s="133">
        <f>IF($K467=BH$3,IF($C467="X",0,$O467),0)</f>
        <v>0</v>
      </c>
      <c r="BI467" s="133">
        <f>IF($K467=BI$3,IF($C467="X",0,$O467),0)</f>
        <v>0</v>
      </c>
      <c r="BJ467" s="133">
        <f>IF($K467=BJ$3,IF($C467="X",0,$O467),0)</f>
        <v>0</v>
      </c>
      <c r="BK467" s="133">
        <f>IF($K467=BK$3,IF($C467="X",0,$O467),0)</f>
        <v>0</v>
      </c>
      <c r="BL467" s="133">
        <f>IF($K467=BL$3,IF($C467="X",0,$O467),0)</f>
        <v>0</v>
      </c>
      <c r="BM467" s="135">
        <f>IF($K467=BM$3,IF($C467="X",0,$O467),0)</f>
        <v>25.31</v>
      </c>
      <c r="BN467" s="136">
        <f>IF($K467=BN$3,IF($C467="X",0,$O467),0)</f>
        <v>0</v>
      </c>
      <c r="BO467" s="136">
        <f>IF($K467=BO$3,IF($C467="X",0,$O467),0)</f>
        <v>0</v>
      </c>
      <c r="BP467" s="136">
        <f>IF($K467=BP$3,IF($C467="X",0,$O467),0)</f>
        <v>0</v>
      </c>
      <c r="BQ467" s="137">
        <f>IF($K467=BQ$3,IF($C467="X",0,$O467),0)</f>
        <v>0</v>
      </c>
      <c r="BR467" s="134">
        <f>IF($K467=BR$3,IF($C467="X",0,$O467),0)</f>
        <v>0</v>
      </c>
      <c r="BS467" s="282"/>
      <c r="BT467" s="283"/>
      <c r="BU467" s="140"/>
      <c r="BV467" s="283"/>
      <c r="BW467" s="140"/>
      <c r="BX467" s="140"/>
      <c r="BY467" s="140"/>
      <c r="BZ467" s="283"/>
      <c r="CA467" s="140"/>
      <c r="CB467" s="140"/>
      <c r="CC467" s="140"/>
      <c r="CD467" s="141"/>
      <c r="CE467" s="142"/>
      <c r="CF467" s="284">
        <f>IF(CF$3=$K467,IF($C467="W",1,IF($C467="1/2W",0.5,0)),0)</f>
        <v>0</v>
      </c>
      <c r="CG467" s="285">
        <f>IF(CF$3=$K467,IF($C467="L",1,IF($C467="1/2L",0.5,0)),0)</f>
        <v>0</v>
      </c>
      <c r="CH467" s="285">
        <f>IF(CH$3=$K467,IF($C467="W",1,IF($C467="1/2W",0.5,0)),0)</f>
        <v>0</v>
      </c>
      <c r="CI467" s="285">
        <f>IF(CH$3=$K467,IF($C467="L",1,IF($C467="1/2L",0.5,0)),0)</f>
        <v>0</v>
      </c>
      <c r="CJ467" s="285">
        <f>IF(CJ$3=$K467,IF($C467="W",1,IF($C467="1/2W",0.5,0)),0)</f>
        <v>0</v>
      </c>
      <c r="CK467" s="285">
        <f>IF(CJ$3=$K467,IF($C467="L",1,IF($C467="1/2L",0.5,0)),0)</f>
        <v>0</v>
      </c>
      <c r="CL467" s="285">
        <f>IF(CL$3=$K467,IF($C467="W",1,IF($C467="1/2W",0.5,0)),0)</f>
        <v>0</v>
      </c>
      <c r="CM467" s="285">
        <f>IF(CL$3=$K467,IF($C467="L",1,IF($C467="1/2L",0.5,0)),0)</f>
        <v>0</v>
      </c>
      <c r="CN467" s="285">
        <f>IF(CN$3=$K467,IF($C467="W",1,IF($C467="1/2W",0.5,0)),0)</f>
        <v>0</v>
      </c>
      <c r="CO467" s="285">
        <f>IF(CN$3=$K467,IF($C467="L",1,IF($C467="1/2L",0.5,0)),0)</f>
        <v>0</v>
      </c>
      <c r="CP467" s="285">
        <f>IF(CP$3=$K467,IF($C467="W",1,IF($C467="1/2W",0.5,0)),0)</f>
        <v>0</v>
      </c>
      <c r="CQ467" s="285">
        <f>IF(CP$3=$K467,IF($C467="L",1,IF($C467="1/2L",0.5,0)),0)</f>
        <v>0</v>
      </c>
      <c r="CR467" s="285">
        <f>IF(CR$3=$K467,IF($C467="W",1,IF($C467="1/2W",0.5,0)),0)</f>
        <v>0</v>
      </c>
      <c r="CS467" s="285">
        <f>IF(CR$3=$K467,IF($C467="L",1,IF($C467="1/2L",0.5,0)),0)</f>
        <v>0</v>
      </c>
      <c r="CT467" s="145">
        <f>IF(CT$3=$K467,IF($C467="W",1,IF($C467="1/2W",0.5,0)),0)</f>
        <v>0</v>
      </c>
      <c r="CU467" s="146">
        <f>IF(CT$3=$K467,IF($C467="L",1,IF($C467="1/2L",0.5,0)),0)</f>
        <v>0.5</v>
      </c>
      <c r="CV467" s="146">
        <f>IF(CV$3=$K467,IF($C467="W",1,IF($C467="1/2W",0.5,0)),0)</f>
        <v>0</v>
      </c>
      <c r="CW467" s="146">
        <f>IF(CV$3=$K467,IF($C467="L",1,IF($C467="1/2L",0.5,0)),0)</f>
        <v>0</v>
      </c>
      <c r="CX467" s="146">
        <f>IF(CX$3=$K467,IF($C467="W",1,IF($C467="1/2W",0.5,0)),0)</f>
        <v>0</v>
      </c>
      <c r="CY467" s="146">
        <f>IF(CX$3=$K467,IF($C467="L",1,IF($C467="1/2L",0.5,0)),0)</f>
        <v>0</v>
      </c>
      <c r="CZ467" s="146">
        <f>IF(CZ$3=$K467,IF($C467="W",1,IF($C467="1/2W",0.5,0)),0)</f>
        <v>0</v>
      </c>
      <c r="DA467" s="146">
        <f>IF(CZ$3=$K467,IF($C467="L",1,IF($C467="1/2L",0.5,0)),0)</f>
        <v>0</v>
      </c>
      <c r="DB467" s="146">
        <f>IF(DB$3=$K467,IF($C467="W",1,IF($C467="1/2W",0.5,0)),0)</f>
        <v>0</v>
      </c>
      <c r="DC467" s="146">
        <f>IF(DB$3=$K467,IF($C467="L",1,IF($C467="1/2L",0.5,0)),0)</f>
        <v>0</v>
      </c>
      <c r="DD467" s="146">
        <f>IF(DD$3=$K467,IF($C467="W",1,IF($C467="1/2W",0.5,0)),0)</f>
        <v>0</v>
      </c>
      <c r="DE467" s="147">
        <f>IF(DD$3=$K467,IF($C467="L",1,IF($C467="1/2L",0.5,0)),0)</f>
        <v>0</v>
      </c>
      <c r="DF467" s="143">
        <f>IF(AND(L467&lt;DF$3,$C467="W"),1+DF466,DF466)</f>
        <v>15</v>
      </c>
      <c r="DG467" s="133">
        <f>IF(DF467&gt;DF466,L467+DG466,DG466)</f>
        <v>19.748</v>
      </c>
      <c r="DH467" s="146">
        <f>IF(AND(L467&gt;DH$3,$C467="W"),1+DH466,0+DH466)</f>
        <v>11</v>
      </c>
      <c r="DI467" s="133">
        <f>IF(DH467&gt;DH466,L467+DI466,DI466)</f>
        <v>59.13</v>
      </c>
      <c r="DJ467" t="s" s="304">
        <f>IF($D466="","",$D466)</f>
        <v>358</v>
      </c>
      <c r="DK467" s="286"/>
    </row>
    <row r="468" ht="14.55" customHeight="1">
      <c r="A468" s="149"/>
      <c r="B468" s="150"/>
      <c r="C468" t="s" s="151">
        <v>58</v>
      </c>
      <c r="D468" s="152"/>
      <c r="E468" s="153"/>
      <c r="F468" s="155"/>
      <c r="G468" s="252"/>
      <c r="H468" s="156"/>
      <c r="I468" s="287"/>
      <c r="J468" s="288"/>
      <c r="K468" s="156"/>
      <c r="L468" s="289"/>
      <c r="M468" s="290"/>
      <c r="N468" s="161"/>
      <c r="O468" t="s" s="162">
        <f>IF(OR(AE466="",AE467=""),"",IF(L468&gt;0,ROUND(IF(M468&gt;0,M468,IF(M466&gt;0,ROUND((M466*AE468)/AE466,IF(N466=0,2,IF(N466=0.1,1,0))),IF(M467&gt;0,ROUND((M467*AE468)/AE467,IF(N466=0,2,IF(N466=0.1,1,0))),IF(M468&gt;0,M468,0)))),2),""))</f>
      </c>
      <c r="P468" t="s" s="163">
        <f>IF(I467="Lay",O467*(L467/(L467-1))-O467,IF(I466="Lay",O466*(L466/(L466-1))-O466,IF(OR(L468="",O468=""),"",IF($C468="1/2W",O468/2+O468/2*L468,IF($C468="1/2L",O468/2,(O468*L468-O468)*(1-_xlfn.XLOOKUP(K468,'Janeiro 2023 - Valor Real'!A3:A15,'Janeiro 2023 - Valor Real'!C3:C15,0))+O468)))))</f>
      </c>
      <c r="Q468" t="s" s="154">
        <f>IF(K468="","",IF(_xlfn.XLOOKUP(K468,K$109:K235,DJ$109:DJ235,0,,-1)=DJ468,_xlfn.XLOOKUP(K468,K$109:K235,Q$109:Q235,1,,-1)+1,1))</f>
      </c>
      <c r="R468" t="s" s="163">
        <f>IF(K468="","",_xlfn.XLOOKUP(K468,K$109:K235,R$109:R235,0,,-1)+IF($C468=" ",1,0))</f>
      </c>
      <c r="S468" s="166"/>
      <c r="T468" s="155"/>
      <c r="U468" s="155"/>
      <c r="V468" s="166"/>
      <c r="W468" s="155"/>
      <c r="X468" s="167"/>
      <c r="Y468" s="128"/>
      <c r="Z468" s="129"/>
      <c r="AA468" s="129"/>
      <c r="AB468" s="129"/>
      <c r="AC468" s="129"/>
      <c r="AD468" s="168"/>
      <c r="AE468" t="s" s="169">
        <f>IF(L468="","",(SUM(((L466-1)*(1-_xlfn.XLOOKUP(K466,'Janeiro 2023 - Valor Real'!A3:A15,'Janeiro 2023 - Valor Real'!C3:C15,0))+1),((L467-1)*(1-_xlfn.XLOOKUP(K467,'Janeiro 2023 - Valor Real'!A3:A15,'Janeiro 2023 - Valor Real'!C3:C15,0))+1),((L468-1)*(1-_xlfn.XLOOKUP(K468,'Janeiro 2023 - Valor Real'!A3:A15,'Janeiro 2023 - Valor Real'!C3:C15,0))+1))/((L468-1)*(1-_xlfn.XLOOKUP(K468,'Janeiro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Real'!C3:C15,0))+1))/((L466-1)*(1-_xlfn.XLOOKUP(K466,'Janeiro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Real'!C3:C15,0))+1))/((L467-1)*(1-_xlfn.XLOOKUP(K467,'Janeiro 2023 - Valor Real'!A3:A15,'Janeiro 2023 - Valor Real'!C3:C15,0))+1)+SUM(((L466-1)*(1-_xlfn.XLOOKUP(K466,'Janeiro 2023 - Valor Real'!A3:A15,'Janeiro 2023 - Valor Real'!C3:C15,0))+1),((L467-1)*(1-_xlfn.XLOOKUP(K467,'Janeiro 2023 - Valor Real'!A3:A15,'Janeiro 2023 - Valor Real'!C3:C15,0))+1),((L468-1)*(1-_xlfn.XLOOKUP(K468,'Janeiro 2023 - Valor Real'!A3:A15,'Janeiro 2023 - Valor Real'!C3:C15,0))+1))/((L468-1)*(1-_xlfn.XLOOKUP(K468,'Janeiro 2023 - Valor Real'!A3:A15,'Janeiro 2023 - Valor Real'!C3:C15,0))+1)))</f>
      </c>
      <c r="AF468" s="132">
        <f>IF($K468=AF$3,ROUND(IF(OR($C468="W",$C468="1/2W",$C468="1/2L"),$P468-$O468,IF($C468="X",0,-$O468)),2),0)</f>
        <v>0</v>
      </c>
      <c r="AG468" s="133">
        <f>IF($K468=AG$3,ROUND(IF(OR($C468="W",$C468="1/2W",$C468="1/2L"),$P468-$O468,IF($C468="X",0,-$O468)),2),0)</f>
        <v>0</v>
      </c>
      <c r="AH468" s="133">
        <f>IF($K468=AH$3,ROUND(IF(OR($C468="W",$C468="1/2W",$C468="1/2L"),$P468-$O468,IF($C468="X",0,-$O468)),2),0)</f>
        <v>0</v>
      </c>
      <c r="AI468" s="133">
        <f>IF($K468=AI$3,ROUND(IF(OR($C468="W",$C468="1/2W",$C468="1/2L"),$P468-$O468,IF($C468="X",0,-$O468)),2),0)</f>
        <v>0</v>
      </c>
      <c r="AJ468" s="133">
        <f>IF($K468=AJ$3,ROUND(IF(OR($C468="W",$C468="1/2W",$C468="1/2L"),$P468-$O468,IF($C468="X",0,-$O468)),2),0)</f>
        <v>0</v>
      </c>
      <c r="AK468" s="133">
        <f>IF($K468=AK$3,ROUND(IF(OR($C468="W",$C468="1/2W",$C468="1/2L"),$P468-$O468,IF($C468="X",0,-$O468)),2),0)</f>
        <v>0</v>
      </c>
      <c r="AL468" s="133">
        <f>IF($K468=AL$3,ROUND(IF(OR($C468="W",$C468="1/2W",$C468="1/2L"),$P468-$O468,IF($C468="X",0,-$O468)),2),0)</f>
        <v>0</v>
      </c>
      <c r="AM468" s="133">
        <f>IF($K468=AM$3,ROUND(IF(OR($C468="W",$C468="1/2W",$C468="1/2L"),$P468-$O468,IF($C468="X",0,-$O468)),2),0)</f>
        <v>0</v>
      </c>
      <c r="AN468" s="133">
        <f>IF($K468=AN$3,ROUND(IF(OR($C468="W",$C468="1/2W",$C468="1/2L"),$P468-$O468,IF($C468="X",0,-$O468)),2),0)</f>
        <v>0</v>
      </c>
      <c r="AO468" s="133">
        <f>IF($K468=AO$3,ROUND(IF(OR($C468="W",$C468="1/2W",$C468="1/2L"),$P468-$O468,IF($C468="X",0,-$O468)),2),0)</f>
        <v>0</v>
      </c>
      <c r="AP468" s="133">
        <f>IF($K468=AP$3,ROUND(IF(OR($C468="W",$C468="1/2W",$C468="1/2L"),$P468-$O468,IF($C468="X",0,-$O468)),2),0)</f>
        <v>0</v>
      </c>
      <c r="AQ468" s="133">
        <f>IF($K468=AQ$3,ROUND(IF(OR($C468="W",$C468="1/2W",$C468="1/2L"),$P468-$O468,IF($C468="X",0,-$O468)),2),0)</f>
        <v>0</v>
      </c>
      <c r="AR468" s="134">
        <f>IF($K468=AR$3,ROUND(IF(OR($C468="W",$C468="1/2W",$C468="1/2L"),$P468-$O468,IF($C468="X",0,-$O468)),2),0)</f>
        <v>0</v>
      </c>
      <c r="AS468" s="132">
        <f>IF(AND($B466=" ",$K468=AS$3),$O468,0)</f>
        <v>0</v>
      </c>
      <c r="AT468" s="133">
        <f>IF(AND($B466=" ",K468=AT$3),$O468,0)</f>
        <v>0</v>
      </c>
      <c r="AU468" s="133">
        <f>IF(AND($B466=" ",$K468=AU$3),$O468,0)</f>
        <v>0</v>
      </c>
      <c r="AV468" s="133">
        <f>IF(AND($B466=" ",$K468=AV$3),$O468,0)</f>
        <v>0</v>
      </c>
      <c r="AW468" s="133">
        <f>IF(AND($B466=" ",$K468=AW$3),$O468,0)</f>
        <v>0</v>
      </c>
      <c r="AX468" s="133">
        <f>IF(AND($B466=" ",$K468=AX$3),$O468,0)</f>
        <v>0</v>
      </c>
      <c r="AY468" s="135">
        <f>IF(AND($B466=" ",$K468=AY$3),$O468,0)</f>
        <v>0</v>
      </c>
      <c r="AZ468" s="136">
        <f>IF(AND($B466=" ",$K468=AZ$3),$O468,0)</f>
        <v>0</v>
      </c>
      <c r="BA468" s="136">
        <f>IF(AND($B466=" ",$K468=BA$3),$O468,0)</f>
        <v>0</v>
      </c>
      <c r="BB468" s="136">
        <f>IF(AND($B466=" ",$K468=BB$3),$O468,0)</f>
        <v>0</v>
      </c>
      <c r="BC468" s="137">
        <f>IF(AND($B466=" ",$K468=BC$3),$O468,0)</f>
        <v>0</v>
      </c>
      <c r="BD468" s="133">
        <f>IF(AND($B466=" ",$K468=BD$3),$O468,0)</f>
        <v>0</v>
      </c>
      <c r="BE468" s="134">
        <f>IF(AND($B466=" ",$K468=BE$3),$O468,0)</f>
        <v>0</v>
      </c>
      <c r="BF468" s="132">
        <f>IF($K468=BF$3,IF($C468="X",0,$O468),0)</f>
        <v>0</v>
      </c>
      <c r="BG468" s="281">
        <f>IF($K468=BG$3,IF($C468="X",0,$O468),0)</f>
        <v>0</v>
      </c>
      <c r="BH468" s="133">
        <f>IF($K468=BH$3,IF($C468="X",0,$O468),0)</f>
        <v>0</v>
      </c>
      <c r="BI468" s="133">
        <f>IF($K468=BI$3,IF($C468="X",0,$O468),0)</f>
        <v>0</v>
      </c>
      <c r="BJ468" s="133">
        <f>IF($K468=BJ$3,IF($C468="X",0,$O468),0)</f>
        <v>0</v>
      </c>
      <c r="BK468" s="133">
        <f>IF($K468=BK$3,IF($C468="X",0,$O468),0)</f>
        <v>0</v>
      </c>
      <c r="BL468" s="133">
        <f>IF($K468=BL$3,IF($C468="X",0,$O468),0)</f>
        <v>0</v>
      </c>
      <c r="BM468" s="135">
        <f>IF($K468=BM$3,IF($C468="X",0,$O468),0)</f>
        <v>0</v>
      </c>
      <c r="BN468" s="136">
        <f>IF($K468=BN$3,IF($C468="X",0,$O468),0)</f>
        <v>0</v>
      </c>
      <c r="BO468" s="136">
        <f>IF($K468=BO$3,IF($C468="X",0,$O468),0)</f>
        <v>0</v>
      </c>
      <c r="BP468" s="136">
        <f>IF($K468=BP$3,IF($C468="X",0,$O468),0)</f>
        <v>0</v>
      </c>
      <c r="BQ468" s="137">
        <f>IF($K468=BQ$3,IF($C468="X",0,$O468),0)</f>
        <v>0</v>
      </c>
      <c r="BR468" s="134">
        <f>IF($K468=BR$3,IF($C468="X",0,$O468),0)</f>
        <v>0</v>
      </c>
      <c r="BS468" s="282"/>
      <c r="BT468" s="283"/>
      <c r="BU468" s="140"/>
      <c r="BV468" s="283"/>
      <c r="BW468" s="140"/>
      <c r="BX468" s="140"/>
      <c r="BY468" s="140"/>
      <c r="BZ468" s="283"/>
      <c r="CA468" s="140"/>
      <c r="CB468" s="140"/>
      <c r="CC468" s="140"/>
      <c r="CD468" s="141"/>
      <c r="CE468" s="142"/>
      <c r="CF468" s="284">
        <f>IF(CF$3=$K468,IF($C468="W",1,IF($C468="1/2W",0.5,0)),0)</f>
        <v>0</v>
      </c>
      <c r="CG468" s="285">
        <f>IF(CF$3=$K468,IF($C468="L",1,IF($C468="1/2L",0.5,0)),0)</f>
        <v>0</v>
      </c>
      <c r="CH468" s="285">
        <f>IF(CH$3=$K468,IF($C468="W",1,IF($C468="1/2W",0.5,0)),0)</f>
        <v>0</v>
      </c>
      <c r="CI468" s="285">
        <f>IF(CH$3=$K468,IF($C468="L",1,IF($C468="1/2L",0.5,0)),0)</f>
        <v>0</v>
      </c>
      <c r="CJ468" s="285">
        <f>IF(CJ$3=$K468,IF($C468="W",1,IF($C468="1/2W",0.5,0)),0)</f>
        <v>0</v>
      </c>
      <c r="CK468" s="285">
        <f>IF(CJ$3=$K468,IF($C468="L",1,IF($C468="1/2L",0.5,0)),0)</f>
        <v>0</v>
      </c>
      <c r="CL468" s="285">
        <f>IF(CL$3=$K468,IF($C468="W",1,IF($C468="1/2W",0.5,0)),0)</f>
        <v>0</v>
      </c>
      <c r="CM468" s="285">
        <f>IF(CL$3=$K468,IF($C468="L",1,IF($C468="1/2L",0.5,0)),0)</f>
        <v>0</v>
      </c>
      <c r="CN468" s="285">
        <f>IF(CN$3=$K468,IF($C468="W",1,IF($C468="1/2W",0.5,0)),0)</f>
        <v>0</v>
      </c>
      <c r="CO468" s="285">
        <f>IF(CN$3=$K468,IF($C468="L",1,IF($C468="1/2L",0.5,0)),0)</f>
        <v>0</v>
      </c>
      <c r="CP468" s="285">
        <f>IF(CP$3=$K468,IF($C468="W",1,IF($C468="1/2W",0.5,0)),0)</f>
        <v>0</v>
      </c>
      <c r="CQ468" s="285">
        <f>IF(CP$3=$K468,IF($C468="L",1,IF($C468="1/2L",0.5,0)),0)</f>
        <v>0</v>
      </c>
      <c r="CR468" s="285">
        <f>IF(CR$3=$K468,IF($C468="W",1,IF($C468="1/2W",0.5,0)),0)</f>
        <v>0</v>
      </c>
      <c r="CS468" s="285">
        <f>IF(CR$3=$K468,IF($C468="L",1,IF($C468="1/2L",0.5,0)),0)</f>
        <v>0</v>
      </c>
      <c r="CT468" s="145">
        <f>IF(CT$3=$K468,IF($C468="W",1,IF($C468="1/2W",0.5,0)),0)</f>
        <v>0</v>
      </c>
      <c r="CU468" s="146">
        <f>IF(CT$3=$K468,IF($C468="L",1,IF($C468="1/2L",0.5,0)),0)</f>
        <v>0</v>
      </c>
      <c r="CV468" s="146">
        <f>IF(CV$3=$K468,IF($C468="W",1,IF($C468="1/2W",0.5,0)),0)</f>
        <v>0</v>
      </c>
      <c r="CW468" s="146">
        <f>IF(CV$3=$K468,IF($C468="L",1,IF($C468="1/2L",0.5,0)),0)</f>
        <v>0</v>
      </c>
      <c r="CX468" s="146">
        <f>IF(CX$3=$K468,IF($C468="W",1,IF($C468="1/2W",0.5,0)),0)</f>
        <v>0</v>
      </c>
      <c r="CY468" s="146">
        <f>IF(CX$3=$K468,IF($C468="L",1,IF($C468="1/2L",0.5,0)),0)</f>
        <v>0</v>
      </c>
      <c r="CZ468" s="146">
        <f>IF(CZ$3=$K468,IF($C468="W",1,IF($C468="1/2W",0.5,0)),0)</f>
        <v>0</v>
      </c>
      <c r="DA468" s="146">
        <f>IF(CZ$3=$K468,IF($C468="L",1,IF($C468="1/2L",0.5,0)),0)</f>
        <v>0</v>
      </c>
      <c r="DB468" s="146">
        <f>IF(DB$3=$K468,IF($C468="W",1,IF($C468="1/2W",0.5,0)),0)</f>
        <v>0</v>
      </c>
      <c r="DC468" s="146">
        <f>IF(DB$3=$K468,IF($C468="L",1,IF($C468="1/2L",0.5,0)),0)</f>
        <v>0</v>
      </c>
      <c r="DD468" s="146">
        <f>IF(DD$3=$K468,IF($C468="W",1,IF($C468="1/2W",0.5,0)),0)</f>
        <v>0</v>
      </c>
      <c r="DE468" s="147">
        <f>IF(DD$3=$K468,IF($C468="L",1,IF($C468="1/2L",0.5,0)),0)</f>
        <v>0</v>
      </c>
      <c r="DF468" s="143">
        <f>IF(AND(L468&lt;DF$3,$C468="W"),1+DF467,DF467)</f>
        <v>15</v>
      </c>
      <c r="DG468" s="133">
        <f>IF(DF468&gt;DF467,L468+DG467,DG467)</f>
        <v>19.748</v>
      </c>
      <c r="DH468" s="146">
        <f>IF(AND(L468&gt;DH$3,$C468="W"),1+DH467,0+DH467)</f>
        <v>11</v>
      </c>
      <c r="DI468" s="133">
        <f>IF(DH468&gt;DH467,L468+DI467,DI467)</f>
        <v>59.13</v>
      </c>
      <c r="DJ468" t="s" s="304">
        <f>IF($D466="","",$D466)</f>
        <v>358</v>
      </c>
      <c r="DK468" s="286"/>
    </row>
    <row r="469" ht="14.55" customHeight="1">
      <c r="A469" s="171">
        <f>$A466+1</f>
        <v>156</v>
      </c>
      <c r="B469" t="s" s="172">
        <f>IF(AND(_xlfn.XLOOKUP(H469,H$110:H230,G$110:G230,0)=G469,_xlfn.XLOOKUP("TempoBet",K469:K471,L469:L471,0)&gt;0),"X",IF(OR(C469="W",C470="W",C471="W",C469="1/2W",C470="1/2W",C471="1/2W",C469="1/2L",C470="1/2L",C471="1/2L"),"OK",IF(OR(C469="L",C470="L",C471="L"),"LOSS",IF(OR(C469="X",C470="X",C471="X"),"Anulado"," "))))</f>
        <v>50</v>
      </c>
      <c r="C469" t="s" s="173">
        <v>56</v>
      </c>
      <c r="D469" t="s" s="305">
        <f>IF(G469="","",$D466)</f>
        <v>358</v>
      </c>
      <c r="E469" t="s" s="175">
        <f>IF(G469=""," ","– "&amp;COUNTIF(D$4:D471,$D469))</f>
        <v>121</v>
      </c>
      <c r="F469" t="s" s="176"/>
      <c r="G469" s="177">
        <v>44951.333333333336</v>
      </c>
      <c r="H469" t="s" s="178">
        <v>368</v>
      </c>
      <c r="I469" t="s" s="179">
        <v>65</v>
      </c>
      <c r="J469" s="291">
        <v>3.25</v>
      </c>
      <c r="K469" t="s" s="181">
        <v>37</v>
      </c>
      <c r="L469" s="182">
        <v>1.9</v>
      </c>
      <c r="M469" s="183">
        <v>19.44</v>
      </c>
      <c r="N469" s="184">
        <v>0</v>
      </c>
      <c r="O469" s="185">
        <f>IF(OR(AE469="",AE470=""),"",ROUND(IF(L471&gt;0,IF(M469&gt;0,M469,IF(M470&gt;0,ROUND((M470*AE469)/AE470,IF(N469=0,2,IF(N469=0.1,1,0))),ROUND((M471*AE469)/AE471,IF(N469=0,2,IF(N469=0.1,1,0))))),IF(M469&gt;0,M469,ROUND((M470*AE469)/AE470,IF(N469=0,2,IF(N469=0.1,1,0))))),2))</f>
        <v>19.44</v>
      </c>
      <c r="P469" s="186">
        <f>IF(OR(L469="",O469=""),"",IF($C469="1/2W",O469/2+O469/2*L469,IF($C469="1/2L",O469/2,IF(I469="Lay",(O469*(L469/(L469-1))-O469)*(1-_xlfn.XLOOKUP(K469,'Janeiro 2023 - Valor Real'!A3:A15,'Janeiro 2023 - Valor Real'!C3:C15,0))+O469,(O469*L469-O469)*(1-_xlfn.XLOOKUP(K469,'Janeiro 2023 - Valor Real'!A3:A15,'Janeiro 2023 - Valor Real'!C3:C15,0))+O469))))</f>
        <v>36.936</v>
      </c>
      <c r="Q469" s="187">
        <f>IF(K469="","",IF(_xlfn.XLOOKUP(K469,K$110:K230,DJ$110:DJ230,0,,-1)=DJ469,_xlfn.XLOOKUP(K469,K$110:K230,Q$110:Q230,1,,-1)+1,1))</f>
        <v>1</v>
      </c>
      <c r="R469" s="188">
        <f>IF(K469="","",_xlfn.XLOOKUP(K469,K$110:K230,R$110:R230,0,,-1)+IF($C469=" ",1,0))</f>
        <v>0</v>
      </c>
      <c r="S469" s="189">
        <f>IF($B469="Anulado",0,ROUND(IF(OR($B469="LOSS",$B469="OK"),IF(OR($C469="W",$C469="1/2W",$C469="1/2L"),P469-O469,IF($C469="L",-O469,0))+IF(OR($C470="W",$C470="1/2W",$C470="1/2L"),P470-O470,IF($C470="L",-O470,0))+IF(OR($C471="W",$C471="1/2W",$C471="1/2L"),P471-O471,IF($C471="L",-O471,0)),IF(AND(OR($C469="W",$C469="1/2W",$C469="1/2L"),C470="W"),P469+P470-SUM(O469:O471)+_xlfn.XLOOKUP("X",C469:C471,O469:O471,0),IF(AND(C469=TRUE,C471="W"),P469+P471-SUM(O469:O471),IF(AND(C470="W",C471="W"),P470+P471-SUM(O469:O471)+_xlfn.XLOOKUP("X",C469:C471,O469:O471,0),IF(L471&gt;0,IF(OR($C469="W",$C469="1/2W",$C469="1/2L"),P469-SUM(O469:O471)+_xlfn.XLOOKUP("X",C469:C471,O469:O471,0),IF(OR($C469="W",$C469="1/2W",$C469="1/2L"),P470-SUM(O469:O471)+_xlfn.XLOOKUP("X",C469:C471,O469:O471,0),IF(OR($C469="W",$C469="1/2W",$C469="1/2L"),P471-SUM(O469:O471)+_xlfn.XLOOKUP("X",C469:C471,O469:O471,0),IF(SUM(P469:P471)/3-SUM(O469:O471)+_xlfn.XLOOKUP("X",C469:C471,O469:O471,0)&gt;0,SUM(P469:P471)/3-SUM(O469:O471)+_xlfn.XLOOKUP("X",C469:C471,O469:O471,0),LARGE(P469:P471,1)-SUM(O469:O471))))),IF(OR($C469="W",$C469="1/2W",$C469="1/2L"),P469-SUM(O469:O470)+_xlfn.XLOOKUP("X",C469:C471,O469:O471,0),IF(OR($C469="W",$C469="1/2W",$C469="1/2L"),P470-SUM(O469:O470)+_xlfn.XLOOKUP("X",C469:C471,O469:O471,0),SUM(P469:P470)/2-SUM(O469:O470)+_xlfn.XLOOKUP("X",C469:C471,O469:O471,0)))))))),2))</f>
        <v>1.85</v>
      </c>
      <c r="T469" s="190">
        <f>IF(S469=0,0,S469/SUM(O469:O471))</f>
        <v>0.0527215730977486</v>
      </c>
      <c r="U469" s="191">
        <f>IF($D469=$D466,IF(OR($B469="LOSS",$B469="OK",$B469="Anulada"),S469,0)+U466,IF(OR($B469="LOSS",$B469="OK",$B469="Anulada"),S469,0))</f>
        <v>11.97</v>
      </c>
      <c r="V469" s="191">
        <f>IF($D469="",0,IF($D469=$D466,IF($B469=" ",IF(I471="",IF(OR(AND(I469="DNB1",I470="DNB2"),AND(OR(I469="DNB1",I469="DNB2"),J470=0),AND(OR(I470="DNB1",I470="DNB2"),J469=0),AND(I469="DNB2",I470="DNB1"),AND(IF(J469=0,(J469+1)/ROUND(J469+1,0),J469/ROUND(J469,0))=1,IF(J470=0,(J470+1)/ROUND(IF(J470="",0,J470)+1,0),IF(J470="",0,J470)/ROUND(IF(J470="",1,J470),0))=1,OR(J469&lt;&gt;""),J470&lt;&gt;"")),0,IF(S469&lt;0,IF(I471="",SMALL(P469:P470,1)-SUM(O469:O470),0),SMALL(P469:P470,1)-SUM(O469:O470))),IF(S469&lt;0,IF(I471="",SMALL(P469:P471,1)-SUM(O469:O471),0),LARGE(P469:P471,1)-SUM(O469:O471))),S469)+V466,IF(I471="",IF(OR(AND(I469="DNB1",I470="DNB2"),AND(OR(I469="DNB1",I469="DNB2"),J470=0),AND(OR(I470="DNB1",I470="DNB2"),J469=0),AND(I469="DNB2",I470="DNB1"),AND(IF(J469=0,(J469+1)/ROUND(J469+1,0),J469/ROUND(J469,0))=1,IF(J470=0,(IF(J470="",0,J470)+1)/ROUND(IF(J470="",0,J470)+1,0),IF(J470="",0,J470)/ROUND(IF(J470="",0,J470)+1,0))=1,OR(J469&lt;&gt;""),J470&lt;&gt;"")),0,IF(S469&lt;0,IF(I471="",SMALL(P469:P470,1)-SUM(O469:O470),0),SMALL(P469:P471,1)-SUM(O469:O471))),IF(S469&lt;0,IF(I471="",SMALL(P469:P471,1)-SUM(O469:O471),0),LARGE(P469:P471,1)-SUM(O469:O471)))))</f>
        <v>11.97</v>
      </c>
      <c r="W469" s="191">
        <f>IF($D469=$D466,IF(S469&lt;0,IF(I471="",S469,0),S469)+W466,S469)</f>
        <v>11.97</v>
      </c>
      <c r="X469" t="s" s="192">
        <f>IF(OR(SUM(R469:R471)=0,V469=W469),ROUND(IF(W469=0,0,W469/Y469)*100,2)&amp;"%",ROUND(IF(V469=0,0,V469/Y469)*100,2)&amp;"% a "&amp;ROUND(IF(W469=0,0,W469/Y469)*100,2)&amp;"%")</f>
        <v>370</v>
      </c>
      <c r="Y469" s="193">
        <f>IF($D469=$D466,Y466+SUM(O469:O471),SUM(O469:O471))</f>
        <v>236.98</v>
      </c>
      <c r="Z469" s="191">
        <f>IF($B469=" ",SUM(O469:O471),0)+Z466</f>
        <v>0</v>
      </c>
      <c r="AA469" s="191">
        <f>IF(G469="","",IF($B469="Anulado",LARGE(P469:P471,1)-SUM(O469:O471)+AA466,AA466))</f>
        <v>22.2257</v>
      </c>
      <c r="AB469" s="191">
        <f>IF($D469="","",AB466+S469)</f>
        <v>319.82</v>
      </c>
      <c r="AC469" s="194">
        <f>IF($D469="","",IF($B469=" ",IF(DAY(G469)=DAY(TODAY()),1+AC466,0+AC466),0+AC466))</f>
        <v>0</v>
      </c>
      <c r="AD469" s="195">
        <f>(((L470/(L470-1)-1)*(1-_xlfn.XLOOKUP(K470,'Janeiro 2023 - Valor Real'!A3:A15,'Janeiro 2023 - Valor Real'!C3:C15,0))+1))/(((L469-1)*(1-_xlfn.XLOOKUP(K469,'Janeiro 2023 - Valor Real'!A3:A15,'Janeiro 2023 - Valor Real'!C3:C15,0))+1)+((L470/(L470-1)-1)*(1-_xlfn.XLOOKUP(K470,'Janeiro 2023 - Valor Real'!A3:A15,'Janeiro 2023 - Valor Real'!C3:C15,0))+1))</f>
        <v>0.477346278317152</v>
      </c>
      <c r="AE469" s="196">
        <f>IF(L469="","",IF(L471&gt;0,(SUM(((L469-1)*(1-_xlfn.XLOOKUP(K469,'Janeiro 2023 - Valor Real'!A3:A15,'Janeiro 2023 - Valor Real'!C3:C15,0))+1),((L470-1)*(1-_xlfn.XLOOKUP(K470,'Janeiro 2023 - Valor Real'!A3:A15,'Janeiro 2023 - Valor Real'!C3:C15,0))+1),((L471-1)*(1-_xlfn.XLOOKUP(K471,'Janeiro 2023 - Valor Real'!A3:A15,'Janeiro 2023 - Valor Real'!C3:C15,0))+1))/((L469-1)*(1-_xlfn.XLOOKUP(K469,'Janeiro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Real'!C3:C15,0))+1))/((L469-1)*(1-_xlfn.XLOOKUP(K469,'Janeiro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Real'!C3:C15,0))+1))/((L470-1)*(1-_xlfn.XLOOKUP(K470,'Janeiro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Real'!C3:C15,0))+1))/((L471-1)*(1-_xlfn.XLOOKUP(K471,'Janeiro 2023 - Valor Real'!A3:A15,'Janeiro 2023 - Valor Real'!C3:C15,0))+1)),IF(I469="Lay",IF(I470="Lay",((L470/(L470-1)-1)*(1-_xlfn.XLOOKUP(K470,'Janeiro 2023 - Valor Real'!A3:A15,'Janeiro 2023 - Valor Real'!C3:C15,0))+1)/(((L470/(L470-1)-1)*(1-_xlfn.XLOOKUP(K470,'Janeiro 2023 - Valor Real'!A3:A15,'Janeiro 2023 - Valor Real'!C3:C15,0))+1)+((L469/(L469-1)-1)*(1-_xlfn.XLOOKUP(K469,'Janeiro 2023 - Valor Real'!A3:A15,'Janeiro 2023 - Valor Real'!C3:C15,0))+1)),((L470-1)*(1-_xlfn.XLOOKUP(K470,'Janeiro 2023 - Valor Real'!A3:A15,'Janeiro 2023 - Valor Real'!C3:C15,0))+1)/(((L470-1)*(1-_xlfn.XLOOKUP(K470,'Janeiro 2023 - Valor Real'!A3:A15,'Janeiro 2023 - Valor Real'!C3:C15,0))+1)+((L469/(L469-1)-1)*(1-_xlfn.XLOOKUP(K469,'Janeiro 2023 - Valor Real'!A3:A15,'Janeiro 2023 - Valor Real'!C3:C15,0))+1))),IF(I470="Lay",(((L470/(L470-1)-1)*(1-_xlfn.XLOOKUP(K470,'Janeiro 2023 - Valor Real'!A3:A15,'Janeiro 2023 - Valor Real'!C3:C15,0))+1))/(((L469-1)*(1-_xlfn.XLOOKUP(K469,'Janeiro 2023 - Valor Real'!A3:A15,'Janeiro 2023 - Valor Real'!C3:C15,0))+1)+((L470/(L470-1)-1)*(1-_xlfn.XLOOKUP(K470,'Janeiro 2023 - Valor Real'!A3:A15,'Janeiro 2023 - Valor Real'!C3:C15,0))+1)),((L470-1)*(1-_xlfn.XLOOKUP(K470,'Janeiro 2023 - Valor Real'!A3:A15,'Janeiro 2023 - Valor Real'!C3:C15,0))+1)/(((L470-1)*(1-_xlfn.XLOOKUP(K470,'Janeiro 2023 - Valor Real'!A3:A15,'Janeiro 2023 - Valor Real'!C3:C15,0))+1)+((L469-1)*(1-_xlfn.XLOOKUP(K469,'Janeiro 2023 - Valor Real'!A3:A15,'Janeiro 2023 - Valor Real'!C3:C15,0))+1))))))</f>
        <v>0.5539906103286379</v>
      </c>
      <c r="AF469" s="197">
        <f>IF($K469=AF$3,ROUND(IF(OR($C469="W",$C469="1/2W",$C469="1/2L"),$P469-$O469,IF($C469="X",0,-$O469)),2),0)</f>
        <v>17.5</v>
      </c>
      <c r="AG469" s="198">
        <f>IF($K469=AG$3,ROUND(IF(OR($C469="W",$C469="1/2W",$C469="1/2L"),$P469-$O469,IF($C469="X",0,-$O469)),2),0)</f>
        <v>0</v>
      </c>
      <c r="AH469" s="198">
        <f>IF($K469=AH$3,ROUND(IF(OR($C469="W",$C469="1/2W",$C469="1/2L"),$P469-$O469,IF($C469="X",0,-$O469)),2),0)</f>
        <v>0</v>
      </c>
      <c r="AI469" s="198">
        <f>IF($K469=AI$3,ROUND(IF(OR($C469="W",$C469="1/2W",$C469="1/2L"),$P469-$O469,IF($C469="X",0,-$O469)),2),0)</f>
        <v>0</v>
      </c>
      <c r="AJ469" s="198">
        <f>IF($K469=AJ$3,ROUND(IF(OR($C469="W",$C469="1/2W",$C469="1/2L"),$P469-$O469,IF($C469="X",0,-$O469)),2),0)</f>
        <v>0</v>
      </c>
      <c r="AK469" s="198">
        <f>IF($K469=AK$3,ROUND(IF(OR($C469="W",$C469="1/2W",$C469="1/2L"),$P469-$O469,IF($C469="X",0,-$O469)),2),0)</f>
        <v>0</v>
      </c>
      <c r="AL469" s="198">
        <f>IF($K469=AL$3,ROUND(IF(OR($C469="W",$C469="1/2W",$C469="1/2L"),$P469-$O469,IF($C469="X",0,-$O469)),2),0)</f>
        <v>0</v>
      </c>
      <c r="AM469" s="198">
        <f>IF($K469=AM$3,ROUND(IF(OR($C469="W",$C469="1/2W",$C469="1/2L"),$P469-$O469,IF($C469="X",0,-$O469)),2),0)</f>
        <v>0</v>
      </c>
      <c r="AN469" s="198">
        <f>IF($K469=AN$3,ROUND(IF(OR($C469="W",$C469="1/2W",$C469="1/2L"),$P469-$O469,IF($C469="X",0,-$O469)),2),0)</f>
        <v>0</v>
      </c>
      <c r="AO469" s="198">
        <f>IF($K469=AO$3,ROUND(IF(OR($C469="W",$C469="1/2W",$C469="1/2L"),$P469-$O469,IF($C469="X",0,-$O469)),2),0)</f>
        <v>0</v>
      </c>
      <c r="AP469" s="198">
        <f>IF($K469=AP$3,ROUND(IF(OR($C469="W",$C469="1/2W",$C469="1/2L"),$P469-$O469,IF($C469="X",0,-$O469)),2),0)</f>
        <v>0</v>
      </c>
      <c r="AQ469" s="198">
        <f>IF($K469=AQ$3,ROUND(IF(OR($C469="W",$C469="1/2W",$C469="1/2L"),$P469-$O469,IF($C469="X",0,-$O469)),2),0)</f>
        <v>0</v>
      </c>
      <c r="AR469" s="199">
        <f>IF($K469=AR$3,ROUND(IF(OR($C469="W",$C469="1/2W",$C469="1/2L"),$P469-$O469,IF($C469="X",0,-$O469)),2),0)</f>
        <v>0</v>
      </c>
      <c r="AS469" s="197">
        <f>IF(AND($B469=" ",$K469=AS$3),$O469,0)</f>
        <v>0</v>
      </c>
      <c r="AT469" s="198">
        <f>IF(AND($B469=" ",$K469=AT$3),$O469,0)</f>
        <v>0</v>
      </c>
      <c r="AU469" s="198">
        <f>IF(AND($B469=" ",$K469=AU$3),$O469,0)</f>
        <v>0</v>
      </c>
      <c r="AV469" s="198">
        <f>IF(AND($B469=" ",$K469=AV$3),$O469,0)</f>
        <v>0</v>
      </c>
      <c r="AW469" s="198">
        <f>IF(AND($B469=" ",$K469=AW$3),$O469,0)</f>
        <v>0</v>
      </c>
      <c r="AX469" s="198">
        <f>IF(AND($B469=" ",$K469=AX$3),$O469,0)</f>
        <v>0</v>
      </c>
      <c r="AY469" s="200">
        <f>IF(AND($B469=" ",$K469=AY$3),$O469,0)</f>
        <v>0</v>
      </c>
      <c r="AZ469" s="201">
        <f>IF(AND($B469=" ",$K469=AZ$3),$O469,0)</f>
        <v>0</v>
      </c>
      <c r="BA469" s="201">
        <f>IF(AND($B469=" ",$K469=BA$3),$O469,0)</f>
        <v>0</v>
      </c>
      <c r="BB469" s="201">
        <f>IF(AND($B469=" ",$K469=BB$3),$O469,0)</f>
        <v>0</v>
      </c>
      <c r="BC469" s="202">
        <f>IF(AND($B469=" ",$K469=BC$3),$O469,0)</f>
        <v>0</v>
      </c>
      <c r="BD469" s="198">
        <f>IF(AND($B469=" ",$K469=BD$3),$O469,0)</f>
        <v>0</v>
      </c>
      <c r="BE469" s="199">
        <f>IF(AND($B469=" ",$K469=BE$3),$O469,0)</f>
        <v>0</v>
      </c>
      <c r="BF469" s="203">
        <f>IF($K469=BF$3,IF($C469="X",0,$O469),0)</f>
        <v>19.44</v>
      </c>
      <c r="BG469" s="198">
        <f>IF($K469=BG$3,IF($C469="X",0,$O469),0)</f>
        <v>0</v>
      </c>
      <c r="BH469" s="198">
        <f>IF($K469=BH$3,IF($C469="X",0,$O469),0)</f>
        <v>0</v>
      </c>
      <c r="BI469" s="198">
        <f>IF($K469=BI$3,IF($C469="X",0,$O469),0)</f>
        <v>0</v>
      </c>
      <c r="BJ469" s="198">
        <f>IF($K469=BJ$3,IF($C469="X",0,$O469),0)</f>
        <v>0</v>
      </c>
      <c r="BK469" s="198">
        <f>IF($K469=BK$3,IF($C469="X",0,$O469),0)</f>
        <v>0</v>
      </c>
      <c r="BL469" s="198">
        <f>IF($K469=BL$3,IF($C469="X",0,$O469),0)</f>
        <v>0</v>
      </c>
      <c r="BM469" s="200">
        <f>IF($K469=BM$3,IF($C469="X",0,$O469),0)</f>
        <v>0</v>
      </c>
      <c r="BN469" s="201">
        <f>IF($K469=BN$3,IF($C469="X",0,$O469),0)</f>
        <v>0</v>
      </c>
      <c r="BO469" s="201">
        <f>IF($K469=BO$3,IF($C469="X",0,$O469),0)</f>
        <v>0</v>
      </c>
      <c r="BP469" s="201">
        <f>IF($K469=BP$3,IF($C469="X",0,$O469),0)</f>
        <v>0</v>
      </c>
      <c r="BQ469" s="202">
        <f>IF($K469=BQ$3,IF($C469="X",0,$O469),0)</f>
        <v>0</v>
      </c>
      <c r="BR469" s="199">
        <f>IF($K469=BR$3,IF($C469="X",0,$O469),0)</f>
        <v>0</v>
      </c>
      <c r="BS469" s="204">
        <f>IF($B469="LOSS",IF(AND($K469=BS$3,$C469="L"),-$O469,0)+IF(AND($K470=BS$3,$C470="L"),-$O470,0)+IF(AND($K471=BS$3,$C471="L"),-$O471,0),IF(OR(AND($K469=BS$3,OR($C469="W",$C469="1/2W")),AND($K470=BS$3,OR($C470="W",$C470="1/2W")),AND($K471=BS$3,OR($C471="W",$C471="1/2W"))),$S469,0))</f>
        <v>1.85</v>
      </c>
      <c r="BT469" s="201">
        <f>IF($B469="LOSS",IF(AND($K469=BT$3,$C469="L"),-$O469,0)+IF(AND($K470=BT$3,$C470="L"),-$O470,0)+IF(AND($K470=BT$3,$C471="L"),-$O471,0),IF(OR(AND($K470=BT$3,OR($C469="W",$C469="1/2W")),AND($K470=BT$3,OR($C470="W",$C470="1/2W")),AND($K470=BT$3,OR($C471="W",$C471="1/2W"))),$S469,0))</f>
        <v>0</v>
      </c>
      <c r="BU469" s="201">
        <f>IF($B469="LOSS",IF(AND($K469=BU$3,$C469="L"),-$O469,0)+IF(AND($K470=BU$3,$C470="L"),-$O470,0)+IF(AND($K470=BU$3,$C471="L"),-$O471,0),IF(OR(AND($K470=BU$3,OR($C469="W",$C469="1/2W")),AND($K470=BU$3,OR($C470="W",$C470="1/2W")),AND($K470=BU$3,OR($C471="W",$C471="1/2W"))),$S469,0))</f>
        <v>0</v>
      </c>
      <c r="BV469" s="201">
        <f>IF($B469="LOSS",IF(AND($K469=BV$3,$C469="L"),-$O469,0)+IF(AND($K470=BV$3,$C470="L"),-$O470,0)+IF(AND($K471=BV$3,$C471="L"),-$O471,0),IF(OR(AND($K469=BV$3,OR($C469="W",$C469="1/2W")),AND($K470=BV$3,OR($C470="W",$C470="1/2W")),AND($K471=BV$3,OR($C471="W",$C471="1/2W"))),$S469,0))</f>
        <v>0</v>
      </c>
      <c r="BW469" s="201">
        <f>IF($B469="LOSS",IF(AND($K469=BW$3,$C469="L"),-$O469,0)+IF(AND($K470=BW$3,$C470="L"),-$O470,0)+IF(AND($K471=BW$3,$C471="L"),-$O471,0),IF(OR(AND($K469=BW$3,OR($C469="W",$C469="1/2W")),AND($K470=BW$3,OR($C470="W",$C470="1/2W")),AND($K471=BW$3,OR($C471="W",$C471="1/2W"))),$S469,0))</f>
        <v>0</v>
      </c>
      <c r="BX469" s="201">
        <f>IF($B469="LOSS",IF(AND($K469=BX$3,$C469="L"),-$O469,0)+IF(AND($K470=BX$3,$C470="L"),-$O470,0)+IF(AND($K471=BX$3,$C471="L"),-$O471,0),IF(OR(AND($K469=BX$3,OR($C469="W",$C469="1/2W")),AND($K470=BX$3,OR($C470="W",$C470="1/2W")),AND($K471=BX$3,OR($C471="W",$C471="1/2W"))),$S469,0))</f>
        <v>0</v>
      </c>
      <c r="BY469" s="201">
        <f>IF($B469="LOSS",IF(AND($K469=BY$3,$C469="L"),-$O469,0)+IF(AND($K470=BY$3,$C470="L"),-$O470,0)+IF(AND($K471=BY$3,$C471="L"),-$O471,0),IF(OR(AND($K469=BY$3,OR($C469="W",$C469="1/2W")),AND($K470=BY$3,OR($C470="W",$C470="1/2W")),AND($K471=BY$3,OR($C471="W",$C471="1/2W"))),$S469,0))</f>
        <v>0</v>
      </c>
      <c r="BZ469" s="205">
        <f>IF($B469="LOSS",IF(AND($K469=BZ$3,$C469="L"),-$O469,0)+IF(AND($K470=BZ$3,$C470="L"),-$O470,0)+IF(AND($K471=BZ$3,$C471="L"),-$O471,0),IF(OR(AND($K469=BZ$3,OR($C469="W",$C469="1/2W")),AND($K470=BZ$3,OR($C470="W",$C470="1/2W")),AND($K471=BZ$3,OR($C471="W",$C471="1/2W"))),$S469,0))</f>
        <v>0</v>
      </c>
      <c r="CA469" s="205">
        <f>IF($B469="LOSS",IF(AND($K469=CA$3,$C469="L"),-$O469,0)+IF(AND($K470=CA$3,$C470="L"),-$O470,0)+IF(AND($K471=CA$3,$C471="L"),-$O471,0),IF(OR(AND($K469=CA$3,OR($C469="W",$C469="1/2W")),AND($K470=CA$3,OR($C470="W",$C470="1/2W")),AND($K471=CA$3,OR($C471="W",$C471="1/2W"))),$S469,0))</f>
        <v>0</v>
      </c>
      <c r="CB469" s="205">
        <f>IF($B469="LOSS",IF(AND($K469=CB$3,$C469="L"),-$O469,0)+IF(AND($K470=CB$3,$C470="L"),-$O470,0)+IF(AND($K471=CB$3,$C471="L"),-$O471,0),IF(OR(AND($K469=CB$3,OR($C469="W",$C469="1/2W")),AND($K470=CB$3,OR($C470="W",$C470="1/2W")),AND($K471=CB$3,OR($C471="W",$C471="1/2W"))),$S469,0))</f>
        <v>0</v>
      </c>
      <c r="CC469" s="205">
        <f>IF($B469="LOSS",IF(AND($K469=CC$3,$C469="L"),-$O469,0)+IF(AND($K470=CC$3,$C470="L"),-$O470,0)+IF(AND($K471=CC$3,$C471="L"),-$O471,0),IF(OR(AND($K469=CC$3,OR($C469="W",$C469="1/2W")),AND($K470=CC$3,OR($C470="W",$C470="1/2W")),AND($K471=CC$3,OR($C471="W",$C471="1/2W"))),$S469,0))</f>
        <v>0</v>
      </c>
      <c r="CD469" s="202">
        <f>IF($B469="LOSS",IF(AND($K469=CD$3,$C469="L"),-$O469,0)+IF(AND($K470=CD$3,$C470="L"),-$O470,0)+IF(AND($K471=CD$3,$C471="L"),-$O471,0),IF(OR(AND($K469=CD$3,OR($C469="W",$C469="1/2W")),AND($K470=CD$3,OR($C470="W",$C470="1/2W")),AND($K471=CD$3,OR($C471="W",$C471="1/2W"))),$S469,0))</f>
        <v>0</v>
      </c>
      <c r="CE469" s="199">
        <f>IF($B469="LOSS",IF(AND($K469=CE$3,$C469="L"),-$O469,0)+IF(AND($K470=CE$3,$C470="L"),-$O470,0)+IF(AND($K471=CE$3,$C471="L"),-$O471,0),IF(OR(AND($K469=CE$3,OR($C469="W",$C469="1/2W")),AND($K470=CE$3,OR($C470="W",$C470="1/2W")),AND($K471=CE$3,OR($C471="W",$C471="1/2W"))),$S469,0))</f>
        <v>0</v>
      </c>
      <c r="CF469" s="206">
        <f>IF(CF$3=$K469,IF($C469="W",1,IF($C469="1/2W",0.5,0)),0)</f>
        <v>1</v>
      </c>
      <c r="CG469" s="207">
        <f>IF(CF$3=$K469,IF($C469="L",1,IF($C469="1/2L",0.5,0)),0)</f>
        <v>0</v>
      </c>
      <c r="CH469" s="207">
        <f>IF(CH$3=$K469,IF($C469="W",1,IF($C469="1/2W",0.5,0)),0)</f>
        <v>0</v>
      </c>
      <c r="CI469" s="207">
        <f>IF(CH$3=$K469,IF($C469="L",1,IF($C469="1/2L",0.5,0)),0)</f>
        <v>0</v>
      </c>
      <c r="CJ469" s="207">
        <f>IF(CJ$3=$K469,IF($C469="W",1,IF($C469="1/2W",0.5,0)),0)</f>
        <v>0</v>
      </c>
      <c r="CK469" s="207">
        <f>IF(CJ$3=$K469,IF($C469="L",1,IF($C469="1/2L",0.5,0)),0)</f>
        <v>0</v>
      </c>
      <c r="CL469" s="207">
        <f>IF(CL$3=$K469,IF($C469="W",1,IF($C469="1/2W",0.5,0)),0)</f>
        <v>0</v>
      </c>
      <c r="CM469" s="207">
        <f>IF(CL$3=$K469,IF($C469="L",1,IF($C469="1/2L",0.5,0)),0)</f>
        <v>0</v>
      </c>
      <c r="CN469" s="207">
        <f>IF(CN$3=$K469,IF($C469="W",1,IF($C469="1/2W",0.5,0)),0)</f>
        <v>0</v>
      </c>
      <c r="CO469" s="207">
        <f>IF(CN$3=$K469,IF($C469="L",1,IF($C469="1/2L",0.5,0)),0)</f>
        <v>0</v>
      </c>
      <c r="CP469" s="207">
        <f>IF(CP$3=$K469,IF($C469="W",1,IF($C469="1/2W",0.5,0)),0)</f>
        <v>0</v>
      </c>
      <c r="CQ469" s="207">
        <f>IF(CP$3=$K469,IF($C469="L",1,IF($C469="1/2L",0.5,0)),0)</f>
        <v>0</v>
      </c>
      <c r="CR469" s="207">
        <f>IF(CR$3=$K469,IF($C469="W",1,IF($C469="1/2W",0.5,0)),0)</f>
        <v>0</v>
      </c>
      <c r="CS469" s="207">
        <f>IF(CR$3=$K469,IF($C469="L",1,IF($C469="1/2L",0.5,0)),0)</f>
        <v>0</v>
      </c>
      <c r="CT469" s="208">
        <f>IF(CT$3=$K469,IF($C469="W",1,IF($C469="1/2W",0.5,0)),0)</f>
        <v>0</v>
      </c>
      <c r="CU469" s="209">
        <f>IF(CT$3=$K469,IF($C469="L",1,IF($C469="1/2L",0.5,0)),0)</f>
        <v>0</v>
      </c>
      <c r="CV469" s="209">
        <f>IF(CV$3=$K469,IF($C469="W",1,IF($C469="1/2W",0.5,0)),0)</f>
        <v>0</v>
      </c>
      <c r="CW469" s="209">
        <f>IF(CV$3=$K469,IF($C469="L",1,IF($C469="1/2L",0.5,0)),0)</f>
        <v>0</v>
      </c>
      <c r="CX469" s="209">
        <f>IF(CX$3=$K469,IF($C469="W",1,IF($C469="1/2W",0.5,0)),0)</f>
        <v>0</v>
      </c>
      <c r="CY469" s="209">
        <f>IF(CX$3=$K469,IF($C469="L",1,IF($C469="1/2L",0.5,0)),0)</f>
        <v>0</v>
      </c>
      <c r="CZ469" s="209">
        <f>IF(CZ$3=$K469,IF($C469="W",1,IF($C469="1/2W",0.5,0)),0)</f>
        <v>0</v>
      </c>
      <c r="DA469" s="209">
        <f>IF(CZ$3=$K469,IF($C469="L",1,IF($C469="1/2L",0.5,0)),0)</f>
        <v>0</v>
      </c>
      <c r="DB469" s="209">
        <f>IF(DB$3=$K469,IF($C469="W",1,IF($C469="1/2W",0.5,0)),0)</f>
        <v>0</v>
      </c>
      <c r="DC469" s="209">
        <f>IF(DB$3=$K469,IF($C469="L",1,IF($C469="1/2L",0.5,0)),0)</f>
        <v>0</v>
      </c>
      <c r="DD469" s="209">
        <f>IF(DD$3=$K469,IF($C469="W",1,IF($C469="1/2W",0.5,0)),0)</f>
        <v>0</v>
      </c>
      <c r="DE469" s="210">
        <f>IF(DD$3=$K469,IF($C469="L",1,IF($C469="1/2L",0.5,0)),0)</f>
        <v>0</v>
      </c>
      <c r="DF469" s="211">
        <f>IF(AND(L469&lt;DF$3,$C469="W"),1+DF468,DF468)</f>
        <v>15</v>
      </c>
      <c r="DG469" s="198">
        <f>IF(DF469&gt;DF468,L469+DG468,DG468)</f>
        <v>19.748</v>
      </c>
      <c r="DH469" s="209">
        <f>IF(AND(L469&gt;DH$3,$C469="W"),1+DH468,0+DH468)</f>
        <v>11</v>
      </c>
      <c r="DI469" s="198">
        <f>IF(DH469&gt;DH468,L469+DI468,DI468)</f>
        <v>59.13</v>
      </c>
      <c r="DJ469" t="s" s="306">
        <f>IF($D469="","",$D469)</f>
        <v>358</v>
      </c>
      <c r="DK469" s="209">
        <f>IF(AND($B469=" ",$D469&lt;&gt;""),1,0)</f>
        <v>0</v>
      </c>
    </row>
    <row r="470" ht="14.55" customHeight="1">
      <c r="A470" s="107"/>
      <c r="B470" s="108"/>
      <c r="C470" t="s" s="213">
        <v>51</v>
      </c>
      <c r="D470" s="110"/>
      <c r="E470" s="111"/>
      <c r="F470" s="113"/>
      <c r="G470" s="214"/>
      <c r="H470" s="114"/>
      <c r="I470" t="s" s="215">
        <v>67</v>
      </c>
      <c r="J470" s="296">
        <f>IF(OR(I469="TO",I469="TU",I469="TO1",I469="TU1",I469="TO2",I469="TU2"),J469,IF(OR(I469="AH1",I469="AH2"),IF(OR(I470="AH1",I470="AH2"),-J469,IF(OR(I470="EH1",I470="EH2"),-J469+0.5,"")),IF(OR(I469="EH1",I469="EH2"),IF(OR(I470="AH1",I470="AH2"),-J469+0.5,IF(OR(I470="EH1",I470="EH2"),-J469+1,"")),IF(AND(OR(I469="DNB1",I469="DNB2"),OR(I470="AH1",I470="AH2")),0,IF(AND(I469="Not ScoreBoth",OR(I470="TO1",I470="TO2")),0.5,"")))))</f>
        <v>3.25</v>
      </c>
      <c r="K470" t="s" s="217">
        <v>44</v>
      </c>
      <c r="L470" s="218">
        <v>2.36</v>
      </c>
      <c r="M470" s="219"/>
      <c r="N470" s="120"/>
      <c r="O470" s="220">
        <f>IF(OR(AE469="",AE470=""),"",ROUND(IF(L471&gt;0,IF(M470&gt;0,M470,IF(M469&gt;0,IF(N469=TRUE,ROUND((M469*AE470)/AE469,0),(M469*AE470)/AE469),IF(M470&gt;0,ROUND(M470,IF(N469=0,2,IF(N469=0.1,1,0))),IF(M471&gt;0,ROUND(O471*AE470/AE471,IF(N469=0,2,IF(N469=0.1,1,0))),0)))),IF(M470&gt;0,M470,ROUND((M469*AE470)/AE469,IF(N469=0,2,IF(N469=0.1,1,0))))),2))</f>
        <v>15.65</v>
      </c>
      <c r="P470" s="221">
        <f>IF(OR(L470="",O470=""),"",IF($C470="1/2W",O470/2+O470/2*L470,IF($C470="1/2L",O470/2,IF(I470="Lay",((O470*(L470/(L470-1)))-O470)*(1-_xlfn.XLOOKUP(K470,'Janeiro 2023 - Valor Real'!A3:A15,'Janeiro 2023 - Valor Real'!C3:C15,0))+O470,(O470*L470-O470)*(1-_xlfn.XLOOKUP(K470,'Janeiro 2023 - Valor Real'!A3:A15,'Janeiro 2023 - Valor Real'!C3:C15,0))+O470))))</f>
        <v>36.934</v>
      </c>
      <c r="Q470" s="222">
        <f>IF(K470="","",IF(_xlfn.XLOOKUP(K470,K$111:K231,DJ$111:DJ231,0,,-1)=DJ470,_xlfn.XLOOKUP(K470,K$111:K231,Q$111:Q231,1,,-1)+1,1))</f>
        <v>1</v>
      </c>
      <c r="R470" s="223">
        <f>IF(K470="","",_xlfn.XLOOKUP(K470,K$111:K231,R$111:R231,0,,-1)+IF($C470=" ",1,0))</f>
        <v>0</v>
      </c>
      <c r="S470" s="125"/>
      <c r="T470" s="126"/>
      <c r="U470" s="126"/>
      <c r="V470" s="224"/>
      <c r="W470" s="126"/>
      <c r="X470" s="127"/>
      <c r="Y470" s="128"/>
      <c r="Z470" s="129"/>
      <c r="AA470" s="129"/>
      <c r="AB470" s="129"/>
      <c r="AC470" s="129"/>
      <c r="AD470" s="225">
        <f>(((L470/(L470-1)-1)*(1-_xlfn.XLOOKUP(K470,'Janeiro 2023 - Valor Real'!A3:A15,'Janeiro 2023 - Valor Real'!C3:C15,0))+1))</f>
        <v>1.73529411764706</v>
      </c>
      <c r="AE470" s="226">
        <f>IF(L470="","",IF(L471&gt;0,(SUM(((L469-1)*(1-_xlfn.XLOOKUP(K469,'Janeiro 2023 - Valor Real'!A3:A15,'Janeiro 2023 - Valor Real'!C3:C15,0))+1),((L470-1)*(1-_xlfn.XLOOKUP(K470,'Janeiro 2023 - Valor Real'!A3:A15,'Janeiro 2023 - Valor Real'!C3:C15,0))+1),((L471-1)*(1-_xlfn.XLOOKUP(K471,'Janeiro 2023 - Valor Real'!A3:A15,'Janeiro 2023 - Valor Real'!C3:C15,0))+1))/((L470-1)*(1-_xlfn.XLOOKUP(K470,'Janeiro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Real'!C3:C15,0))+1))/((L469-1)*(1-_xlfn.XLOOKUP(K469,'Janeiro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Real'!C3:C15,0))+1))/((L470-1)*(1-_xlfn.XLOOKUP(K470,'Janeiro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Real'!C3:C15,0))+1))/((L471-1)*(1-_xlfn.XLOOKUP(K471,'Janeiro 2023 - Valor Real'!A3:A15,'Janeiro 2023 - Valor Real'!C3:C15,0))+1)),IF(I470="Lay",IF(I469="Lay",((L469/(L469-1)-1)*(1-_xlfn.XLOOKUP(K469,'Janeiro 2023 - Valor Real'!A3:A15,'Janeiro 2023 - Valor Real'!C3:C15,0))+1)/(((L469/(L469-1)-1)*(1-_xlfn.XLOOKUP(K469,'Janeiro 2023 - Valor Real'!A3:A15,'Janeiro 2023 - Valor Real'!C3:C15,0))+1)+((L470/(L470-1)-1)*(1-_xlfn.XLOOKUP(K470,'Janeiro 2023 - Valor Real'!A3:A15,'Janeiro 2023 - Valor Real'!C3:C15,0))+1)),((L469-1)*(1-_xlfn.XLOOKUP(K469,'Janeiro 2023 - Valor Real'!A3:A15,'Janeiro 2023 - Valor Real'!C3:C15,0))+1)/(((L469-1)*(1-_xlfn.XLOOKUP(K469,'Janeiro 2023 - Valor Real'!A3:A15,'Janeiro 2023 - Valor Real'!C3:C15,0))+1)+((L470/(L470-1)-1)*(1-_xlfn.XLOOKUP(K470,'Janeiro 2023 - Valor Real'!A3:A15,'Janeiro 2023 - Valor Real'!C3:C15,0))+1))),IF(I469="Lay",((L469/(L469-1)-1)*(1-_xlfn.XLOOKUP(K469,'Janeiro 2023 - Valor Real'!A3:A15,'Janeiro 2023 - Valor Real'!C3:C15,0))+1)/((((L469/(L469-1)-1)*(1-_xlfn.XLOOKUP(K469,'Janeiro 2023 - Valor Real'!A3:A15,'Janeiro 2023 - Valor Real'!C3:C15,0))+1))+((L470-1)*(1-_xlfn.XLOOKUP(K470,'Janeiro 2023 - Valor Real'!A3:A15,'Janeiro 2023 - Valor Real'!C3:C15,0))+1)),((L469-1)*(1-_xlfn.XLOOKUP(K469,'Janeiro 2023 - Valor Real'!A3:A15,'Janeiro 2023 - Valor Real'!C3:C15,0))+1)/(((L469-1)*(1-_xlfn.XLOOKUP(K469,'Janeiro 2023 - Valor Real'!A3:A15,'Janeiro 2023 - Valor Real'!C3:C15,0))+1)+((L470-1)*(1-_xlfn.XLOOKUP(K470,'Janeiro 2023 - Valor Real'!A3:A15,'Janeiro 2023 - Valor Real'!C3:C15,0))+1))))))</f>
        <v>0.446009389671362</v>
      </c>
      <c r="AF470" s="197">
        <f>IF($K470=AF$3,ROUND(IF(OR($C470="W",$C470="1/2W",$C470="1/2L"),$P470-$O470,IF($C470="X",0,-$O470)),2),0)</f>
        <v>0</v>
      </c>
      <c r="AG470" s="198">
        <f>IF($K470=AG$3,ROUND(IF(OR($C470="W",$C470="1/2W",$C470="1/2L"),$P470-$O470,IF($C470="X",0,-$O470)),2),0)</f>
        <v>0</v>
      </c>
      <c r="AH470" s="198">
        <f>IF($K470=AH$3,ROUND(IF(OR($C470="W",$C470="1/2W",$C470="1/2L"),$P470-$O470,IF($C470="X",0,-$O470)),2),0)</f>
        <v>0</v>
      </c>
      <c r="AI470" s="198">
        <f>IF($K470=AI$3,ROUND(IF(OR($C470="W",$C470="1/2W",$C470="1/2L"),$P470-$O470,IF($C470="X",0,-$O470)),2),0)</f>
        <v>0</v>
      </c>
      <c r="AJ470" s="198">
        <f>IF($K470=AJ$3,ROUND(IF(OR($C470="W",$C470="1/2W",$C470="1/2L"),$P470-$O470,IF($C470="X",0,-$O470)),2),0)</f>
        <v>0</v>
      </c>
      <c r="AK470" s="198">
        <f>IF($K470=AK$3,ROUND(IF(OR($C470="W",$C470="1/2W",$C470="1/2L"),$P470-$O470,IF($C470="X",0,-$O470)),2),0)</f>
        <v>0</v>
      </c>
      <c r="AL470" s="198">
        <f>IF($K470=AL$3,ROUND(IF(OR($C470="W",$C470="1/2W",$C470="1/2L"),$P470-$O470,IF($C470="X",0,-$O470)),2),0)</f>
        <v>0</v>
      </c>
      <c r="AM470" s="198">
        <f>IF($K470=AM$3,ROUND(IF(OR($C470="W",$C470="1/2W",$C470="1/2L"),$P470-$O470,IF($C470="X",0,-$O470)),2),0)</f>
        <v>-15.65</v>
      </c>
      <c r="AN470" s="198">
        <f>IF($K470=AN$3,ROUND(IF(OR($C470="W",$C470="1/2W",$C470="1/2L"),$P470-$O470,IF($C470="X",0,-$O470)),2),0)</f>
        <v>0</v>
      </c>
      <c r="AO470" s="198">
        <f>IF($K470=AO$3,ROUND(IF(OR($C470="W",$C470="1/2W",$C470="1/2L"),$P470-$O470,IF($C470="X",0,-$O470)),2),0)</f>
        <v>0</v>
      </c>
      <c r="AP470" s="198">
        <f>IF($K470=AP$3,ROUND(IF(OR($C470="W",$C470="1/2W",$C470="1/2L"),$P470-$O470,IF($C470="X",0,-$O470)),2),0)</f>
        <v>0</v>
      </c>
      <c r="AQ470" s="198">
        <f>IF($K470=AQ$3,ROUND(IF(OR($C470="W",$C470="1/2W",$C470="1/2L"),$P470-$O470,IF($C470="X",0,-$O470)),2),0)</f>
        <v>0</v>
      </c>
      <c r="AR470" s="199">
        <f>IF($K470=AR$3,ROUND(IF(OR($C470="W",$C470="1/2W",$C470="1/2L"),$P470-$O470,IF($C470="X",0,-$O470)),2),0)</f>
        <v>0</v>
      </c>
      <c r="AS470" s="197">
        <f>IF(AND($B469=" ",$K470=AS$3),$O470,0)</f>
        <v>0</v>
      </c>
      <c r="AT470" s="198">
        <f>IF(AND($B469=" ",K470=AT$3),$O470,0)</f>
        <v>0</v>
      </c>
      <c r="AU470" s="198">
        <f>IF(AND($B469=" ",$K470=AU$3),$O470,0)</f>
        <v>0</v>
      </c>
      <c r="AV470" s="198">
        <f>IF(AND($B469=" ",$K470=AV$3),$O470,0)</f>
        <v>0</v>
      </c>
      <c r="AW470" s="198">
        <f>IF(AND($B469=" ",$K470=AW$3),$O470,0)</f>
        <v>0</v>
      </c>
      <c r="AX470" s="198">
        <f>IF(AND($B469=" ",$K470=AX$3),$O470,0)</f>
        <v>0</v>
      </c>
      <c r="AY470" s="200">
        <f>IF(AND($B469=" ",$K470=AY$3),$O470,0)</f>
        <v>0</v>
      </c>
      <c r="AZ470" s="201">
        <f>IF(AND($B469=" ",$K470=AZ$3),$O470,0)</f>
        <v>0</v>
      </c>
      <c r="BA470" s="201">
        <f>IF(AND($B469=" ",$K470=BA$3),$O470,0)</f>
        <v>0</v>
      </c>
      <c r="BB470" s="201">
        <f>IF(AND($B469=" ",$K470=BB$3),$O470,0)</f>
        <v>0</v>
      </c>
      <c r="BC470" s="202">
        <f>IF(AND($B469=" ",$K470=BC$3),$O470,0)</f>
        <v>0</v>
      </c>
      <c r="BD470" s="198">
        <f>IF(AND($B469=" ",$K470=BD$3),$O470,0)</f>
        <v>0</v>
      </c>
      <c r="BE470" s="199">
        <f>IF(AND($B469=" ",$K470=BE$3),$O470,0)</f>
        <v>0</v>
      </c>
      <c r="BF470" s="197">
        <f>IF($K470=BF$3,IF($C470="X",0,$O470),0)</f>
        <v>0</v>
      </c>
      <c r="BG470" s="198">
        <f>IF($K470=BG$3,IF($C470="X",0,$O470),0)</f>
        <v>0</v>
      </c>
      <c r="BH470" s="198">
        <f>IF($K470=BH$3,IF($C470="X",0,$O470),0)</f>
        <v>0</v>
      </c>
      <c r="BI470" s="198">
        <f>IF($K470=BI$3,IF($C470="X",0,$O470),0)</f>
        <v>0</v>
      </c>
      <c r="BJ470" s="198">
        <f>IF($K470=BJ$3,IF($C470="X",0,$O470),0)</f>
        <v>0</v>
      </c>
      <c r="BK470" s="198">
        <f>IF($K470=BK$3,IF($C470="X",0,$O470),0)</f>
        <v>0</v>
      </c>
      <c r="BL470" s="198">
        <f>IF($K470=BL$3,IF($C470="X",0,$O470),0)</f>
        <v>0</v>
      </c>
      <c r="BM470" s="227">
        <f>IF($K470=BM$3,IF($C470="X",0,$O470),0)</f>
        <v>15.65</v>
      </c>
      <c r="BN470" s="205">
        <f>IF($K470=BN$3,IF($C470="X",0,$O470),0)</f>
        <v>0</v>
      </c>
      <c r="BO470" s="205">
        <f>IF($K470=BO$3,IF($C470="X",0,$O470),0)</f>
        <v>0</v>
      </c>
      <c r="BP470" s="205">
        <f>IF($K470=BP$3,IF($C470="X",0,$O470),0)</f>
        <v>0</v>
      </c>
      <c r="BQ470" s="202">
        <f>IF($K470=BQ$3,IF($C470="X",0,$O470),0)</f>
        <v>0</v>
      </c>
      <c r="BR470" s="199">
        <f>IF($K470=BR$3,IF($C470="X",0,$O470),0)</f>
        <v>0</v>
      </c>
      <c r="BS470" s="228"/>
      <c r="BT470" s="229"/>
      <c r="BU470" s="140"/>
      <c r="BV470" s="229"/>
      <c r="BW470" s="140"/>
      <c r="BX470" s="140"/>
      <c r="BY470" s="140"/>
      <c r="BZ470" s="229"/>
      <c r="CA470" s="140"/>
      <c r="CB470" s="140"/>
      <c r="CC470" s="140"/>
      <c r="CD470" s="141"/>
      <c r="CE470" s="142"/>
      <c r="CF470" s="230">
        <f>IF(CF$3=$K470,IF($C470="W",1,IF($C470="1/2W",0.5,0)),0)</f>
        <v>0</v>
      </c>
      <c r="CG470" s="231">
        <f>IF(CF$3=$K470,IF($C470="L",1,IF($C470="1/2L",0.5,0)),0)</f>
        <v>0</v>
      </c>
      <c r="CH470" s="231">
        <f>IF(CH$3=$K470,IF($C470="W",1,IF($C470="1/2W",0.5,0)),0)</f>
        <v>0</v>
      </c>
      <c r="CI470" s="231">
        <f>IF(CH$3=$K470,IF($C470="L",1,IF($C470="1/2L",0.5,0)),0)</f>
        <v>0</v>
      </c>
      <c r="CJ470" s="231">
        <f>IF(CJ$3=$K470,IF($C470="W",1,IF($C470="1/2W",0.5,0)),0)</f>
        <v>0</v>
      </c>
      <c r="CK470" s="231">
        <f>IF(CJ$3=$K470,IF($C470="L",1,IF($C470="1/2L",0.5,0)),0)</f>
        <v>0</v>
      </c>
      <c r="CL470" s="231">
        <f>IF(CL$3=$K470,IF($C470="W",1,IF($C470="1/2W",0.5,0)),0)</f>
        <v>0</v>
      </c>
      <c r="CM470" s="231">
        <f>IF(CL$3=$K470,IF($C470="L",1,IF($C470="1/2L",0.5,0)),0)</f>
        <v>0</v>
      </c>
      <c r="CN470" s="231">
        <f>IF(CN$3=$K470,IF($C470="W",1,IF($C470="1/2W",0.5,0)),0)</f>
        <v>0</v>
      </c>
      <c r="CO470" s="231">
        <f>IF(CN$3=$K470,IF($C470="L",1,IF($C470="1/2L",0.5,0)),0)</f>
        <v>0</v>
      </c>
      <c r="CP470" s="231">
        <f>IF(CP$3=$K470,IF($C470="W",1,IF($C470="1/2W",0.5,0)),0)</f>
        <v>0</v>
      </c>
      <c r="CQ470" s="231">
        <f>IF(CP$3=$K470,IF($C470="L",1,IF($C470="1/2L",0.5,0)),0)</f>
        <v>0</v>
      </c>
      <c r="CR470" s="231">
        <f>IF(CR$3=$K470,IF($C470="W",1,IF($C470="1/2W",0.5,0)),0)</f>
        <v>0</v>
      </c>
      <c r="CS470" s="231">
        <f>IF(CR$3=$K470,IF($C470="L",1,IF($C470="1/2L",0.5,0)),0)</f>
        <v>0</v>
      </c>
      <c r="CT470" s="208">
        <f>IF(CT$3=$K470,IF($C470="W",1,IF($C470="1/2W",0.5,0)),0)</f>
        <v>0</v>
      </c>
      <c r="CU470" s="209">
        <f>IF(CT$3=$K470,IF($C470="L",1,IF($C470="1/2L",0.5,0)),0)</f>
        <v>1</v>
      </c>
      <c r="CV470" s="209">
        <f>IF(CV$3=$K470,IF($C470="W",1,IF($C470="1/2W",0.5,0)),0)</f>
        <v>0</v>
      </c>
      <c r="CW470" s="209">
        <f>IF(CV$3=$K470,IF($C470="L",1,IF($C470="1/2L",0.5,0)),0)</f>
        <v>0</v>
      </c>
      <c r="CX470" s="209">
        <f>IF(CX$3=$K470,IF($C470="W",1,IF($C470="1/2W",0.5,0)),0)</f>
        <v>0</v>
      </c>
      <c r="CY470" s="209">
        <f>IF(CX$3=$K470,IF($C470="L",1,IF($C470="1/2L",0.5,0)),0)</f>
        <v>0</v>
      </c>
      <c r="CZ470" s="209">
        <f>IF(CZ$3=$K470,IF($C470="W",1,IF($C470="1/2W",0.5,0)),0)</f>
        <v>0</v>
      </c>
      <c r="DA470" s="209">
        <f>IF(CZ$3=$K470,IF($C470="L",1,IF($C470="1/2L",0.5,0)),0)</f>
        <v>0</v>
      </c>
      <c r="DB470" s="209">
        <f>IF(DB$3=$K470,IF($C470="W",1,IF($C470="1/2W",0.5,0)),0)</f>
        <v>0</v>
      </c>
      <c r="DC470" s="209">
        <f>IF(DB$3=$K470,IF($C470="L",1,IF($C470="1/2L",0.5,0)),0)</f>
        <v>0</v>
      </c>
      <c r="DD470" s="209">
        <f>IF(DD$3=$K470,IF($C470="W",1,IF($C470="1/2W",0.5,0)),0)</f>
        <v>0</v>
      </c>
      <c r="DE470" s="210">
        <f>IF(DD$3=$K470,IF($C470="L",1,IF($C470="1/2L",0.5,0)),0)</f>
        <v>0</v>
      </c>
      <c r="DF470" s="211">
        <f>IF(AND(L470&lt;DF$3,$C470="W"),1+DF469,DF469)</f>
        <v>15</v>
      </c>
      <c r="DG470" s="198">
        <f>IF(DF470&gt;DF469,L470+DG469,DG469)</f>
        <v>19.748</v>
      </c>
      <c r="DH470" s="209">
        <f>IF(AND(L470&gt;DH$3,$C470="W"),1+DH469,0+DH469)</f>
        <v>11</v>
      </c>
      <c r="DI470" s="198">
        <f>IF(DH470&gt;DH469,L470+DI469,DI469)</f>
        <v>59.13</v>
      </c>
      <c r="DJ470" t="s" s="306">
        <f>IF($D469="","",$D469)</f>
        <v>358</v>
      </c>
      <c r="DK470" s="232"/>
    </row>
    <row r="471" ht="14.55" customHeight="1">
      <c r="A471" s="149"/>
      <c r="B471" s="150"/>
      <c r="C471" t="s" s="233">
        <v>58</v>
      </c>
      <c r="D471" s="152"/>
      <c r="E471" s="153"/>
      <c r="F471" s="155"/>
      <c r="G471" s="234"/>
      <c r="H471" s="156"/>
      <c r="I471" s="235"/>
      <c r="J471" s="236"/>
      <c r="K471" s="237"/>
      <c r="L471" s="238"/>
      <c r="M471" s="239"/>
      <c r="N471" s="161"/>
      <c r="O471" t="s" s="240">
        <f>IF(OR(AE469="",AE470=""),"",IF(L471&gt;0,ROUND(IF(M471&gt;0,M471,IF(M469&gt;0,ROUND((M469*AE471)/AE469,IF(N469=0,2,IF(N469=0.1,1,0))),IF(M470&gt;0,ROUND((M470*AE471)/AE470,IF(N469=0,2,IF(N469=0.1,1,0))),IF(M471&gt;0,M471,0)))),2),""))</f>
      </c>
      <c r="P471" t="s" s="241">
        <f>IF(I470="Lay",O470*(L470/(L470-1))-O470,IF(I469="Lay",O469*(L469/(L469-1))-O469,IF(OR(L471="",O471=""),"",IF($C471="1/2W",O471/2+O471/2*L471,IF($C471="1/2L",O471/2,(O471*L471-O471)*(1-_xlfn.XLOOKUP(K471,'Janeiro 2023 - Valor Real'!A3:A15,'Janeiro 2023 - Valor Real'!C3:C15,0))+O471)))))</f>
      </c>
      <c r="Q471" t="s" s="242">
        <f>IF(K471="","",IF(_xlfn.XLOOKUP(K471,K$112:K232,DJ$112:DJ232,0,,-1)=DJ471,_xlfn.XLOOKUP(K471,K$112:K232,Q$112:Q232,1,,-1)+1,1))</f>
      </c>
      <c r="R471" t="s" s="243">
        <f>IF(K471="","",_xlfn.XLOOKUP(K471,K$112:K232,R$112:R232,0,,-1)+IF($C471=" ",1,0))</f>
      </c>
      <c r="S471" s="166"/>
      <c r="T471" s="155"/>
      <c r="U471" s="155"/>
      <c r="V471" s="166"/>
      <c r="W471" s="155"/>
      <c r="X471" s="167"/>
      <c r="Y471" s="128"/>
      <c r="Z471" s="129"/>
      <c r="AA471" s="129"/>
      <c r="AB471" s="129"/>
      <c r="AC471" s="129"/>
      <c r="AD471" s="244">
        <f>((L470/(L470-1)-1))</f>
        <v>0.735294117647059</v>
      </c>
      <c r="AE471" t="s" s="245">
        <f>IF(L471="","",(SUM(((L469-1)*(1-_xlfn.XLOOKUP(K469,'Janeiro 2023 - Valor Real'!A3:A15,'Janeiro 2023 - Valor Real'!C3:C15,0))+1),((L470-1)*(1-_xlfn.XLOOKUP(K470,'Janeiro 2023 - Valor Real'!A3:A15,'Janeiro 2023 - Valor Real'!C3:C15,0))+1),((L471-1)*(1-_xlfn.XLOOKUP(K471,'Janeiro 2023 - Valor Real'!A3:A15,'Janeiro 2023 - Valor Real'!C3:C15,0))+1))/((L471-1)*(1-_xlfn.XLOOKUP(K471,'Janeiro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Real'!C3:C15,0))+1))/((L469-1)*(1-_xlfn.XLOOKUP(K469,'Janeiro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Real'!C3:C15,0))+1))/((L470-1)*(1-_xlfn.XLOOKUP(K470,'Janeiro 2023 - Valor Real'!A3:A15,'Janeiro 2023 - Valor Real'!C3:C15,0))+1)+SUM(((L469-1)*(1-_xlfn.XLOOKUP(K469,'Janeiro 2023 - Valor Real'!A3:A15,'Janeiro 2023 - Valor Real'!C3:C15,0))+1),((L470-1)*(1-_xlfn.XLOOKUP(K470,'Janeiro 2023 - Valor Real'!A3:A15,'Janeiro 2023 - Valor Real'!C3:C15,0))+1),((L471-1)*(1-_xlfn.XLOOKUP(K471,'Janeiro 2023 - Valor Real'!A3:A15,'Janeiro 2023 - Valor Real'!C3:C15,0))+1))/((L471-1)*(1-_xlfn.XLOOKUP(K471,'Janeiro 2023 - Valor Real'!A3:A15,'Janeiro 2023 - Valor Real'!C3:C15,0))+1)))</f>
      </c>
      <c r="AF471" s="197">
        <f>IF($K471=AF$3,ROUND(IF(OR($C471="W",$C471="1/2W",$C471="1/2L"),$P471-$O471,IF($C471="X",0,-$O471)),2),0)</f>
        <v>0</v>
      </c>
      <c r="AG471" s="198">
        <f>IF($K471=AG$3,ROUND(IF(OR($C471="W",$C471="1/2W",$C471="1/2L"),$P471-$O471,IF($C471="X",0,-$O471)),2),0)</f>
        <v>0</v>
      </c>
      <c r="AH471" s="198">
        <f>IF($K471=AH$3,ROUND(IF(OR($C471="W",$C471="1/2W",$C471="1/2L"),$P471-$O471,IF($C471="X",0,-$O471)),2),0)</f>
        <v>0</v>
      </c>
      <c r="AI471" s="198">
        <f>IF($K471=AI$3,ROUND(IF(OR($C471="W",$C471="1/2W",$C471="1/2L"),$P471-$O471,IF($C471="X",0,-$O471)),2),0)</f>
        <v>0</v>
      </c>
      <c r="AJ471" s="198">
        <f>IF($K471=AJ$3,ROUND(IF(OR($C471="W",$C471="1/2W",$C471="1/2L"),$P471-$O471,IF($C471="X",0,-$O471)),2),0)</f>
        <v>0</v>
      </c>
      <c r="AK471" s="198">
        <f>IF($K471=AK$3,ROUND(IF(OR($C471="W",$C471="1/2W",$C471="1/2L"),$P471-$O471,IF($C471="X",0,-$O471)),2),0)</f>
        <v>0</v>
      </c>
      <c r="AL471" s="198">
        <f>IF($K471=AL$3,ROUND(IF(OR($C471="W",$C471="1/2W",$C471="1/2L"),$P471-$O471,IF($C471="X",0,-$O471)),2),0)</f>
        <v>0</v>
      </c>
      <c r="AM471" s="198">
        <f>IF($K471=AM$3,ROUND(IF(OR($C471="W",$C471="1/2W",$C471="1/2L"),$P471-$O471,IF($C471="X",0,-$O471)),2),0)</f>
        <v>0</v>
      </c>
      <c r="AN471" s="198">
        <f>IF($K471=AN$3,ROUND(IF(OR($C471="W",$C471="1/2W",$C471="1/2L"),$P471-$O471,IF($C471="X",0,-$O471)),2),0)</f>
        <v>0</v>
      </c>
      <c r="AO471" s="198">
        <f>IF($K471=AO$3,ROUND(IF(OR($C471="W",$C471="1/2W",$C471="1/2L"),$P471-$O471,IF($C471="X",0,-$O471)),2),0)</f>
        <v>0</v>
      </c>
      <c r="AP471" s="198">
        <f>IF($K471=AP$3,ROUND(IF(OR($C471="W",$C471="1/2W",$C471="1/2L"),$P471-$O471,IF($C471="X",0,-$O471)),2),0)</f>
        <v>0</v>
      </c>
      <c r="AQ471" s="198">
        <f>IF($K471=AQ$3,ROUND(IF(OR($C471="W",$C471="1/2W",$C471="1/2L"),$P471-$O471,IF($C471="X",0,-$O471)),2),0)</f>
        <v>0</v>
      </c>
      <c r="AR471" s="199">
        <f>IF($K471=AR$3,ROUND(IF(OR($C471="W",$C471="1/2W",$C471="1/2L"),$P471-$O471,IF($C471="X",0,-$O471)),2),0)</f>
        <v>0</v>
      </c>
      <c r="AS471" s="197">
        <f>IF(AND($B469=" ",$K471=AS$3),$O471,0)</f>
        <v>0</v>
      </c>
      <c r="AT471" s="198">
        <f>IF(AND($B469=" ",K471=AT$3),$O471,0)</f>
        <v>0</v>
      </c>
      <c r="AU471" s="198">
        <f>IF(AND($B469=" ",$K471=AU$3),$O471,0)</f>
        <v>0</v>
      </c>
      <c r="AV471" s="198">
        <f>IF(AND($B469=" ",$K471=AV$3),$O471,0)</f>
        <v>0</v>
      </c>
      <c r="AW471" s="198">
        <f>IF(AND($B469=" ",$K471=AW$3),$O471,0)</f>
        <v>0</v>
      </c>
      <c r="AX471" s="198">
        <f>IF(AND($B469=" ",$K471=AX$3),$O471,0)</f>
        <v>0</v>
      </c>
      <c r="AY471" s="200">
        <f>IF(AND($B469=" ",$K471=AY$3),$O471,0)</f>
        <v>0</v>
      </c>
      <c r="AZ471" s="201">
        <f>IF(AND($B469=" ",$K471=AZ$3),$O471,0)</f>
        <v>0</v>
      </c>
      <c r="BA471" s="201">
        <f>IF(AND($B469=" ",$K471=BA$3),$O471,0)</f>
        <v>0</v>
      </c>
      <c r="BB471" s="201">
        <f>IF(AND($B469=" ",$K471=BB$3),$O471,0)</f>
        <v>0</v>
      </c>
      <c r="BC471" s="202">
        <f>IF(AND($B469=" ",$K471=BC$3),$O471,0)</f>
        <v>0</v>
      </c>
      <c r="BD471" s="198">
        <f>IF(AND($B469=" ",$K471=BD$3),$O471,0)</f>
        <v>0</v>
      </c>
      <c r="BE471" s="199">
        <f>IF(AND($B469=" ",$K471=BE$3),$O471,0)</f>
        <v>0</v>
      </c>
      <c r="BF471" s="197">
        <f>IF($K471=BF$3,IF($C471="X",0,$O471),0)</f>
        <v>0</v>
      </c>
      <c r="BG471" s="198">
        <f>IF($K471=BG$3,IF($C471="X",0,$O471),0)</f>
        <v>0</v>
      </c>
      <c r="BH471" s="198">
        <f>IF($K471=BH$3,IF($C471="X",0,$O471),0)</f>
        <v>0</v>
      </c>
      <c r="BI471" s="198">
        <f>IF($K471=BI$3,IF($C471="X",0,$O471),0)</f>
        <v>0</v>
      </c>
      <c r="BJ471" s="198">
        <f>IF($K471=BJ$3,IF($C471="X",0,$O471),0)</f>
        <v>0</v>
      </c>
      <c r="BK471" s="198">
        <f>IF($K471=BK$3,IF($C471="X",0,$O471),0)</f>
        <v>0</v>
      </c>
      <c r="BL471" s="198">
        <f>IF($K471=BL$3,IF($C471="X",0,$O471),0)</f>
        <v>0</v>
      </c>
      <c r="BM471" s="200">
        <f>IF($K471=BM$3,IF($C471="X",0,$O471),0)</f>
        <v>0</v>
      </c>
      <c r="BN471" s="201">
        <f>IF($K471=BN$3,IF($C471="X",0,$O471),0)</f>
        <v>0</v>
      </c>
      <c r="BO471" s="201">
        <f>IF($K471=BO$3,IF($C471="X",0,$O471),0)</f>
        <v>0</v>
      </c>
      <c r="BP471" s="201">
        <f>IF($K471=BP$3,IF($C471="X",0,$O471),0)</f>
        <v>0</v>
      </c>
      <c r="BQ471" s="202">
        <f>IF($K471=BQ$3,IF($C471="X",0,$O471),0)</f>
        <v>0</v>
      </c>
      <c r="BR471" s="199">
        <f>IF($K471=BR$3,IF($C471="X",0,$O471),0)</f>
        <v>0</v>
      </c>
      <c r="BS471" s="228"/>
      <c r="BT471" s="229"/>
      <c r="BU471" s="140"/>
      <c r="BV471" s="229"/>
      <c r="BW471" s="140"/>
      <c r="BX471" s="140"/>
      <c r="BY471" s="140"/>
      <c r="BZ471" s="229"/>
      <c r="CA471" s="140"/>
      <c r="CB471" s="140"/>
      <c r="CC471" s="140"/>
      <c r="CD471" s="141"/>
      <c r="CE471" s="142"/>
      <c r="CF471" s="230">
        <f>IF(CF$3=$K471,IF($C471="W",1,IF($C471="1/2W",0.5,0)),0)</f>
        <v>0</v>
      </c>
      <c r="CG471" s="231">
        <f>IF(CF$3=$K471,IF($C471="L",1,IF($C471="1/2L",0.5,0)),0)</f>
        <v>0</v>
      </c>
      <c r="CH471" s="231">
        <f>IF(CH$3=$K471,IF($C471="W",1,IF($C471="1/2W",0.5,0)),0)</f>
        <v>0</v>
      </c>
      <c r="CI471" s="231">
        <f>IF(CH$3=$K471,IF($C471="L",1,IF($C471="1/2L",0.5,0)),0)</f>
        <v>0</v>
      </c>
      <c r="CJ471" s="231">
        <f>IF(CJ$3=$K471,IF($C471="W",1,IF($C471="1/2W",0.5,0)),0)</f>
        <v>0</v>
      </c>
      <c r="CK471" s="231">
        <f>IF(CJ$3=$K471,IF($C471="L",1,IF($C471="1/2L",0.5,0)),0)</f>
        <v>0</v>
      </c>
      <c r="CL471" s="231">
        <f>IF(CL$3=$K471,IF($C471="W",1,IF($C471="1/2W",0.5,0)),0)</f>
        <v>0</v>
      </c>
      <c r="CM471" s="231">
        <f>IF(CL$3=$K471,IF($C471="L",1,IF($C471="1/2L",0.5,0)),0)</f>
        <v>0</v>
      </c>
      <c r="CN471" s="231">
        <f>IF(CN$3=$K471,IF($C471="W",1,IF($C471="1/2W",0.5,0)),0)</f>
        <v>0</v>
      </c>
      <c r="CO471" s="231">
        <f>IF(CN$3=$K471,IF($C471="L",1,IF($C471="1/2L",0.5,0)),0)</f>
        <v>0</v>
      </c>
      <c r="CP471" s="231">
        <f>IF(CP$3=$K471,IF($C471="W",1,IF($C471="1/2W",0.5,0)),0)</f>
        <v>0</v>
      </c>
      <c r="CQ471" s="231">
        <f>IF(CP$3=$K471,IF($C471="L",1,IF($C471="1/2L",0.5,0)),0)</f>
        <v>0</v>
      </c>
      <c r="CR471" s="231">
        <f>IF(CR$3=$K471,IF($C471="W",1,IF($C471="1/2W",0.5,0)),0)</f>
        <v>0</v>
      </c>
      <c r="CS471" s="231">
        <f>IF(CR$3=$K471,IF($C471="L",1,IF($C471="1/2L",0.5,0)),0)</f>
        <v>0</v>
      </c>
      <c r="CT471" s="208">
        <f>IF(CT$3=$K471,IF($C471="W",1,IF($C471="1/2W",0.5,0)),0)</f>
        <v>0</v>
      </c>
      <c r="CU471" s="209">
        <f>IF(CT$3=$K471,IF($C471="L",1,IF($C471="1/2L",0.5,0)),0)</f>
        <v>0</v>
      </c>
      <c r="CV471" s="209">
        <f>IF(CV$3=$K471,IF($C471="W",1,IF($C471="1/2W",0.5,0)),0)</f>
        <v>0</v>
      </c>
      <c r="CW471" s="209">
        <f>IF(CV$3=$K471,IF($C471="L",1,IF($C471="1/2L",0.5,0)),0)</f>
        <v>0</v>
      </c>
      <c r="CX471" s="209">
        <f>IF(CX$3=$K471,IF($C471="W",1,IF($C471="1/2W",0.5,0)),0)</f>
        <v>0</v>
      </c>
      <c r="CY471" s="209">
        <f>IF(CX$3=$K471,IF($C471="L",1,IF($C471="1/2L",0.5,0)),0)</f>
        <v>0</v>
      </c>
      <c r="CZ471" s="209">
        <f>IF(CZ$3=$K471,IF($C471="W",1,IF($C471="1/2W",0.5,0)),0)</f>
        <v>0</v>
      </c>
      <c r="DA471" s="209">
        <f>IF(CZ$3=$K471,IF($C471="L",1,IF($C471="1/2L",0.5,0)),0)</f>
        <v>0</v>
      </c>
      <c r="DB471" s="209">
        <f>IF(DB$3=$K471,IF($C471="W",1,IF($C471="1/2W",0.5,0)),0)</f>
        <v>0</v>
      </c>
      <c r="DC471" s="209">
        <f>IF(DB$3=$K471,IF($C471="L",1,IF($C471="1/2L",0.5,0)),0)</f>
        <v>0</v>
      </c>
      <c r="DD471" s="209">
        <f>IF(DD$3=$K471,IF($C471="W",1,IF($C471="1/2W",0.5,0)),0)</f>
        <v>0</v>
      </c>
      <c r="DE471" s="210">
        <f>IF(DD$3=$K471,IF($C471="L",1,IF($C471="1/2L",0.5,0)),0)</f>
        <v>0</v>
      </c>
      <c r="DF471" s="211">
        <f>IF(AND(L471&lt;DF$3,$C471="W"),1+DF470,DF470)</f>
        <v>15</v>
      </c>
      <c r="DG471" s="198">
        <f>IF(DF471&gt;DF470,L471+DG470,DG470)</f>
        <v>19.748</v>
      </c>
      <c r="DH471" s="209">
        <f>IF(AND(L471&gt;DH$3,$C471="W"),1+DH470,0+DH470)</f>
        <v>11</v>
      </c>
      <c r="DI471" s="198">
        <f>IF(DH471&gt;DH470,L471+DI470,DI470)</f>
        <v>59.13</v>
      </c>
      <c r="DJ471" t="s" s="306">
        <f>IF($D469="","",$D469)</f>
        <v>358</v>
      </c>
      <c r="DK471" s="232"/>
    </row>
    <row r="472" ht="14.55" customHeight="1">
      <c r="A472" s="246">
        <f>$A469+1</f>
        <v>157</v>
      </c>
      <c r="B472" t="s" s="247">
        <f>IF(AND(_xlfn.XLOOKUP(H472,H$107:H251,G$107:G251,0)=G472,_xlfn.XLOOKUP("TempoBet",K472:K474,L472:L474,0)&gt;0),"X",IF(OR(C472="W",C473="W",C474="W",C472="1/2W",C473="1/2W",C474="1/2W",C472="1/2L",C473="1/2L",C474="1/2L"),"OK",IF(OR(C472="L",C473="L",C474="L"),"LOSS",IF(OR(C472="X",C473="X",C474="X"),"Anulado"," "))))</f>
        <v>50</v>
      </c>
      <c r="C472" t="s" s="248">
        <v>56</v>
      </c>
      <c r="D472" t="s" s="303">
        <f>IF(G472="","",$D469)</f>
        <v>358</v>
      </c>
      <c r="E472" t="s" s="250">
        <v>124</v>
      </c>
      <c r="F472" t="s" s="251"/>
      <c r="G472" s="252">
        <v>44951.3125</v>
      </c>
      <c r="H472" t="s" s="253">
        <v>371</v>
      </c>
      <c r="I472" t="s" s="254">
        <v>79</v>
      </c>
      <c r="J472" s="293"/>
      <c r="K472" t="s" s="256">
        <v>41</v>
      </c>
      <c r="L472" s="257">
        <v>2.63</v>
      </c>
      <c r="M472" s="258">
        <v>6.9</v>
      </c>
      <c r="N472" s="259">
        <v>0</v>
      </c>
      <c r="O472" s="260">
        <f>IF(OR(AE472="",AE473=""),"",ROUND(IF(L474&gt;0,IF(M472&gt;0,M472,IF(M473&gt;0,ROUND((M473*AE472)/AE473,IF(N472=0,2,IF(N472=0.1,1,0))),ROUND((M474*AE472)/AE474,IF(N472=0,2,IF(N472=0.1,1,0))))),IF(M472&gt;0,M472,ROUND((M473*AE472)/AE473,IF(N472=0,2,IF(N472=0.1,1,0))))),2))</f>
        <v>6.9</v>
      </c>
      <c r="P472" s="261">
        <f>IF(OR(L472="",O472=""),"",IF($C472="1/2W",O472/2+O472/2*L472,IF($C472="1/2L",O472/2,IF(I472="Lay",(O472*(L472/(L472-1))-O472)*(1-_xlfn.XLOOKUP(K472,'Janeiro 2023 - Valor Real'!A3:A15,'Janeiro 2023 - Valor Real'!C3:C15,0))+O472,(O472*L472-O472)*(1-_xlfn.XLOOKUP(K472,'Janeiro 2023 - Valor Real'!A3:A15,'Janeiro 2023 - Valor Real'!C3:C15,0))+O472))))</f>
        <v>18.147</v>
      </c>
      <c r="Q472" s="262">
        <f>IF(K472="","",IF(_xlfn.XLOOKUP(K472,K$107:K251,DJ$107:DJ251,0,,-1)=DJ472,_xlfn.XLOOKUP(K472,K$107:K251,Q$107:Q251,1,,-1)+1,1))</f>
        <v>1</v>
      </c>
      <c r="R472" s="263">
        <f>IF(K472="","",_xlfn.XLOOKUP(K472,K$107:K251,R$107:R251,0,,-1)+IF($C472=" ",1,0))</f>
        <v>0</v>
      </c>
      <c r="S472" s="264">
        <f>IF($B472="Anulado",0,ROUND(IF(OR($B472="LOSS",$B472="OK"),IF(OR($C472="W",$C472="1/2W",$C472="1/2L"),P472-O472,IF($C472="L",-O472,0))+IF(OR($C473="W",$C473="1/2W",$C473="1/2L"),P473-O473,IF($C473="L",-O473,0))+IF(OR($C474="W",$C474="1/2W",$C474="1/2L"),P474-O474,IF($C474="L",-O474,0)),IF(AND(OR($C472="W",$C472="1/2W",$C472="1/2L"),C473="W"),P472+P473-SUM(O472:O474)+_xlfn.XLOOKUP("X",C472:C474,O472:O474,0),IF(AND(C472=TRUE,C474="W"),P472+P474-SUM(O472:O474),IF(AND(C473="W",C474="W"),P473+P474-SUM(O472:O474)+_xlfn.XLOOKUP("X",C472:C474,O472:O474,0),IF(L474&gt;0,IF(OR($C472="W",$C472="1/2W",$C472="1/2L"),P472-SUM(O472:O474)+_xlfn.XLOOKUP("X",C472:C474,O472:O474,0),IF(OR($C472="W",$C472="1/2W",$C472="1/2L"),P473-SUM(O472:O474)+_xlfn.XLOOKUP("X",C472:C474,O472:O474,0),IF(OR($C472="W",$C472="1/2W",$C472="1/2L"),P474-SUM(O472:O474)+_xlfn.XLOOKUP("X",C472:C474,O472:O474,0),IF(SUM(P472:P474)/3-SUM(O472:O474)+_xlfn.XLOOKUP("X",C472:C474,O472:O474,0)&gt;0,SUM(P472:P474)/3-SUM(O472:O474)+_xlfn.XLOOKUP("X",C472:C474,O472:O474,0),LARGE(P472:P474,1)-SUM(O472:O474))))),IF(OR($C472="W",$C472="1/2W",$C472="1/2L"),P472-SUM(O472:O473)+_xlfn.XLOOKUP("X",C472:C474,O472:O474,0),IF(OR($C472="W",$C472="1/2W",$C472="1/2L"),P473-SUM(O472:O473)+_xlfn.XLOOKUP("X",C472:C474,O472:O474,0),SUM(P472:P473)/2-SUM(O472:O473)+_xlfn.XLOOKUP("X",C472:C474,O472:O474,0)))))))),2))</f>
        <v>0.7</v>
      </c>
      <c r="T472" s="265">
        <f>IF(S472=0,0,S472/SUM(O472:O474))</f>
        <v>0.0401146131805158</v>
      </c>
      <c r="U472" s="266">
        <f>IF($D472=$D469,IF(OR($B472="LOSS",$B472="OK",$B472="Anulada"),S472,0)+U469,IF(OR($B472="LOSS",$B472="OK",$B472="Anulada"),S472,0))</f>
        <v>12.67</v>
      </c>
      <c r="V472" s="266">
        <f>IF($D472="",0,IF($D472=$D469,IF($B472=" ",IF(I474="",IF(OR(AND(I472="DNB1",I473="DNB2"),AND(OR(I472="DNB1",I472="DNB2"),J473=0),AND(OR(I473="DNB1",I473="DNB2"),J472=0),AND(I472="DNB2",I473="DNB1"),AND(IF(J472=0,(J472+1)/ROUND(J472+1,0),J472/ROUND(J472,0))=1,IF(J473=0,(J473+1)/ROUND(IF(J473="",0,J473)+1,0),IF(J473="",0,J473)/ROUND(IF(J473="",1,J473),0))=1,OR(J472&lt;&gt;""),J473&lt;&gt;"")),0,IF(S472&lt;0,IF(I474="",SMALL(P472:P473,1)-SUM(O472:O473),0),SMALL(P472:P473,1)-SUM(O472:O473))),IF(S472&lt;0,IF(I474="",SMALL(P472:P474,1)-SUM(O472:O474),0),LARGE(P472:P474,1)-SUM(O472:O474))),S472)+V469,IF(I474="",IF(OR(AND(I472="DNB1",I473="DNB2"),AND(OR(I472="DNB1",I472="DNB2"),J473=0),AND(OR(I473="DNB1",I473="DNB2"),J472=0),AND(I472="DNB2",I473="DNB1"),AND(IF(J472=0,(J472+1)/ROUND(J472+1,0),J472/ROUND(J472,0))=1,IF(J473=0,(IF(J473="",0,J473)+1)/ROUND(IF(J473="",0,J473)+1,0),IF(J473="",0,J473)/ROUND(IF(J473="",0,J473)+1,0))=1,OR(J472&lt;&gt;""),J473&lt;&gt;"")),0,IF(S472&lt;0,IF(I474="",SMALL(P472:P473,1)-SUM(O472:O473),0),SMALL(P472:P474,1)-SUM(O472:O474))),IF(S472&lt;0,IF(I474="",SMALL(P472:P474,1)-SUM(O472:O474),0),LARGE(P472:P474,1)-SUM(O472:O474)))))</f>
        <v>12.67</v>
      </c>
      <c r="W472" s="266">
        <f>IF($D472=$D469,IF(S472&lt;0,IF(I474="",S472,0),S472)+W469,S472)</f>
        <v>12.67</v>
      </c>
      <c r="X472" t="s" s="267">
        <f>IF(OR(SUM(R472:R474)=0,V472=W472),ROUND(IF(W472=0,0,W472/Y472)*100,2)&amp;"%",ROUND(IF(V472=0,0,V472/Y472)*100,2)&amp;"% a "&amp;ROUND(IF(W472=0,0,W472/Y472)*100,2)&amp;"%")</f>
        <v>372</v>
      </c>
      <c r="Y472" s="268">
        <f>IF($D472=$D469,Y469+SUM(O472:O474),SUM(O472:O474))</f>
        <v>254.43</v>
      </c>
      <c r="Z472" s="266">
        <f>IF($B472=" ",SUM(O472:O474),0)+Z469</f>
        <v>0</v>
      </c>
      <c r="AA472" s="266">
        <f>IF(G472="","",IF($B472="Anulado",LARGE(P472:P474,1)-SUM(O472:O474)+AA469,AA469))</f>
        <v>22.2257</v>
      </c>
      <c r="AB472" s="266">
        <f>IF($D472="","",AB469+S472)</f>
        <v>320.52</v>
      </c>
      <c r="AC472" s="269">
        <f>IF($D472="","",IF($B472=" ",IF(DAY(G472)=DAY(TODAY()),1+AC469,0+AC469),0+AC469))</f>
        <v>0</v>
      </c>
      <c r="AD472" s="270">
        <f>(1-_xlfn.XLOOKUP(K470,'Janeiro 2023 - Valor Real'!A3:A15,'Janeiro 2023 - Valor Real'!C3:C15,0))+1</f>
        <v>2</v>
      </c>
      <c r="AE472" s="271">
        <f>IF(L472="","",IF(L474&gt;0,(SUM(((L472-1)*(1-_xlfn.XLOOKUP(K472,'Janeiro 2023 - Valor Real'!A3:A15,'Janeiro 2023 - Valor Real'!C3:C15,0))+1),((L473-1)*(1-_xlfn.XLOOKUP(K473,'Janeiro 2023 - Valor Real'!A3:A15,'Janeiro 2023 - Valor Real'!C3:C15,0))+1),((L474-1)*(1-_xlfn.XLOOKUP(K474,'Janeiro 2023 - Valor Real'!A3:A15,'Janeiro 2023 - Valor Real'!C3:C15,0))+1))/((L472-1)*(1-_xlfn.XLOOKUP(K472,'Janeiro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Real'!C3:C15,0))+1))/((L472-1)*(1-_xlfn.XLOOKUP(K472,'Janeiro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Real'!C3:C15,0))+1))/((L473-1)*(1-_xlfn.XLOOKUP(K473,'Janeiro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Real'!C3:C15,0))+1))/((L474-1)*(1-_xlfn.XLOOKUP(K474,'Janeiro 2023 - Valor Real'!A3:A15,'Janeiro 2023 - Valor Real'!C3:C15,0))+1)),IF(I472="Lay",IF(I473="Lay",((L473/(L473-1)-1)*(1-_xlfn.XLOOKUP(K473,'Janeiro 2023 - Valor Real'!A3:A15,'Janeiro 2023 - Valor Real'!C3:C15,0))+1)/(((L473/(L473-1)-1)*(1-_xlfn.XLOOKUP(K473,'Janeiro 2023 - Valor Real'!A3:A15,'Janeiro 2023 - Valor Real'!C3:C15,0))+1)+((L472/(L472-1)-1)*(1-_xlfn.XLOOKUP(K472,'Janeiro 2023 - Valor Real'!A3:A15,'Janeiro 2023 - Valor Real'!C3:C15,0))+1)),((L473-1)*(1-_xlfn.XLOOKUP(K473,'Janeiro 2023 - Valor Real'!A3:A15,'Janeiro 2023 - Valor Real'!C3:C15,0))+1)/(((L473-1)*(1-_xlfn.XLOOKUP(K473,'Janeiro 2023 - Valor Real'!A3:A15,'Janeiro 2023 - Valor Real'!C3:C15,0))+1)+((L472/(L472-1)-1)*(1-_xlfn.XLOOKUP(K472,'Janeiro 2023 - Valor Real'!A3:A15,'Janeiro 2023 - Valor Real'!C3:C15,0))+1))),IF(I473="Lay",(((L473/(L473-1)-1)*(1-_xlfn.XLOOKUP(K473,'Janeiro 2023 - Valor Real'!A3:A15,'Janeiro 2023 - Valor Real'!C3:C15,0))+1))/(((L472-1)*(1-_xlfn.XLOOKUP(K472,'Janeiro 2023 - Valor Real'!A3:A15,'Janeiro 2023 - Valor Real'!C3:C15,0))+1)+((L473/(L473-1)-1)*(1-_xlfn.XLOOKUP(K473,'Janeiro 2023 - Valor Real'!A3:A15,'Janeiro 2023 - Valor Real'!C3:C15,0))+1)),((L473-1)*(1-_xlfn.XLOOKUP(K473,'Janeiro 2023 - Valor Real'!A3:A15,'Janeiro 2023 - Valor Real'!C3:C15,0))+1)/(((L473-1)*(1-_xlfn.XLOOKUP(K473,'Janeiro 2023 - Valor Real'!A3:A15,'Janeiro 2023 - Valor Real'!C3:C15,0))+1)+((L472-1)*(1-_xlfn.XLOOKUP(K472,'Janeiro 2023 - Valor Real'!A3:A15,'Janeiro 2023 - Valor Real'!C3:C15,0))+1))))))</f>
        <v>0.395402298850575</v>
      </c>
      <c r="AF472" s="132">
        <f>IF($K472=AF$3,ROUND(IF(OR($C472="W",$C472="1/2W",$C472="1/2L"),$P472-$O472,IF($C472="X",0,-$O472)),2),0)</f>
        <v>0</v>
      </c>
      <c r="AG472" s="133">
        <f>IF($K472=AG$3,ROUND(IF(OR($C472="W",$C472="1/2W",$C472="1/2L"),$P472-$O472,IF($C472="X",0,-$O472)),2),0)</f>
        <v>0</v>
      </c>
      <c r="AH472" s="133">
        <f>IF($K472=AH$3,ROUND(IF(OR($C472="W",$C472="1/2W",$C472="1/2L"),$P472-$O472,IF($C472="X",0,-$O472)),2),0)</f>
        <v>0</v>
      </c>
      <c r="AI472" s="133">
        <f>IF($K472=AI$3,ROUND(IF(OR($C472="W",$C472="1/2W",$C472="1/2L"),$P472-$O472,IF($C472="X",0,-$O472)),2),0)</f>
        <v>0</v>
      </c>
      <c r="AJ472" s="133">
        <f>IF($K472=AJ$3,ROUND(IF(OR($C472="W",$C472="1/2W",$C472="1/2L"),$P472-$O472,IF($C472="X",0,-$O472)),2),0)</f>
        <v>11.25</v>
      </c>
      <c r="AK472" s="133">
        <f>IF($K472=AK$3,ROUND(IF(OR($C472="W",$C472="1/2W",$C472="1/2L"),$P472-$O472,IF($C472="X",0,-$O472)),2),0)</f>
        <v>0</v>
      </c>
      <c r="AL472" s="133">
        <f>IF($K472=AL$3,ROUND(IF(OR($C472="W",$C472="1/2W",$C472="1/2L"),$P472-$O472,IF($C472="X",0,-$O472)),2),0)</f>
        <v>0</v>
      </c>
      <c r="AM472" s="133">
        <f>IF($K472=AM$3,ROUND(IF(OR($C472="W",$C472="1/2W",$C472="1/2L"),$P472-$O472,IF($C472="X",0,-$O472)),2),0)</f>
        <v>0</v>
      </c>
      <c r="AN472" s="133">
        <f>IF($K472=AN$3,ROUND(IF(OR($C472="W",$C472="1/2W",$C472="1/2L"),$P472-$O472,IF($C472="X",0,-$O472)),2),0)</f>
        <v>0</v>
      </c>
      <c r="AO472" s="133">
        <f>IF($K472=AO$3,ROUND(IF(OR($C472="W",$C472="1/2W",$C472="1/2L"),$P472-$O472,IF($C472="X",0,-$O472)),2),0)</f>
        <v>0</v>
      </c>
      <c r="AP472" s="133">
        <f>IF($K472=AP$3,ROUND(IF(OR($C472="W",$C472="1/2W",$C472="1/2L"),$P472-$O472,IF($C472="X",0,-$O472)),2),0)</f>
        <v>0</v>
      </c>
      <c r="AQ472" s="133">
        <f>IF($K472=AQ$3,ROUND(IF(OR($C472="W",$C472="1/2W",$C472="1/2L"),$P472-$O472,IF($C472="X",0,-$O472)),2),0)</f>
        <v>0</v>
      </c>
      <c r="AR472" s="134">
        <f>IF($K472=AR$3,ROUND(IF(OR($C472="W",$C472="1/2W",$C472="1/2L"),$P472-$O472,IF($C472="X",0,-$O472)),2),0)</f>
        <v>0</v>
      </c>
      <c r="AS472" s="132">
        <f>IF(AND($B472=" ",$K472=AS$3),$O472,0)</f>
        <v>0</v>
      </c>
      <c r="AT472" s="133">
        <f>IF(AND($B472=" ",$K472=AT$3),$O472,0)</f>
        <v>0</v>
      </c>
      <c r="AU472" s="133">
        <f>IF(AND($B472=" ",$K472=AU$3),$O472,0)</f>
        <v>0</v>
      </c>
      <c r="AV472" s="133">
        <f>IF(AND($B472=" ",$K472=AV$3),$O472,0)</f>
        <v>0</v>
      </c>
      <c r="AW472" s="133">
        <f>IF(AND($B472=" ",$K472=AW$3),$O472,0)</f>
        <v>0</v>
      </c>
      <c r="AX472" s="133">
        <f>IF(AND($B472=" ",$K472=AX$3),$O472,0)</f>
        <v>0</v>
      </c>
      <c r="AY472" s="135">
        <f>IF(AND($B472=" ",$K472=AY$3),$O472,0)</f>
        <v>0</v>
      </c>
      <c r="AZ472" s="136">
        <f>IF(AND($B472=" ",$K472=AZ$3),$O472,0)</f>
        <v>0</v>
      </c>
      <c r="BA472" s="136">
        <f>IF(AND($B472=" ",$K472=BA$3),$O472,0)</f>
        <v>0</v>
      </c>
      <c r="BB472" s="136">
        <f>IF(AND($B472=" ",$K472=BB$3),$O472,0)</f>
        <v>0</v>
      </c>
      <c r="BC472" s="137">
        <f>IF(AND($B472=" ",$K472=BC$3),$O472,0)</f>
        <v>0</v>
      </c>
      <c r="BD472" s="133">
        <f>IF(AND($B472=" ",$K472=BD$3),$O472,0)</f>
        <v>0</v>
      </c>
      <c r="BE472" s="134">
        <f>IF(AND($B472=" ",$K472=BE$3),$O472,0)</f>
        <v>0</v>
      </c>
      <c r="BF472" s="132">
        <f>IF($K472=BF$3,IF($C472="X",0,$O472),0)</f>
        <v>0</v>
      </c>
      <c r="BG472" s="133">
        <f>IF($K472=BG$3,IF($C472="X",0,$O472),0)</f>
        <v>0</v>
      </c>
      <c r="BH472" s="133">
        <f>IF($K472=BH$3,IF($C472="X",0,$O472),0)</f>
        <v>0</v>
      </c>
      <c r="BI472" s="133">
        <f>IF($K472=BI$3,IF($C472="X",0,$O472),0)</f>
        <v>0</v>
      </c>
      <c r="BJ472" s="133">
        <f>IF($K472=BJ$3,IF($C472="X",0,$O472),0)</f>
        <v>6.9</v>
      </c>
      <c r="BK472" s="133">
        <f>IF($K472=BK$3,IF($C472="X",0,$O472),0)</f>
        <v>0</v>
      </c>
      <c r="BL472" s="133">
        <f>IF($K472=BL$3,IF($C472="X",0,$O472),0)</f>
        <v>0</v>
      </c>
      <c r="BM472" s="135">
        <f>IF($K472=BM$3,IF($C472="X",0,$O472),0)</f>
        <v>0</v>
      </c>
      <c r="BN472" s="136">
        <f>IF($K472=BN$3,IF($C472="X",0,$O472),0)</f>
        <v>0</v>
      </c>
      <c r="BO472" s="136">
        <f>IF($K472=BO$3,IF($C472="X",0,$O472),0)</f>
        <v>0</v>
      </c>
      <c r="BP472" s="136">
        <f>IF($K472=BP$3,IF($C472="X",0,$O472),0)</f>
        <v>0</v>
      </c>
      <c r="BQ472" s="137">
        <f>IF($K472=BQ$3,IF($C472="X",0,$O472),0)</f>
        <v>0</v>
      </c>
      <c r="BR472" s="134">
        <f>IF($K472=BR$3,IF($C472="X",0,$O472),0)</f>
        <v>0</v>
      </c>
      <c r="BS472" s="170">
        <f>IF($B472="LOSS",IF(AND($K472=BS$3,$C472="L"),-$O472,0)+IF(AND($K473=BS$3,$C473="L"),-$O473,0)+IF(AND($K474=BS$3,$C474="L"),-$O474,0),IF(OR(AND($K472=BS$3,OR($C472="W",$C472="1/2W")),AND($K473=BS$3,OR($C473="W",$C473="1/2W")),AND($K474=BS$3,OR($C474="W",$C474="1/2W"))),$S472,0))</f>
        <v>0</v>
      </c>
      <c r="BT472" s="272">
        <f>IF($B472="LOSS",IF(AND($K472=BT$3,$C472="L"),-$O472,0)+IF(AND($K473=BT$3,$C473="L"),-$O473,0)+IF(AND($K473=BT$3,$C474="L"),-$O474,0),IF(OR(AND($K473=BT$3,OR($C472="W",$C472="1/2W")),AND($K473=BT$3,OR($C473="W",$C473="1/2W")),AND($K473=BT$3,OR($C474="W",$C474="1/2W"))),$S472,0))</f>
        <v>0</v>
      </c>
      <c r="BU472" s="136">
        <f>IF($B472="LOSS",IF(AND($K472=BU$3,$C472="L"),-$O472,0)+IF(AND($K473=BU$3,$C473="L"),-$O473,0)+IF(AND($K473=BU$3,$C474="L"),-$O474,0),IF(OR(AND($K473=BU$3,OR($C472="W",$C472="1/2W")),AND($K473=BU$3,OR($C473="W",$C473="1/2W")),AND($K473=BU$3,OR($C474="W",$C474="1/2W"))),$S472,0))</f>
        <v>0</v>
      </c>
      <c r="BV472" s="136">
        <f>IF($B472="LOSS",IF(AND($K472=BV$3,$C472="L"),-$O472,0)+IF(AND($K473=BV$3,$C473="L"),-$O473,0)+IF(AND($K474=BV$3,$C474="L"),-$O474,0),IF(OR(AND($K472=BV$3,OR($C472="W",$C472="1/2W")),AND($K473=BV$3,OR($C473="W",$C473="1/2W")),AND($K474=BV$3,OR($C474="W",$C474="1/2W"))),$S472,0))</f>
        <v>0</v>
      </c>
      <c r="BW472" s="136">
        <f>IF($B472="LOSS",IF(AND($K472=BW$3,$C472="L"),-$O472,0)+IF(AND($K473=BW$3,$C473="L"),-$O473,0)+IF(AND($K474=BW$3,$C474="L"),-$O474,0),IF(OR(AND($K472=BW$3,OR($C472="W",$C472="1/2W")),AND($K473=BW$3,OR($C473="W",$C473="1/2W")),AND($K474=BW$3,OR($C474="W",$C474="1/2W"))),$S472,0))</f>
        <v>0.7</v>
      </c>
      <c r="BX472" s="136">
        <f>IF($B472="LOSS",IF(AND($K472=BX$3,$C472="L"),-$O472,0)+IF(AND($K473=BX$3,$C473="L"),-$O473,0)+IF(AND($K474=BX$3,$C474="L"),-$O474,0),IF(OR(AND($K472=BX$3,OR($C472="W",$C472="1/2W")),AND($K473=BX$3,OR($C473="W",$C473="1/2W")),AND($K474=BX$3,OR($C474="W",$C474="1/2W"))),$S472,0))</f>
        <v>0</v>
      </c>
      <c r="BY472" s="136">
        <f>IF($B472="LOSS",IF(AND($K472=BY$3,$C472="L"),-$O472,0)+IF(AND($K473=BY$3,$C473="L"),-$O473,0)+IF(AND($K474=BY$3,$C474="L"),-$O474,0),IF(OR(AND($K472=BY$3,OR($C472="W",$C472="1/2W")),AND($K473=BY$3,OR($C473="W",$C473="1/2W")),AND($K474=BY$3,OR($C474="W",$C474="1/2W"))),$S472,0))</f>
        <v>0</v>
      </c>
      <c r="BZ472" s="136">
        <f>IF($B472="LOSS",IF(AND($K472=BZ$3,$C472="L"),-$O472,0)+IF(AND($K473=BZ$3,$C473="L"),-$O473,0)+IF(AND($K474=BZ$3,$C474="L"),-$O474,0),IF(OR(AND($K472=BZ$3,OR($C472="W",$C472="1/2W")),AND($K473=BZ$3,OR($C473="W",$C473="1/2W")),AND($K474=BZ$3,OR($C474="W",$C474="1/2W"))),$S472,0))</f>
        <v>0</v>
      </c>
      <c r="CA472" s="136">
        <f>IF($B472="LOSS",IF(AND($K472=CA$3,$C472="L"),-$O472,0)+IF(AND($K473=CA$3,$C473="L"),-$O473,0)+IF(AND($K474=CA$3,$C474="L"),-$O474,0),IF(OR(AND($K472=CA$3,OR($C472="W",$C472="1/2W")),AND($K473=CA$3,OR($C473="W",$C473="1/2W")),AND($K474=CA$3,OR($C474="W",$C474="1/2W"))),$S472,0))</f>
        <v>0</v>
      </c>
      <c r="CB472" s="136">
        <f>IF($B472="LOSS",IF(AND($K472=CB$3,$C472="L"),-$O472,0)+IF(AND($K473=CB$3,$C473="L"),-$O473,0)+IF(AND($K474=CB$3,$C474="L"),-$O474,0),IF(OR(AND($K472=CB$3,OR($C472="W",$C472="1/2W")),AND($K473=CB$3,OR($C473="W",$C473="1/2W")),AND($K474=CB$3,OR($C474="W",$C474="1/2W"))),$S472,0))</f>
        <v>0</v>
      </c>
      <c r="CC472" s="136">
        <f>IF($B472="LOSS",IF(AND($K472=CC$3,$C472="L"),-$O472,0)+IF(AND($K473=CC$3,$C473="L"),-$O473,0)+IF(AND($K474=CC$3,$C474="L"),-$O474,0),IF(OR(AND($K472=CC$3,OR($C472="W",$C472="1/2W")),AND($K473=CC$3,OR($C473="W",$C473="1/2W")),AND($K474=CC$3,OR($C474="W",$C474="1/2W"))),$S472,0))</f>
        <v>0</v>
      </c>
      <c r="CD472" s="137">
        <f>IF($B472="LOSS",IF(AND($K472=CD$3,$C472="L"),-$O472,0)+IF(AND($K473=CD$3,$C473="L"),-$O473,0)+IF(AND($K474=CD$3,$C474="L"),-$O474,0),IF(OR(AND($K472=CD$3,OR($C472="W",$C472="1/2W")),AND($K473=CD$3,OR($C473="W",$C473="1/2W")),AND($K474=CD$3,OR($C474="W",$C474="1/2W"))),$S472,0))</f>
        <v>0</v>
      </c>
      <c r="CE472" s="134">
        <f>IF($B472="LOSS",IF(AND($K472=CE$3,$C472="L"),-$O472,0)+IF(AND($K473=CE$3,$C473="L"),-$O473,0)+IF(AND($K474=CE$3,$C474="L"),-$O474,0),IF(OR(AND($K472=CE$3,OR($C472="W",$C472="1/2W")),AND($K473=CE$3,OR($C473="W",$C473="1/2W")),AND($K474=CE$3,OR($C474="W",$C474="1/2W"))),$S472,0))</f>
        <v>0</v>
      </c>
      <c r="CF472" s="273">
        <f>IF(CF$3=$K472,IF($C472="W",1,IF($C472="1/2W",0.5,0)),0)</f>
        <v>0</v>
      </c>
      <c r="CG472" s="274">
        <f>IF(CF$3=$K472,IF($C472="L",1,IF($C472="1/2L",0.5,0)),0)</f>
        <v>0</v>
      </c>
      <c r="CH472" s="274">
        <f>IF(CH$3=$K472,IF($C472="W",1,IF($C472="1/2W",0.5,0)),0)</f>
        <v>0</v>
      </c>
      <c r="CI472" s="274">
        <f>IF(CH$3=$K472,IF($C472="L",1,IF($C472="1/2L",0.5,0)),0)</f>
        <v>0</v>
      </c>
      <c r="CJ472" s="274">
        <f>IF(CJ$3=$K472,IF($C472="W",1,IF($C472="1/2W",0.5,0)),0)</f>
        <v>0</v>
      </c>
      <c r="CK472" s="274">
        <f>IF(CJ$3=$K472,IF($C472="L",1,IF($C472="1/2L",0.5,0)),0)</f>
        <v>0</v>
      </c>
      <c r="CL472" s="274">
        <f>IF(CL$3=$K472,IF($C472="W",1,IF($C472="1/2W",0.5,0)),0)</f>
        <v>0</v>
      </c>
      <c r="CM472" s="274">
        <f>IF(CL$3=$K472,IF($C472="L",1,IF($C472="1/2L",0.5,0)),0)</f>
        <v>0</v>
      </c>
      <c r="CN472" s="274">
        <f>IF(CN$3=$K472,IF($C472="W",1,IF($C472="1/2W",0.5,0)),0)</f>
        <v>1</v>
      </c>
      <c r="CO472" s="274">
        <f>IF(CN$3=$K472,IF($C472="L",1,IF($C472="1/2L",0.5,0)),0)</f>
        <v>0</v>
      </c>
      <c r="CP472" s="274">
        <f>IF(CP$3=$K472,IF($C472="W",1,IF($C472="1/2W",0.5,0)),0)</f>
        <v>0</v>
      </c>
      <c r="CQ472" s="274">
        <f>IF(CP$3=$K472,IF($C472="L",1,IF($C472="1/2L",0.5,0)),0)</f>
        <v>0</v>
      </c>
      <c r="CR472" s="274">
        <f>IF(CR$3=$K472,IF($C472="W",1,IF($C472="1/2W",0.5,0)),0)</f>
        <v>0</v>
      </c>
      <c r="CS472" s="274">
        <f>IF(CR$3=$K472,IF($C472="L",1,IF($C472="1/2L",0.5,0)),0)</f>
        <v>0</v>
      </c>
      <c r="CT472" s="145">
        <f>IF(CT$3=$K472,IF($C472="W",1,IF($C472="1/2W",0.5,0)),0)</f>
        <v>0</v>
      </c>
      <c r="CU472" s="146">
        <f>IF(CT$3=$K472,IF($C472="L",1,IF($C472="1/2L",0.5,0)),0)</f>
        <v>0</v>
      </c>
      <c r="CV472" s="146">
        <f>IF(CV$3=$K472,IF($C472="W",1,IF($C472="1/2W",0.5,0)),0)</f>
        <v>0</v>
      </c>
      <c r="CW472" s="146">
        <f>IF(CV$3=$K472,IF($C472="L",1,IF($C472="1/2L",0.5,0)),0)</f>
        <v>0</v>
      </c>
      <c r="CX472" s="146">
        <f>IF(CX$3=$K472,IF($C472="W",1,IF($C472="1/2W",0.5,0)),0)</f>
        <v>0</v>
      </c>
      <c r="CY472" s="146">
        <f>IF(CX$3=$K472,IF($C472="L",1,IF($C472="1/2L",0.5,0)),0)</f>
        <v>0</v>
      </c>
      <c r="CZ472" s="146">
        <f>IF(CZ$3=$K472,IF($C472="W",1,IF($C472="1/2W",0.5,0)),0)</f>
        <v>0</v>
      </c>
      <c r="DA472" s="146">
        <f>IF(CZ$3=$K472,IF($C472="L",1,IF($C472="1/2L",0.5,0)),0)</f>
        <v>0</v>
      </c>
      <c r="DB472" s="146">
        <f>IF(DB$3=$K472,IF($C472="W",1,IF($C472="1/2W",0.5,0)),0)</f>
        <v>0</v>
      </c>
      <c r="DC472" s="146">
        <f>IF(DB$3=$K472,IF($C472="L",1,IF($C472="1/2L",0.5,0)),0)</f>
        <v>0</v>
      </c>
      <c r="DD472" s="146">
        <f>IF(DD$3=$K472,IF($C472="W",1,IF($C472="1/2W",0.5,0)),0)</f>
        <v>0</v>
      </c>
      <c r="DE472" s="147">
        <f>IF(DD$3=$K472,IF($C472="L",1,IF($C472="1/2L",0.5,0)),0)</f>
        <v>0</v>
      </c>
      <c r="DF472" s="143">
        <f>IF(AND(L472&lt;DF$3,$C472="W"),1+DF471,DF471)</f>
        <v>15</v>
      </c>
      <c r="DG472" s="133">
        <f>IF(DF472&gt;DF471,L472+DG471,DG471)</f>
        <v>19.748</v>
      </c>
      <c r="DH472" s="146">
        <f>IF(AND(L472&gt;DH$3,$C472="W"),1+DH471,0+DH471)</f>
        <v>11</v>
      </c>
      <c r="DI472" s="133">
        <f>IF(DH472&gt;DH471,L472+DI471,DI471)</f>
        <v>59.13</v>
      </c>
      <c r="DJ472" t="s" s="304">
        <f>IF($D472="","",$D472)</f>
        <v>358</v>
      </c>
      <c r="DK472" s="146">
        <f>IF(AND($B472=" ",$D472&lt;&gt;""),1,0)</f>
        <v>0</v>
      </c>
    </row>
    <row r="473" ht="14.55" customHeight="1">
      <c r="A473" s="107"/>
      <c r="B473" s="108"/>
      <c r="C473" t="s" s="109">
        <v>51</v>
      </c>
      <c r="D473" s="110"/>
      <c r="E473" s="111"/>
      <c r="F473" s="113"/>
      <c r="G473" s="252"/>
      <c r="H473" s="114"/>
      <c r="I473" t="s" s="275">
        <v>81</v>
      </c>
      <c r="J473" t="s" s="295">
        <f>IF(OR(I472="TO",I472="TU",I472="TO1",I472="TU1",I472="TO2",I472="TU2"),J472,IF(OR(I472="AH1",I472="AH2"),IF(OR(I473="AH1",I473="AH2"),-J472,IF(OR(I473="EH1",I473="EH2"),-J472+0.5,"")),IF(OR(I472="EH1",I472="EH2"),IF(OR(I473="AH1",I473="AH2"),-J472+0.5,IF(OR(I473="EH1",I473="EH2"),-J472+1,"")),IF(AND(OR(I472="DNB1",I472="DNB2"),OR(I473="AH1",I473="AH2")),0,IF(AND(I472="Not ScoreBoth",OR(I473="TO1",I473="TO2")),0.5,"")))))</f>
      </c>
      <c r="K473" t="s" s="117">
        <v>48</v>
      </c>
      <c r="L473" s="277">
        <v>1.72</v>
      </c>
      <c r="M473" s="278"/>
      <c r="N473" s="120"/>
      <c r="O473" s="121">
        <f>IF(OR(AE472="",AE473=""),"",ROUND(IF(L474&gt;0,IF(M473&gt;0,M473,IF(M472&gt;0,IF(N472=TRUE,ROUND((M472*AE473)/AE472,0),(M472*AE473)/AE472),IF(M473&gt;0,ROUND(M473,IF(N472=0,2,IF(N472=0.1,1,0))),IF(M474&gt;0,ROUND(O474*AE473/AE474,IF(N472=0,2,IF(N472=0.1,1,0))),0)))),IF(M473&gt;0,M473,ROUND((M472*AE473)/AE472,IF(N472=0,2,IF(N472=0.1,1,0))))),2))</f>
        <v>10.55</v>
      </c>
      <c r="P473" s="122">
        <f>IF(OR(L473="",O473=""),"",IF($C473="1/2W",O473/2+O473/2*L473,IF($C473="1/2L",O473/2,IF(I473="Lay",((O473*(L473/(L473-1)))-O473)*(1-_xlfn.XLOOKUP(K473,'Janeiro 2023 - Valor Real'!A3:A15,'Janeiro 2023 - Valor Real'!C3:C15,0))+O473,(O473*L473-O473)*(1-_xlfn.XLOOKUP(K473,'Janeiro 2023 - Valor Real'!A3:A15,'Janeiro 2023 - Valor Real'!C3:C15,0))+O473))))</f>
        <v>18.146</v>
      </c>
      <c r="Q473" s="279">
        <f>IF(K473="","",IF(_xlfn.XLOOKUP(K473,K$120:K252,DJ$120:DJ252,0,,-1)=DJ473,_xlfn.XLOOKUP(K473,K$120:K252,Q$120:Q252,1,,-1)+1,1))</f>
        <v>1</v>
      </c>
      <c r="R473" s="280">
        <f>IF(K473="","",_xlfn.XLOOKUP(K473,K$120:K252,R$120:R252,0,,-1)+IF($C473=" ",1,0))</f>
        <v>0</v>
      </c>
      <c r="S473" s="125"/>
      <c r="T473" s="126"/>
      <c r="U473" s="126"/>
      <c r="V473" s="224"/>
      <c r="W473" s="126"/>
      <c r="X473" s="127"/>
      <c r="Y473" s="128"/>
      <c r="Z473" s="129"/>
      <c r="AA473" s="129"/>
      <c r="AB473" s="129"/>
      <c r="AC473" s="129"/>
      <c r="AD473" s="130"/>
      <c r="AE473" s="131">
        <f>IF(L473="","",IF(L474&gt;0,(SUM(((L472-1)*(1-_xlfn.XLOOKUP(K472,'Janeiro 2023 - Valor Real'!A3:A15,'Janeiro 2023 - Valor Real'!C3:C15,0))+1),((L473-1)*(1-_xlfn.XLOOKUP(K473,'Janeiro 2023 - Valor Real'!A3:A15,'Janeiro 2023 - Valor Real'!C3:C15,0))+1),((L474-1)*(1-_xlfn.XLOOKUP(K474,'Janeiro 2023 - Valor Real'!A3:A15,'Janeiro 2023 - Valor Real'!C3:C15,0))+1))/((L473-1)*(1-_xlfn.XLOOKUP(K473,'Janeiro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Real'!C3:C15,0))+1))/((L472-1)*(1-_xlfn.XLOOKUP(K472,'Janeiro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Real'!C3:C15,0))+1))/((L473-1)*(1-_xlfn.XLOOKUP(K473,'Janeiro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Real'!C3:C15,0))+1))/((L474-1)*(1-_xlfn.XLOOKUP(K474,'Janeiro 2023 - Valor Real'!A3:A15,'Janeiro 2023 - Valor Real'!C3:C15,0))+1)),IF(I473="Lay",IF(I472="Lay",((L472/(L472-1)-1)*(1-_xlfn.XLOOKUP(K472,'Janeiro 2023 - Valor Real'!A3:A15,'Janeiro 2023 - Valor Real'!C3:C15,0))+1)/(((L472/(L472-1)-1)*(1-_xlfn.XLOOKUP(K472,'Janeiro 2023 - Valor Real'!A3:A15,'Janeiro 2023 - Valor Real'!C3:C15,0))+1)+((L473/(L473-1)-1)*(1-_xlfn.XLOOKUP(K473,'Janeiro 2023 - Valor Real'!A3:A15,'Janeiro 2023 - Valor Real'!C3:C15,0))+1)),((L472-1)*(1-_xlfn.XLOOKUP(K472,'Janeiro 2023 - Valor Real'!A3:A15,'Janeiro 2023 - Valor Real'!C3:C15,0))+1)/(((L472-1)*(1-_xlfn.XLOOKUP(K472,'Janeiro 2023 - Valor Real'!A3:A15,'Janeiro 2023 - Valor Real'!C3:C15,0))+1)+((L473/(L473-1)-1)*(1-_xlfn.XLOOKUP(K473,'Janeiro 2023 - Valor Real'!A3:A15,'Janeiro 2023 - Valor Real'!C3:C15,0))+1))),IF(I472="Lay",((L472/(L472-1)-1)*(1-_xlfn.XLOOKUP(K472,'Janeiro 2023 - Valor Real'!A3:A15,'Janeiro 2023 - Valor Real'!C3:C15,0))+1)/((((L472/(L472-1)-1)*(1-_xlfn.XLOOKUP(K472,'Janeiro 2023 - Valor Real'!A3:A15,'Janeiro 2023 - Valor Real'!C3:C15,0))+1))+((L473-1)*(1-_xlfn.XLOOKUP(K473,'Janeiro 2023 - Valor Real'!A3:A15,'Janeiro 2023 - Valor Real'!C3:C15,0))+1)),((L472-1)*(1-_xlfn.XLOOKUP(K472,'Janeiro 2023 - Valor Real'!A3:A15,'Janeiro 2023 - Valor Real'!C3:C15,0))+1)/(((L472-1)*(1-_xlfn.XLOOKUP(K472,'Janeiro 2023 - Valor Real'!A3:A15,'Janeiro 2023 - Valor Real'!C3:C15,0))+1)+((L473-1)*(1-_xlfn.XLOOKUP(K473,'Janeiro 2023 - Valor Real'!A3:A15,'Janeiro 2023 - Valor Real'!C3:C15,0))+1))))))</f>
        <v>0.604597701149425</v>
      </c>
      <c r="AF473" s="132">
        <f>IF($K473=AF$3,ROUND(IF(OR($C473="W",$C473="1/2W",$C473="1/2L"),$P473-$O473,IF($C473="X",0,-$O473)),2),0)</f>
        <v>0</v>
      </c>
      <c r="AG473" s="133">
        <f>IF($K473=AG$3,ROUND(IF(OR($C473="W",$C473="1/2W",$C473="1/2L"),$P473-$O473,IF($C473="X",0,-$O473)),2),0)</f>
        <v>0</v>
      </c>
      <c r="AH473" s="133">
        <f>IF($K473=AH$3,ROUND(IF(OR($C473="W",$C473="1/2W",$C473="1/2L"),$P473-$O473,IF($C473="X",0,-$O473)),2),0)</f>
        <v>0</v>
      </c>
      <c r="AI473" s="133">
        <f>IF($K473=AI$3,ROUND(IF(OR($C473="W",$C473="1/2W",$C473="1/2L"),$P473-$O473,IF($C473="X",0,-$O473)),2),0)</f>
        <v>0</v>
      </c>
      <c r="AJ473" s="133">
        <f>IF($K473=AJ$3,ROUND(IF(OR($C473="W",$C473="1/2W",$C473="1/2L"),$P473-$O473,IF($C473="X",0,-$O473)),2),0)</f>
        <v>0</v>
      </c>
      <c r="AK473" s="133">
        <f>IF($K473=AK$3,ROUND(IF(OR($C473="W",$C473="1/2W",$C473="1/2L"),$P473-$O473,IF($C473="X",0,-$O473)),2),0)</f>
        <v>0</v>
      </c>
      <c r="AL473" s="133">
        <f>IF($K473=AL$3,ROUND(IF(OR($C473="W",$C473="1/2W",$C473="1/2L"),$P473-$O473,IF($C473="X",0,-$O473)),2),0)</f>
        <v>0</v>
      </c>
      <c r="AM473" s="133">
        <f>IF($K473=AM$3,ROUND(IF(OR($C473="W",$C473="1/2W",$C473="1/2L"),$P473-$O473,IF($C473="X",0,-$O473)),2),0)</f>
        <v>0</v>
      </c>
      <c r="AN473" s="133">
        <f>IF($K473=AN$3,ROUND(IF(OR($C473="W",$C473="1/2W",$C473="1/2L"),$P473-$O473,IF($C473="X",0,-$O473)),2),0)</f>
        <v>0</v>
      </c>
      <c r="AO473" s="133">
        <f>IF($K473=AO$3,ROUND(IF(OR($C473="W",$C473="1/2W",$C473="1/2L"),$P473-$O473,IF($C473="X",0,-$O473)),2),0)</f>
        <v>0</v>
      </c>
      <c r="AP473" s="133">
        <f>IF($K473=AP$3,ROUND(IF(OR($C473="W",$C473="1/2W",$C473="1/2L"),$P473-$O473,IF($C473="X",0,-$O473)),2),0)</f>
        <v>0</v>
      </c>
      <c r="AQ473" s="133">
        <f>IF($K473=AQ$3,ROUND(IF(OR($C473="W",$C473="1/2W",$C473="1/2L"),$P473-$O473,IF($C473="X",0,-$O473)),2),0)</f>
        <v>-10.55</v>
      </c>
      <c r="AR473" s="134">
        <f>IF($K473=AR$3,ROUND(IF(OR($C473="W",$C473="1/2W",$C473="1/2L"),$P473-$O473,IF($C473="X",0,-$O473)),2),0)</f>
        <v>0</v>
      </c>
      <c r="AS473" s="132">
        <f>IF(AND($B472=" ",$K473=AS$3),$O473,0)</f>
        <v>0</v>
      </c>
      <c r="AT473" s="133">
        <f>IF(AND($B472=" ",K473=AT$3),$O473,0)</f>
        <v>0</v>
      </c>
      <c r="AU473" s="133">
        <f>IF(AND($B472=" ",$K473=AU$3),$O473,0)</f>
        <v>0</v>
      </c>
      <c r="AV473" s="133">
        <f>IF(AND($B472=" ",$K473=AV$3),$O473,0)</f>
        <v>0</v>
      </c>
      <c r="AW473" s="133">
        <f>IF(AND($B472=" ",$K473=AW$3),$O473,0)</f>
        <v>0</v>
      </c>
      <c r="AX473" s="133">
        <f>IF(AND($B472=" ",$K473=AX$3),$O473,0)</f>
        <v>0</v>
      </c>
      <c r="AY473" s="135">
        <f>IF(AND($B472=" ",$K473=AY$3),$O473,0)</f>
        <v>0</v>
      </c>
      <c r="AZ473" s="136">
        <f>IF(AND($B472=" ",$K473=AZ$3),$O473,0)</f>
        <v>0</v>
      </c>
      <c r="BA473" s="136">
        <f>IF(AND($B472=" ",$K473=BA$3),$O473,0)</f>
        <v>0</v>
      </c>
      <c r="BB473" s="136">
        <f>IF(AND($B472=" ",$K473=BB$3),$O473,0)</f>
        <v>0</v>
      </c>
      <c r="BC473" s="137">
        <f>IF(AND($B472=" ",$K473=BC$3),$O473,0)</f>
        <v>0</v>
      </c>
      <c r="BD473" s="133">
        <f>IF(AND($B472=" ",$K473=BD$3),$O473,0)</f>
        <v>0</v>
      </c>
      <c r="BE473" s="134">
        <f>IF(AND($B472=" ",$K473=BE$3),$O473,0)</f>
        <v>0</v>
      </c>
      <c r="BF473" s="132">
        <f>IF($K473=BF$3,IF($C473="X",0,$O473),0)</f>
        <v>0</v>
      </c>
      <c r="BG473" s="281">
        <f>IF($K473=BG$3,IF($C473="X",0,$O473),0)</f>
        <v>0</v>
      </c>
      <c r="BH473" s="133">
        <f>IF($K473=BH$3,IF($C473="X",0,$O473),0)</f>
        <v>0</v>
      </c>
      <c r="BI473" s="133">
        <f>IF($K473=BI$3,IF($C473="X",0,$O473),0)</f>
        <v>0</v>
      </c>
      <c r="BJ473" s="133">
        <f>IF($K473=BJ$3,IF($C473="X",0,$O473),0)</f>
        <v>0</v>
      </c>
      <c r="BK473" s="133">
        <f>IF($K473=BK$3,IF($C473="X",0,$O473),0)</f>
        <v>0</v>
      </c>
      <c r="BL473" s="133">
        <f>IF($K473=BL$3,IF($C473="X",0,$O473),0)</f>
        <v>0</v>
      </c>
      <c r="BM473" s="135">
        <f>IF($K473=BM$3,IF($C473="X",0,$O473),0)</f>
        <v>0</v>
      </c>
      <c r="BN473" s="136">
        <f>IF($K473=BN$3,IF($C473="X",0,$O473),0)</f>
        <v>0</v>
      </c>
      <c r="BO473" s="136">
        <f>IF($K473=BO$3,IF($C473="X",0,$O473),0)</f>
        <v>0</v>
      </c>
      <c r="BP473" s="136">
        <f>IF($K473=BP$3,IF($C473="X",0,$O473),0)</f>
        <v>0</v>
      </c>
      <c r="BQ473" s="137">
        <f>IF($K473=BQ$3,IF($C473="X",0,$O473),0)</f>
        <v>10.55</v>
      </c>
      <c r="BR473" s="134">
        <f>IF($K473=BR$3,IF($C473="X",0,$O473),0)</f>
        <v>0</v>
      </c>
      <c r="BS473" s="282"/>
      <c r="BT473" s="283"/>
      <c r="BU473" s="140"/>
      <c r="BV473" s="283"/>
      <c r="BW473" s="140"/>
      <c r="BX473" s="140"/>
      <c r="BY473" s="140"/>
      <c r="BZ473" s="283"/>
      <c r="CA473" s="140"/>
      <c r="CB473" s="140"/>
      <c r="CC473" s="140"/>
      <c r="CD473" s="141"/>
      <c r="CE473" s="142"/>
      <c r="CF473" s="284">
        <f>IF(CF$3=$K473,IF($C473="W",1,IF($C473="1/2W",0.5,0)),0)</f>
        <v>0</v>
      </c>
      <c r="CG473" s="285">
        <f>IF(CF$3=$K473,IF($C473="L",1,IF($C473="1/2L",0.5,0)),0)</f>
        <v>0</v>
      </c>
      <c r="CH473" s="285">
        <f>IF(CH$3=$K473,IF($C473="W",1,IF($C473="1/2W",0.5,0)),0)</f>
        <v>0</v>
      </c>
      <c r="CI473" s="285">
        <f>IF(CH$3=$K473,IF($C473="L",1,IF($C473="1/2L",0.5,0)),0)</f>
        <v>0</v>
      </c>
      <c r="CJ473" s="285">
        <f>IF(CJ$3=$K473,IF($C473="W",1,IF($C473="1/2W",0.5,0)),0)</f>
        <v>0</v>
      </c>
      <c r="CK473" s="285">
        <f>IF(CJ$3=$K473,IF($C473="L",1,IF($C473="1/2L",0.5,0)),0)</f>
        <v>0</v>
      </c>
      <c r="CL473" s="285">
        <f>IF(CL$3=$K473,IF($C473="W",1,IF($C473="1/2W",0.5,0)),0)</f>
        <v>0</v>
      </c>
      <c r="CM473" s="285">
        <f>IF(CL$3=$K473,IF($C473="L",1,IF($C473="1/2L",0.5,0)),0)</f>
        <v>0</v>
      </c>
      <c r="CN473" s="285">
        <f>IF(CN$3=$K473,IF($C473="W",1,IF($C473="1/2W",0.5,0)),0)</f>
        <v>0</v>
      </c>
      <c r="CO473" s="285">
        <f>IF(CN$3=$K473,IF($C473="L",1,IF($C473="1/2L",0.5,0)),0)</f>
        <v>0</v>
      </c>
      <c r="CP473" s="285">
        <f>IF(CP$3=$K473,IF($C473="W",1,IF($C473="1/2W",0.5,0)),0)</f>
        <v>0</v>
      </c>
      <c r="CQ473" s="285">
        <f>IF(CP$3=$K473,IF($C473="L",1,IF($C473="1/2L",0.5,0)),0)</f>
        <v>0</v>
      </c>
      <c r="CR473" s="285">
        <f>IF(CR$3=$K473,IF($C473="W",1,IF($C473="1/2W",0.5,0)),0)</f>
        <v>0</v>
      </c>
      <c r="CS473" s="285">
        <f>IF(CR$3=$K473,IF($C473="L",1,IF($C473="1/2L",0.5,0)),0)</f>
        <v>0</v>
      </c>
      <c r="CT473" s="145">
        <f>IF(CT$3=$K473,IF($C473="W",1,IF($C473="1/2W",0.5,0)),0)</f>
        <v>0</v>
      </c>
      <c r="CU473" s="146">
        <f>IF(CT$3=$K473,IF($C473="L",1,IF($C473="1/2L",0.5,0)),0)</f>
        <v>0</v>
      </c>
      <c r="CV473" s="146">
        <f>IF(CV$3=$K473,IF($C473="W",1,IF($C473="1/2W",0.5,0)),0)</f>
        <v>0</v>
      </c>
      <c r="CW473" s="146">
        <f>IF(CV$3=$K473,IF($C473="L",1,IF($C473="1/2L",0.5,0)),0)</f>
        <v>0</v>
      </c>
      <c r="CX473" s="146">
        <f>IF(CX$3=$K473,IF($C473="W",1,IF($C473="1/2W",0.5,0)),0)</f>
        <v>0</v>
      </c>
      <c r="CY473" s="146">
        <f>IF(CX$3=$K473,IF($C473="L",1,IF($C473="1/2L",0.5,0)),0)</f>
        <v>0</v>
      </c>
      <c r="CZ473" s="146">
        <f>IF(CZ$3=$K473,IF($C473="W",1,IF($C473="1/2W",0.5,0)),0)</f>
        <v>0</v>
      </c>
      <c r="DA473" s="146">
        <f>IF(CZ$3=$K473,IF($C473="L",1,IF($C473="1/2L",0.5,0)),0)</f>
        <v>0</v>
      </c>
      <c r="DB473" s="146">
        <f>IF(DB$3=$K473,IF($C473="W",1,IF($C473="1/2W",0.5,0)),0)</f>
        <v>0</v>
      </c>
      <c r="DC473" s="146">
        <f>IF(DB$3=$K473,IF($C473="L",1,IF($C473="1/2L",0.5,0)),0)</f>
        <v>1</v>
      </c>
      <c r="DD473" s="146">
        <f>IF(DD$3=$K473,IF($C473="W",1,IF($C473="1/2W",0.5,0)),0)</f>
        <v>0</v>
      </c>
      <c r="DE473" s="147">
        <f>IF(DD$3=$K473,IF($C473="L",1,IF($C473="1/2L",0.5,0)),0)</f>
        <v>0</v>
      </c>
      <c r="DF473" s="143">
        <f>IF(AND(L473&lt;DF$3,$C473="W"),1+DF472,DF472)</f>
        <v>15</v>
      </c>
      <c r="DG473" s="133">
        <f>IF(DF473&gt;DF472,L473+DG472,DG472)</f>
        <v>19.748</v>
      </c>
      <c r="DH473" s="146">
        <f>IF(AND(L473&gt;DH$3,$C473="W"),1+DH472,0+DH472)</f>
        <v>11</v>
      </c>
      <c r="DI473" s="133">
        <f>IF(DH473&gt;DH472,L473+DI472,DI472)</f>
        <v>59.13</v>
      </c>
      <c r="DJ473" t="s" s="304">
        <f>IF($D472="","",$D472)</f>
        <v>358</v>
      </c>
      <c r="DK473" s="286"/>
    </row>
    <row r="474" ht="14.55" customHeight="1">
      <c r="A474" s="149"/>
      <c r="B474" s="150"/>
      <c r="C474" t="s" s="151">
        <v>58</v>
      </c>
      <c r="D474" s="152"/>
      <c r="E474" s="153"/>
      <c r="F474" s="155"/>
      <c r="G474" s="252"/>
      <c r="H474" s="156"/>
      <c r="I474" s="287"/>
      <c r="J474" s="288"/>
      <c r="K474" s="156"/>
      <c r="L474" s="289"/>
      <c r="M474" s="290"/>
      <c r="N474" s="161"/>
      <c r="O474" t="s" s="162">
        <f>IF(OR(AE472="",AE473=""),"",IF(L474&gt;0,ROUND(IF(M474&gt;0,M474,IF(M472&gt;0,ROUND((M472*AE474)/AE472,IF(N472=0,2,IF(N472=0.1,1,0))),IF(M473&gt;0,ROUND((M473*AE474)/AE473,IF(N472=0,2,IF(N472=0.1,1,0))),IF(M474&gt;0,M474,0)))),2),""))</f>
      </c>
      <c r="P474" t="s" s="163">
        <f>IF(I473="Lay",O473*(L473/(L473-1))-O473,IF(I472="Lay",O472*(L472/(L472-1))-O472,IF(OR(L474="",O474=""),"",IF($C474="1/2W",O474/2+O474/2*L474,IF($C474="1/2L",O474/2,(O474*L474-O474)*(1-_xlfn.XLOOKUP(K474,'Janeiro 2023 - Valor Real'!A3:A15,'Janeiro 2023 - Valor Real'!C3:C15,0))+O474)))))</f>
      </c>
      <c r="Q474" t="s" s="154">
        <f>IF(K474="","",IF(_xlfn.XLOOKUP(K474,K$121:K253,DJ$121:DJ253,0,,-1)=DJ474,_xlfn.XLOOKUP(K474,K$121:K253,Q$121:Q253,1,,-1)+1,1))</f>
      </c>
      <c r="R474" t="s" s="163">
        <f>IF(K474="","",_xlfn.XLOOKUP(K474,K$121:K253,R$121:R253,0,,-1)+IF($C474=" ",1,0))</f>
      </c>
      <c r="S474" s="166"/>
      <c r="T474" s="155"/>
      <c r="U474" s="155"/>
      <c r="V474" s="166"/>
      <c r="W474" s="155"/>
      <c r="X474" s="167"/>
      <c r="Y474" s="128"/>
      <c r="Z474" s="129"/>
      <c r="AA474" s="129"/>
      <c r="AB474" s="129"/>
      <c r="AC474" s="129"/>
      <c r="AD474" s="168"/>
      <c r="AE474" t="s" s="169">
        <f>IF(L474="","",(SUM(((L472-1)*(1-_xlfn.XLOOKUP(K472,'Janeiro 2023 - Valor Real'!A3:A15,'Janeiro 2023 - Valor Real'!C3:C15,0))+1),((L473-1)*(1-_xlfn.XLOOKUP(K473,'Janeiro 2023 - Valor Real'!A3:A15,'Janeiro 2023 - Valor Real'!C3:C15,0))+1),((L474-1)*(1-_xlfn.XLOOKUP(K474,'Janeiro 2023 - Valor Real'!A3:A15,'Janeiro 2023 - Valor Real'!C3:C15,0))+1))/((L474-1)*(1-_xlfn.XLOOKUP(K474,'Janeiro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Real'!C3:C15,0))+1))/((L472-1)*(1-_xlfn.XLOOKUP(K472,'Janeiro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Real'!C3:C15,0))+1))/((L473-1)*(1-_xlfn.XLOOKUP(K473,'Janeiro 2023 - Valor Real'!A3:A15,'Janeiro 2023 - Valor Real'!C3:C15,0))+1)+SUM(((L472-1)*(1-_xlfn.XLOOKUP(K472,'Janeiro 2023 - Valor Real'!A3:A15,'Janeiro 2023 - Valor Real'!C3:C15,0))+1),((L473-1)*(1-_xlfn.XLOOKUP(K473,'Janeiro 2023 - Valor Real'!A3:A15,'Janeiro 2023 - Valor Real'!C3:C15,0))+1),((L474-1)*(1-_xlfn.XLOOKUP(K474,'Janeiro 2023 - Valor Real'!A3:A15,'Janeiro 2023 - Valor Real'!C3:C15,0))+1))/((L474-1)*(1-_xlfn.XLOOKUP(K474,'Janeiro 2023 - Valor Real'!A3:A15,'Janeiro 2023 - Valor Real'!C3:C15,0))+1)))</f>
      </c>
      <c r="AF474" s="132">
        <f>IF($K474=AF$3,ROUND(IF(OR($C474="W",$C474="1/2W",$C474="1/2L"),$P474-$O474,IF($C474="X",0,-$O474)),2),0)</f>
        <v>0</v>
      </c>
      <c r="AG474" s="133">
        <f>IF($K474=AG$3,ROUND(IF(OR($C474="W",$C474="1/2W",$C474="1/2L"),$P474-$O474,IF($C474="X",0,-$O474)),2),0)</f>
        <v>0</v>
      </c>
      <c r="AH474" s="133">
        <f>IF($K474=AH$3,ROUND(IF(OR($C474="W",$C474="1/2W",$C474="1/2L"),$P474-$O474,IF($C474="X",0,-$O474)),2),0)</f>
        <v>0</v>
      </c>
      <c r="AI474" s="133">
        <f>IF($K474=AI$3,ROUND(IF(OR($C474="W",$C474="1/2W",$C474="1/2L"),$P474-$O474,IF($C474="X",0,-$O474)),2),0)</f>
        <v>0</v>
      </c>
      <c r="AJ474" s="133">
        <f>IF($K474=AJ$3,ROUND(IF(OR($C474="W",$C474="1/2W",$C474="1/2L"),$P474-$O474,IF($C474="X",0,-$O474)),2),0)</f>
        <v>0</v>
      </c>
      <c r="AK474" s="133">
        <f>IF($K474=AK$3,ROUND(IF(OR($C474="W",$C474="1/2W",$C474="1/2L"),$P474-$O474,IF($C474="X",0,-$O474)),2),0)</f>
        <v>0</v>
      </c>
      <c r="AL474" s="133">
        <f>IF($K474=AL$3,ROUND(IF(OR($C474="W",$C474="1/2W",$C474="1/2L"),$P474-$O474,IF($C474="X",0,-$O474)),2),0)</f>
        <v>0</v>
      </c>
      <c r="AM474" s="133">
        <f>IF($K474=AM$3,ROUND(IF(OR($C474="W",$C474="1/2W",$C474="1/2L"),$P474-$O474,IF($C474="X",0,-$O474)),2),0)</f>
        <v>0</v>
      </c>
      <c r="AN474" s="133">
        <f>IF($K474=AN$3,ROUND(IF(OR($C474="W",$C474="1/2W",$C474="1/2L"),$P474-$O474,IF($C474="X",0,-$O474)),2),0)</f>
        <v>0</v>
      </c>
      <c r="AO474" s="133">
        <f>IF($K474=AO$3,ROUND(IF(OR($C474="W",$C474="1/2W",$C474="1/2L"),$P474-$O474,IF($C474="X",0,-$O474)),2),0)</f>
        <v>0</v>
      </c>
      <c r="AP474" s="133">
        <f>IF($K474=AP$3,ROUND(IF(OR($C474="W",$C474="1/2W",$C474="1/2L"),$P474-$O474,IF($C474="X",0,-$O474)),2),0)</f>
        <v>0</v>
      </c>
      <c r="AQ474" s="133">
        <f>IF($K474=AQ$3,ROUND(IF(OR($C474="W",$C474="1/2W",$C474="1/2L"),$P474-$O474,IF($C474="X",0,-$O474)),2),0)</f>
        <v>0</v>
      </c>
      <c r="AR474" s="134">
        <f>IF($K474=AR$3,ROUND(IF(OR($C474="W",$C474="1/2W",$C474="1/2L"),$P474-$O474,IF($C474="X",0,-$O474)),2),0)</f>
        <v>0</v>
      </c>
      <c r="AS474" s="132">
        <f>IF(AND($B472=" ",$K474=AS$3),$O474,0)</f>
        <v>0</v>
      </c>
      <c r="AT474" s="133">
        <f>IF(AND($B472=" ",K474=AT$3),$O474,0)</f>
        <v>0</v>
      </c>
      <c r="AU474" s="133">
        <f>IF(AND($B472=" ",$K474=AU$3),$O474,0)</f>
        <v>0</v>
      </c>
      <c r="AV474" s="133">
        <f>IF(AND($B472=" ",$K474=AV$3),$O474,0)</f>
        <v>0</v>
      </c>
      <c r="AW474" s="133">
        <f>IF(AND($B472=" ",$K474=AW$3),$O474,0)</f>
        <v>0</v>
      </c>
      <c r="AX474" s="133">
        <f>IF(AND($B472=" ",$K474=AX$3),$O474,0)</f>
        <v>0</v>
      </c>
      <c r="AY474" s="135">
        <f>IF(AND($B472=" ",$K474=AY$3),$O474,0)</f>
        <v>0</v>
      </c>
      <c r="AZ474" s="136">
        <f>IF(AND($B472=" ",$K474=AZ$3),$O474,0)</f>
        <v>0</v>
      </c>
      <c r="BA474" s="136">
        <f>IF(AND($B472=" ",$K474=BA$3),$O474,0)</f>
        <v>0</v>
      </c>
      <c r="BB474" s="136">
        <f>IF(AND($B472=" ",$K474=BB$3),$O474,0)</f>
        <v>0</v>
      </c>
      <c r="BC474" s="137">
        <f>IF(AND($B472=" ",$K474=BC$3),$O474,0)</f>
        <v>0</v>
      </c>
      <c r="BD474" s="133">
        <f>IF(AND($B472=" ",$K474=BD$3),$O474,0)</f>
        <v>0</v>
      </c>
      <c r="BE474" s="134">
        <f>IF(AND($B472=" ",$K474=BE$3),$O474,0)</f>
        <v>0</v>
      </c>
      <c r="BF474" s="132">
        <f>IF($K474=BF$3,IF($C474="X",0,$O474),0)</f>
        <v>0</v>
      </c>
      <c r="BG474" s="281">
        <f>IF($K474=BG$3,IF($C474="X",0,$O474),0)</f>
        <v>0</v>
      </c>
      <c r="BH474" s="133">
        <f>IF($K474=BH$3,IF($C474="X",0,$O474),0)</f>
        <v>0</v>
      </c>
      <c r="BI474" s="133">
        <f>IF($K474=BI$3,IF($C474="X",0,$O474),0)</f>
        <v>0</v>
      </c>
      <c r="BJ474" s="133">
        <f>IF($K474=BJ$3,IF($C474="X",0,$O474),0)</f>
        <v>0</v>
      </c>
      <c r="BK474" s="133">
        <f>IF($K474=BK$3,IF($C474="X",0,$O474),0)</f>
        <v>0</v>
      </c>
      <c r="BL474" s="133">
        <f>IF($K474=BL$3,IF($C474="X",0,$O474),0)</f>
        <v>0</v>
      </c>
      <c r="BM474" s="135">
        <f>IF($K474=BM$3,IF($C474="X",0,$O474),0)</f>
        <v>0</v>
      </c>
      <c r="BN474" s="136">
        <f>IF($K474=BN$3,IF($C474="X",0,$O474),0)</f>
        <v>0</v>
      </c>
      <c r="BO474" s="136">
        <f>IF($K474=BO$3,IF($C474="X",0,$O474),0)</f>
        <v>0</v>
      </c>
      <c r="BP474" s="136">
        <f>IF($K474=BP$3,IF($C474="X",0,$O474),0)</f>
        <v>0</v>
      </c>
      <c r="BQ474" s="137">
        <f>IF($K474=BQ$3,IF($C474="X",0,$O474),0)</f>
        <v>0</v>
      </c>
      <c r="BR474" s="134">
        <f>IF($K474=BR$3,IF($C474="X",0,$O474),0)</f>
        <v>0</v>
      </c>
      <c r="BS474" s="282"/>
      <c r="BT474" s="283"/>
      <c r="BU474" s="140"/>
      <c r="BV474" s="283"/>
      <c r="BW474" s="140"/>
      <c r="BX474" s="140"/>
      <c r="BY474" s="140"/>
      <c r="BZ474" s="283"/>
      <c r="CA474" s="140"/>
      <c r="CB474" s="140"/>
      <c r="CC474" s="140"/>
      <c r="CD474" s="141"/>
      <c r="CE474" s="142"/>
      <c r="CF474" s="284">
        <f>IF(CF$3=$K474,IF($C474="W",1,IF($C474="1/2W",0.5,0)),0)</f>
        <v>0</v>
      </c>
      <c r="CG474" s="285">
        <f>IF(CF$3=$K474,IF($C474="L",1,IF($C474="1/2L",0.5,0)),0)</f>
        <v>0</v>
      </c>
      <c r="CH474" s="285">
        <f>IF(CH$3=$K474,IF($C474="W",1,IF($C474="1/2W",0.5,0)),0)</f>
        <v>0</v>
      </c>
      <c r="CI474" s="285">
        <f>IF(CH$3=$K474,IF($C474="L",1,IF($C474="1/2L",0.5,0)),0)</f>
        <v>0</v>
      </c>
      <c r="CJ474" s="285">
        <f>IF(CJ$3=$K474,IF($C474="W",1,IF($C474="1/2W",0.5,0)),0)</f>
        <v>0</v>
      </c>
      <c r="CK474" s="285">
        <f>IF(CJ$3=$K474,IF($C474="L",1,IF($C474="1/2L",0.5,0)),0)</f>
        <v>0</v>
      </c>
      <c r="CL474" s="285">
        <f>IF(CL$3=$K474,IF($C474="W",1,IF($C474="1/2W",0.5,0)),0)</f>
        <v>0</v>
      </c>
      <c r="CM474" s="285">
        <f>IF(CL$3=$K474,IF($C474="L",1,IF($C474="1/2L",0.5,0)),0)</f>
        <v>0</v>
      </c>
      <c r="CN474" s="285">
        <f>IF(CN$3=$K474,IF($C474="W",1,IF($C474="1/2W",0.5,0)),0)</f>
        <v>0</v>
      </c>
      <c r="CO474" s="285">
        <f>IF(CN$3=$K474,IF($C474="L",1,IF($C474="1/2L",0.5,0)),0)</f>
        <v>0</v>
      </c>
      <c r="CP474" s="285">
        <f>IF(CP$3=$K474,IF($C474="W",1,IF($C474="1/2W",0.5,0)),0)</f>
        <v>0</v>
      </c>
      <c r="CQ474" s="285">
        <f>IF(CP$3=$K474,IF($C474="L",1,IF($C474="1/2L",0.5,0)),0)</f>
        <v>0</v>
      </c>
      <c r="CR474" s="285">
        <f>IF(CR$3=$K474,IF($C474="W",1,IF($C474="1/2W",0.5,0)),0)</f>
        <v>0</v>
      </c>
      <c r="CS474" s="285">
        <f>IF(CR$3=$K474,IF($C474="L",1,IF($C474="1/2L",0.5,0)),0)</f>
        <v>0</v>
      </c>
      <c r="CT474" s="145">
        <f>IF(CT$3=$K474,IF($C474="W",1,IF($C474="1/2W",0.5,0)),0)</f>
        <v>0</v>
      </c>
      <c r="CU474" s="146">
        <f>IF(CT$3=$K474,IF($C474="L",1,IF($C474="1/2L",0.5,0)),0)</f>
        <v>0</v>
      </c>
      <c r="CV474" s="146">
        <f>IF(CV$3=$K474,IF($C474="W",1,IF($C474="1/2W",0.5,0)),0)</f>
        <v>0</v>
      </c>
      <c r="CW474" s="146">
        <f>IF(CV$3=$K474,IF($C474="L",1,IF($C474="1/2L",0.5,0)),0)</f>
        <v>0</v>
      </c>
      <c r="CX474" s="146">
        <f>IF(CX$3=$K474,IF($C474="W",1,IF($C474="1/2W",0.5,0)),0)</f>
        <v>0</v>
      </c>
      <c r="CY474" s="146">
        <f>IF(CX$3=$K474,IF($C474="L",1,IF($C474="1/2L",0.5,0)),0)</f>
        <v>0</v>
      </c>
      <c r="CZ474" s="146">
        <f>IF(CZ$3=$K474,IF($C474="W",1,IF($C474="1/2W",0.5,0)),0)</f>
        <v>0</v>
      </c>
      <c r="DA474" s="146">
        <f>IF(CZ$3=$K474,IF($C474="L",1,IF($C474="1/2L",0.5,0)),0)</f>
        <v>0</v>
      </c>
      <c r="DB474" s="146">
        <f>IF(DB$3=$K474,IF($C474="W",1,IF($C474="1/2W",0.5,0)),0)</f>
        <v>0</v>
      </c>
      <c r="DC474" s="146">
        <f>IF(DB$3=$K474,IF($C474="L",1,IF($C474="1/2L",0.5,0)),0)</f>
        <v>0</v>
      </c>
      <c r="DD474" s="146">
        <f>IF(DD$3=$K474,IF($C474="W",1,IF($C474="1/2W",0.5,0)),0)</f>
        <v>0</v>
      </c>
      <c r="DE474" s="147">
        <f>IF(DD$3=$K474,IF($C474="L",1,IF($C474="1/2L",0.5,0)),0)</f>
        <v>0</v>
      </c>
      <c r="DF474" s="143">
        <f>IF(AND(L474&lt;DF$3,$C474="W"),1+DF473,DF473)</f>
        <v>15</v>
      </c>
      <c r="DG474" s="133">
        <f>IF(DF474&gt;DF473,L474+DG473,DG473)</f>
        <v>19.748</v>
      </c>
      <c r="DH474" s="146">
        <f>IF(AND(L474&gt;DH$3,$C474="W"),1+DH473,0+DH473)</f>
        <v>11</v>
      </c>
      <c r="DI474" s="133">
        <f>IF(DH474&gt;DH473,L474+DI473,DI473)</f>
        <v>59.13</v>
      </c>
      <c r="DJ474" t="s" s="304">
        <f>IF($D472="","",$D472)</f>
        <v>358</v>
      </c>
      <c r="DK474" s="286"/>
    </row>
    <row r="475" ht="14.55" customHeight="1">
      <c r="A475" s="171">
        <f>$A472+1</f>
        <v>158</v>
      </c>
      <c r="B475" t="s" s="172">
        <f>IF(AND(_xlfn.XLOOKUP(H475,H$122:H248,G$122:G248,0)=G475,_xlfn.XLOOKUP("TempoBet",K475:K477,L475:L477,0)&gt;0),"X",IF(OR(C475="W",C476="W",C477="W",C475="1/2W",C476="1/2W",C477="1/2W",C475="1/2L",C476="1/2L",C477="1/2L"),"OK",IF(OR(C475="L",C476="L",C477="L"),"LOSS",IF(OR(C475="X",C476="X",C477="X"),"Anulado"," "))))</f>
        <v>50</v>
      </c>
      <c r="C475" t="s" s="173">
        <v>51</v>
      </c>
      <c r="D475" t="s" s="305">
        <f>IF(G475="","",$D472)</f>
        <v>358</v>
      </c>
      <c r="E475" t="s" s="175">
        <f>IF(G475=""," ","– "&amp;COUNTIF(D$4:D477,$D475))</f>
        <v>127</v>
      </c>
      <c r="F475" t="s" s="176"/>
      <c r="G475" s="177">
        <v>44951.583333333336</v>
      </c>
      <c r="H475" t="s" s="178">
        <v>373</v>
      </c>
      <c r="I475" s="298">
        <v>2</v>
      </c>
      <c r="J475" s="180"/>
      <c r="K475" t="s" s="181">
        <v>38</v>
      </c>
      <c r="L475" s="182">
        <v>4.75</v>
      </c>
      <c r="M475" s="183">
        <v>1.45</v>
      </c>
      <c r="N475" s="184">
        <v>0.1</v>
      </c>
      <c r="O475" s="185">
        <f>IF(OR(AE475="",AE476=""),"",ROUND(IF(L477&gt;0,IF(M475&gt;0,M475,IF(M476&gt;0,ROUND((M476*AE475)/AE476,IF(N475=0,2,IF(N475=0.1,1,0))),ROUND((M477*AE475)/AE477,IF(N475=0,2,IF(N475=0.1,1,0))))),IF(M475&gt;0,M475,ROUND((M476*AE475)/AE476,IF(N475=0,2,IF(N475=0.1,1,0))))),2))</f>
        <v>1.45</v>
      </c>
      <c r="P475" s="186">
        <f>IF(OR(L475="",O475=""),"",IF($C475="1/2W",O475/2+O475/2*L475,IF($C475="1/2L",O475/2,IF(I475="Lay",(O475*(L475/(L475-1))-O475)*(1-_xlfn.XLOOKUP(K475,'Janeiro 2023 - Valor Real'!A3:A15,'Janeiro 2023 - Valor Real'!C3:C15,0))+O475,(O475*L475-O475)*(1-_xlfn.XLOOKUP(K475,'Janeiro 2023 - Valor Real'!A3:A15,'Janeiro 2023 - Valor Real'!C3:C15,0))+O475))))</f>
        <v>6.8875</v>
      </c>
      <c r="Q475" s="187">
        <f>IF(K475="","",IF(_xlfn.XLOOKUP(K475,K$122:K248,DJ$122:DJ248,0,,-1)=DJ475,_xlfn.XLOOKUP(K475,K$122:K248,Q$122:Q248,1,,-1)+1,1))</f>
        <v>1</v>
      </c>
      <c r="R475" s="188">
        <f>IF(K475="","",_xlfn.XLOOKUP(K475,K$122:K248,R$122:R248,0,,-1)+IF($C475=" ",1,0))</f>
        <v>0</v>
      </c>
      <c r="S475" s="189">
        <f>IF($B475="Anulado",0,ROUND(IF(OR($B475="LOSS",$B475="OK"),IF(OR($C475="W",$C475="1/2W",$C475="1/2L"),P475-O475,IF($C475="L",-O475,0))+IF(OR($C476="W",$C476="1/2W",$C476="1/2L"),P476-O476,IF($C476="L",-O476,0))+IF(OR($C477="W",$C477="1/2W",$C477="1/2L"),P477-O477,IF($C477="L",-O477,0)),IF(AND(OR($C475="W",$C475="1/2W",$C475="1/2L"),C476="W"),P475+P476-SUM(O475:O477)+_xlfn.XLOOKUP("X",C475:C477,O475:O477,0),IF(AND(C475=TRUE,C477="W"),P475+P477-SUM(O475:O477),IF(AND(C476="W",C477="W"),P476+P477-SUM(O475:O477)+_xlfn.XLOOKUP("X",C475:C477,O475:O477,0),IF(L477&gt;0,IF(OR($C475="W",$C475="1/2W",$C475="1/2L"),P475-SUM(O475:O477)+_xlfn.XLOOKUP("X",C475:C477,O475:O477,0),IF(OR($C475="W",$C475="1/2W",$C475="1/2L"),P476-SUM(O475:O477)+_xlfn.XLOOKUP("X",C475:C477,O475:O477,0),IF(OR($C475="W",$C475="1/2W",$C475="1/2L"),P477-SUM(O475:O477)+_xlfn.XLOOKUP("X",C475:C477,O475:O477,0),IF(SUM(P475:P477)/3-SUM(O475:O477)+_xlfn.XLOOKUP("X",C475:C477,O475:O477,0)&gt;0,SUM(P475:P477)/3-SUM(O475:O477)+_xlfn.XLOOKUP("X",C475:C477,O475:O477,0),LARGE(P475:P477,1)-SUM(O475:O477))))),IF(OR($C475="W",$C475="1/2W",$C475="1/2L"),P475-SUM(O475:O476)+_xlfn.XLOOKUP("X",C475:C477,O475:O477,0),IF(OR($C475="W",$C475="1/2W",$C475="1/2L"),P476-SUM(O475:O476)+_xlfn.XLOOKUP("X",C475:C477,O475:O477,0),SUM(P475:P476)/2-SUM(O475:O476)+_xlfn.XLOOKUP("X",C475:C477,O475:O477,0)))))))),2))</f>
        <v>0.5600000000000001</v>
      </c>
      <c r="T475" s="190">
        <f>IF(S475=0,0,S475/SUM(O475:O477))</f>
        <v>0.0881889763779528</v>
      </c>
      <c r="U475" s="191">
        <f>IF($D475=$D472,IF(OR($B475="LOSS",$B475="OK",$B475="Anulada"),S475,0)+U472,IF(OR($B475="LOSS",$B475="OK",$B475="Anulada"),S475,0))</f>
        <v>13.23</v>
      </c>
      <c r="V475" s="191">
        <f>IF($D475="",0,IF($D475=$D472,IF($B475=" ",IF(I477="",IF(OR(AND(I475="DNB1",I476="DNB2"),AND(OR(I475="DNB1",I475="DNB2"),J476=0),AND(OR(I476="DNB1",I476="DNB2"),J475=0),AND(I475="DNB2",I476="DNB1"),AND(IF(J475=0,(J475+1)/ROUND(J475+1,0),J475/ROUND(J475,0))=1,IF(J476=0,(J476+1)/ROUND(IF(J476="",0,J476)+1,0),IF(J476="",0,J476)/ROUND(IF(J476="",1,J476),0))=1,OR(J475&lt;&gt;""),J476&lt;&gt;"")),0,IF(S475&lt;0,IF(I477="",SMALL(P475:P476,1)-SUM(O475:O476),0),SMALL(P475:P476,1)-SUM(O475:O476))),IF(S475&lt;0,IF(I477="",SMALL(P475:P477,1)-SUM(O475:O477),0),LARGE(P475:P477,1)-SUM(O475:O477))),S475)+V472,IF(I477="",IF(OR(AND(I475="DNB1",I476="DNB2"),AND(OR(I475="DNB1",I475="DNB2"),J476=0),AND(OR(I476="DNB1",I476="DNB2"),J475=0),AND(I475="DNB2",I476="DNB1"),AND(IF(J475=0,(J475+1)/ROUND(J475+1,0),J475/ROUND(J475,0))=1,IF(J476=0,(IF(J476="",0,J476)+1)/ROUND(IF(J476="",0,J476)+1,0),IF(J476="",0,J476)/ROUND(IF(J476="",0,J476)+1,0))=1,OR(J475&lt;&gt;""),J476&lt;&gt;"")),0,IF(S475&lt;0,IF(I477="",SMALL(P475:P476,1)-SUM(O475:O476),0),SMALL(P475:P477,1)-SUM(O475:O477))),IF(S475&lt;0,IF(I477="",SMALL(P475:P477,1)-SUM(O475:O477),0),LARGE(P475:P477,1)-SUM(O475:O477)))))</f>
        <v>13.23</v>
      </c>
      <c r="W475" s="191">
        <f>IF($D475=$D472,IF(S475&lt;0,IF(I477="",S475,0),S475)+W472,S475)</f>
        <v>13.23</v>
      </c>
      <c r="X475" t="s" s="192">
        <f>IF(OR(SUM(R475:R477)=0,V475=W475),ROUND(IF(W475=0,0,W475/Y475)*100,2)&amp;"%",ROUND(IF(V475=0,0,V475/Y475)*100,2)&amp;"% a "&amp;ROUND(IF(W475=0,0,W475/Y475)*100,2)&amp;"%")</f>
        <v>374</v>
      </c>
      <c r="Y475" s="193">
        <f>IF($D475=$D472,Y472+SUM(O475:O477),SUM(O475:O477))</f>
        <v>260.78</v>
      </c>
      <c r="Z475" s="191">
        <f>IF($B475=" ",SUM(O475:O477),0)+Z472</f>
        <v>0</v>
      </c>
      <c r="AA475" s="191">
        <f>IF(G475="","",IF($B475="Anulado",LARGE(P475:P477,1)-SUM(O475:O477)+AA472,AA472))</f>
        <v>22.2257</v>
      </c>
      <c r="AB475" s="191">
        <f>IF($D475="","",AB472+S475)</f>
        <v>321.08</v>
      </c>
      <c r="AC475" s="194">
        <f>IF($D475="","",IF($B475=" ",IF(DAY(G475)=DAY(TODAY()),1+AC472,0+AC472),0+AC472))</f>
        <v>0</v>
      </c>
      <c r="AD475" s="195">
        <f>(((L476/(L476-1)-1)*(1-_xlfn.XLOOKUP(K476,'Janeiro 2023 - Valor Real'!A3:A15,'Janeiro 2023 - Valor Real'!C3:C15,0))+1))/(((L475-1)*(1-_xlfn.XLOOKUP(K475,'Janeiro 2023 - Valor Real'!A3:A15,'Janeiro 2023 - Valor Real'!C3:C15,0))+1)+((L476/(L476-1)-1)*(1-_xlfn.XLOOKUP(K476,'Janeiro 2023 - Valor Real'!A3:A15,'Janeiro 2023 - Valor Real'!C3:C15,0))+1))</f>
        <v>0.419955323901713</v>
      </c>
      <c r="AE475" s="196">
        <f>IF(L475="","",IF(L477&gt;0,(SUM(((L475-1)*(1-_xlfn.XLOOKUP(K475,'Janeiro 2023 - Valor Real'!A3:A15,'Janeiro 2023 - Valor Real'!C3:C15,0))+1),((L476-1)*(1-_xlfn.XLOOKUP(K476,'Janeiro 2023 - Valor Real'!A3:A15,'Janeiro 2023 - Valor Real'!C3:C15,0))+1),((L477-1)*(1-_xlfn.XLOOKUP(K477,'Janeiro 2023 - Valor Real'!A3:A15,'Janeiro 2023 - Valor Real'!C3:C15,0))+1))/((L475-1)*(1-_xlfn.XLOOKUP(K475,'Janeiro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Real'!C3:C15,0))+1))/((L475-1)*(1-_xlfn.XLOOKUP(K475,'Janeiro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Real'!C3:C15,0))+1))/((L476-1)*(1-_xlfn.XLOOKUP(K476,'Janeiro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Real'!C3:C15,0))+1))/((L477-1)*(1-_xlfn.XLOOKUP(K477,'Janeiro 2023 - Valor Real'!A3:A15,'Janeiro 2023 - Valor Real'!C3:C15,0))+1)),IF(I475="Lay",IF(I476="Lay",((L476/(L476-1)-1)*(1-_xlfn.XLOOKUP(K476,'Janeiro 2023 - Valor Real'!A3:A15,'Janeiro 2023 - Valor Real'!C3:C15,0))+1)/(((L476/(L476-1)-1)*(1-_xlfn.XLOOKUP(K476,'Janeiro 2023 - Valor Real'!A3:A15,'Janeiro 2023 - Valor Real'!C3:C15,0))+1)+((L475/(L475-1)-1)*(1-_xlfn.XLOOKUP(K475,'Janeiro 2023 - Valor Real'!A3:A15,'Janeiro 2023 - Valor Real'!C3:C15,0))+1)),((L476-1)*(1-_xlfn.XLOOKUP(K476,'Janeiro 2023 - Valor Real'!A3:A15,'Janeiro 2023 - Valor Real'!C3:C15,0))+1)/(((L476-1)*(1-_xlfn.XLOOKUP(K476,'Janeiro 2023 - Valor Real'!A3:A15,'Janeiro 2023 - Valor Real'!C3:C15,0))+1)+((L475/(L475-1)-1)*(1-_xlfn.XLOOKUP(K475,'Janeiro 2023 - Valor Real'!A3:A15,'Janeiro 2023 - Valor Real'!C3:C15,0))+1))),IF(I476="Lay",(((L476/(L476-1)-1)*(1-_xlfn.XLOOKUP(K476,'Janeiro 2023 - Valor Real'!A3:A15,'Janeiro 2023 - Valor Real'!C3:C15,0))+1))/(((L475-1)*(1-_xlfn.XLOOKUP(K475,'Janeiro 2023 - Valor Real'!A3:A15,'Janeiro 2023 - Valor Real'!C3:C15,0))+1)+((L476/(L476-1)-1)*(1-_xlfn.XLOOKUP(K476,'Janeiro 2023 - Valor Real'!A3:A15,'Janeiro 2023 - Valor Real'!C3:C15,0))+1)),((L476-1)*(1-_xlfn.XLOOKUP(K476,'Janeiro 2023 - Valor Real'!A3:A15,'Janeiro 2023 - Valor Real'!C3:C15,0))+1)/(((L476-1)*(1-_xlfn.XLOOKUP(K476,'Janeiro 2023 - Valor Real'!A3:A15,'Janeiro 2023 - Valor Real'!C3:C15,0))+1)+((L475-1)*(1-_xlfn.XLOOKUP(K475,'Janeiro 2023 - Valor Real'!A3:A15,'Janeiro 2023 - Valor Real'!C3:C15,0))+1))))))</f>
        <v>0.228896103896104</v>
      </c>
      <c r="AF475" s="197">
        <f>IF($K475=AF$3,ROUND(IF(OR($C475="W",$C475="1/2W",$C475="1/2L"),$P475-$O475,IF($C475="X",0,-$O475)),2),0)</f>
        <v>0</v>
      </c>
      <c r="AG475" s="198">
        <f>IF($K475=AG$3,ROUND(IF(OR($C475="W",$C475="1/2W",$C475="1/2L"),$P475-$O475,IF($C475="X",0,-$O475)),2),0)</f>
        <v>-1.45</v>
      </c>
      <c r="AH475" s="198">
        <f>IF($K475=AH$3,ROUND(IF(OR($C475="W",$C475="1/2W",$C475="1/2L"),$P475-$O475,IF($C475="X",0,-$O475)),2),0)</f>
        <v>0</v>
      </c>
      <c r="AI475" s="198">
        <f>IF($K475=AI$3,ROUND(IF(OR($C475="W",$C475="1/2W",$C475="1/2L"),$P475-$O475,IF($C475="X",0,-$O475)),2),0)</f>
        <v>0</v>
      </c>
      <c r="AJ475" s="198">
        <f>IF($K475=AJ$3,ROUND(IF(OR($C475="W",$C475="1/2W",$C475="1/2L"),$P475-$O475,IF($C475="X",0,-$O475)),2),0)</f>
        <v>0</v>
      </c>
      <c r="AK475" s="198">
        <f>IF($K475=AK$3,ROUND(IF(OR($C475="W",$C475="1/2W",$C475="1/2L"),$P475-$O475,IF($C475="X",0,-$O475)),2),0)</f>
        <v>0</v>
      </c>
      <c r="AL475" s="198">
        <f>IF($K475=AL$3,ROUND(IF(OR($C475="W",$C475="1/2W",$C475="1/2L"),$P475-$O475,IF($C475="X",0,-$O475)),2),0)</f>
        <v>0</v>
      </c>
      <c r="AM475" s="198">
        <f>IF($K475=AM$3,ROUND(IF(OR($C475="W",$C475="1/2W",$C475="1/2L"),$P475-$O475,IF($C475="X",0,-$O475)),2),0)</f>
        <v>0</v>
      </c>
      <c r="AN475" s="198">
        <f>IF($K475=AN$3,ROUND(IF(OR($C475="W",$C475="1/2W",$C475="1/2L"),$P475-$O475,IF($C475="X",0,-$O475)),2),0)</f>
        <v>0</v>
      </c>
      <c r="AO475" s="198">
        <f>IF($K475=AO$3,ROUND(IF(OR($C475="W",$C475="1/2W",$C475="1/2L"),$P475-$O475,IF($C475="X",0,-$O475)),2),0)</f>
        <v>0</v>
      </c>
      <c r="AP475" s="198">
        <f>IF($K475=AP$3,ROUND(IF(OR($C475="W",$C475="1/2W",$C475="1/2L"),$P475-$O475,IF($C475="X",0,-$O475)),2),0)</f>
        <v>0</v>
      </c>
      <c r="AQ475" s="198">
        <f>IF($K475=AQ$3,ROUND(IF(OR($C475="W",$C475="1/2W",$C475="1/2L"),$P475-$O475,IF($C475="X",0,-$O475)),2),0)</f>
        <v>0</v>
      </c>
      <c r="AR475" s="199">
        <f>IF($K475=AR$3,ROUND(IF(OR($C475="W",$C475="1/2W",$C475="1/2L"),$P475-$O475,IF($C475="X",0,-$O475)),2),0)</f>
        <v>0</v>
      </c>
      <c r="AS475" s="197">
        <f>IF(AND($B475=" ",$K475=AS$3),$O475,0)</f>
        <v>0</v>
      </c>
      <c r="AT475" s="198">
        <f>IF(AND($B475=" ",$K475=AT$3),$O475,0)</f>
        <v>0</v>
      </c>
      <c r="AU475" s="198">
        <f>IF(AND($B475=" ",$K475=AU$3),$O475,0)</f>
        <v>0</v>
      </c>
      <c r="AV475" s="198">
        <f>IF(AND($B475=" ",$K475=AV$3),$O475,0)</f>
        <v>0</v>
      </c>
      <c r="AW475" s="198">
        <f>IF(AND($B475=" ",$K475=AW$3),$O475,0)</f>
        <v>0</v>
      </c>
      <c r="AX475" s="198">
        <f>IF(AND($B475=" ",$K475=AX$3),$O475,0)</f>
        <v>0</v>
      </c>
      <c r="AY475" s="200">
        <f>IF(AND($B475=" ",$K475=AY$3),$O475,0)</f>
        <v>0</v>
      </c>
      <c r="AZ475" s="201">
        <f>IF(AND($B475=" ",$K475=AZ$3),$O475,0)</f>
        <v>0</v>
      </c>
      <c r="BA475" s="201">
        <f>IF(AND($B475=" ",$K475=BA$3),$O475,0)</f>
        <v>0</v>
      </c>
      <c r="BB475" s="201">
        <f>IF(AND($B475=" ",$K475=BB$3),$O475,0)</f>
        <v>0</v>
      </c>
      <c r="BC475" s="202">
        <f>IF(AND($B475=" ",$K475=BC$3),$O475,0)</f>
        <v>0</v>
      </c>
      <c r="BD475" s="198">
        <f>IF(AND($B475=" ",$K475=BD$3),$O475,0)</f>
        <v>0</v>
      </c>
      <c r="BE475" s="199">
        <f>IF(AND($B475=" ",$K475=BE$3),$O475,0)</f>
        <v>0</v>
      </c>
      <c r="BF475" s="203">
        <f>IF($K475=BF$3,IF($C475="X",0,$O475),0)</f>
        <v>0</v>
      </c>
      <c r="BG475" s="198">
        <f>IF($K475=BG$3,IF($C475="X",0,$O475),0)</f>
        <v>1.45</v>
      </c>
      <c r="BH475" s="198">
        <f>IF($K475=BH$3,IF($C475="X",0,$O475),0)</f>
        <v>0</v>
      </c>
      <c r="BI475" s="198">
        <f>IF($K475=BI$3,IF($C475="X",0,$O475),0)</f>
        <v>0</v>
      </c>
      <c r="BJ475" s="198">
        <f>IF($K475=BJ$3,IF($C475="X",0,$O475),0)</f>
        <v>0</v>
      </c>
      <c r="BK475" s="198">
        <f>IF($K475=BK$3,IF($C475="X",0,$O475),0)</f>
        <v>0</v>
      </c>
      <c r="BL475" s="198">
        <f>IF($K475=BL$3,IF($C475="X",0,$O475),0)</f>
        <v>0</v>
      </c>
      <c r="BM475" s="200">
        <f>IF($K475=BM$3,IF($C475="X",0,$O475),0)</f>
        <v>0</v>
      </c>
      <c r="BN475" s="201">
        <f>IF($K475=BN$3,IF($C475="X",0,$O475),0)</f>
        <v>0</v>
      </c>
      <c r="BO475" s="201">
        <f>IF($K475=BO$3,IF($C475="X",0,$O475),0)</f>
        <v>0</v>
      </c>
      <c r="BP475" s="201">
        <f>IF($K475=BP$3,IF($C475="X",0,$O475),0)</f>
        <v>0</v>
      </c>
      <c r="BQ475" s="202">
        <f>IF($K475=BQ$3,IF($C475="X",0,$O475),0)</f>
        <v>0</v>
      </c>
      <c r="BR475" s="199">
        <f>IF($K475=BR$3,IF($C475="X",0,$O475),0)</f>
        <v>0</v>
      </c>
      <c r="BS475" s="204">
        <f>IF($B475="LOSS",IF(AND($K475=BS$3,$C475="L"),-$O475,0)+IF(AND($K476=BS$3,$C476="L"),-$O476,0)+IF(AND($K477=BS$3,$C477="L"),-$O477,0),IF(OR(AND($K475=BS$3,OR($C475="W",$C475="1/2W")),AND($K476=BS$3,OR($C476="W",$C476="1/2W")),AND($K477=BS$3,OR($C477="W",$C477="1/2W"))),$S475,0))</f>
        <v>0.5600000000000001</v>
      </c>
      <c r="BT475" s="201">
        <f>IF($B475="LOSS",IF(AND($K475=BT$3,$C475="L"),-$O475,0)+IF(AND($K476=BT$3,$C476="L"),-$O476,0)+IF(AND($K476=BT$3,$C477="L"),-$O477,0),IF(OR(AND($K476=BT$3,OR($C475="W",$C475="1/2W")),AND($K476=BT$3,OR($C476="W",$C476="1/2W")),AND($K476=BT$3,OR($C477="W",$C477="1/2W"))),$S475,0))</f>
        <v>0</v>
      </c>
      <c r="BU475" s="201">
        <f>IF($B475="LOSS",IF(AND($K475=BU$3,$C475="L"),-$O475,0)+IF(AND($K476=BU$3,$C476="L"),-$O476,0)+IF(AND($K476=BU$3,$C477="L"),-$O477,0),IF(OR(AND($K476=BU$3,OR($C475="W",$C475="1/2W")),AND($K476=BU$3,OR($C476="W",$C476="1/2W")),AND($K476=BU$3,OR($C477="W",$C477="1/2W"))),$S475,0))</f>
        <v>0</v>
      </c>
      <c r="BV475" s="201">
        <f>IF($B475="LOSS",IF(AND($K475=BV$3,$C475="L"),-$O475,0)+IF(AND($K476=BV$3,$C476="L"),-$O476,0)+IF(AND($K477=BV$3,$C477="L"),-$O477,0),IF(OR(AND($K475=BV$3,OR($C475="W",$C475="1/2W")),AND($K476=BV$3,OR($C476="W",$C476="1/2W")),AND($K477=BV$3,OR($C477="W",$C477="1/2W"))),$S475,0))</f>
        <v>0</v>
      </c>
      <c r="BW475" s="201">
        <f>IF($B475="LOSS",IF(AND($K475=BW$3,$C475="L"),-$O475,0)+IF(AND($K476=BW$3,$C476="L"),-$O476,0)+IF(AND($K477=BW$3,$C477="L"),-$O477,0),IF(OR(AND($K475=BW$3,OR($C475="W",$C475="1/2W")),AND($K476=BW$3,OR($C476="W",$C476="1/2W")),AND($K477=BW$3,OR($C477="W",$C477="1/2W"))),$S475,0))</f>
        <v>0</v>
      </c>
      <c r="BX475" s="201">
        <f>IF($B475="LOSS",IF(AND($K475=BX$3,$C475="L"),-$O475,0)+IF(AND($K476=BX$3,$C476="L"),-$O476,0)+IF(AND($K477=BX$3,$C477="L"),-$O477,0),IF(OR(AND($K475=BX$3,OR($C475="W",$C475="1/2W")),AND($K476=BX$3,OR($C476="W",$C476="1/2W")),AND($K477=BX$3,OR($C477="W",$C477="1/2W"))),$S475,0))</f>
        <v>0</v>
      </c>
      <c r="BY475" s="201">
        <f>IF($B475="LOSS",IF(AND($K475=BY$3,$C475="L"),-$O475,0)+IF(AND($K476=BY$3,$C476="L"),-$O476,0)+IF(AND($K477=BY$3,$C477="L"),-$O477,0),IF(OR(AND($K475=BY$3,OR($C475="W",$C475="1/2W")),AND($K476=BY$3,OR($C476="W",$C476="1/2W")),AND($K477=BY$3,OR($C477="W",$C477="1/2W"))),$S475,0))</f>
        <v>0</v>
      </c>
      <c r="BZ475" s="205">
        <f>IF($B475="LOSS",IF(AND($K475=BZ$3,$C475="L"),-$O475,0)+IF(AND($K476=BZ$3,$C476="L"),-$O476,0)+IF(AND($K477=BZ$3,$C477="L"),-$O477,0),IF(OR(AND($K475=BZ$3,OR($C475="W",$C475="1/2W")),AND($K476=BZ$3,OR($C476="W",$C476="1/2W")),AND($K477=BZ$3,OR($C477="W",$C477="1/2W"))),$S475,0))</f>
        <v>0</v>
      </c>
      <c r="CA475" s="205">
        <f>IF($B475="LOSS",IF(AND($K475=CA$3,$C475="L"),-$O475,0)+IF(AND($K476=CA$3,$C476="L"),-$O476,0)+IF(AND($K477=CA$3,$C477="L"),-$O477,0),IF(OR(AND($K475=CA$3,OR($C475="W",$C475="1/2W")),AND($K476=CA$3,OR($C476="W",$C476="1/2W")),AND($K477=CA$3,OR($C477="W",$C477="1/2W"))),$S475,0))</f>
        <v>0</v>
      </c>
      <c r="CB475" s="205">
        <f>IF($B475="LOSS",IF(AND($K475=CB$3,$C475="L"),-$O475,0)+IF(AND($K476=CB$3,$C476="L"),-$O476,0)+IF(AND($K477=CB$3,$C477="L"),-$O477,0),IF(OR(AND($K475=CB$3,OR($C475="W",$C475="1/2W")),AND($K476=CB$3,OR($C476="W",$C476="1/2W")),AND($K477=CB$3,OR($C477="W",$C477="1/2W"))),$S475,0))</f>
        <v>0</v>
      </c>
      <c r="CC475" s="205">
        <f>IF($B475="LOSS",IF(AND($K475=CC$3,$C475="L"),-$O475,0)+IF(AND($K476=CC$3,$C476="L"),-$O476,0)+IF(AND($K477=CC$3,$C477="L"),-$O477,0),IF(OR(AND($K475=CC$3,OR($C475="W",$C475="1/2W")),AND($K476=CC$3,OR($C476="W",$C476="1/2W")),AND($K477=CC$3,OR($C477="W",$C477="1/2W"))),$S475,0))</f>
        <v>0</v>
      </c>
      <c r="CD475" s="202">
        <f>IF($B475="LOSS",IF(AND($K475=CD$3,$C475="L"),-$O475,0)+IF(AND($K476=CD$3,$C476="L"),-$O476,0)+IF(AND($K477=CD$3,$C477="L"),-$O477,0),IF(OR(AND($K475=CD$3,OR($C475="W",$C475="1/2W")),AND($K476=CD$3,OR($C476="W",$C476="1/2W")),AND($K477=CD$3,OR($C477="W",$C477="1/2W"))),$S475,0))</f>
        <v>0</v>
      </c>
      <c r="CE475" s="199">
        <f>IF($B475="LOSS",IF(AND($K475=CE$3,$C475="L"),-$O475,0)+IF(AND($K476=CE$3,$C476="L"),-$O476,0)+IF(AND($K477=CE$3,$C477="L"),-$O477,0),IF(OR(AND($K475=CE$3,OR($C475="W",$C475="1/2W")),AND($K476=CE$3,OR($C476="W",$C476="1/2W")),AND($K477=CE$3,OR($C477="W",$C477="1/2W"))),$S475,0))</f>
        <v>0</v>
      </c>
      <c r="CF475" s="206">
        <f>IF(CF$3=$K475,IF($C475="W",1,IF($C475="1/2W",0.5,0)),0)</f>
        <v>0</v>
      </c>
      <c r="CG475" s="207">
        <f>IF(CF$3=$K475,IF($C475="L",1,IF($C475="1/2L",0.5,0)),0)</f>
        <v>0</v>
      </c>
      <c r="CH475" s="207">
        <f>IF(CH$3=$K475,IF($C475="W",1,IF($C475="1/2W",0.5,0)),0)</f>
        <v>0</v>
      </c>
      <c r="CI475" s="207">
        <f>IF(CH$3=$K475,IF($C475="L",1,IF($C475="1/2L",0.5,0)),0)</f>
        <v>1</v>
      </c>
      <c r="CJ475" s="207">
        <f>IF(CJ$3=$K475,IF($C475="W",1,IF($C475="1/2W",0.5,0)),0)</f>
        <v>0</v>
      </c>
      <c r="CK475" s="207">
        <f>IF(CJ$3=$K475,IF($C475="L",1,IF($C475="1/2L",0.5,0)),0)</f>
        <v>0</v>
      </c>
      <c r="CL475" s="207">
        <f>IF(CL$3=$K475,IF($C475="W",1,IF($C475="1/2W",0.5,0)),0)</f>
        <v>0</v>
      </c>
      <c r="CM475" s="207">
        <f>IF(CL$3=$K475,IF($C475="L",1,IF($C475="1/2L",0.5,0)),0)</f>
        <v>0</v>
      </c>
      <c r="CN475" s="207">
        <f>IF(CN$3=$K475,IF($C475="W",1,IF($C475="1/2W",0.5,0)),0)</f>
        <v>0</v>
      </c>
      <c r="CO475" s="207">
        <f>IF(CN$3=$K475,IF($C475="L",1,IF($C475="1/2L",0.5,0)),0)</f>
        <v>0</v>
      </c>
      <c r="CP475" s="207">
        <f>IF(CP$3=$K475,IF($C475="W",1,IF($C475="1/2W",0.5,0)),0)</f>
        <v>0</v>
      </c>
      <c r="CQ475" s="207">
        <f>IF(CP$3=$K475,IF($C475="L",1,IF($C475="1/2L",0.5,0)),0)</f>
        <v>0</v>
      </c>
      <c r="CR475" s="207">
        <f>IF(CR$3=$K475,IF($C475="W",1,IF($C475="1/2W",0.5,0)),0)</f>
        <v>0</v>
      </c>
      <c r="CS475" s="207">
        <f>IF(CR$3=$K475,IF($C475="L",1,IF($C475="1/2L",0.5,0)),0)</f>
        <v>0</v>
      </c>
      <c r="CT475" s="208">
        <f>IF(CT$3=$K475,IF($C475="W",1,IF($C475="1/2W",0.5,0)),0)</f>
        <v>0</v>
      </c>
      <c r="CU475" s="209">
        <f>IF(CT$3=$K475,IF($C475="L",1,IF($C475="1/2L",0.5,0)),0)</f>
        <v>0</v>
      </c>
      <c r="CV475" s="209">
        <f>IF(CV$3=$K475,IF($C475="W",1,IF($C475="1/2W",0.5,0)),0)</f>
        <v>0</v>
      </c>
      <c r="CW475" s="209">
        <f>IF(CV$3=$K475,IF($C475="L",1,IF($C475="1/2L",0.5,0)),0)</f>
        <v>0</v>
      </c>
      <c r="CX475" s="209">
        <f>IF(CX$3=$K475,IF($C475="W",1,IF($C475="1/2W",0.5,0)),0)</f>
        <v>0</v>
      </c>
      <c r="CY475" s="209">
        <f>IF(CX$3=$K475,IF($C475="L",1,IF($C475="1/2L",0.5,0)),0)</f>
        <v>0</v>
      </c>
      <c r="CZ475" s="209">
        <f>IF(CZ$3=$K475,IF($C475="W",1,IF($C475="1/2W",0.5,0)),0)</f>
        <v>0</v>
      </c>
      <c r="DA475" s="209">
        <f>IF(CZ$3=$K475,IF($C475="L",1,IF($C475="1/2L",0.5,0)),0)</f>
        <v>0</v>
      </c>
      <c r="DB475" s="209">
        <f>IF(DB$3=$K475,IF($C475="W",1,IF($C475="1/2W",0.5,0)),0)</f>
        <v>0</v>
      </c>
      <c r="DC475" s="209">
        <f>IF(DB$3=$K475,IF($C475="L",1,IF($C475="1/2L",0.5,0)),0)</f>
        <v>0</v>
      </c>
      <c r="DD475" s="209">
        <f>IF(DD$3=$K475,IF($C475="W",1,IF($C475="1/2W",0.5,0)),0)</f>
        <v>0</v>
      </c>
      <c r="DE475" s="210">
        <f>IF(DD$3=$K475,IF($C475="L",1,IF($C475="1/2L",0.5,0)),0)</f>
        <v>0</v>
      </c>
      <c r="DF475" s="211">
        <f>IF(AND(L475&lt;DF$3,$C475="W"),1+DF474,DF474)</f>
        <v>15</v>
      </c>
      <c r="DG475" s="198">
        <f>IF(DF475&gt;DF474,L475+DG474,DG474)</f>
        <v>19.748</v>
      </c>
      <c r="DH475" s="209">
        <f>IF(AND(L475&gt;DH$3,$C475="W"),1+DH474,0+DH474)</f>
        <v>11</v>
      </c>
      <c r="DI475" s="198">
        <f>IF(DH475&gt;DH474,L475+DI474,DI474)</f>
        <v>59.13</v>
      </c>
      <c r="DJ475" t="s" s="306">
        <f>IF($D475="","",$D475)</f>
        <v>358</v>
      </c>
      <c r="DK475" s="209">
        <f>IF(AND($B475=" ",$D475&lt;&gt;""),1,0)</f>
        <v>0</v>
      </c>
    </row>
    <row r="476" ht="14.55" customHeight="1">
      <c r="A476" s="107"/>
      <c r="B476" s="108"/>
      <c r="C476" t="s" s="213">
        <v>56</v>
      </c>
      <c r="D476" s="110"/>
      <c r="E476" s="111"/>
      <c r="F476" s="112"/>
      <c r="G476" s="214"/>
      <c r="H476" s="114"/>
      <c r="I476" s="299">
        <v>1</v>
      </c>
      <c r="J476" t="s" s="216">
        <f>IF(OR(I475="TO",I475="TU",I475="TO1",I475="TU1",I475="TO2",I475="TU2"),J475,IF(OR(I475="AH1",I475="AH2"),IF(OR(I476="AH1",I476="AH2"),-J475,IF(OR(I476="EH1",I476="EH2"),-J475+0.5,"")),IF(OR(I475="EH1",I475="EH2"),IF(OR(I476="AH1",I476="AH2"),-J475+0.5,IF(OR(I476="EH1",I476="EH2"),-J475+1,"")),IF(AND(OR(I475="DNB1",I475="DNB2"),OR(I476="AH1",I476="AH2")),0,IF(AND(I475="Not ScoreBoth",OR(I476="TO1",I476="TO2")),0.5,"")))))</f>
      </c>
      <c r="K476" t="s" s="217">
        <v>37</v>
      </c>
      <c r="L476" s="218">
        <v>1.41</v>
      </c>
      <c r="M476" s="219"/>
      <c r="N476" s="120"/>
      <c r="O476" s="220">
        <f>IF(OR(AE475="",AE476=""),"",ROUND(IF(L477&gt;0,IF(M476&gt;0,M476,IF(M475&gt;0,IF(N475=TRUE,ROUND((M475*AE476)/AE475,0),(M475*AE476)/AE475),IF(M476&gt;0,ROUND(M476,IF(N475=0,2,IF(N475=0.1,1,0))),IF(M477&gt;0,ROUND(O477*AE476/AE477,IF(N475=0,2,IF(N475=0.1,1,0))),0)))),IF(M476&gt;0,M476,ROUND((M475*AE476)/AE475,IF(N475=0,2,IF(N475=0.1,1,0))))),2))</f>
        <v>4.9</v>
      </c>
      <c r="P476" s="221">
        <f>IF(OR(L476="",O476=""),"",IF($C476="1/2W",O476/2+O476/2*L476,IF($C476="1/2L",O476/2,IF(I476="Lay",((O476*(L476/(L476-1)))-O476)*(1-_xlfn.XLOOKUP(K476,'Janeiro 2023 - Valor Real'!A3:A15,'Janeiro 2023 - Valor Real'!C3:C15,0))+O476,(O476*L476-O476)*(1-_xlfn.XLOOKUP(K476,'Janeiro 2023 - Valor Real'!A3:A15,'Janeiro 2023 - Valor Real'!C3:C15,0))+O476))))</f>
        <v>6.909</v>
      </c>
      <c r="Q476" s="222">
        <f>IF(K476="","",IF(_xlfn.XLOOKUP(K476,K$123:K249,DJ$123:DJ249,0,,-1)=DJ476,_xlfn.XLOOKUP(K476,K$123:K249,Q$123:Q249,1,,-1)+1,1))</f>
        <v>1</v>
      </c>
      <c r="R476" s="223">
        <f>IF(K476="","",_xlfn.XLOOKUP(K476,K$123:K249,R$123:R249,0,,-1)+IF($C476=" ",1,0))</f>
        <v>0</v>
      </c>
      <c r="S476" s="125"/>
      <c r="T476" s="126"/>
      <c r="U476" s="126"/>
      <c r="V476" s="224"/>
      <c r="W476" s="126"/>
      <c r="X476" s="127"/>
      <c r="Y476" s="128"/>
      <c r="Z476" s="129"/>
      <c r="AA476" s="129"/>
      <c r="AB476" s="129"/>
      <c r="AC476" s="129"/>
      <c r="AD476" s="225">
        <f>(((L476/(L476-1)-1)*(1-_xlfn.XLOOKUP(K476,'Janeiro 2023 - Valor Real'!A3:A15,'Janeiro 2023 - Valor Real'!C3:C15,0))+1))</f>
        <v>3.4390243902439</v>
      </c>
      <c r="AE476" s="226">
        <f>IF(L476="","",IF(L477&gt;0,(SUM(((L475-1)*(1-_xlfn.XLOOKUP(K475,'Janeiro 2023 - Valor Real'!A3:A15,'Janeiro 2023 - Valor Real'!C3:C15,0))+1),((L476-1)*(1-_xlfn.XLOOKUP(K476,'Janeiro 2023 - Valor Real'!A3:A15,'Janeiro 2023 - Valor Real'!C3:C15,0))+1),((L477-1)*(1-_xlfn.XLOOKUP(K477,'Janeiro 2023 - Valor Real'!A3:A15,'Janeiro 2023 - Valor Real'!C3:C15,0))+1))/((L476-1)*(1-_xlfn.XLOOKUP(K476,'Janeiro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Real'!C3:C15,0))+1))/((L475-1)*(1-_xlfn.XLOOKUP(K475,'Janeiro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Real'!C3:C15,0))+1))/((L476-1)*(1-_xlfn.XLOOKUP(K476,'Janeiro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Real'!C3:C15,0))+1))/((L477-1)*(1-_xlfn.XLOOKUP(K477,'Janeiro 2023 - Valor Real'!A3:A15,'Janeiro 2023 - Valor Real'!C3:C15,0))+1)),IF(I476="Lay",IF(I475="Lay",((L475/(L475-1)-1)*(1-_xlfn.XLOOKUP(K475,'Janeiro 2023 - Valor Real'!A3:A15,'Janeiro 2023 - Valor Real'!C3:C15,0))+1)/(((L475/(L475-1)-1)*(1-_xlfn.XLOOKUP(K475,'Janeiro 2023 - Valor Real'!A3:A15,'Janeiro 2023 - Valor Real'!C3:C15,0))+1)+((L476/(L476-1)-1)*(1-_xlfn.XLOOKUP(K476,'Janeiro 2023 - Valor Real'!A3:A15,'Janeiro 2023 - Valor Real'!C3:C15,0))+1)),((L475-1)*(1-_xlfn.XLOOKUP(K475,'Janeiro 2023 - Valor Real'!A3:A15,'Janeiro 2023 - Valor Real'!C3:C15,0))+1)/(((L475-1)*(1-_xlfn.XLOOKUP(K475,'Janeiro 2023 - Valor Real'!A3:A15,'Janeiro 2023 - Valor Real'!C3:C15,0))+1)+((L476/(L476-1)-1)*(1-_xlfn.XLOOKUP(K476,'Janeiro 2023 - Valor Real'!A3:A15,'Janeiro 2023 - Valor Real'!C3:C15,0))+1))),IF(I475="Lay",((L475/(L475-1)-1)*(1-_xlfn.XLOOKUP(K475,'Janeiro 2023 - Valor Real'!A3:A15,'Janeiro 2023 - Valor Real'!C3:C15,0))+1)/((((L475/(L475-1)-1)*(1-_xlfn.XLOOKUP(K475,'Janeiro 2023 - Valor Real'!A3:A15,'Janeiro 2023 - Valor Real'!C3:C15,0))+1))+((L476-1)*(1-_xlfn.XLOOKUP(K476,'Janeiro 2023 - Valor Real'!A3:A15,'Janeiro 2023 - Valor Real'!C3:C15,0))+1)),((L475-1)*(1-_xlfn.XLOOKUP(K475,'Janeiro 2023 - Valor Real'!A3:A15,'Janeiro 2023 - Valor Real'!C3:C15,0))+1)/(((L475-1)*(1-_xlfn.XLOOKUP(K475,'Janeiro 2023 - Valor Real'!A3:A15,'Janeiro 2023 - Valor Real'!C3:C15,0))+1)+((L476-1)*(1-_xlfn.XLOOKUP(K476,'Janeiro 2023 - Valor Real'!A3:A15,'Janeiro 2023 - Valor Real'!C3:C15,0))+1))))))</f>
        <v>0.771103896103896</v>
      </c>
      <c r="AF476" s="197">
        <f>IF($K476=AF$3,ROUND(IF(OR($C476="W",$C476="1/2W",$C476="1/2L"),$P476-$O476,IF($C476="X",0,-$O476)),2),0)</f>
        <v>2.01</v>
      </c>
      <c r="AG476" s="198">
        <f>IF($K476=AG$3,ROUND(IF(OR($C476="W",$C476="1/2W",$C476="1/2L"),$P476-$O476,IF($C476="X",0,-$O476)),2),0)</f>
        <v>0</v>
      </c>
      <c r="AH476" s="198">
        <f>IF($K476=AH$3,ROUND(IF(OR($C476="W",$C476="1/2W",$C476="1/2L"),$P476-$O476,IF($C476="X",0,-$O476)),2),0)</f>
        <v>0</v>
      </c>
      <c r="AI476" s="198">
        <f>IF($K476=AI$3,ROUND(IF(OR($C476="W",$C476="1/2W",$C476="1/2L"),$P476-$O476,IF($C476="X",0,-$O476)),2),0)</f>
        <v>0</v>
      </c>
      <c r="AJ476" s="198">
        <f>IF($K476=AJ$3,ROUND(IF(OR($C476="W",$C476="1/2W",$C476="1/2L"),$P476-$O476,IF($C476="X",0,-$O476)),2),0)</f>
        <v>0</v>
      </c>
      <c r="AK476" s="198">
        <f>IF($K476=AK$3,ROUND(IF(OR($C476="W",$C476="1/2W",$C476="1/2L"),$P476-$O476,IF($C476="X",0,-$O476)),2),0)</f>
        <v>0</v>
      </c>
      <c r="AL476" s="198">
        <f>IF($K476=AL$3,ROUND(IF(OR($C476="W",$C476="1/2W",$C476="1/2L"),$P476-$O476,IF($C476="X",0,-$O476)),2),0)</f>
        <v>0</v>
      </c>
      <c r="AM476" s="198">
        <f>IF($K476=AM$3,ROUND(IF(OR($C476="W",$C476="1/2W",$C476="1/2L"),$P476-$O476,IF($C476="X",0,-$O476)),2),0)</f>
        <v>0</v>
      </c>
      <c r="AN476" s="198">
        <f>IF($K476=AN$3,ROUND(IF(OR($C476="W",$C476="1/2W",$C476="1/2L"),$P476-$O476,IF($C476="X",0,-$O476)),2),0)</f>
        <v>0</v>
      </c>
      <c r="AO476" s="198">
        <f>IF($K476=AO$3,ROUND(IF(OR($C476="W",$C476="1/2W",$C476="1/2L"),$P476-$O476,IF($C476="X",0,-$O476)),2),0)</f>
        <v>0</v>
      </c>
      <c r="AP476" s="198">
        <f>IF($K476=AP$3,ROUND(IF(OR($C476="W",$C476="1/2W",$C476="1/2L"),$P476-$O476,IF($C476="X",0,-$O476)),2),0)</f>
        <v>0</v>
      </c>
      <c r="AQ476" s="198">
        <f>IF($K476=AQ$3,ROUND(IF(OR($C476="W",$C476="1/2W",$C476="1/2L"),$P476-$O476,IF($C476="X",0,-$O476)),2),0)</f>
        <v>0</v>
      </c>
      <c r="AR476" s="199">
        <f>IF($K476=AR$3,ROUND(IF(OR($C476="W",$C476="1/2W",$C476="1/2L"),$P476-$O476,IF($C476="X",0,-$O476)),2),0)</f>
        <v>0</v>
      </c>
      <c r="AS476" s="197">
        <f>IF(AND($B475=" ",$K476=AS$3),$O476,0)</f>
        <v>0</v>
      </c>
      <c r="AT476" s="198">
        <f>IF(AND($B475=" ",K476=AT$3),$O476,0)</f>
        <v>0</v>
      </c>
      <c r="AU476" s="198">
        <f>IF(AND($B475=" ",$K476=AU$3),$O476,0)</f>
        <v>0</v>
      </c>
      <c r="AV476" s="198">
        <f>IF(AND($B475=" ",$K476=AV$3),$O476,0)</f>
        <v>0</v>
      </c>
      <c r="AW476" s="198">
        <f>IF(AND($B475=" ",$K476=AW$3),$O476,0)</f>
        <v>0</v>
      </c>
      <c r="AX476" s="198">
        <f>IF(AND($B475=" ",$K476=AX$3),$O476,0)</f>
        <v>0</v>
      </c>
      <c r="AY476" s="200">
        <f>IF(AND($B475=" ",$K476=AY$3),$O476,0)</f>
        <v>0</v>
      </c>
      <c r="AZ476" s="201">
        <f>IF(AND($B475=" ",$K476=AZ$3),$O476,0)</f>
        <v>0</v>
      </c>
      <c r="BA476" s="201">
        <f>IF(AND($B475=" ",$K476=BA$3),$O476,0)</f>
        <v>0</v>
      </c>
      <c r="BB476" s="201">
        <f>IF(AND($B475=" ",$K476=BB$3),$O476,0)</f>
        <v>0</v>
      </c>
      <c r="BC476" s="202">
        <f>IF(AND($B475=" ",$K476=BC$3),$O476,0)</f>
        <v>0</v>
      </c>
      <c r="BD476" s="198">
        <f>IF(AND($B475=" ",$K476=BD$3),$O476,0)</f>
        <v>0</v>
      </c>
      <c r="BE476" s="199">
        <f>IF(AND($B475=" ",$K476=BE$3),$O476,0)</f>
        <v>0</v>
      </c>
      <c r="BF476" s="197">
        <f>IF($K476=BF$3,IF($C476="X",0,$O476),0)</f>
        <v>4.9</v>
      </c>
      <c r="BG476" s="198">
        <f>IF($K476=BG$3,IF($C476="X",0,$O476),0)</f>
        <v>0</v>
      </c>
      <c r="BH476" s="198">
        <f>IF($K476=BH$3,IF($C476="X",0,$O476),0)</f>
        <v>0</v>
      </c>
      <c r="BI476" s="198">
        <f>IF($K476=BI$3,IF($C476="X",0,$O476),0)</f>
        <v>0</v>
      </c>
      <c r="BJ476" s="198">
        <f>IF($K476=BJ$3,IF($C476="X",0,$O476),0)</f>
        <v>0</v>
      </c>
      <c r="BK476" s="198">
        <f>IF($K476=BK$3,IF($C476="X",0,$O476),0)</f>
        <v>0</v>
      </c>
      <c r="BL476" s="198">
        <f>IF($K476=BL$3,IF($C476="X",0,$O476),0)</f>
        <v>0</v>
      </c>
      <c r="BM476" s="227">
        <f>IF($K476=BM$3,IF($C476="X",0,$O476),0)</f>
        <v>0</v>
      </c>
      <c r="BN476" s="205">
        <f>IF($K476=BN$3,IF($C476="X",0,$O476),0)</f>
        <v>0</v>
      </c>
      <c r="BO476" s="205">
        <f>IF($K476=BO$3,IF($C476="X",0,$O476),0)</f>
        <v>0</v>
      </c>
      <c r="BP476" s="205">
        <f>IF($K476=BP$3,IF($C476="X",0,$O476),0)</f>
        <v>0</v>
      </c>
      <c r="BQ476" s="202">
        <f>IF($K476=BQ$3,IF($C476="X",0,$O476),0)</f>
        <v>0</v>
      </c>
      <c r="BR476" s="199">
        <f>IF($K476=BR$3,IF($C476="X",0,$O476),0)</f>
        <v>0</v>
      </c>
      <c r="BS476" s="228"/>
      <c r="BT476" s="229"/>
      <c r="BU476" s="140"/>
      <c r="BV476" s="229"/>
      <c r="BW476" s="140"/>
      <c r="BX476" s="140"/>
      <c r="BY476" s="140"/>
      <c r="BZ476" s="229"/>
      <c r="CA476" s="140"/>
      <c r="CB476" s="140"/>
      <c r="CC476" s="140"/>
      <c r="CD476" s="141"/>
      <c r="CE476" s="142"/>
      <c r="CF476" s="230">
        <f>IF(CF$3=$K476,IF($C476="W",1,IF($C476="1/2W",0.5,0)),0)</f>
        <v>1</v>
      </c>
      <c r="CG476" s="231">
        <f>IF(CF$3=$K476,IF($C476="L",1,IF($C476="1/2L",0.5,0)),0)</f>
        <v>0</v>
      </c>
      <c r="CH476" s="231">
        <f>IF(CH$3=$K476,IF($C476="W",1,IF($C476="1/2W",0.5,0)),0)</f>
        <v>0</v>
      </c>
      <c r="CI476" s="231">
        <f>IF(CH$3=$K476,IF($C476="L",1,IF($C476="1/2L",0.5,0)),0)</f>
        <v>0</v>
      </c>
      <c r="CJ476" s="231">
        <f>IF(CJ$3=$K476,IF($C476="W",1,IF($C476="1/2W",0.5,0)),0)</f>
        <v>0</v>
      </c>
      <c r="CK476" s="231">
        <f>IF(CJ$3=$K476,IF($C476="L",1,IF($C476="1/2L",0.5,0)),0)</f>
        <v>0</v>
      </c>
      <c r="CL476" s="231">
        <f>IF(CL$3=$K476,IF($C476="W",1,IF($C476="1/2W",0.5,0)),0)</f>
        <v>0</v>
      </c>
      <c r="CM476" s="231">
        <f>IF(CL$3=$K476,IF($C476="L",1,IF($C476="1/2L",0.5,0)),0)</f>
        <v>0</v>
      </c>
      <c r="CN476" s="231">
        <f>IF(CN$3=$K476,IF($C476="W",1,IF($C476="1/2W",0.5,0)),0)</f>
        <v>0</v>
      </c>
      <c r="CO476" s="231">
        <f>IF(CN$3=$K476,IF($C476="L",1,IF($C476="1/2L",0.5,0)),0)</f>
        <v>0</v>
      </c>
      <c r="CP476" s="231">
        <f>IF(CP$3=$K476,IF($C476="W",1,IF($C476="1/2W",0.5,0)),0)</f>
        <v>0</v>
      </c>
      <c r="CQ476" s="231">
        <f>IF(CP$3=$K476,IF($C476="L",1,IF($C476="1/2L",0.5,0)),0)</f>
        <v>0</v>
      </c>
      <c r="CR476" s="231">
        <f>IF(CR$3=$K476,IF($C476="W",1,IF($C476="1/2W",0.5,0)),0)</f>
        <v>0</v>
      </c>
      <c r="CS476" s="231">
        <f>IF(CR$3=$K476,IF($C476="L",1,IF($C476="1/2L",0.5,0)),0)</f>
        <v>0</v>
      </c>
      <c r="CT476" s="208">
        <f>IF(CT$3=$K476,IF($C476="W",1,IF($C476="1/2W",0.5,0)),0)</f>
        <v>0</v>
      </c>
      <c r="CU476" s="209">
        <f>IF(CT$3=$K476,IF($C476="L",1,IF($C476="1/2L",0.5,0)),0)</f>
        <v>0</v>
      </c>
      <c r="CV476" s="209">
        <f>IF(CV$3=$K476,IF($C476="W",1,IF($C476="1/2W",0.5,0)),0)</f>
        <v>0</v>
      </c>
      <c r="CW476" s="209">
        <f>IF(CV$3=$K476,IF($C476="L",1,IF($C476="1/2L",0.5,0)),0)</f>
        <v>0</v>
      </c>
      <c r="CX476" s="209">
        <f>IF(CX$3=$K476,IF($C476="W",1,IF($C476="1/2W",0.5,0)),0)</f>
        <v>0</v>
      </c>
      <c r="CY476" s="209">
        <f>IF(CX$3=$K476,IF($C476="L",1,IF($C476="1/2L",0.5,0)),0)</f>
        <v>0</v>
      </c>
      <c r="CZ476" s="209">
        <f>IF(CZ$3=$K476,IF($C476="W",1,IF($C476="1/2W",0.5,0)),0)</f>
        <v>0</v>
      </c>
      <c r="DA476" s="209">
        <f>IF(CZ$3=$K476,IF($C476="L",1,IF($C476="1/2L",0.5,0)),0)</f>
        <v>0</v>
      </c>
      <c r="DB476" s="209">
        <f>IF(DB$3=$K476,IF($C476="W",1,IF($C476="1/2W",0.5,0)),0)</f>
        <v>0</v>
      </c>
      <c r="DC476" s="209">
        <f>IF(DB$3=$K476,IF($C476="L",1,IF($C476="1/2L",0.5,0)),0)</f>
        <v>0</v>
      </c>
      <c r="DD476" s="209">
        <f>IF(DD$3=$K476,IF($C476="W",1,IF($C476="1/2W",0.5,0)),0)</f>
        <v>0</v>
      </c>
      <c r="DE476" s="210">
        <f>IF(DD$3=$K476,IF($C476="L",1,IF($C476="1/2L",0.5,0)),0)</f>
        <v>0</v>
      </c>
      <c r="DF476" s="211">
        <f>IF(AND(L476&lt;DF$3,$C476="W"),1+DF475,DF475)</f>
        <v>16</v>
      </c>
      <c r="DG476" s="198">
        <f>IF(DF476&gt;DF475,L476+DG475,DG475)</f>
        <v>21.158</v>
      </c>
      <c r="DH476" s="209">
        <f>IF(AND(L476&gt;DH$3,$C476="W"),1+DH475,0+DH475)</f>
        <v>11</v>
      </c>
      <c r="DI476" s="198">
        <f>IF(DH476&gt;DH475,L476+DI475,DI475)</f>
        <v>59.13</v>
      </c>
      <c r="DJ476" t="s" s="306">
        <f>IF($D475="","",$D475)</f>
        <v>358</v>
      </c>
      <c r="DK476" s="232"/>
    </row>
    <row r="477" ht="14.55" customHeight="1">
      <c r="A477" s="149"/>
      <c r="B477" s="150"/>
      <c r="C477" t="s" s="233">
        <v>58</v>
      </c>
      <c r="D477" s="152"/>
      <c r="E477" s="153"/>
      <c r="F477" s="154"/>
      <c r="G477" s="234"/>
      <c r="H477" s="156"/>
      <c r="I477" s="235"/>
      <c r="J477" s="236"/>
      <c r="K477" s="237"/>
      <c r="L477" s="238"/>
      <c r="M477" s="239"/>
      <c r="N477" s="161"/>
      <c r="O477" t="s" s="240">
        <f>IF(OR(AE475="",AE476=""),"",IF(L477&gt;0,ROUND(IF(M477&gt;0,M477,IF(M475&gt;0,ROUND((M475*AE477)/AE475,IF(N475=0,2,IF(N475=0.1,1,0))),IF(M476&gt;0,ROUND((M476*AE477)/AE476,IF(N475=0,2,IF(N475=0.1,1,0))),IF(M477&gt;0,M477,0)))),2),""))</f>
      </c>
      <c r="P477" t="s" s="241">
        <f>IF(I476="Lay",O476*(L476/(L476-1))-O476,IF(I475="Lay",O475*(L475/(L475-1))-O475,IF(OR(L477="",O477=""),"",IF($C477="1/2W",O477/2+O477/2*L477,IF($C477="1/2L",O477/2,(O477*L477-O477)*(1-_xlfn.XLOOKUP(K477,'Janeiro 2023 - Valor Real'!A3:A15,'Janeiro 2023 - Valor Real'!C3:C15,0))+O477)))))</f>
      </c>
      <c r="Q477" t="s" s="242">
        <f>IF(K477="","",IF(_xlfn.XLOOKUP(K477,K$124:K250,DJ$124:DJ250,0,,-1)=DJ477,_xlfn.XLOOKUP(K477,K$124:K250,Q$124:Q250,1,,-1)+1,1))</f>
      </c>
      <c r="R477" t="s" s="243">
        <f>IF(K477="","",_xlfn.XLOOKUP(K477,K$124:K250,R$124:R250,0,,-1)+IF($C477=" ",1,0))</f>
      </c>
      <c r="S477" s="166"/>
      <c r="T477" s="155"/>
      <c r="U477" s="155"/>
      <c r="V477" s="166"/>
      <c r="W477" s="155"/>
      <c r="X477" s="167"/>
      <c r="Y477" s="128"/>
      <c r="Z477" s="129"/>
      <c r="AA477" s="129"/>
      <c r="AB477" s="129"/>
      <c r="AC477" s="129"/>
      <c r="AD477" s="244">
        <f>((L476/(L476-1)-1))</f>
        <v>2.4390243902439</v>
      </c>
      <c r="AE477" t="s" s="245">
        <f>IF(L477="","",(SUM(((L475-1)*(1-_xlfn.XLOOKUP(K475,'Janeiro 2023 - Valor Real'!A3:A15,'Janeiro 2023 - Valor Real'!C3:C15,0))+1),((L476-1)*(1-_xlfn.XLOOKUP(K476,'Janeiro 2023 - Valor Real'!A3:A15,'Janeiro 2023 - Valor Real'!C3:C15,0))+1),((L477-1)*(1-_xlfn.XLOOKUP(K477,'Janeiro 2023 - Valor Real'!A3:A15,'Janeiro 2023 - Valor Real'!C3:C15,0))+1))/((L477-1)*(1-_xlfn.XLOOKUP(K477,'Janeiro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Real'!C3:C15,0))+1))/((L475-1)*(1-_xlfn.XLOOKUP(K475,'Janeiro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Real'!C3:C15,0))+1))/((L476-1)*(1-_xlfn.XLOOKUP(K476,'Janeiro 2023 - Valor Real'!A3:A15,'Janeiro 2023 - Valor Real'!C3:C15,0))+1)+SUM(((L475-1)*(1-_xlfn.XLOOKUP(K475,'Janeiro 2023 - Valor Real'!A3:A15,'Janeiro 2023 - Valor Real'!C3:C15,0))+1),((L476-1)*(1-_xlfn.XLOOKUP(K476,'Janeiro 2023 - Valor Real'!A3:A15,'Janeiro 2023 - Valor Real'!C3:C15,0))+1),((L477-1)*(1-_xlfn.XLOOKUP(K477,'Janeiro 2023 - Valor Real'!A3:A15,'Janeiro 2023 - Valor Real'!C3:C15,0))+1))/((L477-1)*(1-_xlfn.XLOOKUP(K477,'Janeiro 2023 - Valor Real'!A3:A15,'Janeiro 2023 - Valor Real'!C3:C15,0))+1)))</f>
      </c>
      <c r="AF477" s="197">
        <f>IF($K477=AF$3,ROUND(IF(OR($C477="W",$C477="1/2W",$C477="1/2L"),$P477-$O477,IF($C477="X",0,-$O477)),2),0)</f>
        <v>0</v>
      </c>
      <c r="AG477" s="198">
        <f>IF($K477=AG$3,ROUND(IF(OR($C477="W",$C477="1/2W",$C477="1/2L"),$P477-$O477,IF($C477="X",0,-$O477)),2),0)</f>
        <v>0</v>
      </c>
      <c r="AH477" s="198">
        <f>IF($K477=AH$3,ROUND(IF(OR($C477="W",$C477="1/2W",$C477="1/2L"),$P477-$O477,IF($C477="X",0,-$O477)),2),0)</f>
        <v>0</v>
      </c>
      <c r="AI477" s="198">
        <f>IF($K477=AI$3,ROUND(IF(OR($C477="W",$C477="1/2W",$C477="1/2L"),$P477-$O477,IF($C477="X",0,-$O477)),2),0)</f>
        <v>0</v>
      </c>
      <c r="AJ477" s="198">
        <f>IF($K477=AJ$3,ROUND(IF(OR($C477="W",$C477="1/2W",$C477="1/2L"),$P477-$O477,IF($C477="X",0,-$O477)),2),0)</f>
        <v>0</v>
      </c>
      <c r="AK477" s="198">
        <f>IF($K477=AK$3,ROUND(IF(OR($C477="W",$C477="1/2W",$C477="1/2L"),$P477-$O477,IF($C477="X",0,-$O477)),2),0)</f>
        <v>0</v>
      </c>
      <c r="AL477" s="198">
        <f>IF($K477=AL$3,ROUND(IF(OR($C477="W",$C477="1/2W",$C477="1/2L"),$P477-$O477,IF($C477="X",0,-$O477)),2),0)</f>
        <v>0</v>
      </c>
      <c r="AM477" s="198">
        <f>IF($K477=AM$3,ROUND(IF(OR($C477="W",$C477="1/2W",$C477="1/2L"),$P477-$O477,IF($C477="X",0,-$O477)),2),0)</f>
        <v>0</v>
      </c>
      <c r="AN477" s="198">
        <f>IF($K477=AN$3,ROUND(IF(OR($C477="W",$C477="1/2W",$C477="1/2L"),$P477-$O477,IF($C477="X",0,-$O477)),2),0)</f>
        <v>0</v>
      </c>
      <c r="AO477" s="198">
        <f>IF($K477=AO$3,ROUND(IF(OR($C477="W",$C477="1/2W",$C477="1/2L"),$P477-$O477,IF($C477="X",0,-$O477)),2),0)</f>
        <v>0</v>
      </c>
      <c r="AP477" s="198">
        <f>IF($K477=AP$3,ROUND(IF(OR($C477="W",$C477="1/2W",$C477="1/2L"),$P477-$O477,IF($C477="X",0,-$O477)),2),0)</f>
        <v>0</v>
      </c>
      <c r="AQ477" s="198">
        <f>IF($K477=AQ$3,ROUND(IF(OR($C477="W",$C477="1/2W",$C477="1/2L"),$P477-$O477,IF($C477="X",0,-$O477)),2),0)</f>
        <v>0</v>
      </c>
      <c r="AR477" s="199">
        <f>IF($K477=AR$3,ROUND(IF(OR($C477="W",$C477="1/2W",$C477="1/2L"),$P477-$O477,IF($C477="X",0,-$O477)),2),0)</f>
        <v>0</v>
      </c>
      <c r="AS477" s="197">
        <f>IF(AND($B475=" ",$K477=AS$3),$O477,0)</f>
        <v>0</v>
      </c>
      <c r="AT477" s="198">
        <f>IF(AND($B475=" ",K477=AT$3),$O477,0)</f>
        <v>0</v>
      </c>
      <c r="AU477" s="198">
        <f>IF(AND($B475=" ",$K477=AU$3),$O477,0)</f>
        <v>0</v>
      </c>
      <c r="AV477" s="198">
        <f>IF(AND($B475=" ",$K477=AV$3),$O477,0)</f>
        <v>0</v>
      </c>
      <c r="AW477" s="198">
        <f>IF(AND($B475=" ",$K477=AW$3),$O477,0)</f>
        <v>0</v>
      </c>
      <c r="AX477" s="198">
        <f>IF(AND($B475=" ",$K477=AX$3),$O477,0)</f>
        <v>0</v>
      </c>
      <c r="AY477" s="200">
        <f>IF(AND($B475=" ",$K477=AY$3),$O477,0)</f>
        <v>0</v>
      </c>
      <c r="AZ477" s="201">
        <f>IF(AND($B475=" ",$K477=AZ$3),$O477,0)</f>
        <v>0</v>
      </c>
      <c r="BA477" s="201">
        <f>IF(AND($B475=" ",$K477=BA$3),$O477,0)</f>
        <v>0</v>
      </c>
      <c r="BB477" s="201">
        <f>IF(AND($B475=" ",$K477=BB$3),$O477,0)</f>
        <v>0</v>
      </c>
      <c r="BC477" s="202">
        <f>IF(AND($B475=" ",$K477=BC$3),$O477,0)</f>
        <v>0</v>
      </c>
      <c r="BD477" s="198">
        <f>IF(AND($B475=" ",$K477=BD$3),$O477,0)</f>
        <v>0</v>
      </c>
      <c r="BE477" s="199">
        <f>IF(AND($B475=" ",$K477=BE$3),$O477,0)</f>
        <v>0</v>
      </c>
      <c r="BF477" s="197">
        <f>IF($K477=BF$3,IF($C477="X",0,$O477),0)</f>
        <v>0</v>
      </c>
      <c r="BG477" s="198">
        <f>IF($K477=BG$3,IF($C477="X",0,$O477),0)</f>
        <v>0</v>
      </c>
      <c r="BH477" s="198">
        <f>IF($K477=BH$3,IF($C477="X",0,$O477),0)</f>
        <v>0</v>
      </c>
      <c r="BI477" s="198">
        <f>IF($K477=BI$3,IF($C477="X",0,$O477),0)</f>
        <v>0</v>
      </c>
      <c r="BJ477" s="198">
        <f>IF($K477=BJ$3,IF($C477="X",0,$O477),0)</f>
        <v>0</v>
      </c>
      <c r="BK477" s="198">
        <f>IF($K477=BK$3,IF($C477="X",0,$O477),0)</f>
        <v>0</v>
      </c>
      <c r="BL477" s="198">
        <f>IF($K477=BL$3,IF($C477="X",0,$O477),0)</f>
        <v>0</v>
      </c>
      <c r="BM477" s="200">
        <f>IF($K477=BM$3,IF($C477="X",0,$O477),0)</f>
        <v>0</v>
      </c>
      <c r="BN477" s="201">
        <f>IF($K477=BN$3,IF($C477="X",0,$O477),0)</f>
        <v>0</v>
      </c>
      <c r="BO477" s="201">
        <f>IF($K477=BO$3,IF($C477="X",0,$O477),0)</f>
        <v>0</v>
      </c>
      <c r="BP477" s="201">
        <f>IF($K477=BP$3,IF($C477="X",0,$O477),0)</f>
        <v>0</v>
      </c>
      <c r="BQ477" s="202">
        <f>IF($K477=BQ$3,IF($C477="X",0,$O477),0)</f>
        <v>0</v>
      </c>
      <c r="BR477" s="199">
        <f>IF($K477=BR$3,IF($C477="X",0,$O477),0)</f>
        <v>0</v>
      </c>
      <c r="BS477" s="228"/>
      <c r="BT477" s="229"/>
      <c r="BU477" s="140"/>
      <c r="BV477" s="229"/>
      <c r="BW477" s="140"/>
      <c r="BX477" s="140"/>
      <c r="BY477" s="140"/>
      <c r="BZ477" s="229"/>
      <c r="CA477" s="140"/>
      <c r="CB477" s="140"/>
      <c r="CC477" s="140"/>
      <c r="CD477" s="141"/>
      <c r="CE477" s="142"/>
      <c r="CF477" s="230">
        <f>IF(CF$3=$K477,IF($C477="W",1,IF($C477="1/2W",0.5,0)),0)</f>
        <v>0</v>
      </c>
      <c r="CG477" s="231">
        <f>IF(CF$3=$K477,IF($C477="L",1,IF($C477="1/2L",0.5,0)),0)</f>
        <v>0</v>
      </c>
      <c r="CH477" s="231">
        <f>IF(CH$3=$K477,IF($C477="W",1,IF($C477="1/2W",0.5,0)),0)</f>
        <v>0</v>
      </c>
      <c r="CI477" s="231">
        <f>IF(CH$3=$K477,IF($C477="L",1,IF($C477="1/2L",0.5,0)),0)</f>
        <v>0</v>
      </c>
      <c r="CJ477" s="231">
        <f>IF(CJ$3=$K477,IF($C477="W",1,IF($C477="1/2W",0.5,0)),0)</f>
        <v>0</v>
      </c>
      <c r="CK477" s="231">
        <f>IF(CJ$3=$K477,IF($C477="L",1,IF($C477="1/2L",0.5,0)),0)</f>
        <v>0</v>
      </c>
      <c r="CL477" s="231">
        <f>IF(CL$3=$K477,IF($C477="W",1,IF($C477="1/2W",0.5,0)),0)</f>
        <v>0</v>
      </c>
      <c r="CM477" s="231">
        <f>IF(CL$3=$K477,IF($C477="L",1,IF($C477="1/2L",0.5,0)),0)</f>
        <v>0</v>
      </c>
      <c r="CN477" s="231">
        <f>IF(CN$3=$K477,IF($C477="W",1,IF($C477="1/2W",0.5,0)),0)</f>
        <v>0</v>
      </c>
      <c r="CO477" s="231">
        <f>IF(CN$3=$K477,IF($C477="L",1,IF($C477="1/2L",0.5,0)),0)</f>
        <v>0</v>
      </c>
      <c r="CP477" s="231">
        <f>IF(CP$3=$K477,IF($C477="W",1,IF($C477="1/2W",0.5,0)),0)</f>
        <v>0</v>
      </c>
      <c r="CQ477" s="231">
        <f>IF(CP$3=$K477,IF($C477="L",1,IF($C477="1/2L",0.5,0)),0)</f>
        <v>0</v>
      </c>
      <c r="CR477" s="231">
        <f>IF(CR$3=$K477,IF($C477="W",1,IF($C477="1/2W",0.5,0)),0)</f>
        <v>0</v>
      </c>
      <c r="CS477" s="231">
        <f>IF(CR$3=$K477,IF($C477="L",1,IF($C477="1/2L",0.5,0)),0)</f>
        <v>0</v>
      </c>
      <c r="CT477" s="208">
        <f>IF(CT$3=$K477,IF($C477="W",1,IF($C477="1/2W",0.5,0)),0)</f>
        <v>0</v>
      </c>
      <c r="CU477" s="209">
        <f>IF(CT$3=$K477,IF($C477="L",1,IF($C477="1/2L",0.5,0)),0)</f>
        <v>0</v>
      </c>
      <c r="CV477" s="209">
        <f>IF(CV$3=$K477,IF($C477="W",1,IF($C477="1/2W",0.5,0)),0)</f>
        <v>0</v>
      </c>
      <c r="CW477" s="209">
        <f>IF(CV$3=$K477,IF($C477="L",1,IF($C477="1/2L",0.5,0)),0)</f>
        <v>0</v>
      </c>
      <c r="CX477" s="209">
        <f>IF(CX$3=$K477,IF($C477="W",1,IF($C477="1/2W",0.5,0)),0)</f>
        <v>0</v>
      </c>
      <c r="CY477" s="209">
        <f>IF(CX$3=$K477,IF($C477="L",1,IF($C477="1/2L",0.5,0)),0)</f>
        <v>0</v>
      </c>
      <c r="CZ477" s="209">
        <f>IF(CZ$3=$K477,IF($C477="W",1,IF($C477="1/2W",0.5,0)),0)</f>
        <v>0</v>
      </c>
      <c r="DA477" s="209">
        <f>IF(CZ$3=$K477,IF($C477="L",1,IF($C477="1/2L",0.5,0)),0)</f>
        <v>0</v>
      </c>
      <c r="DB477" s="209">
        <f>IF(DB$3=$K477,IF($C477="W",1,IF($C477="1/2W",0.5,0)),0)</f>
        <v>0</v>
      </c>
      <c r="DC477" s="209">
        <f>IF(DB$3=$K477,IF($C477="L",1,IF($C477="1/2L",0.5,0)),0)</f>
        <v>0</v>
      </c>
      <c r="DD477" s="209">
        <f>IF(DD$3=$K477,IF($C477="W",1,IF($C477="1/2W",0.5,0)),0)</f>
        <v>0</v>
      </c>
      <c r="DE477" s="210">
        <f>IF(DD$3=$K477,IF($C477="L",1,IF($C477="1/2L",0.5,0)),0)</f>
        <v>0</v>
      </c>
      <c r="DF477" s="211">
        <f>IF(AND(L477&lt;DF$3,$C477="W"),1+DF476,DF476)</f>
        <v>16</v>
      </c>
      <c r="DG477" s="198">
        <f>IF(DF477&gt;DF476,L477+DG476,DG476)</f>
        <v>21.158</v>
      </c>
      <c r="DH477" s="209">
        <f>IF(AND(L477&gt;DH$3,$C477="W"),1+DH476,0+DH476)</f>
        <v>11</v>
      </c>
      <c r="DI477" s="198">
        <f>IF(DH477&gt;DH476,L477+DI476,DI476)</f>
        <v>59.13</v>
      </c>
      <c r="DJ477" t="s" s="306">
        <f>IF($D475="","",$D475)</f>
        <v>358</v>
      </c>
      <c r="DK477" s="232"/>
    </row>
    <row r="478" ht="14.55" customHeight="1">
      <c r="A478" s="246">
        <f>$A475+1</f>
        <v>159</v>
      </c>
      <c r="B478" t="s" s="247">
        <f>IF(AND(_xlfn.XLOOKUP(H478,H$107:H257,G$107:G257,0)=G478,_xlfn.XLOOKUP("TempoBet",K478:K480,L478:L480,0)&gt;0),"X",IF(OR(C478="W",C479="W",C480="W",C478="1/2W",C479="1/2W",C480="1/2W",C478="1/2L",C479="1/2L",C480="1/2L"),"OK",IF(OR(C478="L",C479="L",C480="L"),"LOSS",IF(OR(C478="X",C479="X",C480="X"),"Anulado"," "))))</f>
        <v>50</v>
      </c>
      <c r="C478" t="s" s="248">
        <v>51</v>
      </c>
      <c r="D478" t="s" s="303">
        <f>IF(G478="","",$D475)</f>
        <v>358</v>
      </c>
      <c r="E478" t="s" s="250">
        <v>130</v>
      </c>
      <c r="F478" t="s" s="251"/>
      <c r="G478" s="252">
        <v>44955.541666666664</v>
      </c>
      <c r="H478" t="s" s="253">
        <v>375</v>
      </c>
      <c r="I478" t="s" s="254">
        <v>60</v>
      </c>
      <c r="J478" s="293"/>
      <c r="K478" t="s" s="256">
        <v>37</v>
      </c>
      <c r="L478" s="257">
        <v>2.375</v>
      </c>
      <c r="M478" s="258"/>
      <c r="N478" s="259">
        <v>0.1</v>
      </c>
      <c r="O478" s="260">
        <f>IF(OR(AE478="",AE479=""),"",ROUND(IF(L480&gt;0,IF(M478&gt;0,M478,IF(M479&gt;0,ROUND((M479*AE478)/AE479,IF(N478=0,2,IF(N478=0.1,1,0))),ROUND((M480*AE478)/AE480,IF(N478=0,2,IF(N478=0.1,1,0))))),IF(M478&gt;0,M478,ROUND((M479*AE478)/AE479,IF(N478=0,2,IF(N478=0.1,1,0))))),2))</f>
        <v>21.8</v>
      </c>
      <c r="P478" s="261">
        <f>IF(OR(L478="",O478=""),"",IF($C478="1/2W",O478/2+O478/2*L478,IF($C478="1/2L",O478/2,IF(I478="Lay",(O478*(L478/(L478-1))-O478)*(1-_xlfn.XLOOKUP(K478,'Janeiro 2023 - Valor Real'!A3:A15,'Janeiro 2023 - Valor Real'!C3:C15,0))+O478,(O478*L478-O478)*(1-_xlfn.XLOOKUP(K478,'Janeiro 2023 - Valor Real'!A3:A15,'Janeiro 2023 - Valor Real'!C3:C15,0))+O478))))</f>
        <v>51.775</v>
      </c>
      <c r="Q478" s="262">
        <f>IF(K478="","",IF(_xlfn.XLOOKUP(K478,K$107:K257,DJ$107:DJ257,0,,-1)=DJ478,_xlfn.XLOOKUP(K478,K$107:K257,Q$107:Q257,1,,-1)+1,1))</f>
        <v>1</v>
      </c>
      <c r="R478" s="263">
        <f>IF(K478="","",_xlfn.XLOOKUP(K478,K$107:K257,R$107:R257,0,,-1)+IF($C478=" ",1,0))</f>
        <v>0</v>
      </c>
      <c r="S478" s="264">
        <f>IF($B478="Anulado",0,ROUND(IF(OR($B478="LOSS",$B478="OK"),IF(OR($C478="W",$C478="1/2W",$C478="1/2L"),P478-O478,IF($C478="L",-O478,0))+IF(OR($C479="W",$C479="1/2W",$C479="1/2L"),P479-O479,IF($C479="L",-O479,0))+IF(OR($C480="W",$C480="1/2W",$C480="1/2L"),P480-O480,IF($C480="L",-O480,0)),IF(AND(OR($C478="W",$C478="1/2W",$C478="1/2L"),C479="W"),P478+P479-SUM(O478:O480)+_xlfn.XLOOKUP("X",C478:C480,O478:O480,0),IF(AND(C478=TRUE,C480="W"),P478+P480-SUM(O478:O480),IF(AND(C479="W",C480="W"),P479+P480-SUM(O478:O480)+_xlfn.XLOOKUP("X",C478:C480,O478:O480,0),IF(L480&gt;0,IF(OR($C478="W",$C478="1/2W",$C478="1/2L"),P478-SUM(O478:O480)+_xlfn.XLOOKUP("X",C478:C480,O478:O480,0),IF(OR($C478="W",$C478="1/2W",$C478="1/2L"),P479-SUM(O478:O480)+_xlfn.XLOOKUP("X",C478:C480,O478:O480,0),IF(OR($C478="W",$C478="1/2W",$C478="1/2L"),P480-SUM(O478:O480)+_xlfn.XLOOKUP("X",C478:C480,O478:O480,0),IF(SUM(P478:P480)/3-SUM(O478:O480)+_xlfn.XLOOKUP("X",C478:C480,O478:O480,0)&gt;0,SUM(P478:P480)/3-SUM(O478:O480)+_xlfn.XLOOKUP("X",C478:C480,O478:O480,0),LARGE(P478:P480,1)-SUM(O478:O480))))),IF(OR($C478="W",$C478="1/2W",$C478="1/2L"),P478-SUM(O478:O479)+_xlfn.XLOOKUP("X",C478:C480,O478:O480,0),IF(OR($C478="W",$C478="1/2W",$C478="1/2L"),P479-SUM(O478:O479)+_xlfn.XLOOKUP("X",C478:C480,O478:O480,0),SUM(P478:P479)/2-SUM(O478:O479)+_xlfn.XLOOKUP("X",C478:C480,O478:O480,0)))))))),2))</f>
        <v>4.62</v>
      </c>
      <c r="T478" s="265">
        <f>IF(S478=0,0,S478/SUM(O478:O480))</f>
        <v>0.0978813559322034</v>
      </c>
      <c r="U478" s="266">
        <f>IF($D478=$D475,IF(OR($B478="LOSS",$B478="OK",$B478="Anulada"),S478,0)+U475,IF(OR($B478="LOSS",$B478="OK",$B478="Anulada"),S478,0))</f>
        <v>17.85</v>
      </c>
      <c r="V478" s="266">
        <f>IF($D478="",0,IF($D478=$D475,IF($B478=" ",IF(I480="",IF(OR(AND(I478="DNB1",I479="DNB2"),AND(OR(I478="DNB1",I478="DNB2"),J479=0),AND(OR(I479="DNB1",I479="DNB2"),J478=0),AND(I478="DNB2",I479="DNB1"),AND(IF(J478=0,(J478+1)/ROUND(J478+1,0),J478/ROUND(J478,0))=1,IF(J479=0,(J479+1)/ROUND(IF(J479="",0,J479)+1,0),IF(J479="",0,J479)/ROUND(IF(J479="",1,J479),0))=1,OR(J478&lt;&gt;""),J479&lt;&gt;"")),0,IF(S478&lt;0,IF(I480="",SMALL(P478:P479,1)-SUM(O478:O479),0),SMALL(P478:P479,1)-SUM(O478:O479))),IF(S478&lt;0,IF(I480="",SMALL(P478:P480,1)-SUM(O478:O480),0),LARGE(P478:P480,1)-SUM(O478:O480))),S478)+V475,IF(I480="",IF(OR(AND(I478="DNB1",I479="DNB2"),AND(OR(I478="DNB1",I478="DNB2"),J479=0),AND(OR(I479="DNB1",I479="DNB2"),J478=0),AND(I478="DNB2",I479="DNB1"),AND(IF(J478=0,(J478+1)/ROUND(J478+1,0),J478/ROUND(J478,0))=1,IF(J479=0,(IF(J479="",0,J479)+1)/ROUND(IF(J479="",0,J479)+1,0),IF(J479="",0,J479)/ROUND(IF(J479="",0,J479)+1,0))=1,OR(J478&lt;&gt;""),J479&lt;&gt;"")),0,IF(S478&lt;0,IF(I480="",SMALL(P478:P479,1)-SUM(O478:O479),0),SMALL(P478:P480,1)-SUM(O478:O480))),IF(S478&lt;0,IF(I480="",SMALL(P478:P480,1)-SUM(O478:O480),0),LARGE(P478:P480,1)-SUM(O478:O480)))))</f>
        <v>17.85</v>
      </c>
      <c r="W478" s="266">
        <f>IF($D478=$D475,IF(S478&lt;0,IF(I480="",S478,0),S478)+W475,S478)</f>
        <v>17.85</v>
      </c>
      <c r="X478" t="s" s="267">
        <f>IF(OR(SUM(R478:R480)=0,V478=W478),ROUND(IF(W478=0,0,W478/Y478)*100,2)&amp;"%",ROUND(IF(V478=0,0,V478/Y478)*100,2)&amp;"% a "&amp;ROUND(IF(W478=0,0,W478/Y478)*100,2)&amp;"%")</f>
        <v>376</v>
      </c>
      <c r="Y478" s="268">
        <f>IF($D478=$D475,Y475+SUM(O478:O480),SUM(O478:O480))</f>
        <v>307.98</v>
      </c>
      <c r="Z478" s="266">
        <f>IF($B478=" ",SUM(O478:O480),0)+Z475</f>
        <v>0</v>
      </c>
      <c r="AA478" s="266">
        <f>IF(G478="","",IF($B478="Anulado",LARGE(P478:P480,1)-SUM(O478:O480)+AA475,AA475))</f>
        <v>22.2257</v>
      </c>
      <c r="AB478" s="266">
        <f>IF($D478="","",AB475+S478)</f>
        <v>325.7</v>
      </c>
      <c r="AC478" s="269">
        <f>IF($D478="","",IF($B478=" ",IF(DAY(G478)=DAY(TODAY()),1+AC475,0+AC475),0+AC475))</f>
        <v>0</v>
      </c>
      <c r="AD478" s="270">
        <f>(1-_xlfn.XLOOKUP(K476,'Janeiro 2023 - Valor Real'!A3:A15,'Janeiro 2023 - Valor Real'!C3:C15,0))+1</f>
        <v>2</v>
      </c>
      <c r="AE478" s="271">
        <f>IF(L478="","",IF(L480&gt;0,(SUM(((L478-1)*(1-_xlfn.XLOOKUP(K478,'Janeiro 2023 - Valor Real'!A3:A15,'Janeiro 2023 - Valor Real'!C3:C15,0))+1),((L479-1)*(1-_xlfn.XLOOKUP(K479,'Janeiro 2023 - Valor Real'!A3:A15,'Janeiro 2023 - Valor Real'!C3:C15,0))+1),((L480-1)*(1-_xlfn.XLOOKUP(K480,'Janeiro 2023 - Valor Real'!A3:A15,'Janeiro 2023 - Valor Real'!C3:C15,0))+1))/((L478-1)*(1-_xlfn.XLOOKUP(K478,'Janeiro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Real'!C3:C15,0))+1))/((L478-1)*(1-_xlfn.XLOOKUP(K478,'Janeiro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Real'!C3:C15,0))+1))/((L479-1)*(1-_xlfn.XLOOKUP(K479,'Janeiro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Real'!C3:C15,0))+1))/((L480-1)*(1-_xlfn.XLOOKUP(K480,'Janeiro 2023 - Valor Real'!A3:A15,'Janeiro 2023 - Valor Real'!C3:C15,0))+1)),IF(I478="Lay",IF(I479="Lay",((L479/(L479-1)-1)*(1-_xlfn.XLOOKUP(K479,'Janeiro 2023 - Valor Real'!A3:A15,'Janeiro 2023 - Valor Real'!C3:C15,0))+1)/(((L479/(L479-1)-1)*(1-_xlfn.XLOOKUP(K479,'Janeiro 2023 - Valor Real'!A3:A15,'Janeiro 2023 - Valor Real'!C3:C15,0))+1)+((L478/(L478-1)-1)*(1-_xlfn.XLOOKUP(K478,'Janeiro 2023 - Valor Real'!A3:A15,'Janeiro 2023 - Valor Real'!C3:C15,0))+1)),((L479-1)*(1-_xlfn.XLOOKUP(K479,'Janeiro 2023 - Valor Real'!A3:A15,'Janeiro 2023 - Valor Real'!C3:C15,0))+1)/(((L479-1)*(1-_xlfn.XLOOKUP(K479,'Janeiro 2023 - Valor Real'!A3:A15,'Janeiro 2023 - Valor Real'!C3:C15,0))+1)+((L478/(L478-1)-1)*(1-_xlfn.XLOOKUP(K478,'Janeiro 2023 - Valor Real'!A3:A15,'Janeiro 2023 - Valor Real'!C3:C15,0))+1))),IF(I479="Lay",(((L479/(L479-1)-1)*(1-_xlfn.XLOOKUP(K479,'Janeiro 2023 - Valor Real'!A3:A15,'Janeiro 2023 - Valor Real'!C3:C15,0))+1))/(((L478-1)*(1-_xlfn.XLOOKUP(K478,'Janeiro 2023 - Valor Real'!A3:A15,'Janeiro 2023 - Valor Real'!C3:C15,0))+1)+((L479/(L479-1)-1)*(1-_xlfn.XLOOKUP(K479,'Janeiro 2023 - Valor Real'!A3:A15,'Janeiro 2023 - Valor Real'!C3:C15,0))+1)),((L479-1)*(1-_xlfn.XLOOKUP(K479,'Janeiro 2023 - Valor Real'!A3:A15,'Janeiro 2023 - Valor Real'!C3:C15,0))+1)/(((L479-1)*(1-_xlfn.XLOOKUP(K479,'Janeiro 2023 - Valor Real'!A3:A15,'Janeiro 2023 - Valor Real'!C3:C15,0))+1)+((L478-1)*(1-_xlfn.XLOOKUP(K478,'Janeiro 2023 - Valor Real'!A3:A15,'Janeiro 2023 - Valor Real'!C3:C15,0))+1))))))</f>
        <v>0.462061155152888</v>
      </c>
      <c r="AF478" s="132">
        <f>IF($K478=AF$3,ROUND(IF(OR($C478="W",$C478="1/2W",$C478="1/2L"),$P478-$O478,IF($C478="X",0,-$O478)),2),0)</f>
        <v>-21.8</v>
      </c>
      <c r="AG478" s="133">
        <f>IF($K478=AG$3,ROUND(IF(OR($C478="W",$C478="1/2W",$C478="1/2L"),$P478-$O478,IF($C478="X",0,-$O478)),2),0)</f>
        <v>0</v>
      </c>
      <c r="AH478" s="133">
        <f>IF($K478=AH$3,ROUND(IF(OR($C478="W",$C478="1/2W",$C478="1/2L"),$P478-$O478,IF($C478="X",0,-$O478)),2),0)</f>
        <v>0</v>
      </c>
      <c r="AI478" s="133">
        <f>IF($K478=AI$3,ROUND(IF(OR($C478="W",$C478="1/2W",$C478="1/2L"),$P478-$O478,IF($C478="X",0,-$O478)),2),0)</f>
        <v>0</v>
      </c>
      <c r="AJ478" s="133">
        <f>IF($K478=AJ$3,ROUND(IF(OR($C478="W",$C478="1/2W",$C478="1/2L"),$P478-$O478,IF($C478="X",0,-$O478)),2),0)</f>
        <v>0</v>
      </c>
      <c r="AK478" s="133">
        <f>IF($K478=AK$3,ROUND(IF(OR($C478="W",$C478="1/2W",$C478="1/2L"),$P478-$O478,IF($C478="X",0,-$O478)),2),0)</f>
        <v>0</v>
      </c>
      <c r="AL478" s="133">
        <f>IF($K478=AL$3,ROUND(IF(OR($C478="W",$C478="1/2W",$C478="1/2L"),$P478-$O478,IF($C478="X",0,-$O478)),2),0)</f>
        <v>0</v>
      </c>
      <c r="AM478" s="133">
        <f>IF($K478=AM$3,ROUND(IF(OR($C478="W",$C478="1/2W",$C478="1/2L"),$P478-$O478,IF($C478="X",0,-$O478)),2),0)</f>
        <v>0</v>
      </c>
      <c r="AN478" s="133">
        <f>IF($K478=AN$3,ROUND(IF(OR($C478="W",$C478="1/2W",$C478="1/2L"),$P478-$O478,IF($C478="X",0,-$O478)),2),0)</f>
        <v>0</v>
      </c>
      <c r="AO478" s="133">
        <f>IF($K478=AO$3,ROUND(IF(OR($C478="W",$C478="1/2W",$C478="1/2L"),$P478-$O478,IF($C478="X",0,-$O478)),2),0)</f>
        <v>0</v>
      </c>
      <c r="AP478" s="133">
        <f>IF($K478=AP$3,ROUND(IF(OR($C478="W",$C478="1/2W",$C478="1/2L"),$P478-$O478,IF($C478="X",0,-$O478)),2),0)</f>
        <v>0</v>
      </c>
      <c r="AQ478" s="133">
        <f>IF($K478=AQ$3,ROUND(IF(OR($C478="W",$C478="1/2W",$C478="1/2L"),$P478-$O478,IF($C478="X",0,-$O478)),2),0)</f>
        <v>0</v>
      </c>
      <c r="AR478" s="134">
        <f>IF($K478=AR$3,ROUND(IF(OR($C478="W",$C478="1/2W",$C478="1/2L"),$P478-$O478,IF($C478="X",0,-$O478)),2),0)</f>
        <v>0</v>
      </c>
      <c r="AS478" s="132">
        <f>IF(AND($B478=" ",$K478=AS$3),$O478,0)</f>
        <v>0</v>
      </c>
      <c r="AT478" s="133">
        <f>IF(AND($B478=" ",$K478=AT$3),$O478,0)</f>
        <v>0</v>
      </c>
      <c r="AU478" s="133">
        <f>IF(AND($B478=" ",$K478=AU$3),$O478,0)</f>
        <v>0</v>
      </c>
      <c r="AV478" s="133">
        <f>IF(AND($B478=" ",$K478=AV$3),$O478,0)</f>
        <v>0</v>
      </c>
      <c r="AW478" s="133">
        <f>IF(AND($B478=" ",$K478=AW$3),$O478,0)</f>
        <v>0</v>
      </c>
      <c r="AX478" s="133">
        <f>IF(AND($B478=" ",$K478=AX$3),$O478,0)</f>
        <v>0</v>
      </c>
      <c r="AY478" s="135">
        <f>IF(AND($B478=" ",$K478=AY$3),$O478,0)</f>
        <v>0</v>
      </c>
      <c r="AZ478" s="136">
        <f>IF(AND($B478=" ",$K478=AZ$3),$O478,0)</f>
        <v>0</v>
      </c>
      <c r="BA478" s="136">
        <f>IF(AND($B478=" ",$K478=BA$3),$O478,0)</f>
        <v>0</v>
      </c>
      <c r="BB478" s="136">
        <f>IF(AND($B478=" ",$K478=BB$3),$O478,0)</f>
        <v>0</v>
      </c>
      <c r="BC478" s="137">
        <f>IF(AND($B478=" ",$K478=BC$3),$O478,0)</f>
        <v>0</v>
      </c>
      <c r="BD478" s="133">
        <f>IF(AND($B478=" ",$K478=BD$3),$O478,0)</f>
        <v>0</v>
      </c>
      <c r="BE478" s="134">
        <f>IF(AND($B478=" ",$K478=BE$3),$O478,0)</f>
        <v>0</v>
      </c>
      <c r="BF478" s="132">
        <f>IF($K478=BF$3,IF($C478="X",0,$O478),0)</f>
        <v>21.8</v>
      </c>
      <c r="BG478" s="133">
        <f>IF($K478=BG$3,IF($C478="X",0,$O478),0)</f>
        <v>0</v>
      </c>
      <c r="BH478" s="133">
        <f>IF($K478=BH$3,IF($C478="X",0,$O478),0)</f>
        <v>0</v>
      </c>
      <c r="BI478" s="133">
        <f>IF($K478=BI$3,IF($C478="X",0,$O478),0)</f>
        <v>0</v>
      </c>
      <c r="BJ478" s="133">
        <f>IF($K478=BJ$3,IF($C478="X",0,$O478),0)</f>
        <v>0</v>
      </c>
      <c r="BK478" s="133">
        <f>IF($K478=BK$3,IF($C478="X",0,$O478),0)</f>
        <v>0</v>
      </c>
      <c r="BL478" s="133">
        <f>IF($K478=BL$3,IF($C478="X",0,$O478),0)</f>
        <v>0</v>
      </c>
      <c r="BM478" s="135">
        <f>IF($K478=BM$3,IF($C478="X",0,$O478),0)</f>
        <v>0</v>
      </c>
      <c r="BN478" s="136">
        <f>IF($K478=BN$3,IF($C478="X",0,$O478),0)</f>
        <v>0</v>
      </c>
      <c r="BO478" s="136">
        <f>IF($K478=BO$3,IF($C478="X",0,$O478),0)</f>
        <v>0</v>
      </c>
      <c r="BP478" s="136">
        <f>IF($K478=BP$3,IF($C478="X",0,$O478),0)</f>
        <v>0</v>
      </c>
      <c r="BQ478" s="137">
        <f>IF($K478=BQ$3,IF($C478="X",0,$O478),0)</f>
        <v>0</v>
      </c>
      <c r="BR478" s="134">
        <f>IF($K478=BR$3,IF($C478="X",0,$O478),0)</f>
        <v>0</v>
      </c>
      <c r="BS478" s="170">
        <f>IF($B478="LOSS",IF(AND($K478=BS$3,$C478="L"),-$O478,0)+IF(AND($K479=BS$3,$C479="L"),-$O479,0)+IF(AND($K480=BS$3,$C480="L"),-$O480,0),IF(OR(AND($K478=BS$3,OR($C478="W",$C478="1/2W")),AND($K479=BS$3,OR($C479="W",$C479="1/2W")),AND($K480=BS$3,OR($C480="W",$C480="1/2W"))),$S478,0))</f>
        <v>0</v>
      </c>
      <c r="BT478" s="272">
        <f>IF($B478="LOSS",IF(AND($K478=BT$3,$C478="L"),-$O478,0)+IF(AND($K479=BT$3,$C479="L"),-$O479,0)+IF(AND($K479=BT$3,$C480="L"),-$O480,0),IF(OR(AND($K479=BT$3,OR($C478="W",$C478="1/2W")),AND($K479=BT$3,OR($C479="W",$C479="1/2W")),AND($K479=BT$3,OR($C480="W",$C480="1/2W"))),$S478,0))</f>
        <v>0</v>
      </c>
      <c r="BU478" s="136">
        <f>IF($B478="LOSS",IF(AND($K478=BU$3,$C478="L"),-$O478,0)+IF(AND($K479=BU$3,$C479="L"),-$O479,0)+IF(AND($K479=BU$3,$C480="L"),-$O480,0),IF(OR(AND($K479=BU$3,OR($C478="W",$C478="1/2W")),AND($K479=BU$3,OR($C479="W",$C479="1/2W")),AND($K479=BU$3,OR($C480="W",$C480="1/2W"))),$S478,0))</f>
        <v>0</v>
      </c>
      <c r="BV478" s="136">
        <f>IF($B478="LOSS",IF(AND($K478=BV$3,$C478="L"),-$O478,0)+IF(AND($K479=BV$3,$C479="L"),-$O479,0)+IF(AND($K480=BV$3,$C480="L"),-$O480,0),IF(OR(AND($K478=BV$3,OR($C478="W",$C478="1/2W")),AND($K479=BV$3,OR($C479="W",$C479="1/2W")),AND($K480=BV$3,OR($C480="W",$C480="1/2W"))),$S478,0))</f>
        <v>0</v>
      </c>
      <c r="BW478" s="136">
        <f>IF($B478="LOSS",IF(AND($K478=BW$3,$C478="L"),-$O478,0)+IF(AND($K479=BW$3,$C479="L"),-$O479,0)+IF(AND($K480=BW$3,$C480="L"),-$O480,0),IF(OR(AND($K478=BW$3,OR($C478="W",$C478="1/2W")),AND($K479=BW$3,OR($C479="W",$C479="1/2W")),AND($K480=BW$3,OR($C480="W",$C480="1/2W"))),$S478,0))</f>
        <v>0</v>
      </c>
      <c r="BX478" s="136">
        <f>IF($B478="LOSS",IF(AND($K478=BX$3,$C478="L"),-$O478,0)+IF(AND($K479=BX$3,$C479="L"),-$O479,0)+IF(AND($K480=BX$3,$C480="L"),-$O480,0),IF(OR(AND($K478=BX$3,OR($C478="W",$C478="1/2W")),AND($K479=BX$3,OR($C479="W",$C479="1/2W")),AND($K480=BX$3,OR($C480="W",$C480="1/2W"))),$S478,0))</f>
        <v>0</v>
      </c>
      <c r="BY478" s="136">
        <f>IF($B478="LOSS",IF(AND($K478=BY$3,$C478="L"),-$O478,0)+IF(AND($K479=BY$3,$C479="L"),-$O479,0)+IF(AND($K480=BY$3,$C480="L"),-$O480,0),IF(OR(AND($K478=BY$3,OR($C478="W",$C478="1/2W")),AND($K479=BY$3,OR($C479="W",$C479="1/2W")),AND($K480=BY$3,OR($C480="W",$C480="1/2W"))),$S478,0))</f>
        <v>0</v>
      </c>
      <c r="BZ478" s="136">
        <f>IF($B478="LOSS",IF(AND($K478=BZ$3,$C478="L"),-$O478,0)+IF(AND($K479=BZ$3,$C479="L"),-$O479,0)+IF(AND($K480=BZ$3,$C480="L"),-$O480,0),IF(OR(AND($K478=BZ$3,OR($C478="W",$C478="1/2W")),AND($K479=BZ$3,OR($C479="W",$C479="1/2W")),AND($K480=BZ$3,OR($C480="W",$C480="1/2W"))),$S478,0))</f>
        <v>0</v>
      </c>
      <c r="CA478" s="136">
        <f>IF($B478="LOSS",IF(AND($K478=CA$3,$C478="L"),-$O478,0)+IF(AND($K479=CA$3,$C479="L"),-$O479,0)+IF(AND($K480=CA$3,$C480="L"),-$O480,0),IF(OR(AND($K478=CA$3,OR($C478="W",$C478="1/2W")),AND($K479=CA$3,OR($C479="W",$C479="1/2W")),AND($K480=CA$3,OR($C480="W",$C480="1/2W"))),$S478,0))</f>
        <v>0</v>
      </c>
      <c r="CB478" s="136">
        <f>IF($B478="LOSS",IF(AND($K478=CB$3,$C478="L"),-$O478,0)+IF(AND($K479=CB$3,$C479="L"),-$O479,0)+IF(AND($K480=CB$3,$C480="L"),-$O480,0),IF(OR(AND($K478=CB$3,OR($C478="W",$C478="1/2W")),AND($K479=CB$3,OR($C479="W",$C479="1/2W")),AND($K480=CB$3,OR($C480="W",$C480="1/2W"))),$S478,0))</f>
        <v>0</v>
      </c>
      <c r="CC478" s="136">
        <f>IF($B478="LOSS",IF(AND($K478=CC$3,$C478="L"),-$O478,0)+IF(AND($K479=CC$3,$C479="L"),-$O479,0)+IF(AND($K480=CC$3,$C480="L"),-$O480,0),IF(OR(AND($K478=CC$3,OR($C478="W",$C478="1/2W")),AND($K479=CC$3,OR($C479="W",$C479="1/2W")),AND($K480=CC$3,OR($C480="W",$C480="1/2W"))),$S478,0))</f>
        <v>0</v>
      </c>
      <c r="CD478" s="137">
        <f>IF($B478="LOSS",IF(AND($K478=CD$3,$C478="L"),-$O478,0)+IF(AND($K479=CD$3,$C479="L"),-$O479,0)+IF(AND($K480=CD$3,$C480="L"),-$O480,0),IF(OR(AND($K478=CD$3,OR($C478="W",$C478="1/2W")),AND($K479=CD$3,OR($C479="W",$C479="1/2W")),AND($K480=CD$3,OR($C480="W",$C480="1/2W"))),$S478,0))</f>
        <v>4.62</v>
      </c>
      <c r="CE478" s="134">
        <f>IF($B478="LOSS",IF(AND($K478=CE$3,$C478="L"),-$O478,0)+IF(AND($K479=CE$3,$C479="L"),-$O479,0)+IF(AND($K480=CE$3,$C480="L"),-$O480,0),IF(OR(AND($K478=CE$3,OR($C478="W",$C478="1/2W")),AND($K479=CE$3,OR($C479="W",$C479="1/2W")),AND($K480=CE$3,OR($C480="W",$C480="1/2W"))),$S478,0))</f>
        <v>0</v>
      </c>
      <c r="CF478" s="273">
        <f>IF(CF$3=$K478,IF($C478="W",1,IF($C478="1/2W",0.5,0)),0)</f>
        <v>0</v>
      </c>
      <c r="CG478" s="274">
        <f>IF(CF$3=$K478,IF($C478="L",1,IF($C478="1/2L",0.5,0)),0)</f>
        <v>1</v>
      </c>
      <c r="CH478" s="274">
        <f>IF(CH$3=$K478,IF($C478="W",1,IF($C478="1/2W",0.5,0)),0)</f>
        <v>0</v>
      </c>
      <c r="CI478" s="274">
        <f>IF(CH$3=$K478,IF($C478="L",1,IF($C478="1/2L",0.5,0)),0)</f>
        <v>0</v>
      </c>
      <c r="CJ478" s="274">
        <f>IF(CJ$3=$K478,IF($C478="W",1,IF($C478="1/2W",0.5,0)),0)</f>
        <v>0</v>
      </c>
      <c r="CK478" s="274">
        <f>IF(CJ$3=$K478,IF($C478="L",1,IF($C478="1/2L",0.5,0)),0)</f>
        <v>0</v>
      </c>
      <c r="CL478" s="274">
        <f>IF(CL$3=$K478,IF($C478="W",1,IF($C478="1/2W",0.5,0)),0)</f>
        <v>0</v>
      </c>
      <c r="CM478" s="274">
        <f>IF(CL$3=$K478,IF($C478="L",1,IF($C478="1/2L",0.5,0)),0)</f>
        <v>0</v>
      </c>
      <c r="CN478" s="274">
        <f>IF(CN$3=$K478,IF($C478="W",1,IF($C478="1/2W",0.5,0)),0)</f>
        <v>0</v>
      </c>
      <c r="CO478" s="274">
        <f>IF(CN$3=$K478,IF($C478="L",1,IF($C478="1/2L",0.5,0)),0)</f>
        <v>0</v>
      </c>
      <c r="CP478" s="274">
        <f>IF(CP$3=$K478,IF($C478="W",1,IF($C478="1/2W",0.5,0)),0)</f>
        <v>0</v>
      </c>
      <c r="CQ478" s="274">
        <f>IF(CP$3=$K478,IF($C478="L",1,IF($C478="1/2L",0.5,0)),0)</f>
        <v>0</v>
      </c>
      <c r="CR478" s="274">
        <f>IF(CR$3=$K478,IF($C478="W",1,IF($C478="1/2W",0.5,0)),0)</f>
        <v>0</v>
      </c>
      <c r="CS478" s="274">
        <f>IF(CR$3=$K478,IF($C478="L",1,IF($C478="1/2L",0.5,0)),0)</f>
        <v>0</v>
      </c>
      <c r="CT478" s="145">
        <f>IF(CT$3=$K478,IF($C478="W",1,IF($C478="1/2W",0.5,0)),0)</f>
        <v>0</v>
      </c>
      <c r="CU478" s="146">
        <f>IF(CT$3=$K478,IF($C478="L",1,IF($C478="1/2L",0.5,0)),0)</f>
        <v>0</v>
      </c>
      <c r="CV478" s="146">
        <f>IF(CV$3=$K478,IF($C478="W",1,IF($C478="1/2W",0.5,0)),0)</f>
        <v>0</v>
      </c>
      <c r="CW478" s="146">
        <f>IF(CV$3=$K478,IF($C478="L",1,IF($C478="1/2L",0.5,0)),0)</f>
        <v>0</v>
      </c>
      <c r="CX478" s="146">
        <f>IF(CX$3=$K478,IF($C478="W",1,IF($C478="1/2W",0.5,0)),0)</f>
        <v>0</v>
      </c>
      <c r="CY478" s="146">
        <f>IF(CX$3=$K478,IF($C478="L",1,IF($C478="1/2L",0.5,0)),0)</f>
        <v>0</v>
      </c>
      <c r="CZ478" s="146">
        <f>IF(CZ$3=$K478,IF($C478="W",1,IF($C478="1/2W",0.5,0)),0)</f>
        <v>0</v>
      </c>
      <c r="DA478" s="146">
        <f>IF(CZ$3=$K478,IF($C478="L",1,IF($C478="1/2L",0.5,0)),0)</f>
        <v>0</v>
      </c>
      <c r="DB478" s="146">
        <f>IF(DB$3=$K478,IF($C478="W",1,IF($C478="1/2W",0.5,0)),0)</f>
        <v>0</v>
      </c>
      <c r="DC478" s="146">
        <f>IF(DB$3=$K478,IF($C478="L",1,IF($C478="1/2L",0.5,0)),0)</f>
        <v>0</v>
      </c>
      <c r="DD478" s="146">
        <f>IF(DD$3=$K478,IF($C478="W",1,IF($C478="1/2W",0.5,0)),0)</f>
        <v>0</v>
      </c>
      <c r="DE478" s="147">
        <f>IF(DD$3=$K478,IF($C478="L",1,IF($C478="1/2L",0.5,0)),0)</f>
        <v>0</v>
      </c>
      <c r="DF478" s="143">
        <f>IF(AND(L478&lt;DF$3,$C478="W"),1+DF477,DF477)</f>
        <v>16</v>
      </c>
      <c r="DG478" s="133">
        <f>IF(DF478&gt;DF477,L478+DG477,DG477)</f>
        <v>21.158</v>
      </c>
      <c r="DH478" s="146">
        <f>IF(AND(L478&gt;DH$3,$C478="W"),1+DH477,0+DH477)</f>
        <v>11</v>
      </c>
      <c r="DI478" s="133">
        <f>IF(DH478&gt;DH477,L478+DI477,DI477)</f>
        <v>59.13</v>
      </c>
      <c r="DJ478" t="s" s="304">
        <f>IF($D478="","",$D478)</f>
        <v>358</v>
      </c>
      <c r="DK478" s="146">
        <f>IF(AND($B478=" ",$D478&lt;&gt;""),1,0)</f>
        <v>0</v>
      </c>
    </row>
    <row r="479" ht="14.55" customHeight="1">
      <c r="A479" s="107"/>
      <c r="B479" s="108"/>
      <c r="C479" t="s" s="109">
        <v>56</v>
      </c>
      <c r="D479" s="110"/>
      <c r="E479" s="111"/>
      <c r="F479" s="113"/>
      <c r="G479" s="252"/>
      <c r="H479" s="114"/>
      <c r="I479" t="s" s="275">
        <v>57</v>
      </c>
      <c r="J479" s="276">
        <f>IF(OR(I478="TO",I478="TU",I478="TO1",I478="TU1",I478="TO2",I478="TU2"),J478,IF(OR(I478="AH1",I478="AH2"),IF(OR(I479="AH1",I479="AH2"),-J478,IF(OR(I479="EH1",I479="EH2"),-J478+0.5,"")),IF(OR(I478="EH1",I478="EH2"),IF(OR(I479="AH1",I479="AH2"),-J478+0.5,IF(OR(I479="EH1",I479="EH2"),-J478+1,"")),IF(AND(OR(I478="DNB1",I478="DNB2"),OR(I479="AH1",I479="AH2")),0,IF(AND(I478="Not ScoreBoth",OR(I479="TO1",I479="TO2")),0.5,"")))))</f>
        <v>0</v>
      </c>
      <c r="K479" t="s" s="117">
        <v>48</v>
      </c>
      <c r="L479" s="277">
        <v>2.04</v>
      </c>
      <c r="M479" s="278">
        <v>25.4</v>
      </c>
      <c r="N479" s="120"/>
      <c r="O479" s="121">
        <f>IF(OR(AE478="",AE479=""),"",ROUND(IF(L480&gt;0,IF(M479&gt;0,M479,IF(M478&gt;0,IF(N478=TRUE,ROUND((M478*AE479)/AE478,0),(M478*AE479)/AE478),IF(M479&gt;0,ROUND(M479,IF(N478=0,2,IF(N478=0.1,1,0))),IF(M480&gt;0,ROUND(O480*AE479/AE480,IF(N478=0,2,IF(N478=0.1,1,0))),0)))),IF(M479&gt;0,M479,ROUND((M478*AE479)/AE478,IF(N478=0,2,IF(N478=0.1,1,0))))),2))</f>
        <v>25.4</v>
      </c>
      <c r="P479" s="122">
        <f>IF(OR(L479="",O479=""),"",IF($C479="1/2W",O479/2+O479/2*L479,IF($C479="1/2L",O479/2,IF(I479="Lay",((O479*(L479/(L479-1)))-O479)*(1-_xlfn.XLOOKUP(K479,'Janeiro 2023 - Valor Real'!A3:A15,'Janeiro 2023 - Valor Real'!C3:C15,0))+O479,(O479*L479-O479)*(1-_xlfn.XLOOKUP(K479,'Janeiro 2023 - Valor Real'!A3:A15,'Janeiro 2023 - Valor Real'!C3:C15,0))+O479))))</f>
        <v>51.816</v>
      </c>
      <c r="Q479" s="279">
        <f>IF(K479="","",IF(_xlfn.XLOOKUP(K479,K$120:K258,DJ$120:DJ258,0,,-1)=DJ479,_xlfn.XLOOKUP(K479,K$120:K258,Q$120:Q258,1,,-1)+1,1))</f>
        <v>1</v>
      </c>
      <c r="R479" s="280">
        <f>IF(K479="","",_xlfn.XLOOKUP(K479,K$120:K258,R$120:R258,0,,-1)+IF($C479=" ",1,0))</f>
        <v>0</v>
      </c>
      <c r="S479" s="125"/>
      <c r="T479" s="126"/>
      <c r="U479" s="126"/>
      <c r="V479" s="224"/>
      <c r="W479" s="126"/>
      <c r="X479" s="127"/>
      <c r="Y479" s="128"/>
      <c r="Z479" s="129"/>
      <c r="AA479" s="129"/>
      <c r="AB479" s="129"/>
      <c r="AC479" s="129"/>
      <c r="AD479" s="130"/>
      <c r="AE479" s="131">
        <f>IF(L479="","",IF(L480&gt;0,(SUM(((L478-1)*(1-_xlfn.XLOOKUP(K478,'Janeiro 2023 - Valor Real'!A3:A15,'Janeiro 2023 - Valor Real'!C3:C15,0))+1),((L479-1)*(1-_xlfn.XLOOKUP(K479,'Janeiro 2023 - Valor Real'!A3:A15,'Janeiro 2023 - Valor Real'!C3:C15,0))+1),((L480-1)*(1-_xlfn.XLOOKUP(K480,'Janeiro 2023 - Valor Real'!A3:A15,'Janeiro 2023 - Valor Real'!C3:C15,0))+1))/((L479-1)*(1-_xlfn.XLOOKUP(K479,'Janeiro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Real'!C3:C15,0))+1))/((L478-1)*(1-_xlfn.XLOOKUP(K478,'Janeiro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Real'!C3:C15,0))+1))/((L479-1)*(1-_xlfn.XLOOKUP(K479,'Janeiro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Real'!C3:C15,0))+1))/((L480-1)*(1-_xlfn.XLOOKUP(K480,'Janeiro 2023 - Valor Real'!A3:A15,'Janeiro 2023 - Valor Real'!C3:C15,0))+1)),IF(I479="Lay",IF(I478="Lay",((L478/(L478-1)-1)*(1-_xlfn.XLOOKUP(K478,'Janeiro 2023 - Valor Real'!A3:A15,'Janeiro 2023 - Valor Real'!C3:C15,0))+1)/(((L478/(L478-1)-1)*(1-_xlfn.XLOOKUP(K478,'Janeiro 2023 - Valor Real'!A3:A15,'Janeiro 2023 - Valor Real'!C3:C15,0))+1)+((L479/(L479-1)-1)*(1-_xlfn.XLOOKUP(K479,'Janeiro 2023 - Valor Real'!A3:A15,'Janeiro 2023 - Valor Real'!C3:C15,0))+1)),((L478-1)*(1-_xlfn.XLOOKUP(K478,'Janeiro 2023 - Valor Real'!A3:A15,'Janeiro 2023 - Valor Real'!C3:C15,0))+1)/(((L478-1)*(1-_xlfn.XLOOKUP(K478,'Janeiro 2023 - Valor Real'!A3:A15,'Janeiro 2023 - Valor Real'!C3:C15,0))+1)+((L479/(L479-1)-1)*(1-_xlfn.XLOOKUP(K479,'Janeiro 2023 - Valor Real'!A3:A15,'Janeiro 2023 - Valor Real'!C3:C15,0))+1))),IF(I478="Lay",((L478/(L478-1)-1)*(1-_xlfn.XLOOKUP(K478,'Janeiro 2023 - Valor Real'!A3:A15,'Janeiro 2023 - Valor Real'!C3:C15,0))+1)/((((L478/(L478-1)-1)*(1-_xlfn.XLOOKUP(K478,'Janeiro 2023 - Valor Real'!A3:A15,'Janeiro 2023 - Valor Real'!C3:C15,0))+1))+((L479-1)*(1-_xlfn.XLOOKUP(K479,'Janeiro 2023 - Valor Real'!A3:A15,'Janeiro 2023 - Valor Real'!C3:C15,0))+1)),((L478-1)*(1-_xlfn.XLOOKUP(K478,'Janeiro 2023 - Valor Real'!A3:A15,'Janeiro 2023 - Valor Real'!C3:C15,0))+1)/(((L478-1)*(1-_xlfn.XLOOKUP(K478,'Janeiro 2023 - Valor Real'!A3:A15,'Janeiro 2023 - Valor Real'!C3:C15,0))+1)+((L479-1)*(1-_xlfn.XLOOKUP(K479,'Janeiro 2023 - Valor Real'!A3:A15,'Janeiro 2023 - Valor Real'!C3:C15,0))+1))))))</f>
        <v>0.537938844847112</v>
      </c>
      <c r="AF479" s="132">
        <f>IF($K479=AF$3,ROUND(IF(OR($C479="W",$C479="1/2W",$C479="1/2L"),$P479-$O479,IF($C479="X",0,-$O479)),2),0)</f>
        <v>0</v>
      </c>
      <c r="AG479" s="133">
        <f>IF($K479=AG$3,ROUND(IF(OR($C479="W",$C479="1/2W",$C479="1/2L"),$P479-$O479,IF($C479="X",0,-$O479)),2),0)</f>
        <v>0</v>
      </c>
      <c r="AH479" s="133">
        <f>IF($K479=AH$3,ROUND(IF(OR($C479="W",$C479="1/2W",$C479="1/2L"),$P479-$O479,IF($C479="X",0,-$O479)),2),0)</f>
        <v>0</v>
      </c>
      <c r="AI479" s="133">
        <f>IF($K479=AI$3,ROUND(IF(OR($C479="W",$C479="1/2W",$C479="1/2L"),$P479-$O479,IF($C479="X",0,-$O479)),2),0)</f>
        <v>0</v>
      </c>
      <c r="AJ479" s="133">
        <f>IF($K479=AJ$3,ROUND(IF(OR($C479="W",$C479="1/2W",$C479="1/2L"),$P479-$O479,IF($C479="X",0,-$O479)),2),0)</f>
        <v>0</v>
      </c>
      <c r="AK479" s="133">
        <f>IF($K479=AK$3,ROUND(IF(OR($C479="W",$C479="1/2W",$C479="1/2L"),$P479-$O479,IF($C479="X",0,-$O479)),2),0)</f>
        <v>0</v>
      </c>
      <c r="AL479" s="133">
        <f>IF($K479=AL$3,ROUND(IF(OR($C479="W",$C479="1/2W",$C479="1/2L"),$P479-$O479,IF($C479="X",0,-$O479)),2),0)</f>
        <v>0</v>
      </c>
      <c r="AM479" s="133">
        <f>IF($K479=AM$3,ROUND(IF(OR($C479="W",$C479="1/2W",$C479="1/2L"),$P479-$O479,IF($C479="X",0,-$O479)),2),0)</f>
        <v>0</v>
      </c>
      <c r="AN479" s="133">
        <f>IF($K479=AN$3,ROUND(IF(OR($C479="W",$C479="1/2W",$C479="1/2L"),$P479-$O479,IF($C479="X",0,-$O479)),2),0)</f>
        <v>0</v>
      </c>
      <c r="AO479" s="133">
        <f>IF($K479=AO$3,ROUND(IF(OR($C479="W",$C479="1/2W",$C479="1/2L"),$P479-$O479,IF($C479="X",0,-$O479)),2),0)</f>
        <v>0</v>
      </c>
      <c r="AP479" s="133">
        <f>IF($K479=AP$3,ROUND(IF(OR($C479="W",$C479="1/2W",$C479="1/2L"),$P479-$O479,IF($C479="X",0,-$O479)),2),0)</f>
        <v>0</v>
      </c>
      <c r="AQ479" s="133">
        <f>IF($K479=AQ$3,ROUND(IF(OR($C479="W",$C479="1/2W",$C479="1/2L"),$P479-$O479,IF($C479="X",0,-$O479)),2),0)</f>
        <v>26.42</v>
      </c>
      <c r="AR479" s="134">
        <f>IF($K479=AR$3,ROUND(IF(OR($C479="W",$C479="1/2W",$C479="1/2L"),$P479-$O479,IF($C479="X",0,-$O479)),2),0)</f>
        <v>0</v>
      </c>
      <c r="AS479" s="132">
        <f>IF(AND($B478=" ",$K479=AS$3),$O479,0)</f>
        <v>0</v>
      </c>
      <c r="AT479" s="133">
        <f>IF(AND($B478=" ",K479=AT$3),$O479,0)</f>
        <v>0</v>
      </c>
      <c r="AU479" s="133">
        <f>IF(AND($B478=" ",$K479=AU$3),$O479,0)</f>
        <v>0</v>
      </c>
      <c r="AV479" s="133">
        <f>IF(AND($B478=" ",$K479=AV$3),$O479,0)</f>
        <v>0</v>
      </c>
      <c r="AW479" s="133">
        <f>IF(AND($B478=" ",$K479=AW$3),$O479,0)</f>
        <v>0</v>
      </c>
      <c r="AX479" s="133">
        <f>IF(AND($B478=" ",$K479=AX$3),$O479,0)</f>
        <v>0</v>
      </c>
      <c r="AY479" s="135">
        <f>IF(AND($B478=" ",$K479=AY$3),$O479,0)</f>
        <v>0</v>
      </c>
      <c r="AZ479" s="136">
        <f>IF(AND($B478=" ",$K479=AZ$3),$O479,0)</f>
        <v>0</v>
      </c>
      <c r="BA479" s="136">
        <f>IF(AND($B478=" ",$K479=BA$3),$O479,0)</f>
        <v>0</v>
      </c>
      <c r="BB479" s="136">
        <f>IF(AND($B478=" ",$K479=BB$3),$O479,0)</f>
        <v>0</v>
      </c>
      <c r="BC479" s="137">
        <f>IF(AND($B478=" ",$K479=BC$3),$O479,0)</f>
        <v>0</v>
      </c>
      <c r="BD479" s="133">
        <f>IF(AND($B478=" ",$K479=BD$3),$O479,0)</f>
        <v>0</v>
      </c>
      <c r="BE479" s="134">
        <f>IF(AND($B478=" ",$K479=BE$3),$O479,0)</f>
        <v>0</v>
      </c>
      <c r="BF479" s="132">
        <f>IF($K479=BF$3,IF($C479="X",0,$O479),0)</f>
        <v>0</v>
      </c>
      <c r="BG479" s="281">
        <f>IF($K479=BG$3,IF($C479="X",0,$O479),0)</f>
        <v>0</v>
      </c>
      <c r="BH479" s="133">
        <f>IF($K479=BH$3,IF($C479="X",0,$O479),0)</f>
        <v>0</v>
      </c>
      <c r="BI479" s="133">
        <f>IF($K479=BI$3,IF($C479="X",0,$O479),0)</f>
        <v>0</v>
      </c>
      <c r="BJ479" s="133">
        <f>IF($K479=BJ$3,IF($C479="X",0,$O479),0)</f>
        <v>0</v>
      </c>
      <c r="BK479" s="133">
        <f>IF($K479=BK$3,IF($C479="X",0,$O479),0)</f>
        <v>0</v>
      </c>
      <c r="BL479" s="133">
        <f>IF($K479=BL$3,IF($C479="X",0,$O479),0)</f>
        <v>0</v>
      </c>
      <c r="BM479" s="135">
        <f>IF($K479=BM$3,IF($C479="X",0,$O479),0)</f>
        <v>0</v>
      </c>
      <c r="BN479" s="136">
        <f>IF($K479=BN$3,IF($C479="X",0,$O479),0)</f>
        <v>0</v>
      </c>
      <c r="BO479" s="136">
        <f>IF($K479=BO$3,IF($C479="X",0,$O479),0)</f>
        <v>0</v>
      </c>
      <c r="BP479" s="136">
        <f>IF($K479=BP$3,IF($C479="X",0,$O479),0)</f>
        <v>0</v>
      </c>
      <c r="BQ479" s="137">
        <f>IF($K479=BQ$3,IF($C479="X",0,$O479),0)</f>
        <v>25.4</v>
      </c>
      <c r="BR479" s="134">
        <f>IF($K479=BR$3,IF($C479="X",0,$O479),0)</f>
        <v>0</v>
      </c>
      <c r="BS479" s="282"/>
      <c r="BT479" s="283"/>
      <c r="BU479" s="140"/>
      <c r="BV479" s="283"/>
      <c r="BW479" s="140"/>
      <c r="BX479" s="140"/>
      <c r="BY479" s="140"/>
      <c r="BZ479" s="283"/>
      <c r="CA479" s="140"/>
      <c r="CB479" s="140"/>
      <c r="CC479" s="140"/>
      <c r="CD479" s="141"/>
      <c r="CE479" s="142"/>
      <c r="CF479" s="284">
        <f>IF(CF$3=$K479,IF($C479="W",1,IF($C479="1/2W",0.5,0)),0)</f>
        <v>0</v>
      </c>
      <c r="CG479" s="285">
        <f>IF(CF$3=$K479,IF($C479="L",1,IF($C479="1/2L",0.5,0)),0)</f>
        <v>0</v>
      </c>
      <c r="CH479" s="285">
        <f>IF(CH$3=$K479,IF($C479="W",1,IF($C479="1/2W",0.5,0)),0)</f>
        <v>0</v>
      </c>
      <c r="CI479" s="285">
        <f>IF(CH$3=$K479,IF($C479="L",1,IF($C479="1/2L",0.5,0)),0)</f>
        <v>0</v>
      </c>
      <c r="CJ479" s="285">
        <f>IF(CJ$3=$K479,IF($C479="W",1,IF($C479="1/2W",0.5,0)),0)</f>
        <v>0</v>
      </c>
      <c r="CK479" s="285">
        <f>IF(CJ$3=$K479,IF($C479="L",1,IF($C479="1/2L",0.5,0)),0)</f>
        <v>0</v>
      </c>
      <c r="CL479" s="285">
        <f>IF(CL$3=$K479,IF($C479="W",1,IF($C479="1/2W",0.5,0)),0)</f>
        <v>0</v>
      </c>
      <c r="CM479" s="285">
        <f>IF(CL$3=$K479,IF($C479="L",1,IF($C479="1/2L",0.5,0)),0)</f>
        <v>0</v>
      </c>
      <c r="CN479" s="285">
        <f>IF(CN$3=$K479,IF($C479="W",1,IF($C479="1/2W",0.5,0)),0)</f>
        <v>0</v>
      </c>
      <c r="CO479" s="285">
        <f>IF(CN$3=$K479,IF($C479="L",1,IF($C479="1/2L",0.5,0)),0)</f>
        <v>0</v>
      </c>
      <c r="CP479" s="285">
        <f>IF(CP$3=$K479,IF($C479="W",1,IF($C479="1/2W",0.5,0)),0)</f>
        <v>0</v>
      </c>
      <c r="CQ479" s="285">
        <f>IF(CP$3=$K479,IF($C479="L",1,IF($C479="1/2L",0.5,0)),0)</f>
        <v>0</v>
      </c>
      <c r="CR479" s="285">
        <f>IF(CR$3=$K479,IF($C479="W",1,IF($C479="1/2W",0.5,0)),0)</f>
        <v>0</v>
      </c>
      <c r="CS479" s="285">
        <f>IF(CR$3=$K479,IF($C479="L",1,IF($C479="1/2L",0.5,0)),0)</f>
        <v>0</v>
      </c>
      <c r="CT479" s="145">
        <f>IF(CT$3=$K479,IF($C479="W",1,IF($C479="1/2W",0.5,0)),0)</f>
        <v>0</v>
      </c>
      <c r="CU479" s="146">
        <f>IF(CT$3=$K479,IF($C479="L",1,IF($C479="1/2L",0.5,0)),0)</f>
        <v>0</v>
      </c>
      <c r="CV479" s="146">
        <f>IF(CV$3=$K479,IF($C479="W",1,IF($C479="1/2W",0.5,0)),0)</f>
        <v>0</v>
      </c>
      <c r="CW479" s="146">
        <f>IF(CV$3=$K479,IF($C479="L",1,IF($C479="1/2L",0.5,0)),0)</f>
        <v>0</v>
      </c>
      <c r="CX479" s="146">
        <f>IF(CX$3=$K479,IF($C479="W",1,IF($C479="1/2W",0.5,0)),0)</f>
        <v>0</v>
      </c>
      <c r="CY479" s="146">
        <f>IF(CX$3=$K479,IF($C479="L",1,IF($C479="1/2L",0.5,0)),0)</f>
        <v>0</v>
      </c>
      <c r="CZ479" s="146">
        <f>IF(CZ$3=$K479,IF($C479="W",1,IF($C479="1/2W",0.5,0)),0)</f>
        <v>0</v>
      </c>
      <c r="DA479" s="146">
        <f>IF(CZ$3=$K479,IF($C479="L",1,IF($C479="1/2L",0.5,0)),0)</f>
        <v>0</v>
      </c>
      <c r="DB479" s="146">
        <f>IF(DB$3=$K479,IF($C479="W",1,IF($C479="1/2W",0.5,0)),0)</f>
        <v>1</v>
      </c>
      <c r="DC479" s="146">
        <f>IF(DB$3=$K479,IF($C479="L",1,IF($C479="1/2L",0.5,0)),0)</f>
        <v>0</v>
      </c>
      <c r="DD479" s="146">
        <f>IF(DD$3=$K479,IF($C479="W",1,IF($C479="1/2W",0.5,0)),0)</f>
        <v>0</v>
      </c>
      <c r="DE479" s="147">
        <f>IF(DD$3=$K479,IF($C479="L",1,IF($C479="1/2L",0.5,0)),0)</f>
        <v>0</v>
      </c>
      <c r="DF479" s="143">
        <f>IF(AND(L479&lt;DF$3,$C479="W"),1+DF478,DF478)</f>
        <v>16</v>
      </c>
      <c r="DG479" s="133">
        <f>IF(DF479&gt;DF478,L479+DG478,DG478)</f>
        <v>21.158</v>
      </c>
      <c r="DH479" s="146">
        <f>IF(AND(L479&gt;DH$3,$C479="W"),1+DH478,0+DH478)</f>
        <v>11</v>
      </c>
      <c r="DI479" s="133">
        <f>IF(DH479&gt;DH478,L479+DI478,DI478)</f>
        <v>59.13</v>
      </c>
      <c r="DJ479" t="s" s="304">
        <f>IF($D478="","",$D478)</f>
        <v>358</v>
      </c>
      <c r="DK479" s="286"/>
    </row>
    <row r="480" ht="14.55" customHeight="1">
      <c r="A480" s="149"/>
      <c r="B480" s="150"/>
      <c r="C480" t="s" s="151">
        <v>58</v>
      </c>
      <c r="D480" s="152"/>
      <c r="E480" s="153"/>
      <c r="F480" s="155"/>
      <c r="G480" s="252"/>
      <c r="H480" s="156"/>
      <c r="I480" s="287"/>
      <c r="J480" s="288"/>
      <c r="K480" s="156"/>
      <c r="L480" s="289"/>
      <c r="M480" s="290"/>
      <c r="N480" s="161"/>
      <c r="O480" t="s" s="162">
        <f>IF(OR(AE478="",AE479=""),"",IF(L480&gt;0,ROUND(IF(M480&gt;0,M480,IF(M478&gt;0,ROUND((M478*AE480)/AE478,IF(N478=0,2,IF(N478=0.1,1,0))),IF(M479&gt;0,ROUND((M479*AE480)/AE479,IF(N478=0,2,IF(N478=0.1,1,0))),IF(M480&gt;0,M480,0)))),2),""))</f>
      </c>
      <c r="P480" t="s" s="163">
        <f>IF(I479="Lay",O479*(L479/(L479-1))-O479,IF(I478="Lay",O478*(L478/(L478-1))-O478,IF(OR(L480="",O480=""),"",IF($C480="1/2W",O480/2+O480/2*L480,IF($C480="1/2L",O480/2,(O480*L480-O480)*(1-_xlfn.XLOOKUP(K480,'Janeiro 2023 - Valor Real'!A3:A15,'Janeiro 2023 - Valor Real'!C3:C15,0))+O480)))))</f>
      </c>
      <c r="Q480" t="s" s="154">
        <f>IF(K480="","",IF(_xlfn.XLOOKUP(K480,K$121:K259,DJ$121:DJ259,0,,-1)=DJ480,_xlfn.XLOOKUP(K480,K$121:K259,Q$121:Q259,1,,-1)+1,1))</f>
      </c>
      <c r="R480" t="s" s="163">
        <f>IF(K480="","",_xlfn.XLOOKUP(K480,K$121:K259,R$121:R259,0,,-1)+IF($C480=" ",1,0))</f>
      </c>
      <c r="S480" s="166"/>
      <c r="T480" s="155"/>
      <c r="U480" s="155"/>
      <c r="V480" s="166"/>
      <c r="W480" s="155"/>
      <c r="X480" s="167"/>
      <c r="Y480" s="128"/>
      <c r="Z480" s="129"/>
      <c r="AA480" s="129"/>
      <c r="AB480" s="129"/>
      <c r="AC480" s="129"/>
      <c r="AD480" s="168"/>
      <c r="AE480" t="s" s="169">
        <f>IF(L480="","",(SUM(((L478-1)*(1-_xlfn.XLOOKUP(K478,'Janeiro 2023 - Valor Real'!A3:A15,'Janeiro 2023 - Valor Real'!C3:C15,0))+1),((L479-1)*(1-_xlfn.XLOOKUP(K479,'Janeiro 2023 - Valor Real'!A3:A15,'Janeiro 2023 - Valor Real'!C3:C15,0))+1),((L480-1)*(1-_xlfn.XLOOKUP(K480,'Janeiro 2023 - Valor Real'!A3:A15,'Janeiro 2023 - Valor Real'!C3:C15,0))+1))/((L480-1)*(1-_xlfn.XLOOKUP(K480,'Janeiro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Real'!C3:C15,0))+1))/((L478-1)*(1-_xlfn.XLOOKUP(K478,'Janeiro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Real'!C3:C15,0))+1))/((L479-1)*(1-_xlfn.XLOOKUP(K479,'Janeiro 2023 - Valor Real'!A3:A15,'Janeiro 2023 - Valor Real'!C3:C15,0))+1)+SUM(((L478-1)*(1-_xlfn.XLOOKUP(K478,'Janeiro 2023 - Valor Real'!A3:A15,'Janeiro 2023 - Valor Real'!C3:C15,0))+1),((L479-1)*(1-_xlfn.XLOOKUP(K479,'Janeiro 2023 - Valor Real'!A3:A15,'Janeiro 2023 - Valor Real'!C3:C15,0))+1),((L480-1)*(1-_xlfn.XLOOKUP(K480,'Janeiro 2023 - Valor Real'!A3:A15,'Janeiro 2023 - Valor Real'!C3:C15,0))+1))/((L480-1)*(1-_xlfn.XLOOKUP(K480,'Janeiro 2023 - Valor Real'!A3:A15,'Janeiro 2023 - Valor Real'!C3:C15,0))+1)))</f>
      </c>
      <c r="AF480" s="132">
        <f>IF($K480=AF$3,ROUND(IF(OR($C480="W",$C480="1/2W",$C480="1/2L"),$P480-$O480,IF($C480="X",0,-$O480)),2),0)</f>
        <v>0</v>
      </c>
      <c r="AG480" s="133">
        <f>IF($K480=AG$3,ROUND(IF(OR($C480="W",$C480="1/2W",$C480="1/2L"),$P480-$O480,IF($C480="X",0,-$O480)),2),0)</f>
        <v>0</v>
      </c>
      <c r="AH480" s="133">
        <f>IF($K480=AH$3,ROUND(IF(OR($C480="W",$C480="1/2W",$C480="1/2L"),$P480-$O480,IF($C480="X",0,-$O480)),2),0)</f>
        <v>0</v>
      </c>
      <c r="AI480" s="133">
        <f>IF($K480=AI$3,ROUND(IF(OR($C480="W",$C480="1/2W",$C480="1/2L"),$P480-$O480,IF($C480="X",0,-$O480)),2),0)</f>
        <v>0</v>
      </c>
      <c r="AJ480" s="133">
        <f>IF($K480=AJ$3,ROUND(IF(OR($C480="W",$C480="1/2W",$C480="1/2L"),$P480-$O480,IF($C480="X",0,-$O480)),2),0)</f>
        <v>0</v>
      </c>
      <c r="AK480" s="133">
        <f>IF($K480=AK$3,ROUND(IF(OR($C480="W",$C480="1/2W",$C480="1/2L"),$P480-$O480,IF($C480="X",0,-$O480)),2),0)</f>
        <v>0</v>
      </c>
      <c r="AL480" s="133">
        <f>IF($K480=AL$3,ROUND(IF(OR($C480="W",$C480="1/2W",$C480="1/2L"),$P480-$O480,IF($C480="X",0,-$O480)),2),0)</f>
        <v>0</v>
      </c>
      <c r="AM480" s="133">
        <f>IF($K480=AM$3,ROUND(IF(OR($C480="W",$C480="1/2W",$C480="1/2L"),$P480-$O480,IF($C480="X",0,-$O480)),2),0)</f>
        <v>0</v>
      </c>
      <c r="AN480" s="133">
        <f>IF($K480=AN$3,ROUND(IF(OR($C480="W",$C480="1/2W",$C480="1/2L"),$P480-$O480,IF($C480="X",0,-$O480)),2),0)</f>
        <v>0</v>
      </c>
      <c r="AO480" s="133">
        <f>IF($K480=AO$3,ROUND(IF(OR($C480="W",$C480="1/2W",$C480="1/2L"),$P480-$O480,IF($C480="X",0,-$O480)),2),0)</f>
        <v>0</v>
      </c>
      <c r="AP480" s="133">
        <f>IF($K480=AP$3,ROUND(IF(OR($C480="W",$C480="1/2W",$C480="1/2L"),$P480-$O480,IF($C480="X",0,-$O480)),2),0)</f>
        <v>0</v>
      </c>
      <c r="AQ480" s="133">
        <f>IF($K480=AQ$3,ROUND(IF(OR($C480="W",$C480="1/2W",$C480="1/2L"),$P480-$O480,IF($C480="X",0,-$O480)),2),0)</f>
        <v>0</v>
      </c>
      <c r="AR480" s="134">
        <f>IF($K480=AR$3,ROUND(IF(OR($C480="W",$C480="1/2W",$C480="1/2L"),$P480-$O480,IF($C480="X",0,-$O480)),2),0)</f>
        <v>0</v>
      </c>
      <c r="AS480" s="132">
        <f>IF(AND($B478=" ",$K480=AS$3),$O480,0)</f>
        <v>0</v>
      </c>
      <c r="AT480" s="133">
        <f>IF(AND($B478=" ",K480=AT$3),$O480,0)</f>
        <v>0</v>
      </c>
      <c r="AU480" s="133">
        <f>IF(AND($B478=" ",$K480=AU$3),$O480,0)</f>
        <v>0</v>
      </c>
      <c r="AV480" s="133">
        <f>IF(AND($B478=" ",$K480=AV$3),$O480,0)</f>
        <v>0</v>
      </c>
      <c r="AW480" s="133">
        <f>IF(AND($B478=" ",$K480=AW$3),$O480,0)</f>
        <v>0</v>
      </c>
      <c r="AX480" s="133">
        <f>IF(AND($B478=" ",$K480=AX$3),$O480,0)</f>
        <v>0</v>
      </c>
      <c r="AY480" s="135">
        <f>IF(AND($B478=" ",$K480=AY$3),$O480,0)</f>
        <v>0</v>
      </c>
      <c r="AZ480" s="136">
        <f>IF(AND($B478=" ",$K480=AZ$3),$O480,0)</f>
        <v>0</v>
      </c>
      <c r="BA480" s="136">
        <f>IF(AND($B478=" ",$K480=BA$3),$O480,0)</f>
        <v>0</v>
      </c>
      <c r="BB480" s="136">
        <f>IF(AND($B478=" ",$K480=BB$3),$O480,0)</f>
        <v>0</v>
      </c>
      <c r="BC480" s="137">
        <f>IF(AND($B478=" ",$K480=BC$3),$O480,0)</f>
        <v>0</v>
      </c>
      <c r="BD480" s="133">
        <f>IF(AND($B478=" ",$K480=BD$3),$O480,0)</f>
        <v>0</v>
      </c>
      <c r="BE480" s="134">
        <f>IF(AND($B478=" ",$K480=BE$3),$O480,0)</f>
        <v>0</v>
      </c>
      <c r="BF480" s="132">
        <f>IF($K480=BF$3,IF($C480="X",0,$O480),0)</f>
        <v>0</v>
      </c>
      <c r="BG480" s="281">
        <f>IF($K480=BG$3,IF($C480="X",0,$O480),0)</f>
        <v>0</v>
      </c>
      <c r="BH480" s="133">
        <f>IF($K480=BH$3,IF($C480="X",0,$O480),0)</f>
        <v>0</v>
      </c>
      <c r="BI480" s="133">
        <f>IF($K480=BI$3,IF($C480="X",0,$O480),0)</f>
        <v>0</v>
      </c>
      <c r="BJ480" s="133">
        <f>IF($K480=BJ$3,IF($C480="X",0,$O480),0)</f>
        <v>0</v>
      </c>
      <c r="BK480" s="133">
        <f>IF($K480=BK$3,IF($C480="X",0,$O480),0)</f>
        <v>0</v>
      </c>
      <c r="BL480" s="133">
        <f>IF($K480=BL$3,IF($C480="X",0,$O480),0)</f>
        <v>0</v>
      </c>
      <c r="BM480" s="135">
        <f>IF($K480=BM$3,IF($C480="X",0,$O480),0)</f>
        <v>0</v>
      </c>
      <c r="BN480" s="136">
        <f>IF($K480=BN$3,IF($C480="X",0,$O480),0)</f>
        <v>0</v>
      </c>
      <c r="BO480" s="136">
        <f>IF($K480=BO$3,IF($C480="X",0,$O480),0)</f>
        <v>0</v>
      </c>
      <c r="BP480" s="136">
        <f>IF($K480=BP$3,IF($C480="X",0,$O480),0)</f>
        <v>0</v>
      </c>
      <c r="BQ480" s="137">
        <f>IF($K480=BQ$3,IF($C480="X",0,$O480),0)</f>
        <v>0</v>
      </c>
      <c r="BR480" s="134">
        <f>IF($K480=BR$3,IF($C480="X",0,$O480),0)</f>
        <v>0</v>
      </c>
      <c r="BS480" s="282"/>
      <c r="BT480" s="283"/>
      <c r="BU480" s="140"/>
      <c r="BV480" s="283"/>
      <c r="BW480" s="140"/>
      <c r="BX480" s="140"/>
      <c r="BY480" s="140"/>
      <c r="BZ480" s="283"/>
      <c r="CA480" s="140"/>
      <c r="CB480" s="140"/>
      <c r="CC480" s="140"/>
      <c r="CD480" s="141"/>
      <c r="CE480" s="142"/>
      <c r="CF480" s="284">
        <f>IF(CF$3=$K480,IF($C480="W",1,IF($C480="1/2W",0.5,0)),0)</f>
        <v>0</v>
      </c>
      <c r="CG480" s="285">
        <f>IF(CF$3=$K480,IF($C480="L",1,IF($C480="1/2L",0.5,0)),0)</f>
        <v>0</v>
      </c>
      <c r="CH480" s="285">
        <f>IF(CH$3=$K480,IF($C480="W",1,IF($C480="1/2W",0.5,0)),0)</f>
        <v>0</v>
      </c>
      <c r="CI480" s="285">
        <f>IF(CH$3=$K480,IF($C480="L",1,IF($C480="1/2L",0.5,0)),0)</f>
        <v>0</v>
      </c>
      <c r="CJ480" s="285">
        <f>IF(CJ$3=$K480,IF($C480="W",1,IF($C480="1/2W",0.5,0)),0)</f>
        <v>0</v>
      </c>
      <c r="CK480" s="285">
        <f>IF(CJ$3=$K480,IF($C480="L",1,IF($C480="1/2L",0.5,0)),0)</f>
        <v>0</v>
      </c>
      <c r="CL480" s="285">
        <f>IF(CL$3=$K480,IF($C480="W",1,IF($C480="1/2W",0.5,0)),0)</f>
        <v>0</v>
      </c>
      <c r="CM480" s="285">
        <f>IF(CL$3=$K480,IF($C480="L",1,IF($C480="1/2L",0.5,0)),0)</f>
        <v>0</v>
      </c>
      <c r="CN480" s="285">
        <f>IF(CN$3=$K480,IF($C480="W",1,IF($C480="1/2W",0.5,0)),0)</f>
        <v>0</v>
      </c>
      <c r="CO480" s="285">
        <f>IF(CN$3=$K480,IF($C480="L",1,IF($C480="1/2L",0.5,0)),0)</f>
        <v>0</v>
      </c>
      <c r="CP480" s="285">
        <f>IF(CP$3=$K480,IF($C480="W",1,IF($C480="1/2W",0.5,0)),0)</f>
        <v>0</v>
      </c>
      <c r="CQ480" s="285">
        <f>IF(CP$3=$K480,IF($C480="L",1,IF($C480="1/2L",0.5,0)),0)</f>
        <v>0</v>
      </c>
      <c r="CR480" s="285">
        <f>IF(CR$3=$K480,IF($C480="W",1,IF($C480="1/2W",0.5,0)),0)</f>
        <v>0</v>
      </c>
      <c r="CS480" s="285">
        <f>IF(CR$3=$K480,IF($C480="L",1,IF($C480="1/2L",0.5,0)),0)</f>
        <v>0</v>
      </c>
      <c r="CT480" s="145">
        <f>IF(CT$3=$K480,IF($C480="W",1,IF($C480="1/2W",0.5,0)),0)</f>
        <v>0</v>
      </c>
      <c r="CU480" s="146">
        <f>IF(CT$3=$K480,IF($C480="L",1,IF($C480="1/2L",0.5,0)),0)</f>
        <v>0</v>
      </c>
      <c r="CV480" s="146">
        <f>IF(CV$3=$K480,IF($C480="W",1,IF($C480="1/2W",0.5,0)),0)</f>
        <v>0</v>
      </c>
      <c r="CW480" s="146">
        <f>IF(CV$3=$K480,IF($C480="L",1,IF($C480="1/2L",0.5,0)),0)</f>
        <v>0</v>
      </c>
      <c r="CX480" s="146">
        <f>IF(CX$3=$K480,IF($C480="W",1,IF($C480="1/2W",0.5,0)),0)</f>
        <v>0</v>
      </c>
      <c r="CY480" s="146">
        <f>IF(CX$3=$K480,IF($C480="L",1,IF($C480="1/2L",0.5,0)),0)</f>
        <v>0</v>
      </c>
      <c r="CZ480" s="146">
        <f>IF(CZ$3=$K480,IF($C480="W",1,IF($C480="1/2W",0.5,0)),0)</f>
        <v>0</v>
      </c>
      <c r="DA480" s="146">
        <f>IF(CZ$3=$K480,IF($C480="L",1,IF($C480="1/2L",0.5,0)),0)</f>
        <v>0</v>
      </c>
      <c r="DB480" s="146">
        <f>IF(DB$3=$K480,IF($C480="W",1,IF($C480="1/2W",0.5,0)),0)</f>
        <v>0</v>
      </c>
      <c r="DC480" s="146">
        <f>IF(DB$3=$K480,IF($C480="L",1,IF($C480="1/2L",0.5,0)),0)</f>
        <v>0</v>
      </c>
      <c r="DD480" s="146">
        <f>IF(DD$3=$K480,IF($C480="W",1,IF($C480="1/2W",0.5,0)),0)</f>
        <v>0</v>
      </c>
      <c r="DE480" s="147">
        <f>IF(DD$3=$K480,IF($C480="L",1,IF($C480="1/2L",0.5,0)),0)</f>
        <v>0</v>
      </c>
      <c r="DF480" s="143">
        <f>IF(AND(L480&lt;DF$3,$C480="W"),1+DF479,DF479)</f>
        <v>16</v>
      </c>
      <c r="DG480" s="133">
        <f>IF(DF480&gt;DF479,L480+DG479,DG479)</f>
        <v>21.158</v>
      </c>
      <c r="DH480" s="146">
        <f>IF(AND(L480&gt;DH$3,$C480="W"),1+DH479,0+DH479)</f>
        <v>11</v>
      </c>
      <c r="DI480" s="133">
        <f>IF(DH480&gt;DH479,L480+DI479,DI479)</f>
        <v>59.13</v>
      </c>
      <c r="DJ480" t="s" s="304">
        <f>IF($D478="","",$D478)</f>
        <v>358</v>
      </c>
      <c r="DK480" s="286"/>
    </row>
    <row r="481" ht="14.55" customHeight="1">
      <c r="A481" s="171">
        <f>$A478+1</f>
        <v>160</v>
      </c>
      <c r="B481" t="s" s="172">
        <f>IF(AND(_xlfn.XLOOKUP(H481,H$122:H254,G$122:G254,0)=G481,_xlfn.XLOOKUP("TempoBet",K481:K483,L481:L483,0)&gt;0),"X",IF(OR(C481="W",C482="W",C483="W",C481="1/2W",C482="1/2W",C483="1/2W",C481="1/2L",C482="1/2L",C483="1/2L"),"OK",IF(OR(C481="L",C482="L",C483="L"),"LOSS",IF(OR(C481="X",C482="X",C483="X"),"Anulado"," "))))</f>
        <v>50</v>
      </c>
      <c r="C481" t="s" s="173">
        <v>51</v>
      </c>
      <c r="D481" t="s" s="305">
        <f>IF(G481="","",$D478)</f>
        <v>358</v>
      </c>
      <c r="E481" t="s" s="175">
        <f>IF(G481=""," ","– "&amp;COUNTIF(D$4:D483,$D481))</f>
        <v>133</v>
      </c>
      <c r="F481" t="s" s="176"/>
      <c r="G481" s="177">
        <v>44951.375</v>
      </c>
      <c r="H481" t="s" s="178">
        <v>377</v>
      </c>
      <c r="I481" t="s" s="179">
        <v>65</v>
      </c>
      <c r="J481" s="291">
        <v>2.75</v>
      </c>
      <c r="K481" t="s" s="181">
        <v>48</v>
      </c>
      <c r="L481" s="182">
        <v>2.28</v>
      </c>
      <c r="M481" s="183">
        <v>10.32</v>
      </c>
      <c r="N481" s="184">
        <v>0</v>
      </c>
      <c r="O481" s="185">
        <f>IF(OR(AE481="",AE482=""),"",ROUND(IF(L483&gt;0,IF(M481&gt;0,M481,IF(M482&gt;0,ROUND((M482*AE481)/AE482,IF(N481=0,2,IF(N481=0.1,1,0))),ROUND((M483*AE481)/AE483,IF(N481=0,2,IF(N481=0.1,1,0))))),IF(M481&gt;0,M481,ROUND((M482*AE481)/AE482,IF(N481=0,2,IF(N481=0.1,1,0))))),2))</f>
        <v>10.32</v>
      </c>
      <c r="P481" s="186">
        <f>IF(OR(L481="",O481=""),"",IF($C481="1/2W",O481/2+O481/2*L481,IF($C481="1/2L",O481/2,IF(I481="Lay",(O481*(L481/(L481-1))-O481)*(1-_xlfn.XLOOKUP(K481,'Janeiro 2023 - Valor Real'!A3:A15,'Janeiro 2023 - Valor Real'!C3:C15,0))+O481,(O481*L481-O481)*(1-_xlfn.XLOOKUP(K481,'Janeiro 2023 - Valor Real'!A3:A15,'Janeiro 2023 - Valor Real'!C3:C15,0))+O481))))</f>
        <v>23.5296</v>
      </c>
      <c r="Q481" s="187">
        <f>IF(K481="","",IF(_xlfn.XLOOKUP(K481,K$122:K254,DJ$122:DJ254,0,,-1)=DJ481,_xlfn.XLOOKUP(K481,K$122:K254,Q$122:Q254,1,,-1)+1,1))</f>
        <v>1</v>
      </c>
      <c r="R481" s="188">
        <f>IF(K481="","",_xlfn.XLOOKUP(K481,K$122:K254,R$122:R254,0,,-1)+IF($C481=" ",1,0))</f>
        <v>0</v>
      </c>
      <c r="S481" s="189">
        <f>IF($B481="Anulado",0,ROUND(IF(OR($B481="LOSS",$B481="OK"),IF(OR($C481="W",$C481="1/2W",$C481="1/2L"),P481-O481,IF($C481="L",-O481,0))+IF(OR($C482="W",$C482="1/2W",$C482="1/2L"),P482-O482,IF($C482="L",-O482,0))+IF(OR($C483="W",$C483="1/2W",$C483="1/2L"),P483-O483,IF($C483="L",-O483,0)),IF(AND(OR($C481="W",$C481="1/2W",$C481="1/2L"),C482="W"),P481+P482-SUM(O481:O483)+_xlfn.XLOOKUP("X",C481:C483,O481:O483,0),IF(AND(C481=TRUE,C483="W"),P481+P483-SUM(O481:O483),IF(AND(C482="W",C483="W"),P482+P483-SUM(O481:O483)+_xlfn.XLOOKUP("X",C481:C483,O481:O483,0),IF(L483&gt;0,IF(OR($C481="W",$C481="1/2W",$C481="1/2L"),P481-SUM(O481:O483)+_xlfn.XLOOKUP("X",C481:C483,O481:O483,0),IF(OR($C481="W",$C481="1/2W",$C481="1/2L"),P482-SUM(O481:O483)+_xlfn.XLOOKUP("X",C481:C483,O481:O483,0),IF(OR($C481="W",$C481="1/2W",$C481="1/2L"),P483-SUM(O481:O483)+_xlfn.XLOOKUP("X",C481:C483,O481:O483,0),IF(SUM(P481:P483)/3-SUM(O481:O483)+_xlfn.XLOOKUP("X",C481:C483,O481:O483,0)&gt;0,SUM(P481:P483)/3-SUM(O481:O483)+_xlfn.XLOOKUP("X",C481:C483,O481:O483,0),LARGE(P481:P483,1)-SUM(O481:O483))))),IF(OR($C481="W",$C481="1/2W",$C481="1/2L"),P481-SUM(O481:O482)+_xlfn.XLOOKUP("X",C481:C483,O481:O483,0),IF(OR($C481="W",$C481="1/2W",$C481="1/2L"),P482-SUM(O481:O482)+_xlfn.XLOOKUP("X",C481:C483,O481:O483,0),SUM(P481:P482)/2-SUM(O481:O482)+_xlfn.XLOOKUP("X",C481:C483,O481:O483,0)))))))),2))</f>
        <v>0.98</v>
      </c>
      <c r="T481" s="190">
        <f>IF(S481=0,0,S481/SUM(O481:O483))</f>
        <v>0.0434782608695652</v>
      </c>
      <c r="U481" s="191">
        <f>IF($D481=$D478,IF(OR($B481="LOSS",$B481="OK",$B481="Anulada"),S481,0)+U478,IF(OR($B481="LOSS",$B481="OK",$B481="Anulada"),S481,0))</f>
        <v>18.83</v>
      </c>
      <c r="V481" s="191">
        <f>IF($D481="",0,IF($D481=$D478,IF($B481=" ",IF(I483="",IF(OR(AND(I481="DNB1",I482="DNB2"),AND(OR(I481="DNB1",I481="DNB2"),J482=0),AND(OR(I482="DNB1",I482="DNB2"),J481=0),AND(I481="DNB2",I482="DNB1"),AND(IF(J481=0,(J481+1)/ROUND(J481+1,0),J481/ROUND(J481,0))=1,IF(J482=0,(J482+1)/ROUND(IF(J482="",0,J482)+1,0),IF(J482="",0,J482)/ROUND(IF(J482="",1,J482),0))=1,OR(J481&lt;&gt;""),J482&lt;&gt;"")),0,IF(S481&lt;0,IF(I483="",SMALL(P481:P482,1)-SUM(O481:O482),0),SMALL(P481:P482,1)-SUM(O481:O482))),IF(S481&lt;0,IF(I483="",SMALL(P481:P483,1)-SUM(O481:O483),0),LARGE(P481:P483,1)-SUM(O481:O483))),S481)+V478,IF(I483="",IF(OR(AND(I481="DNB1",I482="DNB2"),AND(OR(I481="DNB1",I481="DNB2"),J482=0),AND(OR(I482="DNB1",I482="DNB2"),J481=0),AND(I481="DNB2",I482="DNB1"),AND(IF(J481=0,(J481+1)/ROUND(J481+1,0),J481/ROUND(J481,0))=1,IF(J482=0,(IF(J482="",0,J482)+1)/ROUND(IF(J482="",0,J482)+1,0),IF(J482="",0,J482)/ROUND(IF(J482="",0,J482)+1,0))=1,OR(J481&lt;&gt;""),J482&lt;&gt;"")),0,IF(S481&lt;0,IF(I483="",SMALL(P481:P482,1)-SUM(O481:O482),0),SMALL(P481:P483,1)-SUM(O481:O483))),IF(S481&lt;0,IF(I483="",SMALL(P481:P483,1)-SUM(O481:O483),0),LARGE(P481:P483,1)-SUM(O481:O483)))))</f>
        <v>18.83</v>
      </c>
      <c r="W481" s="191">
        <f>IF($D481=$D478,IF(S481&lt;0,IF(I483="",S481,0),S481)+W478,S481)</f>
        <v>18.83</v>
      </c>
      <c r="X481" t="s" s="192">
        <f>IF(OR(SUM(R481:R483)=0,V481=W481),ROUND(IF(W481=0,0,W481/Y481)*100,2)&amp;"%",ROUND(IF(V481=0,0,V481/Y481)*100,2)&amp;"% a "&amp;ROUND(IF(W481=0,0,W481/Y481)*100,2)&amp;"%")</f>
        <v>378</v>
      </c>
      <c r="Y481" s="193">
        <f>IF($D481=$D478,Y478+SUM(O481:O483),SUM(O481:O483))</f>
        <v>330.52</v>
      </c>
      <c r="Z481" s="191">
        <f>IF($B481=" ",SUM(O481:O483),0)+Z478</f>
        <v>0</v>
      </c>
      <c r="AA481" s="191">
        <f>IF(G481="","",IF($B481="Anulado",LARGE(P481:P483,1)-SUM(O481:O483)+AA478,AA478))</f>
        <v>22.2257</v>
      </c>
      <c r="AB481" s="191">
        <f>IF($D481="","",AB478+S481)</f>
        <v>326.68</v>
      </c>
      <c r="AC481" s="194">
        <f>IF($D481="","",IF($B481=" ",IF(DAY(G481)=DAY(TODAY()),1+AC478,0+AC478),0+AC478))</f>
        <v>0</v>
      </c>
      <c r="AD481" s="195">
        <f>(((L482/(L482-1)-1)*(1-_xlfn.XLOOKUP(K482,'Janeiro 2023 - Valor Real'!A3:A15,'Janeiro 2023 - Valor Real'!C3:C15,0))+1))/(((L481-1)*(1-_xlfn.XLOOKUP(K481,'Janeiro 2023 - Valor Real'!A3:A15,'Janeiro 2023 - Valor Real'!C3:C15,0))+1)+((L482/(L482-1)-1)*(1-_xlfn.XLOOKUP(K482,'Janeiro 2023 - Valor Real'!A3:A15,'Janeiro 2023 - Valor Real'!C3:C15,0))+1))</f>
        <v>0.477193852255825</v>
      </c>
      <c r="AE481" s="196">
        <f>IF(L481="","",IF(L483&gt;0,(SUM(((L481-1)*(1-_xlfn.XLOOKUP(K481,'Janeiro 2023 - Valor Real'!A3:A15,'Janeiro 2023 - Valor Real'!C3:C15,0))+1),((L482-1)*(1-_xlfn.XLOOKUP(K482,'Janeiro 2023 - Valor Real'!A3:A15,'Janeiro 2023 - Valor Real'!C3:C15,0))+1),((L483-1)*(1-_xlfn.XLOOKUP(K483,'Janeiro 2023 - Valor Real'!A3:A15,'Janeiro 2023 - Valor Real'!C3:C15,0))+1))/((L481-1)*(1-_xlfn.XLOOKUP(K481,'Janeiro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Real'!C3:C15,0))+1))/((L481-1)*(1-_xlfn.XLOOKUP(K481,'Janeiro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Real'!C3:C15,0))+1))/((L482-1)*(1-_xlfn.XLOOKUP(K482,'Janeiro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Real'!C3:C15,0))+1))/((L483-1)*(1-_xlfn.XLOOKUP(K483,'Janeiro 2023 - Valor Real'!A3:A15,'Janeiro 2023 - Valor Real'!C3:C15,0))+1)),IF(I481="Lay",IF(I482="Lay",((L482/(L482-1)-1)*(1-_xlfn.XLOOKUP(K482,'Janeiro 2023 - Valor Real'!A3:A15,'Janeiro 2023 - Valor Real'!C3:C15,0))+1)/(((L482/(L482-1)-1)*(1-_xlfn.XLOOKUP(K482,'Janeiro 2023 - Valor Real'!A3:A15,'Janeiro 2023 - Valor Real'!C3:C15,0))+1)+((L481/(L481-1)-1)*(1-_xlfn.XLOOKUP(K481,'Janeiro 2023 - Valor Real'!A3:A15,'Janeiro 2023 - Valor Real'!C3:C15,0))+1)),((L482-1)*(1-_xlfn.XLOOKUP(K482,'Janeiro 2023 - Valor Real'!A3:A15,'Janeiro 2023 - Valor Real'!C3:C15,0))+1)/(((L482-1)*(1-_xlfn.XLOOKUP(K482,'Janeiro 2023 - Valor Real'!A3:A15,'Janeiro 2023 - Valor Real'!C3:C15,0))+1)+((L481/(L481-1)-1)*(1-_xlfn.XLOOKUP(K481,'Janeiro 2023 - Valor Real'!A3:A15,'Janeiro 2023 - Valor Real'!C3:C15,0))+1))),IF(I482="Lay",(((L482/(L482-1)-1)*(1-_xlfn.XLOOKUP(K482,'Janeiro 2023 - Valor Real'!A3:A15,'Janeiro 2023 - Valor Real'!C3:C15,0))+1))/(((L481-1)*(1-_xlfn.XLOOKUP(K481,'Janeiro 2023 - Valor Real'!A3:A15,'Janeiro 2023 - Valor Real'!C3:C15,0))+1)+((L482/(L482-1)-1)*(1-_xlfn.XLOOKUP(K482,'Janeiro 2023 - Valor Real'!A3:A15,'Janeiro 2023 - Valor Real'!C3:C15,0))+1)),((L482-1)*(1-_xlfn.XLOOKUP(K482,'Janeiro 2023 - Valor Real'!A3:A15,'Janeiro 2023 - Valor Real'!C3:C15,0))+1)/(((L482-1)*(1-_xlfn.XLOOKUP(K482,'Janeiro 2023 - Valor Real'!A3:A15,'Janeiro 2023 - Valor Real'!C3:C15,0))+1)+((L481-1)*(1-_xlfn.XLOOKUP(K481,'Janeiro 2023 - Valor Real'!A3:A15,'Janeiro 2023 - Valor Real'!C3:C15,0))+1))))))</f>
        <v>0.457788347205707</v>
      </c>
      <c r="AF481" s="197">
        <f>IF($K481=AF$3,ROUND(IF(OR($C481="W",$C481="1/2W",$C481="1/2L"),$P481-$O481,IF($C481="X",0,-$O481)),2),0)</f>
        <v>0</v>
      </c>
      <c r="AG481" s="198">
        <f>IF($K481=AG$3,ROUND(IF(OR($C481="W",$C481="1/2W",$C481="1/2L"),$P481-$O481,IF($C481="X",0,-$O481)),2),0)</f>
        <v>0</v>
      </c>
      <c r="AH481" s="198">
        <f>IF($K481=AH$3,ROUND(IF(OR($C481="W",$C481="1/2W",$C481="1/2L"),$P481-$O481,IF($C481="X",0,-$O481)),2),0)</f>
        <v>0</v>
      </c>
      <c r="AI481" s="198">
        <f>IF($K481=AI$3,ROUND(IF(OR($C481="W",$C481="1/2W",$C481="1/2L"),$P481-$O481,IF($C481="X",0,-$O481)),2),0)</f>
        <v>0</v>
      </c>
      <c r="AJ481" s="198">
        <f>IF($K481=AJ$3,ROUND(IF(OR($C481="W",$C481="1/2W",$C481="1/2L"),$P481-$O481,IF($C481="X",0,-$O481)),2),0)</f>
        <v>0</v>
      </c>
      <c r="AK481" s="198">
        <f>IF($K481=AK$3,ROUND(IF(OR($C481="W",$C481="1/2W",$C481="1/2L"),$P481-$O481,IF($C481="X",0,-$O481)),2),0)</f>
        <v>0</v>
      </c>
      <c r="AL481" s="198">
        <f>IF($K481=AL$3,ROUND(IF(OR($C481="W",$C481="1/2W",$C481="1/2L"),$P481-$O481,IF($C481="X",0,-$O481)),2),0)</f>
        <v>0</v>
      </c>
      <c r="AM481" s="198">
        <f>IF($K481=AM$3,ROUND(IF(OR($C481="W",$C481="1/2W",$C481="1/2L"),$P481-$O481,IF($C481="X",0,-$O481)),2),0)</f>
        <v>0</v>
      </c>
      <c r="AN481" s="198">
        <f>IF($K481=AN$3,ROUND(IF(OR($C481="W",$C481="1/2W",$C481="1/2L"),$P481-$O481,IF($C481="X",0,-$O481)),2),0)</f>
        <v>0</v>
      </c>
      <c r="AO481" s="198">
        <f>IF($K481=AO$3,ROUND(IF(OR($C481="W",$C481="1/2W",$C481="1/2L"),$P481-$O481,IF($C481="X",0,-$O481)),2),0)</f>
        <v>0</v>
      </c>
      <c r="AP481" s="198">
        <f>IF($K481=AP$3,ROUND(IF(OR($C481="W",$C481="1/2W",$C481="1/2L"),$P481-$O481,IF($C481="X",0,-$O481)),2),0)</f>
        <v>0</v>
      </c>
      <c r="AQ481" s="198">
        <f>IF($K481=AQ$3,ROUND(IF(OR($C481="W",$C481="1/2W",$C481="1/2L"),$P481-$O481,IF($C481="X",0,-$O481)),2),0)</f>
        <v>-10.32</v>
      </c>
      <c r="AR481" s="199">
        <f>IF($K481=AR$3,ROUND(IF(OR($C481="W",$C481="1/2W",$C481="1/2L"),$P481-$O481,IF($C481="X",0,-$O481)),2),0)</f>
        <v>0</v>
      </c>
      <c r="AS481" s="197">
        <f>IF(AND($B481=" ",$K481=AS$3),$O481,0)</f>
        <v>0</v>
      </c>
      <c r="AT481" s="198">
        <f>IF(AND($B481=" ",$K481=AT$3),$O481,0)</f>
        <v>0</v>
      </c>
      <c r="AU481" s="198">
        <f>IF(AND($B481=" ",$K481=AU$3),$O481,0)</f>
        <v>0</v>
      </c>
      <c r="AV481" s="198">
        <f>IF(AND($B481=" ",$K481=AV$3),$O481,0)</f>
        <v>0</v>
      </c>
      <c r="AW481" s="198">
        <f>IF(AND($B481=" ",$K481=AW$3),$O481,0)</f>
        <v>0</v>
      </c>
      <c r="AX481" s="198">
        <f>IF(AND($B481=" ",$K481=AX$3),$O481,0)</f>
        <v>0</v>
      </c>
      <c r="AY481" s="200">
        <f>IF(AND($B481=" ",$K481=AY$3),$O481,0)</f>
        <v>0</v>
      </c>
      <c r="AZ481" s="201">
        <f>IF(AND($B481=" ",$K481=AZ$3),$O481,0)</f>
        <v>0</v>
      </c>
      <c r="BA481" s="201">
        <f>IF(AND($B481=" ",$K481=BA$3),$O481,0)</f>
        <v>0</v>
      </c>
      <c r="BB481" s="201">
        <f>IF(AND($B481=" ",$K481=BB$3),$O481,0)</f>
        <v>0</v>
      </c>
      <c r="BC481" s="202">
        <f>IF(AND($B481=" ",$K481=BC$3),$O481,0)</f>
        <v>0</v>
      </c>
      <c r="BD481" s="198">
        <f>IF(AND($B481=" ",$K481=BD$3),$O481,0)</f>
        <v>0</v>
      </c>
      <c r="BE481" s="199">
        <f>IF(AND($B481=" ",$K481=BE$3),$O481,0)</f>
        <v>0</v>
      </c>
      <c r="BF481" s="203">
        <f>IF($K481=BF$3,IF($C481="X",0,$O481),0)</f>
        <v>0</v>
      </c>
      <c r="BG481" s="198">
        <f>IF($K481=BG$3,IF($C481="X",0,$O481),0)</f>
        <v>0</v>
      </c>
      <c r="BH481" s="198">
        <f>IF($K481=BH$3,IF($C481="X",0,$O481),0)</f>
        <v>0</v>
      </c>
      <c r="BI481" s="198">
        <f>IF($K481=BI$3,IF($C481="X",0,$O481),0)</f>
        <v>0</v>
      </c>
      <c r="BJ481" s="198">
        <f>IF($K481=BJ$3,IF($C481="X",0,$O481),0)</f>
        <v>0</v>
      </c>
      <c r="BK481" s="198">
        <f>IF($K481=BK$3,IF($C481="X",0,$O481),0)</f>
        <v>0</v>
      </c>
      <c r="BL481" s="198">
        <f>IF($K481=BL$3,IF($C481="X",0,$O481),0)</f>
        <v>0</v>
      </c>
      <c r="BM481" s="200">
        <f>IF($K481=BM$3,IF($C481="X",0,$O481),0)</f>
        <v>0</v>
      </c>
      <c r="BN481" s="201">
        <f>IF($K481=BN$3,IF($C481="X",0,$O481),0)</f>
        <v>0</v>
      </c>
      <c r="BO481" s="201">
        <f>IF($K481=BO$3,IF($C481="X",0,$O481),0)</f>
        <v>0</v>
      </c>
      <c r="BP481" s="201">
        <f>IF($K481=BP$3,IF($C481="X",0,$O481),0)</f>
        <v>0</v>
      </c>
      <c r="BQ481" s="202">
        <f>IF($K481=BQ$3,IF($C481="X",0,$O481),0)</f>
        <v>10.32</v>
      </c>
      <c r="BR481" s="199">
        <f>IF($K481=BR$3,IF($C481="X",0,$O481),0)</f>
        <v>0</v>
      </c>
      <c r="BS481" s="204">
        <f>IF($B481="LOSS",IF(AND($K481=BS$3,$C481="L"),-$O481,0)+IF(AND($K482=BS$3,$C482="L"),-$O482,0)+IF(AND($K483=BS$3,$C483="L"),-$O483,0),IF(OR(AND($K481=BS$3,OR($C481="W",$C481="1/2W")),AND($K482=BS$3,OR($C482="W",$C482="1/2W")),AND($K483=BS$3,OR($C483="W",$C483="1/2W"))),$S481,0))</f>
        <v>0.98</v>
      </c>
      <c r="BT481" s="201">
        <f>IF($B481="LOSS",IF(AND($K481=BT$3,$C481="L"),-$O481,0)+IF(AND($K482=BT$3,$C482="L"),-$O482,0)+IF(AND($K482=BT$3,$C483="L"),-$O483,0),IF(OR(AND($K482=BT$3,OR($C481="W",$C481="1/2W")),AND($K482=BT$3,OR($C482="W",$C482="1/2W")),AND($K482=BT$3,OR($C483="W",$C483="1/2W"))),$S481,0))</f>
        <v>0</v>
      </c>
      <c r="BU481" s="201">
        <f>IF($B481="LOSS",IF(AND($K481=BU$3,$C481="L"),-$O481,0)+IF(AND($K482=BU$3,$C482="L"),-$O482,0)+IF(AND($K482=BU$3,$C483="L"),-$O483,0),IF(OR(AND($K482=BU$3,OR($C481="W",$C481="1/2W")),AND($K482=BU$3,OR($C482="W",$C482="1/2W")),AND($K482=BU$3,OR($C483="W",$C483="1/2W"))),$S481,0))</f>
        <v>0</v>
      </c>
      <c r="BV481" s="201">
        <f>IF($B481="LOSS",IF(AND($K481=BV$3,$C481="L"),-$O481,0)+IF(AND($K482=BV$3,$C482="L"),-$O482,0)+IF(AND($K483=BV$3,$C483="L"),-$O483,0),IF(OR(AND($K481=BV$3,OR($C481="W",$C481="1/2W")),AND($K482=BV$3,OR($C482="W",$C482="1/2W")),AND($K483=BV$3,OR($C483="W",$C483="1/2W"))),$S481,0))</f>
        <v>0</v>
      </c>
      <c r="BW481" s="201">
        <f>IF($B481="LOSS",IF(AND($K481=BW$3,$C481="L"),-$O481,0)+IF(AND($K482=BW$3,$C482="L"),-$O482,0)+IF(AND($K483=BW$3,$C483="L"),-$O483,0),IF(OR(AND($K481=BW$3,OR($C481="W",$C481="1/2W")),AND($K482=BW$3,OR($C482="W",$C482="1/2W")),AND($K483=BW$3,OR($C483="W",$C483="1/2W"))),$S481,0))</f>
        <v>0</v>
      </c>
      <c r="BX481" s="201">
        <f>IF($B481="LOSS",IF(AND($K481=BX$3,$C481="L"),-$O481,0)+IF(AND($K482=BX$3,$C482="L"),-$O482,0)+IF(AND($K483=BX$3,$C483="L"),-$O483,0),IF(OR(AND($K481=BX$3,OR($C481="W",$C481="1/2W")),AND($K482=BX$3,OR($C482="W",$C482="1/2W")),AND($K483=BX$3,OR($C483="W",$C483="1/2W"))),$S481,0))</f>
        <v>0</v>
      </c>
      <c r="BY481" s="201">
        <f>IF($B481="LOSS",IF(AND($K481=BY$3,$C481="L"),-$O481,0)+IF(AND($K482=BY$3,$C482="L"),-$O482,0)+IF(AND($K483=BY$3,$C483="L"),-$O483,0),IF(OR(AND($K481=BY$3,OR($C481="W",$C481="1/2W")),AND($K482=BY$3,OR($C482="W",$C482="1/2W")),AND($K483=BY$3,OR($C483="W",$C483="1/2W"))),$S481,0))</f>
        <v>0</v>
      </c>
      <c r="BZ481" s="205">
        <f>IF($B481="LOSS",IF(AND($K481=BZ$3,$C481="L"),-$O481,0)+IF(AND($K482=BZ$3,$C482="L"),-$O482,0)+IF(AND($K483=BZ$3,$C483="L"),-$O483,0),IF(OR(AND($K481=BZ$3,OR($C481="W",$C481="1/2W")),AND($K482=BZ$3,OR($C482="W",$C482="1/2W")),AND($K483=BZ$3,OR($C483="W",$C483="1/2W"))),$S481,0))</f>
        <v>0</v>
      </c>
      <c r="CA481" s="205">
        <f>IF($B481="LOSS",IF(AND($K481=CA$3,$C481="L"),-$O481,0)+IF(AND($K482=CA$3,$C482="L"),-$O482,0)+IF(AND($K483=CA$3,$C483="L"),-$O483,0),IF(OR(AND($K481=CA$3,OR($C481="W",$C481="1/2W")),AND($K482=CA$3,OR($C482="W",$C482="1/2W")),AND($K483=CA$3,OR($C483="W",$C483="1/2W"))),$S481,0))</f>
        <v>0</v>
      </c>
      <c r="CB481" s="205">
        <f>IF($B481="LOSS",IF(AND($K481=CB$3,$C481="L"),-$O481,0)+IF(AND($K482=CB$3,$C482="L"),-$O482,0)+IF(AND($K483=CB$3,$C483="L"),-$O483,0),IF(OR(AND($K481=CB$3,OR($C481="W",$C481="1/2W")),AND($K482=CB$3,OR($C482="W",$C482="1/2W")),AND($K483=CB$3,OR($C483="W",$C483="1/2W"))),$S481,0))</f>
        <v>0</v>
      </c>
      <c r="CC481" s="205">
        <f>IF($B481="LOSS",IF(AND($K481=CC$3,$C481="L"),-$O481,0)+IF(AND($K482=CC$3,$C482="L"),-$O482,0)+IF(AND($K483=CC$3,$C483="L"),-$O483,0),IF(OR(AND($K481=CC$3,OR($C481="W",$C481="1/2W")),AND($K482=CC$3,OR($C482="W",$C482="1/2W")),AND($K483=CC$3,OR($C483="W",$C483="1/2W"))),$S481,0))</f>
        <v>0</v>
      </c>
      <c r="CD481" s="202">
        <f>IF($B481="LOSS",IF(AND($K481=CD$3,$C481="L"),-$O481,0)+IF(AND($K482=CD$3,$C482="L"),-$O482,0)+IF(AND($K483=CD$3,$C483="L"),-$O483,0),IF(OR(AND($K481=CD$3,OR($C481="W",$C481="1/2W")),AND($K482=CD$3,OR($C482="W",$C482="1/2W")),AND($K483=CD$3,OR($C483="W",$C483="1/2W"))),$S481,0))</f>
        <v>0</v>
      </c>
      <c r="CE481" s="199">
        <f>IF($B481="LOSS",IF(AND($K481=CE$3,$C481="L"),-$O481,0)+IF(AND($K482=CE$3,$C482="L"),-$O482,0)+IF(AND($K483=CE$3,$C483="L"),-$O483,0),IF(OR(AND($K481=CE$3,OR($C481="W",$C481="1/2W")),AND($K482=CE$3,OR($C482="W",$C482="1/2W")),AND($K483=CE$3,OR($C483="W",$C483="1/2W"))),$S481,0))</f>
        <v>0</v>
      </c>
      <c r="CF481" s="206">
        <f>IF(CF$3=$K481,IF($C481="W",1,IF($C481="1/2W",0.5,0)),0)</f>
        <v>0</v>
      </c>
      <c r="CG481" s="207">
        <f>IF(CF$3=$K481,IF($C481="L",1,IF($C481="1/2L",0.5,0)),0)</f>
        <v>0</v>
      </c>
      <c r="CH481" s="207">
        <f>IF(CH$3=$K481,IF($C481="W",1,IF($C481="1/2W",0.5,0)),0)</f>
        <v>0</v>
      </c>
      <c r="CI481" s="207">
        <f>IF(CH$3=$K481,IF($C481="L",1,IF($C481="1/2L",0.5,0)),0)</f>
        <v>0</v>
      </c>
      <c r="CJ481" s="207">
        <f>IF(CJ$3=$K481,IF($C481="W",1,IF($C481="1/2W",0.5,0)),0)</f>
        <v>0</v>
      </c>
      <c r="CK481" s="207">
        <f>IF(CJ$3=$K481,IF($C481="L",1,IF($C481="1/2L",0.5,0)),0)</f>
        <v>0</v>
      </c>
      <c r="CL481" s="207">
        <f>IF(CL$3=$K481,IF($C481="W",1,IF($C481="1/2W",0.5,0)),0)</f>
        <v>0</v>
      </c>
      <c r="CM481" s="207">
        <f>IF(CL$3=$K481,IF($C481="L",1,IF($C481="1/2L",0.5,0)),0)</f>
        <v>0</v>
      </c>
      <c r="CN481" s="207">
        <f>IF(CN$3=$K481,IF($C481="W",1,IF($C481="1/2W",0.5,0)),0)</f>
        <v>0</v>
      </c>
      <c r="CO481" s="207">
        <f>IF(CN$3=$K481,IF($C481="L",1,IF($C481="1/2L",0.5,0)),0)</f>
        <v>0</v>
      </c>
      <c r="CP481" s="207">
        <f>IF(CP$3=$K481,IF($C481="W",1,IF($C481="1/2W",0.5,0)),0)</f>
        <v>0</v>
      </c>
      <c r="CQ481" s="207">
        <f>IF(CP$3=$K481,IF($C481="L",1,IF($C481="1/2L",0.5,0)),0)</f>
        <v>0</v>
      </c>
      <c r="CR481" s="207">
        <f>IF(CR$3=$K481,IF($C481="W",1,IF($C481="1/2W",0.5,0)),0)</f>
        <v>0</v>
      </c>
      <c r="CS481" s="207">
        <f>IF(CR$3=$K481,IF($C481="L",1,IF($C481="1/2L",0.5,0)),0)</f>
        <v>0</v>
      </c>
      <c r="CT481" s="208">
        <f>IF(CT$3=$K481,IF($C481="W",1,IF($C481="1/2W",0.5,0)),0)</f>
        <v>0</v>
      </c>
      <c r="CU481" s="209">
        <f>IF(CT$3=$K481,IF($C481="L",1,IF($C481="1/2L",0.5,0)),0)</f>
        <v>0</v>
      </c>
      <c r="CV481" s="209">
        <f>IF(CV$3=$K481,IF($C481="W",1,IF($C481="1/2W",0.5,0)),0)</f>
        <v>0</v>
      </c>
      <c r="CW481" s="209">
        <f>IF(CV$3=$K481,IF($C481="L",1,IF($C481="1/2L",0.5,0)),0)</f>
        <v>0</v>
      </c>
      <c r="CX481" s="209">
        <f>IF(CX$3=$K481,IF($C481="W",1,IF($C481="1/2W",0.5,0)),0)</f>
        <v>0</v>
      </c>
      <c r="CY481" s="209">
        <f>IF(CX$3=$K481,IF($C481="L",1,IF($C481="1/2L",0.5,0)),0)</f>
        <v>0</v>
      </c>
      <c r="CZ481" s="209">
        <f>IF(CZ$3=$K481,IF($C481="W",1,IF($C481="1/2W",0.5,0)),0)</f>
        <v>0</v>
      </c>
      <c r="DA481" s="209">
        <f>IF(CZ$3=$K481,IF($C481="L",1,IF($C481="1/2L",0.5,0)),0)</f>
        <v>0</v>
      </c>
      <c r="DB481" s="209">
        <f>IF(DB$3=$K481,IF($C481="W",1,IF($C481="1/2W",0.5,0)),0)</f>
        <v>0</v>
      </c>
      <c r="DC481" s="209">
        <f>IF(DB$3=$K481,IF($C481="L",1,IF($C481="1/2L",0.5,0)),0)</f>
        <v>1</v>
      </c>
      <c r="DD481" s="209">
        <f>IF(DD$3=$K481,IF($C481="W",1,IF($C481="1/2W",0.5,0)),0)</f>
        <v>0</v>
      </c>
      <c r="DE481" s="210">
        <f>IF(DD$3=$K481,IF($C481="L",1,IF($C481="1/2L",0.5,0)),0)</f>
        <v>0</v>
      </c>
      <c r="DF481" s="211">
        <f>IF(AND(L481&lt;DF$3,$C481="W"),1+DF480,DF480)</f>
        <v>16</v>
      </c>
      <c r="DG481" s="198">
        <f>IF(DF481&gt;DF480,L481+DG480,DG480)</f>
        <v>21.158</v>
      </c>
      <c r="DH481" s="209">
        <f>IF(AND(L481&gt;DH$3,$C481="W"),1+DH480,0+DH480)</f>
        <v>11</v>
      </c>
      <c r="DI481" s="198">
        <f>IF(DH481&gt;DH480,L481+DI480,DI480)</f>
        <v>59.13</v>
      </c>
      <c r="DJ481" t="s" s="306">
        <f>IF($D481="","",$D481)</f>
        <v>358</v>
      </c>
      <c r="DK481" s="209">
        <f>IF(AND($B481=" ",$D481&lt;&gt;""),1,0)</f>
        <v>0</v>
      </c>
    </row>
    <row r="482" ht="14.55" customHeight="1">
      <c r="A482" s="107"/>
      <c r="B482" s="108"/>
      <c r="C482" t="s" s="213">
        <v>56</v>
      </c>
      <c r="D482" s="110"/>
      <c r="E482" s="111"/>
      <c r="F482" s="113"/>
      <c r="G482" s="214"/>
      <c r="H482" s="114"/>
      <c r="I482" t="s" s="215">
        <v>67</v>
      </c>
      <c r="J482" s="296">
        <f>IF(OR(I481="TO",I481="TU",I481="TO1",I481="TU1",I481="TO2",I481="TU2"),J481,IF(OR(I481="AH1",I481="AH2"),IF(OR(I482="AH1",I482="AH2"),-J481,IF(OR(I482="EH1",I482="EH2"),-J481+0.5,"")),IF(OR(I481="EH1",I481="EH2"),IF(OR(I482="AH1",I482="AH2"),-J481+0.5,IF(OR(I482="EH1",I482="EH2"),-J481+1,"")),IF(AND(OR(I481="DNB1",I481="DNB2"),OR(I482="AH1",I482="AH2")),0,IF(AND(I481="Not ScoreBoth",OR(I482="TO1",I482="TO2")),0.5,"")))))</f>
        <v>2.75</v>
      </c>
      <c r="K482" t="s" s="217">
        <v>37</v>
      </c>
      <c r="L482" s="218">
        <v>1.925</v>
      </c>
      <c r="M482" s="219"/>
      <c r="N482" s="120"/>
      <c r="O482" s="220">
        <f>IF(OR(AE481="",AE482=""),"",ROUND(IF(L483&gt;0,IF(M482&gt;0,M482,IF(M481&gt;0,IF(N481=TRUE,ROUND((M481*AE482)/AE481,0),(M481*AE482)/AE481),IF(M482&gt;0,ROUND(M482,IF(N481=0,2,IF(N481=0.1,1,0))),IF(M483&gt;0,ROUND(O483*AE482/AE483,IF(N481=0,2,IF(N481=0.1,1,0))),0)))),IF(M482&gt;0,M482,ROUND((M481*AE482)/AE481,IF(N481=0,2,IF(N481=0.1,1,0))))),2))</f>
        <v>12.22</v>
      </c>
      <c r="P482" s="221">
        <f>IF(OR(L482="",O482=""),"",IF($C482="1/2W",O482/2+O482/2*L482,IF($C482="1/2L",O482/2,IF(I482="Lay",((O482*(L482/(L482-1)))-O482)*(1-_xlfn.XLOOKUP(K482,'Janeiro 2023 - Valor Real'!A3:A15,'Janeiro 2023 - Valor Real'!C3:C15,0))+O482,(O482*L482-O482)*(1-_xlfn.XLOOKUP(K482,'Janeiro 2023 - Valor Real'!A3:A15,'Janeiro 2023 - Valor Real'!C3:C15,0))+O482))))</f>
        <v>23.5235</v>
      </c>
      <c r="Q482" s="222">
        <f>IF(K482="","",IF(_xlfn.XLOOKUP(K482,K$123:K255,DJ$123:DJ255,0,,-1)=DJ482,_xlfn.XLOOKUP(K482,K$123:K255,Q$123:Q255,1,,-1)+1,1))</f>
        <v>1</v>
      </c>
      <c r="R482" s="223">
        <f>IF(K482="","",_xlfn.XLOOKUP(K482,K$123:K255,R$123:R255,0,,-1)+IF($C482=" ",1,0))</f>
        <v>0</v>
      </c>
      <c r="S482" s="125"/>
      <c r="T482" s="126"/>
      <c r="U482" s="126"/>
      <c r="V482" s="224"/>
      <c r="W482" s="126"/>
      <c r="X482" s="127"/>
      <c r="Y482" s="128"/>
      <c r="Z482" s="129"/>
      <c r="AA482" s="129"/>
      <c r="AB482" s="129"/>
      <c r="AC482" s="129"/>
      <c r="AD482" s="225">
        <f>(((L482/(L482-1)-1)*(1-_xlfn.XLOOKUP(K482,'Janeiro 2023 - Valor Real'!A3:A15,'Janeiro 2023 - Valor Real'!C3:C15,0))+1))</f>
        <v>2.08108108108108</v>
      </c>
      <c r="AE482" s="226">
        <f>IF(L482="","",IF(L483&gt;0,(SUM(((L481-1)*(1-_xlfn.XLOOKUP(K481,'Janeiro 2023 - Valor Real'!A3:A15,'Janeiro 2023 - Valor Real'!C3:C15,0))+1),((L482-1)*(1-_xlfn.XLOOKUP(K482,'Janeiro 2023 - Valor Real'!A3:A15,'Janeiro 2023 - Valor Real'!C3:C15,0))+1),((L483-1)*(1-_xlfn.XLOOKUP(K483,'Janeiro 2023 - Valor Real'!A3:A15,'Janeiro 2023 - Valor Real'!C3:C15,0))+1))/((L482-1)*(1-_xlfn.XLOOKUP(K482,'Janeiro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Real'!C3:C15,0))+1))/((L481-1)*(1-_xlfn.XLOOKUP(K481,'Janeiro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Real'!C3:C15,0))+1))/((L482-1)*(1-_xlfn.XLOOKUP(K482,'Janeiro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Real'!C3:C15,0))+1))/((L483-1)*(1-_xlfn.XLOOKUP(K483,'Janeiro 2023 - Valor Real'!A3:A15,'Janeiro 2023 - Valor Real'!C3:C15,0))+1)),IF(I482="Lay",IF(I481="Lay",((L481/(L481-1)-1)*(1-_xlfn.XLOOKUP(K481,'Janeiro 2023 - Valor Real'!A3:A15,'Janeiro 2023 - Valor Real'!C3:C15,0))+1)/(((L481/(L481-1)-1)*(1-_xlfn.XLOOKUP(K481,'Janeiro 2023 - Valor Real'!A3:A15,'Janeiro 2023 - Valor Real'!C3:C15,0))+1)+((L482/(L482-1)-1)*(1-_xlfn.XLOOKUP(K482,'Janeiro 2023 - Valor Real'!A3:A15,'Janeiro 2023 - Valor Real'!C3:C15,0))+1)),((L481-1)*(1-_xlfn.XLOOKUP(K481,'Janeiro 2023 - Valor Real'!A3:A15,'Janeiro 2023 - Valor Real'!C3:C15,0))+1)/(((L481-1)*(1-_xlfn.XLOOKUP(K481,'Janeiro 2023 - Valor Real'!A3:A15,'Janeiro 2023 - Valor Real'!C3:C15,0))+1)+((L482/(L482-1)-1)*(1-_xlfn.XLOOKUP(K482,'Janeiro 2023 - Valor Real'!A3:A15,'Janeiro 2023 - Valor Real'!C3:C15,0))+1))),IF(I481="Lay",((L481/(L481-1)-1)*(1-_xlfn.XLOOKUP(K481,'Janeiro 2023 - Valor Real'!A3:A15,'Janeiro 2023 - Valor Real'!C3:C15,0))+1)/((((L481/(L481-1)-1)*(1-_xlfn.XLOOKUP(K481,'Janeiro 2023 - Valor Real'!A3:A15,'Janeiro 2023 - Valor Real'!C3:C15,0))+1))+((L482-1)*(1-_xlfn.XLOOKUP(K482,'Janeiro 2023 - Valor Real'!A3:A15,'Janeiro 2023 - Valor Real'!C3:C15,0))+1)),((L481-1)*(1-_xlfn.XLOOKUP(K481,'Janeiro 2023 - Valor Real'!A3:A15,'Janeiro 2023 - Valor Real'!C3:C15,0))+1)/(((L481-1)*(1-_xlfn.XLOOKUP(K481,'Janeiro 2023 - Valor Real'!A3:A15,'Janeiro 2023 - Valor Real'!C3:C15,0))+1)+((L482-1)*(1-_xlfn.XLOOKUP(K482,'Janeiro 2023 - Valor Real'!A3:A15,'Janeiro 2023 - Valor Real'!C3:C15,0))+1))))))</f>
        <v>0.542211652794293</v>
      </c>
      <c r="AF482" s="197">
        <f>IF($K482=AF$3,ROUND(IF(OR($C482="W",$C482="1/2W",$C482="1/2L"),$P482-$O482,IF($C482="X",0,-$O482)),2),0)</f>
        <v>11.3</v>
      </c>
      <c r="AG482" s="198">
        <f>IF($K482=AG$3,ROUND(IF(OR($C482="W",$C482="1/2W",$C482="1/2L"),$P482-$O482,IF($C482="X",0,-$O482)),2),0)</f>
        <v>0</v>
      </c>
      <c r="AH482" s="198">
        <f>IF($K482=AH$3,ROUND(IF(OR($C482="W",$C482="1/2W",$C482="1/2L"),$P482-$O482,IF($C482="X",0,-$O482)),2),0)</f>
        <v>0</v>
      </c>
      <c r="AI482" s="198">
        <f>IF($K482=AI$3,ROUND(IF(OR($C482="W",$C482="1/2W",$C482="1/2L"),$P482-$O482,IF($C482="X",0,-$O482)),2),0)</f>
        <v>0</v>
      </c>
      <c r="AJ482" s="198">
        <f>IF($K482=AJ$3,ROUND(IF(OR($C482="W",$C482="1/2W",$C482="1/2L"),$P482-$O482,IF($C482="X",0,-$O482)),2),0)</f>
        <v>0</v>
      </c>
      <c r="AK482" s="198">
        <f>IF($K482=AK$3,ROUND(IF(OR($C482="W",$C482="1/2W",$C482="1/2L"),$P482-$O482,IF($C482="X",0,-$O482)),2),0)</f>
        <v>0</v>
      </c>
      <c r="AL482" s="198">
        <f>IF($K482=AL$3,ROUND(IF(OR($C482="W",$C482="1/2W",$C482="1/2L"),$P482-$O482,IF($C482="X",0,-$O482)),2),0)</f>
        <v>0</v>
      </c>
      <c r="AM482" s="198">
        <f>IF($K482=AM$3,ROUND(IF(OR($C482="W",$C482="1/2W",$C482="1/2L"),$P482-$O482,IF($C482="X",0,-$O482)),2),0)</f>
        <v>0</v>
      </c>
      <c r="AN482" s="198">
        <f>IF($K482=AN$3,ROUND(IF(OR($C482="W",$C482="1/2W",$C482="1/2L"),$P482-$O482,IF($C482="X",0,-$O482)),2),0)</f>
        <v>0</v>
      </c>
      <c r="AO482" s="198">
        <f>IF($K482=AO$3,ROUND(IF(OR($C482="W",$C482="1/2W",$C482="1/2L"),$P482-$O482,IF($C482="X",0,-$O482)),2),0)</f>
        <v>0</v>
      </c>
      <c r="AP482" s="198">
        <f>IF($K482=AP$3,ROUND(IF(OR($C482="W",$C482="1/2W",$C482="1/2L"),$P482-$O482,IF($C482="X",0,-$O482)),2),0)</f>
        <v>0</v>
      </c>
      <c r="AQ482" s="198">
        <f>IF($K482=AQ$3,ROUND(IF(OR($C482="W",$C482="1/2W",$C482="1/2L"),$P482-$O482,IF($C482="X",0,-$O482)),2),0)</f>
        <v>0</v>
      </c>
      <c r="AR482" s="199">
        <f>IF($K482=AR$3,ROUND(IF(OR($C482="W",$C482="1/2W",$C482="1/2L"),$P482-$O482,IF($C482="X",0,-$O482)),2),0)</f>
        <v>0</v>
      </c>
      <c r="AS482" s="197">
        <f>IF(AND($B481=" ",$K482=AS$3),$O482,0)</f>
        <v>0</v>
      </c>
      <c r="AT482" s="198">
        <f>IF(AND($B481=" ",K482=AT$3),$O482,0)</f>
        <v>0</v>
      </c>
      <c r="AU482" s="198">
        <f>IF(AND($B481=" ",$K482=AU$3),$O482,0)</f>
        <v>0</v>
      </c>
      <c r="AV482" s="198">
        <f>IF(AND($B481=" ",$K482=AV$3),$O482,0)</f>
        <v>0</v>
      </c>
      <c r="AW482" s="198">
        <f>IF(AND($B481=" ",$K482=AW$3),$O482,0)</f>
        <v>0</v>
      </c>
      <c r="AX482" s="198">
        <f>IF(AND($B481=" ",$K482=AX$3),$O482,0)</f>
        <v>0</v>
      </c>
      <c r="AY482" s="200">
        <f>IF(AND($B481=" ",$K482=AY$3),$O482,0)</f>
        <v>0</v>
      </c>
      <c r="AZ482" s="201">
        <f>IF(AND($B481=" ",$K482=AZ$3),$O482,0)</f>
        <v>0</v>
      </c>
      <c r="BA482" s="201">
        <f>IF(AND($B481=" ",$K482=BA$3),$O482,0)</f>
        <v>0</v>
      </c>
      <c r="BB482" s="201">
        <f>IF(AND($B481=" ",$K482=BB$3),$O482,0)</f>
        <v>0</v>
      </c>
      <c r="BC482" s="202">
        <f>IF(AND($B481=" ",$K482=BC$3),$O482,0)</f>
        <v>0</v>
      </c>
      <c r="BD482" s="198">
        <f>IF(AND($B481=" ",$K482=BD$3),$O482,0)</f>
        <v>0</v>
      </c>
      <c r="BE482" s="199">
        <f>IF(AND($B481=" ",$K482=BE$3),$O482,0)</f>
        <v>0</v>
      </c>
      <c r="BF482" s="197">
        <f>IF($K482=BF$3,IF($C482="X",0,$O482),0)</f>
        <v>12.22</v>
      </c>
      <c r="BG482" s="198">
        <f>IF($K482=BG$3,IF($C482="X",0,$O482),0)</f>
        <v>0</v>
      </c>
      <c r="BH482" s="198">
        <f>IF($K482=BH$3,IF($C482="X",0,$O482),0)</f>
        <v>0</v>
      </c>
      <c r="BI482" s="198">
        <f>IF($K482=BI$3,IF($C482="X",0,$O482),0)</f>
        <v>0</v>
      </c>
      <c r="BJ482" s="198">
        <f>IF($K482=BJ$3,IF($C482="X",0,$O482),0)</f>
        <v>0</v>
      </c>
      <c r="BK482" s="198">
        <f>IF($K482=BK$3,IF($C482="X",0,$O482),0)</f>
        <v>0</v>
      </c>
      <c r="BL482" s="198">
        <f>IF($K482=BL$3,IF($C482="X",0,$O482),0)</f>
        <v>0</v>
      </c>
      <c r="BM482" s="227">
        <f>IF($K482=BM$3,IF($C482="X",0,$O482),0)</f>
        <v>0</v>
      </c>
      <c r="BN482" s="205">
        <f>IF($K482=BN$3,IF($C482="X",0,$O482),0)</f>
        <v>0</v>
      </c>
      <c r="BO482" s="205">
        <f>IF($K482=BO$3,IF($C482="X",0,$O482),0)</f>
        <v>0</v>
      </c>
      <c r="BP482" s="205">
        <f>IF($K482=BP$3,IF($C482="X",0,$O482),0)</f>
        <v>0</v>
      </c>
      <c r="BQ482" s="202">
        <f>IF($K482=BQ$3,IF($C482="X",0,$O482),0)</f>
        <v>0</v>
      </c>
      <c r="BR482" s="199">
        <f>IF($K482=BR$3,IF($C482="X",0,$O482),0)</f>
        <v>0</v>
      </c>
      <c r="BS482" s="228"/>
      <c r="BT482" s="229"/>
      <c r="BU482" s="140"/>
      <c r="BV482" s="229"/>
      <c r="BW482" s="140"/>
      <c r="BX482" s="140"/>
      <c r="BY482" s="140"/>
      <c r="BZ482" s="229"/>
      <c r="CA482" s="140"/>
      <c r="CB482" s="140"/>
      <c r="CC482" s="140"/>
      <c r="CD482" s="141"/>
      <c r="CE482" s="142"/>
      <c r="CF482" s="230">
        <f>IF(CF$3=$K482,IF($C482="W",1,IF($C482="1/2W",0.5,0)),0)</f>
        <v>1</v>
      </c>
      <c r="CG482" s="231">
        <f>IF(CF$3=$K482,IF($C482="L",1,IF($C482="1/2L",0.5,0)),0)</f>
        <v>0</v>
      </c>
      <c r="CH482" s="231">
        <f>IF(CH$3=$K482,IF($C482="W",1,IF($C482="1/2W",0.5,0)),0)</f>
        <v>0</v>
      </c>
      <c r="CI482" s="231">
        <f>IF(CH$3=$K482,IF($C482="L",1,IF($C482="1/2L",0.5,0)),0)</f>
        <v>0</v>
      </c>
      <c r="CJ482" s="231">
        <f>IF(CJ$3=$K482,IF($C482="W",1,IF($C482="1/2W",0.5,0)),0)</f>
        <v>0</v>
      </c>
      <c r="CK482" s="231">
        <f>IF(CJ$3=$K482,IF($C482="L",1,IF($C482="1/2L",0.5,0)),0)</f>
        <v>0</v>
      </c>
      <c r="CL482" s="231">
        <f>IF(CL$3=$K482,IF($C482="W",1,IF($C482="1/2W",0.5,0)),0)</f>
        <v>0</v>
      </c>
      <c r="CM482" s="231">
        <f>IF(CL$3=$K482,IF($C482="L",1,IF($C482="1/2L",0.5,0)),0)</f>
        <v>0</v>
      </c>
      <c r="CN482" s="231">
        <f>IF(CN$3=$K482,IF($C482="W",1,IF($C482="1/2W",0.5,0)),0)</f>
        <v>0</v>
      </c>
      <c r="CO482" s="231">
        <f>IF(CN$3=$K482,IF($C482="L",1,IF($C482="1/2L",0.5,0)),0)</f>
        <v>0</v>
      </c>
      <c r="CP482" s="231">
        <f>IF(CP$3=$K482,IF($C482="W",1,IF($C482="1/2W",0.5,0)),0)</f>
        <v>0</v>
      </c>
      <c r="CQ482" s="231">
        <f>IF(CP$3=$K482,IF($C482="L",1,IF($C482="1/2L",0.5,0)),0)</f>
        <v>0</v>
      </c>
      <c r="CR482" s="231">
        <f>IF(CR$3=$K482,IF($C482="W",1,IF($C482="1/2W",0.5,0)),0)</f>
        <v>0</v>
      </c>
      <c r="CS482" s="231">
        <f>IF(CR$3=$K482,IF($C482="L",1,IF($C482="1/2L",0.5,0)),0)</f>
        <v>0</v>
      </c>
      <c r="CT482" s="208">
        <f>IF(CT$3=$K482,IF($C482="W",1,IF($C482="1/2W",0.5,0)),0)</f>
        <v>0</v>
      </c>
      <c r="CU482" s="209">
        <f>IF(CT$3=$K482,IF($C482="L",1,IF($C482="1/2L",0.5,0)),0)</f>
        <v>0</v>
      </c>
      <c r="CV482" s="209">
        <f>IF(CV$3=$K482,IF($C482="W",1,IF($C482="1/2W",0.5,0)),0)</f>
        <v>0</v>
      </c>
      <c r="CW482" s="209">
        <f>IF(CV$3=$K482,IF($C482="L",1,IF($C482="1/2L",0.5,0)),0)</f>
        <v>0</v>
      </c>
      <c r="CX482" s="209">
        <f>IF(CX$3=$K482,IF($C482="W",1,IF($C482="1/2W",0.5,0)),0)</f>
        <v>0</v>
      </c>
      <c r="CY482" s="209">
        <f>IF(CX$3=$K482,IF($C482="L",1,IF($C482="1/2L",0.5,0)),0)</f>
        <v>0</v>
      </c>
      <c r="CZ482" s="209">
        <f>IF(CZ$3=$K482,IF($C482="W",1,IF($C482="1/2W",0.5,0)),0)</f>
        <v>0</v>
      </c>
      <c r="DA482" s="209">
        <f>IF(CZ$3=$K482,IF($C482="L",1,IF($C482="1/2L",0.5,0)),0)</f>
        <v>0</v>
      </c>
      <c r="DB482" s="209">
        <f>IF(DB$3=$K482,IF($C482="W",1,IF($C482="1/2W",0.5,0)),0)</f>
        <v>0</v>
      </c>
      <c r="DC482" s="209">
        <f>IF(DB$3=$K482,IF($C482="L",1,IF($C482="1/2L",0.5,0)),0)</f>
        <v>0</v>
      </c>
      <c r="DD482" s="209">
        <f>IF(DD$3=$K482,IF($C482="W",1,IF($C482="1/2W",0.5,0)),0)</f>
        <v>0</v>
      </c>
      <c r="DE482" s="210">
        <f>IF(DD$3=$K482,IF($C482="L",1,IF($C482="1/2L",0.5,0)),0)</f>
        <v>0</v>
      </c>
      <c r="DF482" s="211">
        <f>IF(AND(L482&lt;DF$3,$C482="W"),1+DF481,DF481)</f>
        <v>16</v>
      </c>
      <c r="DG482" s="198">
        <f>IF(DF482&gt;DF481,L482+DG481,DG481)</f>
        <v>21.158</v>
      </c>
      <c r="DH482" s="209">
        <f>IF(AND(L482&gt;DH$3,$C482="W"),1+DH481,0+DH481)</f>
        <v>11</v>
      </c>
      <c r="DI482" s="198">
        <f>IF(DH482&gt;DH481,L482+DI481,DI481)</f>
        <v>59.13</v>
      </c>
      <c r="DJ482" t="s" s="306">
        <f>IF($D481="","",$D481)</f>
        <v>358</v>
      </c>
      <c r="DK482" s="232"/>
    </row>
    <row r="483" ht="14.55" customHeight="1">
      <c r="A483" s="149"/>
      <c r="B483" s="150"/>
      <c r="C483" t="s" s="233">
        <v>58</v>
      </c>
      <c r="D483" s="152"/>
      <c r="E483" s="153"/>
      <c r="F483" s="155"/>
      <c r="G483" s="234"/>
      <c r="H483" s="156"/>
      <c r="I483" s="235"/>
      <c r="J483" s="236"/>
      <c r="K483" s="237"/>
      <c r="L483" s="238"/>
      <c r="M483" s="239"/>
      <c r="N483" s="161"/>
      <c r="O483" t="s" s="240">
        <f>IF(OR(AE481="",AE482=""),"",IF(L483&gt;0,ROUND(IF(M483&gt;0,M483,IF(M481&gt;0,ROUND((M481*AE483)/AE481,IF(N481=0,2,IF(N481=0.1,1,0))),IF(M482&gt;0,ROUND((M482*AE483)/AE482,IF(N481=0,2,IF(N481=0.1,1,0))),IF(M483&gt;0,M483,0)))),2),""))</f>
      </c>
      <c r="P483" t="s" s="241">
        <f>IF(I482="Lay",O482*(L482/(L482-1))-O482,IF(I481="Lay",O481*(L481/(L481-1))-O481,IF(OR(L483="",O483=""),"",IF($C483="1/2W",O483/2+O483/2*L483,IF($C483="1/2L",O483/2,(O483*L483-O483)*(1-_xlfn.XLOOKUP(K483,'Janeiro 2023 - Valor Real'!A3:A15,'Janeiro 2023 - Valor Real'!C3:C15,0))+O483)))))</f>
      </c>
      <c r="Q483" t="s" s="242">
        <f>IF(K483="","",IF(_xlfn.XLOOKUP(K483,K$124:K256,DJ$124:DJ256,0,,-1)=DJ483,_xlfn.XLOOKUP(K483,K$124:K256,Q$124:Q256,1,,-1)+1,1))</f>
      </c>
      <c r="R483" t="s" s="243">
        <f>IF(K483="","",_xlfn.XLOOKUP(K483,K$124:K256,R$124:R256,0,,-1)+IF($C483=" ",1,0))</f>
      </c>
      <c r="S483" s="166"/>
      <c r="T483" s="155"/>
      <c r="U483" s="155"/>
      <c r="V483" s="166"/>
      <c r="W483" s="155"/>
      <c r="X483" s="167"/>
      <c r="Y483" s="128"/>
      <c r="Z483" s="129"/>
      <c r="AA483" s="129"/>
      <c r="AB483" s="129"/>
      <c r="AC483" s="129"/>
      <c r="AD483" s="244">
        <f>((L482/(L482-1)-1))</f>
        <v>1.08108108108108</v>
      </c>
      <c r="AE483" t="s" s="245">
        <f>IF(L483="","",(SUM(((L481-1)*(1-_xlfn.XLOOKUP(K481,'Janeiro 2023 - Valor Real'!A3:A15,'Janeiro 2023 - Valor Real'!C3:C15,0))+1),((L482-1)*(1-_xlfn.XLOOKUP(K482,'Janeiro 2023 - Valor Real'!A3:A15,'Janeiro 2023 - Valor Real'!C3:C15,0))+1),((L483-1)*(1-_xlfn.XLOOKUP(K483,'Janeiro 2023 - Valor Real'!A3:A15,'Janeiro 2023 - Valor Real'!C3:C15,0))+1))/((L483-1)*(1-_xlfn.XLOOKUP(K483,'Janeiro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Real'!C3:C15,0))+1))/((L481-1)*(1-_xlfn.XLOOKUP(K481,'Janeiro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Real'!C3:C15,0))+1))/((L482-1)*(1-_xlfn.XLOOKUP(K482,'Janeiro 2023 - Valor Real'!A3:A15,'Janeiro 2023 - Valor Real'!C3:C15,0))+1)+SUM(((L481-1)*(1-_xlfn.XLOOKUP(K481,'Janeiro 2023 - Valor Real'!A3:A15,'Janeiro 2023 - Valor Real'!C3:C15,0))+1),((L482-1)*(1-_xlfn.XLOOKUP(K482,'Janeiro 2023 - Valor Real'!A3:A15,'Janeiro 2023 - Valor Real'!C3:C15,0))+1),((L483-1)*(1-_xlfn.XLOOKUP(K483,'Janeiro 2023 - Valor Real'!A3:A15,'Janeiro 2023 - Valor Real'!C3:C15,0))+1))/((L483-1)*(1-_xlfn.XLOOKUP(K483,'Janeiro 2023 - Valor Real'!A3:A15,'Janeiro 2023 - Valor Real'!C3:C15,0))+1)))</f>
      </c>
      <c r="AF483" s="197">
        <f>IF($K483=AF$3,ROUND(IF(OR($C483="W",$C483="1/2W",$C483="1/2L"),$P483-$O483,IF($C483="X",0,-$O483)),2),0)</f>
        <v>0</v>
      </c>
      <c r="AG483" s="198">
        <f>IF($K483=AG$3,ROUND(IF(OR($C483="W",$C483="1/2W",$C483="1/2L"),$P483-$O483,IF($C483="X",0,-$O483)),2),0)</f>
        <v>0</v>
      </c>
      <c r="AH483" s="198">
        <f>IF($K483=AH$3,ROUND(IF(OR($C483="W",$C483="1/2W",$C483="1/2L"),$P483-$O483,IF($C483="X",0,-$O483)),2),0)</f>
        <v>0</v>
      </c>
      <c r="AI483" s="198">
        <f>IF($K483=AI$3,ROUND(IF(OR($C483="W",$C483="1/2W",$C483="1/2L"),$P483-$O483,IF($C483="X",0,-$O483)),2),0)</f>
        <v>0</v>
      </c>
      <c r="AJ483" s="198">
        <f>IF($K483=AJ$3,ROUND(IF(OR($C483="W",$C483="1/2W",$C483="1/2L"),$P483-$O483,IF($C483="X",0,-$O483)),2),0)</f>
        <v>0</v>
      </c>
      <c r="AK483" s="198">
        <f>IF($K483=AK$3,ROUND(IF(OR($C483="W",$C483="1/2W",$C483="1/2L"),$P483-$O483,IF($C483="X",0,-$O483)),2),0)</f>
        <v>0</v>
      </c>
      <c r="AL483" s="198">
        <f>IF($K483=AL$3,ROUND(IF(OR($C483="W",$C483="1/2W",$C483="1/2L"),$P483-$O483,IF($C483="X",0,-$O483)),2),0)</f>
        <v>0</v>
      </c>
      <c r="AM483" s="198">
        <f>IF($K483=AM$3,ROUND(IF(OR($C483="W",$C483="1/2W",$C483="1/2L"),$P483-$O483,IF($C483="X",0,-$O483)),2),0)</f>
        <v>0</v>
      </c>
      <c r="AN483" s="198">
        <f>IF($K483=AN$3,ROUND(IF(OR($C483="W",$C483="1/2W",$C483="1/2L"),$P483-$O483,IF($C483="X",0,-$O483)),2),0)</f>
        <v>0</v>
      </c>
      <c r="AO483" s="198">
        <f>IF($K483=AO$3,ROUND(IF(OR($C483="W",$C483="1/2W",$C483="1/2L"),$P483-$O483,IF($C483="X",0,-$O483)),2),0)</f>
        <v>0</v>
      </c>
      <c r="AP483" s="198">
        <f>IF($K483=AP$3,ROUND(IF(OR($C483="W",$C483="1/2W",$C483="1/2L"),$P483-$O483,IF($C483="X",0,-$O483)),2),0)</f>
        <v>0</v>
      </c>
      <c r="AQ483" s="198">
        <f>IF($K483=AQ$3,ROUND(IF(OR($C483="W",$C483="1/2W",$C483="1/2L"),$P483-$O483,IF($C483="X",0,-$O483)),2),0)</f>
        <v>0</v>
      </c>
      <c r="AR483" s="199">
        <f>IF($K483=AR$3,ROUND(IF(OR($C483="W",$C483="1/2W",$C483="1/2L"),$P483-$O483,IF($C483="X",0,-$O483)),2),0)</f>
        <v>0</v>
      </c>
      <c r="AS483" s="197">
        <f>IF(AND($B481=" ",$K483=AS$3),$O483,0)</f>
        <v>0</v>
      </c>
      <c r="AT483" s="198">
        <f>IF(AND($B481=" ",K483=AT$3),$O483,0)</f>
        <v>0</v>
      </c>
      <c r="AU483" s="198">
        <f>IF(AND($B481=" ",$K483=AU$3),$O483,0)</f>
        <v>0</v>
      </c>
      <c r="AV483" s="198">
        <f>IF(AND($B481=" ",$K483=AV$3),$O483,0)</f>
        <v>0</v>
      </c>
      <c r="AW483" s="198">
        <f>IF(AND($B481=" ",$K483=AW$3),$O483,0)</f>
        <v>0</v>
      </c>
      <c r="AX483" s="198">
        <f>IF(AND($B481=" ",$K483=AX$3),$O483,0)</f>
        <v>0</v>
      </c>
      <c r="AY483" s="200">
        <f>IF(AND($B481=" ",$K483=AY$3),$O483,0)</f>
        <v>0</v>
      </c>
      <c r="AZ483" s="201">
        <f>IF(AND($B481=" ",$K483=AZ$3),$O483,0)</f>
        <v>0</v>
      </c>
      <c r="BA483" s="201">
        <f>IF(AND($B481=" ",$K483=BA$3),$O483,0)</f>
        <v>0</v>
      </c>
      <c r="BB483" s="201">
        <f>IF(AND($B481=" ",$K483=BB$3),$O483,0)</f>
        <v>0</v>
      </c>
      <c r="BC483" s="202">
        <f>IF(AND($B481=" ",$K483=BC$3),$O483,0)</f>
        <v>0</v>
      </c>
      <c r="BD483" s="198">
        <f>IF(AND($B481=" ",$K483=BD$3),$O483,0)</f>
        <v>0</v>
      </c>
      <c r="BE483" s="199">
        <f>IF(AND($B481=" ",$K483=BE$3),$O483,0)</f>
        <v>0</v>
      </c>
      <c r="BF483" s="197">
        <f>IF($K483=BF$3,IF($C483="X",0,$O483),0)</f>
        <v>0</v>
      </c>
      <c r="BG483" s="198">
        <f>IF($K483=BG$3,IF($C483="X",0,$O483),0)</f>
        <v>0</v>
      </c>
      <c r="BH483" s="198">
        <f>IF($K483=BH$3,IF($C483="X",0,$O483),0)</f>
        <v>0</v>
      </c>
      <c r="BI483" s="198">
        <f>IF($K483=BI$3,IF($C483="X",0,$O483),0)</f>
        <v>0</v>
      </c>
      <c r="BJ483" s="198">
        <f>IF($K483=BJ$3,IF($C483="X",0,$O483),0)</f>
        <v>0</v>
      </c>
      <c r="BK483" s="198">
        <f>IF($K483=BK$3,IF($C483="X",0,$O483),0)</f>
        <v>0</v>
      </c>
      <c r="BL483" s="198">
        <f>IF($K483=BL$3,IF($C483="X",0,$O483),0)</f>
        <v>0</v>
      </c>
      <c r="BM483" s="200">
        <f>IF($K483=BM$3,IF($C483="X",0,$O483),0)</f>
        <v>0</v>
      </c>
      <c r="BN483" s="201">
        <f>IF($K483=BN$3,IF($C483="X",0,$O483),0)</f>
        <v>0</v>
      </c>
      <c r="BO483" s="201">
        <f>IF($K483=BO$3,IF($C483="X",0,$O483),0)</f>
        <v>0</v>
      </c>
      <c r="BP483" s="201">
        <f>IF($K483=BP$3,IF($C483="X",0,$O483),0)</f>
        <v>0</v>
      </c>
      <c r="BQ483" s="202">
        <f>IF($K483=BQ$3,IF($C483="X",0,$O483),0)</f>
        <v>0</v>
      </c>
      <c r="BR483" s="199">
        <f>IF($K483=BR$3,IF($C483="X",0,$O483),0)</f>
        <v>0</v>
      </c>
      <c r="BS483" s="228"/>
      <c r="BT483" s="229"/>
      <c r="BU483" s="140"/>
      <c r="BV483" s="229"/>
      <c r="BW483" s="140"/>
      <c r="BX483" s="140"/>
      <c r="BY483" s="140"/>
      <c r="BZ483" s="229"/>
      <c r="CA483" s="140"/>
      <c r="CB483" s="140"/>
      <c r="CC483" s="140"/>
      <c r="CD483" s="141"/>
      <c r="CE483" s="142"/>
      <c r="CF483" s="230">
        <f>IF(CF$3=$K483,IF($C483="W",1,IF($C483="1/2W",0.5,0)),0)</f>
        <v>0</v>
      </c>
      <c r="CG483" s="231">
        <f>IF(CF$3=$K483,IF($C483="L",1,IF($C483="1/2L",0.5,0)),0)</f>
        <v>0</v>
      </c>
      <c r="CH483" s="231">
        <f>IF(CH$3=$K483,IF($C483="W",1,IF($C483="1/2W",0.5,0)),0)</f>
        <v>0</v>
      </c>
      <c r="CI483" s="231">
        <f>IF(CH$3=$K483,IF($C483="L",1,IF($C483="1/2L",0.5,0)),0)</f>
        <v>0</v>
      </c>
      <c r="CJ483" s="231">
        <f>IF(CJ$3=$K483,IF($C483="W",1,IF($C483="1/2W",0.5,0)),0)</f>
        <v>0</v>
      </c>
      <c r="CK483" s="231">
        <f>IF(CJ$3=$K483,IF($C483="L",1,IF($C483="1/2L",0.5,0)),0)</f>
        <v>0</v>
      </c>
      <c r="CL483" s="231">
        <f>IF(CL$3=$K483,IF($C483="W",1,IF($C483="1/2W",0.5,0)),0)</f>
        <v>0</v>
      </c>
      <c r="CM483" s="231">
        <f>IF(CL$3=$K483,IF($C483="L",1,IF($C483="1/2L",0.5,0)),0)</f>
        <v>0</v>
      </c>
      <c r="CN483" s="231">
        <f>IF(CN$3=$K483,IF($C483="W",1,IF($C483="1/2W",0.5,0)),0)</f>
        <v>0</v>
      </c>
      <c r="CO483" s="231">
        <f>IF(CN$3=$K483,IF($C483="L",1,IF($C483="1/2L",0.5,0)),0)</f>
        <v>0</v>
      </c>
      <c r="CP483" s="231">
        <f>IF(CP$3=$K483,IF($C483="W",1,IF($C483="1/2W",0.5,0)),0)</f>
        <v>0</v>
      </c>
      <c r="CQ483" s="231">
        <f>IF(CP$3=$K483,IF($C483="L",1,IF($C483="1/2L",0.5,0)),0)</f>
        <v>0</v>
      </c>
      <c r="CR483" s="231">
        <f>IF(CR$3=$K483,IF($C483="W",1,IF($C483="1/2W",0.5,0)),0)</f>
        <v>0</v>
      </c>
      <c r="CS483" s="231">
        <f>IF(CR$3=$K483,IF($C483="L",1,IF($C483="1/2L",0.5,0)),0)</f>
        <v>0</v>
      </c>
      <c r="CT483" s="208">
        <f>IF(CT$3=$K483,IF($C483="W",1,IF($C483="1/2W",0.5,0)),0)</f>
        <v>0</v>
      </c>
      <c r="CU483" s="209">
        <f>IF(CT$3=$K483,IF($C483="L",1,IF($C483="1/2L",0.5,0)),0)</f>
        <v>0</v>
      </c>
      <c r="CV483" s="209">
        <f>IF(CV$3=$K483,IF($C483="W",1,IF($C483="1/2W",0.5,0)),0)</f>
        <v>0</v>
      </c>
      <c r="CW483" s="209">
        <f>IF(CV$3=$K483,IF($C483="L",1,IF($C483="1/2L",0.5,0)),0)</f>
        <v>0</v>
      </c>
      <c r="CX483" s="209">
        <f>IF(CX$3=$K483,IF($C483="W",1,IF($C483="1/2W",0.5,0)),0)</f>
        <v>0</v>
      </c>
      <c r="CY483" s="209">
        <f>IF(CX$3=$K483,IF($C483="L",1,IF($C483="1/2L",0.5,0)),0)</f>
        <v>0</v>
      </c>
      <c r="CZ483" s="209">
        <f>IF(CZ$3=$K483,IF($C483="W",1,IF($C483="1/2W",0.5,0)),0)</f>
        <v>0</v>
      </c>
      <c r="DA483" s="209">
        <f>IF(CZ$3=$K483,IF($C483="L",1,IF($C483="1/2L",0.5,0)),0)</f>
        <v>0</v>
      </c>
      <c r="DB483" s="209">
        <f>IF(DB$3=$K483,IF($C483="W",1,IF($C483="1/2W",0.5,0)),0)</f>
        <v>0</v>
      </c>
      <c r="DC483" s="209">
        <f>IF(DB$3=$K483,IF($C483="L",1,IF($C483="1/2L",0.5,0)),0)</f>
        <v>0</v>
      </c>
      <c r="DD483" s="209">
        <f>IF(DD$3=$K483,IF($C483="W",1,IF($C483="1/2W",0.5,0)),0)</f>
        <v>0</v>
      </c>
      <c r="DE483" s="210">
        <f>IF(DD$3=$K483,IF($C483="L",1,IF($C483="1/2L",0.5,0)),0)</f>
        <v>0</v>
      </c>
      <c r="DF483" s="211">
        <f>IF(AND(L483&lt;DF$3,$C483="W"),1+DF482,DF482)</f>
        <v>16</v>
      </c>
      <c r="DG483" s="198">
        <f>IF(DF483&gt;DF482,L483+DG482,DG482)</f>
        <v>21.158</v>
      </c>
      <c r="DH483" s="209">
        <f>IF(AND(L483&gt;DH$3,$C483="W"),1+DH482,0+DH482)</f>
        <v>11</v>
      </c>
      <c r="DI483" s="198">
        <f>IF(DH483&gt;DH482,L483+DI482,DI482)</f>
        <v>59.13</v>
      </c>
      <c r="DJ483" t="s" s="306">
        <f>IF($D481="","",$D481)</f>
        <v>358</v>
      </c>
      <c r="DK483" s="232"/>
    </row>
    <row r="484" ht="14.55" customHeight="1">
      <c r="A484" s="246">
        <f>$A481+1</f>
        <v>161</v>
      </c>
      <c r="B484" t="s" s="247">
        <f>IF(AND(_xlfn.XLOOKUP(H484,H$107:H251,G$107:G251,0)=G484,_xlfn.XLOOKUP("TempoBet",K484:K486,L484:L486,0)&gt;0),"X",IF(OR(C484="W",C485="W",C486="W",C484="1/2W",C485="1/2W",C486="1/2W",C484="1/2L",C485="1/2L",C486="1/2L"),"OK",IF(OR(C484="L",C485="L",C486="L"),"LOSS",IF(OR(C484="X",C485="X",C486="X"),"Anulado"," "))))</f>
        <v>50</v>
      </c>
      <c r="C484" t="s" s="248">
        <v>51</v>
      </c>
      <c r="D484" t="s" s="303">
        <f>IF(G484="","",$D481)</f>
        <v>358</v>
      </c>
      <c r="E484" t="s" s="250">
        <v>135</v>
      </c>
      <c r="F484" t="s" s="251"/>
      <c r="G484" s="252">
        <v>44951.666666666664</v>
      </c>
      <c r="H484" t="s" s="253">
        <v>379</v>
      </c>
      <c r="I484" t="s" s="254">
        <v>54</v>
      </c>
      <c r="J484" s="255">
        <v>3.5</v>
      </c>
      <c r="K484" t="s" s="256">
        <v>41</v>
      </c>
      <c r="L484" s="257">
        <v>1.8</v>
      </c>
      <c r="M484" s="258"/>
      <c r="N484" s="259">
        <v>0</v>
      </c>
      <c r="O484" s="260">
        <f>IF(OR(AE484="",AE485=""),"",ROUND(IF(L486&gt;0,IF(M484&gt;0,M484,IF(M485&gt;0,ROUND((M485*AE484)/AE485,IF(N484=0,2,IF(N484=0.1,1,0))),ROUND((M486*AE484)/AE486,IF(N484=0,2,IF(N484=0.1,1,0))))),IF(M484&gt;0,M484,ROUND((M485*AE484)/AE485,IF(N484=0,2,IF(N484=0.1,1,0))))),2))</f>
        <v>6.95</v>
      </c>
      <c r="P484" s="261">
        <f>IF(OR(L484="",O484=""),"",IF($C484="1/2W",O484/2+O484/2*L484,IF($C484="1/2L",O484/2,IF(I484="Lay",(O484*(L484/(L484-1))-O484)*(1-_xlfn.XLOOKUP(K484,'Janeiro 2023 - Valor Real'!A3:A15,'Janeiro 2023 - Valor Real'!C3:C15,0))+O484,(O484*L484-O484)*(1-_xlfn.XLOOKUP(K484,'Janeiro 2023 - Valor Real'!A3:A15,'Janeiro 2023 - Valor Real'!C3:C15,0))+O484))))</f>
        <v>12.51</v>
      </c>
      <c r="Q484" s="262">
        <f>IF(K484="","",IF(_xlfn.XLOOKUP(K484,K$107:K251,DJ$107:DJ251,0,,-1)=DJ484,_xlfn.XLOOKUP(K484,K$107:K251,Q$107:Q251,1,,-1)+1,1))</f>
        <v>1</v>
      </c>
      <c r="R484" s="263">
        <f>IF(K484="","",_xlfn.XLOOKUP(K484,K$107:K251,R$107:R251,0,,-1)+IF($C484=" ",1,0))</f>
        <v>0</v>
      </c>
      <c r="S484" s="264">
        <f>IF($B484="Anulado",0,ROUND(IF(OR($B484="LOSS",$B484="OK"),IF(OR($C484="W",$C484="1/2W",$C484="1/2L"),P484-O484,IF($C484="L",-O484,0))+IF(OR($C485="W",$C485="1/2W",$C485="1/2L"),P485-O485,IF($C485="L",-O485,0))+IF(OR($C486="W",$C486="1/2W",$C486="1/2L"),P486-O486,IF($C486="L",-O486,0)),IF(AND(OR($C484="W",$C484="1/2W",$C484="1/2L"),C485="W"),P484+P485-SUM(O484:O486)+_xlfn.XLOOKUP("X",C484:C486,O484:O486,0),IF(AND(C484=TRUE,C486="W"),P484+P486-SUM(O484:O486),IF(AND(C485="W",C486="W"),P485+P486-SUM(O484:O486)+_xlfn.XLOOKUP("X",C484:C486,O484:O486,0),IF(L486&gt;0,IF(OR($C484="W",$C484="1/2W",$C484="1/2L"),P484-SUM(O484:O486)+_xlfn.XLOOKUP("X",C484:C486,O484:O486,0),IF(OR($C484="W",$C484="1/2W",$C484="1/2L"),P485-SUM(O484:O486)+_xlfn.XLOOKUP("X",C484:C486,O484:O486,0),IF(OR($C484="W",$C484="1/2W",$C484="1/2L"),P486-SUM(O484:O486)+_xlfn.XLOOKUP("X",C484:C486,O484:O486,0),IF(SUM(P484:P486)/3-SUM(O484:O486)+_xlfn.XLOOKUP("X",C484:C486,O484:O486,0)&gt;0,SUM(P484:P486)/3-SUM(O484:O486)+_xlfn.XLOOKUP("X",C484:C486,O484:O486,0),LARGE(P484:P486,1)-SUM(O484:O486))))),IF(OR($C484="W",$C484="1/2W",$C484="1/2L"),P484-SUM(O484:O485)+_xlfn.XLOOKUP("X",C484:C486,O484:O486,0),IF(OR($C484="W",$C484="1/2W",$C484="1/2L"),P485-SUM(O484:O485)+_xlfn.XLOOKUP("X",C484:C486,O484:O486,0),SUM(P484:P485)/2-SUM(O484:O485)+_xlfn.XLOOKUP("X",C484:C486,O484:O486,0)))))))),2))</f>
        <v>0.75</v>
      </c>
      <c r="T484" s="265">
        <f>IF(S484=0,0,S484/SUM(O484:O486))</f>
        <v>0.06377551020408161</v>
      </c>
      <c r="U484" s="266">
        <f>IF($D484=$D481,IF(OR($B484="LOSS",$B484="OK",$B484="Anulada"),S484,0)+U481,IF(OR($B484="LOSS",$B484="OK",$B484="Anulada"),S484,0))</f>
        <v>19.58</v>
      </c>
      <c r="V484" s="266">
        <f>IF($D484="",0,IF($D484=$D481,IF($B484=" ",IF(I486="",IF(OR(AND(I484="DNB1",I485="DNB2"),AND(OR(I484="DNB1",I484="DNB2"),J485=0),AND(OR(I485="DNB1",I485="DNB2"),J484=0),AND(I484="DNB2",I485="DNB1"),AND(IF(J484=0,(J484+1)/ROUND(J484+1,0),J484/ROUND(J484,0))=1,IF(J485=0,(J485+1)/ROUND(IF(J485="",0,J485)+1,0),IF(J485="",0,J485)/ROUND(IF(J485="",1,J485),0))=1,OR(J484&lt;&gt;""),J485&lt;&gt;"")),0,IF(S484&lt;0,IF(I486="",SMALL(P484:P485,1)-SUM(O484:O485),0),SMALL(P484:P485,1)-SUM(O484:O485))),IF(S484&lt;0,IF(I486="",SMALL(P484:P486,1)-SUM(O484:O486),0),LARGE(P484:P486,1)-SUM(O484:O486))),S484)+V481,IF(I486="",IF(OR(AND(I484="DNB1",I485="DNB2"),AND(OR(I484="DNB1",I484="DNB2"),J485=0),AND(OR(I485="DNB1",I485="DNB2"),J484=0),AND(I484="DNB2",I485="DNB1"),AND(IF(J484=0,(J484+1)/ROUND(J484+1,0),J484/ROUND(J484,0))=1,IF(J485=0,(IF(J485="",0,J485)+1)/ROUND(IF(J485="",0,J485)+1,0),IF(J485="",0,J485)/ROUND(IF(J485="",0,J485)+1,0))=1,OR(J484&lt;&gt;""),J485&lt;&gt;"")),0,IF(S484&lt;0,IF(I486="",SMALL(P484:P485,1)-SUM(O484:O485),0),SMALL(P484:P486,1)-SUM(O484:O486))),IF(S484&lt;0,IF(I486="",SMALL(P484:P486,1)-SUM(O484:O486),0),LARGE(P484:P486,1)-SUM(O484:O486)))))</f>
        <v>19.58</v>
      </c>
      <c r="W484" s="266">
        <f>IF($D484=$D481,IF(S484&lt;0,IF(I486="",S484,0),S484)+W481,S484)</f>
        <v>19.58</v>
      </c>
      <c r="X484" t="s" s="267">
        <f>IF(OR(SUM(R484:R486)=0,V484=W484),ROUND(IF(W484=0,0,W484/Y484)*100,2)&amp;"%",ROUND(IF(V484=0,0,V484/Y484)*100,2)&amp;"% a "&amp;ROUND(IF(W484=0,0,W484/Y484)*100,2)&amp;"%")</f>
        <v>380</v>
      </c>
      <c r="Y484" s="268">
        <f>IF($D484=$D481,Y481+SUM(O484:O486),SUM(O484:O486))</f>
        <v>342.28</v>
      </c>
      <c r="Z484" s="266">
        <f>IF($B484=" ",SUM(O484:O486),0)+Z481</f>
        <v>0</v>
      </c>
      <c r="AA484" s="266">
        <f>IF(G484="","",IF($B484="Anulado",LARGE(P484:P486,1)-SUM(O484:O486)+AA481,AA481))</f>
        <v>22.2257</v>
      </c>
      <c r="AB484" s="266">
        <f>IF($D484="","",AB481+S484)</f>
        <v>327.43</v>
      </c>
      <c r="AC484" s="269">
        <f>IF($D484="","",IF($B484=" ",IF(DAY(G484)=DAY(TODAY()),1+AC481,0+AC481),0+AC481))</f>
        <v>0</v>
      </c>
      <c r="AD484" s="270">
        <f>(1-_xlfn.XLOOKUP(K482,'Janeiro 2023 - Valor Real'!A3:A15,'Janeiro 2023 - Valor Real'!C3:C15,0))+1</f>
        <v>2</v>
      </c>
      <c r="AE484" s="271">
        <f>IF(L484="","",IF(L486&gt;0,(SUM(((L484-1)*(1-_xlfn.XLOOKUP(K484,'Janeiro 2023 - Valor Real'!A3:A15,'Janeiro 2023 - Valor Real'!C3:C15,0))+1),((L485-1)*(1-_xlfn.XLOOKUP(K485,'Janeiro 2023 - Valor Real'!A3:A15,'Janeiro 2023 - Valor Real'!C3:C15,0))+1),((L486-1)*(1-_xlfn.XLOOKUP(K486,'Janeiro 2023 - Valor Real'!A3:A15,'Janeiro 2023 - Valor Real'!C3:C15,0))+1))/((L484-1)*(1-_xlfn.XLOOKUP(K484,'Janeiro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Real'!C3:C15,0))+1))/((L484-1)*(1-_xlfn.XLOOKUP(K484,'Janeiro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Real'!C3:C15,0))+1))/((L485-1)*(1-_xlfn.XLOOKUP(K485,'Janeiro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Real'!C3:C15,0))+1))/((L486-1)*(1-_xlfn.XLOOKUP(K486,'Janeiro 2023 - Valor Real'!A3:A15,'Janeiro 2023 - Valor Real'!C3:C15,0))+1)),IF(I484="Lay",IF(I485="Lay",((L485/(L485-1)-1)*(1-_xlfn.XLOOKUP(K485,'Janeiro 2023 - Valor Real'!A3:A15,'Janeiro 2023 - Valor Real'!C3:C15,0))+1)/(((L485/(L485-1)-1)*(1-_xlfn.XLOOKUP(K485,'Janeiro 2023 - Valor Real'!A3:A15,'Janeiro 2023 - Valor Real'!C3:C15,0))+1)+((L484/(L484-1)-1)*(1-_xlfn.XLOOKUP(K484,'Janeiro 2023 - Valor Real'!A3:A15,'Janeiro 2023 - Valor Real'!C3:C15,0))+1)),((L485-1)*(1-_xlfn.XLOOKUP(K485,'Janeiro 2023 - Valor Real'!A3:A15,'Janeiro 2023 - Valor Real'!C3:C15,0))+1)/(((L485-1)*(1-_xlfn.XLOOKUP(K485,'Janeiro 2023 - Valor Real'!A3:A15,'Janeiro 2023 - Valor Real'!C3:C15,0))+1)+((L484/(L484-1)-1)*(1-_xlfn.XLOOKUP(K484,'Janeiro 2023 - Valor Real'!A3:A15,'Janeiro 2023 - Valor Real'!C3:C15,0))+1))),IF(I485="Lay",(((L485/(L485-1)-1)*(1-_xlfn.XLOOKUP(K485,'Janeiro 2023 - Valor Real'!A3:A15,'Janeiro 2023 - Valor Real'!C3:C15,0))+1))/(((L484-1)*(1-_xlfn.XLOOKUP(K484,'Janeiro 2023 - Valor Real'!A3:A15,'Janeiro 2023 - Valor Real'!C3:C15,0))+1)+((L485/(L485-1)-1)*(1-_xlfn.XLOOKUP(K485,'Janeiro 2023 - Valor Real'!A3:A15,'Janeiro 2023 - Valor Real'!C3:C15,0))+1)),((L485-1)*(1-_xlfn.XLOOKUP(K485,'Janeiro 2023 - Valor Real'!A3:A15,'Janeiro 2023 - Valor Real'!C3:C15,0))+1)/(((L485-1)*(1-_xlfn.XLOOKUP(K485,'Janeiro 2023 - Valor Real'!A3:A15,'Janeiro 2023 - Valor Real'!C3:C15,0))+1)+((L484-1)*(1-_xlfn.XLOOKUP(K484,'Janeiro 2023 - Valor Real'!A3:A15,'Janeiro 2023 - Valor Real'!C3:C15,0))+1))))))</f>
        <v>0.5909090909090911</v>
      </c>
      <c r="AF484" s="132">
        <f>IF($K484=AF$3,ROUND(IF(OR($C484="W",$C484="1/2W",$C484="1/2L"),$P484-$O484,IF($C484="X",0,-$O484)),2),0)</f>
        <v>0</v>
      </c>
      <c r="AG484" s="133">
        <f>IF($K484=AG$3,ROUND(IF(OR($C484="W",$C484="1/2W",$C484="1/2L"),$P484-$O484,IF($C484="X",0,-$O484)),2),0)</f>
        <v>0</v>
      </c>
      <c r="AH484" s="133">
        <f>IF($K484=AH$3,ROUND(IF(OR($C484="W",$C484="1/2W",$C484="1/2L"),$P484-$O484,IF($C484="X",0,-$O484)),2),0)</f>
        <v>0</v>
      </c>
      <c r="AI484" s="133">
        <f>IF($K484=AI$3,ROUND(IF(OR($C484="W",$C484="1/2W",$C484="1/2L"),$P484-$O484,IF($C484="X",0,-$O484)),2),0)</f>
        <v>0</v>
      </c>
      <c r="AJ484" s="133">
        <f>IF($K484=AJ$3,ROUND(IF(OR($C484="W",$C484="1/2W",$C484="1/2L"),$P484-$O484,IF($C484="X",0,-$O484)),2),0)</f>
        <v>-6.95</v>
      </c>
      <c r="AK484" s="133">
        <f>IF($K484=AK$3,ROUND(IF(OR($C484="W",$C484="1/2W",$C484="1/2L"),$P484-$O484,IF($C484="X",0,-$O484)),2),0)</f>
        <v>0</v>
      </c>
      <c r="AL484" s="133">
        <f>IF($K484=AL$3,ROUND(IF(OR($C484="W",$C484="1/2W",$C484="1/2L"),$P484-$O484,IF($C484="X",0,-$O484)),2),0)</f>
        <v>0</v>
      </c>
      <c r="AM484" s="133">
        <f>IF($K484=AM$3,ROUND(IF(OR($C484="W",$C484="1/2W",$C484="1/2L"),$P484-$O484,IF($C484="X",0,-$O484)),2),0)</f>
        <v>0</v>
      </c>
      <c r="AN484" s="133">
        <f>IF($K484=AN$3,ROUND(IF(OR($C484="W",$C484="1/2W",$C484="1/2L"),$P484-$O484,IF($C484="X",0,-$O484)),2),0)</f>
        <v>0</v>
      </c>
      <c r="AO484" s="133">
        <f>IF($K484=AO$3,ROUND(IF(OR($C484="W",$C484="1/2W",$C484="1/2L"),$P484-$O484,IF($C484="X",0,-$O484)),2),0)</f>
        <v>0</v>
      </c>
      <c r="AP484" s="133">
        <f>IF($K484=AP$3,ROUND(IF(OR($C484="W",$C484="1/2W",$C484="1/2L"),$P484-$O484,IF($C484="X",0,-$O484)),2),0)</f>
        <v>0</v>
      </c>
      <c r="AQ484" s="133">
        <f>IF($K484=AQ$3,ROUND(IF(OR($C484="W",$C484="1/2W",$C484="1/2L"),$P484-$O484,IF($C484="X",0,-$O484)),2),0)</f>
        <v>0</v>
      </c>
      <c r="AR484" s="134">
        <f>IF($K484=AR$3,ROUND(IF(OR($C484="W",$C484="1/2W",$C484="1/2L"),$P484-$O484,IF($C484="X",0,-$O484)),2),0)</f>
        <v>0</v>
      </c>
      <c r="AS484" s="132">
        <f>IF(AND($B484=" ",$K484=AS$3),$O484,0)</f>
        <v>0</v>
      </c>
      <c r="AT484" s="133">
        <f>IF(AND($B484=" ",$K484=AT$3),$O484,0)</f>
        <v>0</v>
      </c>
      <c r="AU484" s="133">
        <f>IF(AND($B484=" ",$K484=AU$3),$O484,0)</f>
        <v>0</v>
      </c>
      <c r="AV484" s="133">
        <f>IF(AND($B484=" ",$K484=AV$3),$O484,0)</f>
        <v>0</v>
      </c>
      <c r="AW484" s="133">
        <f>IF(AND($B484=" ",$K484=AW$3),$O484,0)</f>
        <v>0</v>
      </c>
      <c r="AX484" s="133">
        <f>IF(AND($B484=" ",$K484=AX$3),$O484,0)</f>
        <v>0</v>
      </c>
      <c r="AY484" s="135">
        <f>IF(AND($B484=" ",$K484=AY$3),$O484,0)</f>
        <v>0</v>
      </c>
      <c r="AZ484" s="136">
        <f>IF(AND($B484=" ",$K484=AZ$3),$O484,0)</f>
        <v>0</v>
      </c>
      <c r="BA484" s="136">
        <f>IF(AND($B484=" ",$K484=BA$3),$O484,0)</f>
        <v>0</v>
      </c>
      <c r="BB484" s="136">
        <f>IF(AND($B484=" ",$K484=BB$3),$O484,0)</f>
        <v>0</v>
      </c>
      <c r="BC484" s="137">
        <f>IF(AND($B484=" ",$K484=BC$3),$O484,0)</f>
        <v>0</v>
      </c>
      <c r="BD484" s="133">
        <f>IF(AND($B484=" ",$K484=BD$3),$O484,0)</f>
        <v>0</v>
      </c>
      <c r="BE484" s="134">
        <f>IF(AND($B484=" ",$K484=BE$3),$O484,0)</f>
        <v>0</v>
      </c>
      <c r="BF484" s="132">
        <f>IF($K484=BF$3,IF($C484="X",0,$O484),0)</f>
        <v>0</v>
      </c>
      <c r="BG484" s="133">
        <f>IF($K484=BG$3,IF($C484="X",0,$O484),0)</f>
        <v>0</v>
      </c>
      <c r="BH484" s="133">
        <f>IF($K484=BH$3,IF($C484="X",0,$O484),0)</f>
        <v>0</v>
      </c>
      <c r="BI484" s="133">
        <f>IF($K484=BI$3,IF($C484="X",0,$O484),0)</f>
        <v>0</v>
      </c>
      <c r="BJ484" s="133">
        <f>IF($K484=BJ$3,IF($C484="X",0,$O484),0)</f>
        <v>6.95</v>
      </c>
      <c r="BK484" s="133">
        <f>IF($K484=BK$3,IF($C484="X",0,$O484),0)</f>
        <v>0</v>
      </c>
      <c r="BL484" s="133">
        <f>IF($K484=BL$3,IF($C484="X",0,$O484),0)</f>
        <v>0</v>
      </c>
      <c r="BM484" s="135">
        <f>IF($K484=BM$3,IF($C484="X",0,$O484),0)</f>
        <v>0</v>
      </c>
      <c r="BN484" s="136">
        <f>IF($K484=BN$3,IF($C484="X",0,$O484),0)</f>
        <v>0</v>
      </c>
      <c r="BO484" s="136">
        <f>IF($K484=BO$3,IF($C484="X",0,$O484),0)</f>
        <v>0</v>
      </c>
      <c r="BP484" s="136">
        <f>IF($K484=BP$3,IF($C484="X",0,$O484),0)</f>
        <v>0</v>
      </c>
      <c r="BQ484" s="137">
        <f>IF($K484=BQ$3,IF($C484="X",0,$O484),0)</f>
        <v>0</v>
      </c>
      <c r="BR484" s="134">
        <f>IF($K484=BR$3,IF($C484="X",0,$O484),0)</f>
        <v>0</v>
      </c>
      <c r="BS484" s="170">
        <f>IF($B484="LOSS",IF(AND($K484=BS$3,$C484="L"),-$O484,0)+IF(AND($K485=BS$3,$C485="L"),-$O485,0)+IF(AND($K486=BS$3,$C486="L"),-$O486,0),IF(OR(AND($K484=BS$3,OR($C484="W",$C484="1/2W")),AND($K485=BS$3,OR($C485="W",$C485="1/2W")),AND($K486=BS$3,OR($C486="W",$C486="1/2W"))),$S484,0))</f>
        <v>0</v>
      </c>
      <c r="BT484" s="272">
        <f>IF($B484="LOSS",IF(AND($K484=BT$3,$C484="L"),-$O484,0)+IF(AND($K485=BT$3,$C485="L"),-$O485,0)+IF(AND($K485=BT$3,$C486="L"),-$O486,0),IF(OR(AND($K485=BT$3,OR($C484="W",$C484="1/2W")),AND($K485=BT$3,OR($C485="W",$C485="1/2W")),AND($K485=BT$3,OR($C486="W",$C486="1/2W"))),$S484,0))</f>
        <v>0.75</v>
      </c>
      <c r="BU484" s="136">
        <f>IF($B484="LOSS",IF(AND($K484=BU$3,$C484="L"),-$O484,0)+IF(AND($K485=BU$3,$C485="L"),-$O485,0)+IF(AND($K485=BU$3,$C486="L"),-$O486,0),IF(OR(AND($K485=BU$3,OR($C484="W",$C484="1/2W")),AND($K485=BU$3,OR($C485="W",$C485="1/2W")),AND($K485=BU$3,OR($C486="W",$C486="1/2W"))),$S484,0))</f>
        <v>0</v>
      </c>
      <c r="BV484" s="136">
        <f>IF($B484="LOSS",IF(AND($K484=BV$3,$C484="L"),-$O484,0)+IF(AND($K485=BV$3,$C485="L"),-$O485,0)+IF(AND($K486=BV$3,$C486="L"),-$O486,0),IF(OR(AND($K484=BV$3,OR($C484="W",$C484="1/2W")),AND($K485=BV$3,OR($C485="W",$C485="1/2W")),AND($K486=BV$3,OR($C486="W",$C486="1/2W"))),$S484,0))</f>
        <v>0</v>
      </c>
      <c r="BW484" s="136">
        <f>IF($B484="LOSS",IF(AND($K484=BW$3,$C484="L"),-$O484,0)+IF(AND($K485=BW$3,$C485="L"),-$O485,0)+IF(AND($K486=BW$3,$C486="L"),-$O486,0),IF(OR(AND($K484=BW$3,OR($C484="W",$C484="1/2W")),AND($K485=BW$3,OR($C485="W",$C485="1/2W")),AND($K486=BW$3,OR($C486="W",$C486="1/2W"))),$S484,0))</f>
        <v>0</v>
      </c>
      <c r="BX484" s="136">
        <f>IF($B484="LOSS",IF(AND($K484=BX$3,$C484="L"),-$O484,0)+IF(AND($K485=BX$3,$C485="L"),-$O485,0)+IF(AND($K486=BX$3,$C486="L"),-$O486,0),IF(OR(AND($K484=BX$3,OR($C484="W",$C484="1/2W")),AND($K485=BX$3,OR($C485="W",$C485="1/2W")),AND($K486=BX$3,OR($C486="W",$C486="1/2W"))),$S484,0))</f>
        <v>0</v>
      </c>
      <c r="BY484" s="136">
        <f>IF($B484="LOSS",IF(AND($K484=BY$3,$C484="L"),-$O484,0)+IF(AND($K485=BY$3,$C485="L"),-$O485,0)+IF(AND($K486=BY$3,$C486="L"),-$O486,0),IF(OR(AND($K484=BY$3,OR($C484="W",$C484="1/2W")),AND($K485=BY$3,OR($C485="W",$C485="1/2W")),AND($K486=BY$3,OR($C486="W",$C486="1/2W"))),$S484,0))</f>
        <v>0</v>
      </c>
      <c r="BZ484" s="136">
        <f>IF($B484="LOSS",IF(AND($K484=BZ$3,$C484="L"),-$O484,0)+IF(AND($K485=BZ$3,$C485="L"),-$O485,0)+IF(AND($K486=BZ$3,$C486="L"),-$O486,0),IF(OR(AND($K484=BZ$3,OR($C484="W",$C484="1/2W")),AND($K485=BZ$3,OR($C485="W",$C485="1/2W")),AND($K486=BZ$3,OR($C486="W",$C486="1/2W"))),$S484,0))</f>
        <v>0</v>
      </c>
      <c r="CA484" s="136">
        <f>IF($B484="LOSS",IF(AND($K484=CA$3,$C484="L"),-$O484,0)+IF(AND($K485=CA$3,$C485="L"),-$O485,0)+IF(AND($K486=CA$3,$C486="L"),-$O486,0),IF(OR(AND($K484=CA$3,OR($C484="W",$C484="1/2W")),AND($K485=CA$3,OR($C485="W",$C485="1/2W")),AND($K486=CA$3,OR($C486="W",$C486="1/2W"))),$S484,0))</f>
        <v>0</v>
      </c>
      <c r="CB484" s="136">
        <f>IF($B484="LOSS",IF(AND($K484=CB$3,$C484="L"),-$O484,0)+IF(AND($K485=CB$3,$C485="L"),-$O485,0)+IF(AND($K486=CB$3,$C486="L"),-$O486,0),IF(OR(AND($K484=CB$3,OR($C484="W",$C484="1/2W")),AND($K485=CB$3,OR($C485="W",$C485="1/2W")),AND($K486=CB$3,OR($C486="W",$C486="1/2W"))),$S484,0))</f>
        <v>0</v>
      </c>
      <c r="CC484" s="136">
        <f>IF($B484="LOSS",IF(AND($K484=CC$3,$C484="L"),-$O484,0)+IF(AND($K485=CC$3,$C485="L"),-$O485,0)+IF(AND($K486=CC$3,$C486="L"),-$O486,0),IF(OR(AND($K484=CC$3,OR($C484="W",$C484="1/2W")),AND($K485=CC$3,OR($C485="W",$C485="1/2W")),AND($K486=CC$3,OR($C486="W",$C486="1/2W"))),$S484,0))</f>
        <v>0</v>
      </c>
      <c r="CD484" s="137">
        <f>IF($B484="LOSS",IF(AND($K484=CD$3,$C484="L"),-$O484,0)+IF(AND($K485=CD$3,$C485="L"),-$O485,0)+IF(AND($K486=CD$3,$C486="L"),-$O486,0),IF(OR(AND($K484=CD$3,OR($C484="W",$C484="1/2W")),AND($K485=CD$3,OR($C485="W",$C485="1/2W")),AND($K486=CD$3,OR($C486="W",$C486="1/2W"))),$S484,0))</f>
        <v>0</v>
      </c>
      <c r="CE484" s="134">
        <f>IF($B484="LOSS",IF(AND($K484=CE$3,$C484="L"),-$O484,0)+IF(AND($K485=CE$3,$C485="L"),-$O485,0)+IF(AND($K486=CE$3,$C486="L"),-$O486,0),IF(OR(AND($K484=CE$3,OR($C484="W",$C484="1/2W")),AND($K485=CE$3,OR($C485="W",$C485="1/2W")),AND($K486=CE$3,OR($C486="W",$C486="1/2W"))),$S484,0))</f>
        <v>0</v>
      </c>
      <c r="CF484" s="273">
        <f>IF(CF$3=$K484,IF($C484="W",1,IF($C484="1/2W",0.5,0)),0)</f>
        <v>0</v>
      </c>
      <c r="CG484" s="274">
        <f>IF(CF$3=$K484,IF($C484="L",1,IF($C484="1/2L",0.5,0)),0)</f>
        <v>0</v>
      </c>
      <c r="CH484" s="274">
        <f>IF(CH$3=$K484,IF($C484="W",1,IF($C484="1/2W",0.5,0)),0)</f>
        <v>0</v>
      </c>
      <c r="CI484" s="274">
        <f>IF(CH$3=$K484,IF($C484="L",1,IF($C484="1/2L",0.5,0)),0)</f>
        <v>0</v>
      </c>
      <c r="CJ484" s="274">
        <f>IF(CJ$3=$K484,IF($C484="W",1,IF($C484="1/2W",0.5,0)),0)</f>
        <v>0</v>
      </c>
      <c r="CK484" s="274">
        <f>IF(CJ$3=$K484,IF($C484="L",1,IF($C484="1/2L",0.5,0)),0)</f>
        <v>0</v>
      </c>
      <c r="CL484" s="274">
        <f>IF(CL$3=$K484,IF($C484="W",1,IF($C484="1/2W",0.5,0)),0)</f>
        <v>0</v>
      </c>
      <c r="CM484" s="274">
        <f>IF(CL$3=$K484,IF($C484="L",1,IF($C484="1/2L",0.5,0)),0)</f>
        <v>0</v>
      </c>
      <c r="CN484" s="274">
        <f>IF(CN$3=$K484,IF($C484="W",1,IF($C484="1/2W",0.5,0)),0)</f>
        <v>0</v>
      </c>
      <c r="CO484" s="274">
        <f>IF(CN$3=$K484,IF($C484="L",1,IF($C484="1/2L",0.5,0)),0)</f>
        <v>1</v>
      </c>
      <c r="CP484" s="274">
        <f>IF(CP$3=$K484,IF($C484="W",1,IF($C484="1/2W",0.5,0)),0)</f>
        <v>0</v>
      </c>
      <c r="CQ484" s="274">
        <f>IF(CP$3=$K484,IF($C484="L",1,IF($C484="1/2L",0.5,0)),0)</f>
        <v>0</v>
      </c>
      <c r="CR484" s="274">
        <f>IF(CR$3=$K484,IF($C484="W",1,IF($C484="1/2W",0.5,0)),0)</f>
        <v>0</v>
      </c>
      <c r="CS484" s="274">
        <f>IF(CR$3=$K484,IF($C484="L",1,IF($C484="1/2L",0.5,0)),0)</f>
        <v>0</v>
      </c>
      <c r="CT484" s="145">
        <f>IF(CT$3=$K484,IF($C484="W",1,IF($C484="1/2W",0.5,0)),0)</f>
        <v>0</v>
      </c>
      <c r="CU484" s="146">
        <f>IF(CT$3=$K484,IF($C484="L",1,IF($C484="1/2L",0.5,0)),0)</f>
        <v>0</v>
      </c>
      <c r="CV484" s="146">
        <f>IF(CV$3=$K484,IF($C484="W",1,IF($C484="1/2W",0.5,0)),0)</f>
        <v>0</v>
      </c>
      <c r="CW484" s="146">
        <f>IF(CV$3=$K484,IF($C484="L",1,IF($C484="1/2L",0.5,0)),0)</f>
        <v>0</v>
      </c>
      <c r="CX484" s="146">
        <f>IF(CX$3=$K484,IF($C484="W",1,IF($C484="1/2W",0.5,0)),0)</f>
        <v>0</v>
      </c>
      <c r="CY484" s="146">
        <f>IF(CX$3=$K484,IF($C484="L",1,IF($C484="1/2L",0.5,0)),0)</f>
        <v>0</v>
      </c>
      <c r="CZ484" s="146">
        <f>IF(CZ$3=$K484,IF($C484="W",1,IF($C484="1/2W",0.5,0)),0)</f>
        <v>0</v>
      </c>
      <c r="DA484" s="146">
        <f>IF(CZ$3=$K484,IF($C484="L",1,IF($C484="1/2L",0.5,0)),0)</f>
        <v>0</v>
      </c>
      <c r="DB484" s="146">
        <f>IF(DB$3=$K484,IF($C484="W",1,IF($C484="1/2W",0.5,0)),0)</f>
        <v>0</v>
      </c>
      <c r="DC484" s="146">
        <f>IF(DB$3=$K484,IF($C484="L",1,IF($C484="1/2L",0.5,0)),0)</f>
        <v>0</v>
      </c>
      <c r="DD484" s="146">
        <f>IF(DD$3=$K484,IF($C484="W",1,IF($C484="1/2W",0.5,0)),0)</f>
        <v>0</v>
      </c>
      <c r="DE484" s="147">
        <f>IF(DD$3=$K484,IF($C484="L",1,IF($C484="1/2L",0.5,0)),0)</f>
        <v>0</v>
      </c>
      <c r="DF484" s="143">
        <f>IF(AND(L484&lt;DF$3,$C484="W"),1+DF483,DF483)</f>
        <v>16</v>
      </c>
      <c r="DG484" s="133">
        <f>IF(DF484&gt;DF483,L484+DG483,DG483)</f>
        <v>21.158</v>
      </c>
      <c r="DH484" s="146">
        <f>IF(AND(L484&gt;DH$3,$C484="W"),1+DH483,0+DH483)</f>
        <v>11</v>
      </c>
      <c r="DI484" s="133">
        <f>IF(DH484&gt;DH483,L484+DI483,DI483)</f>
        <v>59.13</v>
      </c>
      <c r="DJ484" t="s" s="304">
        <f>IF($D484="","",$D484)</f>
        <v>358</v>
      </c>
      <c r="DK484" s="146">
        <f>IF(AND($B484=" ",$D484&lt;&gt;""),1,0)</f>
        <v>0</v>
      </c>
    </row>
    <row r="485" ht="14.55" customHeight="1">
      <c r="A485" s="107"/>
      <c r="B485" s="108"/>
      <c r="C485" t="s" s="109">
        <v>56</v>
      </c>
      <c r="D485" s="110"/>
      <c r="E485" s="111"/>
      <c r="F485" s="113"/>
      <c r="G485" s="252"/>
      <c r="H485" s="114"/>
      <c r="I485" t="s" s="275">
        <v>139</v>
      </c>
      <c r="J485" s="276">
        <f>IF(OR(I484="TO",I484="TU",I484="TO1",I484="TU1",I484="TO2",I484="TU2"),J484,IF(OR(I484="AH1",I484="AH2"),IF(OR(I485="AH1",I485="AH2"),-J484,IF(OR(I485="EH1",I485="EH2"),-J484+0.5,"")),IF(OR(I484="EH1",I484="EH2"),IF(OR(I485="AH1",I485="AH2"),-J484+0.5,IF(OR(I485="EH1",I485="EH2"),-J484+1,"")),IF(AND(OR(I484="DNB1",I484="DNB2"),OR(I485="AH1",I485="AH2")),0,IF(AND(I484="Not ScoreBoth",OR(I485="TO1",I485="TO2")),0.5,"")))))</f>
        <v>-3</v>
      </c>
      <c r="K485" t="s" s="117">
        <v>38</v>
      </c>
      <c r="L485" s="277">
        <v>2.6</v>
      </c>
      <c r="M485" s="278">
        <v>4.81</v>
      </c>
      <c r="N485" s="120"/>
      <c r="O485" s="121">
        <f>IF(OR(AE484="",AE485=""),"",ROUND(IF(L486&gt;0,IF(M485&gt;0,M485,IF(M484&gt;0,IF(N484=TRUE,ROUND((M484*AE485)/AE484,0),(M484*AE485)/AE484),IF(M485&gt;0,ROUND(M485,IF(N484=0,2,IF(N484=0.1,1,0))),IF(M486&gt;0,ROUND(O486*AE485/AE486,IF(N484=0,2,IF(N484=0.1,1,0))),0)))),IF(M485&gt;0,M485,ROUND((M484*AE485)/AE484,IF(N484=0,2,IF(N484=0.1,1,0))))),2))</f>
        <v>4.81</v>
      </c>
      <c r="P485" s="122">
        <f>IF(OR(L485="",O485=""),"",IF($C485="1/2W",O485/2+O485/2*L485,IF($C485="1/2L",O485/2,IF(I485="Lay",((O485*(L485/(L485-1)))-O485)*(1-_xlfn.XLOOKUP(K485,'Janeiro 2023 - Valor Real'!A3:A15,'Janeiro 2023 - Valor Real'!C3:C15,0))+O485,(O485*L485-O485)*(1-_xlfn.XLOOKUP(K485,'Janeiro 2023 - Valor Real'!A3:A15,'Janeiro 2023 - Valor Real'!C3:C15,0))+O485))))</f>
        <v>12.506</v>
      </c>
      <c r="Q485" s="279">
        <f>IF(K485="","",IF(_xlfn.XLOOKUP(K485,K$108:K252,DJ$108:DJ252,0,,-1)=DJ485,_xlfn.XLOOKUP(K485,K$108:K252,Q$108:Q252,1,,-1)+1,1))</f>
        <v>1</v>
      </c>
      <c r="R485" s="280">
        <f>IF(K485="","",_xlfn.XLOOKUP(K485,K$108:K252,R$108:R252,0,,-1)+IF($C485=" ",1,0))</f>
        <v>0</v>
      </c>
      <c r="S485" s="125"/>
      <c r="T485" s="126"/>
      <c r="U485" s="126"/>
      <c r="V485" s="224"/>
      <c r="W485" s="126"/>
      <c r="X485" s="127"/>
      <c r="Y485" s="128"/>
      <c r="Z485" s="129"/>
      <c r="AA485" s="129"/>
      <c r="AB485" s="129"/>
      <c r="AC485" s="129"/>
      <c r="AD485" s="130"/>
      <c r="AE485" s="131">
        <f>IF(L485="","",IF(L486&gt;0,(SUM(((L484-1)*(1-_xlfn.XLOOKUP(K484,'Janeiro 2023 - Valor Real'!A3:A15,'Janeiro 2023 - Valor Real'!C3:C15,0))+1),((L485-1)*(1-_xlfn.XLOOKUP(K485,'Janeiro 2023 - Valor Real'!A3:A15,'Janeiro 2023 - Valor Real'!C3:C15,0))+1),((L486-1)*(1-_xlfn.XLOOKUP(K486,'Janeiro 2023 - Valor Real'!A3:A15,'Janeiro 2023 - Valor Real'!C3:C15,0))+1))/((L485-1)*(1-_xlfn.XLOOKUP(K485,'Janeiro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Real'!C3:C15,0))+1))/((L484-1)*(1-_xlfn.XLOOKUP(K484,'Janeiro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Real'!C3:C15,0))+1))/((L485-1)*(1-_xlfn.XLOOKUP(K485,'Janeiro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Real'!C3:C15,0))+1))/((L486-1)*(1-_xlfn.XLOOKUP(K486,'Janeiro 2023 - Valor Real'!A3:A15,'Janeiro 2023 - Valor Real'!C3:C15,0))+1)),IF(I485="Lay",IF(I484="Lay",((L484/(L484-1)-1)*(1-_xlfn.XLOOKUP(K484,'Janeiro 2023 - Valor Real'!A3:A15,'Janeiro 2023 - Valor Real'!C3:C15,0))+1)/(((L484/(L484-1)-1)*(1-_xlfn.XLOOKUP(K484,'Janeiro 2023 - Valor Real'!A3:A15,'Janeiro 2023 - Valor Real'!C3:C15,0))+1)+((L485/(L485-1)-1)*(1-_xlfn.XLOOKUP(K485,'Janeiro 2023 - Valor Real'!A3:A15,'Janeiro 2023 - Valor Real'!C3:C15,0))+1)),((L484-1)*(1-_xlfn.XLOOKUP(K484,'Janeiro 2023 - Valor Real'!A3:A15,'Janeiro 2023 - Valor Real'!C3:C15,0))+1)/(((L484-1)*(1-_xlfn.XLOOKUP(K484,'Janeiro 2023 - Valor Real'!A3:A15,'Janeiro 2023 - Valor Real'!C3:C15,0))+1)+((L485/(L485-1)-1)*(1-_xlfn.XLOOKUP(K485,'Janeiro 2023 - Valor Real'!A3:A15,'Janeiro 2023 - Valor Real'!C3:C15,0))+1))),IF(I484="Lay",((L484/(L484-1)-1)*(1-_xlfn.XLOOKUP(K484,'Janeiro 2023 - Valor Real'!A3:A15,'Janeiro 2023 - Valor Real'!C3:C15,0))+1)/((((L484/(L484-1)-1)*(1-_xlfn.XLOOKUP(K484,'Janeiro 2023 - Valor Real'!A3:A15,'Janeiro 2023 - Valor Real'!C3:C15,0))+1))+((L485-1)*(1-_xlfn.XLOOKUP(K485,'Janeiro 2023 - Valor Real'!A3:A15,'Janeiro 2023 - Valor Real'!C3:C15,0))+1)),((L484-1)*(1-_xlfn.XLOOKUP(K484,'Janeiro 2023 - Valor Real'!A3:A15,'Janeiro 2023 - Valor Real'!C3:C15,0))+1)/(((L484-1)*(1-_xlfn.XLOOKUP(K484,'Janeiro 2023 - Valor Real'!A3:A15,'Janeiro 2023 - Valor Real'!C3:C15,0))+1)+((L485-1)*(1-_xlfn.XLOOKUP(K485,'Janeiro 2023 - Valor Real'!A3:A15,'Janeiro 2023 - Valor Real'!C3:C15,0))+1))))))</f>
        <v>0.409090909090909</v>
      </c>
      <c r="AF485" s="132">
        <f>IF($K485=AF$3,ROUND(IF(OR($C485="W",$C485="1/2W",$C485="1/2L"),$P485-$O485,IF($C485="X",0,-$O485)),2),0)</f>
        <v>0</v>
      </c>
      <c r="AG485" s="133">
        <f>IF($K485=AG$3,ROUND(IF(OR($C485="W",$C485="1/2W",$C485="1/2L"),$P485-$O485,IF($C485="X",0,-$O485)),2),0)</f>
        <v>7.7</v>
      </c>
      <c r="AH485" s="133">
        <f>IF($K485=AH$3,ROUND(IF(OR($C485="W",$C485="1/2W",$C485="1/2L"),$P485-$O485,IF($C485="X",0,-$O485)),2),0)</f>
        <v>0</v>
      </c>
      <c r="AI485" s="133">
        <f>IF($K485=AI$3,ROUND(IF(OR($C485="W",$C485="1/2W",$C485="1/2L"),$P485-$O485,IF($C485="X",0,-$O485)),2),0)</f>
        <v>0</v>
      </c>
      <c r="AJ485" s="133">
        <f>IF($K485=AJ$3,ROUND(IF(OR($C485="W",$C485="1/2W",$C485="1/2L"),$P485-$O485,IF($C485="X",0,-$O485)),2),0)</f>
        <v>0</v>
      </c>
      <c r="AK485" s="133">
        <f>IF($K485=AK$3,ROUND(IF(OR($C485="W",$C485="1/2W",$C485="1/2L"),$P485-$O485,IF($C485="X",0,-$O485)),2),0)</f>
        <v>0</v>
      </c>
      <c r="AL485" s="133">
        <f>IF($K485=AL$3,ROUND(IF(OR($C485="W",$C485="1/2W",$C485="1/2L"),$P485-$O485,IF($C485="X",0,-$O485)),2),0)</f>
        <v>0</v>
      </c>
      <c r="AM485" s="133">
        <f>IF($K485=AM$3,ROUND(IF(OR($C485="W",$C485="1/2W",$C485="1/2L"),$P485-$O485,IF($C485="X",0,-$O485)),2),0)</f>
        <v>0</v>
      </c>
      <c r="AN485" s="133">
        <f>IF($K485=AN$3,ROUND(IF(OR($C485="W",$C485="1/2W",$C485="1/2L"),$P485-$O485,IF($C485="X",0,-$O485)),2),0)</f>
        <v>0</v>
      </c>
      <c r="AO485" s="133">
        <f>IF($K485=AO$3,ROUND(IF(OR($C485="W",$C485="1/2W",$C485="1/2L"),$P485-$O485,IF($C485="X",0,-$O485)),2),0)</f>
        <v>0</v>
      </c>
      <c r="AP485" s="133">
        <f>IF($K485=AP$3,ROUND(IF(OR($C485="W",$C485="1/2W",$C485="1/2L"),$P485-$O485,IF($C485="X",0,-$O485)),2),0)</f>
        <v>0</v>
      </c>
      <c r="AQ485" s="133">
        <f>IF($K485=AQ$3,ROUND(IF(OR($C485="W",$C485="1/2W",$C485="1/2L"),$P485-$O485,IF($C485="X",0,-$O485)),2),0)</f>
        <v>0</v>
      </c>
      <c r="AR485" s="134">
        <f>IF($K485=AR$3,ROUND(IF(OR($C485="W",$C485="1/2W",$C485="1/2L"),$P485-$O485,IF($C485="X",0,-$O485)),2),0)</f>
        <v>0</v>
      </c>
      <c r="AS485" s="132">
        <f>IF(AND($B484=" ",$K485=AS$3),$O485,0)</f>
        <v>0</v>
      </c>
      <c r="AT485" s="133">
        <f>IF(AND($B484=" ",K485=AT$3),$O485,0)</f>
        <v>0</v>
      </c>
      <c r="AU485" s="133">
        <f>IF(AND($B484=" ",$K485=AU$3),$O485,0)</f>
        <v>0</v>
      </c>
      <c r="AV485" s="133">
        <f>IF(AND($B484=" ",$K485=AV$3),$O485,0)</f>
        <v>0</v>
      </c>
      <c r="AW485" s="133">
        <f>IF(AND($B484=" ",$K485=AW$3),$O485,0)</f>
        <v>0</v>
      </c>
      <c r="AX485" s="133">
        <f>IF(AND($B484=" ",$K485=AX$3),$O485,0)</f>
        <v>0</v>
      </c>
      <c r="AY485" s="135">
        <f>IF(AND($B484=" ",$K485=AY$3),$O485,0)</f>
        <v>0</v>
      </c>
      <c r="AZ485" s="136">
        <f>IF(AND($B484=" ",$K485=AZ$3),$O485,0)</f>
        <v>0</v>
      </c>
      <c r="BA485" s="136">
        <f>IF(AND($B484=" ",$K485=BA$3),$O485,0)</f>
        <v>0</v>
      </c>
      <c r="BB485" s="136">
        <f>IF(AND($B484=" ",$K485=BB$3),$O485,0)</f>
        <v>0</v>
      </c>
      <c r="BC485" s="137">
        <f>IF(AND($B484=" ",$K485=BC$3),$O485,0)</f>
        <v>0</v>
      </c>
      <c r="BD485" s="133">
        <f>IF(AND($B484=" ",$K485=BD$3),$O485,0)</f>
        <v>0</v>
      </c>
      <c r="BE485" s="134">
        <f>IF(AND($B484=" ",$K485=BE$3),$O485,0)</f>
        <v>0</v>
      </c>
      <c r="BF485" s="132">
        <f>IF($K485=BF$3,IF($C485="X",0,$O485),0)</f>
        <v>0</v>
      </c>
      <c r="BG485" s="281">
        <f>IF($K485=BG$3,IF($C485="X",0,$O485),0)</f>
        <v>4.81</v>
      </c>
      <c r="BH485" s="133">
        <f>IF($K485=BH$3,IF($C485="X",0,$O485),0)</f>
        <v>0</v>
      </c>
      <c r="BI485" s="133">
        <f>IF($K485=BI$3,IF($C485="X",0,$O485),0)</f>
        <v>0</v>
      </c>
      <c r="BJ485" s="133">
        <f>IF($K485=BJ$3,IF($C485="X",0,$O485),0)</f>
        <v>0</v>
      </c>
      <c r="BK485" s="133">
        <f>IF($K485=BK$3,IF($C485="X",0,$O485),0)</f>
        <v>0</v>
      </c>
      <c r="BL485" s="133">
        <f>IF($K485=BL$3,IF($C485="X",0,$O485),0)</f>
        <v>0</v>
      </c>
      <c r="BM485" s="135">
        <f>IF($K485=BM$3,IF($C485="X",0,$O485),0)</f>
        <v>0</v>
      </c>
      <c r="BN485" s="136">
        <f>IF($K485=BN$3,IF($C485="X",0,$O485),0)</f>
        <v>0</v>
      </c>
      <c r="BO485" s="136">
        <f>IF($K485=BO$3,IF($C485="X",0,$O485),0)</f>
        <v>0</v>
      </c>
      <c r="BP485" s="136">
        <f>IF($K485=BP$3,IF($C485="X",0,$O485),0)</f>
        <v>0</v>
      </c>
      <c r="BQ485" s="137">
        <f>IF($K485=BQ$3,IF($C485="X",0,$O485),0)</f>
        <v>0</v>
      </c>
      <c r="BR485" s="134">
        <f>IF($K485=BR$3,IF($C485="X",0,$O485),0)</f>
        <v>0</v>
      </c>
      <c r="BS485" s="282"/>
      <c r="BT485" s="283"/>
      <c r="BU485" s="140"/>
      <c r="BV485" s="283"/>
      <c r="BW485" s="140"/>
      <c r="BX485" s="140"/>
      <c r="BY485" s="140"/>
      <c r="BZ485" s="283"/>
      <c r="CA485" s="140"/>
      <c r="CB485" s="140"/>
      <c r="CC485" s="140"/>
      <c r="CD485" s="141"/>
      <c r="CE485" s="142"/>
      <c r="CF485" s="284">
        <f>IF(CF$3=$K485,IF($C485="W",1,IF($C485="1/2W",0.5,0)),0)</f>
        <v>0</v>
      </c>
      <c r="CG485" s="285">
        <f>IF(CF$3=$K485,IF($C485="L",1,IF($C485="1/2L",0.5,0)),0)</f>
        <v>0</v>
      </c>
      <c r="CH485" s="285">
        <f>IF(CH$3=$K485,IF($C485="W",1,IF($C485="1/2W",0.5,0)),0)</f>
        <v>1</v>
      </c>
      <c r="CI485" s="285">
        <f>IF(CH$3=$K485,IF($C485="L",1,IF($C485="1/2L",0.5,0)),0)</f>
        <v>0</v>
      </c>
      <c r="CJ485" s="285">
        <f>IF(CJ$3=$K485,IF($C485="W",1,IF($C485="1/2W",0.5,0)),0)</f>
        <v>0</v>
      </c>
      <c r="CK485" s="285">
        <f>IF(CJ$3=$K485,IF($C485="L",1,IF($C485="1/2L",0.5,0)),0)</f>
        <v>0</v>
      </c>
      <c r="CL485" s="285">
        <f>IF(CL$3=$K485,IF($C485="W",1,IF($C485="1/2W",0.5,0)),0)</f>
        <v>0</v>
      </c>
      <c r="CM485" s="285">
        <f>IF(CL$3=$K485,IF($C485="L",1,IF($C485="1/2L",0.5,0)),0)</f>
        <v>0</v>
      </c>
      <c r="CN485" s="285">
        <f>IF(CN$3=$K485,IF($C485="W",1,IF($C485="1/2W",0.5,0)),0)</f>
        <v>0</v>
      </c>
      <c r="CO485" s="285">
        <f>IF(CN$3=$K485,IF($C485="L",1,IF($C485="1/2L",0.5,0)),0)</f>
        <v>0</v>
      </c>
      <c r="CP485" s="285">
        <f>IF(CP$3=$K485,IF($C485="W",1,IF($C485="1/2W",0.5,0)),0)</f>
        <v>0</v>
      </c>
      <c r="CQ485" s="285">
        <f>IF(CP$3=$K485,IF($C485="L",1,IF($C485="1/2L",0.5,0)),0)</f>
        <v>0</v>
      </c>
      <c r="CR485" s="285">
        <f>IF(CR$3=$K485,IF($C485="W",1,IF($C485="1/2W",0.5,0)),0)</f>
        <v>0</v>
      </c>
      <c r="CS485" s="285">
        <f>IF(CR$3=$K485,IF($C485="L",1,IF($C485="1/2L",0.5,0)),0)</f>
        <v>0</v>
      </c>
      <c r="CT485" s="145">
        <f>IF(CT$3=$K485,IF($C485="W",1,IF($C485="1/2W",0.5,0)),0)</f>
        <v>0</v>
      </c>
      <c r="CU485" s="146">
        <f>IF(CT$3=$K485,IF($C485="L",1,IF($C485="1/2L",0.5,0)),0)</f>
        <v>0</v>
      </c>
      <c r="CV485" s="146">
        <f>IF(CV$3=$K485,IF($C485="W",1,IF($C485="1/2W",0.5,0)),0)</f>
        <v>0</v>
      </c>
      <c r="CW485" s="146">
        <f>IF(CV$3=$K485,IF($C485="L",1,IF($C485="1/2L",0.5,0)),0)</f>
        <v>0</v>
      </c>
      <c r="CX485" s="146">
        <f>IF(CX$3=$K485,IF($C485="W",1,IF($C485="1/2W",0.5,0)),0)</f>
        <v>0</v>
      </c>
      <c r="CY485" s="146">
        <f>IF(CX$3=$K485,IF($C485="L",1,IF($C485="1/2L",0.5,0)),0)</f>
        <v>0</v>
      </c>
      <c r="CZ485" s="146">
        <f>IF(CZ$3=$K485,IF($C485="W",1,IF($C485="1/2W",0.5,0)),0)</f>
        <v>0</v>
      </c>
      <c r="DA485" s="146">
        <f>IF(CZ$3=$K485,IF($C485="L",1,IF($C485="1/2L",0.5,0)),0)</f>
        <v>0</v>
      </c>
      <c r="DB485" s="146">
        <f>IF(DB$3=$K485,IF($C485="W",1,IF($C485="1/2W",0.5,0)),0)</f>
        <v>0</v>
      </c>
      <c r="DC485" s="146">
        <f>IF(DB$3=$K485,IF($C485="L",1,IF($C485="1/2L",0.5,0)),0)</f>
        <v>0</v>
      </c>
      <c r="DD485" s="146">
        <f>IF(DD$3=$K485,IF($C485="W",1,IF($C485="1/2W",0.5,0)),0)</f>
        <v>0</v>
      </c>
      <c r="DE485" s="147">
        <f>IF(DD$3=$K485,IF($C485="L",1,IF($C485="1/2L",0.5,0)),0)</f>
        <v>0</v>
      </c>
      <c r="DF485" s="143">
        <f>IF(AND(L485&lt;DF$3,$C485="W"),1+DF484,DF484)</f>
        <v>16</v>
      </c>
      <c r="DG485" s="133">
        <f>IF(DF485&gt;DF484,L485+DG484,DG484)</f>
        <v>21.158</v>
      </c>
      <c r="DH485" s="146">
        <f>IF(AND(L485&gt;DH$3,$C485="W"),1+DH484,0+DH484)</f>
        <v>11</v>
      </c>
      <c r="DI485" s="133">
        <f>IF(DH485&gt;DH484,L485+DI484,DI484)</f>
        <v>59.13</v>
      </c>
      <c r="DJ485" t="s" s="304">
        <f>IF($D484="","",$D484)</f>
        <v>358</v>
      </c>
      <c r="DK485" s="286"/>
    </row>
    <row r="486" ht="14.55" customHeight="1">
      <c r="A486" s="149"/>
      <c r="B486" s="150"/>
      <c r="C486" t="s" s="151">
        <v>58</v>
      </c>
      <c r="D486" s="152"/>
      <c r="E486" s="153"/>
      <c r="F486" s="155"/>
      <c r="G486" s="252"/>
      <c r="H486" s="156"/>
      <c r="I486" s="287"/>
      <c r="J486" s="288"/>
      <c r="K486" s="156"/>
      <c r="L486" s="289"/>
      <c r="M486" s="290"/>
      <c r="N486" s="161"/>
      <c r="O486" t="s" s="162">
        <f>IF(OR(AE484="",AE485=""),"",IF(L486&gt;0,ROUND(IF(M486&gt;0,M486,IF(M484&gt;0,ROUND((M484*AE486)/AE484,IF(N484=0,2,IF(N484=0.1,1,0))),IF(M485&gt;0,ROUND((M485*AE486)/AE485,IF(N484=0,2,IF(N484=0.1,1,0))),IF(M486&gt;0,M486,0)))),2),""))</f>
      </c>
      <c r="P486" t="s" s="163">
        <f>IF(I485="Lay",O485*(L485/(L485-1))-O485,IF(I484="Lay",O484*(L484/(L484-1))-O484,IF(OR(L486="",O486=""),"",IF($C486="1/2W",O486/2+O486/2*L486,IF($C486="1/2L",O486/2,(O486*L486-O486)*(1-_xlfn.XLOOKUP(K486,'Janeiro 2023 - Valor Real'!A3:A15,'Janeiro 2023 - Valor Real'!C3:C15,0))+O486)))))</f>
      </c>
      <c r="Q486" t="s" s="154">
        <f>IF(K486="","",IF(_xlfn.XLOOKUP(K486,K$109:K253,DJ$109:DJ253,0,,-1)=DJ486,_xlfn.XLOOKUP(K486,K$109:K253,Q$109:Q253,1,,-1)+1,1))</f>
      </c>
      <c r="R486" t="s" s="163">
        <f>IF(K486="","",_xlfn.XLOOKUP(K486,K$109:K253,R$109:R253,0,,-1)+IF($C486=" ",1,0))</f>
      </c>
      <c r="S486" s="166"/>
      <c r="T486" s="155"/>
      <c r="U486" s="155"/>
      <c r="V486" s="166"/>
      <c r="W486" s="155"/>
      <c r="X486" s="167"/>
      <c r="Y486" s="128"/>
      <c r="Z486" s="129"/>
      <c r="AA486" s="129"/>
      <c r="AB486" s="129"/>
      <c r="AC486" s="129"/>
      <c r="AD486" s="168"/>
      <c r="AE486" t="s" s="169">
        <f>IF(L486="","",(SUM(((L484-1)*(1-_xlfn.XLOOKUP(K484,'Janeiro 2023 - Valor Real'!A3:A15,'Janeiro 2023 - Valor Real'!C3:C15,0))+1),((L485-1)*(1-_xlfn.XLOOKUP(K485,'Janeiro 2023 - Valor Real'!A3:A15,'Janeiro 2023 - Valor Real'!C3:C15,0))+1),((L486-1)*(1-_xlfn.XLOOKUP(K486,'Janeiro 2023 - Valor Real'!A3:A15,'Janeiro 2023 - Valor Real'!C3:C15,0))+1))/((L486-1)*(1-_xlfn.XLOOKUP(K486,'Janeiro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Real'!C3:C15,0))+1))/((L484-1)*(1-_xlfn.XLOOKUP(K484,'Janeiro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Real'!C3:C15,0))+1))/((L485-1)*(1-_xlfn.XLOOKUP(K485,'Janeiro 2023 - Valor Real'!A3:A15,'Janeiro 2023 - Valor Real'!C3:C15,0))+1)+SUM(((L484-1)*(1-_xlfn.XLOOKUP(K484,'Janeiro 2023 - Valor Real'!A3:A15,'Janeiro 2023 - Valor Real'!C3:C15,0))+1),((L485-1)*(1-_xlfn.XLOOKUP(K485,'Janeiro 2023 - Valor Real'!A3:A15,'Janeiro 2023 - Valor Real'!C3:C15,0))+1),((L486-1)*(1-_xlfn.XLOOKUP(K486,'Janeiro 2023 - Valor Real'!A3:A15,'Janeiro 2023 - Valor Real'!C3:C15,0))+1))/((L486-1)*(1-_xlfn.XLOOKUP(K486,'Janeiro 2023 - Valor Real'!A3:A15,'Janeiro 2023 - Valor Real'!C3:C15,0))+1)))</f>
      </c>
      <c r="AF486" s="132">
        <f>IF($K486=AF$3,ROUND(IF(OR($C486="W",$C486="1/2W",$C486="1/2L"),$P486-$O486,IF($C486="X",0,-$O486)),2),0)</f>
        <v>0</v>
      </c>
      <c r="AG486" s="133">
        <f>IF($K486=AG$3,ROUND(IF(OR($C486="W",$C486="1/2W",$C486="1/2L"),$P486-$O486,IF($C486="X",0,-$O486)),2),0)</f>
        <v>0</v>
      </c>
      <c r="AH486" s="133">
        <f>IF($K486=AH$3,ROUND(IF(OR($C486="W",$C486="1/2W",$C486="1/2L"),$P486-$O486,IF($C486="X",0,-$O486)),2),0)</f>
        <v>0</v>
      </c>
      <c r="AI486" s="133">
        <f>IF($K486=AI$3,ROUND(IF(OR($C486="W",$C486="1/2W",$C486="1/2L"),$P486-$O486,IF($C486="X",0,-$O486)),2),0)</f>
        <v>0</v>
      </c>
      <c r="AJ486" s="133">
        <f>IF($K486=AJ$3,ROUND(IF(OR($C486="W",$C486="1/2W",$C486="1/2L"),$P486-$O486,IF($C486="X",0,-$O486)),2),0)</f>
        <v>0</v>
      </c>
      <c r="AK486" s="133">
        <f>IF($K486=AK$3,ROUND(IF(OR($C486="W",$C486="1/2W",$C486="1/2L"),$P486-$O486,IF($C486="X",0,-$O486)),2),0)</f>
        <v>0</v>
      </c>
      <c r="AL486" s="133">
        <f>IF($K486=AL$3,ROUND(IF(OR($C486="W",$C486="1/2W",$C486="1/2L"),$P486-$O486,IF($C486="X",0,-$O486)),2),0)</f>
        <v>0</v>
      </c>
      <c r="AM486" s="133">
        <f>IF($K486=AM$3,ROUND(IF(OR($C486="W",$C486="1/2W",$C486="1/2L"),$P486-$O486,IF($C486="X",0,-$O486)),2),0)</f>
        <v>0</v>
      </c>
      <c r="AN486" s="133">
        <f>IF($K486=AN$3,ROUND(IF(OR($C486="W",$C486="1/2W",$C486="1/2L"),$P486-$O486,IF($C486="X",0,-$O486)),2),0)</f>
        <v>0</v>
      </c>
      <c r="AO486" s="133">
        <f>IF($K486=AO$3,ROUND(IF(OR($C486="W",$C486="1/2W",$C486="1/2L"),$P486-$O486,IF($C486="X",0,-$O486)),2),0)</f>
        <v>0</v>
      </c>
      <c r="AP486" s="133">
        <f>IF($K486=AP$3,ROUND(IF(OR($C486="W",$C486="1/2W",$C486="1/2L"),$P486-$O486,IF($C486="X",0,-$O486)),2),0)</f>
        <v>0</v>
      </c>
      <c r="AQ486" s="133">
        <f>IF($K486=AQ$3,ROUND(IF(OR($C486="W",$C486="1/2W",$C486="1/2L"),$P486-$O486,IF($C486="X",0,-$O486)),2),0)</f>
        <v>0</v>
      </c>
      <c r="AR486" s="134">
        <f>IF($K486=AR$3,ROUND(IF(OR($C486="W",$C486="1/2W",$C486="1/2L"),$P486-$O486,IF($C486="X",0,-$O486)),2),0)</f>
        <v>0</v>
      </c>
      <c r="AS486" s="132">
        <f>IF(AND($B484=" ",$K486=AS$3),$O486,0)</f>
        <v>0</v>
      </c>
      <c r="AT486" s="133">
        <f>IF(AND($B484=" ",K486=AT$3),$O486,0)</f>
        <v>0</v>
      </c>
      <c r="AU486" s="133">
        <f>IF(AND($B484=" ",$K486=AU$3),$O486,0)</f>
        <v>0</v>
      </c>
      <c r="AV486" s="133">
        <f>IF(AND($B484=" ",$K486=AV$3),$O486,0)</f>
        <v>0</v>
      </c>
      <c r="AW486" s="133">
        <f>IF(AND($B484=" ",$K486=AW$3),$O486,0)</f>
        <v>0</v>
      </c>
      <c r="AX486" s="133">
        <f>IF(AND($B484=" ",$K486=AX$3),$O486,0)</f>
        <v>0</v>
      </c>
      <c r="AY486" s="135">
        <f>IF(AND($B484=" ",$K486=AY$3),$O486,0)</f>
        <v>0</v>
      </c>
      <c r="AZ486" s="136">
        <f>IF(AND($B484=" ",$K486=AZ$3),$O486,0)</f>
        <v>0</v>
      </c>
      <c r="BA486" s="136">
        <f>IF(AND($B484=" ",$K486=BA$3),$O486,0)</f>
        <v>0</v>
      </c>
      <c r="BB486" s="136">
        <f>IF(AND($B484=" ",$K486=BB$3),$O486,0)</f>
        <v>0</v>
      </c>
      <c r="BC486" s="137">
        <f>IF(AND($B484=" ",$K486=BC$3),$O486,0)</f>
        <v>0</v>
      </c>
      <c r="BD486" s="133">
        <f>IF(AND($B484=" ",$K486=BD$3),$O486,0)</f>
        <v>0</v>
      </c>
      <c r="BE486" s="134">
        <f>IF(AND($B484=" ",$K486=BE$3),$O486,0)</f>
        <v>0</v>
      </c>
      <c r="BF486" s="132">
        <f>IF($K486=BF$3,IF($C486="X",0,$O486),0)</f>
        <v>0</v>
      </c>
      <c r="BG486" s="281">
        <f>IF($K486=BG$3,IF($C486="X",0,$O486),0)</f>
        <v>0</v>
      </c>
      <c r="BH486" s="133">
        <f>IF($K486=BH$3,IF($C486="X",0,$O486),0)</f>
        <v>0</v>
      </c>
      <c r="BI486" s="133">
        <f>IF($K486=BI$3,IF($C486="X",0,$O486),0)</f>
        <v>0</v>
      </c>
      <c r="BJ486" s="133">
        <f>IF($K486=BJ$3,IF($C486="X",0,$O486),0)</f>
        <v>0</v>
      </c>
      <c r="BK486" s="133">
        <f>IF($K486=BK$3,IF($C486="X",0,$O486),0)</f>
        <v>0</v>
      </c>
      <c r="BL486" s="133">
        <f>IF($K486=BL$3,IF($C486="X",0,$O486),0)</f>
        <v>0</v>
      </c>
      <c r="BM486" s="135">
        <f>IF($K486=BM$3,IF($C486="X",0,$O486),0)</f>
        <v>0</v>
      </c>
      <c r="BN486" s="136">
        <f>IF($K486=BN$3,IF($C486="X",0,$O486),0)</f>
        <v>0</v>
      </c>
      <c r="BO486" s="136">
        <f>IF($K486=BO$3,IF($C486="X",0,$O486),0)</f>
        <v>0</v>
      </c>
      <c r="BP486" s="136">
        <f>IF($K486=BP$3,IF($C486="X",0,$O486),0)</f>
        <v>0</v>
      </c>
      <c r="BQ486" s="137">
        <f>IF($K486=BQ$3,IF($C486="X",0,$O486),0)</f>
        <v>0</v>
      </c>
      <c r="BR486" s="134">
        <f>IF($K486=BR$3,IF($C486="X",0,$O486),0)</f>
        <v>0</v>
      </c>
      <c r="BS486" s="282"/>
      <c r="BT486" s="283"/>
      <c r="BU486" s="140"/>
      <c r="BV486" s="283"/>
      <c r="BW486" s="140"/>
      <c r="BX486" s="140"/>
      <c r="BY486" s="140"/>
      <c r="BZ486" s="283"/>
      <c r="CA486" s="140"/>
      <c r="CB486" s="140"/>
      <c r="CC486" s="140"/>
      <c r="CD486" s="141"/>
      <c r="CE486" s="142"/>
      <c r="CF486" s="284">
        <f>IF(CF$3=$K486,IF($C486="W",1,IF($C486="1/2W",0.5,0)),0)</f>
        <v>0</v>
      </c>
      <c r="CG486" s="285">
        <f>IF(CF$3=$K486,IF($C486="L",1,IF($C486="1/2L",0.5,0)),0)</f>
        <v>0</v>
      </c>
      <c r="CH486" s="285">
        <f>IF(CH$3=$K486,IF($C486="W",1,IF($C486="1/2W",0.5,0)),0)</f>
        <v>0</v>
      </c>
      <c r="CI486" s="285">
        <f>IF(CH$3=$K486,IF($C486="L",1,IF($C486="1/2L",0.5,0)),0)</f>
        <v>0</v>
      </c>
      <c r="CJ486" s="285">
        <f>IF(CJ$3=$K486,IF($C486="W",1,IF($C486="1/2W",0.5,0)),0)</f>
        <v>0</v>
      </c>
      <c r="CK486" s="285">
        <f>IF(CJ$3=$K486,IF($C486="L",1,IF($C486="1/2L",0.5,0)),0)</f>
        <v>0</v>
      </c>
      <c r="CL486" s="285">
        <f>IF(CL$3=$K486,IF($C486="W",1,IF($C486="1/2W",0.5,0)),0)</f>
        <v>0</v>
      </c>
      <c r="CM486" s="285">
        <f>IF(CL$3=$K486,IF($C486="L",1,IF($C486="1/2L",0.5,0)),0)</f>
        <v>0</v>
      </c>
      <c r="CN486" s="285">
        <f>IF(CN$3=$K486,IF($C486="W",1,IF($C486="1/2W",0.5,0)),0)</f>
        <v>0</v>
      </c>
      <c r="CO486" s="285">
        <f>IF(CN$3=$K486,IF($C486="L",1,IF($C486="1/2L",0.5,0)),0)</f>
        <v>0</v>
      </c>
      <c r="CP486" s="285">
        <f>IF(CP$3=$K486,IF($C486="W",1,IF($C486="1/2W",0.5,0)),0)</f>
        <v>0</v>
      </c>
      <c r="CQ486" s="285">
        <f>IF(CP$3=$K486,IF($C486="L",1,IF($C486="1/2L",0.5,0)),0)</f>
        <v>0</v>
      </c>
      <c r="CR486" s="285">
        <f>IF(CR$3=$K486,IF($C486="W",1,IF($C486="1/2W",0.5,0)),0)</f>
        <v>0</v>
      </c>
      <c r="CS486" s="285">
        <f>IF(CR$3=$K486,IF($C486="L",1,IF($C486="1/2L",0.5,0)),0)</f>
        <v>0</v>
      </c>
      <c r="CT486" s="145">
        <f>IF(CT$3=$K486,IF($C486="W",1,IF($C486="1/2W",0.5,0)),0)</f>
        <v>0</v>
      </c>
      <c r="CU486" s="146">
        <f>IF(CT$3=$K486,IF($C486="L",1,IF($C486="1/2L",0.5,0)),0)</f>
        <v>0</v>
      </c>
      <c r="CV486" s="146">
        <f>IF(CV$3=$K486,IF($C486="W",1,IF($C486="1/2W",0.5,0)),0)</f>
        <v>0</v>
      </c>
      <c r="CW486" s="146">
        <f>IF(CV$3=$K486,IF($C486="L",1,IF($C486="1/2L",0.5,0)),0)</f>
        <v>0</v>
      </c>
      <c r="CX486" s="146">
        <f>IF(CX$3=$K486,IF($C486="W",1,IF($C486="1/2W",0.5,0)),0)</f>
        <v>0</v>
      </c>
      <c r="CY486" s="146">
        <f>IF(CX$3=$K486,IF($C486="L",1,IF($C486="1/2L",0.5,0)),0)</f>
        <v>0</v>
      </c>
      <c r="CZ486" s="146">
        <f>IF(CZ$3=$K486,IF($C486="W",1,IF($C486="1/2W",0.5,0)),0)</f>
        <v>0</v>
      </c>
      <c r="DA486" s="146">
        <f>IF(CZ$3=$K486,IF($C486="L",1,IF($C486="1/2L",0.5,0)),0)</f>
        <v>0</v>
      </c>
      <c r="DB486" s="146">
        <f>IF(DB$3=$K486,IF($C486="W",1,IF($C486="1/2W",0.5,0)),0)</f>
        <v>0</v>
      </c>
      <c r="DC486" s="146">
        <f>IF(DB$3=$K486,IF($C486="L",1,IF($C486="1/2L",0.5,0)),0)</f>
        <v>0</v>
      </c>
      <c r="DD486" s="146">
        <f>IF(DD$3=$K486,IF($C486="W",1,IF($C486="1/2W",0.5,0)),0)</f>
        <v>0</v>
      </c>
      <c r="DE486" s="147">
        <f>IF(DD$3=$K486,IF($C486="L",1,IF($C486="1/2L",0.5,0)),0)</f>
        <v>0</v>
      </c>
      <c r="DF486" s="143">
        <f>IF(AND(L486&lt;DF$3,$C486="W"),1+DF485,DF485)</f>
        <v>16</v>
      </c>
      <c r="DG486" s="133">
        <f>IF(DF486&gt;DF485,L486+DG485,DG485)</f>
        <v>21.158</v>
      </c>
      <c r="DH486" s="146">
        <f>IF(AND(L486&gt;DH$3,$C486="W"),1+DH485,0+DH485)</f>
        <v>11</v>
      </c>
      <c r="DI486" s="133">
        <f>IF(DH486&gt;DH485,L486+DI485,DI485)</f>
        <v>59.13</v>
      </c>
      <c r="DJ486" t="s" s="304">
        <f>IF($D484="","",$D484)</f>
        <v>358</v>
      </c>
      <c r="DK486" s="286"/>
    </row>
    <row r="487" ht="14.55" customHeight="1">
      <c r="A487" s="171">
        <f>$A484+1</f>
        <v>162</v>
      </c>
      <c r="B487" t="s" s="172">
        <f>IF(AND(_xlfn.XLOOKUP(H487,H$110:H248,G$110:G248,0)=G487,_xlfn.XLOOKUP("TempoBet",K487:K489,L487:L489,0)&gt;0),"X",IF(OR(C487="W",C488="W",C489="W",C487="1/2W",C488="1/2W",C489="1/2W",C487="1/2L",C488="1/2L",C489="1/2L"),"OK",IF(OR(C487="L",C488="L",C489="L"),"LOSS",IF(OR(C487="X",C488="X",C489="X"),"Anulado"," "))))</f>
        <v>50</v>
      </c>
      <c r="C487" t="s" s="173">
        <v>51</v>
      </c>
      <c r="D487" t="s" s="305">
        <f>IF(G487="","",$D484)</f>
        <v>358</v>
      </c>
      <c r="E487" t="s" s="175">
        <f>IF(G487=""," ","– "&amp;COUNTIF(D$4:D489,$D487))</f>
        <v>93</v>
      </c>
      <c r="F487" t="s" s="176"/>
      <c r="G487" s="177">
        <v>44955.333333333336</v>
      </c>
      <c r="H487" t="s" s="178">
        <v>381</v>
      </c>
      <c r="I487" t="s" s="179">
        <v>62</v>
      </c>
      <c r="J487" s="180"/>
      <c r="K487" t="s" s="181">
        <v>37</v>
      </c>
      <c r="L487" s="182">
        <v>3.75</v>
      </c>
      <c r="M487" s="183"/>
      <c r="N487" s="184">
        <v>0.1</v>
      </c>
      <c r="O487" s="185">
        <f>IF(OR(AE487="",AE488=""),"",ROUND(IF(L489&gt;0,IF(M487&gt;0,M487,IF(M488&gt;0,ROUND((M488*AE487)/AE488,IF(N487=0,2,IF(N487=0.1,1,0))),ROUND((M489*AE487)/AE489,IF(N487=0,2,IF(N487=0.1,1,0))))),IF(M487&gt;0,M487,ROUND((M488*AE487)/AE488,IF(N487=0,2,IF(N487=0.1,1,0))))),2))</f>
        <v>10.6</v>
      </c>
      <c r="P487" s="186">
        <f>IF(OR(L487="",O487=""),"",IF($C487="1/2W",O487/2+O487/2*L487,IF($C487="1/2L",O487/2,IF(I487="Lay",(O487*(L487/(L487-1))-O487)*(1-_xlfn.XLOOKUP(K487,'Janeiro 2023 - Valor Real'!A3:A15,'Janeiro 2023 - Valor Real'!C3:C15,0))+O487,(O487*L487-O487)*(1-_xlfn.XLOOKUP(K487,'Janeiro 2023 - Valor Real'!A3:A15,'Janeiro 2023 - Valor Real'!C3:C15,0))+O487))))</f>
        <v>39.75</v>
      </c>
      <c r="Q487" s="187">
        <f>IF(K487="","",IF(_xlfn.XLOOKUP(K487,K$110:K248,DJ$110:DJ248,0,,-1)=DJ487,_xlfn.XLOOKUP(K487,K$110:K248,Q$110:Q248,1,,-1)+1,1))</f>
        <v>1</v>
      </c>
      <c r="R487" s="188">
        <f>IF(K487="","",_xlfn.XLOOKUP(K487,K$110:K248,R$110:R248,0,,-1)+IF($C487=" ",1,0))</f>
        <v>0</v>
      </c>
      <c r="S487" s="189">
        <f>IF($B487="Anulado",0,ROUND(IF(OR($B487="LOSS",$B487="OK"),IF(OR($C487="W",$C487="1/2W",$C487="1/2L"),P487-O487,IF($C487="L",-O487,0))+IF(OR($C488="W",$C488="1/2W",$C488="1/2L"),P488-O488,IF($C488="L",-O488,0))+IF(OR($C489="W",$C489="1/2W",$C489="1/2L"),P489-O489,IF($C489="L",-O489,0)),IF(AND(OR($C487="W",$C487="1/2W",$C487="1/2L"),C488="W"),P487+P488-SUM(O487:O489)+_xlfn.XLOOKUP("X",C487:C489,O487:O489,0),IF(AND(C487=TRUE,C489="W"),P487+P489-SUM(O487:O489),IF(AND(C488="W",C489="W"),P488+P489-SUM(O487:O489)+_xlfn.XLOOKUP("X",C487:C489,O487:O489,0),IF(L489&gt;0,IF(OR($C487="W",$C487="1/2W",$C487="1/2L"),P487-SUM(O487:O489)+_xlfn.XLOOKUP("X",C487:C489,O487:O489,0),IF(OR($C487="W",$C487="1/2W",$C487="1/2L"),P488-SUM(O487:O489)+_xlfn.XLOOKUP("X",C487:C489,O487:O489,0),IF(OR($C487="W",$C487="1/2W",$C487="1/2L"),P489-SUM(O487:O489)+_xlfn.XLOOKUP("X",C487:C489,O487:O489,0),IF(SUM(P487:P489)/3-SUM(O487:O489)+_xlfn.XLOOKUP("X",C487:C489,O487:O489,0)&gt;0,SUM(P487:P489)/3-SUM(O487:O489)+_xlfn.XLOOKUP("X",C487:C489,O487:O489,0),LARGE(P487:P489,1)-SUM(O487:O489))))),IF(OR($C487="W",$C487="1/2W",$C487="1/2L"),P487-SUM(O487:O488)+_xlfn.XLOOKUP("X",C487:C489,O487:O489,0),IF(OR($C487="W",$C487="1/2W",$C487="1/2L"),P488-SUM(O487:O488)+_xlfn.XLOOKUP("X",C487:C489,O487:O489,0),SUM(P487:P488)/2-SUM(O487:O488)+_xlfn.XLOOKUP("X",C487:C489,O487:O489,0)))))))),2))</f>
        <v>2.61</v>
      </c>
      <c r="T487" s="190">
        <f>IF(S487=0,0,S487/SUM(O487:O489))</f>
        <v>0.0705024311183144</v>
      </c>
      <c r="U487" s="191">
        <f>IF($D487=$D484,IF(OR($B487="LOSS",$B487="OK",$B487="Anulada"),S487,0)+U484,IF(OR($B487="LOSS",$B487="OK",$B487="Anulada"),S487,0))</f>
        <v>22.19</v>
      </c>
      <c r="V487" s="191">
        <f>IF($D487="",0,IF($D487=$D484,IF($B487=" ",IF(I489="",IF(OR(AND(I487="DNB1",I488="DNB2"),AND(OR(I487="DNB1",I487="DNB2"),J488=0),AND(OR(I488="DNB1",I488="DNB2"),J487=0),AND(I487="DNB2",I488="DNB1"),AND(IF(J487=0,(J487+1)/ROUND(J487+1,0),J487/ROUND(J487,0))=1,IF(J488=0,(J488+1)/ROUND(IF(J488="",0,J488)+1,0),IF(J488="",0,J488)/ROUND(IF(J488="",1,J488),0))=1,OR(J487&lt;&gt;""),J488&lt;&gt;"")),0,IF(S487&lt;0,IF(I489="",SMALL(P487:P488,1)-SUM(O487:O488),0),SMALL(P487:P488,1)-SUM(O487:O488))),IF(S487&lt;0,IF(I489="",SMALL(P487:P489,1)-SUM(O487:O489),0),LARGE(P487:P489,1)-SUM(O487:O489))),S487)+V484,IF(I489="",IF(OR(AND(I487="DNB1",I488="DNB2"),AND(OR(I487="DNB1",I487="DNB2"),J488=0),AND(OR(I488="DNB1",I488="DNB2"),J487=0),AND(I487="DNB2",I488="DNB1"),AND(IF(J487=0,(J487+1)/ROUND(J487+1,0),J487/ROUND(J487,0))=1,IF(J488=0,(IF(J488="",0,J488)+1)/ROUND(IF(J488="",0,J488)+1,0),IF(J488="",0,J488)/ROUND(IF(J488="",0,J488)+1,0))=1,OR(J487&lt;&gt;""),J488&lt;&gt;"")),0,IF(S487&lt;0,IF(I489="",SMALL(P487:P488,1)-SUM(O487:O488),0),SMALL(P487:P489,1)-SUM(O487:O489))),IF(S487&lt;0,IF(I489="",SMALL(P487:P489,1)-SUM(O487:O489),0),LARGE(P487:P489,1)-SUM(O487:O489)))))</f>
        <v>22.19</v>
      </c>
      <c r="W487" s="191">
        <f>IF($D487=$D484,IF(S487&lt;0,IF(I489="",S487,0),S487)+W484,S487)</f>
        <v>22.19</v>
      </c>
      <c r="X487" t="s" s="192">
        <f>IF(OR(SUM(R487:R489)=0,V487=W487),ROUND(IF(W487=0,0,W487/Y487)*100,2)&amp;"%",ROUND(IF(V487=0,0,V487/Y487)*100,2)&amp;"% a "&amp;ROUND(IF(W487=0,0,W487/Y487)*100,2)&amp;"%")</f>
        <v>382</v>
      </c>
      <c r="Y487" s="193">
        <f>IF($D487=$D484,Y484+SUM(O487:O489),SUM(O487:O489))</f>
        <v>379.3</v>
      </c>
      <c r="Z487" s="191">
        <f>IF($B487=" ",SUM(O487:O489),0)+Z484</f>
        <v>0</v>
      </c>
      <c r="AA487" s="191">
        <f>IF(G487="","",IF($B487="Anulado",LARGE(P487:P489,1)-SUM(O487:O489)+AA484,AA484))</f>
        <v>22.2257</v>
      </c>
      <c r="AB487" s="191">
        <f>IF($D487="","",AB484+S487)</f>
        <v>330.04</v>
      </c>
      <c r="AC487" s="194">
        <f>IF($D487="","",IF($B487=" ",IF(DAY(G487)=DAY(TODAY()),1+AC484,0+AC484),0+AC484))</f>
        <v>0</v>
      </c>
      <c r="AD487" s="195">
        <f>(((L488/(L488-1)-1)*(1-_xlfn.XLOOKUP(K488,'Janeiro 2023 - Valor Real'!A3:A15,'Janeiro 2023 - Valor Real'!C3:C15,0))+1))/(((L487-1)*(1-_xlfn.XLOOKUP(K487,'Janeiro 2023 - Valor Real'!A3:A15,'Janeiro 2023 - Valor Real'!C3:C15,0))+1)+((L488/(L488-1)-1)*(1-_xlfn.XLOOKUP(K488,'Janeiro 2023 - Valor Real'!A3:A15,'Janeiro 2023 - Valor Real'!C3:C15,0))+1))</f>
        <v>0.444444444444444</v>
      </c>
      <c r="AE487" s="196">
        <f>IF(L487="","",IF(L489&gt;0,(SUM(((L487-1)*(1-_xlfn.XLOOKUP(K487,'Janeiro 2023 - Valor Real'!A3:A15,'Janeiro 2023 - Valor Real'!C3:C15,0))+1),((L488-1)*(1-_xlfn.XLOOKUP(K488,'Janeiro 2023 - Valor Real'!A3:A15,'Janeiro 2023 - Valor Real'!C3:C15,0))+1),((L489-1)*(1-_xlfn.XLOOKUP(K489,'Janeiro 2023 - Valor Real'!A3:A15,'Janeiro 2023 - Valor Real'!C3:C15,0))+1))/((L487-1)*(1-_xlfn.XLOOKUP(K487,'Janeiro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Real'!C3:C15,0))+1))/((L487-1)*(1-_xlfn.XLOOKUP(K487,'Janeiro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Real'!C3:C15,0))+1))/((L488-1)*(1-_xlfn.XLOOKUP(K488,'Janeiro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Real'!C3:C15,0))+1))/((L489-1)*(1-_xlfn.XLOOKUP(K489,'Janeiro 2023 - Valor Real'!A3:A15,'Janeiro 2023 - Valor Real'!C3:C15,0))+1)),IF(I487="Lay",IF(I488="Lay",((L488/(L488-1)-1)*(1-_xlfn.XLOOKUP(K488,'Janeiro 2023 - Valor Real'!A3:A15,'Janeiro 2023 - Valor Real'!C3:C15,0))+1)/(((L488/(L488-1)-1)*(1-_xlfn.XLOOKUP(K488,'Janeiro 2023 - Valor Real'!A3:A15,'Janeiro 2023 - Valor Real'!C3:C15,0))+1)+((L487/(L487-1)-1)*(1-_xlfn.XLOOKUP(K487,'Janeiro 2023 - Valor Real'!A3:A15,'Janeiro 2023 - Valor Real'!C3:C15,0))+1)),((L488-1)*(1-_xlfn.XLOOKUP(K488,'Janeiro 2023 - Valor Real'!A3:A15,'Janeiro 2023 - Valor Real'!C3:C15,0))+1)/(((L488-1)*(1-_xlfn.XLOOKUP(K488,'Janeiro 2023 - Valor Real'!A3:A15,'Janeiro 2023 - Valor Real'!C3:C15,0))+1)+((L487/(L487-1)-1)*(1-_xlfn.XLOOKUP(K487,'Janeiro 2023 - Valor Real'!A3:A15,'Janeiro 2023 - Valor Real'!C3:C15,0))+1))),IF(I488="Lay",(((L488/(L488-1)-1)*(1-_xlfn.XLOOKUP(K488,'Janeiro 2023 - Valor Real'!A3:A15,'Janeiro 2023 - Valor Real'!C3:C15,0))+1))/(((L487-1)*(1-_xlfn.XLOOKUP(K487,'Janeiro 2023 - Valor Real'!A3:A15,'Janeiro 2023 - Valor Real'!C3:C15,0))+1)+((L488/(L488-1)-1)*(1-_xlfn.XLOOKUP(K488,'Janeiro 2023 - Valor Real'!A3:A15,'Janeiro 2023 - Valor Real'!C3:C15,0))+1)),((L488-1)*(1-_xlfn.XLOOKUP(K488,'Janeiro 2023 - Valor Real'!A3:A15,'Janeiro 2023 - Valor Real'!C3:C15,0))+1)/(((L488-1)*(1-_xlfn.XLOOKUP(K488,'Janeiro 2023 - Valor Real'!A3:A15,'Janeiro 2023 - Valor Real'!C3:C15,0))+1)+((L487-1)*(1-_xlfn.XLOOKUP(K487,'Janeiro 2023 - Valor Real'!A3:A15,'Janeiro 2023 - Valor Real'!C3:C15,0))+1))))))</f>
        <v>0.285714285714286</v>
      </c>
      <c r="AF487" s="197">
        <f>IF($K487=AF$3,ROUND(IF(OR($C487="W",$C487="1/2W",$C487="1/2L"),$P487-$O487,IF($C487="X",0,-$O487)),2),0)</f>
        <v>-10.6</v>
      </c>
      <c r="AG487" s="198">
        <f>IF($K487=AG$3,ROUND(IF(OR($C487="W",$C487="1/2W",$C487="1/2L"),$P487-$O487,IF($C487="X",0,-$O487)),2),0)</f>
        <v>0</v>
      </c>
      <c r="AH487" s="198">
        <f>IF($K487=AH$3,ROUND(IF(OR($C487="W",$C487="1/2W",$C487="1/2L"),$P487-$O487,IF($C487="X",0,-$O487)),2),0)</f>
        <v>0</v>
      </c>
      <c r="AI487" s="198">
        <f>IF($K487=AI$3,ROUND(IF(OR($C487="W",$C487="1/2W",$C487="1/2L"),$P487-$O487,IF($C487="X",0,-$O487)),2),0)</f>
        <v>0</v>
      </c>
      <c r="AJ487" s="198">
        <f>IF($K487=AJ$3,ROUND(IF(OR($C487="W",$C487="1/2W",$C487="1/2L"),$P487-$O487,IF($C487="X",0,-$O487)),2),0)</f>
        <v>0</v>
      </c>
      <c r="AK487" s="198">
        <f>IF($K487=AK$3,ROUND(IF(OR($C487="W",$C487="1/2W",$C487="1/2L"),$P487-$O487,IF($C487="X",0,-$O487)),2),0)</f>
        <v>0</v>
      </c>
      <c r="AL487" s="198">
        <f>IF($K487=AL$3,ROUND(IF(OR($C487="W",$C487="1/2W",$C487="1/2L"),$P487-$O487,IF($C487="X",0,-$O487)),2),0)</f>
        <v>0</v>
      </c>
      <c r="AM487" s="198">
        <f>IF($K487=AM$3,ROUND(IF(OR($C487="W",$C487="1/2W",$C487="1/2L"),$P487-$O487,IF($C487="X",0,-$O487)),2),0)</f>
        <v>0</v>
      </c>
      <c r="AN487" s="198">
        <f>IF($K487=AN$3,ROUND(IF(OR($C487="W",$C487="1/2W",$C487="1/2L"),$P487-$O487,IF($C487="X",0,-$O487)),2),0)</f>
        <v>0</v>
      </c>
      <c r="AO487" s="198">
        <f>IF($K487=AO$3,ROUND(IF(OR($C487="W",$C487="1/2W",$C487="1/2L"),$P487-$O487,IF($C487="X",0,-$O487)),2),0)</f>
        <v>0</v>
      </c>
      <c r="AP487" s="198">
        <f>IF($K487=AP$3,ROUND(IF(OR($C487="W",$C487="1/2W",$C487="1/2L"),$P487-$O487,IF($C487="X",0,-$O487)),2),0)</f>
        <v>0</v>
      </c>
      <c r="AQ487" s="198">
        <f>IF($K487=AQ$3,ROUND(IF(OR($C487="W",$C487="1/2W",$C487="1/2L"),$P487-$O487,IF($C487="X",0,-$O487)),2),0)</f>
        <v>0</v>
      </c>
      <c r="AR487" s="199">
        <f>IF($K487=AR$3,ROUND(IF(OR($C487="W",$C487="1/2W",$C487="1/2L"),$P487-$O487,IF($C487="X",0,-$O487)),2),0)</f>
        <v>0</v>
      </c>
      <c r="AS487" s="197">
        <f>IF(AND($B487=" ",$K487=AS$3),$O487,0)</f>
        <v>0</v>
      </c>
      <c r="AT487" s="198">
        <f>IF(AND($B487=" ",$K487=AT$3),$O487,0)</f>
        <v>0</v>
      </c>
      <c r="AU487" s="198">
        <f>IF(AND($B487=" ",$K487=AU$3),$O487,0)</f>
        <v>0</v>
      </c>
      <c r="AV487" s="198">
        <f>IF(AND($B487=" ",$K487=AV$3),$O487,0)</f>
        <v>0</v>
      </c>
      <c r="AW487" s="198">
        <f>IF(AND($B487=" ",$K487=AW$3),$O487,0)</f>
        <v>0</v>
      </c>
      <c r="AX487" s="198">
        <f>IF(AND($B487=" ",$K487=AX$3),$O487,0)</f>
        <v>0</v>
      </c>
      <c r="AY487" s="200">
        <f>IF(AND($B487=" ",$K487=AY$3),$O487,0)</f>
        <v>0</v>
      </c>
      <c r="AZ487" s="201">
        <f>IF(AND($B487=" ",$K487=AZ$3),$O487,0)</f>
        <v>0</v>
      </c>
      <c r="BA487" s="201">
        <f>IF(AND($B487=" ",$K487=BA$3),$O487,0)</f>
        <v>0</v>
      </c>
      <c r="BB487" s="201">
        <f>IF(AND($B487=" ",$K487=BB$3),$O487,0)</f>
        <v>0</v>
      </c>
      <c r="BC487" s="202">
        <f>IF(AND($B487=" ",$K487=BC$3),$O487,0)</f>
        <v>0</v>
      </c>
      <c r="BD487" s="198">
        <f>IF(AND($B487=" ",$K487=BD$3),$O487,0)</f>
        <v>0</v>
      </c>
      <c r="BE487" s="199">
        <f>IF(AND($B487=" ",$K487=BE$3),$O487,0)</f>
        <v>0</v>
      </c>
      <c r="BF487" s="203">
        <f>IF($K487=BF$3,IF($C487="X",0,$O487),0)</f>
        <v>10.6</v>
      </c>
      <c r="BG487" s="198">
        <f>IF($K487=BG$3,IF($C487="X",0,$O487),0)</f>
        <v>0</v>
      </c>
      <c r="BH487" s="198">
        <f>IF($K487=BH$3,IF($C487="X",0,$O487),0)</f>
        <v>0</v>
      </c>
      <c r="BI487" s="198">
        <f>IF($K487=BI$3,IF($C487="X",0,$O487),0)</f>
        <v>0</v>
      </c>
      <c r="BJ487" s="198">
        <f>IF($K487=BJ$3,IF($C487="X",0,$O487),0)</f>
        <v>0</v>
      </c>
      <c r="BK487" s="198">
        <f>IF($K487=BK$3,IF($C487="X",0,$O487),0)</f>
        <v>0</v>
      </c>
      <c r="BL487" s="198">
        <f>IF($K487=BL$3,IF($C487="X",0,$O487),0)</f>
        <v>0</v>
      </c>
      <c r="BM487" s="200">
        <f>IF($K487=BM$3,IF($C487="X",0,$O487),0)</f>
        <v>0</v>
      </c>
      <c r="BN487" s="201">
        <f>IF($K487=BN$3,IF($C487="X",0,$O487),0)</f>
        <v>0</v>
      </c>
      <c r="BO487" s="201">
        <f>IF($K487=BO$3,IF($C487="X",0,$O487),0)</f>
        <v>0</v>
      </c>
      <c r="BP487" s="201">
        <f>IF($K487=BP$3,IF($C487="X",0,$O487),0)</f>
        <v>0</v>
      </c>
      <c r="BQ487" s="202">
        <f>IF($K487=BQ$3,IF($C487="X",0,$O487),0)</f>
        <v>0</v>
      </c>
      <c r="BR487" s="199">
        <f>IF($K487=BR$3,IF($C487="X",0,$O487),0)</f>
        <v>0</v>
      </c>
      <c r="BS487" s="204">
        <f>IF($B487="LOSS",IF(AND($K487=BS$3,$C487="L"),-$O487,0)+IF(AND($K488=BS$3,$C488="L"),-$O488,0)+IF(AND($K489=BS$3,$C489="L"),-$O489,0),IF(OR(AND($K487=BS$3,OR($C487="W",$C487="1/2W")),AND($K488=BS$3,OR($C488="W",$C488="1/2W")),AND($K489=BS$3,OR($C489="W",$C489="1/2W"))),$S487,0))</f>
        <v>0</v>
      </c>
      <c r="BT487" s="201">
        <f>IF($B487="LOSS",IF(AND($K487=BT$3,$C487="L"),-$O487,0)+IF(AND($K488=BT$3,$C488="L"),-$O488,0)+IF(AND($K488=BT$3,$C489="L"),-$O489,0),IF(OR(AND($K488=BT$3,OR($C487="W",$C487="1/2W")),AND($K488=BT$3,OR($C488="W",$C488="1/2W")),AND($K488=BT$3,OR($C489="W",$C489="1/2W"))),$S487,0))</f>
        <v>0</v>
      </c>
      <c r="BU487" s="201">
        <f>IF($B487="LOSS",IF(AND($K487=BU$3,$C487="L"),-$O487,0)+IF(AND($K488=BU$3,$C488="L"),-$O488,0)+IF(AND($K488=BU$3,$C489="L"),-$O489,0),IF(OR(AND($K488=BU$3,OR($C487="W",$C487="1/2W")),AND($K488=BU$3,OR($C488="W",$C488="1/2W")),AND($K488=BU$3,OR($C489="W",$C489="1/2W"))),$S487,0))</f>
        <v>0</v>
      </c>
      <c r="BV487" s="201">
        <f>IF($B487="LOSS",IF(AND($K487=BV$3,$C487="L"),-$O487,0)+IF(AND($K488=BV$3,$C488="L"),-$O488,0)+IF(AND($K489=BV$3,$C489="L"),-$O489,0),IF(OR(AND($K487=BV$3,OR($C487="W",$C487="1/2W")),AND($K488=BV$3,OR($C488="W",$C488="1/2W")),AND($K489=BV$3,OR($C489="W",$C489="1/2W"))),$S487,0))</f>
        <v>0</v>
      </c>
      <c r="BW487" s="201">
        <f>IF($B487="LOSS",IF(AND($K487=BW$3,$C487="L"),-$O487,0)+IF(AND($K488=BW$3,$C488="L"),-$O488,0)+IF(AND($K489=BW$3,$C489="L"),-$O489,0),IF(OR(AND($K487=BW$3,OR($C487="W",$C487="1/2W")),AND($K488=BW$3,OR($C488="W",$C488="1/2W")),AND($K489=BW$3,OR($C489="W",$C489="1/2W"))),$S487,0))</f>
        <v>0</v>
      </c>
      <c r="BX487" s="201">
        <f>IF($B487="LOSS",IF(AND($K487=BX$3,$C487="L"),-$O487,0)+IF(AND($K488=BX$3,$C488="L"),-$O488,0)+IF(AND($K489=BX$3,$C489="L"),-$O489,0),IF(OR(AND($K487=BX$3,OR($C487="W",$C487="1/2W")),AND($K488=BX$3,OR($C488="W",$C488="1/2W")),AND($K489=BX$3,OR($C489="W",$C489="1/2W"))),$S487,0))</f>
        <v>0</v>
      </c>
      <c r="BY487" s="201">
        <f>IF($B487="LOSS",IF(AND($K487=BY$3,$C487="L"),-$O487,0)+IF(AND($K488=BY$3,$C488="L"),-$O488,0)+IF(AND($K489=BY$3,$C489="L"),-$O489,0),IF(OR(AND($K487=BY$3,OR($C487="W",$C487="1/2W")),AND($K488=BY$3,OR($C488="W",$C488="1/2W")),AND($K489=BY$3,OR($C489="W",$C489="1/2W"))),$S487,0))</f>
        <v>0</v>
      </c>
      <c r="BZ487" s="205">
        <f>IF($B487="LOSS",IF(AND($K487=BZ$3,$C487="L"),-$O487,0)+IF(AND($K488=BZ$3,$C488="L"),-$O488,0)+IF(AND($K489=BZ$3,$C489="L"),-$O489,0),IF(OR(AND($K487=BZ$3,OR($C487="W",$C487="1/2W")),AND($K488=BZ$3,OR($C488="W",$C488="1/2W")),AND($K489=BZ$3,OR($C489="W",$C489="1/2W"))),$S487,0))</f>
        <v>0</v>
      </c>
      <c r="CA487" s="205">
        <f>IF($B487="LOSS",IF(AND($K487=CA$3,$C487="L"),-$O487,0)+IF(AND($K488=CA$3,$C488="L"),-$O488,0)+IF(AND($K489=CA$3,$C489="L"),-$O489,0),IF(OR(AND($K487=CA$3,OR($C487="W",$C487="1/2W")),AND($K488=CA$3,OR($C488="W",$C488="1/2W")),AND($K489=CA$3,OR($C489="W",$C489="1/2W"))),$S487,0))</f>
        <v>0</v>
      </c>
      <c r="CB487" s="205">
        <f>IF($B487="LOSS",IF(AND($K487=CB$3,$C487="L"),-$O487,0)+IF(AND($K488=CB$3,$C488="L"),-$O488,0)+IF(AND($K489=CB$3,$C489="L"),-$O489,0),IF(OR(AND($K487=CB$3,OR($C487="W",$C487="1/2W")),AND($K488=CB$3,OR($C488="W",$C488="1/2W")),AND($K489=CB$3,OR($C489="W",$C489="1/2W"))),$S487,0))</f>
        <v>0</v>
      </c>
      <c r="CC487" s="205">
        <f>IF($B487="LOSS",IF(AND($K487=CC$3,$C487="L"),-$O487,0)+IF(AND($K488=CC$3,$C488="L"),-$O488,0)+IF(AND($K489=CC$3,$C489="L"),-$O489,0),IF(OR(AND($K487=CC$3,OR($C487="W",$C487="1/2W")),AND($K488=CC$3,OR($C488="W",$C488="1/2W")),AND($K489=CC$3,OR($C489="W",$C489="1/2W"))),$S487,0))</f>
        <v>0</v>
      </c>
      <c r="CD487" s="202">
        <f>IF($B487="LOSS",IF(AND($K487=CD$3,$C487="L"),-$O487,0)+IF(AND($K488=CD$3,$C488="L"),-$O488,0)+IF(AND($K489=CD$3,$C489="L"),-$O489,0),IF(OR(AND($K487=CD$3,OR($C487="W",$C487="1/2W")),AND($K488=CD$3,OR($C488="W",$C488="1/2W")),AND($K489=CD$3,OR($C489="W",$C489="1/2W"))),$S487,0))</f>
        <v>2.61</v>
      </c>
      <c r="CE487" s="199">
        <f>IF($B487="LOSS",IF(AND($K487=CE$3,$C487="L"),-$O487,0)+IF(AND($K488=CE$3,$C488="L"),-$O488,0)+IF(AND($K489=CE$3,$C489="L"),-$O489,0),IF(OR(AND($K487=CE$3,OR($C487="W",$C487="1/2W")),AND($K488=CE$3,OR($C488="W",$C488="1/2W")),AND($K489=CE$3,OR($C489="W",$C489="1/2W"))),$S487,0))</f>
        <v>0</v>
      </c>
      <c r="CF487" s="206">
        <f>IF(CF$3=$K487,IF($C487="W",1,IF($C487="1/2W",0.5,0)),0)</f>
        <v>0</v>
      </c>
      <c r="CG487" s="207">
        <f>IF(CF$3=$K487,IF($C487="L",1,IF($C487="1/2L",0.5,0)),0)</f>
        <v>1</v>
      </c>
      <c r="CH487" s="207">
        <f>IF(CH$3=$K487,IF($C487="W",1,IF($C487="1/2W",0.5,0)),0)</f>
        <v>0</v>
      </c>
      <c r="CI487" s="207">
        <f>IF(CH$3=$K487,IF($C487="L",1,IF($C487="1/2L",0.5,0)),0)</f>
        <v>0</v>
      </c>
      <c r="CJ487" s="207">
        <f>IF(CJ$3=$K487,IF($C487="W",1,IF($C487="1/2W",0.5,0)),0)</f>
        <v>0</v>
      </c>
      <c r="CK487" s="207">
        <f>IF(CJ$3=$K487,IF($C487="L",1,IF($C487="1/2L",0.5,0)),0)</f>
        <v>0</v>
      </c>
      <c r="CL487" s="207">
        <f>IF(CL$3=$K487,IF($C487="W",1,IF($C487="1/2W",0.5,0)),0)</f>
        <v>0</v>
      </c>
      <c r="CM487" s="207">
        <f>IF(CL$3=$K487,IF($C487="L",1,IF($C487="1/2L",0.5,0)),0)</f>
        <v>0</v>
      </c>
      <c r="CN487" s="207">
        <f>IF(CN$3=$K487,IF($C487="W",1,IF($C487="1/2W",0.5,0)),0)</f>
        <v>0</v>
      </c>
      <c r="CO487" s="207">
        <f>IF(CN$3=$K487,IF($C487="L",1,IF($C487="1/2L",0.5,0)),0)</f>
        <v>0</v>
      </c>
      <c r="CP487" s="207">
        <f>IF(CP$3=$K487,IF($C487="W",1,IF($C487="1/2W",0.5,0)),0)</f>
        <v>0</v>
      </c>
      <c r="CQ487" s="207">
        <f>IF(CP$3=$K487,IF($C487="L",1,IF($C487="1/2L",0.5,0)),0)</f>
        <v>0</v>
      </c>
      <c r="CR487" s="207">
        <f>IF(CR$3=$K487,IF($C487="W",1,IF($C487="1/2W",0.5,0)),0)</f>
        <v>0</v>
      </c>
      <c r="CS487" s="207">
        <f>IF(CR$3=$K487,IF($C487="L",1,IF($C487="1/2L",0.5,0)),0)</f>
        <v>0</v>
      </c>
      <c r="CT487" s="208">
        <f>IF(CT$3=$K487,IF($C487="W",1,IF($C487="1/2W",0.5,0)),0)</f>
        <v>0</v>
      </c>
      <c r="CU487" s="209">
        <f>IF(CT$3=$K487,IF($C487="L",1,IF($C487="1/2L",0.5,0)),0)</f>
        <v>0</v>
      </c>
      <c r="CV487" s="209">
        <f>IF(CV$3=$K487,IF($C487="W",1,IF($C487="1/2W",0.5,0)),0)</f>
        <v>0</v>
      </c>
      <c r="CW487" s="209">
        <f>IF(CV$3=$K487,IF($C487="L",1,IF($C487="1/2L",0.5,0)),0)</f>
        <v>0</v>
      </c>
      <c r="CX487" s="209">
        <f>IF(CX$3=$K487,IF($C487="W",1,IF($C487="1/2W",0.5,0)),0)</f>
        <v>0</v>
      </c>
      <c r="CY487" s="209">
        <f>IF(CX$3=$K487,IF($C487="L",1,IF($C487="1/2L",0.5,0)),0)</f>
        <v>0</v>
      </c>
      <c r="CZ487" s="209">
        <f>IF(CZ$3=$K487,IF($C487="W",1,IF($C487="1/2W",0.5,0)),0)</f>
        <v>0</v>
      </c>
      <c r="DA487" s="209">
        <f>IF(CZ$3=$K487,IF($C487="L",1,IF($C487="1/2L",0.5,0)),0)</f>
        <v>0</v>
      </c>
      <c r="DB487" s="209">
        <f>IF(DB$3=$K487,IF($C487="W",1,IF($C487="1/2W",0.5,0)),0)</f>
        <v>0</v>
      </c>
      <c r="DC487" s="209">
        <f>IF(DB$3=$K487,IF($C487="L",1,IF($C487="1/2L",0.5,0)),0)</f>
        <v>0</v>
      </c>
      <c r="DD487" s="209">
        <f>IF(DD$3=$K487,IF($C487="W",1,IF($C487="1/2W",0.5,0)),0)</f>
        <v>0</v>
      </c>
      <c r="DE487" s="210">
        <f>IF(DD$3=$K487,IF($C487="L",1,IF($C487="1/2L",0.5,0)),0)</f>
        <v>0</v>
      </c>
      <c r="DF487" s="211">
        <f>IF(AND(L487&lt;DF$3,$C487="W"),1+DF486,DF486)</f>
        <v>16</v>
      </c>
      <c r="DG487" s="198">
        <f>IF(DF487&gt;DF486,L487+DG486,DG486)</f>
        <v>21.158</v>
      </c>
      <c r="DH487" s="209">
        <f>IF(AND(L487&gt;DH$3,$C487="W"),1+DH486,0+DH486)</f>
        <v>11</v>
      </c>
      <c r="DI487" s="198">
        <f>IF(DH487&gt;DH486,L487+DI486,DI486)</f>
        <v>59.13</v>
      </c>
      <c r="DJ487" t="s" s="306">
        <f>IF($D487="","",$D487)</f>
        <v>358</v>
      </c>
      <c r="DK487" s="209">
        <f>IF(AND($B487=" ",$D487&lt;&gt;""),1,0)</f>
        <v>0</v>
      </c>
    </row>
    <row r="488" ht="14.55" customHeight="1">
      <c r="A488" s="107"/>
      <c r="B488" s="108"/>
      <c r="C488" t="s" s="213">
        <v>56</v>
      </c>
      <c r="D488" s="110"/>
      <c r="E488" s="111"/>
      <c r="F488" s="113"/>
      <c r="G488" s="214"/>
      <c r="H488" s="114"/>
      <c r="I488" t="s" s="215">
        <v>54</v>
      </c>
      <c r="J488" s="296">
        <f>IF(OR(I487="TO",I487="TU",I487="TO1",I487="TU1",I487="TO2",I487="TU2"),J487,IF(OR(I487="AH1",I487="AH2"),IF(OR(I488="AH1",I488="AH2"),-J487,IF(OR(I488="EH1",I488="EH2"),-J487+0.5,"")),IF(OR(I487="EH1",I487="EH2"),IF(OR(I488="AH1",I488="AH2"),-J487+0.5,IF(OR(I488="EH1",I488="EH2"),-J487+1,"")),IF(AND(OR(I487="DNB1",I487="DNB2"),OR(I488="AH1",I488="AH2")),0,IF(AND(I487="Not ScoreBoth",OR(I488="TO1",I488="TO2")),0.5,"")))))</f>
        <v>0</v>
      </c>
      <c r="K488" t="s" s="217">
        <v>48</v>
      </c>
      <c r="L488" s="218">
        <v>1.5</v>
      </c>
      <c r="M488" s="219">
        <v>26.42</v>
      </c>
      <c r="N488" s="120"/>
      <c r="O488" s="220">
        <f>IF(OR(AE487="",AE488=""),"",ROUND(IF(L489&gt;0,IF(M488&gt;0,M488,IF(M487&gt;0,IF(N487=TRUE,ROUND((M487*AE488)/AE487,0),(M487*AE488)/AE487),IF(M488&gt;0,ROUND(M488,IF(N487=0,2,IF(N487=0.1,1,0))),IF(M489&gt;0,ROUND(O489*AE488/AE489,IF(N487=0,2,IF(N487=0.1,1,0))),0)))),IF(M488&gt;0,M488,ROUND((M487*AE488)/AE487,IF(N487=0,2,IF(N487=0.1,1,0))))),2))</f>
        <v>26.42</v>
      </c>
      <c r="P488" s="221">
        <f>IF(OR(L488="",O488=""),"",IF($C488="1/2W",O488/2+O488/2*L488,IF($C488="1/2L",O488/2,IF(I488="Lay",((O488*(L488/(L488-1)))-O488)*(1-_xlfn.XLOOKUP(K488,'Janeiro 2023 - Valor Real'!A3:A15,'Janeiro 2023 - Valor Real'!C3:C15,0))+O488,(O488*L488-O488)*(1-_xlfn.XLOOKUP(K488,'Janeiro 2023 - Valor Real'!A3:A15,'Janeiro 2023 - Valor Real'!C3:C15,0))+O488))))</f>
        <v>39.63</v>
      </c>
      <c r="Q488" s="222">
        <f>IF(K488="","",IF(_xlfn.XLOOKUP(K488,K$111:K249,DJ$111:DJ249,0,,-1)=DJ488,_xlfn.XLOOKUP(K488,K$111:K249,Q$111:Q249,1,,-1)+1,1))</f>
        <v>1</v>
      </c>
      <c r="R488" s="223">
        <f>IF(K488="","",_xlfn.XLOOKUP(K488,K$111:K249,R$111:R249,0,,-1)+IF($C488=" ",1,0))</f>
        <v>0</v>
      </c>
      <c r="S488" s="125"/>
      <c r="T488" s="126"/>
      <c r="U488" s="126"/>
      <c r="V488" s="224"/>
      <c r="W488" s="126"/>
      <c r="X488" s="127"/>
      <c r="Y488" s="128"/>
      <c r="Z488" s="129"/>
      <c r="AA488" s="129"/>
      <c r="AB488" s="129"/>
      <c r="AC488" s="129"/>
      <c r="AD488" s="225">
        <f>(((L488/(L488-1)-1)*(1-_xlfn.XLOOKUP(K488,'Janeiro 2023 - Valor Real'!A3:A15,'Janeiro 2023 - Valor Real'!C3:C15,0))+1))</f>
        <v>3</v>
      </c>
      <c r="AE488" s="226">
        <f>IF(L488="","",IF(L489&gt;0,(SUM(((L487-1)*(1-_xlfn.XLOOKUP(K487,'Janeiro 2023 - Valor Real'!A3:A15,'Janeiro 2023 - Valor Real'!C3:C15,0))+1),((L488-1)*(1-_xlfn.XLOOKUP(K488,'Janeiro 2023 - Valor Real'!A3:A15,'Janeiro 2023 - Valor Real'!C3:C15,0))+1),((L489-1)*(1-_xlfn.XLOOKUP(K489,'Janeiro 2023 - Valor Real'!A3:A15,'Janeiro 2023 - Valor Real'!C3:C15,0))+1))/((L488-1)*(1-_xlfn.XLOOKUP(K488,'Janeiro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Real'!C3:C15,0))+1))/((L487-1)*(1-_xlfn.XLOOKUP(K487,'Janeiro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Real'!C3:C15,0))+1))/((L488-1)*(1-_xlfn.XLOOKUP(K488,'Janeiro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Real'!C3:C15,0))+1))/((L489-1)*(1-_xlfn.XLOOKUP(K489,'Janeiro 2023 - Valor Real'!A3:A15,'Janeiro 2023 - Valor Real'!C3:C15,0))+1)),IF(I488="Lay",IF(I487="Lay",((L487/(L487-1)-1)*(1-_xlfn.XLOOKUP(K487,'Janeiro 2023 - Valor Real'!A3:A15,'Janeiro 2023 - Valor Real'!C3:C15,0))+1)/(((L487/(L487-1)-1)*(1-_xlfn.XLOOKUP(K487,'Janeiro 2023 - Valor Real'!A3:A15,'Janeiro 2023 - Valor Real'!C3:C15,0))+1)+((L488/(L488-1)-1)*(1-_xlfn.XLOOKUP(K488,'Janeiro 2023 - Valor Real'!A3:A15,'Janeiro 2023 - Valor Real'!C3:C15,0))+1)),((L487-1)*(1-_xlfn.XLOOKUP(K487,'Janeiro 2023 - Valor Real'!A3:A15,'Janeiro 2023 - Valor Real'!C3:C15,0))+1)/(((L487-1)*(1-_xlfn.XLOOKUP(K487,'Janeiro 2023 - Valor Real'!A3:A15,'Janeiro 2023 - Valor Real'!C3:C15,0))+1)+((L488/(L488-1)-1)*(1-_xlfn.XLOOKUP(K488,'Janeiro 2023 - Valor Real'!A3:A15,'Janeiro 2023 - Valor Real'!C3:C15,0))+1))),IF(I487="Lay",((L487/(L487-1)-1)*(1-_xlfn.XLOOKUP(K487,'Janeiro 2023 - Valor Real'!A3:A15,'Janeiro 2023 - Valor Real'!C3:C15,0))+1)/((((L487/(L487-1)-1)*(1-_xlfn.XLOOKUP(K487,'Janeiro 2023 - Valor Real'!A3:A15,'Janeiro 2023 - Valor Real'!C3:C15,0))+1))+((L488-1)*(1-_xlfn.XLOOKUP(K488,'Janeiro 2023 - Valor Real'!A3:A15,'Janeiro 2023 - Valor Real'!C3:C15,0))+1)),((L487-1)*(1-_xlfn.XLOOKUP(K487,'Janeiro 2023 - Valor Real'!A3:A15,'Janeiro 2023 - Valor Real'!C3:C15,0))+1)/(((L487-1)*(1-_xlfn.XLOOKUP(K487,'Janeiro 2023 - Valor Real'!A3:A15,'Janeiro 2023 - Valor Real'!C3:C15,0))+1)+((L488-1)*(1-_xlfn.XLOOKUP(K488,'Janeiro 2023 - Valor Real'!A3:A15,'Janeiro 2023 - Valor Real'!C3:C15,0))+1))))))</f>
        <v>0.714285714285714</v>
      </c>
      <c r="AF488" s="197">
        <f>IF($K488=AF$3,ROUND(IF(OR($C488="W",$C488="1/2W",$C488="1/2L"),$P488-$O488,IF($C488="X",0,-$O488)),2),0)</f>
        <v>0</v>
      </c>
      <c r="AG488" s="198">
        <f>IF($K488=AG$3,ROUND(IF(OR($C488="W",$C488="1/2W",$C488="1/2L"),$P488-$O488,IF($C488="X",0,-$O488)),2),0)</f>
        <v>0</v>
      </c>
      <c r="AH488" s="198">
        <f>IF($K488=AH$3,ROUND(IF(OR($C488="W",$C488="1/2W",$C488="1/2L"),$P488-$O488,IF($C488="X",0,-$O488)),2),0)</f>
        <v>0</v>
      </c>
      <c r="AI488" s="198">
        <f>IF($K488=AI$3,ROUND(IF(OR($C488="W",$C488="1/2W",$C488="1/2L"),$P488-$O488,IF($C488="X",0,-$O488)),2),0)</f>
        <v>0</v>
      </c>
      <c r="AJ488" s="198">
        <f>IF($K488=AJ$3,ROUND(IF(OR($C488="W",$C488="1/2W",$C488="1/2L"),$P488-$O488,IF($C488="X",0,-$O488)),2),0)</f>
        <v>0</v>
      </c>
      <c r="AK488" s="198">
        <f>IF($K488=AK$3,ROUND(IF(OR($C488="W",$C488="1/2W",$C488="1/2L"),$P488-$O488,IF($C488="X",0,-$O488)),2),0)</f>
        <v>0</v>
      </c>
      <c r="AL488" s="198">
        <f>IF($K488=AL$3,ROUND(IF(OR($C488="W",$C488="1/2W",$C488="1/2L"),$P488-$O488,IF($C488="X",0,-$O488)),2),0)</f>
        <v>0</v>
      </c>
      <c r="AM488" s="198">
        <f>IF($K488=AM$3,ROUND(IF(OR($C488="W",$C488="1/2W",$C488="1/2L"),$P488-$O488,IF($C488="X",0,-$O488)),2),0)</f>
        <v>0</v>
      </c>
      <c r="AN488" s="198">
        <f>IF($K488=AN$3,ROUND(IF(OR($C488="W",$C488="1/2W",$C488="1/2L"),$P488-$O488,IF($C488="X",0,-$O488)),2),0)</f>
        <v>0</v>
      </c>
      <c r="AO488" s="198">
        <f>IF($K488=AO$3,ROUND(IF(OR($C488="W",$C488="1/2W",$C488="1/2L"),$P488-$O488,IF($C488="X",0,-$O488)),2),0)</f>
        <v>0</v>
      </c>
      <c r="AP488" s="198">
        <f>IF($K488=AP$3,ROUND(IF(OR($C488="W",$C488="1/2W",$C488="1/2L"),$P488-$O488,IF($C488="X",0,-$O488)),2),0)</f>
        <v>0</v>
      </c>
      <c r="AQ488" s="198">
        <f>IF($K488=AQ$3,ROUND(IF(OR($C488="W",$C488="1/2W",$C488="1/2L"),$P488-$O488,IF($C488="X",0,-$O488)),2),0)</f>
        <v>13.21</v>
      </c>
      <c r="AR488" s="199">
        <f>IF($K488=AR$3,ROUND(IF(OR($C488="W",$C488="1/2W",$C488="1/2L"),$P488-$O488,IF($C488="X",0,-$O488)),2),0)</f>
        <v>0</v>
      </c>
      <c r="AS488" s="197">
        <f>IF(AND($B487=" ",$K488=AS$3),$O488,0)</f>
        <v>0</v>
      </c>
      <c r="AT488" s="198">
        <f>IF(AND($B487=" ",K488=AT$3),$O488,0)</f>
        <v>0</v>
      </c>
      <c r="AU488" s="198">
        <f>IF(AND($B487=" ",$K488=AU$3),$O488,0)</f>
        <v>0</v>
      </c>
      <c r="AV488" s="198">
        <f>IF(AND($B487=" ",$K488=AV$3),$O488,0)</f>
        <v>0</v>
      </c>
      <c r="AW488" s="198">
        <f>IF(AND($B487=" ",$K488=AW$3),$O488,0)</f>
        <v>0</v>
      </c>
      <c r="AX488" s="198">
        <f>IF(AND($B487=" ",$K488=AX$3),$O488,0)</f>
        <v>0</v>
      </c>
      <c r="AY488" s="200">
        <f>IF(AND($B487=" ",$K488=AY$3),$O488,0)</f>
        <v>0</v>
      </c>
      <c r="AZ488" s="201">
        <f>IF(AND($B487=" ",$K488=AZ$3),$O488,0)</f>
        <v>0</v>
      </c>
      <c r="BA488" s="201">
        <f>IF(AND($B487=" ",$K488=BA$3),$O488,0)</f>
        <v>0</v>
      </c>
      <c r="BB488" s="201">
        <f>IF(AND($B487=" ",$K488=BB$3),$O488,0)</f>
        <v>0</v>
      </c>
      <c r="BC488" s="202">
        <f>IF(AND($B487=" ",$K488=BC$3),$O488,0)</f>
        <v>0</v>
      </c>
      <c r="BD488" s="198">
        <f>IF(AND($B487=" ",$K488=BD$3),$O488,0)</f>
        <v>0</v>
      </c>
      <c r="BE488" s="199">
        <f>IF(AND($B487=" ",$K488=BE$3),$O488,0)</f>
        <v>0</v>
      </c>
      <c r="BF488" s="197">
        <f>IF($K488=BF$3,IF($C488="X",0,$O488),0)</f>
        <v>0</v>
      </c>
      <c r="BG488" s="198">
        <f>IF($K488=BG$3,IF($C488="X",0,$O488),0)</f>
        <v>0</v>
      </c>
      <c r="BH488" s="198">
        <f>IF($K488=BH$3,IF($C488="X",0,$O488),0)</f>
        <v>0</v>
      </c>
      <c r="BI488" s="198">
        <f>IF($K488=BI$3,IF($C488="X",0,$O488),0)</f>
        <v>0</v>
      </c>
      <c r="BJ488" s="198">
        <f>IF($K488=BJ$3,IF($C488="X",0,$O488),0)</f>
        <v>0</v>
      </c>
      <c r="BK488" s="198">
        <f>IF($K488=BK$3,IF($C488="X",0,$O488),0)</f>
        <v>0</v>
      </c>
      <c r="BL488" s="198">
        <f>IF($K488=BL$3,IF($C488="X",0,$O488),0)</f>
        <v>0</v>
      </c>
      <c r="BM488" s="227">
        <f>IF($K488=BM$3,IF($C488="X",0,$O488),0)</f>
        <v>0</v>
      </c>
      <c r="BN488" s="205">
        <f>IF($K488=BN$3,IF($C488="X",0,$O488),0)</f>
        <v>0</v>
      </c>
      <c r="BO488" s="205">
        <f>IF($K488=BO$3,IF($C488="X",0,$O488),0)</f>
        <v>0</v>
      </c>
      <c r="BP488" s="205">
        <f>IF($K488=BP$3,IF($C488="X",0,$O488),0)</f>
        <v>0</v>
      </c>
      <c r="BQ488" s="202">
        <f>IF($K488=BQ$3,IF($C488="X",0,$O488),0)</f>
        <v>26.42</v>
      </c>
      <c r="BR488" s="199">
        <f>IF($K488=BR$3,IF($C488="X",0,$O488),0)</f>
        <v>0</v>
      </c>
      <c r="BS488" s="228"/>
      <c r="BT488" s="229"/>
      <c r="BU488" s="140"/>
      <c r="BV488" s="229"/>
      <c r="BW488" s="140"/>
      <c r="BX488" s="140"/>
      <c r="BY488" s="140"/>
      <c r="BZ488" s="229"/>
      <c r="CA488" s="140"/>
      <c r="CB488" s="140"/>
      <c r="CC488" s="140"/>
      <c r="CD488" s="141"/>
      <c r="CE488" s="142"/>
      <c r="CF488" s="230">
        <f>IF(CF$3=$K488,IF($C488="W",1,IF($C488="1/2W",0.5,0)),0)</f>
        <v>0</v>
      </c>
      <c r="CG488" s="231">
        <f>IF(CF$3=$K488,IF($C488="L",1,IF($C488="1/2L",0.5,0)),0)</f>
        <v>0</v>
      </c>
      <c r="CH488" s="231">
        <f>IF(CH$3=$K488,IF($C488="W",1,IF($C488="1/2W",0.5,0)),0)</f>
        <v>0</v>
      </c>
      <c r="CI488" s="231">
        <f>IF(CH$3=$K488,IF($C488="L",1,IF($C488="1/2L",0.5,0)),0)</f>
        <v>0</v>
      </c>
      <c r="CJ488" s="231">
        <f>IF(CJ$3=$K488,IF($C488="W",1,IF($C488="1/2W",0.5,0)),0)</f>
        <v>0</v>
      </c>
      <c r="CK488" s="231">
        <f>IF(CJ$3=$K488,IF($C488="L",1,IF($C488="1/2L",0.5,0)),0)</f>
        <v>0</v>
      </c>
      <c r="CL488" s="231">
        <f>IF(CL$3=$K488,IF($C488="W",1,IF($C488="1/2W",0.5,0)),0)</f>
        <v>0</v>
      </c>
      <c r="CM488" s="231">
        <f>IF(CL$3=$K488,IF($C488="L",1,IF($C488="1/2L",0.5,0)),0)</f>
        <v>0</v>
      </c>
      <c r="CN488" s="231">
        <f>IF(CN$3=$K488,IF($C488="W",1,IF($C488="1/2W",0.5,0)),0)</f>
        <v>0</v>
      </c>
      <c r="CO488" s="231">
        <f>IF(CN$3=$K488,IF($C488="L",1,IF($C488="1/2L",0.5,0)),0)</f>
        <v>0</v>
      </c>
      <c r="CP488" s="231">
        <f>IF(CP$3=$K488,IF($C488="W",1,IF($C488="1/2W",0.5,0)),0)</f>
        <v>0</v>
      </c>
      <c r="CQ488" s="231">
        <f>IF(CP$3=$K488,IF($C488="L",1,IF($C488="1/2L",0.5,0)),0)</f>
        <v>0</v>
      </c>
      <c r="CR488" s="231">
        <f>IF(CR$3=$K488,IF($C488="W",1,IF($C488="1/2W",0.5,0)),0)</f>
        <v>0</v>
      </c>
      <c r="CS488" s="231">
        <f>IF(CR$3=$K488,IF($C488="L",1,IF($C488="1/2L",0.5,0)),0)</f>
        <v>0</v>
      </c>
      <c r="CT488" s="208">
        <f>IF(CT$3=$K488,IF($C488="W",1,IF($C488="1/2W",0.5,0)),0)</f>
        <v>0</v>
      </c>
      <c r="CU488" s="209">
        <f>IF(CT$3=$K488,IF($C488="L",1,IF($C488="1/2L",0.5,0)),0)</f>
        <v>0</v>
      </c>
      <c r="CV488" s="209">
        <f>IF(CV$3=$K488,IF($C488="W",1,IF($C488="1/2W",0.5,0)),0)</f>
        <v>0</v>
      </c>
      <c r="CW488" s="209">
        <f>IF(CV$3=$K488,IF($C488="L",1,IF($C488="1/2L",0.5,0)),0)</f>
        <v>0</v>
      </c>
      <c r="CX488" s="209">
        <f>IF(CX$3=$K488,IF($C488="W",1,IF($C488="1/2W",0.5,0)),0)</f>
        <v>0</v>
      </c>
      <c r="CY488" s="209">
        <f>IF(CX$3=$K488,IF($C488="L",1,IF($C488="1/2L",0.5,0)),0)</f>
        <v>0</v>
      </c>
      <c r="CZ488" s="209">
        <f>IF(CZ$3=$K488,IF($C488="W",1,IF($C488="1/2W",0.5,0)),0)</f>
        <v>0</v>
      </c>
      <c r="DA488" s="209">
        <f>IF(CZ$3=$K488,IF($C488="L",1,IF($C488="1/2L",0.5,0)),0)</f>
        <v>0</v>
      </c>
      <c r="DB488" s="209">
        <f>IF(DB$3=$K488,IF($C488="W",1,IF($C488="1/2W",0.5,0)),0)</f>
        <v>1</v>
      </c>
      <c r="DC488" s="209">
        <f>IF(DB$3=$K488,IF($C488="L",1,IF($C488="1/2L",0.5,0)),0)</f>
        <v>0</v>
      </c>
      <c r="DD488" s="209">
        <f>IF(DD$3=$K488,IF($C488="W",1,IF($C488="1/2W",0.5,0)),0)</f>
        <v>0</v>
      </c>
      <c r="DE488" s="210">
        <f>IF(DD$3=$K488,IF($C488="L",1,IF($C488="1/2L",0.5,0)),0)</f>
        <v>0</v>
      </c>
      <c r="DF488" s="211">
        <f>IF(AND(L488&lt;DF$3,$C488="W"),1+DF487,DF487)</f>
        <v>16</v>
      </c>
      <c r="DG488" s="198">
        <f>IF(DF488&gt;DF487,L488+DG487,DG487)</f>
        <v>21.158</v>
      </c>
      <c r="DH488" s="209">
        <f>IF(AND(L488&gt;DH$3,$C488="W"),1+DH487,0+DH487)</f>
        <v>11</v>
      </c>
      <c r="DI488" s="198">
        <f>IF(DH488&gt;DH487,L488+DI487,DI487)</f>
        <v>59.13</v>
      </c>
      <c r="DJ488" t="s" s="306">
        <f>IF($D487="","",$D487)</f>
        <v>358</v>
      </c>
      <c r="DK488" s="232"/>
    </row>
    <row r="489" ht="14.55" customHeight="1">
      <c r="A489" s="149"/>
      <c r="B489" s="150"/>
      <c r="C489" t="s" s="233">
        <v>58</v>
      </c>
      <c r="D489" s="152"/>
      <c r="E489" s="153"/>
      <c r="F489" s="155"/>
      <c r="G489" s="234"/>
      <c r="H489" s="156"/>
      <c r="I489" s="235"/>
      <c r="J489" s="236"/>
      <c r="K489" s="237"/>
      <c r="L489" s="238"/>
      <c r="M489" s="239"/>
      <c r="N489" s="161"/>
      <c r="O489" t="s" s="240">
        <f>IF(OR(AE487="",AE488=""),"",IF(L489&gt;0,ROUND(IF(M489&gt;0,M489,IF(M487&gt;0,ROUND((M487*AE489)/AE487,IF(N487=0,2,IF(N487=0.1,1,0))),IF(M488&gt;0,ROUND((M488*AE489)/AE488,IF(N487=0,2,IF(N487=0.1,1,0))),IF(M489&gt;0,M489,0)))),2),""))</f>
      </c>
      <c r="P489" t="s" s="241">
        <f>IF(I488="Lay",O488*(L488/(L488-1))-O488,IF(I487="Lay",O487*(L487/(L487-1))-O487,IF(OR(L489="",O489=""),"",IF($C489="1/2W",O489/2+O489/2*L489,IF($C489="1/2L",O489/2,(O489*L489-O489)*(1-_xlfn.XLOOKUP(K489,'Janeiro 2023 - Valor Real'!A3:A15,'Janeiro 2023 - Valor Real'!C3:C15,0))+O489)))))</f>
      </c>
      <c r="Q489" t="s" s="242">
        <f>IF(K489="","",IF(_xlfn.XLOOKUP(K489,K$112:K250,DJ$112:DJ250,0,,-1)=DJ489,_xlfn.XLOOKUP(K489,K$112:K250,Q$112:Q250,1,,-1)+1,1))</f>
      </c>
      <c r="R489" t="s" s="243">
        <f>IF(K489="","",_xlfn.XLOOKUP(K489,K$112:K250,R$112:R250,0,,-1)+IF($C489=" ",1,0))</f>
      </c>
      <c r="S489" s="166"/>
      <c r="T489" s="155"/>
      <c r="U489" s="155"/>
      <c r="V489" s="166"/>
      <c r="W489" s="155"/>
      <c r="X489" s="167"/>
      <c r="Y489" s="128"/>
      <c r="Z489" s="129"/>
      <c r="AA489" s="129"/>
      <c r="AB489" s="129"/>
      <c r="AC489" s="129"/>
      <c r="AD489" s="244">
        <f>((L488/(L488-1)-1))</f>
        <v>2</v>
      </c>
      <c r="AE489" t="s" s="245">
        <f>IF(L489="","",(SUM(((L487-1)*(1-_xlfn.XLOOKUP(K487,'Janeiro 2023 - Valor Real'!A3:A15,'Janeiro 2023 - Valor Real'!C3:C15,0))+1),((L488-1)*(1-_xlfn.XLOOKUP(K488,'Janeiro 2023 - Valor Real'!A3:A15,'Janeiro 2023 - Valor Real'!C3:C15,0))+1),((L489-1)*(1-_xlfn.XLOOKUP(K489,'Janeiro 2023 - Valor Real'!A3:A15,'Janeiro 2023 - Valor Real'!C3:C15,0))+1))/((L489-1)*(1-_xlfn.XLOOKUP(K489,'Janeiro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Real'!C3:C15,0))+1))/((L487-1)*(1-_xlfn.XLOOKUP(K487,'Janeiro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Real'!C3:C15,0))+1))/((L488-1)*(1-_xlfn.XLOOKUP(K488,'Janeiro 2023 - Valor Real'!A3:A15,'Janeiro 2023 - Valor Real'!C3:C15,0))+1)+SUM(((L487-1)*(1-_xlfn.XLOOKUP(K487,'Janeiro 2023 - Valor Real'!A3:A15,'Janeiro 2023 - Valor Real'!C3:C15,0))+1),((L488-1)*(1-_xlfn.XLOOKUP(K488,'Janeiro 2023 - Valor Real'!A3:A15,'Janeiro 2023 - Valor Real'!C3:C15,0))+1),((L489-1)*(1-_xlfn.XLOOKUP(K489,'Janeiro 2023 - Valor Real'!A3:A15,'Janeiro 2023 - Valor Real'!C3:C15,0))+1))/((L489-1)*(1-_xlfn.XLOOKUP(K489,'Janeiro 2023 - Valor Real'!A3:A15,'Janeiro 2023 - Valor Real'!C3:C15,0))+1)))</f>
      </c>
      <c r="AF489" s="197">
        <f>IF($K489=AF$3,ROUND(IF(OR($C489="W",$C489="1/2W",$C489="1/2L"),$P489-$O489,IF($C489="X",0,-$O489)),2),0)</f>
        <v>0</v>
      </c>
      <c r="AG489" s="198">
        <f>IF($K489=AG$3,ROUND(IF(OR($C489="W",$C489="1/2W",$C489="1/2L"),$P489-$O489,IF($C489="X",0,-$O489)),2),0)</f>
        <v>0</v>
      </c>
      <c r="AH489" s="198">
        <f>IF($K489=AH$3,ROUND(IF(OR($C489="W",$C489="1/2W",$C489="1/2L"),$P489-$O489,IF($C489="X",0,-$O489)),2),0)</f>
        <v>0</v>
      </c>
      <c r="AI489" s="198">
        <f>IF($K489=AI$3,ROUND(IF(OR($C489="W",$C489="1/2W",$C489="1/2L"),$P489-$O489,IF($C489="X",0,-$O489)),2),0)</f>
        <v>0</v>
      </c>
      <c r="AJ489" s="198">
        <f>IF($K489=AJ$3,ROUND(IF(OR($C489="W",$C489="1/2W",$C489="1/2L"),$P489-$O489,IF($C489="X",0,-$O489)),2),0)</f>
        <v>0</v>
      </c>
      <c r="AK489" s="198">
        <f>IF($K489=AK$3,ROUND(IF(OR($C489="W",$C489="1/2W",$C489="1/2L"),$P489-$O489,IF($C489="X",0,-$O489)),2),0)</f>
        <v>0</v>
      </c>
      <c r="AL489" s="198">
        <f>IF($K489=AL$3,ROUND(IF(OR($C489="W",$C489="1/2W",$C489="1/2L"),$P489-$O489,IF($C489="X",0,-$O489)),2),0)</f>
        <v>0</v>
      </c>
      <c r="AM489" s="198">
        <f>IF($K489=AM$3,ROUND(IF(OR($C489="W",$C489="1/2W",$C489="1/2L"),$P489-$O489,IF($C489="X",0,-$O489)),2),0)</f>
        <v>0</v>
      </c>
      <c r="AN489" s="198">
        <f>IF($K489=AN$3,ROUND(IF(OR($C489="W",$C489="1/2W",$C489="1/2L"),$P489-$O489,IF($C489="X",0,-$O489)),2),0)</f>
        <v>0</v>
      </c>
      <c r="AO489" s="198">
        <f>IF($K489=AO$3,ROUND(IF(OR($C489="W",$C489="1/2W",$C489="1/2L"),$P489-$O489,IF($C489="X",0,-$O489)),2),0)</f>
        <v>0</v>
      </c>
      <c r="AP489" s="198">
        <f>IF($K489=AP$3,ROUND(IF(OR($C489="W",$C489="1/2W",$C489="1/2L"),$P489-$O489,IF($C489="X",0,-$O489)),2),0)</f>
        <v>0</v>
      </c>
      <c r="AQ489" s="198">
        <f>IF($K489=AQ$3,ROUND(IF(OR($C489="W",$C489="1/2W",$C489="1/2L"),$P489-$O489,IF($C489="X",0,-$O489)),2),0)</f>
        <v>0</v>
      </c>
      <c r="AR489" s="199">
        <f>IF($K489=AR$3,ROUND(IF(OR($C489="W",$C489="1/2W",$C489="1/2L"),$P489-$O489,IF($C489="X",0,-$O489)),2),0)</f>
        <v>0</v>
      </c>
      <c r="AS489" s="197">
        <f>IF(AND($B487=" ",$K489=AS$3),$O489,0)</f>
        <v>0</v>
      </c>
      <c r="AT489" s="198">
        <f>IF(AND($B487=" ",K489=AT$3),$O489,0)</f>
        <v>0</v>
      </c>
      <c r="AU489" s="198">
        <f>IF(AND($B487=" ",$K489=AU$3),$O489,0)</f>
        <v>0</v>
      </c>
      <c r="AV489" s="198">
        <f>IF(AND($B487=" ",$K489=AV$3),$O489,0)</f>
        <v>0</v>
      </c>
      <c r="AW489" s="198">
        <f>IF(AND($B487=" ",$K489=AW$3),$O489,0)</f>
        <v>0</v>
      </c>
      <c r="AX489" s="198">
        <f>IF(AND($B487=" ",$K489=AX$3),$O489,0)</f>
        <v>0</v>
      </c>
      <c r="AY489" s="200">
        <f>IF(AND($B487=" ",$K489=AY$3),$O489,0)</f>
        <v>0</v>
      </c>
      <c r="AZ489" s="201">
        <f>IF(AND($B487=" ",$K489=AZ$3),$O489,0)</f>
        <v>0</v>
      </c>
      <c r="BA489" s="201">
        <f>IF(AND($B487=" ",$K489=BA$3),$O489,0)</f>
        <v>0</v>
      </c>
      <c r="BB489" s="201">
        <f>IF(AND($B487=" ",$K489=BB$3),$O489,0)</f>
        <v>0</v>
      </c>
      <c r="BC489" s="202">
        <f>IF(AND($B487=" ",$K489=BC$3),$O489,0)</f>
        <v>0</v>
      </c>
      <c r="BD489" s="198">
        <f>IF(AND($B487=" ",$K489=BD$3),$O489,0)</f>
        <v>0</v>
      </c>
      <c r="BE489" s="199">
        <f>IF(AND($B487=" ",$K489=BE$3),$O489,0)</f>
        <v>0</v>
      </c>
      <c r="BF489" s="197">
        <f>IF($K489=BF$3,IF($C489="X",0,$O489),0)</f>
        <v>0</v>
      </c>
      <c r="BG489" s="198">
        <f>IF($K489=BG$3,IF($C489="X",0,$O489),0)</f>
        <v>0</v>
      </c>
      <c r="BH489" s="198">
        <f>IF($K489=BH$3,IF($C489="X",0,$O489),0)</f>
        <v>0</v>
      </c>
      <c r="BI489" s="198">
        <f>IF($K489=BI$3,IF($C489="X",0,$O489),0)</f>
        <v>0</v>
      </c>
      <c r="BJ489" s="198">
        <f>IF($K489=BJ$3,IF($C489="X",0,$O489),0)</f>
        <v>0</v>
      </c>
      <c r="BK489" s="198">
        <f>IF($K489=BK$3,IF($C489="X",0,$O489),0)</f>
        <v>0</v>
      </c>
      <c r="BL489" s="198">
        <f>IF($K489=BL$3,IF($C489="X",0,$O489),0)</f>
        <v>0</v>
      </c>
      <c r="BM489" s="200">
        <f>IF($K489=BM$3,IF($C489="X",0,$O489),0)</f>
        <v>0</v>
      </c>
      <c r="BN489" s="201">
        <f>IF($K489=BN$3,IF($C489="X",0,$O489),0)</f>
        <v>0</v>
      </c>
      <c r="BO489" s="201">
        <f>IF($K489=BO$3,IF($C489="X",0,$O489),0)</f>
        <v>0</v>
      </c>
      <c r="BP489" s="201">
        <f>IF($K489=BP$3,IF($C489="X",0,$O489),0)</f>
        <v>0</v>
      </c>
      <c r="BQ489" s="202">
        <f>IF($K489=BQ$3,IF($C489="X",0,$O489),0)</f>
        <v>0</v>
      </c>
      <c r="BR489" s="199">
        <f>IF($K489=BR$3,IF($C489="X",0,$O489),0)</f>
        <v>0</v>
      </c>
      <c r="BS489" s="228"/>
      <c r="BT489" s="229"/>
      <c r="BU489" s="140"/>
      <c r="BV489" s="229"/>
      <c r="BW489" s="140"/>
      <c r="BX489" s="140"/>
      <c r="BY489" s="140"/>
      <c r="BZ489" s="229"/>
      <c r="CA489" s="140"/>
      <c r="CB489" s="140"/>
      <c r="CC489" s="140"/>
      <c r="CD489" s="141"/>
      <c r="CE489" s="142"/>
      <c r="CF489" s="230">
        <f>IF(CF$3=$K489,IF($C489="W",1,IF($C489="1/2W",0.5,0)),0)</f>
        <v>0</v>
      </c>
      <c r="CG489" s="231">
        <f>IF(CF$3=$K489,IF($C489="L",1,IF($C489="1/2L",0.5,0)),0)</f>
        <v>0</v>
      </c>
      <c r="CH489" s="231">
        <f>IF(CH$3=$K489,IF($C489="W",1,IF($C489="1/2W",0.5,0)),0)</f>
        <v>0</v>
      </c>
      <c r="CI489" s="231">
        <f>IF(CH$3=$K489,IF($C489="L",1,IF($C489="1/2L",0.5,0)),0)</f>
        <v>0</v>
      </c>
      <c r="CJ489" s="231">
        <f>IF(CJ$3=$K489,IF($C489="W",1,IF($C489="1/2W",0.5,0)),0)</f>
        <v>0</v>
      </c>
      <c r="CK489" s="231">
        <f>IF(CJ$3=$K489,IF($C489="L",1,IF($C489="1/2L",0.5,0)),0)</f>
        <v>0</v>
      </c>
      <c r="CL489" s="231">
        <f>IF(CL$3=$K489,IF($C489="W",1,IF($C489="1/2W",0.5,0)),0)</f>
        <v>0</v>
      </c>
      <c r="CM489" s="231">
        <f>IF(CL$3=$K489,IF($C489="L",1,IF($C489="1/2L",0.5,0)),0)</f>
        <v>0</v>
      </c>
      <c r="CN489" s="231">
        <f>IF(CN$3=$K489,IF($C489="W",1,IF($C489="1/2W",0.5,0)),0)</f>
        <v>0</v>
      </c>
      <c r="CO489" s="231">
        <f>IF(CN$3=$K489,IF($C489="L",1,IF($C489="1/2L",0.5,0)),0)</f>
        <v>0</v>
      </c>
      <c r="CP489" s="231">
        <f>IF(CP$3=$K489,IF($C489="W",1,IF($C489="1/2W",0.5,0)),0)</f>
        <v>0</v>
      </c>
      <c r="CQ489" s="231">
        <f>IF(CP$3=$K489,IF($C489="L",1,IF($C489="1/2L",0.5,0)),0)</f>
        <v>0</v>
      </c>
      <c r="CR489" s="231">
        <f>IF(CR$3=$K489,IF($C489="W",1,IF($C489="1/2W",0.5,0)),0)</f>
        <v>0</v>
      </c>
      <c r="CS489" s="231">
        <f>IF(CR$3=$K489,IF($C489="L",1,IF($C489="1/2L",0.5,0)),0)</f>
        <v>0</v>
      </c>
      <c r="CT489" s="208">
        <f>IF(CT$3=$K489,IF($C489="W",1,IF($C489="1/2W",0.5,0)),0)</f>
        <v>0</v>
      </c>
      <c r="CU489" s="209">
        <f>IF(CT$3=$K489,IF($C489="L",1,IF($C489="1/2L",0.5,0)),0)</f>
        <v>0</v>
      </c>
      <c r="CV489" s="209">
        <f>IF(CV$3=$K489,IF($C489="W",1,IF($C489="1/2W",0.5,0)),0)</f>
        <v>0</v>
      </c>
      <c r="CW489" s="209">
        <f>IF(CV$3=$K489,IF($C489="L",1,IF($C489="1/2L",0.5,0)),0)</f>
        <v>0</v>
      </c>
      <c r="CX489" s="209">
        <f>IF(CX$3=$K489,IF($C489="W",1,IF($C489="1/2W",0.5,0)),0)</f>
        <v>0</v>
      </c>
      <c r="CY489" s="209">
        <f>IF(CX$3=$K489,IF($C489="L",1,IF($C489="1/2L",0.5,0)),0)</f>
        <v>0</v>
      </c>
      <c r="CZ489" s="209">
        <f>IF(CZ$3=$K489,IF($C489="W",1,IF($C489="1/2W",0.5,0)),0)</f>
        <v>0</v>
      </c>
      <c r="DA489" s="209">
        <f>IF(CZ$3=$K489,IF($C489="L",1,IF($C489="1/2L",0.5,0)),0)</f>
        <v>0</v>
      </c>
      <c r="DB489" s="209">
        <f>IF(DB$3=$K489,IF($C489="W",1,IF($C489="1/2W",0.5,0)),0)</f>
        <v>0</v>
      </c>
      <c r="DC489" s="209">
        <f>IF(DB$3=$K489,IF($C489="L",1,IF($C489="1/2L",0.5,0)),0)</f>
        <v>0</v>
      </c>
      <c r="DD489" s="209">
        <f>IF(DD$3=$K489,IF($C489="W",1,IF($C489="1/2W",0.5,0)),0)</f>
        <v>0</v>
      </c>
      <c r="DE489" s="210">
        <f>IF(DD$3=$K489,IF($C489="L",1,IF($C489="1/2L",0.5,0)),0)</f>
        <v>0</v>
      </c>
      <c r="DF489" s="211">
        <f>IF(AND(L489&lt;DF$3,$C489="W"),1+DF488,DF488)</f>
        <v>16</v>
      </c>
      <c r="DG489" s="198">
        <f>IF(DF489&gt;DF488,L489+DG488,DG488)</f>
        <v>21.158</v>
      </c>
      <c r="DH489" s="209">
        <f>IF(AND(L489&gt;DH$3,$C489="W"),1+DH488,0+DH488)</f>
        <v>11</v>
      </c>
      <c r="DI489" s="198">
        <f>IF(DH489&gt;DH488,L489+DI488,DI488)</f>
        <v>59.13</v>
      </c>
      <c r="DJ489" t="s" s="306">
        <f>IF($D487="","",$D487)</f>
        <v>358</v>
      </c>
      <c r="DK489" s="232"/>
    </row>
    <row r="490" ht="14.55" customHeight="1">
      <c r="A490" s="246">
        <f>$A487+1</f>
        <v>163</v>
      </c>
      <c r="B490" t="s" s="247">
        <f>IF(AND(_xlfn.XLOOKUP(H490,H$107:H269,G$107:G269,0)=G490,_xlfn.XLOOKUP("TempoBet",K490:K492,L490:L492,0)&gt;0),"X",IF(OR(C490="W",C491="W",C492="W",C490="1/2W",C491="1/2W",C492="1/2W",C490="1/2L",C491="1/2L",C492="1/2L"),"OK",IF(OR(C490="L",C491="L",C492="L"),"LOSS",IF(OR(C490="X",C491="X",C492="X"),"Anulado"," "))))</f>
        <v>24</v>
      </c>
      <c r="C490" t="s" s="248">
        <v>114</v>
      </c>
      <c r="D490" t="s" s="303">
        <f>IF(G490="","",$D487)</f>
        <v>358</v>
      </c>
      <c r="E490" t="s" s="250">
        <v>96</v>
      </c>
      <c r="F490" t="s" s="251"/>
      <c r="G490" s="252">
        <v>44951.395833333336</v>
      </c>
      <c r="H490" t="s" s="253">
        <v>383</v>
      </c>
      <c r="I490" t="s" s="254">
        <v>60</v>
      </c>
      <c r="J490" s="293"/>
      <c r="K490" t="s" s="256">
        <v>38</v>
      </c>
      <c r="L490" s="257">
        <v>5.25</v>
      </c>
      <c r="M490" s="258">
        <v>3.01</v>
      </c>
      <c r="N490" s="259">
        <v>1</v>
      </c>
      <c r="O490" s="260">
        <f>IF(OR(AE490="",AE491=""),"",ROUND(IF(L492&gt;0,IF(M490&gt;0,M490,IF(M491&gt;0,ROUND((M491*AE490)/AE491,IF(N490=0,2,IF(N490=0.1,1,0))),ROUND((M492*AE490)/AE492,IF(N490=0,2,IF(N490=0.1,1,0))))),IF(M490&gt;0,M490,ROUND((M491*AE490)/AE491,IF(N490=0,2,IF(N490=0.1,1,0))))),2))</f>
        <v>3.01</v>
      </c>
      <c r="P490" s="261">
        <f>IF(OR(L490="",O490=""),"",IF($C490="1/2W",O490/2+O490/2*L490,IF($C490="1/2L",O490/2,IF(I490="Lay",(O490*(L490/(L490-1))-O490)*(1-_xlfn.XLOOKUP(K490,'Janeiro 2023 - Valor Real'!A3:A15,'Janeiro 2023 - Valor Real'!C3:C15,0))+O490,(O490*L490-O490)*(1-_xlfn.XLOOKUP(K490,'Janeiro 2023 - Valor Real'!A3:A15,'Janeiro 2023 - Valor Real'!C3:C15,0))+O490))))</f>
        <v>15.8025</v>
      </c>
      <c r="Q490" s="262">
        <f>IF(K490="","",IF(_xlfn.XLOOKUP(K490,K$107:K269,DJ$107:DJ269,0,,-1)=DJ490,_xlfn.XLOOKUP(K490,K$107:K269,Q$107:Q269,1,,-1)+1,1))</f>
        <v>1</v>
      </c>
      <c r="R490" s="263">
        <f>IF(K490="","",_xlfn.XLOOKUP(K490,K$107:K269,R$107:R269,0,,-1)+IF($C490=" ",1,0))</f>
        <v>0</v>
      </c>
      <c r="S490" s="264">
        <f>IF($B490="Anulado",0,ROUND(IF(OR($B490="LOSS",$B490="OK"),IF(OR($C490="W",$C490="1/2W",$C490="1/2L"),P490-O490,IF($C490="L",-O490,0))+IF(OR($C491="W",$C491="1/2W",$C491="1/2L"),P491-O491,IF($C491="L",-O491,0))+IF(OR($C492="W",$C492="1/2W",$C492="1/2L"),P492-O492,IF($C492="L",-O492,0)),IF(AND(OR($C490="W",$C490="1/2W",$C490="1/2L"),C491="W"),P490+P491-SUM(O490:O492)+_xlfn.XLOOKUP("X",C490:C492,O490:O492,0),IF(AND(C490=TRUE,C492="W"),P490+P492-SUM(O490:O492),IF(AND(C491="W",C492="W"),P491+P492-SUM(O490:O492)+_xlfn.XLOOKUP("X",C490:C492,O490:O492,0),IF(L492&gt;0,IF(OR($C490="W",$C490="1/2W",$C490="1/2L"),P490-SUM(O490:O492)+_xlfn.XLOOKUP("X",C490:C492,O490:O492,0),IF(OR($C490="W",$C490="1/2W",$C490="1/2L"),P491-SUM(O490:O492)+_xlfn.XLOOKUP("X",C490:C492,O490:O492,0),IF(OR($C490="W",$C490="1/2W",$C490="1/2L"),P492-SUM(O490:O492)+_xlfn.XLOOKUP("X",C490:C492,O490:O492,0),IF(SUM(P490:P492)/3-SUM(O490:O492)+_xlfn.XLOOKUP("X",C490:C492,O490:O492,0)&gt;0,SUM(P490:P492)/3-SUM(O490:O492)+_xlfn.XLOOKUP("X",C490:C492,O490:O492,0),LARGE(P490:P492,1)-SUM(O490:O492))))),IF(OR($C490="W",$C490="1/2W",$C490="1/2L"),P490-SUM(O490:O491)+_xlfn.XLOOKUP("X",C490:C492,O490:O492,0),IF(OR($C490="W",$C490="1/2W",$C490="1/2L"),P491-SUM(O490:O491)+_xlfn.XLOOKUP("X",C490:C492,O490:O492,0),SUM(P490:P491)/2-SUM(O490:O491)+_xlfn.XLOOKUP("X",C490:C492,O490:O492,0)))))))),2))</f>
        <v>0</v>
      </c>
      <c r="T490" s="265">
        <f>IF(S490=0,0,S490/SUM(O490:O492))</f>
        <v>0</v>
      </c>
      <c r="U490" s="266">
        <f>IF($D490=$D487,IF(OR($B490="LOSS",$B490="OK",$B490="Anulada"),S490,0)+U487,IF(OR($B490="LOSS",$B490="OK",$B490="Anulada"),S490,0))</f>
        <v>22.19</v>
      </c>
      <c r="V490" s="266">
        <f>IF($D490="",0,IF($D490=$D487,IF($B490=" ",IF(I492="",IF(OR(AND(I490="DNB1",I491="DNB2"),AND(OR(I490="DNB1",I490="DNB2"),J491=0),AND(OR(I491="DNB1",I491="DNB2"),J490=0),AND(I490="DNB2",I491="DNB1"),AND(IF(J490=0,(J490+1)/ROUND(J490+1,0),J490/ROUND(J490,0))=1,IF(J491=0,(J491+1)/ROUND(IF(J491="",0,J491)+1,0),IF(J491="",0,J491)/ROUND(IF(J491="",1,J491),0))=1,OR(J490&lt;&gt;""),J491&lt;&gt;"")),0,IF(S490&lt;0,IF(I492="",SMALL(P490:P491,1)-SUM(O490:O491),0),SMALL(P490:P491,1)-SUM(O490:O491))),IF(S490&lt;0,IF(I492="",SMALL(P490:P492,1)-SUM(O490:O492),0),LARGE(P490:P492,1)-SUM(O490:O492))),S490)+V487,IF(I492="",IF(OR(AND(I490="DNB1",I491="DNB2"),AND(OR(I490="DNB1",I490="DNB2"),J491=0),AND(OR(I491="DNB1",I491="DNB2"),J490=0),AND(I490="DNB2",I491="DNB1"),AND(IF(J490=0,(J490+1)/ROUND(J490+1,0),J490/ROUND(J490,0))=1,IF(J491=0,(IF(J491="",0,J491)+1)/ROUND(IF(J491="",0,J491)+1,0),IF(J491="",0,J491)/ROUND(IF(J491="",0,J491)+1,0))=1,OR(J490&lt;&gt;""),J491&lt;&gt;"")),0,IF(S490&lt;0,IF(I492="",SMALL(P490:P491,1)-SUM(O490:O491),0),SMALL(P490:P492,1)-SUM(O490:O492))),IF(S490&lt;0,IF(I492="",SMALL(P490:P492,1)-SUM(O490:O492),0),LARGE(P490:P492,1)-SUM(O490:O492)))))</f>
        <v>22.19</v>
      </c>
      <c r="W490" s="266">
        <f>IF($D490=$D487,IF(S490&lt;0,IF(I492="",S490,0),S490)+W487,S490)</f>
        <v>22.19</v>
      </c>
      <c r="X490" t="s" s="267">
        <f>IF(OR(SUM(R490:R492)=0,V490=W490),ROUND(IF(W490=0,0,W490/Y490)*100,2)&amp;"%",ROUND(IF(V490=0,0,V490/Y490)*100,2)&amp;"% a "&amp;ROUND(IF(W490=0,0,W490/Y490)*100,2)&amp;"%")</f>
        <v>384</v>
      </c>
      <c r="Y490" s="268">
        <f>IF($D490=$D487,Y487+SUM(O490:O492),SUM(O490:O492))</f>
        <v>394.31</v>
      </c>
      <c r="Z490" s="266">
        <f>IF($B490=" ",SUM(O490:O492),0)+Z487</f>
        <v>0</v>
      </c>
      <c r="AA490" s="266">
        <f>IF(G490="","",IF($B490="Anulado",LARGE(P490:P492,1)-SUM(O490:O492)+AA487,AA487))</f>
        <v>23.2117</v>
      </c>
      <c r="AB490" s="266">
        <f>IF($D490="","",AB487+S490)</f>
        <v>330.04</v>
      </c>
      <c r="AC490" s="269">
        <f>IF($D490="","",IF($B490=" ",IF(DAY(G490)=DAY(TODAY()),1+AC487,0+AC487),0+AC487))</f>
        <v>0</v>
      </c>
      <c r="AD490" s="270">
        <f>(1-_xlfn.XLOOKUP(K488,'Janeiro 2023 - Valor Real'!A3:A15,'Janeiro 2023 - Valor Real'!C3:C15,0))+1</f>
        <v>2</v>
      </c>
      <c r="AE490" s="271">
        <f>IF(L490="","",IF(L492&gt;0,(SUM(((L490-1)*(1-_xlfn.XLOOKUP(K490,'Janeiro 2023 - Valor Real'!A3:A15,'Janeiro 2023 - Valor Real'!C3:C15,0))+1),((L491-1)*(1-_xlfn.XLOOKUP(K491,'Janeiro 2023 - Valor Real'!A3:A15,'Janeiro 2023 - Valor Real'!C3:C15,0))+1),((L492-1)*(1-_xlfn.XLOOKUP(K492,'Janeiro 2023 - Valor Real'!A3:A15,'Janeiro 2023 - Valor Real'!C3:C15,0))+1))/((L490-1)*(1-_xlfn.XLOOKUP(K490,'Janeiro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Real'!C3:C15,0))+1))/((L490-1)*(1-_xlfn.XLOOKUP(K490,'Janeiro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Real'!C3:C15,0))+1))/((L491-1)*(1-_xlfn.XLOOKUP(K491,'Janeiro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Real'!C3:C15,0))+1))/((L492-1)*(1-_xlfn.XLOOKUP(K492,'Janeiro 2023 - Valor Real'!A3:A15,'Janeiro 2023 - Valor Real'!C3:C15,0))+1)),IF(I490="Lay",IF(I491="Lay",((L491/(L491-1)-1)*(1-_xlfn.XLOOKUP(K491,'Janeiro 2023 - Valor Real'!A3:A15,'Janeiro 2023 - Valor Real'!C3:C15,0))+1)/(((L491/(L491-1)-1)*(1-_xlfn.XLOOKUP(K491,'Janeiro 2023 - Valor Real'!A3:A15,'Janeiro 2023 - Valor Real'!C3:C15,0))+1)+((L490/(L490-1)-1)*(1-_xlfn.XLOOKUP(K490,'Janeiro 2023 - Valor Real'!A3:A15,'Janeiro 2023 - Valor Real'!C3:C15,0))+1)),((L491-1)*(1-_xlfn.XLOOKUP(K491,'Janeiro 2023 - Valor Real'!A3:A15,'Janeiro 2023 - Valor Real'!C3:C15,0))+1)/(((L491-1)*(1-_xlfn.XLOOKUP(K491,'Janeiro 2023 - Valor Real'!A3:A15,'Janeiro 2023 - Valor Real'!C3:C15,0))+1)+((L490/(L490-1)-1)*(1-_xlfn.XLOOKUP(K490,'Janeiro 2023 - Valor Real'!A3:A15,'Janeiro 2023 - Valor Real'!C3:C15,0))+1))),IF(I491="Lay",(((L491/(L491-1)-1)*(1-_xlfn.XLOOKUP(K491,'Janeiro 2023 - Valor Real'!A3:A15,'Janeiro 2023 - Valor Real'!C3:C15,0))+1))/(((L490-1)*(1-_xlfn.XLOOKUP(K490,'Janeiro 2023 - Valor Real'!A3:A15,'Janeiro 2023 - Valor Real'!C3:C15,0))+1)+((L491/(L491-1)-1)*(1-_xlfn.XLOOKUP(K491,'Janeiro 2023 - Valor Real'!A3:A15,'Janeiro 2023 - Valor Real'!C3:C15,0))+1)),((L491-1)*(1-_xlfn.XLOOKUP(K491,'Janeiro 2023 - Valor Real'!A3:A15,'Janeiro 2023 - Valor Real'!C3:C15,0))+1)/(((L491-1)*(1-_xlfn.XLOOKUP(K491,'Janeiro 2023 - Valor Real'!A3:A15,'Janeiro 2023 - Valor Real'!C3:C15,0))+1)+((L490-1)*(1-_xlfn.XLOOKUP(K490,'Janeiro 2023 - Valor Real'!A3:A15,'Janeiro 2023 - Valor Real'!C3:C15,0))+1))))))</f>
        <v>0.202491265380526</v>
      </c>
      <c r="AF490" s="132">
        <f>IF($K490=AF$3,ROUND(IF(OR($C490="W",$C490="1/2W",$C490="1/2L"),$P490-$O490,IF($C490="X",0,-$O490)),2),0)</f>
        <v>0</v>
      </c>
      <c r="AG490" s="133">
        <f>IF($K490=AG$3,ROUND(IF(OR($C490="W",$C490="1/2W",$C490="1/2L"),$P490-$O490,IF($C490="X",0,-$O490)),2),0)</f>
        <v>0</v>
      </c>
      <c r="AH490" s="133">
        <f>IF($K490=AH$3,ROUND(IF(OR($C490="W",$C490="1/2W",$C490="1/2L"),$P490-$O490,IF($C490="X",0,-$O490)),2),0)</f>
        <v>0</v>
      </c>
      <c r="AI490" s="133">
        <f>IF($K490=AI$3,ROUND(IF(OR($C490="W",$C490="1/2W",$C490="1/2L"),$P490-$O490,IF($C490="X",0,-$O490)),2),0)</f>
        <v>0</v>
      </c>
      <c r="AJ490" s="133">
        <f>IF($K490=AJ$3,ROUND(IF(OR($C490="W",$C490="1/2W",$C490="1/2L"),$P490-$O490,IF($C490="X",0,-$O490)),2),0)</f>
        <v>0</v>
      </c>
      <c r="AK490" s="133">
        <f>IF($K490=AK$3,ROUND(IF(OR($C490="W",$C490="1/2W",$C490="1/2L"),$P490-$O490,IF($C490="X",0,-$O490)),2),0)</f>
        <v>0</v>
      </c>
      <c r="AL490" s="133">
        <f>IF($K490=AL$3,ROUND(IF(OR($C490="W",$C490="1/2W",$C490="1/2L"),$P490-$O490,IF($C490="X",0,-$O490)),2),0)</f>
        <v>0</v>
      </c>
      <c r="AM490" s="133">
        <f>IF($K490=AM$3,ROUND(IF(OR($C490="W",$C490="1/2W",$C490="1/2L"),$P490-$O490,IF($C490="X",0,-$O490)),2),0)</f>
        <v>0</v>
      </c>
      <c r="AN490" s="133">
        <f>IF($K490=AN$3,ROUND(IF(OR($C490="W",$C490="1/2W",$C490="1/2L"),$P490-$O490,IF($C490="X",0,-$O490)),2),0)</f>
        <v>0</v>
      </c>
      <c r="AO490" s="133">
        <f>IF($K490=AO$3,ROUND(IF(OR($C490="W",$C490="1/2W",$C490="1/2L"),$P490-$O490,IF($C490="X",0,-$O490)),2),0)</f>
        <v>0</v>
      </c>
      <c r="AP490" s="133">
        <f>IF($K490=AP$3,ROUND(IF(OR($C490="W",$C490="1/2W",$C490="1/2L"),$P490-$O490,IF($C490="X",0,-$O490)),2),0)</f>
        <v>0</v>
      </c>
      <c r="AQ490" s="133">
        <f>IF($K490=AQ$3,ROUND(IF(OR($C490="W",$C490="1/2W",$C490="1/2L"),$P490-$O490,IF($C490="X",0,-$O490)),2),0)</f>
        <v>0</v>
      </c>
      <c r="AR490" s="134">
        <f>IF($K490=AR$3,ROUND(IF(OR($C490="W",$C490="1/2W",$C490="1/2L"),$P490-$O490,IF($C490="X",0,-$O490)),2),0)</f>
        <v>0</v>
      </c>
      <c r="AS490" s="132">
        <f>IF(AND($B490=" ",$K490=AS$3),$O490,0)</f>
        <v>0</v>
      </c>
      <c r="AT490" s="133">
        <f>IF(AND($B490=" ",$K490=AT$3),$O490,0)</f>
        <v>0</v>
      </c>
      <c r="AU490" s="133">
        <f>IF(AND($B490=" ",$K490=AU$3),$O490,0)</f>
        <v>0</v>
      </c>
      <c r="AV490" s="133">
        <f>IF(AND($B490=" ",$K490=AV$3),$O490,0)</f>
        <v>0</v>
      </c>
      <c r="AW490" s="133">
        <f>IF(AND($B490=" ",$K490=AW$3),$O490,0)</f>
        <v>0</v>
      </c>
      <c r="AX490" s="133">
        <f>IF(AND($B490=" ",$K490=AX$3),$O490,0)</f>
        <v>0</v>
      </c>
      <c r="AY490" s="135">
        <f>IF(AND($B490=" ",$K490=AY$3),$O490,0)</f>
        <v>0</v>
      </c>
      <c r="AZ490" s="136">
        <f>IF(AND($B490=" ",$K490=AZ$3),$O490,0)</f>
        <v>0</v>
      </c>
      <c r="BA490" s="136">
        <f>IF(AND($B490=" ",$K490=BA$3),$O490,0)</f>
        <v>0</v>
      </c>
      <c r="BB490" s="136">
        <f>IF(AND($B490=" ",$K490=BB$3),$O490,0)</f>
        <v>0</v>
      </c>
      <c r="BC490" s="137">
        <f>IF(AND($B490=" ",$K490=BC$3),$O490,0)</f>
        <v>0</v>
      </c>
      <c r="BD490" s="133">
        <f>IF(AND($B490=" ",$K490=BD$3),$O490,0)</f>
        <v>0</v>
      </c>
      <c r="BE490" s="134">
        <f>IF(AND($B490=" ",$K490=BE$3),$O490,0)</f>
        <v>0</v>
      </c>
      <c r="BF490" s="132">
        <f>IF($K490=BF$3,IF($C490="X",0,$O490),0)</f>
        <v>0</v>
      </c>
      <c r="BG490" s="133">
        <f>IF($K490=BG$3,IF($C490="X",0,$O490),0)</f>
        <v>0</v>
      </c>
      <c r="BH490" s="133">
        <f>IF($K490=BH$3,IF($C490="X",0,$O490),0)</f>
        <v>0</v>
      </c>
      <c r="BI490" s="133">
        <f>IF($K490=BI$3,IF($C490="X",0,$O490),0)</f>
        <v>0</v>
      </c>
      <c r="BJ490" s="133">
        <f>IF($K490=BJ$3,IF($C490="X",0,$O490),0)</f>
        <v>0</v>
      </c>
      <c r="BK490" s="133">
        <f>IF($K490=BK$3,IF($C490="X",0,$O490),0)</f>
        <v>0</v>
      </c>
      <c r="BL490" s="133">
        <f>IF($K490=BL$3,IF($C490="X",0,$O490),0)</f>
        <v>0</v>
      </c>
      <c r="BM490" s="135">
        <f>IF($K490=BM$3,IF($C490="X",0,$O490),0)</f>
        <v>0</v>
      </c>
      <c r="BN490" s="136">
        <f>IF($K490=BN$3,IF($C490="X",0,$O490),0)</f>
        <v>0</v>
      </c>
      <c r="BO490" s="136">
        <f>IF($K490=BO$3,IF($C490="X",0,$O490),0)</f>
        <v>0</v>
      </c>
      <c r="BP490" s="136">
        <f>IF($K490=BP$3,IF($C490="X",0,$O490),0)</f>
        <v>0</v>
      </c>
      <c r="BQ490" s="137">
        <f>IF($K490=BQ$3,IF($C490="X",0,$O490),0)</f>
        <v>0</v>
      </c>
      <c r="BR490" s="134">
        <f>IF($K490=BR$3,IF($C490="X",0,$O490),0)</f>
        <v>0</v>
      </c>
      <c r="BS490" s="170">
        <f>IF($B490="LOSS",IF(AND($K490=BS$3,$C490="L"),-$O490,0)+IF(AND($K491=BS$3,$C491="L"),-$O491,0)+IF(AND($K492=BS$3,$C492="L"),-$O492,0),IF(OR(AND($K490=BS$3,OR($C490="W",$C490="1/2W")),AND($K491=BS$3,OR($C491="W",$C491="1/2W")),AND($K492=BS$3,OR($C492="W",$C492="1/2W"))),$S490,0))</f>
        <v>0</v>
      </c>
      <c r="BT490" s="272">
        <f>IF($B490="LOSS",IF(AND($K490=BT$3,$C490="L"),-$O490,0)+IF(AND($K491=BT$3,$C491="L"),-$O491,0)+IF(AND($K491=BT$3,$C492="L"),-$O492,0),IF(OR(AND($K491=BT$3,OR($C490="W",$C490="1/2W")),AND($K491=BT$3,OR($C491="W",$C491="1/2W")),AND($K491=BT$3,OR($C492="W",$C492="1/2W"))),$S490,0))</f>
        <v>0</v>
      </c>
      <c r="BU490" s="136">
        <f>IF($B490="LOSS",IF(AND($K490=BU$3,$C490="L"),-$O490,0)+IF(AND($K491=BU$3,$C491="L"),-$O491,0)+IF(AND($K491=BU$3,$C492="L"),-$O492,0),IF(OR(AND($K491=BU$3,OR($C490="W",$C490="1/2W")),AND($K491=BU$3,OR($C491="W",$C491="1/2W")),AND($K491=BU$3,OR($C492="W",$C492="1/2W"))),$S490,0))</f>
        <v>0</v>
      </c>
      <c r="BV490" s="136">
        <f>IF($B490="LOSS",IF(AND($K490=BV$3,$C490="L"),-$O490,0)+IF(AND($K491=BV$3,$C491="L"),-$O491,0)+IF(AND($K492=BV$3,$C492="L"),-$O492,0),IF(OR(AND($K490=BV$3,OR($C490="W",$C490="1/2W")),AND($K491=BV$3,OR($C491="W",$C491="1/2W")),AND($K492=BV$3,OR($C492="W",$C492="1/2W"))),$S490,0))</f>
        <v>0</v>
      </c>
      <c r="BW490" s="136">
        <f>IF($B490="LOSS",IF(AND($K490=BW$3,$C490="L"),-$O490,0)+IF(AND($K491=BW$3,$C491="L"),-$O491,0)+IF(AND($K492=BW$3,$C492="L"),-$O492,0),IF(OR(AND($K490=BW$3,OR($C490="W",$C490="1/2W")),AND($K491=BW$3,OR($C491="W",$C491="1/2W")),AND($K492=BW$3,OR($C492="W",$C492="1/2W"))),$S490,0))</f>
        <v>0</v>
      </c>
      <c r="BX490" s="136">
        <f>IF($B490="LOSS",IF(AND($K490=BX$3,$C490="L"),-$O490,0)+IF(AND($K491=BX$3,$C491="L"),-$O491,0)+IF(AND($K492=BX$3,$C492="L"),-$O492,0),IF(OR(AND($K490=BX$3,OR($C490="W",$C490="1/2W")),AND($K491=BX$3,OR($C491="W",$C491="1/2W")),AND($K492=BX$3,OR($C492="W",$C492="1/2W"))),$S490,0))</f>
        <v>0</v>
      </c>
      <c r="BY490" s="136">
        <f>IF($B490="LOSS",IF(AND($K490=BY$3,$C490="L"),-$O490,0)+IF(AND($K491=BY$3,$C491="L"),-$O491,0)+IF(AND($K492=BY$3,$C492="L"),-$O492,0),IF(OR(AND($K490=BY$3,OR($C490="W",$C490="1/2W")),AND($K491=BY$3,OR($C491="W",$C491="1/2W")),AND($K492=BY$3,OR($C492="W",$C492="1/2W"))),$S490,0))</f>
        <v>0</v>
      </c>
      <c r="BZ490" s="136">
        <f>IF($B490="LOSS",IF(AND($K490=BZ$3,$C490="L"),-$O490,0)+IF(AND($K491=BZ$3,$C491="L"),-$O491,0)+IF(AND($K492=BZ$3,$C492="L"),-$O492,0),IF(OR(AND($K490=BZ$3,OR($C490="W",$C490="1/2W")),AND($K491=BZ$3,OR($C491="W",$C491="1/2W")),AND($K492=BZ$3,OR($C492="W",$C492="1/2W"))),$S490,0))</f>
        <v>0</v>
      </c>
      <c r="CA490" s="136">
        <f>IF($B490="LOSS",IF(AND($K490=CA$3,$C490="L"),-$O490,0)+IF(AND($K491=CA$3,$C491="L"),-$O491,0)+IF(AND($K492=CA$3,$C492="L"),-$O492,0),IF(OR(AND($K490=CA$3,OR($C490="W",$C490="1/2W")),AND($K491=CA$3,OR($C491="W",$C491="1/2W")),AND($K492=CA$3,OR($C492="W",$C492="1/2W"))),$S490,0))</f>
        <v>0</v>
      </c>
      <c r="CB490" s="136">
        <f>IF($B490="LOSS",IF(AND($K490=CB$3,$C490="L"),-$O490,0)+IF(AND($K491=CB$3,$C491="L"),-$O491,0)+IF(AND($K492=CB$3,$C492="L"),-$O492,0),IF(OR(AND($K490=CB$3,OR($C490="W",$C490="1/2W")),AND($K491=CB$3,OR($C491="W",$C491="1/2W")),AND($K492=CB$3,OR($C492="W",$C492="1/2W"))),$S490,0))</f>
        <v>0</v>
      </c>
      <c r="CC490" s="136">
        <f>IF($B490="LOSS",IF(AND($K490=CC$3,$C490="L"),-$O490,0)+IF(AND($K491=CC$3,$C491="L"),-$O491,0)+IF(AND($K492=CC$3,$C492="L"),-$O492,0),IF(OR(AND($K490=CC$3,OR($C490="W",$C490="1/2W")),AND($K491=CC$3,OR($C491="W",$C491="1/2W")),AND($K492=CC$3,OR($C492="W",$C492="1/2W"))),$S490,0))</f>
        <v>0</v>
      </c>
      <c r="CD490" s="137">
        <f>IF($B490="LOSS",IF(AND($K490=CD$3,$C490="L"),-$O490,0)+IF(AND($K491=CD$3,$C491="L"),-$O491,0)+IF(AND($K492=CD$3,$C492="L"),-$O492,0),IF(OR(AND($K490=CD$3,OR($C490="W",$C490="1/2W")),AND($K491=CD$3,OR($C491="W",$C491="1/2W")),AND($K492=CD$3,OR($C492="W",$C492="1/2W"))),$S490,0))</f>
        <v>0</v>
      </c>
      <c r="CE490" s="134">
        <f>IF($B490="LOSS",IF(AND($K490=CE$3,$C490="L"),-$O490,0)+IF(AND($K491=CE$3,$C491="L"),-$O491,0)+IF(AND($K492=CE$3,$C492="L"),-$O492,0),IF(OR(AND($K490=CE$3,OR($C490="W",$C490="1/2W")),AND($K491=CE$3,OR($C491="W",$C491="1/2W")),AND($K492=CE$3,OR($C492="W",$C492="1/2W"))),$S490,0))</f>
        <v>0</v>
      </c>
      <c r="CF490" s="273">
        <f>IF(CF$3=$K490,IF($C490="W",1,IF($C490="1/2W",0.5,0)),0)</f>
        <v>0</v>
      </c>
      <c r="CG490" s="274">
        <f>IF(CF$3=$K490,IF($C490="L",1,IF($C490="1/2L",0.5,0)),0)</f>
        <v>0</v>
      </c>
      <c r="CH490" s="274">
        <f>IF(CH$3=$K490,IF($C490="W",1,IF($C490="1/2W",0.5,0)),0)</f>
        <v>0</v>
      </c>
      <c r="CI490" s="274">
        <f>IF(CH$3=$K490,IF($C490="L",1,IF($C490="1/2L",0.5,0)),0)</f>
        <v>0</v>
      </c>
      <c r="CJ490" s="274">
        <f>IF(CJ$3=$K490,IF($C490="W",1,IF($C490="1/2W",0.5,0)),0)</f>
        <v>0</v>
      </c>
      <c r="CK490" s="274">
        <f>IF(CJ$3=$K490,IF($C490="L",1,IF($C490="1/2L",0.5,0)),0)</f>
        <v>0</v>
      </c>
      <c r="CL490" s="274">
        <f>IF(CL$3=$K490,IF($C490="W",1,IF($C490="1/2W",0.5,0)),0)</f>
        <v>0</v>
      </c>
      <c r="CM490" s="274">
        <f>IF(CL$3=$K490,IF($C490="L",1,IF($C490="1/2L",0.5,0)),0)</f>
        <v>0</v>
      </c>
      <c r="CN490" s="274">
        <f>IF(CN$3=$K490,IF($C490="W",1,IF($C490="1/2W",0.5,0)),0)</f>
        <v>0</v>
      </c>
      <c r="CO490" s="274">
        <f>IF(CN$3=$K490,IF($C490="L",1,IF($C490="1/2L",0.5,0)),0)</f>
        <v>0</v>
      </c>
      <c r="CP490" s="274">
        <f>IF(CP$3=$K490,IF($C490="W",1,IF($C490="1/2W",0.5,0)),0)</f>
        <v>0</v>
      </c>
      <c r="CQ490" s="274">
        <f>IF(CP$3=$K490,IF($C490="L",1,IF($C490="1/2L",0.5,0)),0)</f>
        <v>0</v>
      </c>
      <c r="CR490" s="274">
        <f>IF(CR$3=$K490,IF($C490="W",1,IF($C490="1/2W",0.5,0)),0)</f>
        <v>0</v>
      </c>
      <c r="CS490" s="274">
        <f>IF(CR$3=$K490,IF($C490="L",1,IF($C490="1/2L",0.5,0)),0)</f>
        <v>0</v>
      </c>
      <c r="CT490" s="145">
        <f>IF(CT$3=$K490,IF($C490="W",1,IF($C490="1/2W",0.5,0)),0)</f>
        <v>0</v>
      </c>
      <c r="CU490" s="146">
        <f>IF(CT$3=$K490,IF($C490="L",1,IF($C490="1/2L",0.5,0)),0)</f>
        <v>0</v>
      </c>
      <c r="CV490" s="146">
        <f>IF(CV$3=$K490,IF($C490="W",1,IF($C490="1/2W",0.5,0)),0)</f>
        <v>0</v>
      </c>
      <c r="CW490" s="146">
        <f>IF(CV$3=$K490,IF($C490="L",1,IF($C490="1/2L",0.5,0)),0)</f>
        <v>0</v>
      </c>
      <c r="CX490" s="146">
        <f>IF(CX$3=$K490,IF($C490="W",1,IF($C490="1/2W",0.5,0)),0)</f>
        <v>0</v>
      </c>
      <c r="CY490" s="146">
        <f>IF(CX$3=$K490,IF($C490="L",1,IF($C490="1/2L",0.5,0)),0)</f>
        <v>0</v>
      </c>
      <c r="CZ490" s="146">
        <f>IF(CZ$3=$K490,IF($C490="W",1,IF($C490="1/2W",0.5,0)),0)</f>
        <v>0</v>
      </c>
      <c r="DA490" s="146">
        <f>IF(CZ$3=$K490,IF($C490="L",1,IF($C490="1/2L",0.5,0)),0)</f>
        <v>0</v>
      </c>
      <c r="DB490" s="146">
        <f>IF(DB$3=$K490,IF($C490="W",1,IF($C490="1/2W",0.5,0)),0)</f>
        <v>0</v>
      </c>
      <c r="DC490" s="146">
        <f>IF(DB$3=$K490,IF($C490="L",1,IF($C490="1/2L",0.5,0)),0)</f>
        <v>0</v>
      </c>
      <c r="DD490" s="146">
        <f>IF(DD$3=$K490,IF($C490="W",1,IF($C490="1/2W",0.5,0)),0)</f>
        <v>0</v>
      </c>
      <c r="DE490" s="147">
        <f>IF(DD$3=$K490,IF($C490="L",1,IF($C490="1/2L",0.5,0)),0)</f>
        <v>0</v>
      </c>
      <c r="DF490" s="143">
        <f>IF(AND(L490&lt;DF$3,$C490="W"),1+DF489,DF489)</f>
        <v>16</v>
      </c>
      <c r="DG490" s="133">
        <f>IF(DF490&gt;DF489,L490+DG489,DG489)</f>
        <v>21.158</v>
      </c>
      <c r="DH490" s="146">
        <f>IF(AND(L490&gt;DH$3,$C490="W"),1+DH489,0+DH489)</f>
        <v>11</v>
      </c>
      <c r="DI490" s="133">
        <f>IF(DH490&gt;DH489,L490+DI489,DI489)</f>
        <v>59.13</v>
      </c>
      <c r="DJ490" t="s" s="304">
        <f>IF($D490="","",$D490)</f>
        <v>358</v>
      </c>
      <c r="DK490" s="146">
        <f>IF(AND($B490=" ",$D490&lt;&gt;""),1,0)</f>
        <v>0</v>
      </c>
    </row>
    <row r="491" ht="14.55" customHeight="1">
      <c r="A491" s="107"/>
      <c r="B491" s="108"/>
      <c r="C491" t="s" s="109">
        <v>114</v>
      </c>
      <c r="D491" s="110"/>
      <c r="E491" s="111"/>
      <c r="F491" s="113"/>
      <c r="G491" s="252"/>
      <c r="H491" s="114"/>
      <c r="I491" t="s" s="275">
        <v>62</v>
      </c>
      <c r="J491" t="s" s="295">
        <f>IF(OR(I490="TO",I490="TU",I490="TO1",I490="TU1",I490="TO2",I490="TU2"),J490,IF(OR(I490="AH1",I490="AH2"),IF(OR(I491="AH1",I491="AH2"),-J490,IF(OR(I491="EH1",I491="EH2"),-J490+0.5,"")),IF(OR(I490="EH1",I490="EH2"),IF(OR(I491="AH1",I491="AH2"),-J490+0.5,IF(OR(I491="EH1",I491="EH2"),-J490+1,"")),IF(AND(OR(I490="DNB1",I490="DNB2"),OR(I491="AH1",I491="AH2")),0,IF(AND(I490="Not ScoreBoth",OR(I491="TO1",I491="TO2")),0.5,"")))))</f>
      </c>
      <c r="K491" t="s" s="117">
        <v>37</v>
      </c>
      <c r="L491" s="277">
        <v>1.333</v>
      </c>
      <c r="M491" s="278"/>
      <c r="N491" s="120"/>
      <c r="O491" s="121">
        <f>IF(OR(AE490="",AE491=""),"",ROUND(IF(L492&gt;0,IF(M491&gt;0,M491,IF(M490&gt;0,IF(N490=TRUE,ROUND((M490*AE491)/AE490,0),(M490*AE491)/AE490),IF(M491&gt;0,ROUND(M491,IF(N490=0,2,IF(N490=0.1,1,0))),IF(M492&gt;0,ROUND(O492*AE491/AE492,IF(N490=0,2,IF(N490=0.1,1,0))),0)))),IF(M491&gt;0,M491,ROUND((M490*AE491)/AE490,IF(N490=0,2,IF(N490=0.1,1,0))))),2))</f>
        <v>12</v>
      </c>
      <c r="P491" s="122">
        <f>IF(OR(L491="",O491=""),"",IF($C491="1/2W",O491/2+O491/2*L491,IF($C491="1/2L",O491/2,IF(I491="Lay",((O491*(L491/(L491-1)))-O491)*(1-_xlfn.XLOOKUP(K491,'Janeiro 2023 - Valor Real'!A3:A15,'Janeiro 2023 - Valor Real'!C3:C15,0))+O491,(O491*L491-O491)*(1-_xlfn.XLOOKUP(K491,'Janeiro 2023 - Valor Real'!A3:A15,'Janeiro 2023 - Valor Real'!C3:C15,0))+O491))))</f>
        <v>15.996</v>
      </c>
      <c r="Q491" s="279">
        <f>IF(K491="","",IF(_xlfn.XLOOKUP(K491,K$120:K270,DJ$120:DJ270,0,,-1)=DJ491,_xlfn.XLOOKUP(K491,K$120:K270,Q$120:Q270,1,,-1)+1,1))</f>
        <v>1</v>
      </c>
      <c r="R491" s="280">
        <f>IF(K491="","",_xlfn.XLOOKUP(K491,K$120:K270,R$120:R270,0,,-1)+IF($C491=" ",1,0))</f>
        <v>0</v>
      </c>
      <c r="S491" s="125"/>
      <c r="T491" s="126"/>
      <c r="U491" s="126"/>
      <c r="V491" s="224"/>
      <c r="W491" s="126"/>
      <c r="X491" s="127"/>
      <c r="Y491" s="128"/>
      <c r="Z491" s="129"/>
      <c r="AA491" s="129"/>
      <c r="AB491" s="129"/>
      <c r="AC491" s="129"/>
      <c r="AD491" s="130"/>
      <c r="AE491" s="131">
        <f>IF(L491="","",IF(L492&gt;0,(SUM(((L490-1)*(1-_xlfn.XLOOKUP(K490,'Janeiro 2023 - Valor Real'!A3:A15,'Janeiro 2023 - Valor Real'!C3:C15,0))+1),((L491-1)*(1-_xlfn.XLOOKUP(K491,'Janeiro 2023 - Valor Real'!A3:A15,'Janeiro 2023 - Valor Real'!C3:C15,0))+1),((L492-1)*(1-_xlfn.XLOOKUP(K492,'Janeiro 2023 - Valor Real'!A3:A15,'Janeiro 2023 - Valor Real'!C3:C15,0))+1))/((L491-1)*(1-_xlfn.XLOOKUP(K491,'Janeiro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Real'!C3:C15,0))+1))/((L490-1)*(1-_xlfn.XLOOKUP(K490,'Janeiro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Real'!C3:C15,0))+1))/((L491-1)*(1-_xlfn.XLOOKUP(K491,'Janeiro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Real'!C3:C15,0))+1))/((L492-1)*(1-_xlfn.XLOOKUP(K492,'Janeiro 2023 - Valor Real'!A3:A15,'Janeiro 2023 - Valor Real'!C3:C15,0))+1)),IF(I491="Lay",IF(I490="Lay",((L490/(L490-1)-1)*(1-_xlfn.XLOOKUP(K490,'Janeiro 2023 - Valor Real'!A3:A15,'Janeiro 2023 - Valor Real'!C3:C15,0))+1)/(((L490/(L490-1)-1)*(1-_xlfn.XLOOKUP(K490,'Janeiro 2023 - Valor Real'!A3:A15,'Janeiro 2023 - Valor Real'!C3:C15,0))+1)+((L491/(L491-1)-1)*(1-_xlfn.XLOOKUP(K491,'Janeiro 2023 - Valor Real'!A3:A15,'Janeiro 2023 - Valor Real'!C3:C15,0))+1)),((L490-1)*(1-_xlfn.XLOOKUP(K490,'Janeiro 2023 - Valor Real'!A3:A15,'Janeiro 2023 - Valor Real'!C3:C15,0))+1)/(((L490-1)*(1-_xlfn.XLOOKUP(K490,'Janeiro 2023 - Valor Real'!A3:A15,'Janeiro 2023 - Valor Real'!C3:C15,0))+1)+((L491/(L491-1)-1)*(1-_xlfn.XLOOKUP(K491,'Janeiro 2023 - Valor Real'!A3:A15,'Janeiro 2023 - Valor Real'!C3:C15,0))+1))),IF(I490="Lay",((L490/(L490-1)-1)*(1-_xlfn.XLOOKUP(K490,'Janeiro 2023 - Valor Real'!A3:A15,'Janeiro 2023 - Valor Real'!C3:C15,0))+1)/((((L490/(L490-1)-1)*(1-_xlfn.XLOOKUP(K490,'Janeiro 2023 - Valor Real'!A3:A15,'Janeiro 2023 - Valor Real'!C3:C15,0))+1))+((L491-1)*(1-_xlfn.XLOOKUP(K491,'Janeiro 2023 - Valor Real'!A3:A15,'Janeiro 2023 - Valor Real'!C3:C15,0))+1)),((L490-1)*(1-_xlfn.XLOOKUP(K490,'Janeiro 2023 - Valor Real'!A3:A15,'Janeiro 2023 - Valor Real'!C3:C15,0))+1)/(((L490-1)*(1-_xlfn.XLOOKUP(K490,'Janeiro 2023 - Valor Real'!A3:A15,'Janeiro 2023 - Valor Real'!C3:C15,0))+1)+((L491-1)*(1-_xlfn.XLOOKUP(K491,'Janeiro 2023 - Valor Real'!A3:A15,'Janeiro 2023 - Valor Real'!C3:C15,0))+1))))))</f>
        <v>0.797508734619474</v>
      </c>
      <c r="AF491" s="132">
        <f>IF($K491=AF$3,ROUND(IF(OR($C491="W",$C491="1/2W",$C491="1/2L"),$P491-$O491,IF($C491="X",0,-$O491)),2),0)</f>
        <v>0</v>
      </c>
      <c r="AG491" s="133">
        <f>IF($K491=AG$3,ROUND(IF(OR($C491="W",$C491="1/2W",$C491="1/2L"),$P491-$O491,IF($C491="X",0,-$O491)),2),0)</f>
        <v>0</v>
      </c>
      <c r="AH491" s="133">
        <f>IF($K491=AH$3,ROUND(IF(OR($C491="W",$C491="1/2W",$C491="1/2L"),$P491-$O491,IF($C491="X",0,-$O491)),2),0)</f>
        <v>0</v>
      </c>
      <c r="AI491" s="133">
        <f>IF($K491=AI$3,ROUND(IF(OR($C491="W",$C491="1/2W",$C491="1/2L"),$P491-$O491,IF($C491="X",0,-$O491)),2),0)</f>
        <v>0</v>
      </c>
      <c r="AJ491" s="133">
        <f>IF($K491=AJ$3,ROUND(IF(OR($C491="W",$C491="1/2W",$C491="1/2L"),$P491-$O491,IF($C491="X",0,-$O491)),2),0)</f>
        <v>0</v>
      </c>
      <c r="AK491" s="133">
        <f>IF($K491=AK$3,ROUND(IF(OR($C491="W",$C491="1/2W",$C491="1/2L"),$P491-$O491,IF($C491="X",0,-$O491)),2),0)</f>
        <v>0</v>
      </c>
      <c r="AL491" s="133">
        <f>IF($K491=AL$3,ROUND(IF(OR($C491="W",$C491="1/2W",$C491="1/2L"),$P491-$O491,IF($C491="X",0,-$O491)),2),0)</f>
        <v>0</v>
      </c>
      <c r="AM491" s="133">
        <f>IF($K491=AM$3,ROUND(IF(OR($C491="W",$C491="1/2W",$C491="1/2L"),$P491-$O491,IF($C491="X",0,-$O491)),2),0)</f>
        <v>0</v>
      </c>
      <c r="AN491" s="133">
        <f>IF($K491=AN$3,ROUND(IF(OR($C491="W",$C491="1/2W",$C491="1/2L"),$P491-$O491,IF($C491="X",0,-$O491)),2),0)</f>
        <v>0</v>
      </c>
      <c r="AO491" s="133">
        <f>IF($K491=AO$3,ROUND(IF(OR($C491="W",$C491="1/2W",$C491="1/2L"),$P491-$O491,IF($C491="X",0,-$O491)),2),0)</f>
        <v>0</v>
      </c>
      <c r="AP491" s="133">
        <f>IF($K491=AP$3,ROUND(IF(OR($C491="W",$C491="1/2W",$C491="1/2L"),$P491-$O491,IF($C491="X",0,-$O491)),2),0)</f>
        <v>0</v>
      </c>
      <c r="AQ491" s="133">
        <f>IF($K491=AQ$3,ROUND(IF(OR($C491="W",$C491="1/2W",$C491="1/2L"),$P491-$O491,IF($C491="X",0,-$O491)),2),0)</f>
        <v>0</v>
      </c>
      <c r="AR491" s="134">
        <f>IF($K491=AR$3,ROUND(IF(OR($C491="W",$C491="1/2W",$C491="1/2L"),$P491-$O491,IF($C491="X",0,-$O491)),2),0)</f>
        <v>0</v>
      </c>
      <c r="AS491" s="132">
        <f>IF(AND($B490=" ",$K491=AS$3),$O491,0)</f>
        <v>0</v>
      </c>
      <c r="AT491" s="133">
        <f>IF(AND($B490=" ",K491=AT$3),$O491,0)</f>
        <v>0</v>
      </c>
      <c r="AU491" s="133">
        <f>IF(AND($B490=" ",$K491=AU$3),$O491,0)</f>
        <v>0</v>
      </c>
      <c r="AV491" s="133">
        <f>IF(AND($B490=" ",$K491=AV$3),$O491,0)</f>
        <v>0</v>
      </c>
      <c r="AW491" s="133">
        <f>IF(AND($B490=" ",$K491=AW$3),$O491,0)</f>
        <v>0</v>
      </c>
      <c r="AX491" s="133">
        <f>IF(AND($B490=" ",$K491=AX$3),$O491,0)</f>
        <v>0</v>
      </c>
      <c r="AY491" s="135">
        <f>IF(AND($B490=" ",$K491=AY$3),$O491,0)</f>
        <v>0</v>
      </c>
      <c r="AZ491" s="136">
        <f>IF(AND($B490=" ",$K491=AZ$3),$O491,0)</f>
        <v>0</v>
      </c>
      <c r="BA491" s="136">
        <f>IF(AND($B490=" ",$K491=BA$3),$O491,0)</f>
        <v>0</v>
      </c>
      <c r="BB491" s="136">
        <f>IF(AND($B490=" ",$K491=BB$3),$O491,0)</f>
        <v>0</v>
      </c>
      <c r="BC491" s="137">
        <f>IF(AND($B490=" ",$K491=BC$3),$O491,0)</f>
        <v>0</v>
      </c>
      <c r="BD491" s="133">
        <f>IF(AND($B490=" ",$K491=BD$3),$O491,0)</f>
        <v>0</v>
      </c>
      <c r="BE491" s="134">
        <f>IF(AND($B490=" ",$K491=BE$3),$O491,0)</f>
        <v>0</v>
      </c>
      <c r="BF491" s="132">
        <f>IF($K491=BF$3,IF($C491="X",0,$O491),0)</f>
        <v>0</v>
      </c>
      <c r="BG491" s="281">
        <f>IF($K491=BG$3,IF($C491="X",0,$O491),0)</f>
        <v>0</v>
      </c>
      <c r="BH491" s="133">
        <f>IF($K491=BH$3,IF($C491="X",0,$O491),0)</f>
        <v>0</v>
      </c>
      <c r="BI491" s="133">
        <f>IF($K491=BI$3,IF($C491="X",0,$O491),0)</f>
        <v>0</v>
      </c>
      <c r="BJ491" s="133">
        <f>IF($K491=BJ$3,IF($C491="X",0,$O491),0)</f>
        <v>0</v>
      </c>
      <c r="BK491" s="133">
        <f>IF($K491=BK$3,IF($C491="X",0,$O491),0)</f>
        <v>0</v>
      </c>
      <c r="BL491" s="133">
        <f>IF($K491=BL$3,IF($C491="X",0,$O491),0)</f>
        <v>0</v>
      </c>
      <c r="BM491" s="135">
        <f>IF($K491=BM$3,IF($C491="X",0,$O491),0)</f>
        <v>0</v>
      </c>
      <c r="BN491" s="136">
        <f>IF($K491=BN$3,IF($C491="X",0,$O491),0)</f>
        <v>0</v>
      </c>
      <c r="BO491" s="136">
        <f>IF($K491=BO$3,IF($C491="X",0,$O491),0)</f>
        <v>0</v>
      </c>
      <c r="BP491" s="136">
        <f>IF($K491=BP$3,IF($C491="X",0,$O491),0)</f>
        <v>0</v>
      </c>
      <c r="BQ491" s="137">
        <f>IF($K491=BQ$3,IF($C491="X",0,$O491),0)</f>
        <v>0</v>
      </c>
      <c r="BR491" s="134">
        <f>IF($K491=BR$3,IF($C491="X",0,$O491),0)</f>
        <v>0</v>
      </c>
      <c r="BS491" s="282"/>
      <c r="BT491" s="283"/>
      <c r="BU491" s="140"/>
      <c r="BV491" s="283"/>
      <c r="BW491" s="140"/>
      <c r="BX491" s="140"/>
      <c r="BY491" s="140"/>
      <c r="BZ491" s="283"/>
      <c r="CA491" s="140"/>
      <c r="CB491" s="140"/>
      <c r="CC491" s="140"/>
      <c r="CD491" s="141"/>
      <c r="CE491" s="142"/>
      <c r="CF491" s="284">
        <f>IF(CF$3=$K491,IF($C491="W",1,IF($C491="1/2W",0.5,0)),0)</f>
        <v>0</v>
      </c>
      <c r="CG491" s="285">
        <f>IF(CF$3=$K491,IF($C491="L",1,IF($C491="1/2L",0.5,0)),0)</f>
        <v>0</v>
      </c>
      <c r="CH491" s="285">
        <f>IF(CH$3=$K491,IF($C491="W",1,IF($C491="1/2W",0.5,0)),0)</f>
        <v>0</v>
      </c>
      <c r="CI491" s="285">
        <f>IF(CH$3=$K491,IF($C491="L",1,IF($C491="1/2L",0.5,0)),0)</f>
        <v>0</v>
      </c>
      <c r="CJ491" s="285">
        <f>IF(CJ$3=$K491,IF($C491="W",1,IF($C491="1/2W",0.5,0)),0)</f>
        <v>0</v>
      </c>
      <c r="CK491" s="285">
        <f>IF(CJ$3=$K491,IF($C491="L",1,IF($C491="1/2L",0.5,0)),0)</f>
        <v>0</v>
      </c>
      <c r="CL491" s="285">
        <f>IF(CL$3=$K491,IF($C491="W",1,IF($C491="1/2W",0.5,0)),0)</f>
        <v>0</v>
      </c>
      <c r="CM491" s="285">
        <f>IF(CL$3=$K491,IF($C491="L",1,IF($C491="1/2L",0.5,0)),0)</f>
        <v>0</v>
      </c>
      <c r="CN491" s="285">
        <f>IF(CN$3=$K491,IF($C491="W",1,IF($C491="1/2W",0.5,0)),0)</f>
        <v>0</v>
      </c>
      <c r="CO491" s="285">
        <f>IF(CN$3=$K491,IF($C491="L",1,IF($C491="1/2L",0.5,0)),0)</f>
        <v>0</v>
      </c>
      <c r="CP491" s="285">
        <f>IF(CP$3=$K491,IF($C491="W",1,IF($C491="1/2W",0.5,0)),0)</f>
        <v>0</v>
      </c>
      <c r="CQ491" s="285">
        <f>IF(CP$3=$K491,IF($C491="L",1,IF($C491="1/2L",0.5,0)),0)</f>
        <v>0</v>
      </c>
      <c r="CR491" s="285">
        <f>IF(CR$3=$K491,IF($C491="W",1,IF($C491="1/2W",0.5,0)),0)</f>
        <v>0</v>
      </c>
      <c r="CS491" s="285">
        <f>IF(CR$3=$K491,IF($C491="L",1,IF($C491="1/2L",0.5,0)),0)</f>
        <v>0</v>
      </c>
      <c r="CT491" s="145">
        <f>IF(CT$3=$K491,IF($C491="W",1,IF($C491="1/2W",0.5,0)),0)</f>
        <v>0</v>
      </c>
      <c r="CU491" s="146">
        <f>IF(CT$3=$K491,IF($C491="L",1,IF($C491="1/2L",0.5,0)),0)</f>
        <v>0</v>
      </c>
      <c r="CV491" s="146">
        <f>IF(CV$3=$K491,IF($C491="W",1,IF($C491="1/2W",0.5,0)),0)</f>
        <v>0</v>
      </c>
      <c r="CW491" s="146">
        <f>IF(CV$3=$K491,IF($C491="L",1,IF($C491="1/2L",0.5,0)),0)</f>
        <v>0</v>
      </c>
      <c r="CX491" s="146">
        <f>IF(CX$3=$K491,IF($C491="W",1,IF($C491="1/2W",0.5,0)),0)</f>
        <v>0</v>
      </c>
      <c r="CY491" s="146">
        <f>IF(CX$3=$K491,IF($C491="L",1,IF($C491="1/2L",0.5,0)),0)</f>
        <v>0</v>
      </c>
      <c r="CZ491" s="146">
        <f>IF(CZ$3=$K491,IF($C491="W",1,IF($C491="1/2W",0.5,0)),0)</f>
        <v>0</v>
      </c>
      <c r="DA491" s="146">
        <f>IF(CZ$3=$K491,IF($C491="L",1,IF($C491="1/2L",0.5,0)),0)</f>
        <v>0</v>
      </c>
      <c r="DB491" s="146">
        <f>IF(DB$3=$K491,IF($C491="W",1,IF($C491="1/2W",0.5,0)),0)</f>
        <v>0</v>
      </c>
      <c r="DC491" s="146">
        <f>IF(DB$3=$K491,IF($C491="L",1,IF($C491="1/2L",0.5,0)),0)</f>
        <v>0</v>
      </c>
      <c r="DD491" s="146">
        <f>IF(DD$3=$K491,IF($C491="W",1,IF($C491="1/2W",0.5,0)),0)</f>
        <v>0</v>
      </c>
      <c r="DE491" s="147">
        <f>IF(DD$3=$K491,IF($C491="L",1,IF($C491="1/2L",0.5,0)),0)</f>
        <v>0</v>
      </c>
      <c r="DF491" s="143">
        <f>IF(AND(L491&lt;DF$3,$C491="W"),1+DF490,DF490)</f>
        <v>16</v>
      </c>
      <c r="DG491" s="133">
        <f>IF(DF491&gt;DF490,L491+DG490,DG490)</f>
        <v>21.158</v>
      </c>
      <c r="DH491" s="146">
        <f>IF(AND(L491&gt;DH$3,$C491="W"),1+DH490,0+DH490)</f>
        <v>11</v>
      </c>
      <c r="DI491" s="133">
        <f>IF(DH491&gt;DH490,L491+DI490,DI490)</f>
        <v>59.13</v>
      </c>
      <c r="DJ491" t="s" s="304">
        <f>IF($D490="","",$D490)</f>
        <v>358</v>
      </c>
      <c r="DK491" s="286"/>
    </row>
    <row r="492" ht="14.55" customHeight="1">
      <c r="A492" s="149"/>
      <c r="B492" s="150"/>
      <c r="C492" t="s" s="151">
        <v>58</v>
      </c>
      <c r="D492" s="152"/>
      <c r="E492" s="153"/>
      <c r="F492" s="155"/>
      <c r="G492" s="252"/>
      <c r="H492" s="156"/>
      <c r="I492" s="287"/>
      <c r="J492" s="288"/>
      <c r="K492" s="156"/>
      <c r="L492" s="289"/>
      <c r="M492" s="290"/>
      <c r="N492" s="161"/>
      <c r="O492" t="s" s="162">
        <f>IF(OR(AE490="",AE491=""),"",IF(L492&gt;0,ROUND(IF(M492&gt;0,M492,IF(M490&gt;0,ROUND((M490*AE492)/AE490,IF(N490=0,2,IF(N490=0.1,1,0))),IF(M491&gt;0,ROUND((M491*AE492)/AE491,IF(N490=0,2,IF(N490=0.1,1,0))),IF(M492&gt;0,M492,0)))),2),""))</f>
      </c>
      <c r="P492" t="s" s="163">
        <f>IF(I491="Lay",O491*(L491/(L491-1))-O491,IF(I490="Lay",O490*(L490/(L490-1))-O490,IF(OR(L492="",O492=""),"",IF($C492="1/2W",O492/2+O492/2*L492,IF($C492="1/2L",O492/2,(O492*L492-O492)*(1-_xlfn.XLOOKUP(K492,'Janeiro 2023 - Valor Real'!A3:A15,'Janeiro 2023 - Valor Real'!C3:C15,0))+O492)))))</f>
      </c>
      <c r="Q492" t="s" s="154">
        <f>IF(K492="","",IF(_xlfn.XLOOKUP(K492,K$121:K271,DJ$121:DJ271,0,,-1)=DJ492,_xlfn.XLOOKUP(K492,K$121:K271,Q$121:Q271,1,,-1)+1,1))</f>
      </c>
      <c r="R492" t="s" s="163">
        <f>IF(K492="","",_xlfn.XLOOKUP(K492,K$121:K271,R$121:R271,0,,-1)+IF($C492=" ",1,0))</f>
      </c>
      <c r="S492" s="166"/>
      <c r="T492" s="155"/>
      <c r="U492" s="155"/>
      <c r="V492" s="166"/>
      <c r="W492" s="155"/>
      <c r="X492" s="167"/>
      <c r="Y492" s="128"/>
      <c r="Z492" s="129"/>
      <c r="AA492" s="129"/>
      <c r="AB492" s="129"/>
      <c r="AC492" s="129"/>
      <c r="AD492" s="168"/>
      <c r="AE492" t="s" s="169">
        <f>IF(L492="","",(SUM(((L490-1)*(1-_xlfn.XLOOKUP(K490,'Janeiro 2023 - Valor Real'!A3:A15,'Janeiro 2023 - Valor Real'!C3:C15,0))+1),((L491-1)*(1-_xlfn.XLOOKUP(K491,'Janeiro 2023 - Valor Real'!A3:A15,'Janeiro 2023 - Valor Real'!C3:C15,0))+1),((L492-1)*(1-_xlfn.XLOOKUP(K492,'Janeiro 2023 - Valor Real'!A3:A15,'Janeiro 2023 - Valor Real'!C3:C15,0))+1))/((L492-1)*(1-_xlfn.XLOOKUP(K492,'Janeiro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Real'!C3:C15,0))+1))/((L490-1)*(1-_xlfn.XLOOKUP(K490,'Janeiro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Real'!C3:C15,0))+1))/((L491-1)*(1-_xlfn.XLOOKUP(K491,'Janeiro 2023 - Valor Real'!A3:A15,'Janeiro 2023 - Valor Real'!C3:C15,0))+1)+SUM(((L490-1)*(1-_xlfn.XLOOKUP(K490,'Janeiro 2023 - Valor Real'!A3:A15,'Janeiro 2023 - Valor Real'!C3:C15,0))+1),((L491-1)*(1-_xlfn.XLOOKUP(K491,'Janeiro 2023 - Valor Real'!A3:A15,'Janeiro 2023 - Valor Real'!C3:C15,0))+1),((L492-1)*(1-_xlfn.XLOOKUP(K492,'Janeiro 2023 - Valor Real'!A3:A15,'Janeiro 2023 - Valor Real'!C3:C15,0))+1))/((L492-1)*(1-_xlfn.XLOOKUP(K492,'Janeiro 2023 - Valor Real'!A3:A15,'Janeiro 2023 - Valor Real'!C3:C15,0))+1)))</f>
      </c>
      <c r="AF492" s="132">
        <f>IF($K492=AF$3,ROUND(IF(OR($C492="W",$C492="1/2W",$C492="1/2L"),$P492-$O492,IF($C492="X",0,-$O492)),2),0)</f>
        <v>0</v>
      </c>
      <c r="AG492" s="133">
        <f>IF($K492=AG$3,ROUND(IF(OR($C492="W",$C492="1/2W",$C492="1/2L"),$P492-$O492,IF($C492="X",0,-$O492)),2),0)</f>
        <v>0</v>
      </c>
      <c r="AH492" s="133">
        <f>IF($K492=AH$3,ROUND(IF(OR($C492="W",$C492="1/2W",$C492="1/2L"),$P492-$O492,IF($C492="X",0,-$O492)),2),0)</f>
        <v>0</v>
      </c>
      <c r="AI492" s="133">
        <f>IF($K492=AI$3,ROUND(IF(OR($C492="W",$C492="1/2W",$C492="1/2L"),$P492-$O492,IF($C492="X",0,-$O492)),2),0)</f>
        <v>0</v>
      </c>
      <c r="AJ492" s="133">
        <f>IF($K492=AJ$3,ROUND(IF(OR($C492="W",$C492="1/2W",$C492="1/2L"),$P492-$O492,IF($C492="X",0,-$O492)),2),0)</f>
        <v>0</v>
      </c>
      <c r="AK492" s="133">
        <f>IF($K492=AK$3,ROUND(IF(OR($C492="W",$C492="1/2W",$C492="1/2L"),$P492-$O492,IF($C492="X",0,-$O492)),2),0)</f>
        <v>0</v>
      </c>
      <c r="AL492" s="133">
        <f>IF($K492=AL$3,ROUND(IF(OR($C492="W",$C492="1/2W",$C492="1/2L"),$P492-$O492,IF($C492="X",0,-$O492)),2),0)</f>
        <v>0</v>
      </c>
      <c r="AM492" s="133">
        <f>IF($K492=AM$3,ROUND(IF(OR($C492="W",$C492="1/2W",$C492="1/2L"),$P492-$O492,IF($C492="X",0,-$O492)),2),0)</f>
        <v>0</v>
      </c>
      <c r="AN492" s="133">
        <f>IF($K492=AN$3,ROUND(IF(OR($C492="W",$C492="1/2W",$C492="1/2L"),$P492-$O492,IF($C492="X",0,-$O492)),2),0)</f>
        <v>0</v>
      </c>
      <c r="AO492" s="133">
        <f>IF($K492=AO$3,ROUND(IF(OR($C492="W",$C492="1/2W",$C492="1/2L"),$P492-$O492,IF($C492="X",0,-$O492)),2),0)</f>
        <v>0</v>
      </c>
      <c r="AP492" s="133">
        <f>IF($K492=AP$3,ROUND(IF(OR($C492="W",$C492="1/2W",$C492="1/2L"),$P492-$O492,IF($C492="X",0,-$O492)),2),0)</f>
        <v>0</v>
      </c>
      <c r="AQ492" s="133">
        <f>IF($K492=AQ$3,ROUND(IF(OR($C492="W",$C492="1/2W",$C492="1/2L"),$P492-$O492,IF($C492="X",0,-$O492)),2),0)</f>
        <v>0</v>
      </c>
      <c r="AR492" s="134">
        <f>IF($K492=AR$3,ROUND(IF(OR($C492="W",$C492="1/2W",$C492="1/2L"),$P492-$O492,IF($C492="X",0,-$O492)),2),0)</f>
        <v>0</v>
      </c>
      <c r="AS492" s="132">
        <f>IF(AND($B490=" ",$K492=AS$3),$O492,0)</f>
        <v>0</v>
      </c>
      <c r="AT492" s="133">
        <f>IF(AND($B490=" ",K492=AT$3),$O492,0)</f>
        <v>0</v>
      </c>
      <c r="AU492" s="133">
        <f>IF(AND($B490=" ",$K492=AU$3),$O492,0)</f>
        <v>0</v>
      </c>
      <c r="AV492" s="133">
        <f>IF(AND($B490=" ",$K492=AV$3),$O492,0)</f>
        <v>0</v>
      </c>
      <c r="AW492" s="133">
        <f>IF(AND($B490=" ",$K492=AW$3),$O492,0)</f>
        <v>0</v>
      </c>
      <c r="AX492" s="133">
        <f>IF(AND($B490=" ",$K492=AX$3),$O492,0)</f>
        <v>0</v>
      </c>
      <c r="AY492" s="135">
        <f>IF(AND($B490=" ",$K492=AY$3),$O492,0)</f>
        <v>0</v>
      </c>
      <c r="AZ492" s="136">
        <f>IF(AND($B490=" ",$K492=AZ$3),$O492,0)</f>
        <v>0</v>
      </c>
      <c r="BA492" s="136">
        <f>IF(AND($B490=" ",$K492=BA$3),$O492,0)</f>
        <v>0</v>
      </c>
      <c r="BB492" s="136">
        <f>IF(AND($B490=" ",$K492=BB$3),$O492,0)</f>
        <v>0</v>
      </c>
      <c r="BC492" s="137">
        <f>IF(AND($B490=" ",$K492=BC$3),$O492,0)</f>
        <v>0</v>
      </c>
      <c r="BD492" s="133">
        <f>IF(AND($B490=" ",$K492=BD$3),$O492,0)</f>
        <v>0</v>
      </c>
      <c r="BE492" s="134">
        <f>IF(AND($B490=" ",$K492=BE$3),$O492,0)</f>
        <v>0</v>
      </c>
      <c r="BF492" s="132">
        <f>IF($K492=BF$3,IF($C492="X",0,$O492),0)</f>
        <v>0</v>
      </c>
      <c r="BG492" s="281">
        <f>IF($K492=BG$3,IF($C492="X",0,$O492),0)</f>
        <v>0</v>
      </c>
      <c r="BH492" s="133">
        <f>IF($K492=BH$3,IF($C492="X",0,$O492),0)</f>
        <v>0</v>
      </c>
      <c r="BI492" s="133">
        <f>IF($K492=BI$3,IF($C492="X",0,$O492),0)</f>
        <v>0</v>
      </c>
      <c r="BJ492" s="133">
        <f>IF($K492=BJ$3,IF($C492="X",0,$O492),0)</f>
        <v>0</v>
      </c>
      <c r="BK492" s="133">
        <f>IF($K492=BK$3,IF($C492="X",0,$O492),0)</f>
        <v>0</v>
      </c>
      <c r="BL492" s="133">
        <f>IF($K492=BL$3,IF($C492="X",0,$O492),0)</f>
        <v>0</v>
      </c>
      <c r="BM492" s="135">
        <f>IF($K492=BM$3,IF($C492="X",0,$O492),0)</f>
        <v>0</v>
      </c>
      <c r="BN492" s="136">
        <f>IF($K492=BN$3,IF($C492="X",0,$O492),0)</f>
        <v>0</v>
      </c>
      <c r="BO492" s="136">
        <f>IF($K492=BO$3,IF($C492="X",0,$O492),0)</f>
        <v>0</v>
      </c>
      <c r="BP492" s="136">
        <f>IF($K492=BP$3,IF($C492="X",0,$O492),0)</f>
        <v>0</v>
      </c>
      <c r="BQ492" s="137">
        <f>IF($K492=BQ$3,IF($C492="X",0,$O492),0)</f>
        <v>0</v>
      </c>
      <c r="BR492" s="134">
        <f>IF($K492=BR$3,IF($C492="X",0,$O492),0)</f>
        <v>0</v>
      </c>
      <c r="BS492" s="282"/>
      <c r="BT492" s="283"/>
      <c r="BU492" s="140"/>
      <c r="BV492" s="283"/>
      <c r="BW492" s="140"/>
      <c r="BX492" s="140"/>
      <c r="BY492" s="140"/>
      <c r="BZ492" s="283"/>
      <c r="CA492" s="140"/>
      <c r="CB492" s="140"/>
      <c r="CC492" s="140"/>
      <c r="CD492" s="141"/>
      <c r="CE492" s="142"/>
      <c r="CF492" s="284">
        <f>IF(CF$3=$K492,IF($C492="W",1,IF($C492="1/2W",0.5,0)),0)</f>
        <v>0</v>
      </c>
      <c r="CG492" s="285">
        <f>IF(CF$3=$K492,IF($C492="L",1,IF($C492="1/2L",0.5,0)),0)</f>
        <v>0</v>
      </c>
      <c r="CH492" s="285">
        <f>IF(CH$3=$K492,IF($C492="W",1,IF($C492="1/2W",0.5,0)),0)</f>
        <v>0</v>
      </c>
      <c r="CI492" s="285">
        <f>IF(CH$3=$K492,IF($C492="L",1,IF($C492="1/2L",0.5,0)),0)</f>
        <v>0</v>
      </c>
      <c r="CJ492" s="285">
        <f>IF(CJ$3=$K492,IF($C492="W",1,IF($C492="1/2W",0.5,0)),0)</f>
        <v>0</v>
      </c>
      <c r="CK492" s="285">
        <f>IF(CJ$3=$K492,IF($C492="L",1,IF($C492="1/2L",0.5,0)),0)</f>
        <v>0</v>
      </c>
      <c r="CL492" s="285">
        <f>IF(CL$3=$K492,IF($C492="W",1,IF($C492="1/2W",0.5,0)),0)</f>
        <v>0</v>
      </c>
      <c r="CM492" s="285">
        <f>IF(CL$3=$K492,IF($C492="L",1,IF($C492="1/2L",0.5,0)),0)</f>
        <v>0</v>
      </c>
      <c r="CN492" s="285">
        <f>IF(CN$3=$K492,IF($C492="W",1,IF($C492="1/2W",0.5,0)),0)</f>
        <v>0</v>
      </c>
      <c r="CO492" s="285">
        <f>IF(CN$3=$K492,IF($C492="L",1,IF($C492="1/2L",0.5,0)),0)</f>
        <v>0</v>
      </c>
      <c r="CP492" s="285">
        <f>IF(CP$3=$K492,IF($C492="W",1,IF($C492="1/2W",0.5,0)),0)</f>
        <v>0</v>
      </c>
      <c r="CQ492" s="285">
        <f>IF(CP$3=$K492,IF($C492="L",1,IF($C492="1/2L",0.5,0)),0)</f>
        <v>0</v>
      </c>
      <c r="CR492" s="285">
        <f>IF(CR$3=$K492,IF($C492="W",1,IF($C492="1/2W",0.5,0)),0)</f>
        <v>0</v>
      </c>
      <c r="CS492" s="285">
        <f>IF(CR$3=$K492,IF($C492="L",1,IF($C492="1/2L",0.5,0)),0)</f>
        <v>0</v>
      </c>
      <c r="CT492" s="145">
        <f>IF(CT$3=$K492,IF($C492="W",1,IF($C492="1/2W",0.5,0)),0)</f>
        <v>0</v>
      </c>
      <c r="CU492" s="146">
        <f>IF(CT$3=$K492,IF($C492="L",1,IF($C492="1/2L",0.5,0)),0)</f>
        <v>0</v>
      </c>
      <c r="CV492" s="146">
        <f>IF(CV$3=$K492,IF($C492="W",1,IF($C492="1/2W",0.5,0)),0)</f>
        <v>0</v>
      </c>
      <c r="CW492" s="146">
        <f>IF(CV$3=$K492,IF($C492="L",1,IF($C492="1/2L",0.5,0)),0)</f>
        <v>0</v>
      </c>
      <c r="CX492" s="146">
        <f>IF(CX$3=$K492,IF($C492="W",1,IF($C492="1/2W",0.5,0)),0)</f>
        <v>0</v>
      </c>
      <c r="CY492" s="146">
        <f>IF(CX$3=$K492,IF($C492="L",1,IF($C492="1/2L",0.5,0)),0)</f>
        <v>0</v>
      </c>
      <c r="CZ492" s="146">
        <f>IF(CZ$3=$K492,IF($C492="W",1,IF($C492="1/2W",0.5,0)),0)</f>
        <v>0</v>
      </c>
      <c r="DA492" s="146">
        <f>IF(CZ$3=$K492,IF($C492="L",1,IF($C492="1/2L",0.5,0)),0)</f>
        <v>0</v>
      </c>
      <c r="DB492" s="146">
        <f>IF(DB$3=$K492,IF($C492="W",1,IF($C492="1/2W",0.5,0)),0)</f>
        <v>0</v>
      </c>
      <c r="DC492" s="146">
        <f>IF(DB$3=$K492,IF($C492="L",1,IF($C492="1/2L",0.5,0)),0)</f>
        <v>0</v>
      </c>
      <c r="DD492" s="146">
        <f>IF(DD$3=$K492,IF($C492="W",1,IF($C492="1/2W",0.5,0)),0)</f>
        <v>0</v>
      </c>
      <c r="DE492" s="147">
        <f>IF(DD$3=$K492,IF($C492="L",1,IF($C492="1/2L",0.5,0)),0)</f>
        <v>0</v>
      </c>
      <c r="DF492" s="143">
        <f>IF(AND(L492&lt;DF$3,$C492="W"),1+DF491,DF491)</f>
        <v>16</v>
      </c>
      <c r="DG492" s="133">
        <f>IF(DF492&gt;DF491,L492+DG491,DG491)</f>
        <v>21.158</v>
      </c>
      <c r="DH492" s="146">
        <f>IF(AND(L492&gt;DH$3,$C492="W"),1+DH491,0+DH491)</f>
        <v>11</v>
      </c>
      <c r="DI492" s="133">
        <f>IF(DH492&gt;DH491,L492+DI491,DI491)</f>
        <v>59.13</v>
      </c>
      <c r="DJ492" t="s" s="304">
        <f>IF($D490="","",$D490)</f>
        <v>358</v>
      </c>
      <c r="DK492" s="286"/>
    </row>
    <row r="493" ht="14.55" customHeight="1">
      <c r="A493" s="171">
        <f>$A490+1</f>
        <v>164</v>
      </c>
      <c r="B493" t="s" s="172">
        <f>IF(AND(_xlfn.XLOOKUP(H493,H$122:H266,G$122:G266,0)=G493,_xlfn.XLOOKUP("TempoBet",K493:K495,L493:L495,0)&gt;0),"X",IF(OR(C493="W",C494="W",C495="W",C493="1/2W",C494="1/2W",C495="1/2W",C493="1/2L",C494="1/2L",C495="1/2L"),"OK",IF(OR(C493="L",C494="L",C495="L"),"LOSS",IF(OR(C493="X",C494="X",C495="X"),"Anulado"," "))))</f>
        <v>50</v>
      </c>
      <c r="C493" t="s" s="173">
        <v>56</v>
      </c>
      <c r="D493" t="s" s="305">
        <f>IF(G493="","",$D490)</f>
        <v>358</v>
      </c>
      <c r="E493" t="s" s="175">
        <f>IF(G493=""," ","– "&amp;COUNTIF(D$4:D495,$D493))</f>
        <v>141</v>
      </c>
      <c r="F493" t="s" s="176"/>
      <c r="G493" s="177">
        <v>44951.583333333336</v>
      </c>
      <c r="H493" t="s" s="178">
        <v>385</v>
      </c>
      <c r="I493" t="s" s="179">
        <v>54</v>
      </c>
      <c r="J493" s="291">
        <v>-4</v>
      </c>
      <c r="K493" t="s" s="181">
        <v>41</v>
      </c>
      <c r="L493" s="182">
        <v>2.25</v>
      </c>
      <c r="M493" s="183">
        <v>9</v>
      </c>
      <c r="N493" s="184">
        <v>0</v>
      </c>
      <c r="O493" s="185">
        <f>IF(OR(AE493="",AE494=""),"",ROUND(IF(L495&gt;0,IF(M493&gt;0,M493,IF(M494&gt;0,ROUND((M494*AE493)/AE494,IF(N493=0,2,IF(N493=0.1,1,0))),ROUND((M495*AE493)/AE495,IF(N493=0,2,IF(N493=0.1,1,0))))),IF(M493&gt;0,M493,ROUND((M494*AE493)/AE494,IF(N493=0,2,IF(N493=0.1,1,0))))),2))</f>
        <v>9</v>
      </c>
      <c r="P493" s="186">
        <f>IF(OR(L493="",O493=""),"",IF($C493="1/2W",O493/2+O493/2*L493,IF($C493="1/2L",O493/2,IF(I493="Lay",(O493*(L493/(L493-1))-O493)*(1-_xlfn.XLOOKUP(K493,'Janeiro 2023 - Valor Real'!A3:A15,'Janeiro 2023 - Valor Real'!C3:C15,0))+O493,(O493*L493-O493)*(1-_xlfn.XLOOKUP(K493,'Janeiro 2023 - Valor Real'!A3:A15,'Janeiro 2023 - Valor Real'!C3:C15,0))+O493))))</f>
        <v>20.25</v>
      </c>
      <c r="Q493" s="187">
        <f>IF(K493="","",IF(_xlfn.XLOOKUP(K493,K$122:K266,DJ$122:DJ266,0,,-1)=DJ493,_xlfn.XLOOKUP(K493,K$122:K266,Q$122:Q266,1,,-1)+1,1))</f>
        <v>1</v>
      </c>
      <c r="R493" s="188">
        <f>IF(K493="","",_xlfn.XLOOKUP(K493,K$122:K266,R$122:R266,0,,-1)+IF($C493=" ",1,0))</f>
        <v>0</v>
      </c>
      <c r="S493" s="189">
        <f>IF($B493="Anulado",0,ROUND(IF(OR($B493="LOSS",$B493="OK"),IF(OR($C493="W",$C493="1/2W",$C493="1/2L"),P493-O493,IF($C493="L",-O493,0))+IF(OR($C494="W",$C494="1/2W",$C494="1/2L"),P494-O494,IF($C494="L",-O494,0))+IF(OR($C495="W",$C495="1/2W",$C495="1/2L"),P495-O495,IF($C495="L",-O495,0)),IF(AND(OR($C493="W",$C493="1/2W",$C493="1/2L"),C494="W"),P493+P494-SUM(O493:O495)+_xlfn.XLOOKUP("X",C493:C495,O493:O495,0),IF(AND(C493=TRUE,C495="W"),P493+P495-SUM(O493:O495),IF(AND(C494="W",C495="W"),P494+P495-SUM(O493:O495)+_xlfn.XLOOKUP("X",C493:C495,O493:O495,0),IF(L495&gt;0,IF(OR($C493="W",$C493="1/2W",$C493="1/2L"),P493-SUM(O493:O495)+_xlfn.XLOOKUP("X",C493:C495,O493:O495,0),IF(OR($C493="W",$C493="1/2W",$C493="1/2L"),P494-SUM(O493:O495)+_xlfn.XLOOKUP("X",C493:C495,O493:O495,0),IF(OR($C493="W",$C493="1/2W",$C493="1/2L"),P495-SUM(O493:O495)+_xlfn.XLOOKUP("X",C493:C495,O493:O495,0),IF(SUM(P493:P495)/3-SUM(O493:O495)+_xlfn.XLOOKUP("X",C493:C495,O493:O495,0)&gt;0,SUM(P493:P495)/3-SUM(O493:O495)+_xlfn.XLOOKUP("X",C493:C495,O493:O495,0),LARGE(P493:P495,1)-SUM(O493:O495))))),IF(OR($C493="W",$C493="1/2W",$C493="1/2L"),P493-SUM(O493:O494)+_xlfn.XLOOKUP("X",C493:C495,O493:O495,0),IF(OR($C493="W",$C493="1/2W",$C493="1/2L"),P494-SUM(O493:O494)+_xlfn.XLOOKUP("X",C493:C495,O493:O495,0),SUM(P493:P494)/2-SUM(O493:O494)+_xlfn.XLOOKUP("X",C493:C495,O493:O495,0)))))))),2))</f>
        <v>1.1</v>
      </c>
      <c r="T493" s="190">
        <f>IF(S493=0,0,S493/SUM(O493:O495))</f>
        <v>0.0574412532637076</v>
      </c>
      <c r="U493" s="191">
        <f>IF($D493=$D490,IF(OR($B493="LOSS",$B493="OK",$B493="Anulada"),S493,0)+U490,IF(OR($B493="LOSS",$B493="OK",$B493="Anulada"),S493,0))</f>
        <v>23.29</v>
      </c>
      <c r="V493" s="191">
        <f>IF($D493="",0,IF($D493=$D490,IF($B493=" ",IF(I495="",IF(OR(AND(I493="DNB1",I494="DNB2"),AND(OR(I493="DNB1",I493="DNB2"),J494=0),AND(OR(I494="DNB1",I494="DNB2"),J493=0),AND(I493="DNB2",I494="DNB1"),AND(IF(J493=0,(J493+1)/ROUND(J493+1,0),J493/ROUND(J493,0))=1,IF(J494=0,(J494+1)/ROUND(IF(J494="",0,J494)+1,0),IF(J494="",0,J494)/ROUND(IF(J494="",1,J494),0))=1,OR(J493&lt;&gt;""),J494&lt;&gt;"")),0,IF(S493&lt;0,IF(I495="",SMALL(P493:P494,1)-SUM(O493:O494),0),SMALL(P493:P494,1)-SUM(O493:O494))),IF(S493&lt;0,IF(I495="",SMALL(P493:P495,1)-SUM(O493:O495),0),LARGE(P493:P495,1)-SUM(O493:O495))),S493)+V490,IF(I495="",IF(OR(AND(I493="DNB1",I494="DNB2"),AND(OR(I493="DNB1",I493="DNB2"),J494=0),AND(OR(I494="DNB1",I494="DNB2"),J493=0),AND(I493="DNB2",I494="DNB1"),AND(IF(J493=0,(J493+1)/ROUND(J493+1,0),J493/ROUND(J493,0))=1,IF(J494=0,(IF(J494="",0,J494)+1)/ROUND(IF(J494="",0,J494)+1,0),IF(J494="",0,J494)/ROUND(IF(J494="",0,J494)+1,0))=1,OR(J493&lt;&gt;""),J494&lt;&gt;"")),0,IF(S493&lt;0,IF(I495="",SMALL(P493:P494,1)-SUM(O493:O494),0),SMALL(P493:P495,1)-SUM(O493:O495))),IF(S493&lt;0,IF(I495="",SMALL(P493:P495,1)-SUM(O493:O495),0),LARGE(P493:P495,1)-SUM(O493:O495)))))</f>
        <v>23.29</v>
      </c>
      <c r="W493" s="191">
        <f>IF($D493=$D490,IF(S493&lt;0,IF(I495="",S493,0),S493)+W490,S493)</f>
        <v>23.29</v>
      </c>
      <c r="X493" t="s" s="192">
        <f>IF(OR(SUM(R493:R495)=0,V493=W493),ROUND(IF(W493=0,0,W493/Y493)*100,2)&amp;"%",ROUND(IF(V493=0,0,V493/Y493)*100,2)&amp;"% a "&amp;ROUND(IF(W493=0,0,W493/Y493)*100,2)&amp;"%")</f>
        <v>384</v>
      </c>
      <c r="Y493" s="193">
        <f>IF($D493=$D490,Y490+SUM(O493:O495),SUM(O493:O495))</f>
        <v>413.46</v>
      </c>
      <c r="Z493" s="191">
        <f>IF($B493=" ",SUM(O493:O495),0)+Z490</f>
        <v>0</v>
      </c>
      <c r="AA493" s="191">
        <f>IF(G493="","",IF($B493="Anulado",LARGE(P493:P495,1)-SUM(O493:O495)+AA490,AA490))</f>
        <v>23.2117</v>
      </c>
      <c r="AB493" s="191">
        <f>IF($D493="","",AB490+S493)</f>
        <v>331.14</v>
      </c>
      <c r="AC493" s="194">
        <f>IF($D493="","",IF($B493=" ",IF(DAY(G493)=DAY(TODAY()),1+AC490,0+AC490),0+AC490))</f>
        <v>0</v>
      </c>
      <c r="AD493" s="195">
        <f>(((L494/(L494-1)-1)*(1-_xlfn.XLOOKUP(K494,'Janeiro 2023 - Valor Real'!A3:A15,'Janeiro 2023 - Valor Real'!C3:C15,0))+1))/(((L493-1)*(1-_xlfn.XLOOKUP(K493,'Janeiro 2023 - Valor Real'!A3:A15,'Janeiro 2023 - Valor Real'!C3:C15,0))+1)+((L494/(L494-1)-1)*(1-_xlfn.XLOOKUP(K494,'Janeiro 2023 - Valor Real'!A3:A15,'Janeiro 2023 - Valor Real'!C3:C15,0))+1))</f>
        <v>0.470588235294118</v>
      </c>
      <c r="AE493" s="196">
        <f>IF(L493="","",IF(L495&gt;0,(SUM(((L493-1)*(1-_xlfn.XLOOKUP(K493,'Janeiro 2023 - Valor Real'!A3:A15,'Janeiro 2023 - Valor Real'!C3:C15,0))+1),((L494-1)*(1-_xlfn.XLOOKUP(K494,'Janeiro 2023 - Valor Real'!A3:A15,'Janeiro 2023 - Valor Real'!C3:C15,0))+1),((L495-1)*(1-_xlfn.XLOOKUP(K495,'Janeiro 2023 - Valor Real'!A3:A15,'Janeiro 2023 - Valor Real'!C3:C15,0))+1))/((L493-1)*(1-_xlfn.XLOOKUP(K493,'Janeiro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Real'!C3:C15,0))+1))/((L493-1)*(1-_xlfn.XLOOKUP(K493,'Janeiro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Real'!C3:C15,0))+1))/((L494-1)*(1-_xlfn.XLOOKUP(K494,'Janeiro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Real'!C3:C15,0))+1))/((L495-1)*(1-_xlfn.XLOOKUP(K495,'Janeiro 2023 - Valor Real'!A3:A15,'Janeiro 2023 - Valor Real'!C3:C15,0))+1)),IF(I493="Lay",IF(I494="Lay",((L494/(L494-1)-1)*(1-_xlfn.XLOOKUP(K494,'Janeiro 2023 - Valor Real'!A3:A15,'Janeiro 2023 - Valor Real'!C3:C15,0))+1)/(((L494/(L494-1)-1)*(1-_xlfn.XLOOKUP(K494,'Janeiro 2023 - Valor Real'!A3:A15,'Janeiro 2023 - Valor Real'!C3:C15,0))+1)+((L493/(L493-1)-1)*(1-_xlfn.XLOOKUP(K493,'Janeiro 2023 - Valor Real'!A3:A15,'Janeiro 2023 - Valor Real'!C3:C15,0))+1)),((L494-1)*(1-_xlfn.XLOOKUP(K494,'Janeiro 2023 - Valor Real'!A3:A15,'Janeiro 2023 - Valor Real'!C3:C15,0))+1)/(((L494-1)*(1-_xlfn.XLOOKUP(K494,'Janeiro 2023 - Valor Real'!A3:A15,'Janeiro 2023 - Valor Real'!C3:C15,0))+1)+((L493/(L493-1)-1)*(1-_xlfn.XLOOKUP(K493,'Janeiro 2023 - Valor Real'!A3:A15,'Janeiro 2023 - Valor Real'!C3:C15,0))+1))),IF(I494="Lay",(((L494/(L494-1)-1)*(1-_xlfn.XLOOKUP(K494,'Janeiro 2023 - Valor Real'!A3:A15,'Janeiro 2023 - Valor Real'!C3:C15,0))+1))/(((L493-1)*(1-_xlfn.XLOOKUP(K493,'Janeiro 2023 - Valor Real'!A3:A15,'Janeiro 2023 - Valor Real'!C3:C15,0))+1)+((L494/(L494-1)-1)*(1-_xlfn.XLOOKUP(K494,'Janeiro 2023 - Valor Real'!A3:A15,'Janeiro 2023 - Valor Real'!C3:C15,0))+1)),((L494-1)*(1-_xlfn.XLOOKUP(K494,'Janeiro 2023 - Valor Real'!A3:A15,'Janeiro 2023 - Valor Real'!C3:C15,0))+1)/(((L494-1)*(1-_xlfn.XLOOKUP(K494,'Janeiro 2023 - Valor Real'!A3:A15,'Janeiro 2023 - Valor Real'!C3:C15,0))+1)+((L493-1)*(1-_xlfn.XLOOKUP(K493,'Janeiro 2023 - Valor Real'!A3:A15,'Janeiro 2023 - Valor Real'!C3:C15,0))+1))))))</f>
        <v>0.470588235294118</v>
      </c>
      <c r="AF493" s="197">
        <f>IF($K493=AF$3,ROUND(IF(OR($C493="W",$C493="1/2W",$C493="1/2L"),$P493-$O493,IF($C493="X",0,-$O493)),2),0)</f>
        <v>0</v>
      </c>
      <c r="AG493" s="198">
        <f>IF($K493=AG$3,ROUND(IF(OR($C493="W",$C493="1/2W",$C493="1/2L"),$P493-$O493,IF($C493="X",0,-$O493)),2),0)</f>
        <v>0</v>
      </c>
      <c r="AH493" s="198">
        <f>IF($K493=AH$3,ROUND(IF(OR($C493="W",$C493="1/2W",$C493="1/2L"),$P493-$O493,IF($C493="X",0,-$O493)),2),0)</f>
        <v>0</v>
      </c>
      <c r="AI493" s="198">
        <f>IF($K493=AI$3,ROUND(IF(OR($C493="W",$C493="1/2W",$C493="1/2L"),$P493-$O493,IF($C493="X",0,-$O493)),2),0)</f>
        <v>0</v>
      </c>
      <c r="AJ493" s="198">
        <f>IF($K493=AJ$3,ROUND(IF(OR($C493="W",$C493="1/2W",$C493="1/2L"),$P493-$O493,IF($C493="X",0,-$O493)),2),0)</f>
        <v>11.25</v>
      </c>
      <c r="AK493" s="198">
        <f>IF($K493=AK$3,ROUND(IF(OR($C493="W",$C493="1/2W",$C493="1/2L"),$P493-$O493,IF($C493="X",0,-$O493)),2),0)</f>
        <v>0</v>
      </c>
      <c r="AL493" s="198">
        <f>IF($K493=AL$3,ROUND(IF(OR($C493="W",$C493="1/2W",$C493="1/2L"),$P493-$O493,IF($C493="X",0,-$O493)),2),0)</f>
        <v>0</v>
      </c>
      <c r="AM493" s="198">
        <f>IF($K493=AM$3,ROUND(IF(OR($C493="W",$C493="1/2W",$C493="1/2L"),$P493-$O493,IF($C493="X",0,-$O493)),2),0)</f>
        <v>0</v>
      </c>
      <c r="AN493" s="198">
        <f>IF($K493=AN$3,ROUND(IF(OR($C493="W",$C493="1/2W",$C493="1/2L"),$P493-$O493,IF($C493="X",0,-$O493)),2),0)</f>
        <v>0</v>
      </c>
      <c r="AO493" s="198">
        <f>IF($K493=AO$3,ROUND(IF(OR($C493="W",$C493="1/2W",$C493="1/2L"),$P493-$O493,IF($C493="X",0,-$O493)),2),0)</f>
        <v>0</v>
      </c>
      <c r="AP493" s="198">
        <f>IF($K493=AP$3,ROUND(IF(OR($C493="W",$C493="1/2W",$C493="1/2L"),$P493-$O493,IF($C493="X",0,-$O493)),2),0)</f>
        <v>0</v>
      </c>
      <c r="AQ493" s="198">
        <f>IF($K493=AQ$3,ROUND(IF(OR($C493="W",$C493="1/2W",$C493="1/2L"),$P493-$O493,IF($C493="X",0,-$O493)),2),0)</f>
        <v>0</v>
      </c>
      <c r="AR493" s="199">
        <f>IF($K493=AR$3,ROUND(IF(OR($C493="W",$C493="1/2W",$C493="1/2L"),$P493-$O493,IF($C493="X",0,-$O493)),2),0)</f>
        <v>0</v>
      </c>
      <c r="AS493" s="197">
        <f>IF(AND($B493=" ",$K493=AS$3),$O493,0)</f>
        <v>0</v>
      </c>
      <c r="AT493" s="198">
        <f>IF(AND($B493=" ",$K493=AT$3),$O493,0)</f>
        <v>0</v>
      </c>
      <c r="AU493" s="198">
        <f>IF(AND($B493=" ",$K493=AU$3),$O493,0)</f>
        <v>0</v>
      </c>
      <c r="AV493" s="198">
        <f>IF(AND($B493=" ",$K493=AV$3),$O493,0)</f>
        <v>0</v>
      </c>
      <c r="AW493" s="198">
        <f>IF(AND($B493=" ",$K493=AW$3),$O493,0)</f>
        <v>0</v>
      </c>
      <c r="AX493" s="198">
        <f>IF(AND($B493=" ",$K493=AX$3),$O493,0)</f>
        <v>0</v>
      </c>
      <c r="AY493" s="200">
        <f>IF(AND($B493=" ",$K493=AY$3),$O493,0)</f>
        <v>0</v>
      </c>
      <c r="AZ493" s="201">
        <f>IF(AND($B493=" ",$K493=AZ$3),$O493,0)</f>
        <v>0</v>
      </c>
      <c r="BA493" s="201">
        <f>IF(AND($B493=" ",$K493=BA$3),$O493,0)</f>
        <v>0</v>
      </c>
      <c r="BB493" s="201">
        <f>IF(AND($B493=" ",$K493=BB$3),$O493,0)</f>
        <v>0</v>
      </c>
      <c r="BC493" s="202">
        <f>IF(AND($B493=" ",$K493=BC$3),$O493,0)</f>
        <v>0</v>
      </c>
      <c r="BD493" s="198">
        <f>IF(AND($B493=" ",$K493=BD$3),$O493,0)</f>
        <v>0</v>
      </c>
      <c r="BE493" s="199">
        <f>IF(AND($B493=" ",$K493=BE$3),$O493,0)</f>
        <v>0</v>
      </c>
      <c r="BF493" s="203">
        <f>IF($K493=BF$3,IF($C493="X",0,$O493),0)</f>
        <v>0</v>
      </c>
      <c r="BG493" s="198">
        <f>IF($K493=BG$3,IF($C493="X",0,$O493),0)</f>
        <v>0</v>
      </c>
      <c r="BH493" s="198">
        <f>IF($K493=BH$3,IF($C493="X",0,$O493),0)</f>
        <v>0</v>
      </c>
      <c r="BI493" s="198">
        <f>IF($K493=BI$3,IF($C493="X",0,$O493),0)</f>
        <v>0</v>
      </c>
      <c r="BJ493" s="198">
        <f>IF($K493=BJ$3,IF($C493="X",0,$O493),0)</f>
        <v>9</v>
      </c>
      <c r="BK493" s="198">
        <f>IF($K493=BK$3,IF($C493="X",0,$O493),0)</f>
        <v>0</v>
      </c>
      <c r="BL493" s="198">
        <f>IF($K493=BL$3,IF($C493="X",0,$O493),0)</f>
        <v>0</v>
      </c>
      <c r="BM493" s="200">
        <f>IF($K493=BM$3,IF($C493="X",0,$O493),0)</f>
        <v>0</v>
      </c>
      <c r="BN493" s="201">
        <f>IF($K493=BN$3,IF($C493="X",0,$O493),0)</f>
        <v>0</v>
      </c>
      <c r="BO493" s="201">
        <f>IF($K493=BO$3,IF($C493="X",0,$O493),0)</f>
        <v>0</v>
      </c>
      <c r="BP493" s="201">
        <f>IF($K493=BP$3,IF($C493="X",0,$O493),0)</f>
        <v>0</v>
      </c>
      <c r="BQ493" s="202">
        <f>IF($K493=BQ$3,IF($C493="X",0,$O493),0)</f>
        <v>0</v>
      </c>
      <c r="BR493" s="199">
        <f>IF($K493=BR$3,IF($C493="X",0,$O493),0)</f>
        <v>0</v>
      </c>
      <c r="BS493" s="204">
        <f>IF($B493="LOSS",IF(AND($K493=BS$3,$C493="L"),-$O493,0)+IF(AND($K494=BS$3,$C494="L"),-$O494,0)+IF(AND($K495=BS$3,$C495="L"),-$O495,0),IF(OR(AND($K493=BS$3,OR($C493="W",$C493="1/2W")),AND($K494=BS$3,OR($C494="W",$C494="1/2W")),AND($K495=BS$3,OR($C495="W",$C495="1/2W"))),$S493,0))</f>
        <v>0</v>
      </c>
      <c r="BT493" s="201">
        <f>IF($B493="LOSS",IF(AND($K493=BT$3,$C493="L"),-$O493,0)+IF(AND($K494=BT$3,$C494="L"),-$O494,0)+IF(AND($K494=BT$3,$C495="L"),-$O495,0),IF(OR(AND($K494=BT$3,OR($C493="W",$C493="1/2W")),AND($K494=BT$3,OR($C494="W",$C494="1/2W")),AND($K494=BT$3,OR($C495="W",$C495="1/2W"))),$S493,0))</f>
        <v>0</v>
      </c>
      <c r="BU493" s="201">
        <f>IF($B493="LOSS",IF(AND($K493=BU$3,$C493="L"),-$O493,0)+IF(AND($K494=BU$3,$C494="L"),-$O494,0)+IF(AND($K494=BU$3,$C495="L"),-$O495,0),IF(OR(AND($K494=BU$3,OR($C493="W",$C493="1/2W")),AND($K494=BU$3,OR($C494="W",$C494="1/2W")),AND($K494=BU$3,OR($C495="W",$C495="1/2W"))),$S493,0))</f>
        <v>0</v>
      </c>
      <c r="BV493" s="201">
        <f>IF($B493="LOSS",IF(AND($K493=BV$3,$C493="L"),-$O493,0)+IF(AND($K494=BV$3,$C494="L"),-$O494,0)+IF(AND($K495=BV$3,$C495="L"),-$O495,0),IF(OR(AND($K493=BV$3,OR($C493="W",$C493="1/2W")),AND($K494=BV$3,OR($C494="W",$C494="1/2W")),AND($K495=BV$3,OR($C495="W",$C495="1/2W"))),$S493,0))</f>
        <v>0</v>
      </c>
      <c r="BW493" s="201">
        <f>IF($B493="LOSS",IF(AND($K493=BW$3,$C493="L"),-$O493,0)+IF(AND($K494=BW$3,$C494="L"),-$O494,0)+IF(AND($K495=BW$3,$C495="L"),-$O495,0),IF(OR(AND($K493=BW$3,OR($C493="W",$C493="1/2W")),AND($K494=BW$3,OR($C494="W",$C494="1/2W")),AND($K495=BW$3,OR($C495="W",$C495="1/2W"))),$S493,0))</f>
        <v>1.1</v>
      </c>
      <c r="BX493" s="201">
        <f>IF($B493="LOSS",IF(AND($K493=BX$3,$C493="L"),-$O493,0)+IF(AND($K494=BX$3,$C494="L"),-$O494,0)+IF(AND($K495=BX$3,$C495="L"),-$O495,0),IF(OR(AND($K493=BX$3,OR($C493="W",$C493="1/2W")),AND($K494=BX$3,OR($C494="W",$C494="1/2W")),AND($K495=BX$3,OR($C495="W",$C495="1/2W"))),$S493,0))</f>
        <v>0</v>
      </c>
      <c r="BY493" s="201">
        <f>IF($B493="LOSS",IF(AND($K493=BY$3,$C493="L"),-$O493,0)+IF(AND($K494=BY$3,$C494="L"),-$O494,0)+IF(AND($K495=BY$3,$C495="L"),-$O495,0),IF(OR(AND($K493=BY$3,OR($C493="W",$C493="1/2W")),AND($K494=BY$3,OR($C494="W",$C494="1/2W")),AND($K495=BY$3,OR($C495="W",$C495="1/2W"))),$S493,0))</f>
        <v>0</v>
      </c>
      <c r="BZ493" s="205">
        <f>IF($B493="LOSS",IF(AND($K493=BZ$3,$C493="L"),-$O493,0)+IF(AND($K494=BZ$3,$C494="L"),-$O494,0)+IF(AND($K495=BZ$3,$C495="L"),-$O495,0),IF(OR(AND($K493=BZ$3,OR($C493="W",$C493="1/2W")),AND($K494=BZ$3,OR($C494="W",$C494="1/2W")),AND($K495=BZ$3,OR($C495="W",$C495="1/2W"))),$S493,0))</f>
        <v>0</v>
      </c>
      <c r="CA493" s="205">
        <f>IF($B493="LOSS",IF(AND($K493=CA$3,$C493="L"),-$O493,0)+IF(AND($K494=CA$3,$C494="L"),-$O494,0)+IF(AND($K495=CA$3,$C495="L"),-$O495,0),IF(OR(AND($K493=CA$3,OR($C493="W",$C493="1/2W")),AND($K494=CA$3,OR($C494="W",$C494="1/2W")),AND($K495=CA$3,OR($C495="W",$C495="1/2W"))),$S493,0))</f>
        <v>0</v>
      </c>
      <c r="CB493" s="205">
        <f>IF($B493="LOSS",IF(AND($K493=CB$3,$C493="L"),-$O493,0)+IF(AND($K494=CB$3,$C494="L"),-$O494,0)+IF(AND($K495=CB$3,$C495="L"),-$O495,0),IF(OR(AND($K493=CB$3,OR($C493="W",$C493="1/2W")),AND($K494=CB$3,OR($C494="W",$C494="1/2W")),AND($K495=CB$3,OR($C495="W",$C495="1/2W"))),$S493,0))</f>
        <v>0</v>
      </c>
      <c r="CC493" s="205">
        <f>IF($B493="LOSS",IF(AND($K493=CC$3,$C493="L"),-$O493,0)+IF(AND($K494=CC$3,$C494="L"),-$O494,0)+IF(AND($K495=CC$3,$C495="L"),-$O495,0),IF(OR(AND($K493=CC$3,OR($C493="W",$C493="1/2W")),AND($K494=CC$3,OR($C494="W",$C494="1/2W")),AND($K495=CC$3,OR($C495="W",$C495="1/2W"))),$S493,0))</f>
        <v>0</v>
      </c>
      <c r="CD493" s="202">
        <f>IF($B493="LOSS",IF(AND($K493=CD$3,$C493="L"),-$O493,0)+IF(AND($K494=CD$3,$C494="L"),-$O494,0)+IF(AND($K495=CD$3,$C495="L"),-$O495,0),IF(OR(AND($K493=CD$3,OR($C493="W",$C493="1/2W")),AND($K494=CD$3,OR($C494="W",$C494="1/2W")),AND($K495=CD$3,OR($C495="W",$C495="1/2W"))),$S493,0))</f>
        <v>0</v>
      </c>
      <c r="CE493" s="199">
        <f>IF($B493="LOSS",IF(AND($K493=CE$3,$C493="L"),-$O493,0)+IF(AND($K494=CE$3,$C494="L"),-$O494,0)+IF(AND($K495=CE$3,$C495="L"),-$O495,0),IF(OR(AND($K493=CE$3,OR($C493="W",$C493="1/2W")),AND($K494=CE$3,OR($C494="W",$C494="1/2W")),AND($K495=CE$3,OR($C495="W",$C495="1/2W"))),$S493,0))</f>
        <v>0</v>
      </c>
      <c r="CF493" s="206">
        <f>IF(CF$3=$K493,IF($C493="W",1,IF($C493="1/2W",0.5,0)),0)</f>
        <v>0</v>
      </c>
      <c r="CG493" s="207">
        <f>IF(CF$3=$K493,IF($C493="L",1,IF($C493="1/2L",0.5,0)),0)</f>
        <v>0</v>
      </c>
      <c r="CH493" s="207">
        <f>IF(CH$3=$K493,IF($C493="W",1,IF($C493="1/2W",0.5,0)),0)</f>
        <v>0</v>
      </c>
      <c r="CI493" s="207">
        <f>IF(CH$3=$K493,IF($C493="L",1,IF($C493="1/2L",0.5,0)),0)</f>
        <v>0</v>
      </c>
      <c r="CJ493" s="207">
        <f>IF(CJ$3=$K493,IF($C493="W",1,IF($C493="1/2W",0.5,0)),0)</f>
        <v>0</v>
      </c>
      <c r="CK493" s="207">
        <f>IF(CJ$3=$K493,IF($C493="L",1,IF($C493="1/2L",0.5,0)),0)</f>
        <v>0</v>
      </c>
      <c r="CL493" s="207">
        <f>IF(CL$3=$K493,IF($C493="W",1,IF($C493="1/2W",0.5,0)),0)</f>
        <v>0</v>
      </c>
      <c r="CM493" s="207">
        <f>IF(CL$3=$K493,IF($C493="L",1,IF($C493="1/2L",0.5,0)),0)</f>
        <v>0</v>
      </c>
      <c r="CN493" s="207">
        <f>IF(CN$3=$K493,IF($C493="W",1,IF($C493="1/2W",0.5,0)),0)</f>
        <v>1</v>
      </c>
      <c r="CO493" s="207">
        <f>IF(CN$3=$K493,IF($C493="L",1,IF($C493="1/2L",0.5,0)),0)</f>
        <v>0</v>
      </c>
      <c r="CP493" s="207">
        <f>IF(CP$3=$K493,IF($C493="W",1,IF($C493="1/2W",0.5,0)),0)</f>
        <v>0</v>
      </c>
      <c r="CQ493" s="207">
        <f>IF(CP$3=$K493,IF($C493="L",1,IF($C493="1/2L",0.5,0)),0)</f>
        <v>0</v>
      </c>
      <c r="CR493" s="207">
        <f>IF(CR$3=$K493,IF($C493="W",1,IF($C493="1/2W",0.5,0)),0)</f>
        <v>0</v>
      </c>
      <c r="CS493" s="207">
        <f>IF(CR$3=$K493,IF($C493="L",1,IF($C493="1/2L",0.5,0)),0)</f>
        <v>0</v>
      </c>
      <c r="CT493" s="208">
        <f>IF(CT$3=$K493,IF($C493="W",1,IF($C493="1/2W",0.5,0)),0)</f>
        <v>0</v>
      </c>
      <c r="CU493" s="209">
        <f>IF(CT$3=$K493,IF($C493="L",1,IF($C493="1/2L",0.5,0)),0)</f>
        <v>0</v>
      </c>
      <c r="CV493" s="209">
        <f>IF(CV$3=$K493,IF($C493="W",1,IF($C493="1/2W",0.5,0)),0)</f>
        <v>0</v>
      </c>
      <c r="CW493" s="209">
        <f>IF(CV$3=$K493,IF($C493="L",1,IF($C493="1/2L",0.5,0)),0)</f>
        <v>0</v>
      </c>
      <c r="CX493" s="209">
        <f>IF(CX$3=$K493,IF($C493="W",1,IF($C493="1/2W",0.5,0)),0)</f>
        <v>0</v>
      </c>
      <c r="CY493" s="209">
        <f>IF(CX$3=$K493,IF($C493="L",1,IF($C493="1/2L",0.5,0)),0)</f>
        <v>0</v>
      </c>
      <c r="CZ493" s="209">
        <f>IF(CZ$3=$K493,IF($C493="W",1,IF($C493="1/2W",0.5,0)),0)</f>
        <v>0</v>
      </c>
      <c r="DA493" s="209">
        <f>IF(CZ$3=$K493,IF($C493="L",1,IF($C493="1/2L",0.5,0)),0)</f>
        <v>0</v>
      </c>
      <c r="DB493" s="209">
        <f>IF(DB$3=$K493,IF($C493="W",1,IF($C493="1/2W",0.5,0)),0)</f>
        <v>0</v>
      </c>
      <c r="DC493" s="209">
        <f>IF(DB$3=$K493,IF($C493="L",1,IF($C493="1/2L",0.5,0)),0)</f>
        <v>0</v>
      </c>
      <c r="DD493" s="209">
        <f>IF(DD$3=$K493,IF($C493="W",1,IF($C493="1/2W",0.5,0)),0)</f>
        <v>0</v>
      </c>
      <c r="DE493" s="210">
        <f>IF(DD$3=$K493,IF($C493="L",1,IF($C493="1/2L",0.5,0)),0)</f>
        <v>0</v>
      </c>
      <c r="DF493" s="211">
        <f>IF(AND(L493&lt;DF$3,$C493="W"),1+DF492,DF492)</f>
        <v>16</v>
      </c>
      <c r="DG493" s="198">
        <f>IF(DF493&gt;DF492,L493+DG492,DG492)</f>
        <v>21.158</v>
      </c>
      <c r="DH493" s="209">
        <f>IF(AND(L493&gt;DH$3,$C493="W"),1+DH492,0+DH492)</f>
        <v>11</v>
      </c>
      <c r="DI493" s="198">
        <f>IF(DH493&gt;DH492,L493+DI492,DI492)</f>
        <v>59.13</v>
      </c>
      <c r="DJ493" t="s" s="306">
        <f>IF($D493="","",$D493)</f>
        <v>358</v>
      </c>
      <c r="DK493" s="209">
        <f>IF(AND($B493=" ",$D493&lt;&gt;""),1,0)</f>
        <v>0</v>
      </c>
    </row>
    <row r="494" ht="14.55" customHeight="1">
      <c r="A494" s="107"/>
      <c r="B494" s="108"/>
      <c r="C494" t="s" s="213">
        <v>51</v>
      </c>
      <c r="D494" s="110"/>
      <c r="E494" s="111"/>
      <c r="F494" s="112"/>
      <c r="G494" s="214"/>
      <c r="H494" s="114"/>
      <c r="I494" t="s" s="215">
        <v>57</v>
      </c>
      <c r="J494" s="296">
        <v>4.25</v>
      </c>
      <c r="K494" t="s" s="217">
        <v>37</v>
      </c>
      <c r="L494" s="218">
        <v>2</v>
      </c>
      <c r="M494" s="219">
        <v>10.15</v>
      </c>
      <c r="N494" s="120"/>
      <c r="O494" s="220">
        <f>IF(OR(AE493="",AE494=""),"",ROUND(IF(L495&gt;0,IF(M494&gt;0,M494,IF(M493&gt;0,IF(N493=TRUE,ROUND((M493*AE494)/AE493,0),(M493*AE494)/AE493),IF(M494&gt;0,ROUND(M494,IF(N493=0,2,IF(N493=0.1,1,0))),IF(M495&gt;0,ROUND(O495*AE494/AE495,IF(N493=0,2,IF(N493=0.1,1,0))),0)))),IF(M494&gt;0,M494,ROUND((M493*AE494)/AE493,IF(N493=0,2,IF(N493=0.1,1,0))))),2))</f>
        <v>10.15</v>
      </c>
      <c r="P494" s="221">
        <f>IF(OR(L494="",O494=""),"",IF($C494="1/2W",O494/2+O494/2*L494,IF($C494="1/2L",O494/2,IF(I494="Lay",((O494*(L494/(L494-1)))-O494)*(1-_xlfn.XLOOKUP(K494,'Janeiro 2023 - Valor Real'!A3:A15,'Janeiro 2023 - Valor Real'!C3:C15,0))+O494,(O494*L494-O494)*(1-_xlfn.XLOOKUP(K494,'Janeiro 2023 - Valor Real'!A3:A15,'Janeiro 2023 - Valor Real'!C3:C15,0))+O494))))</f>
        <v>20.3</v>
      </c>
      <c r="Q494" s="222">
        <f>IF(K494="","",IF(_xlfn.XLOOKUP(K494,K$123:K267,DJ$123:DJ267,0,,-1)=DJ494,_xlfn.XLOOKUP(K494,K$123:K267,Q$123:Q267,1,,-1)+1,1))</f>
        <v>1</v>
      </c>
      <c r="R494" s="223">
        <f>IF(K494="","",_xlfn.XLOOKUP(K494,K$123:K267,R$123:R267,0,,-1)+IF($C494=" ",1,0))</f>
        <v>0</v>
      </c>
      <c r="S494" s="125"/>
      <c r="T494" s="126"/>
      <c r="U494" s="126"/>
      <c r="V494" s="224"/>
      <c r="W494" s="126"/>
      <c r="X494" s="127"/>
      <c r="Y494" s="128"/>
      <c r="Z494" s="129"/>
      <c r="AA494" s="129"/>
      <c r="AB494" s="129"/>
      <c r="AC494" s="129"/>
      <c r="AD494" s="225">
        <f>(((L494/(L494-1)-1)*(1-_xlfn.XLOOKUP(K494,'Janeiro 2023 - Valor Real'!A3:A15,'Janeiro 2023 - Valor Real'!C3:C15,0))+1))</f>
        <v>2</v>
      </c>
      <c r="AE494" s="226">
        <f>IF(L494="","",IF(L495&gt;0,(SUM(((L493-1)*(1-_xlfn.XLOOKUP(K493,'Janeiro 2023 - Valor Real'!A3:A15,'Janeiro 2023 - Valor Real'!C3:C15,0))+1),((L494-1)*(1-_xlfn.XLOOKUP(K494,'Janeiro 2023 - Valor Real'!A3:A15,'Janeiro 2023 - Valor Real'!C3:C15,0))+1),((L495-1)*(1-_xlfn.XLOOKUP(K495,'Janeiro 2023 - Valor Real'!A3:A15,'Janeiro 2023 - Valor Real'!C3:C15,0))+1))/((L494-1)*(1-_xlfn.XLOOKUP(K494,'Janeiro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Real'!C3:C15,0))+1))/((L493-1)*(1-_xlfn.XLOOKUP(K493,'Janeiro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Real'!C3:C15,0))+1))/((L494-1)*(1-_xlfn.XLOOKUP(K494,'Janeiro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Real'!C3:C15,0))+1))/((L495-1)*(1-_xlfn.XLOOKUP(K495,'Janeiro 2023 - Valor Real'!A3:A15,'Janeiro 2023 - Valor Real'!C3:C15,0))+1)),IF(I494="Lay",IF(I493="Lay",((L493/(L493-1)-1)*(1-_xlfn.XLOOKUP(K493,'Janeiro 2023 - Valor Real'!A3:A15,'Janeiro 2023 - Valor Real'!C3:C15,0))+1)/(((L493/(L493-1)-1)*(1-_xlfn.XLOOKUP(K493,'Janeiro 2023 - Valor Real'!A3:A15,'Janeiro 2023 - Valor Real'!C3:C15,0))+1)+((L494/(L494-1)-1)*(1-_xlfn.XLOOKUP(K494,'Janeiro 2023 - Valor Real'!A3:A15,'Janeiro 2023 - Valor Real'!C3:C15,0))+1)),((L493-1)*(1-_xlfn.XLOOKUP(K493,'Janeiro 2023 - Valor Real'!A3:A15,'Janeiro 2023 - Valor Real'!C3:C15,0))+1)/(((L493-1)*(1-_xlfn.XLOOKUP(K493,'Janeiro 2023 - Valor Real'!A3:A15,'Janeiro 2023 - Valor Real'!C3:C15,0))+1)+((L494/(L494-1)-1)*(1-_xlfn.XLOOKUP(K494,'Janeiro 2023 - Valor Real'!A3:A15,'Janeiro 2023 - Valor Real'!C3:C15,0))+1))),IF(I493="Lay",((L493/(L493-1)-1)*(1-_xlfn.XLOOKUP(K493,'Janeiro 2023 - Valor Real'!A3:A15,'Janeiro 2023 - Valor Real'!C3:C15,0))+1)/((((L493/(L493-1)-1)*(1-_xlfn.XLOOKUP(K493,'Janeiro 2023 - Valor Real'!A3:A15,'Janeiro 2023 - Valor Real'!C3:C15,0))+1))+((L494-1)*(1-_xlfn.XLOOKUP(K494,'Janeiro 2023 - Valor Real'!A3:A15,'Janeiro 2023 - Valor Real'!C3:C15,0))+1)),((L493-1)*(1-_xlfn.XLOOKUP(K493,'Janeiro 2023 - Valor Real'!A3:A15,'Janeiro 2023 - Valor Real'!C3:C15,0))+1)/(((L493-1)*(1-_xlfn.XLOOKUP(K493,'Janeiro 2023 - Valor Real'!A3:A15,'Janeiro 2023 - Valor Real'!C3:C15,0))+1)+((L494-1)*(1-_xlfn.XLOOKUP(K494,'Janeiro 2023 - Valor Real'!A3:A15,'Janeiro 2023 - Valor Real'!C3:C15,0))+1))))))</f>
        <v>0.529411764705882</v>
      </c>
      <c r="AF494" s="197">
        <f>IF($K494=AF$3,ROUND(IF(OR($C494="W",$C494="1/2W",$C494="1/2L"),$P494-$O494,IF($C494="X",0,-$O494)),2),0)</f>
        <v>-10.15</v>
      </c>
      <c r="AG494" s="198">
        <f>IF($K494=AG$3,ROUND(IF(OR($C494="W",$C494="1/2W",$C494="1/2L"),$P494-$O494,IF($C494="X",0,-$O494)),2),0)</f>
        <v>0</v>
      </c>
      <c r="AH494" s="198">
        <f>IF($K494=AH$3,ROUND(IF(OR($C494="W",$C494="1/2W",$C494="1/2L"),$P494-$O494,IF($C494="X",0,-$O494)),2),0)</f>
        <v>0</v>
      </c>
      <c r="AI494" s="198">
        <f>IF($K494=AI$3,ROUND(IF(OR($C494="W",$C494="1/2W",$C494="1/2L"),$P494-$O494,IF($C494="X",0,-$O494)),2),0)</f>
        <v>0</v>
      </c>
      <c r="AJ494" s="198">
        <f>IF($K494=AJ$3,ROUND(IF(OR($C494="W",$C494="1/2W",$C494="1/2L"),$P494-$O494,IF($C494="X",0,-$O494)),2),0)</f>
        <v>0</v>
      </c>
      <c r="AK494" s="198">
        <f>IF($K494=AK$3,ROUND(IF(OR($C494="W",$C494="1/2W",$C494="1/2L"),$P494-$O494,IF($C494="X",0,-$O494)),2),0)</f>
        <v>0</v>
      </c>
      <c r="AL494" s="198">
        <f>IF($K494=AL$3,ROUND(IF(OR($C494="W",$C494="1/2W",$C494="1/2L"),$P494-$O494,IF($C494="X",0,-$O494)),2),0)</f>
        <v>0</v>
      </c>
      <c r="AM494" s="198">
        <f>IF($K494=AM$3,ROUND(IF(OR($C494="W",$C494="1/2W",$C494="1/2L"),$P494-$O494,IF($C494="X",0,-$O494)),2),0)</f>
        <v>0</v>
      </c>
      <c r="AN494" s="198">
        <f>IF($K494=AN$3,ROUND(IF(OR($C494="W",$C494="1/2W",$C494="1/2L"),$P494-$O494,IF($C494="X",0,-$O494)),2),0)</f>
        <v>0</v>
      </c>
      <c r="AO494" s="198">
        <f>IF($K494=AO$3,ROUND(IF(OR($C494="W",$C494="1/2W",$C494="1/2L"),$P494-$O494,IF($C494="X",0,-$O494)),2),0)</f>
        <v>0</v>
      </c>
      <c r="AP494" s="198">
        <f>IF($K494=AP$3,ROUND(IF(OR($C494="W",$C494="1/2W",$C494="1/2L"),$P494-$O494,IF($C494="X",0,-$O494)),2),0)</f>
        <v>0</v>
      </c>
      <c r="AQ494" s="198">
        <f>IF($K494=AQ$3,ROUND(IF(OR($C494="W",$C494="1/2W",$C494="1/2L"),$P494-$O494,IF($C494="X",0,-$O494)),2),0)</f>
        <v>0</v>
      </c>
      <c r="AR494" s="199">
        <f>IF($K494=AR$3,ROUND(IF(OR($C494="W",$C494="1/2W",$C494="1/2L"),$P494-$O494,IF($C494="X",0,-$O494)),2),0)</f>
        <v>0</v>
      </c>
      <c r="AS494" s="197">
        <f>IF(AND($B493=" ",$K494=AS$3),$O494,0)</f>
        <v>0</v>
      </c>
      <c r="AT494" s="198">
        <f>IF(AND($B493=" ",K494=AT$3),$O494,0)</f>
        <v>0</v>
      </c>
      <c r="AU494" s="198">
        <f>IF(AND($B493=" ",$K494=AU$3),$O494,0)</f>
        <v>0</v>
      </c>
      <c r="AV494" s="198">
        <f>IF(AND($B493=" ",$K494=AV$3),$O494,0)</f>
        <v>0</v>
      </c>
      <c r="AW494" s="198">
        <f>IF(AND($B493=" ",$K494=AW$3),$O494,0)</f>
        <v>0</v>
      </c>
      <c r="AX494" s="198">
        <f>IF(AND($B493=" ",$K494=AX$3),$O494,0)</f>
        <v>0</v>
      </c>
      <c r="AY494" s="200">
        <f>IF(AND($B493=" ",$K494=AY$3),$O494,0)</f>
        <v>0</v>
      </c>
      <c r="AZ494" s="201">
        <f>IF(AND($B493=" ",$K494=AZ$3),$O494,0)</f>
        <v>0</v>
      </c>
      <c r="BA494" s="201">
        <f>IF(AND($B493=" ",$K494=BA$3),$O494,0)</f>
        <v>0</v>
      </c>
      <c r="BB494" s="201">
        <f>IF(AND($B493=" ",$K494=BB$3),$O494,0)</f>
        <v>0</v>
      </c>
      <c r="BC494" s="202">
        <f>IF(AND($B493=" ",$K494=BC$3),$O494,0)</f>
        <v>0</v>
      </c>
      <c r="BD494" s="198">
        <f>IF(AND($B493=" ",$K494=BD$3),$O494,0)</f>
        <v>0</v>
      </c>
      <c r="BE494" s="199">
        <f>IF(AND($B493=" ",$K494=BE$3),$O494,0)</f>
        <v>0</v>
      </c>
      <c r="BF494" s="197">
        <f>IF($K494=BF$3,IF($C494="X",0,$O494),0)</f>
        <v>10.15</v>
      </c>
      <c r="BG494" s="198">
        <f>IF($K494=BG$3,IF($C494="X",0,$O494),0)</f>
        <v>0</v>
      </c>
      <c r="BH494" s="198">
        <f>IF($K494=BH$3,IF($C494="X",0,$O494),0)</f>
        <v>0</v>
      </c>
      <c r="BI494" s="198">
        <f>IF($K494=BI$3,IF($C494="X",0,$O494),0)</f>
        <v>0</v>
      </c>
      <c r="BJ494" s="198">
        <f>IF($K494=BJ$3,IF($C494="X",0,$O494),0)</f>
        <v>0</v>
      </c>
      <c r="BK494" s="198">
        <f>IF($K494=BK$3,IF($C494="X",0,$O494),0)</f>
        <v>0</v>
      </c>
      <c r="BL494" s="198">
        <f>IF($K494=BL$3,IF($C494="X",0,$O494),0)</f>
        <v>0</v>
      </c>
      <c r="BM494" s="227">
        <f>IF($K494=BM$3,IF($C494="X",0,$O494),0)</f>
        <v>0</v>
      </c>
      <c r="BN494" s="205">
        <f>IF($K494=BN$3,IF($C494="X",0,$O494),0)</f>
        <v>0</v>
      </c>
      <c r="BO494" s="205">
        <f>IF($K494=BO$3,IF($C494="X",0,$O494),0)</f>
        <v>0</v>
      </c>
      <c r="BP494" s="205">
        <f>IF($K494=BP$3,IF($C494="X",0,$O494),0)</f>
        <v>0</v>
      </c>
      <c r="BQ494" s="202">
        <f>IF($K494=BQ$3,IF($C494="X",0,$O494),0)</f>
        <v>0</v>
      </c>
      <c r="BR494" s="199">
        <f>IF($K494=BR$3,IF($C494="X",0,$O494),0)</f>
        <v>0</v>
      </c>
      <c r="BS494" s="228"/>
      <c r="BT494" s="229"/>
      <c r="BU494" s="140"/>
      <c r="BV494" s="229"/>
      <c r="BW494" s="140"/>
      <c r="BX494" s="140"/>
      <c r="BY494" s="140"/>
      <c r="BZ494" s="229"/>
      <c r="CA494" s="140"/>
      <c r="CB494" s="140"/>
      <c r="CC494" s="140"/>
      <c r="CD494" s="141"/>
      <c r="CE494" s="142"/>
      <c r="CF494" s="230">
        <f>IF(CF$3=$K494,IF($C494="W",1,IF($C494="1/2W",0.5,0)),0)</f>
        <v>0</v>
      </c>
      <c r="CG494" s="231">
        <f>IF(CF$3=$K494,IF($C494="L",1,IF($C494="1/2L",0.5,0)),0)</f>
        <v>1</v>
      </c>
      <c r="CH494" s="231">
        <f>IF(CH$3=$K494,IF($C494="W",1,IF($C494="1/2W",0.5,0)),0)</f>
        <v>0</v>
      </c>
      <c r="CI494" s="231">
        <f>IF(CH$3=$K494,IF($C494="L",1,IF($C494="1/2L",0.5,0)),0)</f>
        <v>0</v>
      </c>
      <c r="CJ494" s="231">
        <f>IF(CJ$3=$K494,IF($C494="W",1,IF($C494="1/2W",0.5,0)),0)</f>
        <v>0</v>
      </c>
      <c r="CK494" s="231">
        <f>IF(CJ$3=$K494,IF($C494="L",1,IF($C494="1/2L",0.5,0)),0)</f>
        <v>0</v>
      </c>
      <c r="CL494" s="231">
        <f>IF(CL$3=$K494,IF($C494="W",1,IF($C494="1/2W",0.5,0)),0)</f>
        <v>0</v>
      </c>
      <c r="CM494" s="231">
        <f>IF(CL$3=$K494,IF($C494="L",1,IF($C494="1/2L",0.5,0)),0)</f>
        <v>0</v>
      </c>
      <c r="CN494" s="231">
        <f>IF(CN$3=$K494,IF($C494="W",1,IF($C494="1/2W",0.5,0)),0)</f>
        <v>0</v>
      </c>
      <c r="CO494" s="231">
        <f>IF(CN$3=$K494,IF($C494="L",1,IF($C494="1/2L",0.5,0)),0)</f>
        <v>0</v>
      </c>
      <c r="CP494" s="231">
        <f>IF(CP$3=$K494,IF($C494="W",1,IF($C494="1/2W",0.5,0)),0)</f>
        <v>0</v>
      </c>
      <c r="CQ494" s="231">
        <f>IF(CP$3=$K494,IF($C494="L",1,IF($C494="1/2L",0.5,0)),0)</f>
        <v>0</v>
      </c>
      <c r="CR494" s="231">
        <f>IF(CR$3=$K494,IF($C494="W",1,IF($C494="1/2W",0.5,0)),0)</f>
        <v>0</v>
      </c>
      <c r="CS494" s="231">
        <f>IF(CR$3=$K494,IF($C494="L",1,IF($C494="1/2L",0.5,0)),0)</f>
        <v>0</v>
      </c>
      <c r="CT494" s="208">
        <f>IF(CT$3=$K494,IF($C494="W",1,IF($C494="1/2W",0.5,0)),0)</f>
        <v>0</v>
      </c>
      <c r="CU494" s="209">
        <f>IF(CT$3=$K494,IF($C494="L",1,IF($C494="1/2L",0.5,0)),0)</f>
        <v>0</v>
      </c>
      <c r="CV494" s="209">
        <f>IF(CV$3=$K494,IF($C494="W",1,IF($C494="1/2W",0.5,0)),0)</f>
        <v>0</v>
      </c>
      <c r="CW494" s="209">
        <f>IF(CV$3=$K494,IF($C494="L",1,IF($C494="1/2L",0.5,0)),0)</f>
        <v>0</v>
      </c>
      <c r="CX494" s="209">
        <f>IF(CX$3=$K494,IF($C494="W",1,IF($C494="1/2W",0.5,0)),0)</f>
        <v>0</v>
      </c>
      <c r="CY494" s="209">
        <f>IF(CX$3=$K494,IF($C494="L",1,IF($C494="1/2L",0.5,0)),0)</f>
        <v>0</v>
      </c>
      <c r="CZ494" s="209">
        <f>IF(CZ$3=$K494,IF($C494="W",1,IF($C494="1/2W",0.5,0)),0)</f>
        <v>0</v>
      </c>
      <c r="DA494" s="209">
        <f>IF(CZ$3=$K494,IF($C494="L",1,IF($C494="1/2L",0.5,0)),0)</f>
        <v>0</v>
      </c>
      <c r="DB494" s="209">
        <f>IF(DB$3=$K494,IF($C494="W",1,IF($C494="1/2W",0.5,0)),0)</f>
        <v>0</v>
      </c>
      <c r="DC494" s="209">
        <f>IF(DB$3=$K494,IF($C494="L",1,IF($C494="1/2L",0.5,0)),0)</f>
        <v>0</v>
      </c>
      <c r="DD494" s="209">
        <f>IF(DD$3=$K494,IF($C494="W",1,IF($C494="1/2W",0.5,0)),0)</f>
        <v>0</v>
      </c>
      <c r="DE494" s="210">
        <f>IF(DD$3=$K494,IF($C494="L",1,IF($C494="1/2L",0.5,0)),0)</f>
        <v>0</v>
      </c>
      <c r="DF494" s="211">
        <f>IF(AND(L494&lt;DF$3,$C494="W"),1+DF493,DF493)</f>
        <v>16</v>
      </c>
      <c r="DG494" s="198">
        <f>IF(DF494&gt;DF493,L494+DG493,DG493)</f>
        <v>21.158</v>
      </c>
      <c r="DH494" s="209">
        <f>IF(AND(L494&gt;DH$3,$C494="W"),1+DH493,0+DH493)</f>
        <v>11</v>
      </c>
      <c r="DI494" s="198">
        <f>IF(DH494&gt;DH493,L494+DI493,DI493)</f>
        <v>59.13</v>
      </c>
      <c r="DJ494" t="s" s="306">
        <f>IF($D493="","",$D493)</f>
        <v>358</v>
      </c>
      <c r="DK494" s="232"/>
    </row>
    <row r="495" ht="14.55" customHeight="1">
      <c r="A495" s="149"/>
      <c r="B495" s="150"/>
      <c r="C495" t="s" s="233">
        <v>58</v>
      </c>
      <c r="D495" s="152"/>
      <c r="E495" s="153"/>
      <c r="F495" s="154"/>
      <c r="G495" s="234"/>
      <c r="H495" s="156"/>
      <c r="I495" s="235"/>
      <c r="J495" s="236"/>
      <c r="K495" s="237"/>
      <c r="L495" s="238"/>
      <c r="M495" s="239"/>
      <c r="N495" s="161"/>
      <c r="O495" t="s" s="240">
        <f>IF(OR(AE493="",AE494=""),"",IF(L495&gt;0,ROUND(IF(M495&gt;0,M495,IF(M493&gt;0,ROUND((M493*AE495)/AE493,IF(N493=0,2,IF(N493=0.1,1,0))),IF(M494&gt;0,ROUND((M494*AE495)/AE494,IF(N493=0,2,IF(N493=0.1,1,0))),IF(M495&gt;0,M495,0)))),2),""))</f>
      </c>
      <c r="P495" t="s" s="241">
        <f>IF(I494="Lay",O494*(L494/(L494-1))-O494,IF(I493="Lay",O493*(L493/(L493-1))-O493,IF(OR(L495="",O495=""),"",IF($C495="1/2W",O495/2+O495/2*L495,IF($C495="1/2L",O495/2,(O495*L495-O495)*(1-_xlfn.XLOOKUP(K495,'Janeiro 2023 - Valor Real'!A3:A15,'Janeiro 2023 - Valor Real'!C3:C15,0))+O495)))))</f>
      </c>
      <c r="Q495" t="s" s="242">
        <f>IF(K495="","",IF(_xlfn.XLOOKUP(K495,K$124:K268,DJ$124:DJ268,0,,-1)=DJ495,_xlfn.XLOOKUP(K495,K$124:K268,Q$124:Q268,1,,-1)+1,1))</f>
      </c>
      <c r="R495" t="s" s="243">
        <f>IF(K495="","",_xlfn.XLOOKUP(K495,K$124:K268,R$124:R268,0,,-1)+IF($C495=" ",1,0))</f>
      </c>
      <c r="S495" s="166"/>
      <c r="T495" s="155"/>
      <c r="U495" s="155"/>
      <c r="V495" s="166"/>
      <c r="W495" s="155"/>
      <c r="X495" s="167"/>
      <c r="Y495" s="128"/>
      <c r="Z495" s="129"/>
      <c r="AA495" s="129"/>
      <c r="AB495" s="129"/>
      <c r="AC495" s="129"/>
      <c r="AD495" s="244">
        <f>((L494/(L494-1)-1))</f>
        <v>1</v>
      </c>
      <c r="AE495" t="s" s="245">
        <f>IF(L495="","",(SUM(((L493-1)*(1-_xlfn.XLOOKUP(K493,'Janeiro 2023 - Valor Real'!A3:A15,'Janeiro 2023 - Valor Real'!C3:C15,0))+1),((L494-1)*(1-_xlfn.XLOOKUP(K494,'Janeiro 2023 - Valor Real'!A3:A15,'Janeiro 2023 - Valor Real'!C3:C15,0))+1),((L495-1)*(1-_xlfn.XLOOKUP(K495,'Janeiro 2023 - Valor Real'!A3:A15,'Janeiro 2023 - Valor Real'!C3:C15,0))+1))/((L495-1)*(1-_xlfn.XLOOKUP(K495,'Janeiro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Real'!C3:C15,0))+1))/((L493-1)*(1-_xlfn.XLOOKUP(K493,'Janeiro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Real'!C3:C15,0))+1))/((L494-1)*(1-_xlfn.XLOOKUP(K494,'Janeiro 2023 - Valor Real'!A3:A15,'Janeiro 2023 - Valor Real'!C3:C15,0))+1)+SUM(((L493-1)*(1-_xlfn.XLOOKUP(K493,'Janeiro 2023 - Valor Real'!A3:A15,'Janeiro 2023 - Valor Real'!C3:C15,0))+1),((L494-1)*(1-_xlfn.XLOOKUP(K494,'Janeiro 2023 - Valor Real'!A3:A15,'Janeiro 2023 - Valor Real'!C3:C15,0))+1),((L495-1)*(1-_xlfn.XLOOKUP(K495,'Janeiro 2023 - Valor Real'!A3:A15,'Janeiro 2023 - Valor Real'!C3:C15,0))+1))/((L495-1)*(1-_xlfn.XLOOKUP(K495,'Janeiro 2023 - Valor Real'!A3:A15,'Janeiro 2023 - Valor Real'!C3:C15,0))+1)))</f>
      </c>
      <c r="AF495" s="197">
        <f>IF($K495=AF$3,ROUND(IF(OR($C495="W",$C495="1/2W",$C495="1/2L"),$P495-$O495,IF($C495="X",0,-$O495)),2),0)</f>
        <v>0</v>
      </c>
      <c r="AG495" s="198">
        <f>IF($K495=AG$3,ROUND(IF(OR($C495="W",$C495="1/2W",$C495="1/2L"),$P495-$O495,IF($C495="X",0,-$O495)),2),0)</f>
        <v>0</v>
      </c>
      <c r="AH495" s="198">
        <f>IF($K495=AH$3,ROUND(IF(OR($C495="W",$C495="1/2W",$C495="1/2L"),$P495-$O495,IF($C495="X",0,-$O495)),2),0)</f>
        <v>0</v>
      </c>
      <c r="AI495" s="198">
        <f>IF($K495=AI$3,ROUND(IF(OR($C495="W",$C495="1/2W",$C495="1/2L"),$P495-$O495,IF($C495="X",0,-$O495)),2),0)</f>
        <v>0</v>
      </c>
      <c r="AJ495" s="198">
        <f>IF($K495=AJ$3,ROUND(IF(OR($C495="W",$C495="1/2W",$C495="1/2L"),$P495-$O495,IF($C495="X",0,-$O495)),2),0)</f>
        <v>0</v>
      </c>
      <c r="AK495" s="198">
        <f>IF($K495=AK$3,ROUND(IF(OR($C495="W",$C495="1/2W",$C495="1/2L"),$P495-$O495,IF($C495="X",0,-$O495)),2),0)</f>
        <v>0</v>
      </c>
      <c r="AL495" s="198">
        <f>IF($K495=AL$3,ROUND(IF(OR($C495="W",$C495="1/2W",$C495="1/2L"),$P495-$O495,IF($C495="X",0,-$O495)),2),0)</f>
        <v>0</v>
      </c>
      <c r="AM495" s="198">
        <f>IF($K495=AM$3,ROUND(IF(OR($C495="W",$C495="1/2W",$C495="1/2L"),$P495-$O495,IF($C495="X",0,-$O495)),2),0)</f>
        <v>0</v>
      </c>
      <c r="AN495" s="198">
        <f>IF($K495=AN$3,ROUND(IF(OR($C495="W",$C495="1/2W",$C495="1/2L"),$P495-$O495,IF($C495="X",0,-$O495)),2),0)</f>
        <v>0</v>
      </c>
      <c r="AO495" s="198">
        <f>IF($K495=AO$3,ROUND(IF(OR($C495="W",$C495="1/2W",$C495="1/2L"),$P495-$O495,IF($C495="X",0,-$O495)),2),0)</f>
        <v>0</v>
      </c>
      <c r="AP495" s="198">
        <f>IF($K495=AP$3,ROUND(IF(OR($C495="W",$C495="1/2W",$C495="1/2L"),$P495-$O495,IF($C495="X",0,-$O495)),2),0)</f>
        <v>0</v>
      </c>
      <c r="AQ495" s="198">
        <f>IF($K495=AQ$3,ROUND(IF(OR($C495="W",$C495="1/2W",$C495="1/2L"),$P495-$O495,IF($C495="X",0,-$O495)),2),0)</f>
        <v>0</v>
      </c>
      <c r="AR495" s="199">
        <f>IF($K495=AR$3,ROUND(IF(OR($C495="W",$C495="1/2W",$C495="1/2L"),$P495-$O495,IF($C495="X",0,-$O495)),2),0)</f>
        <v>0</v>
      </c>
      <c r="AS495" s="197">
        <f>IF(AND($B493=" ",$K495=AS$3),$O495,0)</f>
        <v>0</v>
      </c>
      <c r="AT495" s="198">
        <f>IF(AND($B493=" ",K495=AT$3),$O495,0)</f>
        <v>0</v>
      </c>
      <c r="AU495" s="198">
        <f>IF(AND($B493=" ",$K495=AU$3),$O495,0)</f>
        <v>0</v>
      </c>
      <c r="AV495" s="198">
        <f>IF(AND($B493=" ",$K495=AV$3),$O495,0)</f>
        <v>0</v>
      </c>
      <c r="AW495" s="198">
        <f>IF(AND($B493=" ",$K495=AW$3),$O495,0)</f>
        <v>0</v>
      </c>
      <c r="AX495" s="198">
        <f>IF(AND($B493=" ",$K495=AX$3),$O495,0)</f>
        <v>0</v>
      </c>
      <c r="AY495" s="200">
        <f>IF(AND($B493=" ",$K495=AY$3),$O495,0)</f>
        <v>0</v>
      </c>
      <c r="AZ495" s="201">
        <f>IF(AND($B493=" ",$K495=AZ$3),$O495,0)</f>
        <v>0</v>
      </c>
      <c r="BA495" s="201">
        <f>IF(AND($B493=" ",$K495=BA$3),$O495,0)</f>
        <v>0</v>
      </c>
      <c r="BB495" s="201">
        <f>IF(AND($B493=" ",$K495=BB$3),$O495,0)</f>
        <v>0</v>
      </c>
      <c r="BC495" s="202">
        <f>IF(AND($B493=" ",$K495=BC$3),$O495,0)</f>
        <v>0</v>
      </c>
      <c r="BD495" s="198">
        <f>IF(AND($B493=" ",$K495=BD$3),$O495,0)</f>
        <v>0</v>
      </c>
      <c r="BE495" s="199">
        <f>IF(AND($B493=" ",$K495=BE$3),$O495,0)</f>
        <v>0</v>
      </c>
      <c r="BF495" s="197">
        <f>IF($K495=BF$3,IF($C495="X",0,$O495),0)</f>
        <v>0</v>
      </c>
      <c r="BG495" s="198">
        <f>IF($K495=BG$3,IF($C495="X",0,$O495),0)</f>
        <v>0</v>
      </c>
      <c r="BH495" s="198">
        <f>IF($K495=BH$3,IF($C495="X",0,$O495),0)</f>
        <v>0</v>
      </c>
      <c r="BI495" s="198">
        <f>IF($K495=BI$3,IF($C495="X",0,$O495),0)</f>
        <v>0</v>
      </c>
      <c r="BJ495" s="198">
        <f>IF($K495=BJ$3,IF($C495="X",0,$O495),0)</f>
        <v>0</v>
      </c>
      <c r="BK495" s="198">
        <f>IF($K495=BK$3,IF($C495="X",0,$O495),0)</f>
        <v>0</v>
      </c>
      <c r="BL495" s="198">
        <f>IF($K495=BL$3,IF($C495="X",0,$O495),0)</f>
        <v>0</v>
      </c>
      <c r="BM495" s="200">
        <f>IF($K495=BM$3,IF($C495="X",0,$O495),0)</f>
        <v>0</v>
      </c>
      <c r="BN495" s="201">
        <f>IF($K495=BN$3,IF($C495="X",0,$O495),0)</f>
        <v>0</v>
      </c>
      <c r="BO495" s="201">
        <f>IF($K495=BO$3,IF($C495="X",0,$O495),0)</f>
        <v>0</v>
      </c>
      <c r="BP495" s="201">
        <f>IF($K495=BP$3,IF($C495="X",0,$O495),0)</f>
        <v>0</v>
      </c>
      <c r="BQ495" s="202">
        <f>IF($K495=BQ$3,IF($C495="X",0,$O495),0)</f>
        <v>0</v>
      </c>
      <c r="BR495" s="199">
        <f>IF($K495=BR$3,IF($C495="X",0,$O495),0)</f>
        <v>0</v>
      </c>
      <c r="BS495" s="228"/>
      <c r="BT495" s="229"/>
      <c r="BU495" s="140"/>
      <c r="BV495" s="229"/>
      <c r="BW495" s="140"/>
      <c r="BX495" s="140"/>
      <c r="BY495" s="140"/>
      <c r="BZ495" s="229"/>
      <c r="CA495" s="140"/>
      <c r="CB495" s="140"/>
      <c r="CC495" s="140"/>
      <c r="CD495" s="141"/>
      <c r="CE495" s="142"/>
      <c r="CF495" s="230">
        <f>IF(CF$3=$K495,IF($C495="W",1,IF($C495="1/2W",0.5,0)),0)</f>
        <v>0</v>
      </c>
      <c r="CG495" s="231">
        <f>IF(CF$3=$K495,IF($C495="L",1,IF($C495="1/2L",0.5,0)),0)</f>
        <v>0</v>
      </c>
      <c r="CH495" s="231">
        <f>IF(CH$3=$K495,IF($C495="W",1,IF($C495="1/2W",0.5,0)),0)</f>
        <v>0</v>
      </c>
      <c r="CI495" s="231">
        <f>IF(CH$3=$K495,IF($C495="L",1,IF($C495="1/2L",0.5,0)),0)</f>
        <v>0</v>
      </c>
      <c r="CJ495" s="231">
        <f>IF(CJ$3=$K495,IF($C495="W",1,IF($C495="1/2W",0.5,0)),0)</f>
        <v>0</v>
      </c>
      <c r="CK495" s="231">
        <f>IF(CJ$3=$K495,IF($C495="L",1,IF($C495="1/2L",0.5,0)),0)</f>
        <v>0</v>
      </c>
      <c r="CL495" s="231">
        <f>IF(CL$3=$K495,IF($C495="W",1,IF($C495="1/2W",0.5,0)),0)</f>
        <v>0</v>
      </c>
      <c r="CM495" s="231">
        <f>IF(CL$3=$K495,IF($C495="L",1,IF($C495="1/2L",0.5,0)),0)</f>
        <v>0</v>
      </c>
      <c r="CN495" s="231">
        <f>IF(CN$3=$K495,IF($C495="W",1,IF($C495="1/2W",0.5,0)),0)</f>
        <v>0</v>
      </c>
      <c r="CO495" s="231">
        <f>IF(CN$3=$K495,IF($C495="L",1,IF($C495="1/2L",0.5,0)),0)</f>
        <v>0</v>
      </c>
      <c r="CP495" s="231">
        <f>IF(CP$3=$K495,IF($C495="W",1,IF($C495="1/2W",0.5,0)),0)</f>
        <v>0</v>
      </c>
      <c r="CQ495" s="231">
        <f>IF(CP$3=$K495,IF($C495="L",1,IF($C495="1/2L",0.5,0)),0)</f>
        <v>0</v>
      </c>
      <c r="CR495" s="231">
        <f>IF(CR$3=$K495,IF($C495="W",1,IF($C495="1/2W",0.5,0)),0)</f>
        <v>0</v>
      </c>
      <c r="CS495" s="231">
        <f>IF(CR$3=$K495,IF($C495="L",1,IF($C495="1/2L",0.5,0)),0)</f>
        <v>0</v>
      </c>
      <c r="CT495" s="208">
        <f>IF(CT$3=$K495,IF($C495="W",1,IF($C495="1/2W",0.5,0)),0)</f>
        <v>0</v>
      </c>
      <c r="CU495" s="209">
        <f>IF(CT$3=$K495,IF($C495="L",1,IF($C495="1/2L",0.5,0)),0)</f>
        <v>0</v>
      </c>
      <c r="CV495" s="209">
        <f>IF(CV$3=$K495,IF($C495="W",1,IF($C495="1/2W",0.5,0)),0)</f>
        <v>0</v>
      </c>
      <c r="CW495" s="209">
        <f>IF(CV$3=$K495,IF($C495="L",1,IF($C495="1/2L",0.5,0)),0)</f>
        <v>0</v>
      </c>
      <c r="CX495" s="209">
        <f>IF(CX$3=$K495,IF($C495="W",1,IF($C495="1/2W",0.5,0)),0)</f>
        <v>0</v>
      </c>
      <c r="CY495" s="209">
        <f>IF(CX$3=$K495,IF($C495="L",1,IF($C495="1/2L",0.5,0)),0)</f>
        <v>0</v>
      </c>
      <c r="CZ495" s="209">
        <f>IF(CZ$3=$K495,IF($C495="W",1,IF($C495="1/2W",0.5,0)),0)</f>
        <v>0</v>
      </c>
      <c r="DA495" s="209">
        <f>IF(CZ$3=$K495,IF($C495="L",1,IF($C495="1/2L",0.5,0)),0)</f>
        <v>0</v>
      </c>
      <c r="DB495" s="209">
        <f>IF(DB$3=$K495,IF($C495="W",1,IF($C495="1/2W",0.5,0)),0)</f>
        <v>0</v>
      </c>
      <c r="DC495" s="209">
        <f>IF(DB$3=$K495,IF($C495="L",1,IF($C495="1/2L",0.5,0)),0)</f>
        <v>0</v>
      </c>
      <c r="DD495" s="209">
        <f>IF(DD$3=$K495,IF($C495="W",1,IF($C495="1/2W",0.5,0)),0)</f>
        <v>0</v>
      </c>
      <c r="DE495" s="210">
        <f>IF(DD$3=$K495,IF($C495="L",1,IF($C495="1/2L",0.5,0)),0)</f>
        <v>0</v>
      </c>
      <c r="DF495" s="211">
        <f>IF(AND(L495&lt;DF$3,$C495="W"),1+DF494,DF494)</f>
        <v>16</v>
      </c>
      <c r="DG495" s="198">
        <f>IF(DF495&gt;DF494,L495+DG494,DG494)</f>
        <v>21.158</v>
      </c>
      <c r="DH495" s="209">
        <f>IF(AND(L495&gt;DH$3,$C495="W"),1+DH494,0+DH494)</f>
        <v>11</v>
      </c>
      <c r="DI495" s="198">
        <f>IF(DH495&gt;DH494,L495+DI494,DI494)</f>
        <v>59.13</v>
      </c>
      <c r="DJ495" t="s" s="306">
        <f>IF($D493="","",$D493)</f>
        <v>358</v>
      </c>
      <c r="DK495" s="232"/>
    </row>
    <row r="496" ht="14.55" customHeight="1">
      <c r="A496" s="246">
        <f>$A493+1</f>
        <v>165</v>
      </c>
      <c r="B496" t="s" s="247">
        <f>IF(AND(_xlfn.XLOOKUP(H496,H$107:H275,G$107:G275,0)=G496,_xlfn.XLOOKUP("TempoBet",K496:K498,L496:L498,0)&gt;0),"X",IF(OR(C496="W",C497="W",C498="W",C496="1/2W",C497="1/2W",C498="1/2W",C496="1/2L",C497="1/2L",C498="1/2L"),"OK",IF(OR(C496="L",C497="L",C498="L"),"LOSS",IF(OR(C496="X",C497="X",C498="X"),"Anulado"," "))))</f>
        <v>50</v>
      </c>
      <c r="C496" t="s" s="248">
        <v>51</v>
      </c>
      <c r="D496" t="s" s="303">
        <f>IF(G496="","",$D493)</f>
        <v>358</v>
      </c>
      <c r="E496" t="s" s="250">
        <v>143</v>
      </c>
      <c r="F496" t="s" s="251"/>
      <c r="G496" s="252">
        <v>44951.375</v>
      </c>
      <c r="H496" t="s" s="253">
        <v>377</v>
      </c>
      <c r="I496" t="s" s="254">
        <v>65</v>
      </c>
      <c r="J496" s="255">
        <v>1.5</v>
      </c>
      <c r="K496" t="s" s="256">
        <v>38</v>
      </c>
      <c r="L496" s="257">
        <v>2.1</v>
      </c>
      <c r="M496" s="258">
        <v>13.03</v>
      </c>
      <c r="N496" s="259">
        <v>0</v>
      </c>
      <c r="O496" s="260">
        <f>IF(OR(AE496="",AE497=""),"",ROUND(IF(L498&gt;0,IF(M496&gt;0,M496,IF(M497&gt;0,ROUND((M497*AE496)/AE497,IF(N496=0,2,IF(N496=0.1,1,0))),ROUND((M498*AE496)/AE498,IF(N496=0,2,IF(N496=0.1,1,0))))),IF(M496&gt;0,M496,ROUND((M497*AE496)/AE497,IF(N496=0,2,IF(N496=0.1,1,0))))),2))</f>
        <v>13.03</v>
      </c>
      <c r="P496" s="261">
        <f>IF(OR(L496="",O496=""),"",IF($C496="1/2W",O496/2+O496/2*L496,IF($C496="1/2L",O496/2,IF(I496="Lay",(O496*(L496/(L496-1))-O496)*(1-_xlfn.XLOOKUP(K496,'Janeiro 2023 - Valor Real'!A3:A15,'Janeiro 2023 - Valor Real'!C3:C15,0))+O496,(O496*L496-O496)*(1-_xlfn.XLOOKUP(K496,'Janeiro 2023 - Valor Real'!A3:A15,'Janeiro 2023 - Valor Real'!C3:C15,0))+O496))))</f>
        <v>27.363</v>
      </c>
      <c r="Q496" s="262">
        <f>IF(K496="","",IF(_xlfn.XLOOKUP(K496,K$107:K275,DJ$107:DJ275,0,,-1)=DJ496,_xlfn.XLOOKUP(K496,K$107:K275,Q$107:Q275,1,,-1)+1,1))</f>
        <v>1</v>
      </c>
      <c r="R496" s="263">
        <f>IF(K496="","",_xlfn.XLOOKUP(K496,K$107:K275,R$107:R275,0,,-1)+IF($C496=" ",1,0))</f>
        <v>0</v>
      </c>
      <c r="S496" s="264">
        <f>IF($B496="Anulado",0,ROUND(IF(OR($B496="LOSS",$B496="OK"),IF(OR($C496="W",$C496="1/2W",$C496="1/2L"),P496-O496,IF($C496="L",-O496,0))+IF(OR($C497="W",$C497="1/2W",$C497="1/2L"),P497-O497,IF($C497="L",-O497,0))+IF(OR($C498="W",$C498="1/2W",$C498="1/2L"),P498-O498,IF($C498="L",-O498,0)),IF(AND(OR($C496="W",$C496="1/2W",$C496="1/2L"),C497="W"),P496+P497-SUM(O496:O498)+_xlfn.XLOOKUP("X",C496:C498,O496:O498,0),IF(AND(C496=TRUE,C498="W"),P496+P498-SUM(O496:O498),IF(AND(C497="W",C498="W"),P497+P498-SUM(O496:O498)+_xlfn.XLOOKUP("X",C496:C498,O496:O498,0),IF(L498&gt;0,IF(OR($C496="W",$C496="1/2W",$C496="1/2L"),P496-SUM(O496:O498)+_xlfn.XLOOKUP("X",C496:C498,O496:O498,0),IF(OR($C496="W",$C496="1/2W",$C496="1/2L"),P497-SUM(O496:O498)+_xlfn.XLOOKUP("X",C496:C498,O496:O498,0),IF(OR($C496="W",$C496="1/2W",$C496="1/2L"),P498-SUM(O496:O498)+_xlfn.XLOOKUP("X",C496:C498,O496:O498,0),IF(SUM(P496:P498)/3-SUM(O496:O498)+_xlfn.XLOOKUP("X",C496:C498,O496:O498,0)&gt;0,SUM(P496:P498)/3-SUM(O496:O498)+_xlfn.XLOOKUP("X",C496:C498,O496:O498,0),LARGE(P496:P498,1)-SUM(O496:O498))))),IF(OR($C496="W",$C496="1/2W",$C496="1/2L"),P496-SUM(O496:O497)+_xlfn.XLOOKUP("X",C496:C498,O496:O498,0),IF(OR($C496="W",$C496="1/2W",$C496="1/2L"),P497-SUM(O496:O497)+_xlfn.XLOOKUP("X",C496:C498,O496:O498,0),SUM(P496:P497)/2-SUM(O496:O497)+_xlfn.XLOOKUP("X",C496:C498,O496:O498,0)))))))),2))</f>
        <v>1.06</v>
      </c>
      <c r="T496" s="265">
        <f>IF(S496=0,0,S496/SUM(O496:O498))</f>
        <v>0.0403195131228604</v>
      </c>
      <c r="U496" s="266">
        <f>IF($D496=$D493,IF(OR($B496="LOSS",$B496="OK",$B496="Anulada"),S496,0)+U493,IF(OR($B496="LOSS",$B496="OK",$B496="Anulada"),S496,0))</f>
        <v>24.35</v>
      </c>
      <c r="V496" s="266">
        <f>IF($D496="",0,IF($D496=$D493,IF($B496=" ",IF(I498="",IF(OR(AND(I496="DNB1",I497="DNB2"),AND(OR(I496="DNB1",I496="DNB2"),J497=0),AND(OR(I497="DNB1",I497="DNB2"),J496=0),AND(I496="DNB2",I497="DNB1"),AND(IF(J496=0,(J496+1)/ROUND(J496+1,0),J496/ROUND(J496,0))=1,IF(J497=0,(J497+1)/ROUND(IF(J497="",0,J497)+1,0),IF(J497="",0,J497)/ROUND(IF(J497="",1,J497),0))=1,OR(J496&lt;&gt;""),J497&lt;&gt;"")),0,IF(S496&lt;0,IF(I498="",SMALL(P496:P497,1)-SUM(O496:O497),0),SMALL(P496:P497,1)-SUM(O496:O497))),IF(S496&lt;0,IF(I498="",SMALL(P496:P498,1)-SUM(O496:O498),0),LARGE(P496:P498,1)-SUM(O496:O498))),S496)+V493,IF(I498="",IF(OR(AND(I496="DNB1",I497="DNB2"),AND(OR(I496="DNB1",I496="DNB2"),J497=0),AND(OR(I497="DNB1",I497="DNB2"),J496=0),AND(I496="DNB2",I497="DNB1"),AND(IF(J496=0,(J496+1)/ROUND(J496+1,0),J496/ROUND(J496,0))=1,IF(J497=0,(IF(J497="",0,J497)+1)/ROUND(IF(J497="",0,J497)+1,0),IF(J497="",0,J497)/ROUND(IF(J497="",0,J497)+1,0))=1,OR(J496&lt;&gt;""),J497&lt;&gt;"")),0,IF(S496&lt;0,IF(I498="",SMALL(P496:P497,1)-SUM(O496:O497),0),SMALL(P496:P498,1)-SUM(O496:O498))),IF(S496&lt;0,IF(I498="",SMALL(P496:P498,1)-SUM(O496:O498),0),LARGE(P496:P498,1)-SUM(O496:O498)))))</f>
        <v>24.35</v>
      </c>
      <c r="W496" s="266">
        <f>IF($D496=$D493,IF(S496&lt;0,IF(I498="",S496,0),S496)+W493,S496)</f>
        <v>24.35</v>
      </c>
      <c r="X496" t="s" s="267">
        <f>IF(OR(SUM(R496:R498)=0,V496=W496),ROUND(IF(W496=0,0,W496/Y496)*100,2)&amp;"%",ROUND(IF(V496=0,0,V496/Y496)*100,2)&amp;"% a "&amp;ROUND(IF(W496=0,0,W496/Y496)*100,2)&amp;"%")</f>
        <v>386</v>
      </c>
      <c r="Y496" s="268">
        <f>IF($D496=$D493,Y493+SUM(O496:O498),SUM(O496:O498))</f>
        <v>439.75</v>
      </c>
      <c r="Z496" s="266">
        <f>IF($B496=" ",SUM(O496:O498),0)+Z493</f>
        <v>0</v>
      </c>
      <c r="AA496" s="266">
        <f>IF(G496="","",IF($B496="Anulado",LARGE(P496:P498,1)-SUM(O496:O498)+AA493,AA493))</f>
        <v>23.2117</v>
      </c>
      <c r="AB496" s="266">
        <f>IF($D496="","",AB493+S496)</f>
        <v>332.2</v>
      </c>
      <c r="AC496" s="269">
        <f>IF($D496="","",IF($B496=" ",IF(DAY(G496)=DAY(TODAY()),1+AC493,0+AC493),0+AC493))</f>
        <v>0</v>
      </c>
      <c r="AD496" s="270">
        <f>(1-_xlfn.XLOOKUP(K494,'Janeiro 2023 - Valor Real'!A3:A15,'Janeiro 2023 - Valor Real'!C3:C15,0))+1</f>
        <v>2</v>
      </c>
      <c r="AE496" s="271">
        <f>IF(L496="","",IF(L498&gt;0,(SUM(((L496-1)*(1-_xlfn.XLOOKUP(K496,'Janeiro 2023 - Valor Real'!A3:A15,'Janeiro 2023 - Valor Real'!C3:C15,0))+1),((L497-1)*(1-_xlfn.XLOOKUP(K497,'Janeiro 2023 - Valor Real'!A3:A15,'Janeiro 2023 - Valor Real'!C3:C15,0))+1),((L498-1)*(1-_xlfn.XLOOKUP(K498,'Janeiro 2023 - Valor Real'!A3:A15,'Janeiro 2023 - Valor Real'!C3:C15,0))+1))/((L496-1)*(1-_xlfn.XLOOKUP(K496,'Janeiro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Real'!C3:C15,0))+1))/((L496-1)*(1-_xlfn.XLOOKUP(K496,'Janeiro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Real'!C3:C15,0))+1))/((L497-1)*(1-_xlfn.XLOOKUP(K497,'Janeiro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Real'!C3:C15,0))+1))/((L498-1)*(1-_xlfn.XLOOKUP(K498,'Janeiro 2023 - Valor Real'!A3:A15,'Janeiro 2023 - Valor Real'!C3:C15,0))+1)),IF(I496="Lay",IF(I497="Lay",((L497/(L497-1)-1)*(1-_xlfn.XLOOKUP(K497,'Janeiro 2023 - Valor Real'!A3:A15,'Janeiro 2023 - Valor Real'!C3:C15,0))+1)/(((L497/(L497-1)-1)*(1-_xlfn.XLOOKUP(K497,'Janeiro 2023 - Valor Real'!A3:A15,'Janeiro 2023 - Valor Real'!C3:C15,0))+1)+((L496/(L496-1)-1)*(1-_xlfn.XLOOKUP(K496,'Janeiro 2023 - Valor Real'!A3:A15,'Janeiro 2023 - Valor Real'!C3:C15,0))+1)),((L497-1)*(1-_xlfn.XLOOKUP(K497,'Janeiro 2023 - Valor Real'!A3:A15,'Janeiro 2023 - Valor Real'!C3:C15,0))+1)/(((L497-1)*(1-_xlfn.XLOOKUP(K497,'Janeiro 2023 - Valor Real'!A3:A15,'Janeiro 2023 - Valor Real'!C3:C15,0))+1)+((L496/(L496-1)-1)*(1-_xlfn.XLOOKUP(K496,'Janeiro 2023 - Valor Real'!A3:A15,'Janeiro 2023 - Valor Real'!C3:C15,0))+1))),IF(I497="Lay",(((L497/(L497-1)-1)*(1-_xlfn.XLOOKUP(K497,'Janeiro 2023 - Valor Real'!A3:A15,'Janeiro 2023 - Valor Real'!C3:C15,0))+1))/(((L496-1)*(1-_xlfn.XLOOKUP(K496,'Janeiro 2023 - Valor Real'!A3:A15,'Janeiro 2023 - Valor Real'!C3:C15,0))+1)+((L497/(L497-1)-1)*(1-_xlfn.XLOOKUP(K497,'Janeiro 2023 - Valor Real'!A3:A15,'Janeiro 2023 - Valor Real'!C3:C15,0))+1)),((L497-1)*(1-_xlfn.XLOOKUP(K497,'Janeiro 2023 - Valor Real'!A3:A15,'Janeiro 2023 - Valor Real'!C3:C15,0))+1)/(((L497-1)*(1-_xlfn.XLOOKUP(K497,'Janeiro 2023 - Valor Real'!A3:A15,'Janeiro 2023 - Valor Real'!C3:C15,0))+1)+((L496-1)*(1-_xlfn.XLOOKUP(K496,'Janeiro 2023 - Valor Real'!A3:A15,'Janeiro 2023 - Valor Real'!C3:C15,0))+1))))))</f>
        <v>0.495495495495495</v>
      </c>
      <c r="AF496" s="132">
        <f>IF($K496=AF$3,ROUND(IF(OR($C496="W",$C496="1/2W",$C496="1/2L"),$P496-$O496,IF($C496="X",0,-$O496)),2),0)</f>
        <v>0</v>
      </c>
      <c r="AG496" s="133">
        <f>IF($K496=AG$3,ROUND(IF(OR($C496="W",$C496="1/2W",$C496="1/2L"),$P496-$O496,IF($C496="X",0,-$O496)),2),0)</f>
        <v>-13.03</v>
      </c>
      <c r="AH496" s="133">
        <f>IF($K496=AH$3,ROUND(IF(OR($C496="W",$C496="1/2W",$C496="1/2L"),$P496-$O496,IF($C496="X",0,-$O496)),2),0)</f>
        <v>0</v>
      </c>
      <c r="AI496" s="133">
        <f>IF($K496=AI$3,ROUND(IF(OR($C496="W",$C496="1/2W",$C496="1/2L"),$P496-$O496,IF($C496="X",0,-$O496)),2),0)</f>
        <v>0</v>
      </c>
      <c r="AJ496" s="133">
        <f>IF($K496=AJ$3,ROUND(IF(OR($C496="W",$C496="1/2W",$C496="1/2L"),$P496-$O496,IF($C496="X",0,-$O496)),2),0)</f>
        <v>0</v>
      </c>
      <c r="AK496" s="133">
        <f>IF($K496=AK$3,ROUND(IF(OR($C496="W",$C496="1/2W",$C496="1/2L"),$P496-$O496,IF($C496="X",0,-$O496)),2),0)</f>
        <v>0</v>
      </c>
      <c r="AL496" s="133">
        <f>IF($K496=AL$3,ROUND(IF(OR($C496="W",$C496="1/2W",$C496="1/2L"),$P496-$O496,IF($C496="X",0,-$O496)),2),0)</f>
        <v>0</v>
      </c>
      <c r="AM496" s="133">
        <f>IF($K496=AM$3,ROUND(IF(OR($C496="W",$C496="1/2W",$C496="1/2L"),$P496-$O496,IF($C496="X",0,-$O496)),2),0)</f>
        <v>0</v>
      </c>
      <c r="AN496" s="133">
        <f>IF($K496=AN$3,ROUND(IF(OR($C496="W",$C496="1/2W",$C496="1/2L"),$P496-$O496,IF($C496="X",0,-$O496)),2),0)</f>
        <v>0</v>
      </c>
      <c r="AO496" s="133">
        <f>IF($K496=AO$3,ROUND(IF(OR($C496="W",$C496="1/2W",$C496="1/2L"),$P496-$O496,IF($C496="X",0,-$O496)),2),0)</f>
        <v>0</v>
      </c>
      <c r="AP496" s="133">
        <f>IF($K496=AP$3,ROUND(IF(OR($C496="W",$C496="1/2W",$C496="1/2L"),$P496-$O496,IF($C496="X",0,-$O496)),2),0)</f>
        <v>0</v>
      </c>
      <c r="AQ496" s="133">
        <f>IF($K496=AQ$3,ROUND(IF(OR($C496="W",$C496="1/2W",$C496="1/2L"),$P496-$O496,IF($C496="X",0,-$O496)),2),0)</f>
        <v>0</v>
      </c>
      <c r="AR496" s="134">
        <f>IF($K496=AR$3,ROUND(IF(OR($C496="W",$C496="1/2W",$C496="1/2L"),$P496-$O496,IF($C496="X",0,-$O496)),2),0)</f>
        <v>0</v>
      </c>
      <c r="AS496" s="132">
        <f>IF(AND($B496=" ",$K496=AS$3),$O496,0)</f>
        <v>0</v>
      </c>
      <c r="AT496" s="133">
        <f>IF(AND($B496=" ",$K496=AT$3),$O496,0)</f>
        <v>0</v>
      </c>
      <c r="AU496" s="133">
        <f>IF(AND($B496=" ",$K496=AU$3),$O496,0)</f>
        <v>0</v>
      </c>
      <c r="AV496" s="133">
        <f>IF(AND($B496=" ",$K496=AV$3),$O496,0)</f>
        <v>0</v>
      </c>
      <c r="AW496" s="133">
        <f>IF(AND($B496=" ",$K496=AW$3),$O496,0)</f>
        <v>0</v>
      </c>
      <c r="AX496" s="133">
        <f>IF(AND($B496=" ",$K496=AX$3),$O496,0)</f>
        <v>0</v>
      </c>
      <c r="AY496" s="135">
        <f>IF(AND($B496=" ",$K496=AY$3),$O496,0)</f>
        <v>0</v>
      </c>
      <c r="AZ496" s="136">
        <f>IF(AND($B496=" ",$K496=AZ$3),$O496,0)</f>
        <v>0</v>
      </c>
      <c r="BA496" s="136">
        <f>IF(AND($B496=" ",$K496=BA$3),$O496,0)</f>
        <v>0</v>
      </c>
      <c r="BB496" s="136">
        <f>IF(AND($B496=" ",$K496=BB$3),$O496,0)</f>
        <v>0</v>
      </c>
      <c r="BC496" s="137">
        <f>IF(AND($B496=" ",$K496=BC$3),$O496,0)</f>
        <v>0</v>
      </c>
      <c r="BD496" s="133">
        <f>IF(AND($B496=" ",$K496=BD$3),$O496,0)</f>
        <v>0</v>
      </c>
      <c r="BE496" s="134">
        <f>IF(AND($B496=" ",$K496=BE$3),$O496,0)</f>
        <v>0</v>
      </c>
      <c r="BF496" s="132">
        <f>IF($K496=BF$3,IF($C496="X",0,$O496),0)</f>
        <v>0</v>
      </c>
      <c r="BG496" s="133">
        <f>IF($K496=BG$3,IF($C496="X",0,$O496),0)</f>
        <v>13.03</v>
      </c>
      <c r="BH496" s="133">
        <f>IF($K496=BH$3,IF($C496="X",0,$O496),0)</f>
        <v>0</v>
      </c>
      <c r="BI496" s="133">
        <f>IF($K496=BI$3,IF($C496="X",0,$O496),0)</f>
        <v>0</v>
      </c>
      <c r="BJ496" s="133">
        <f>IF($K496=BJ$3,IF($C496="X",0,$O496),0)</f>
        <v>0</v>
      </c>
      <c r="BK496" s="133">
        <f>IF($K496=BK$3,IF($C496="X",0,$O496),0)</f>
        <v>0</v>
      </c>
      <c r="BL496" s="133">
        <f>IF($K496=BL$3,IF($C496="X",0,$O496),0)</f>
        <v>0</v>
      </c>
      <c r="BM496" s="135">
        <f>IF($K496=BM$3,IF($C496="X",0,$O496),0)</f>
        <v>0</v>
      </c>
      <c r="BN496" s="136">
        <f>IF($K496=BN$3,IF($C496="X",0,$O496),0)</f>
        <v>0</v>
      </c>
      <c r="BO496" s="136">
        <f>IF($K496=BO$3,IF($C496="X",0,$O496),0)</f>
        <v>0</v>
      </c>
      <c r="BP496" s="136">
        <f>IF($K496=BP$3,IF($C496="X",0,$O496),0)</f>
        <v>0</v>
      </c>
      <c r="BQ496" s="137">
        <f>IF($K496=BQ$3,IF($C496="X",0,$O496),0)</f>
        <v>0</v>
      </c>
      <c r="BR496" s="134">
        <f>IF($K496=BR$3,IF($C496="X",0,$O496),0)</f>
        <v>0</v>
      </c>
      <c r="BS496" s="170">
        <f>IF($B496="LOSS",IF(AND($K496=BS$3,$C496="L"),-$O496,0)+IF(AND($K497=BS$3,$C497="L"),-$O497,0)+IF(AND($K498=BS$3,$C498="L"),-$O498,0),IF(OR(AND($K496=BS$3,OR($C496="W",$C496="1/2W")),AND($K497=BS$3,OR($C497="W",$C497="1/2W")),AND($K498=BS$3,OR($C498="W",$C498="1/2W"))),$S496,0))</f>
        <v>0</v>
      </c>
      <c r="BT496" s="272">
        <f>IF($B496="LOSS",IF(AND($K496=BT$3,$C496="L"),-$O496,0)+IF(AND($K497=BT$3,$C497="L"),-$O497,0)+IF(AND($K497=BT$3,$C498="L"),-$O498,0),IF(OR(AND($K497=BT$3,OR($C496="W",$C496="1/2W")),AND($K497=BT$3,OR($C497="W",$C497="1/2W")),AND($K497=BT$3,OR($C498="W",$C498="1/2W"))),$S496,0))</f>
        <v>0</v>
      </c>
      <c r="BU496" s="136">
        <f>IF($B496="LOSS",IF(AND($K496=BU$3,$C496="L"),-$O496,0)+IF(AND($K497=BU$3,$C497="L"),-$O497,0)+IF(AND($K497=BU$3,$C498="L"),-$O498,0),IF(OR(AND($K497=BU$3,OR($C496="W",$C496="1/2W")),AND($K497=BU$3,OR($C497="W",$C497="1/2W")),AND($K497=BU$3,OR($C498="W",$C498="1/2W"))),$S496,0))</f>
        <v>1.06</v>
      </c>
      <c r="BV496" s="136">
        <f>IF($B496="LOSS",IF(AND($K496=BV$3,$C496="L"),-$O496,0)+IF(AND($K497=BV$3,$C497="L"),-$O497,0)+IF(AND($K498=BV$3,$C498="L"),-$O498,0),IF(OR(AND($K496=BV$3,OR($C496="W",$C496="1/2W")),AND($K497=BV$3,OR($C497="W",$C497="1/2W")),AND($K498=BV$3,OR($C498="W",$C498="1/2W"))),$S496,0))</f>
        <v>0</v>
      </c>
      <c r="BW496" s="136">
        <f>IF($B496="LOSS",IF(AND($K496=BW$3,$C496="L"),-$O496,0)+IF(AND($K497=BW$3,$C497="L"),-$O497,0)+IF(AND($K498=BW$3,$C498="L"),-$O498,0),IF(OR(AND($K496=BW$3,OR($C496="W",$C496="1/2W")),AND($K497=BW$3,OR($C497="W",$C497="1/2W")),AND($K498=BW$3,OR($C498="W",$C498="1/2W"))),$S496,0))</f>
        <v>0</v>
      </c>
      <c r="BX496" s="136">
        <f>IF($B496="LOSS",IF(AND($K496=BX$3,$C496="L"),-$O496,0)+IF(AND($K497=BX$3,$C497="L"),-$O497,0)+IF(AND($K498=BX$3,$C498="L"),-$O498,0),IF(OR(AND($K496=BX$3,OR($C496="W",$C496="1/2W")),AND($K497=BX$3,OR($C497="W",$C497="1/2W")),AND($K498=BX$3,OR($C498="W",$C498="1/2W"))),$S496,0))</f>
        <v>0</v>
      </c>
      <c r="BY496" s="136">
        <f>IF($B496="LOSS",IF(AND($K496=BY$3,$C496="L"),-$O496,0)+IF(AND($K497=BY$3,$C497="L"),-$O497,0)+IF(AND($K498=BY$3,$C498="L"),-$O498,0),IF(OR(AND($K496=BY$3,OR($C496="W",$C496="1/2W")),AND($K497=BY$3,OR($C497="W",$C497="1/2W")),AND($K498=BY$3,OR($C498="W",$C498="1/2W"))),$S496,0))</f>
        <v>0</v>
      </c>
      <c r="BZ496" s="136">
        <f>IF($B496="LOSS",IF(AND($K496=BZ$3,$C496="L"),-$O496,0)+IF(AND($K497=BZ$3,$C497="L"),-$O497,0)+IF(AND($K498=BZ$3,$C498="L"),-$O498,0),IF(OR(AND($K496=BZ$3,OR($C496="W",$C496="1/2W")),AND($K497=BZ$3,OR($C497="W",$C497="1/2W")),AND($K498=BZ$3,OR($C498="W",$C498="1/2W"))),$S496,0))</f>
        <v>0</v>
      </c>
      <c r="CA496" s="136">
        <f>IF($B496="LOSS",IF(AND($K496=CA$3,$C496="L"),-$O496,0)+IF(AND($K497=CA$3,$C497="L"),-$O497,0)+IF(AND($K498=CA$3,$C498="L"),-$O498,0),IF(OR(AND($K496=CA$3,OR($C496="W",$C496="1/2W")),AND($K497=CA$3,OR($C497="W",$C497="1/2W")),AND($K498=CA$3,OR($C498="W",$C498="1/2W"))),$S496,0))</f>
        <v>0</v>
      </c>
      <c r="CB496" s="136">
        <f>IF($B496="LOSS",IF(AND($K496=CB$3,$C496="L"),-$O496,0)+IF(AND($K497=CB$3,$C497="L"),-$O497,0)+IF(AND($K498=CB$3,$C498="L"),-$O498,0),IF(OR(AND($K496=CB$3,OR($C496="W",$C496="1/2W")),AND($K497=CB$3,OR($C497="W",$C497="1/2W")),AND($K498=CB$3,OR($C498="W",$C498="1/2W"))),$S496,0))</f>
        <v>0</v>
      </c>
      <c r="CC496" s="136">
        <f>IF($B496="LOSS",IF(AND($K496=CC$3,$C496="L"),-$O496,0)+IF(AND($K497=CC$3,$C497="L"),-$O497,0)+IF(AND($K498=CC$3,$C498="L"),-$O498,0),IF(OR(AND($K496=CC$3,OR($C496="W",$C496="1/2W")),AND($K497=CC$3,OR($C497="W",$C497="1/2W")),AND($K498=CC$3,OR($C498="W",$C498="1/2W"))),$S496,0))</f>
        <v>0</v>
      </c>
      <c r="CD496" s="137">
        <f>IF($B496="LOSS",IF(AND($K496=CD$3,$C496="L"),-$O496,0)+IF(AND($K497=CD$3,$C497="L"),-$O497,0)+IF(AND($K498=CD$3,$C498="L"),-$O498,0),IF(OR(AND($K496=CD$3,OR($C496="W",$C496="1/2W")),AND($K497=CD$3,OR($C497="W",$C497="1/2W")),AND($K498=CD$3,OR($C498="W",$C498="1/2W"))),$S496,0))</f>
        <v>0</v>
      </c>
      <c r="CE496" s="134">
        <f>IF($B496="LOSS",IF(AND($K496=CE$3,$C496="L"),-$O496,0)+IF(AND($K497=CE$3,$C497="L"),-$O497,0)+IF(AND($K498=CE$3,$C498="L"),-$O498,0),IF(OR(AND($K496=CE$3,OR($C496="W",$C496="1/2W")),AND($K497=CE$3,OR($C497="W",$C497="1/2W")),AND($K498=CE$3,OR($C498="W",$C498="1/2W"))),$S496,0))</f>
        <v>0</v>
      </c>
      <c r="CF496" s="273">
        <f>IF(CF$3=$K496,IF($C496="W",1,IF($C496="1/2W",0.5,0)),0)</f>
        <v>0</v>
      </c>
      <c r="CG496" s="274">
        <f>IF(CF$3=$K496,IF($C496="L",1,IF($C496="1/2L",0.5,0)),0)</f>
        <v>0</v>
      </c>
      <c r="CH496" s="274">
        <f>IF(CH$3=$K496,IF($C496="W",1,IF($C496="1/2W",0.5,0)),0)</f>
        <v>0</v>
      </c>
      <c r="CI496" s="274">
        <f>IF(CH$3=$K496,IF($C496="L",1,IF($C496="1/2L",0.5,0)),0)</f>
        <v>1</v>
      </c>
      <c r="CJ496" s="274">
        <f>IF(CJ$3=$K496,IF($C496="W",1,IF($C496="1/2W",0.5,0)),0)</f>
        <v>0</v>
      </c>
      <c r="CK496" s="274">
        <f>IF(CJ$3=$K496,IF($C496="L",1,IF($C496="1/2L",0.5,0)),0)</f>
        <v>0</v>
      </c>
      <c r="CL496" s="274">
        <f>IF(CL$3=$K496,IF($C496="W",1,IF($C496="1/2W",0.5,0)),0)</f>
        <v>0</v>
      </c>
      <c r="CM496" s="274">
        <f>IF(CL$3=$K496,IF($C496="L",1,IF($C496="1/2L",0.5,0)),0)</f>
        <v>0</v>
      </c>
      <c r="CN496" s="274">
        <f>IF(CN$3=$K496,IF($C496="W",1,IF($C496="1/2W",0.5,0)),0)</f>
        <v>0</v>
      </c>
      <c r="CO496" s="274">
        <f>IF(CN$3=$K496,IF($C496="L",1,IF($C496="1/2L",0.5,0)),0)</f>
        <v>0</v>
      </c>
      <c r="CP496" s="274">
        <f>IF(CP$3=$K496,IF($C496="W",1,IF($C496="1/2W",0.5,0)),0)</f>
        <v>0</v>
      </c>
      <c r="CQ496" s="274">
        <f>IF(CP$3=$K496,IF($C496="L",1,IF($C496="1/2L",0.5,0)),0)</f>
        <v>0</v>
      </c>
      <c r="CR496" s="274">
        <f>IF(CR$3=$K496,IF($C496="W",1,IF($C496="1/2W",0.5,0)),0)</f>
        <v>0</v>
      </c>
      <c r="CS496" s="274">
        <f>IF(CR$3=$K496,IF($C496="L",1,IF($C496="1/2L",0.5,0)),0)</f>
        <v>0</v>
      </c>
      <c r="CT496" s="145">
        <f>IF(CT$3=$K496,IF($C496="W",1,IF($C496="1/2W",0.5,0)),0)</f>
        <v>0</v>
      </c>
      <c r="CU496" s="146">
        <f>IF(CT$3=$K496,IF($C496="L",1,IF($C496="1/2L",0.5,0)),0)</f>
        <v>0</v>
      </c>
      <c r="CV496" s="146">
        <f>IF(CV$3=$K496,IF($C496="W",1,IF($C496="1/2W",0.5,0)),0)</f>
        <v>0</v>
      </c>
      <c r="CW496" s="146">
        <f>IF(CV$3=$K496,IF($C496="L",1,IF($C496="1/2L",0.5,0)),0)</f>
        <v>0</v>
      </c>
      <c r="CX496" s="146">
        <f>IF(CX$3=$K496,IF($C496="W",1,IF($C496="1/2W",0.5,0)),0)</f>
        <v>0</v>
      </c>
      <c r="CY496" s="146">
        <f>IF(CX$3=$K496,IF($C496="L",1,IF($C496="1/2L",0.5,0)),0)</f>
        <v>0</v>
      </c>
      <c r="CZ496" s="146">
        <f>IF(CZ$3=$K496,IF($C496="W",1,IF($C496="1/2W",0.5,0)),0)</f>
        <v>0</v>
      </c>
      <c r="DA496" s="146">
        <f>IF(CZ$3=$K496,IF($C496="L",1,IF($C496="1/2L",0.5,0)),0)</f>
        <v>0</v>
      </c>
      <c r="DB496" s="146">
        <f>IF(DB$3=$K496,IF($C496="W",1,IF($C496="1/2W",0.5,0)),0)</f>
        <v>0</v>
      </c>
      <c r="DC496" s="146">
        <f>IF(DB$3=$K496,IF($C496="L",1,IF($C496="1/2L",0.5,0)),0)</f>
        <v>0</v>
      </c>
      <c r="DD496" s="146">
        <f>IF(DD$3=$K496,IF($C496="W",1,IF($C496="1/2W",0.5,0)),0)</f>
        <v>0</v>
      </c>
      <c r="DE496" s="147">
        <f>IF(DD$3=$K496,IF($C496="L",1,IF($C496="1/2L",0.5,0)),0)</f>
        <v>0</v>
      </c>
      <c r="DF496" s="143">
        <f>IF(AND(L496&lt;DF$3,$C496="W"),1+DF495,DF495)</f>
        <v>16</v>
      </c>
      <c r="DG496" s="133">
        <f>IF(DF496&gt;DF495,L496+DG495,DG495)</f>
        <v>21.158</v>
      </c>
      <c r="DH496" s="146">
        <f>IF(AND(L496&gt;DH$3,$C496="W"),1+DH495,0+DH495)</f>
        <v>11</v>
      </c>
      <c r="DI496" s="133">
        <f>IF(DH496&gt;DH495,L496+DI495,DI495)</f>
        <v>59.13</v>
      </c>
      <c r="DJ496" t="s" s="304">
        <f>IF($D496="","",$D496)</f>
        <v>358</v>
      </c>
      <c r="DK496" s="146">
        <f>IF(AND($B496=" ",$D496&lt;&gt;""),1,0)</f>
        <v>0</v>
      </c>
    </row>
    <row r="497" ht="14.55" customHeight="1">
      <c r="A497" s="107"/>
      <c r="B497" s="108"/>
      <c r="C497" t="s" s="109">
        <v>56</v>
      </c>
      <c r="D497" s="110"/>
      <c r="E497" s="111"/>
      <c r="F497" s="113"/>
      <c r="G497" s="252"/>
      <c r="H497" s="114"/>
      <c r="I497" t="s" s="275">
        <v>75</v>
      </c>
      <c r="J497" s="276">
        <f>IF(OR(I496="TO",I496="TU",I496="TO1",I496="TU1",I496="TO2",I496="TU2"),J496,IF(OR(I496="AH1",I496="AH2"),IF(OR(I497="AH1",I497="AH2"),-J496,IF(OR(I497="EH1",I497="EH2"),-J496+0.5,"")),IF(OR(I496="EH1",I496="EH2"),IF(OR(I497="AH1",I497="AH2"),-J496+0.5,IF(OR(I497="EH1",I497="EH2"),-J496+1,"")),IF(AND(OR(I496="DNB1",I496="DNB2"),OR(I497="AH1",I497="AH2")),0,IF(AND(I496="Not ScoreBoth",OR(I497="TO1",I497="TO2")),0.5,"")))))</f>
        <v>1.5</v>
      </c>
      <c r="K497" t="s" s="117">
        <v>39</v>
      </c>
      <c r="L497" s="277">
        <v>1.88</v>
      </c>
      <c r="M497" s="278">
        <v>13.26</v>
      </c>
      <c r="N497" s="120"/>
      <c r="O497" s="121">
        <f>IF(OR(AE496="",AE497=""),"",ROUND(IF(L498&gt;0,IF(M497&gt;0,M497,IF(M496&gt;0,IF(N496=TRUE,ROUND((M496*AE497)/AE496,0),(M496*AE497)/AE496),IF(M497&gt;0,ROUND(M497,IF(N496=0,2,IF(N496=0.1,1,0))),IF(M498&gt;0,ROUND(O498*AE497/AE498,IF(N496=0,2,IF(N496=0.1,1,0))),0)))),IF(M497&gt;0,M497,ROUND((M496*AE497)/AE496,IF(N496=0,2,IF(N496=0.1,1,0))))),2))</f>
        <v>13.26</v>
      </c>
      <c r="P497" s="122">
        <f>IF(OR(L497="",O497=""),"",IF($C497="1/2W",O497/2+O497/2*L497,IF($C497="1/2L",O497/2,IF(I497="Lay",((O497*(L497/(L497-1)))-O497)*(1-_xlfn.XLOOKUP(K497,'Janeiro 2023 - Valor Real'!A3:A15,'Janeiro 2023 - Valor Real'!C3:C15,0))+O497,(O497*L497-O497)*(1-_xlfn.XLOOKUP(K497,'Janeiro 2023 - Valor Real'!A3:A15,'Janeiro 2023 - Valor Real'!C3:C15,0))+O497))))</f>
        <v>27.34875</v>
      </c>
      <c r="Q497" s="279">
        <f>IF(K497="","",IF(_xlfn.XLOOKUP(K497,K$120:K276,DJ$120:DJ276,0,,-1)=DJ497,_xlfn.XLOOKUP(K497,K$120:K276,Q$120:Q276,1,,-1)+1,1))</f>
        <v>1</v>
      </c>
      <c r="R497" s="280">
        <f>IF(K497="","",_xlfn.XLOOKUP(K497,K$120:K276,R$120:R276,0,,-1)+IF($C497=" ",1,0))</f>
        <v>0</v>
      </c>
      <c r="S497" s="125"/>
      <c r="T497" s="126"/>
      <c r="U497" s="126"/>
      <c r="V497" s="224"/>
      <c r="W497" s="126"/>
      <c r="X497" s="127"/>
      <c r="Y497" s="128"/>
      <c r="Z497" s="129"/>
      <c r="AA497" s="129"/>
      <c r="AB497" s="129"/>
      <c r="AC497" s="129"/>
      <c r="AD497" s="130"/>
      <c r="AE497" s="131">
        <f>IF(L497="","",IF(L498&gt;0,(SUM(((L496-1)*(1-_xlfn.XLOOKUP(K496,'Janeiro 2023 - Valor Real'!A3:A15,'Janeiro 2023 - Valor Real'!C3:C15,0))+1),((L497-1)*(1-_xlfn.XLOOKUP(K497,'Janeiro 2023 - Valor Real'!A3:A15,'Janeiro 2023 - Valor Real'!C3:C15,0))+1),((L498-1)*(1-_xlfn.XLOOKUP(K498,'Janeiro 2023 - Valor Real'!A3:A15,'Janeiro 2023 - Valor Real'!C3:C15,0))+1))/((L497-1)*(1-_xlfn.XLOOKUP(K497,'Janeiro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Real'!C3:C15,0))+1))/((L496-1)*(1-_xlfn.XLOOKUP(K496,'Janeiro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Real'!C3:C15,0))+1))/((L497-1)*(1-_xlfn.XLOOKUP(K497,'Janeiro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Real'!C3:C15,0))+1))/((L498-1)*(1-_xlfn.XLOOKUP(K498,'Janeiro 2023 - Valor Real'!A3:A15,'Janeiro 2023 - Valor Real'!C3:C15,0))+1)),IF(I497="Lay",IF(I496="Lay",((L496/(L496-1)-1)*(1-_xlfn.XLOOKUP(K496,'Janeiro 2023 - Valor Real'!A3:A15,'Janeiro 2023 - Valor Real'!C3:C15,0))+1)/(((L496/(L496-1)-1)*(1-_xlfn.XLOOKUP(K496,'Janeiro 2023 - Valor Real'!A3:A15,'Janeiro 2023 - Valor Real'!C3:C15,0))+1)+((L497/(L497-1)-1)*(1-_xlfn.XLOOKUP(K497,'Janeiro 2023 - Valor Real'!A3:A15,'Janeiro 2023 - Valor Real'!C3:C15,0))+1)),((L496-1)*(1-_xlfn.XLOOKUP(K496,'Janeiro 2023 - Valor Real'!A3:A15,'Janeiro 2023 - Valor Real'!C3:C15,0))+1)/(((L496-1)*(1-_xlfn.XLOOKUP(K496,'Janeiro 2023 - Valor Real'!A3:A15,'Janeiro 2023 - Valor Real'!C3:C15,0))+1)+((L497/(L497-1)-1)*(1-_xlfn.XLOOKUP(K497,'Janeiro 2023 - Valor Real'!A3:A15,'Janeiro 2023 - Valor Real'!C3:C15,0))+1))),IF(I496="Lay",((L496/(L496-1)-1)*(1-_xlfn.XLOOKUP(K496,'Janeiro 2023 - Valor Real'!A3:A15,'Janeiro 2023 - Valor Real'!C3:C15,0))+1)/((((L496/(L496-1)-1)*(1-_xlfn.XLOOKUP(K496,'Janeiro 2023 - Valor Real'!A3:A15,'Janeiro 2023 - Valor Real'!C3:C15,0))+1))+((L497-1)*(1-_xlfn.XLOOKUP(K497,'Janeiro 2023 - Valor Real'!A3:A15,'Janeiro 2023 - Valor Real'!C3:C15,0))+1)),((L496-1)*(1-_xlfn.XLOOKUP(K496,'Janeiro 2023 - Valor Real'!A3:A15,'Janeiro 2023 - Valor Real'!C3:C15,0))+1)/(((L496-1)*(1-_xlfn.XLOOKUP(K496,'Janeiro 2023 - Valor Real'!A3:A15,'Janeiro 2023 - Valor Real'!C3:C15,0))+1)+((L497-1)*(1-_xlfn.XLOOKUP(K497,'Janeiro 2023 - Valor Real'!A3:A15,'Janeiro 2023 - Valor Real'!C3:C15,0))+1))))))</f>
        <v>0.504504504504505</v>
      </c>
      <c r="AF497" s="132">
        <f>IF($K497=AF$3,ROUND(IF(OR($C497="W",$C497="1/2W",$C497="1/2L"),$P497-$O497,IF($C497="X",0,-$O497)),2),0)</f>
        <v>0</v>
      </c>
      <c r="AG497" s="133">
        <f>IF($K497=AG$3,ROUND(IF(OR($C497="W",$C497="1/2W",$C497="1/2L"),$P497-$O497,IF($C497="X",0,-$O497)),2),0)</f>
        <v>0</v>
      </c>
      <c r="AH497" s="133">
        <f>IF($K497=AH$3,ROUND(IF(OR($C497="W",$C497="1/2W",$C497="1/2L"),$P497-$O497,IF($C497="X",0,-$O497)),2),0)</f>
        <v>14.09</v>
      </c>
      <c r="AI497" s="133">
        <f>IF($K497=AI$3,ROUND(IF(OR($C497="W",$C497="1/2W",$C497="1/2L"),$P497-$O497,IF($C497="X",0,-$O497)),2),0)</f>
        <v>0</v>
      </c>
      <c r="AJ497" s="133">
        <f>IF($K497=AJ$3,ROUND(IF(OR($C497="W",$C497="1/2W",$C497="1/2L"),$P497-$O497,IF($C497="X",0,-$O497)),2),0)</f>
        <v>0</v>
      </c>
      <c r="AK497" s="133">
        <f>IF($K497=AK$3,ROUND(IF(OR($C497="W",$C497="1/2W",$C497="1/2L"),$P497-$O497,IF($C497="X",0,-$O497)),2),0)</f>
        <v>0</v>
      </c>
      <c r="AL497" s="133">
        <f>IF($K497=AL$3,ROUND(IF(OR($C497="W",$C497="1/2W",$C497="1/2L"),$P497-$O497,IF($C497="X",0,-$O497)),2),0)</f>
        <v>0</v>
      </c>
      <c r="AM497" s="133">
        <f>IF($K497=AM$3,ROUND(IF(OR($C497="W",$C497="1/2W",$C497="1/2L"),$P497-$O497,IF($C497="X",0,-$O497)),2),0)</f>
        <v>0</v>
      </c>
      <c r="AN497" s="133">
        <f>IF($K497=AN$3,ROUND(IF(OR($C497="W",$C497="1/2W",$C497="1/2L"),$P497-$O497,IF($C497="X",0,-$O497)),2),0)</f>
        <v>0</v>
      </c>
      <c r="AO497" s="133">
        <f>IF($K497=AO$3,ROUND(IF(OR($C497="W",$C497="1/2W",$C497="1/2L"),$P497-$O497,IF($C497="X",0,-$O497)),2),0)</f>
        <v>0</v>
      </c>
      <c r="AP497" s="133">
        <f>IF($K497=AP$3,ROUND(IF(OR($C497="W",$C497="1/2W",$C497="1/2L"),$P497-$O497,IF($C497="X",0,-$O497)),2),0)</f>
        <v>0</v>
      </c>
      <c r="AQ497" s="133">
        <f>IF($K497=AQ$3,ROUND(IF(OR($C497="W",$C497="1/2W",$C497="1/2L"),$P497-$O497,IF($C497="X",0,-$O497)),2),0)</f>
        <v>0</v>
      </c>
      <c r="AR497" s="134">
        <f>IF($K497=AR$3,ROUND(IF(OR($C497="W",$C497="1/2W",$C497="1/2L"),$P497-$O497,IF($C497="X",0,-$O497)),2),0)</f>
        <v>0</v>
      </c>
      <c r="AS497" s="132">
        <f>IF(AND($B496=" ",$K497=AS$3),$O497,0)</f>
        <v>0</v>
      </c>
      <c r="AT497" s="133">
        <f>IF(AND($B496=" ",K497=AT$3),$O497,0)</f>
        <v>0</v>
      </c>
      <c r="AU497" s="133">
        <f>IF(AND($B496=" ",$K497=AU$3),$O497,0)</f>
        <v>0</v>
      </c>
      <c r="AV497" s="133">
        <f>IF(AND($B496=" ",$K497=AV$3),$O497,0)</f>
        <v>0</v>
      </c>
      <c r="AW497" s="133">
        <f>IF(AND($B496=" ",$K497=AW$3),$O497,0)</f>
        <v>0</v>
      </c>
      <c r="AX497" s="133">
        <f>IF(AND($B496=" ",$K497=AX$3),$O497,0)</f>
        <v>0</v>
      </c>
      <c r="AY497" s="135">
        <f>IF(AND($B496=" ",$K497=AY$3),$O497,0)</f>
        <v>0</v>
      </c>
      <c r="AZ497" s="136">
        <f>IF(AND($B496=" ",$K497=AZ$3),$O497,0)</f>
        <v>0</v>
      </c>
      <c r="BA497" s="136">
        <f>IF(AND($B496=" ",$K497=BA$3),$O497,0)</f>
        <v>0</v>
      </c>
      <c r="BB497" s="136">
        <f>IF(AND($B496=" ",$K497=BB$3),$O497,0)</f>
        <v>0</v>
      </c>
      <c r="BC497" s="137">
        <f>IF(AND($B496=" ",$K497=BC$3),$O497,0)</f>
        <v>0</v>
      </c>
      <c r="BD497" s="133">
        <f>IF(AND($B496=" ",$K497=BD$3),$O497,0)</f>
        <v>0</v>
      </c>
      <c r="BE497" s="134">
        <f>IF(AND($B496=" ",$K497=BE$3),$O497,0)</f>
        <v>0</v>
      </c>
      <c r="BF497" s="132">
        <f>IF($K497=BF$3,IF($C497="X",0,$O497),0)</f>
        <v>0</v>
      </c>
      <c r="BG497" s="281">
        <f>IF($K497=BG$3,IF($C497="X",0,$O497),0)</f>
        <v>0</v>
      </c>
      <c r="BH497" s="133">
        <f>IF($K497=BH$3,IF($C497="X",0,$O497),0)</f>
        <v>13.26</v>
      </c>
      <c r="BI497" s="133">
        <f>IF($K497=BI$3,IF($C497="X",0,$O497),0)</f>
        <v>0</v>
      </c>
      <c r="BJ497" s="133">
        <f>IF($K497=BJ$3,IF($C497="X",0,$O497),0)</f>
        <v>0</v>
      </c>
      <c r="BK497" s="133">
        <f>IF($K497=BK$3,IF($C497="X",0,$O497),0)</f>
        <v>0</v>
      </c>
      <c r="BL497" s="133">
        <f>IF($K497=BL$3,IF($C497="X",0,$O497),0)</f>
        <v>0</v>
      </c>
      <c r="BM497" s="135">
        <f>IF($K497=BM$3,IF($C497="X",0,$O497),0)</f>
        <v>0</v>
      </c>
      <c r="BN497" s="136">
        <f>IF($K497=BN$3,IF($C497="X",0,$O497),0)</f>
        <v>0</v>
      </c>
      <c r="BO497" s="136">
        <f>IF($K497=BO$3,IF($C497="X",0,$O497),0)</f>
        <v>0</v>
      </c>
      <c r="BP497" s="136">
        <f>IF($K497=BP$3,IF($C497="X",0,$O497),0)</f>
        <v>0</v>
      </c>
      <c r="BQ497" s="137">
        <f>IF($K497=BQ$3,IF($C497="X",0,$O497),0)</f>
        <v>0</v>
      </c>
      <c r="BR497" s="134">
        <f>IF($K497=BR$3,IF($C497="X",0,$O497),0)</f>
        <v>0</v>
      </c>
      <c r="BS497" s="282"/>
      <c r="BT497" s="283"/>
      <c r="BU497" s="140"/>
      <c r="BV497" s="283"/>
      <c r="BW497" s="140"/>
      <c r="BX497" s="140"/>
      <c r="BY497" s="140"/>
      <c r="BZ497" s="283"/>
      <c r="CA497" s="140"/>
      <c r="CB497" s="140"/>
      <c r="CC497" s="140"/>
      <c r="CD497" s="141"/>
      <c r="CE497" s="142"/>
      <c r="CF497" s="284">
        <f>IF(CF$3=$K497,IF($C497="W",1,IF($C497="1/2W",0.5,0)),0)</f>
        <v>0</v>
      </c>
      <c r="CG497" s="285">
        <f>IF(CF$3=$K497,IF($C497="L",1,IF($C497="1/2L",0.5,0)),0)</f>
        <v>0</v>
      </c>
      <c r="CH497" s="285">
        <f>IF(CH$3=$K497,IF($C497="W",1,IF($C497="1/2W",0.5,0)),0)</f>
        <v>0</v>
      </c>
      <c r="CI497" s="285">
        <f>IF(CH$3=$K497,IF($C497="L",1,IF($C497="1/2L",0.5,0)),0)</f>
        <v>0</v>
      </c>
      <c r="CJ497" s="285">
        <f>IF(CJ$3=$K497,IF($C497="W",1,IF($C497="1/2W",0.5,0)),0)</f>
        <v>1</v>
      </c>
      <c r="CK497" s="285">
        <f>IF(CJ$3=$K497,IF($C497="L",1,IF($C497="1/2L",0.5,0)),0)</f>
        <v>0</v>
      </c>
      <c r="CL497" s="285">
        <f>IF(CL$3=$K497,IF($C497="W",1,IF($C497="1/2W",0.5,0)),0)</f>
        <v>0</v>
      </c>
      <c r="CM497" s="285">
        <f>IF(CL$3=$K497,IF($C497="L",1,IF($C497="1/2L",0.5,0)),0)</f>
        <v>0</v>
      </c>
      <c r="CN497" s="285">
        <f>IF(CN$3=$K497,IF($C497="W",1,IF($C497="1/2W",0.5,0)),0)</f>
        <v>0</v>
      </c>
      <c r="CO497" s="285">
        <f>IF(CN$3=$K497,IF($C497="L",1,IF($C497="1/2L",0.5,0)),0)</f>
        <v>0</v>
      </c>
      <c r="CP497" s="285">
        <f>IF(CP$3=$K497,IF($C497="W",1,IF($C497="1/2W",0.5,0)),0)</f>
        <v>0</v>
      </c>
      <c r="CQ497" s="285">
        <f>IF(CP$3=$K497,IF($C497="L",1,IF($C497="1/2L",0.5,0)),0)</f>
        <v>0</v>
      </c>
      <c r="CR497" s="285">
        <f>IF(CR$3=$K497,IF($C497="W",1,IF($C497="1/2W",0.5,0)),0)</f>
        <v>0</v>
      </c>
      <c r="CS497" s="285">
        <f>IF(CR$3=$K497,IF($C497="L",1,IF($C497="1/2L",0.5,0)),0)</f>
        <v>0</v>
      </c>
      <c r="CT497" s="145">
        <f>IF(CT$3=$K497,IF($C497="W",1,IF($C497="1/2W",0.5,0)),0)</f>
        <v>0</v>
      </c>
      <c r="CU497" s="146">
        <f>IF(CT$3=$K497,IF($C497="L",1,IF($C497="1/2L",0.5,0)),0)</f>
        <v>0</v>
      </c>
      <c r="CV497" s="146">
        <f>IF(CV$3=$K497,IF($C497="W",1,IF($C497="1/2W",0.5,0)),0)</f>
        <v>0</v>
      </c>
      <c r="CW497" s="146">
        <f>IF(CV$3=$K497,IF($C497="L",1,IF($C497="1/2L",0.5,0)),0)</f>
        <v>0</v>
      </c>
      <c r="CX497" s="146">
        <f>IF(CX$3=$K497,IF($C497="W",1,IF($C497="1/2W",0.5,0)),0)</f>
        <v>0</v>
      </c>
      <c r="CY497" s="146">
        <f>IF(CX$3=$K497,IF($C497="L",1,IF($C497="1/2L",0.5,0)),0)</f>
        <v>0</v>
      </c>
      <c r="CZ497" s="146">
        <f>IF(CZ$3=$K497,IF($C497="W",1,IF($C497="1/2W",0.5,0)),0)</f>
        <v>0</v>
      </c>
      <c r="DA497" s="146">
        <f>IF(CZ$3=$K497,IF($C497="L",1,IF($C497="1/2L",0.5,0)),0)</f>
        <v>0</v>
      </c>
      <c r="DB497" s="146">
        <f>IF(DB$3=$K497,IF($C497="W",1,IF($C497="1/2W",0.5,0)),0)</f>
        <v>0</v>
      </c>
      <c r="DC497" s="146">
        <f>IF(DB$3=$K497,IF($C497="L",1,IF($C497="1/2L",0.5,0)),0)</f>
        <v>0</v>
      </c>
      <c r="DD497" s="146">
        <f>IF(DD$3=$K497,IF($C497="W",1,IF($C497="1/2W",0.5,0)),0)</f>
        <v>0</v>
      </c>
      <c r="DE497" s="147">
        <f>IF(DD$3=$K497,IF($C497="L",1,IF($C497="1/2L",0.5,0)),0)</f>
        <v>0</v>
      </c>
      <c r="DF497" s="143">
        <f>IF(AND(L497&lt;DF$3,$C497="W"),1+DF496,DF496)</f>
        <v>16</v>
      </c>
      <c r="DG497" s="133">
        <f>IF(DF497&gt;DF496,L497+DG496,DG496)</f>
        <v>21.158</v>
      </c>
      <c r="DH497" s="146">
        <f>IF(AND(L497&gt;DH$3,$C497="W"),1+DH496,0+DH496)</f>
        <v>11</v>
      </c>
      <c r="DI497" s="133">
        <f>IF(DH497&gt;DH496,L497+DI496,DI496)</f>
        <v>59.13</v>
      </c>
      <c r="DJ497" t="s" s="304">
        <f>IF($D496="","",$D496)</f>
        <v>358</v>
      </c>
      <c r="DK497" s="286"/>
    </row>
    <row r="498" ht="14.55" customHeight="1">
      <c r="A498" s="149"/>
      <c r="B498" s="150"/>
      <c r="C498" t="s" s="151">
        <v>58</v>
      </c>
      <c r="D498" s="152"/>
      <c r="E498" s="153"/>
      <c r="F498" s="155"/>
      <c r="G498" s="252"/>
      <c r="H498" s="156"/>
      <c r="I498" s="287"/>
      <c r="J498" s="288"/>
      <c r="K498" s="156"/>
      <c r="L498" s="289"/>
      <c r="M498" s="290"/>
      <c r="N498" s="161"/>
      <c r="O498" t="s" s="162">
        <f>IF(OR(AE496="",AE497=""),"",IF(L498&gt;0,ROUND(IF(M498&gt;0,M498,IF(M496&gt;0,ROUND((M496*AE498)/AE496,IF(N496=0,2,IF(N496=0.1,1,0))),IF(M497&gt;0,ROUND((M497*AE498)/AE497,IF(N496=0,2,IF(N496=0.1,1,0))),IF(M498&gt;0,M498,0)))),2),""))</f>
      </c>
      <c r="P498" s="297">
        <f>IF(I497="Lay",O497*(L497/(L497-1))-O497,IF(I496="Lay",O496*(L496/(L496-1))-O496,IF(OR(L498="",O498=""),"",IF($C498="1/2W",O498/2+O498/2*L498,IF($C498="1/2L",O498/2,(O498*L498-O498)*(1-_xlfn.XLOOKUP(K498,'Janeiro 2023 - Valor Real'!A3:A15,'Janeiro 2023 - Valor Real'!C3:C15,0))+O498)))))</f>
        <v>15.0681818181818</v>
      </c>
      <c r="Q498" t="s" s="154">
        <f>IF(K498="","",IF(_xlfn.XLOOKUP(K498,K$121:K277,DJ$121:DJ277,0,,-1)=DJ498,_xlfn.XLOOKUP(K498,K$121:K277,Q$121:Q277,1,,-1)+1,1))</f>
      </c>
      <c r="R498" t="s" s="163">
        <f>IF(K498="","",_xlfn.XLOOKUP(K498,K$121:K277,R$121:R277,0,,-1)+IF($C498=" ",1,0))</f>
      </c>
      <c r="S498" s="166"/>
      <c r="T498" s="155"/>
      <c r="U498" s="155"/>
      <c r="V498" s="166"/>
      <c r="W498" s="155"/>
      <c r="X498" s="167"/>
      <c r="Y498" s="128"/>
      <c r="Z498" s="129"/>
      <c r="AA498" s="129"/>
      <c r="AB498" s="129"/>
      <c r="AC498" s="129"/>
      <c r="AD498" s="168"/>
      <c r="AE498" t="s" s="169">
        <f>IF(L498="","",(SUM(((L496-1)*(1-_xlfn.XLOOKUP(K496,'Janeiro 2023 - Valor Real'!A3:A15,'Janeiro 2023 - Valor Real'!C3:C15,0))+1),((L497-1)*(1-_xlfn.XLOOKUP(K497,'Janeiro 2023 - Valor Real'!A3:A15,'Janeiro 2023 - Valor Real'!C3:C15,0))+1),((L498-1)*(1-_xlfn.XLOOKUP(K498,'Janeiro 2023 - Valor Real'!A3:A15,'Janeiro 2023 - Valor Real'!C3:C15,0))+1))/((L498-1)*(1-_xlfn.XLOOKUP(K498,'Janeiro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Real'!C3:C15,0))+1))/((L496-1)*(1-_xlfn.XLOOKUP(K496,'Janeiro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Real'!C3:C15,0))+1))/((L497-1)*(1-_xlfn.XLOOKUP(K497,'Janeiro 2023 - Valor Real'!A3:A15,'Janeiro 2023 - Valor Real'!C3:C15,0))+1)+SUM(((L496-1)*(1-_xlfn.XLOOKUP(K496,'Janeiro 2023 - Valor Real'!A3:A15,'Janeiro 2023 - Valor Real'!C3:C15,0))+1),((L497-1)*(1-_xlfn.XLOOKUP(K497,'Janeiro 2023 - Valor Real'!A3:A15,'Janeiro 2023 - Valor Real'!C3:C15,0))+1),((L498-1)*(1-_xlfn.XLOOKUP(K498,'Janeiro 2023 - Valor Real'!A3:A15,'Janeiro 2023 - Valor Real'!C3:C15,0))+1))/((L498-1)*(1-_xlfn.XLOOKUP(K498,'Janeiro 2023 - Valor Real'!A3:A15,'Janeiro 2023 - Valor Real'!C3:C15,0))+1)))</f>
      </c>
      <c r="AF498" s="132">
        <f>IF($K498=AF$3,ROUND(IF(OR($C498="W",$C498="1/2W",$C498="1/2L"),$P498-$O498,IF($C498="X",0,-$O498)),2),0)</f>
        <v>0</v>
      </c>
      <c r="AG498" s="133">
        <f>IF($K498=AG$3,ROUND(IF(OR($C498="W",$C498="1/2W",$C498="1/2L"),$P498-$O498,IF($C498="X",0,-$O498)),2),0)</f>
        <v>0</v>
      </c>
      <c r="AH498" s="133">
        <f>IF($K498=AH$3,ROUND(IF(OR($C498="W",$C498="1/2W",$C498="1/2L"),$P498-$O498,IF($C498="X",0,-$O498)),2),0)</f>
        <v>0</v>
      </c>
      <c r="AI498" s="133">
        <f>IF($K498=AI$3,ROUND(IF(OR($C498="W",$C498="1/2W",$C498="1/2L"),$P498-$O498,IF($C498="X",0,-$O498)),2),0)</f>
        <v>0</v>
      </c>
      <c r="AJ498" s="133">
        <f>IF($K498=AJ$3,ROUND(IF(OR($C498="W",$C498="1/2W",$C498="1/2L"),$P498-$O498,IF($C498="X",0,-$O498)),2),0)</f>
        <v>0</v>
      </c>
      <c r="AK498" s="133">
        <f>IF($K498=AK$3,ROUND(IF(OR($C498="W",$C498="1/2W",$C498="1/2L"),$P498-$O498,IF($C498="X",0,-$O498)),2),0)</f>
        <v>0</v>
      </c>
      <c r="AL498" s="133">
        <f>IF($K498=AL$3,ROUND(IF(OR($C498="W",$C498="1/2W",$C498="1/2L"),$P498-$O498,IF($C498="X",0,-$O498)),2),0)</f>
        <v>0</v>
      </c>
      <c r="AM498" s="133">
        <f>IF($K498=AM$3,ROUND(IF(OR($C498="W",$C498="1/2W",$C498="1/2L"),$P498-$O498,IF($C498="X",0,-$O498)),2),0)</f>
        <v>0</v>
      </c>
      <c r="AN498" s="133">
        <f>IF($K498=AN$3,ROUND(IF(OR($C498="W",$C498="1/2W",$C498="1/2L"),$P498-$O498,IF($C498="X",0,-$O498)),2),0)</f>
        <v>0</v>
      </c>
      <c r="AO498" s="133">
        <f>IF($K498=AO$3,ROUND(IF(OR($C498="W",$C498="1/2W",$C498="1/2L"),$P498-$O498,IF($C498="X",0,-$O498)),2),0)</f>
        <v>0</v>
      </c>
      <c r="AP498" s="133">
        <f>IF($K498=AP$3,ROUND(IF(OR($C498="W",$C498="1/2W",$C498="1/2L"),$P498-$O498,IF($C498="X",0,-$O498)),2),0)</f>
        <v>0</v>
      </c>
      <c r="AQ498" s="133">
        <f>IF($K498=AQ$3,ROUND(IF(OR($C498="W",$C498="1/2W",$C498="1/2L"),$P498-$O498,IF($C498="X",0,-$O498)),2),0)</f>
        <v>0</v>
      </c>
      <c r="AR498" s="134">
        <f>IF($K498=AR$3,ROUND(IF(OR($C498="W",$C498="1/2W",$C498="1/2L"),$P498-$O498,IF($C498="X",0,-$O498)),2),0)</f>
        <v>0</v>
      </c>
      <c r="AS498" s="132">
        <f>IF(AND($B496=" ",$K498=AS$3),$O498,0)</f>
        <v>0</v>
      </c>
      <c r="AT498" s="133">
        <f>IF(AND($B496=" ",K498=AT$3),$O498,0)</f>
        <v>0</v>
      </c>
      <c r="AU498" s="133">
        <f>IF(AND($B496=" ",$K498=AU$3),$O498,0)</f>
        <v>0</v>
      </c>
      <c r="AV498" s="133">
        <f>IF(AND($B496=" ",$K498=AV$3),$O498,0)</f>
        <v>0</v>
      </c>
      <c r="AW498" s="133">
        <f>IF(AND($B496=" ",$K498=AW$3),$O498,0)</f>
        <v>0</v>
      </c>
      <c r="AX498" s="133">
        <f>IF(AND($B496=" ",$K498=AX$3),$O498,0)</f>
        <v>0</v>
      </c>
      <c r="AY498" s="135">
        <f>IF(AND($B496=" ",$K498=AY$3),$O498,0)</f>
        <v>0</v>
      </c>
      <c r="AZ498" s="136">
        <f>IF(AND($B496=" ",$K498=AZ$3),$O498,0)</f>
        <v>0</v>
      </c>
      <c r="BA498" s="136">
        <f>IF(AND($B496=" ",$K498=BA$3),$O498,0)</f>
        <v>0</v>
      </c>
      <c r="BB498" s="136">
        <f>IF(AND($B496=" ",$K498=BB$3),$O498,0)</f>
        <v>0</v>
      </c>
      <c r="BC498" s="137">
        <f>IF(AND($B496=" ",$K498=BC$3),$O498,0)</f>
        <v>0</v>
      </c>
      <c r="BD498" s="133">
        <f>IF(AND($B496=" ",$K498=BD$3),$O498,0)</f>
        <v>0</v>
      </c>
      <c r="BE498" s="134">
        <f>IF(AND($B496=" ",$K498=BE$3),$O498,0)</f>
        <v>0</v>
      </c>
      <c r="BF498" s="132">
        <f>IF($K498=BF$3,IF($C498="X",0,$O498),0)</f>
        <v>0</v>
      </c>
      <c r="BG498" s="281">
        <f>IF($K498=BG$3,IF($C498="X",0,$O498),0)</f>
        <v>0</v>
      </c>
      <c r="BH498" s="133">
        <f>IF($K498=BH$3,IF($C498="X",0,$O498),0)</f>
        <v>0</v>
      </c>
      <c r="BI498" s="133">
        <f>IF($K498=BI$3,IF($C498="X",0,$O498),0)</f>
        <v>0</v>
      </c>
      <c r="BJ498" s="133">
        <f>IF($K498=BJ$3,IF($C498="X",0,$O498),0)</f>
        <v>0</v>
      </c>
      <c r="BK498" s="133">
        <f>IF($K498=BK$3,IF($C498="X",0,$O498),0)</f>
        <v>0</v>
      </c>
      <c r="BL498" s="133">
        <f>IF($K498=BL$3,IF($C498="X",0,$O498),0)</f>
        <v>0</v>
      </c>
      <c r="BM498" s="135">
        <f>IF($K498=BM$3,IF($C498="X",0,$O498),0)</f>
        <v>0</v>
      </c>
      <c r="BN498" s="136">
        <f>IF($K498=BN$3,IF($C498="X",0,$O498),0)</f>
        <v>0</v>
      </c>
      <c r="BO498" s="136">
        <f>IF($K498=BO$3,IF($C498="X",0,$O498),0)</f>
        <v>0</v>
      </c>
      <c r="BP498" s="136">
        <f>IF($K498=BP$3,IF($C498="X",0,$O498),0)</f>
        <v>0</v>
      </c>
      <c r="BQ498" s="137">
        <f>IF($K498=BQ$3,IF($C498="X",0,$O498),0)</f>
        <v>0</v>
      </c>
      <c r="BR498" s="134">
        <f>IF($K498=BR$3,IF($C498="X",0,$O498),0)</f>
        <v>0</v>
      </c>
      <c r="BS498" s="282"/>
      <c r="BT498" s="283"/>
      <c r="BU498" s="140"/>
      <c r="BV498" s="283"/>
      <c r="BW498" s="140"/>
      <c r="BX498" s="140"/>
      <c r="BY498" s="140"/>
      <c r="BZ498" s="283"/>
      <c r="CA498" s="140"/>
      <c r="CB498" s="140"/>
      <c r="CC498" s="140"/>
      <c r="CD498" s="141"/>
      <c r="CE498" s="142"/>
      <c r="CF498" s="284">
        <f>IF(CF$3=$K498,IF($C498="W",1,IF($C498="1/2W",0.5,0)),0)</f>
        <v>0</v>
      </c>
      <c r="CG498" s="285">
        <f>IF(CF$3=$K498,IF($C498="L",1,IF($C498="1/2L",0.5,0)),0)</f>
        <v>0</v>
      </c>
      <c r="CH498" s="285">
        <f>IF(CH$3=$K498,IF($C498="W",1,IF($C498="1/2W",0.5,0)),0)</f>
        <v>0</v>
      </c>
      <c r="CI498" s="285">
        <f>IF(CH$3=$K498,IF($C498="L",1,IF($C498="1/2L",0.5,0)),0)</f>
        <v>0</v>
      </c>
      <c r="CJ498" s="285">
        <f>IF(CJ$3=$K498,IF($C498="W",1,IF($C498="1/2W",0.5,0)),0)</f>
        <v>0</v>
      </c>
      <c r="CK498" s="285">
        <f>IF(CJ$3=$K498,IF($C498="L",1,IF($C498="1/2L",0.5,0)),0)</f>
        <v>0</v>
      </c>
      <c r="CL498" s="285">
        <f>IF(CL$3=$K498,IF($C498="W",1,IF($C498="1/2W",0.5,0)),0)</f>
        <v>0</v>
      </c>
      <c r="CM498" s="285">
        <f>IF(CL$3=$K498,IF($C498="L",1,IF($C498="1/2L",0.5,0)),0)</f>
        <v>0</v>
      </c>
      <c r="CN498" s="285">
        <f>IF(CN$3=$K498,IF($C498="W",1,IF($C498="1/2W",0.5,0)),0)</f>
        <v>0</v>
      </c>
      <c r="CO498" s="285">
        <f>IF(CN$3=$K498,IF($C498="L",1,IF($C498="1/2L",0.5,0)),0)</f>
        <v>0</v>
      </c>
      <c r="CP498" s="285">
        <f>IF(CP$3=$K498,IF($C498="W",1,IF($C498="1/2W",0.5,0)),0)</f>
        <v>0</v>
      </c>
      <c r="CQ498" s="285">
        <f>IF(CP$3=$K498,IF($C498="L",1,IF($C498="1/2L",0.5,0)),0)</f>
        <v>0</v>
      </c>
      <c r="CR498" s="285">
        <f>IF(CR$3=$K498,IF($C498="W",1,IF($C498="1/2W",0.5,0)),0)</f>
        <v>0</v>
      </c>
      <c r="CS498" s="285">
        <f>IF(CR$3=$K498,IF($C498="L",1,IF($C498="1/2L",0.5,0)),0)</f>
        <v>0</v>
      </c>
      <c r="CT498" s="145">
        <f>IF(CT$3=$K498,IF($C498="W",1,IF($C498="1/2W",0.5,0)),0)</f>
        <v>0</v>
      </c>
      <c r="CU498" s="146">
        <f>IF(CT$3=$K498,IF($C498="L",1,IF($C498="1/2L",0.5,0)),0)</f>
        <v>0</v>
      </c>
      <c r="CV498" s="146">
        <f>IF(CV$3=$K498,IF($C498="W",1,IF($C498="1/2W",0.5,0)),0)</f>
        <v>0</v>
      </c>
      <c r="CW498" s="146">
        <f>IF(CV$3=$K498,IF($C498="L",1,IF($C498="1/2L",0.5,0)),0)</f>
        <v>0</v>
      </c>
      <c r="CX498" s="146">
        <f>IF(CX$3=$K498,IF($C498="W",1,IF($C498="1/2W",0.5,0)),0)</f>
        <v>0</v>
      </c>
      <c r="CY498" s="146">
        <f>IF(CX$3=$K498,IF($C498="L",1,IF($C498="1/2L",0.5,0)),0)</f>
        <v>0</v>
      </c>
      <c r="CZ498" s="146">
        <f>IF(CZ$3=$K498,IF($C498="W",1,IF($C498="1/2W",0.5,0)),0)</f>
        <v>0</v>
      </c>
      <c r="DA498" s="146">
        <f>IF(CZ$3=$K498,IF($C498="L",1,IF($C498="1/2L",0.5,0)),0)</f>
        <v>0</v>
      </c>
      <c r="DB498" s="146">
        <f>IF(DB$3=$K498,IF($C498="W",1,IF($C498="1/2W",0.5,0)),0)</f>
        <v>0</v>
      </c>
      <c r="DC498" s="146">
        <f>IF(DB$3=$K498,IF($C498="L",1,IF($C498="1/2L",0.5,0)),0)</f>
        <v>0</v>
      </c>
      <c r="DD498" s="146">
        <f>IF(DD$3=$K498,IF($C498="W",1,IF($C498="1/2W",0.5,0)),0)</f>
        <v>0</v>
      </c>
      <c r="DE498" s="147">
        <f>IF(DD$3=$K498,IF($C498="L",1,IF($C498="1/2L",0.5,0)),0)</f>
        <v>0</v>
      </c>
      <c r="DF498" s="143">
        <f>IF(AND(L498&lt;DF$3,$C498="W"),1+DF497,DF497)</f>
        <v>16</v>
      </c>
      <c r="DG498" s="133">
        <f>IF(DF498&gt;DF497,L498+DG497,DG497)</f>
        <v>21.158</v>
      </c>
      <c r="DH498" s="146">
        <f>IF(AND(L498&gt;DH$3,$C498="W"),1+DH497,0+DH497)</f>
        <v>11</v>
      </c>
      <c r="DI498" s="133">
        <f>IF(DH498&gt;DH497,L498+DI497,DI497)</f>
        <v>59.13</v>
      </c>
      <c r="DJ498" t="s" s="304">
        <f>IF($D496="","",$D496)</f>
        <v>358</v>
      </c>
      <c r="DK498" s="286"/>
    </row>
    <row r="499" ht="14.55" customHeight="1">
      <c r="A499" s="171">
        <f>$A496+1</f>
        <v>166</v>
      </c>
      <c r="B499" t="s" s="172">
        <f>IF(AND(_xlfn.XLOOKUP(H499,H$122:H272,G$122:G272,0)=G499,_xlfn.XLOOKUP("TempoBet",K499:K501,L499:L501,0)&gt;0),"X",IF(OR(C499="W",C500="W",C501="W",C499="1/2W",C500="1/2W",C501="1/2W",C499="1/2L",C500="1/2L",C501="1/2L"),"OK",IF(OR(C499="L",C500="L",C501="L"),"LOSS",IF(OR(C499="X",C500="X",C501="X"),"Anulado"," "))))</f>
        <v>24</v>
      </c>
      <c r="C499" t="s" s="173">
        <v>114</v>
      </c>
      <c r="D499" t="s" s="305">
        <f>IF(G499="","",$D496)</f>
        <v>358</v>
      </c>
      <c r="E499" t="s" s="175">
        <f>IF(G499=""," ","– "&amp;COUNTIF(D$4:D501,$D499))</f>
        <v>145</v>
      </c>
      <c r="F499" t="s" s="176"/>
      <c r="G499" s="177">
        <v>44951.395833333336</v>
      </c>
      <c r="H499" t="s" s="178">
        <v>383</v>
      </c>
      <c r="I499" t="s" s="179">
        <v>62</v>
      </c>
      <c r="J499" s="180"/>
      <c r="K499" t="s" s="181">
        <v>37</v>
      </c>
      <c r="L499" s="182">
        <v>1.333</v>
      </c>
      <c r="M499" s="183">
        <v>40.5</v>
      </c>
      <c r="N499" s="184">
        <v>0</v>
      </c>
      <c r="O499" s="185">
        <f>IF(OR(AE499="",AE500=""),"",ROUND(IF(L501&gt;0,IF(M499&gt;0,M499,IF(M500&gt;0,ROUND((M500*AE499)/AE500,IF(N499=0,2,IF(N499=0.1,1,0))),ROUND((M501*AE499)/AE501,IF(N499=0,2,IF(N499=0.1,1,0))))),IF(M499&gt;0,M499,ROUND((M500*AE499)/AE500,IF(N499=0,2,IF(N499=0.1,1,0))))),2))</f>
        <v>40.5</v>
      </c>
      <c r="P499" s="186">
        <f>IF(OR(L499="",O499=""),"",IF($C499="1/2W",O499/2+O499/2*L499,IF($C499="1/2L",O499/2,IF(I499="Lay",(O499*(L499/(L499-1))-O499)*(1-_xlfn.XLOOKUP(K499,'Janeiro 2023 - Valor Real'!A3:A15,'Janeiro 2023 - Valor Real'!C3:C15,0))+O499,(O499*L499-O499)*(1-_xlfn.XLOOKUP(K499,'Janeiro 2023 - Valor Real'!A3:A15,'Janeiro 2023 - Valor Real'!C3:C15,0))+O499))))</f>
        <v>53.9865</v>
      </c>
      <c r="Q499" s="187">
        <f>IF(K499="","",IF(_xlfn.XLOOKUP(K499,K$122:K272,DJ$122:DJ272,0,,-1)=DJ499,_xlfn.XLOOKUP(K499,K$122:K272,Q$122:Q272,1,,-1)+1,1))</f>
        <v>1</v>
      </c>
      <c r="R499" s="188">
        <f>IF(K499="","",_xlfn.XLOOKUP(K499,K$122:K272,R$122:R272,0,,-1)+IF($C499=" ",1,0))</f>
        <v>0</v>
      </c>
      <c r="S499" s="189">
        <f>IF($B499="Anulado",0,ROUND(IF(OR($B499="LOSS",$B499="OK"),IF(OR($C499="W",$C499="1/2W",$C499="1/2L"),P499-O499,IF($C499="L",-O499,0))+IF(OR($C500="W",$C500="1/2W",$C500="1/2L"),P500-O500,IF($C500="L",-O500,0))+IF(OR($C501="W",$C501="1/2W",$C501="1/2L"),P501-O501,IF($C501="L",-O501,0)),IF(AND(OR($C499="W",$C499="1/2W",$C499="1/2L"),C500="W"),P499+P500-SUM(O499:O501)+_xlfn.XLOOKUP("X",C499:C501,O499:O501,0),IF(AND(C499=TRUE,C501="W"),P499+P501-SUM(O499:O501),IF(AND(C500="W",C501="W"),P500+P501-SUM(O499:O501)+_xlfn.XLOOKUP("X",C499:C501,O499:O501,0),IF(L501&gt;0,IF(OR($C499="W",$C499="1/2W",$C499="1/2L"),P499-SUM(O499:O501)+_xlfn.XLOOKUP("X",C499:C501,O499:O501,0),IF(OR($C499="W",$C499="1/2W",$C499="1/2L"),P500-SUM(O499:O501)+_xlfn.XLOOKUP("X",C499:C501,O499:O501,0),IF(OR($C499="W",$C499="1/2W",$C499="1/2L"),P501-SUM(O499:O501)+_xlfn.XLOOKUP("X",C499:C501,O499:O501,0),IF(SUM(P499:P501)/3-SUM(O499:O501)+_xlfn.XLOOKUP("X",C499:C501,O499:O501,0)&gt;0,SUM(P499:P501)/3-SUM(O499:O501)+_xlfn.XLOOKUP("X",C499:C501,O499:O501,0),LARGE(P499:P501,1)-SUM(O499:O501))))),IF(OR($C499="W",$C499="1/2W",$C499="1/2L"),P499-SUM(O499:O500)+_xlfn.XLOOKUP("X",C499:C501,O499:O501,0),IF(OR($C499="W",$C499="1/2W",$C499="1/2L"),P500-SUM(O499:O500)+_xlfn.XLOOKUP("X",C499:C501,O499:O501,0),SUM(P499:P500)/2-SUM(O499:O500)+_xlfn.XLOOKUP("X",C499:C501,O499:O501,0)))))))),2))</f>
        <v>0</v>
      </c>
      <c r="T499" s="190">
        <f>IF(S499=0,0,S499/SUM(O499:O501))</f>
        <v>0</v>
      </c>
      <c r="U499" s="191">
        <f>IF($D499=$D496,IF(OR($B499="LOSS",$B499="OK",$B499="Anulada"),S499,0)+U496,IF(OR($B499="LOSS",$B499="OK",$B499="Anulada"),S499,0))</f>
        <v>24.35</v>
      </c>
      <c r="V499" s="191">
        <f>IF($D499="",0,IF($D499=$D496,IF($B499=" ",IF(I501="",IF(OR(AND(I499="DNB1",I500="DNB2"),AND(OR(I499="DNB1",I499="DNB2"),J500=0),AND(OR(I500="DNB1",I500="DNB2"),J499=0),AND(I499="DNB2",I500="DNB1"),AND(IF(J499=0,(J499+1)/ROUND(J499+1,0),J499/ROUND(J499,0))=1,IF(J500=0,(J500+1)/ROUND(IF(J500="",0,J500)+1,0),IF(J500="",0,J500)/ROUND(IF(J500="",1,J500),0))=1,OR(J499&lt;&gt;""),J500&lt;&gt;"")),0,IF(S499&lt;0,IF(I501="",SMALL(P499:P500,1)-SUM(O499:O500),0),SMALL(P499:P500,1)-SUM(O499:O500))),IF(S499&lt;0,IF(I501="",SMALL(P499:P501,1)-SUM(O499:O501),0),LARGE(P499:P501,1)-SUM(O499:O501))),S499)+V496,IF(I501="",IF(OR(AND(I499="DNB1",I500="DNB2"),AND(OR(I499="DNB1",I499="DNB2"),J500=0),AND(OR(I500="DNB1",I500="DNB2"),J499=0),AND(I499="DNB2",I500="DNB1"),AND(IF(J499=0,(J499+1)/ROUND(J499+1,0),J499/ROUND(J499,0))=1,IF(J500=0,(IF(J500="",0,J500)+1)/ROUND(IF(J500="",0,J500)+1,0),IF(J500="",0,J500)/ROUND(IF(J500="",0,J500)+1,0))=1,OR(J499&lt;&gt;""),J500&lt;&gt;"")),0,IF(S499&lt;0,IF(I501="",SMALL(P499:P500,1)-SUM(O499:O500),0),SMALL(P499:P501,1)-SUM(O499:O501))),IF(S499&lt;0,IF(I501="",SMALL(P499:P501,1)-SUM(O499:O501),0),LARGE(P499:P501,1)-SUM(O499:O501)))))</f>
        <v>24.35</v>
      </c>
      <c r="W499" s="191">
        <f>IF($D499=$D496,IF(S499&lt;0,IF(I501="",S499,0),S499)+W496,S499)</f>
        <v>24.35</v>
      </c>
      <c r="X499" t="s" s="192">
        <f>IF(OR(SUM(R499:R501)=0,V499=W499),ROUND(IF(W499=0,0,W499/Y499)*100,2)&amp;"%",ROUND(IF(V499=0,0,V499/Y499)*100,2)&amp;"% a "&amp;ROUND(IF(W499=0,0,W499/Y499)*100,2)&amp;"%")</f>
        <v>387</v>
      </c>
      <c r="Y499" s="193">
        <f>IF($D499=$D496,Y496+SUM(O499:O501),SUM(O499:O501))</f>
        <v>492</v>
      </c>
      <c r="Z499" s="191">
        <f>IF($B499=" ",SUM(O499:O501),0)+Z496</f>
        <v>0</v>
      </c>
      <c r="AA499" s="191">
        <f>IF(G499="","",IF($B499="Anulado",LARGE(P499:P501,1)-SUM(O499:O501)+AA496,AA496))</f>
        <v>24.9665076923077</v>
      </c>
      <c r="AB499" s="191">
        <f>IF($D499="","",AB496+S499)</f>
        <v>332.2</v>
      </c>
      <c r="AC499" s="194">
        <f>IF($D499="","",IF($B499=" ",IF(DAY(G499)=DAY(TODAY()),1+AC496,0+AC496),0+AC496))</f>
        <v>0</v>
      </c>
      <c r="AD499" s="195">
        <f>(((L500/(L500-1)-1)*(1-_xlfn.XLOOKUP(K500,'Janeiro 2023 - Valor Real'!A3:A15,'Janeiro 2023 - Valor Real'!C3:C15,0))+1))/(((L499-1)*(1-_xlfn.XLOOKUP(K499,'Janeiro 2023 - Valor Real'!A3:A15,'Janeiro 2023 - Valor Real'!C3:C15,0))+1)+((L500/(L500-1)-1)*(1-_xlfn.XLOOKUP(K500,'Janeiro 2023 - Valor Real'!A3:A15,'Janeiro 2023 - Valor Real'!C3:C15,0))+1))</f>
        <v>0.775178712749257</v>
      </c>
      <c r="AE499" s="196">
        <f>IF(L499="","",IF(L501&gt;0,(SUM(((L499-1)*(1-_xlfn.XLOOKUP(K499,'Janeiro 2023 - Valor Real'!A3:A15,'Janeiro 2023 - Valor Real'!C3:C15,0))+1),((L500-1)*(1-_xlfn.XLOOKUP(K500,'Janeiro 2023 - Valor Real'!A3:A15,'Janeiro 2023 - Valor Real'!C3:C15,0))+1),((L501-1)*(1-_xlfn.XLOOKUP(K501,'Janeiro 2023 - Valor Real'!A3:A15,'Janeiro 2023 - Valor Real'!C3:C15,0))+1))/((L499-1)*(1-_xlfn.XLOOKUP(K499,'Janeiro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Real'!C3:C15,0))+1))/((L499-1)*(1-_xlfn.XLOOKUP(K499,'Janeiro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Real'!C3:C15,0))+1))/((L500-1)*(1-_xlfn.XLOOKUP(K500,'Janeiro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Real'!C3:C15,0))+1))/((L501-1)*(1-_xlfn.XLOOKUP(K501,'Janeiro 2023 - Valor Real'!A3:A15,'Janeiro 2023 - Valor Real'!C3:C15,0))+1)),IF(I499="Lay",IF(I500="Lay",((L500/(L500-1)-1)*(1-_xlfn.XLOOKUP(K500,'Janeiro 2023 - Valor Real'!A3:A15,'Janeiro 2023 - Valor Real'!C3:C15,0))+1)/(((L500/(L500-1)-1)*(1-_xlfn.XLOOKUP(K500,'Janeiro 2023 - Valor Real'!A3:A15,'Janeiro 2023 - Valor Real'!C3:C15,0))+1)+((L499/(L499-1)-1)*(1-_xlfn.XLOOKUP(K499,'Janeiro 2023 - Valor Real'!A3:A15,'Janeiro 2023 - Valor Real'!C3:C15,0))+1)),((L500-1)*(1-_xlfn.XLOOKUP(K500,'Janeiro 2023 - Valor Real'!A3:A15,'Janeiro 2023 - Valor Real'!C3:C15,0))+1)/(((L500-1)*(1-_xlfn.XLOOKUP(K500,'Janeiro 2023 - Valor Real'!A3:A15,'Janeiro 2023 - Valor Real'!C3:C15,0))+1)+((L499/(L499-1)-1)*(1-_xlfn.XLOOKUP(K499,'Janeiro 2023 - Valor Real'!A3:A15,'Janeiro 2023 - Valor Real'!C3:C15,0))+1))),IF(I500="Lay",(((L500/(L500-1)-1)*(1-_xlfn.XLOOKUP(K500,'Janeiro 2023 - Valor Real'!A3:A15,'Janeiro 2023 - Valor Real'!C3:C15,0))+1))/(((L499-1)*(1-_xlfn.XLOOKUP(K499,'Janeiro 2023 - Valor Real'!A3:A15,'Janeiro 2023 - Valor Real'!C3:C15,0))+1)+((L500/(L500-1)-1)*(1-_xlfn.XLOOKUP(K500,'Janeiro 2023 - Valor Real'!A3:A15,'Janeiro 2023 - Valor Real'!C3:C15,0))+1)),((L500-1)*(1-_xlfn.XLOOKUP(K500,'Janeiro 2023 - Valor Real'!A3:A15,'Janeiro 2023 - Valor Real'!C3:C15,0))+1)/(((L500-1)*(1-_xlfn.XLOOKUP(K500,'Janeiro 2023 - Valor Real'!A3:A15,'Janeiro 2023 - Valor Real'!C3:C15,0))+1)+((L499-1)*(1-_xlfn.XLOOKUP(K499,'Janeiro 2023 - Valor Real'!A3:A15,'Janeiro 2023 - Valor Real'!C3:C15,0))+1))))))</f>
        <v>0.775178712749257</v>
      </c>
      <c r="AF499" s="197">
        <f>IF($K499=AF$3,ROUND(IF(OR($C499="W",$C499="1/2W",$C499="1/2L"),$P499-$O499,IF($C499="X",0,-$O499)),2),0)</f>
        <v>0</v>
      </c>
      <c r="AG499" s="198">
        <f>IF($K499=AG$3,ROUND(IF(OR($C499="W",$C499="1/2W",$C499="1/2L"),$P499-$O499,IF($C499="X",0,-$O499)),2),0)</f>
        <v>0</v>
      </c>
      <c r="AH499" s="198">
        <f>IF($K499=AH$3,ROUND(IF(OR($C499="W",$C499="1/2W",$C499="1/2L"),$P499-$O499,IF($C499="X",0,-$O499)),2),0)</f>
        <v>0</v>
      </c>
      <c r="AI499" s="198">
        <f>IF($K499=AI$3,ROUND(IF(OR($C499="W",$C499="1/2W",$C499="1/2L"),$P499-$O499,IF($C499="X",0,-$O499)),2),0)</f>
        <v>0</v>
      </c>
      <c r="AJ499" s="198">
        <f>IF($K499=AJ$3,ROUND(IF(OR($C499="W",$C499="1/2W",$C499="1/2L"),$P499-$O499,IF($C499="X",0,-$O499)),2),0)</f>
        <v>0</v>
      </c>
      <c r="AK499" s="198">
        <f>IF($K499=AK$3,ROUND(IF(OR($C499="W",$C499="1/2W",$C499="1/2L"),$P499-$O499,IF($C499="X",0,-$O499)),2),0)</f>
        <v>0</v>
      </c>
      <c r="AL499" s="198">
        <f>IF($K499=AL$3,ROUND(IF(OR($C499="W",$C499="1/2W",$C499="1/2L"),$P499-$O499,IF($C499="X",0,-$O499)),2),0)</f>
        <v>0</v>
      </c>
      <c r="AM499" s="198">
        <f>IF($K499=AM$3,ROUND(IF(OR($C499="W",$C499="1/2W",$C499="1/2L"),$P499-$O499,IF($C499="X",0,-$O499)),2),0)</f>
        <v>0</v>
      </c>
      <c r="AN499" s="198">
        <f>IF($K499=AN$3,ROUND(IF(OR($C499="W",$C499="1/2W",$C499="1/2L"),$P499-$O499,IF($C499="X",0,-$O499)),2),0)</f>
        <v>0</v>
      </c>
      <c r="AO499" s="198">
        <f>IF($K499=AO$3,ROUND(IF(OR($C499="W",$C499="1/2W",$C499="1/2L"),$P499-$O499,IF($C499="X",0,-$O499)),2),0)</f>
        <v>0</v>
      </c>
      <c r="AP499" s="198">
        <f>IF($K499=AP$3,ROUND(IF(OR($C499="W",$C499="1/2W",$C499="1/2L"),$P499-$O499,IF($C499="X",0,-$O499)),2),0)</f>
        <v>0</v>
      </c>
      <c r="AQ499" s="198">
        <f>IF($K499=AQ$3,ROUND(IF(OR($C499="W",$C499="1/2W",$C499="1/2L"),$P499-$O499,IF($C499="X",0,-$O499)),2),0)</f>
        <v>0</v>
      </c>
      <c r="AR499" s="199">
        <f>IF($K499=AR$3,ROUND(IF(OR($C499="W",$C499="1/2W",$C499="1/2L"),$P499-$O499,IF($C499="X",0,-$O499)),2),0)</f>
        <v>0</v>
      </c>
      <c r="AS499" s="197">
        <f>IF(AND($B499=" ",$K499=AS$3),$O499,0)</f>
        <v>0</v>
      </c>
      <c r="AT499" s="198">
        <f>IF(AND($B499=" ",$K499=AT$3),$O499,0)</f>
        <v>0</v>
      </c>
      <c r="AU499" s="198">
        <f>IF(AND($B499=" ",$K499=AU$3),$O499,0)</f>
        <v>0</v>
      </c>
      <c r="AV499" s="198">
        <f>IF(AND($B499=" ",$K499=AV$3),$O499,0)</f>
        <v>0</v>
      </c>
      <c r="AW499" s="198">
        <f>IF(AND($B499=" ",$K499=AW$3),$O499,0)</f>
        <v>0</v>
      </c>
      <c r="AX499" s="198">
        <f>IF(AND($B499=" ",$K499=AX$3),$O499,0)</f>
        <v>0</v>
      </c>
      <c r="AY499" s="200">
        <f>IF(AND($B499=" ",$K499=AY$3),$O499,0)</f>
        <v>0</v>
      </c>
      <c r="AZ499" s="201">
        <f>IF(AND($B499=" ",$K499=AZ$3),$O499,0)</f>
        <v>0</v>
      </c>
      <c r="BA499" s="201">
        <f>IF(AND($B499=" ",$K499=BA$3),$O499,0)</f>
        <v>0</v>
      </c>
      <c r="BB499" s="201">
        <f>IF(AND($B499=" ",$K499=BB$3),$O499,0)</f>
        <v>0</v>
      </c>
      <c r="BC499" s="202">
        <f>IF(AND($B499=" ",$K499=BC$3),$O499,0)</f>
        <v>0</v>
      </c>
      <c r="BD499" s="198">
        <f>IF(AND($B499=" ",$K499=BD$3),$O499,0)</f>
        <v>0</v>
      </c>
      <c r="BE499" s="199">
        <f>IF(AND($B499=" ",$K499=BE$3),$O499,0)</f>
        <v>0</v>
      </c>
      <c r="BF499" s="203">
        <f>IF($K499=BF$3,IF($C499="X",0,$O499),0)</f>
        <v>0</v>
      </c>
      <c r="BG499" s="198">
        <f>IF($K499=BG$3,IF($C499="X",0,$O499),0)</f>
        <v>0</v>
      </c>
      <c r="BH499" s="198">
        <f>IF($K499=BH$3,IF($C499="X",0,$O499),0)</f>
        <v>0</v>
      </c>
      <c r="BI499" s="198">
        <f>IF($K499=BI$3,IF($C499="X",0,$O499),0)</f>
        <v>0</v>
      </c>
      <c r="BJ499" s="198">
        <f>IF($K499=BJ$3,IF($C499="X",0,$O499),0)</f>
        <v>0</v>
      </c>
      <c r="BK499" s="198">
        <f>IF($K499=BK$3,IF($C499="X",0,$O499),0)</f>
        <v>0</v>
      </c>
      <c r="BL499" s="198">
        <f>IF($K499=BL$3,IF($C499="X",0,$O499),0)</f>
        <v>0</v>
      </c>
      <c r="BM499" s="200">
        <f>IF($K499=BM$3,IF($C499="X",0,$O499),0)</f>
        <v>0</v>
      </c>
      <c r="BN499" s="201">
        <f>IF($K499=BN$3,IF($C499="X",0,$O499),0)</f>
        <v>0</v>
      </c>
      <c r="BO499" s="201">
        <f>IF($K499=BO$3,IF($C499="X",0,$O499),0)</f>
        <v>0</v>
      </c>
      <c r="BP499" s="201">
        <f>IF($K499=BP$3,IF($C499="X",0,$O499),0)</f>
        <v>0</v>
      </c>
      <c r="BQ499" s="202">
        <f>IF($K499=BQ$3,IF($C499="X",0,$O499),0)</f>
        <v>0</v>
      </c>
      <c r="BR499" s="199">
        <f>IF($K499=BR$3,IF($C499="X",0,$O499),0)</f>
        <v>0</v>
      </c>
      <c r="BS499" s="204">
        <f>IF($B499="LOSS",IF(AND($K499=BS$3,$C499="L"),-$O499,0)+IF(AND($K500=BS$3,$C500="L"),-$O500,0)+IF(AND($K501=BS$3,$C501="L"),-$O501,0),IF(OR(AND($K499=BS$3,OR($C499="W",$C499="1/2W")),AND($K500=BS$3,OR($C500="W",$C500="1/2W")),AND($K501=BS$3,OR($C501="W",$C501="1/2W"))),$S499,0))</f>
        <v>0</v>
      </c>
      <c r="BT499" s="201">
        <f>IF($B499="LOSS",IF(AND($K499=BT$3,$C499="L"),-$O499,0)+IF(AND($K500=BT$3,$C500="L"),-$O500,0)+IF(AND($K500=BT$3,$C501="L"),-$O501,0),IF(OR(AND($K500=BT$3,OR($C499="W",$C499="1/2W")),AND($K500=BT$3,OR($C500="W",$C500="1/2W")),AND($K500=BT$3,OR($C501="W",$C501="1/2W"))),$S499,0))</f>
        <v>0</v>
      </c>
      <c r="BU499" s="201">
        <f>IF($B499="LOSS",IF(AND($K499=BU$3,$C499="L"),-$O499,0)+IF(AND($K500=BU$3,$C500="L"),-$O500,0)+IF(AND($K500=BU$3,$C501="L"),-$O501,0),IF(OR(AND($K500=BU$3,OR($C499="W",$C499="1/2W")),AND($K500=BU$3,OR($C500="W",$C500="1/2W")),AND($K500=BU$3,OR($C501="W",$C501="1/2W"))),$S499,0))</f>
        <v>0</v>
      </c>
      <c r="BV499" s="201">
        <f>IF($B499="LOSS",IF(AND($K499=BV$3,$C499="L"),-$O499,0)+IF(AND($K500=BV$3,$C500="L"),-$O500,0)+IF(AND($K501=BV$3,$C501="L"),-$O501,0),IF(OR(AND($K499=BV$3,OR($C499="W",$C499="1/2W")),AND($K500=BV$3,OR($C500="W",$C500="1/2W")),AND($K501=BV$3,OR($C501="W",$C501="1/2W"))),$S499,0))</f>
        <v>0</v>
      </c>
      <c r="BW499" s="201">
        <f>IF($B499="LOSS",IF(AND($K499=BW$3,$C499="L"),-$O499,0)+IF(AND($K500=BW$3,$C500="L"),-$O500,0)+IF(AND($K501=BW$3,$C501="L"),-$O501,0),IF(OR(AND($K499=BW$3,OR($C499="W",$C499="1/2W")),AND($K500=BW$3,OR($C500="W",$C500="1/2W")),AND($K501=BW$3,OR($C501="W",$C501="1/2W"))),$S499,0))</f>
        <v>0</v>
      </c>
      <c r="BX499" s="201">
        <f>IF($B499="LOSS",IF(AND($K499=BX$3,$C499="L"),-$O499,0)+IF(AND($K500=BX$3,$C500="L"),-$O500,0)+IF(AND($K501=BX$3,$C501="L"),-$O501,0),IF(OR(AND($K499=BX$3,OR($C499="W",$C499="1/2W")),AND($K500=BX$3,OR($C500="W",$C500="1/2W")),AND($K501=BX$3,OR($C501="W",$C501="1/2W"))),$S499,0))</f>
        <v>0</v>
      </c>
      <c r="BY499" s="201">
        <f>IF($B499="LOSS",IF(AND($K499=BY$3,$C499="L"),-$O499,0)+IF(AND($K500=BY$3,$C500="L"),-$O500,0)+IF(AND($K501=BY$3,$C501="L"),-$O501,0),IF(OR(AND($K499=BY$3,OR($C499="W",$C499="1/2W")),AND($K500=BY$3,OR($C500="W",$C500="1/2W")),AND($K501=BY$3,OR($C501="W",$C501="1/2W"))),$S499,0))</f>
        <v>0</v>
      </c>
      <c r="BZ499" s="205">
        <f>IF($B499="LOSS",IF(AND($K499=BZ$3,$C499="L"),-$O499,0)+IF(AND($K500=BZ$3,$C500="L"),-$O500,0)+IF(AND($K501=BZ$3,$C501="L"),-$O501,0),IF(OR(AND($K499=BZ$3,OR($C499="W",$C499="1/2W")),AND($K500=BZ$3,OR($C500="W",$C500="1/2W")),AND($K501=BZ$3,OR($C501="W",$C501="1/2W"))),$S499,0))</f>
        <v>0</v>
      </c>
      <c r="CA499" s="205">
        <f>IF($B499="LOSS",IF(AND($K499=CA$3,$C499="L"),-$O499,0)+IF(AND($K500=CA$3,$C500="L"),-$O500,0)+IF(AND($K501=CA$3,$C501="L"),-$O501,0),IF(OR(AND($K499=CA$3,OR($C499="W",$C499="1/2W")),AND($K500=CA$3,OR($C500="W",$C500="1/2W")),AND($K501=CA$3,OR($C501="W",$C501="1/2W"))),$S499,0))</f>
        <v>0</v>
      </c>
      <c r="CB499" s="205">
        <f>IF($B499="LOSS",IF(AND($K499=CB$3,$C499="L"),-$O499,0)+IF(AND($K500=CB$3,$C500="L"),-$O500,0)+IF(AND($K501=CB$3,$C501="L"),-$O501,0),IF(OR(AND($K499=CB$3,OR($C499="W",$C499="1/2W")),AND($K500=CB$3,OR($C500="W",$C500="1/2W")),AND($K501=CB$3,OR($C501="W",$C501="1/2W"))),$S499,0))</f>
        <v>0</v>
      </c>
      <c r="CC499" s="205">
        <f>IF($B499="LOSS",IF(AND($K499=CC$3,$C499="L"),-$O499,0)+IF(AND($K500=CC$3,$C500="L"),-$O500,0)+IF(AND($K501=CC$3,$C501="L"),-$O501,0),IF(OR(AND($K499=CC$3,OR($C499="W",$C499="1/2W")),AND($K500=CC$3,OR($C500="W",$C500="1/2W")),AND($K501=CC$3,OR($C501="W",$C501="1/2W"))),$S499,0))</f>
        <v>0</v>
      </c>
      <c r="CD499" s="202">
        <f>IF($B499="LOSS",IF(AND($K499=CD$3,$C499="L"),-$O499,0)+IF(AND($K500=CD$3,$C500="L"),-$O500,0)+IF(AND($K501=CD$3,$C501="L"),-$O501,0),IF(OR(AND($K499=CD$3,OR($C499="W",$C499="1/2W")),AND($K500=CD$3,OR($C500="W",$C500="1/2W")),AND($K501=CD$3,OR($C501="W",$C501="1/2W"))),$S499,0))</f>
        <v>0</v>
      </c>
      <c r="CE499" s="199">
        <f>IF($B499="LOSS",IF(AND($K499=CE$3,$C499="L"),-$O499,0)+IF(AND($K500=CE$3,$C500="L"),-$O500,0)+IF(AND($K501=CE$3,$C501="L"),-$O501,0),IF(OR(AND($K499=CE$3,OR($C499="W",$C499="1/2W")),AND($K500=CE$3,OR($C500="W",$C500="1/2W")),AND($K501=CE$3,OR($C501="W",$C501="1/2W"))),$S499,0))</f>
        <v>0</v>
      </c>
      <c r="CF499" s="206">
        <f>IF(CF$3=$K499,IF($C499="W",1,IF($C499="1/2W",0.5,0)),0)</f>
        <v>0</v>
      </c>
      <c r="CG499" s="207">
        <f>IF(CF$3=$K499,IF($C499="L",1,IF($C499="1/2L",0.5,0)),0)</f>
        <v>0</v>
      </c>
      <c r="CH499" s="207">
        <f>IF(CH$3=$K499,IF($C499="W",1,IF($C499="1/2W",0.5,0)),0)</f>
        <v>0</v>
      </c>
      <c r="CI499" s="207">
        <f>IF(CH$3=$K499,IF($C499="L",1,IF($C499="1/2L",0.5,0)),0)</f>
        <v>0</v>
      </c>
      <c r="CJ499" s="207">
        <f>IF(CJ$3=$K499,IF($C499="W",1,IF($C499="1/2W",0.5,0)),0)</f>
        <v>0</v>
      </c>
      <c r="CK499" s="207">
        <f>IF(CJ$3=$K499,IF($C499="L",1,IF($C499="1/2L",0.5,0)),0)</f>
        <v>0</v>
      </c>
      <c r="CL499" s="207">
        <f>IF(CL$3=$K499,IF($C499="W",1,IF($C499="1/2W",0.5,0)),0)</f>
        <v>0</v>
      </c>
      <c r="CM499" s="207">
        <f>IF(CL$3=$K499,IF($C499="L",1,IF($C499="1/2L",0.5,0)),0)</f>
        <v>0</v>
      </c>
      <c r="CN499" s="207">
        <f>IF(CN$3=$K499,IF($C499="W",1,IF($C499="1/2W",0.5,0)),0)</f>
        <v>0</v>
      </c>
      <c r="CO499" s="207">
        <f>IF(CN$3=$K499,IF($C499="L",1,IF($C499="1/2L",0.5,0)),0)</f>
        <v>0</v>
      </c>
      <c r="CP499" s="207">
        <f>IF(CP$3=$K499,IF($C499="W",1,IF($C499="1/2W",0.5,0)),0)</f>
        <v>0</v>
      </c>
      <c r="CQ499" s="207">
        <f>IF(CP$3=$K499,IF($C499="L",1,IF($C499="1/2L",0.5,0)),0)</f>
        <v>0</v>
      </c>
      <c r="CR499" s="207">
        <f>IF(CR$3=$K499,IF($C499="W",1,IF($C499="1/2W",0.5,0)),0)</f>
        <v>0</v>
      </c>
      <c r="CS499" s="207">
        <f>IF(CR$3=$K499,IF($C499="L",1,IF($C499="1/2L",0.5,0)),0)</f>
        <v>0</v>
      </c>
      <c r="CT499" s="208">
        <f>IF(CT$3=$K499,IF($C499="W",1,IF($C499="1/2W",0.5,0)),0)</f>
        <v>0</v>
      </c>
      <c r="CU499" s="209">
        <f>IF(CT$3=$K499,IF($C499="L",1,IF($C499="1/2L",0.5,0)),0)</f>
        <v>0</v>
      </c>
      <c r="CV499" s="209">
        <f>IF(CV$3=$K499,IF($C499="W",1,IF($C499="1/2W",0.5,0)),0)</f>
        <v>0</v>
      </c>
      <c r="CW499" s="209">
        <f>IF(CV$3=$K499,IF($C499="L",1,IF($C499="1/2L",0.5,0)),0)</f>
        <v>0</v>
      </c>
      <c r="CX499" s="209">
        <f>IF(CX$3=$K499,IF($C499="W",1,IF($C499="1/2W",0.5,0)),0)</f>
        <v>0</v>
      </c>
      <c r="CY499" s="209">
        <f>IF(CX$3=$K499,IF($C499="L",1,IF($C499="1/2L",0.5,0)),0)</f>
        <v>0</v>
      </c>
      <c r="CZ499" s="209">
        <f>IF(CZ$3=$K499,IF($C499="W",1,IF($C499="1/2W",0.5,0)),0)</f>
        <v>0</v>
      </c>
      <c r="DA499" s="209">
        <f>IF(CZ$3=$K499,IF($C499="L",1,IF($C499="1/2L",0.5,0)),0)</f>
        <v>0</v>
      </c>
      <c r="DB499" s="209">
        <f>IF(DB$3=$K499,IF($C499="W",1,IF($C499="1/2W",0.5,0)),0)</f>
        <v>0</v>
      </c>
      <c r="DC499" s="209">
        <f>IF(DB$3=$K499,IF($C499="L",1,IF($C499="1/2L",0.5,0)),0)</f>
        <v>0</v>
      </c>
      <c r="DD499" s="209">
        <f>IF(DD$3=$K499,IF($C499="W",1,IF($C499="1/2W",0.5,0)),0)</f>
        <v>0</v>
      </c>
      <c r="DE499" s="210">
        <f>IF(DD$3=$K499,IF($C499="L",1,IF($C499="1/2L",0.5,0)),0)</f>
        <v>0</v>
      </c>
      <c r="DF499" s="211">
        <f>IF(AND(L499&lt;DF$3,$C499="W"),1+DF498,DF498)</f>
        <v>16</v>
      </c>
      <c r="DG499" s="198">
        <f>IF(DF499&gt;DF498,L499+DG498,DG498)</f>
        <v>21.158</v>
      </c>
      <c r="DH499" s="209">
        <f>IF(AND(L499&gt;DH$3,$C499="W"),1+DH498,0+DH498)</f>
        <v>11</v>
      </c>
      <c r="DI499" s="198">
        <f>IF(DH499&gt;DH498,L499+DI498,DI498)</f>
        <v>59.13</v>
      </c>
      <c r="DJ499" t="s" s="306">
        <f>IF($D499="","",$D499)</f>
        <v>358</v>
      </c>
      <c r="DK499" s="209">
        <f>IF(AND($B499=" ",$D499&lt;&gt;""),1,0)</f>
        <v>0</v>
      </c>
    </row>
    <row r="500" ht="14.55" customHeight="1">
      <c r="A500" s="107"/>
      <c r="B500" s="108"/>
      <c r="C500" t="s" s="213">
        <v>114</v>
      </c>
      <c r="D500" s="110"/>
      <c r="E500" s="111"/>
      <c r="F500" s="113"/>
      <c r="G500" s="214"/>
      <c r="H500" s="114"/>
      <c r="I500" t="s" s="215">
        <v>75</v>
      </c>
      <c r="J500" t="s" s="216">
        <f>IF(OR(I499="TO",I499="TU",I499="TO1",I499="TU1",I499="TO2",I499="TU2"),J499,IF(OR(I499="AH1",I499="AH2"),IF(OR(I500="AH1",I500="AH2"),-J499,IF(OR(I500="EH1",I500="EH2"),-J499+0.5,"")),IF(OR(I499="EH1",I499="EH2"),IF(OR(I500="AH1",I500="AH2"),-J499+0.5,IF(OR(I500="EH1",I500="EH2"),-J499+1,"")),IF(AND(OR(I499="DNB1",I499="DNB2"),OR(I500="AH1",I500="AH2")),0,IF(AND(I499="Not ScoreBoth",OR(I500="TO1",I500="TO2")),0.5,"")))))</f>
      </c>
      <c r="K500" t="s" s="217">
        <v>39</v>
      </c>
      <c r="L500" s="218">
        <v>1.26</v>
      </c>
      <c r="M500" s="219"/>
      <c r="N500" s="120"/>
      <c r="O500" s="220">
        <f>IF(OR(AE499="",AE500=""),"",ROUND(IF(L501&gt;0,IF(M500&gt;0,M500,IF(M499&gt;0,IF(N499=TRUE,ROUND((M499*AE500)/AE499,0),(M499*AE500)/AE499),IF(M500&gt;0,ROUND(M500,IF(N499=0,2,IF(N499=0.1,1,0))),IF(M501&gt;0,ROUND(O501*AE500/AE501,IF(N499=0,2,IF(N499=0.1,1,0))),0)))),IF(M500&gt;0,M500,ROUND((M499*AE500)/AE499,IF(N499=0,2,IF(N499=0.1,1,0))))),2))</f>
        <v>11.75</v>
      </c>
      <c r="P500" s="221">
        <f>IF(OR(L500="",O500=""),"",IF($C500="1/2W",O500/2+O500/2*L500,IF($C500="1/2L",O500/2,IF(I500="Lay",((O500*(L500/(L500-1)))-O500)*(1-_xlfn.XLOOKUP(K500,'Janeiro 2023 - Valor Real'!A3:A15,'Janeiro 2023 - Valor Real'!C3:C15,0))+O500,(O500*L500-O500)*(1-_xlfn.XLOOKUP(K500,'Janeiro 2023 - Valor Real'!A3:A15,'Janeiro 2023 - Valor Real'!C3:C15,0))+O500))))</f>
        <v>54.0048076923077</v>
      </c>
      <c r="Q500" s="222">
        <f>IF(K500="","",IF(_xlfn.XLOOKUP(K500,K$123:K273,DJ$123:DJ273,0,,-1)=DJ500,_xlfn.XLOOKUP(K500,K$123:K273,Q$123:Q273,1,,-1)+1,1))</f>
        <v>1</v>
      </c>
      <c r="R500" s="223">
        <f>IF(K500="","",_xlfn.XLOOKUP(K500,K$123:K273,R$123:R273,0,,-1)+IF($C500=" ",1,0))</f>
        <v>0</v>
      </c>
      <c r="S500" s="125"/>
      <c r="T500" s="126"/>
      <c r="U500" s="126"/>
      <c r="V500" s="224"/>
      <c r="W500" s="126"/>
      <c r="X500" s="127"/>
      <c r="Y500" s="128"/>
      <c r="Z500" s="129"/>
      <c r="AA500" s="129"/>
      <c r="AB500" s="129"/>
      <c r="AC500" s="129"/>
      <c r="AD500" s="225">
        <f>(((L500/(L500-1)-1)*(1-_xlfn.XLOOKUP(K500,'Janeiro 2023 - Valor Real'!A3:A15,'Janeiro 2023 - Valor Real'!C3:C15,0))+1))</f>
        <v>4.59615384615385</v>
      </c>
      <c r="AE500" s="226">
        <f>IF(L500="","",IF(L501&gt;0,(SUM(((L499-1)*(1-_xlfn.XLOOKUP(K499,'Janeiro 2023 - Valor Real'!A3:A15,'Janeiro 2023 - Valor Real'!C3:C15,0))+1),((L500-1)*(1-_xlfn.XLOOKUP(K500,'Janeiro 2023 - Valor Real'!A3:A15,'Janeiro 2023 - Valor Real'!C3:C15,0))+1),((L501-1)*(1-_xlfn.XLOOKUP(K501,'Janeiro 2023 - Valor Real'!A3:A15,'Janeiro 2023 - Valor Real'!C3:C15,0))+1))/((L500-1)*(1-_xlfn.XLOOKUP(K500,'Janeiro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Real'!C3:C15,0))+1))/((L499-1)*(1-_xlfn.XLOOKUP(K499,'Janeiro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Real'!C3:C15,0))+1))/((L500-1)*(1-_xlfn.XLOOKUP(K500,'Janeiro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Real'!C3:C15,0))+1))/((L501-1)*(1-_xlfn.XLOOKUP(K501,'Janeiro 2023 - Valor Real'!A3:A15,'Janeiro 2023 - Valor Real'!C3:C15,0))+1)),IF(I500="Lay",IF(I499="Lay",((L499/(L499-1)-1)*(1-_xlfn.XLOOKUP(K499,'Janeiro 2023 - Valor Real'!A3:A15,'Janeiro 2023 - Valor Real'!C3:C15,0))+1)/(((L499/(L499-1)-1)*(1-_xlfn.XLOOKUP(K499,'Janeiro 2023 - Valor Real'!A3:A15,'Janeiro 2023 - Valor Real'!C3:C15,0))+1)+((L500/(L500-1)-1)*(1-_xlfn.XLOOKUP(K500,'Janeiro 2023 - Valor Real'!A3:A15,'Janeiro 2023 - Valor Real'!C3:C15,0))+1)),((L499-1)*(1-_xlfn.XLOOKUP(K499,'Janeiro 2023 - Valor Real'!A3:A15,'Janeiro 2023 - Valor Real'!C3:C15,0))+1)/(((L499-1)*(1-_xlfn.XLOOKUP(K499,'Janeiro 2023 - Valor Real'!A3:A15,'Janeiro 2023 - Valor Real'!C3:C15,0))+1)+((L500/(L500-1)-1)*(1-_xlfn.XLOOKUP(K500,'Janeiro 2023 - Valor Real'!A3:A15,'Janeiro 2023 - Valor Real'!C3:C15,0))+1))),IF(I499="Lay",((L499/(L499-1)-1)*(1-_xlfn.XLOOKUP(K499,'Janeiro 2023 - Valor Real'!A3:A15,'Janeiro 2023 - Valor Real'!C3:C15,0))+1)/((((L499/(L499-1)-1)*(1-_xlfn.XLOOKUP(K499,'Janeiro 2023 - Valor Real'!A3:A15,'Janeiro 2023 - Valor Real'!C3:C15,0))+1))+((L500-1)*(1-_xlfn.XLOOKUP(K500,'Janeiro 2023 - Valor Real'!A3:A15,'Janeiro 2023 - Valor Real'!C3:C15,0))+1)),((L499-1)*(1-_xlfn.XLOOKUP(K499,'Janeiro 2023 - Valor Real'!A3:A15,'Janeiro 2023 - Valor Real'!C3:C15,0))+1)/(((L499-1)*(1-_xlfn.XLOOKUP(K499,'Janeiro 2023 - Valor Real'!A3:A15,'Janeiro 2023 - Valor Real'!C3:C15,0))+1)+((L500-1)*(1-_xlfn.XLOOKUP(K500,'Janeiro 2023 - Valor Real'!A3:A15,'Janeiro 2023 - Valor Real'!C3:C15,0))+1))))))</f>
        <v>0.224821287250743</v>
      </c>
      <c r="AF500" s="197">
        <f>IF($K500=AF$3,ROUND(IF(OR($C500="W",$C500="1/2W",$C500="1/2L"),$P500-$O500,IF($C500="X",0,-$O500)),2),0)</f>
        <v>0</v>
      </c>
      <c r="AG500" s="198">
        <f>IF($K500=AG$3,ROUND(IF(OR($C500="W",$C500="1/2W",$C500="1/2L"),$P500-$O500,IF($C500="X",0,-$O500)),2),0)</f>
        <v>0</v>
      </c>
      <c r="AH500" s="198">
        <f>IF($K500=AH$3,ROUND(IF(OR($C500="W",$C500="1/2W",$C500="1/2L"),$P500-$O500,IF($C500="X",0,-$O500)),2),0)</f>
        <v>0</v>
      </c>
      <c r="AI500" s="198">
        <f>IF($K500=AI$3,ROUND(IF(OR($C500="W",$C500="1/2W",$C500="1/2L"),$P500-$O500,IF($C500="X",0,-$O500)),2),0)</f>
        <v>0</v>
      </c>
      <c r="AJ500" s="198">
        <f>IF($K500=AJ$3,ROUND(IF(OR($C500="W",$C500="1/2W",$C500="1/2L"),$P500-$O500,IF($C500="X",0,-$O500)),2),0)</f>
        <v>0</v>
      </c>
      <c r="AK500" s="198">
        <f>IF($K500=AK$3,ROUND(IF(OR($C500="W",$C500="1/2W",$C500="1/2L"),$P500-$O500,IF($C500="X",0,-$O500)),2),0)</f>
        <v>0</v>
      </c>
      <c r="AL500" s="198">
        <f>IF($K500=AL$3,ROUND(IF(OR($C500="W",$C500="1/2W",$C500="1/2L"),$P500-$O500,IF($C500="X",0,-$O500)),2),0)</f>
        <v>0</v>
      </c>
      <c r="AM500" s="198">
        <f>IF($K500=AM$3,ROUND(IF(OR($C500="W",$C500="1/2W",$C500="1/2L"),$P500-$O500,IF($C500="X",0,-$O500)),2),0)</f>
        <v>0</v>
      </c>
      <c r="AN500" s="198">
        <f>IF($K500=AN$3,ROUND(IF(OR($C500="W",$C500="1/2W",$C500="1/2L"),$P500-$O500,IF($C500="X",0,-$O500)),2),0)</f>
        <v>0</v>
      </c>
      <c r="AO500" s="198">
        <f>IF($K500=AO$3,ROUND(IF(OR($C500="W",$C500="1/2W",$C500="1/2L"),$P500-$O500,IF($C500="X",0,-$O500)),2),0)</f>
        <v>0</v>
      </c>
      <c r="AP500" s="198">
        <f>IF($K500=AP$3,ROUND(IF(OR($C500="W",$C500="1/2W",$C500="1/2L"),$P500-$O500,IF($C500="X",0,-$O500)),2),0)</f>
        <v>0</v>
      </c>
      <c r="AQ500" s="198">
        <f>IF($K500=AQ$3,ROUND(IF(OR($C500="W",$C500="1/2W",$C500="1/2L"),$P500-$O500,IF($C500="X",0,-$O500)),2),0)</f>
        <v>0</v>
      </c>
      <c r="AR500" s="199">
        <f>IF($K500=AR$3,ROUND(IF(OR($C500="W",$C500="1/2W",$C500="1/2L"),$P500-$O500,IF($C500="X",0,-$O500)),2),0)</f>
        <v>0</v>
      </c>
      <c r="AS500" s="197">
        <f>IF(AND($B499=" ",$K500=AS$3),$O500,0)</f>
        <v>0</v>
      </c>
      <c r="AT500" s="198">
        <f>IF(AND($B499=" ",K500=AT$3),$O500,0)</f>
        <v>0</v>
      </c>
      <c r="AU500" s="198">
        <f>IF(AND($B499=" ",$K500=AU$3),$O500,0)</f>
        <v>0</v>
      </c>
      <c r="AV500" s="198">
        <f>IF(AND($B499=" ",$K500=AV$3),$O500,0)</f>
        <v>0</v>
      </c>
      <c r="AW500" s="198">
        <f>IF(AND($B499=" ",$K500=AW$3),$O500,0)</f>
        <v>0</v>
      </c>
      <c r="AX500" s="198">
        <f>IF(AND($B499=" ",$K500=AX$3),$O500,0)</f>
        <v>0</v>
      </c>
      <c r="AY500" s="200">
        <f>IF(AND($B499=" ",$K500=AY$3),$O500,0)</f>
        <v>0</v>
      </c>
      <c r="AZ500" s="201">
        <f>IF(AND($B499=" ",$K500=AZ$3),$O500,0)</f>
        <v>0</v>
      </c>
      <c r="BA500" s="201">
        <f>IF(AND($B499=" ",$K500=BA$3),$O500,0)</f>
        <v>0</v>
      </c>
      <c r="BB500" s="201">
        <f>IF(AND($B499=" ",$K500=BB$3),$O500,0)</f>
        <v>0</v>
      </c>
      <c r="BC500" s="202">
        <f>IF(AND($B499=" ",$K500=BC$3),$O500,0)</f>
        <v>0</v>
      </c>
      <c r="BD500" s="198">
        <f>IF(AND($B499=" ",$K500=BD$3),$O500,0)</f>
        <v>0</v>
      </c>
      <c r="BE500" s="199">
        <f>IF(AND($B499=" ",$K500=BE$3),$O500,0)</f>
        <v>0</v>
      </c>
      <c r="BF500" s="197">
        <f>IF($K500=BF$3,IF($C500="X",0,$O500),0)</f>
        <v>0</v>
      </c>
      <c r="BG500" s="198">
        <f>IF($K500=BG$3,IF($C500="X",0,$O500),0)</f>
        <v>0</v>
      </c>
      <c r="BH500" s="198">
        <f>IF($K500=BH$3,IF($C500="X",0,$O500),0)</f>
        <v>0</v>
      </c>
      <c r="BI500" s="198">
        <f>IF($K500=BI$3,IF($C500="X",0,$O500),0)</f>
        <v>0</v>
      </c>
      <c r="BJ500" s="198">
        <f>IF($K500=BJ$3,IF($C500="X",0,$O500),0)</f>
        <v>0</v>
      </c>
      <c r="BK500" s="198">
        <f>IF($K500=BK$3,IF($C500="X",0,$O500),0)</f>
        <v>0</v>
      </c>
      <c r="BL500" s="198">
        <f>IF($K500=BL$3,IF($C500="X",0,$O500),0)</f>
        <v>0</v>
      </c>
      <c r="BM500" s="227">
        <f>IF($K500=BM$3,IF($C500="X",0,$O500),0)</f>
        <v>0</v>
      </c>
      <c r="BN500" s="205">
        <f>IF($K500=BN$3,IF($C500="X",0,$O500),0)</f>
        <v>0</v>
      </c>
      <c r="BO500" s="205">
        <f>IF($K500=BO$3,IF($C500="X",0,$O500),0)</f>
        <v>0</v>
      </c>
      <c r="BP500" s="205">
        <f>IF($K500=BP$3,IF($C500="X",0,$O500),0)</f>
        <v>0</v>
      </c>
      <c r="BQ500" s="202">
        <f>IF($K500=BQ$3,IF($C500="X",0,$O500),0)</f>
        <v>0</v>
      </c>
      <c r="BR500" s="199">
        <f>IF($K500=BR$3,IF($C500="X",0,$O500),0)</f>
        <v>0</v>
      </c>
      <c r="BS500" s="228"/>
      <c r="BT500" s="229"/>
      <c r="BU500" s="140"/>
      <c r="BV500" s="229"/>
      <c r="BW500" s="140"/>
      <c r="BX500" s="140"/>
      <c r="BY500" s="140"/>
      <c r="BZ500" s="229"/>
      <c r="CA500" s="140"/>
      <c r="CB500" s="140"/>
      <c r="CC500" s="140"/>
      <c r="CD500" s="141"/>
      <c r="CE500" s="142"/>
      <c r="CF500" s="230">
        <f>IF(CF$3=$K500,IF($C500="W",1,IF($C500="1/2W",0.5,0)),0)</f>
        <v>0</v>
      </c>
      <c r="CG500" s="231">
        <f>IF(CF$3=$K500,IF($C500="L",1,IF($C500="1/2L",0.5,0)),0)</f>
        <v>0</v>
      </c>
      <c r="CH500" s="231">
        <f>IF(CH$3=$K500,IF($C500="W",1,IF($C500="1/2W",0.5,0)),0)</f>
        <v>0</v>
      </c>
      <c r="CI500" s="231">
        <f>IF(CH$3=$K500,IF($C500="L",1,IF($C500="1/2L",0.5,0)),0)</f>
        <v>0</v>
      </c>
      <c r="CJ500" s="231">
        <f>IF(CJ$3=$K500,IF($C500="W",1,IF($C500="1/2W",0.5,0)),0)</f>
        <v>0</v>
      </c>
      <c r="CK500" s="231">
        <f>IF(CJ$3=$K500,IF($C500="L",1,IF($C500="1/2L",0.5,0)),0)</f>
        <v>0</v>
      </c>
      <c r="CL500" s="231">
        <f>IF(CL$3=$K500,IF($C500="W",1,IF($C500="1/2W",0.5,0)),0)</f>
        <v>0</v>
      </c>
      <c r="CM500" s="231">
        <f>IF(CL$3=$K500,IF($C500="L",1,IF($C500="1/2L",0.5,0)),0)</f>
        <v>0</v>
      </c>
      <c r="CN500" s="231">
        <f>IF(CN$3=$K500,IF($C500="W",1,IF($C500="1/2W",0.5,0)),0)</f>
        <v>0</v>
      </c>
      <c r="CO500" s="231">
        <f>IF(CN$3=$K500,IF($C500="L",1,IF($C500="1/2L",0.5,0)),0)</f>
        <v>0</v>
      </c>
      <c r="CP500" s="231">
        <f>IF(CP$3=$K500,IF($C500="W",1,IF($C500="1/2W",0.5,0)),0)</f>
        <v>0</v>
      </c>
      <c r="CQ500" s="231">
        <f>IF(CP$3=$K500,IF($C500="L",1,IF($C500="1/2L",0.5,0)),0)</f>
        <v>0</v>
      </c>
      <c r="CR500" s="231">
        <f>IF(CR$3=$K500,IF($C500="W",1,IF($C500="1/2W",0.5,0)),0)</f>
        <v>0</v>
      </c>
      <c r="CS500" s="231">
        <f>IF(CR$3=$K500,IF($C500="L",1,IF($C500="1/2L",0.5,0)),0)</f>
        <v>0</v>
      </c>
      <c r="CT500" s="208">
        <f>IF(CT$3=$K500,IF($C500="W",1,IF($C500="1/2W",0.5,0)),0)</f>
        <v>0</v>
      </c>
      <c r="CU500" s="209">
        <f>IF(CT$3=$K500,IF($C500="L",1,IF($C500="1/2L",0.5,0)),0)</f>
        <v>0</v>
      </c>
      <c r="CV500" s="209">
        <f>IF(CV$3=$K500,IF($C500="W",1,IF($C500="1/2W",0.5,0)),0)</f>
        <v>0</v>
      </c>
      <c r="CW500" s="209">
        <f>IF(CV$3=$K500,IF($C500="L",1,IF($C500="1/2L",0.5,0)),0)</f>
        <v>0</v>
      </c>
      <c r="CX500" s="209">
        <f>IF(CX$3=$K500,IF($C500="W",1,IF($C500="1/2W",0.5,0)),0)</f>
        <v>0</v>
      </c>
      <c r="CY500" s="209">
        <f>IF(CX$3=$K500,IF($C500="L",1,IF($C500="1/2L",0.5,0)),0)</f>
        <v>0</v>
      </c>
      <c r="CZ500" s="209">
        <f>IF(CZ$3=$K500,IF($C500="W",1,IF($C500="1/2W",0.5,0)),0)</f>
        <v>0</v>
      </c>
      <c r="DA500" s="209">
        <f>IF(CZ$3=$K500,IF($C500="L",1,IF($C500="1/2L",0.5,0)),0)</f>
        <v>0</v>
      </c>
      <c r="DB500" s="209">
        <f>IF(DB$3=$K500,IF($C500="W",1,IF($C500="1/2W",0.5,0)),0)</f>
        <v>0</v>
      </c>
      <c r="DC500" s="209">
        <f>IF(DB$3=$K500,IF($C500="L",1,IF($C500="1/2L",0.5,0)),0)</f>
        <v>0</v>
      </c>
      <c r="DD500" s="209">
        <f>IF(DD$3=$K500,IF($C500="W",1,IF($C500="1/2W",0.5,0)),0)</f>
        <v>0</v>
      </c>
      <c r="DE500" s="210">
        <f>IF(DD$3=$K500,IF($C500="L",1,IF($C500="1/2L",0.5,0)),0)</f>
        <v>0</v>
      </c>
      <c r="DF500" s="211">
        <f>IF(AND(L500&lt;DF$3,$C500="W"),1+DF499,DF499)</f>
        <v>16</v>
      </c>
      <c r="DG500" s="198">
        <f>IF(DF500&gt;DF499,L500+DG499,DG499)</f>
        <v>21.158</v>
      </c>
      <c r="DH500" s="209">
        <f>IF(AND(L500&gt;DH$3,$C500="W"),1+DH499,0+DH499)</f>
        <v>11</v>
      </c>
      <c r="DI500" s="198">
        <f>IF(DH500&gt;DH499,L500+DI499,DI499)</f>
        <v>59.13</v>
      </c>
      <c r="DJ500" t="s" s="306">
        <f>IF($D499="","",$D499)</f>
        <v>358</v>
      </c>
      <c r="DK500" s="232"/>
    </row>
    <row r="501" ht="14.55" customHeight="1">
      <c r="A501" s="149"/>
      <c r="B501" s="150"/>
      <c r="C501" t="s" s="233">
        <v>58</v>
      </c>
      <c r="D501" s="152"/>
      <c r="E501" s="153"/>
      <c r="F501" s="155"/>
      <c r="G501" s="234"/>
      <c r="H501" s="156"/>
      <c r="I501" s="235"/>
      <c r="J501" s="236"/>
      <c r="K501" s="237"/>
      <c r="L501" s="238"/>
      <c r="M501" s="239"/>
      <c r="N501" s="161"/>
      <c r="O501" t="s" s="240">
        <f>IF(OR(AE499="",AE500=""),"",IF(L501&gt;0,ROUND(IF(M501&gt;0,M501,IF(M499&gt;0,ROUND((M499*AE501)/AE499,IF(N499=0,2,IF(N499=0.1,1,0))),IF(M500&gt;0,ROUND((M500*AE501)/AE500,IF(N499=0,2,IF(N499=0.1,1,0))),IF(M501&gt;0,M501,0)))),2),""))</f>
      </c>
      <c r="P501" s="309">
        <f>IF(I500="Lay",O500*(L500/(L500-1))-O500,IF(I499="Lay",O499*(L499/(L499-1))-O499,IF(OR(L501="",O501=""),"",IF($C501="1/2W",O501/2+O501/2*L501,IF($C501="1/2L",O501/2,(O501*L501-O501)*(1-_xlfn.XLOOKUP(K501,'Janeiro 2023 - Valor Real'!A3:A15,'Janeiro 2023 - Valor Real'!C3:C15,0))+O501)))))</f>
        <v>45.1923076923077</v>
      </c>
      <c r="Q501" t="s" s="242">
        <f>IF(K501="","",IF(_xlfn.XLOOKUP(K501,K$124:K274,DJ$124:DJ274,0,,-1)=DJ501,_xlfn.XLOOKUP(K501,K$124:K274,Q$124:Q274,1,,-1)+1,1))</f>
      </c>
      <c r="R501" t="s" s="243">
        <f>IF(K501="","",_xlfn.XLOOKUP(K501,K$124:K274,R$124:R274,0,,-1)+IF($C501=" ",1,0))</f>
      </c>
      <c r="S501" s="166"/>
      <c r="T501" s="155"/>
      <c r="U501" s="155"/>
      <c r="V501" s="166"/>
      <c r="W501" s="155"/>
      <c r="X501" s="167"/>
      <c r="Y501" s="128"/>
      <c r="Z501" s="129"/>
      <c r="AA501" s="129"/>
      <c r="AB501" s="129"/>
      <c r="AC501" s="129"/>
      <c r="AD501" s="244">
        <f>((L500/(L500-1)-1))</f>
        <v>3.84615384615385</v>
      </c>
      <c r="AE501" t="s" s="245">
        <f>IF(L501="","",(SUM(((L499-1)*(1-_xlfn.XLOOKUP(K499,'Janeiro 2023 - Valor Real'!A3:A15,'Janeiro 2023 - Valor Real'!C3:C15,0))+1),((L500-1)*(1-_xlfn.XLOOKUP(K500,'Janeiro 2023 - Valor Real'!A3:A15,'Janeiro 2023 - Valor Real'!C3:C15,0))+1),((L501-1)*(1-_xlfn.XLOOKUP(K501,'Janeiro 2023 - Valor Real'!A3:A15,'Janeiro 2023 - Valor Real'!C3:C15,0))+1))/((L501-1)*(1-_xlfn.XLOOKUP(K501,'Janeiro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Real'!C3:C15,0))+1))/((L499-1)*(1-_xlfn.XLOOKUP(K499,'Janeiro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Real'!C3:C15,0))+1))/((L500-1)*(1-_xlfn.XLOOKUP(K500,'Janeiro 2023 - Valor Real'!A3:A15,'Janeiro 2023 - Valor Real'!C3:C15,0))+1)+SUM(((L499-1)*(1-_xlfn.XLOOKUP(K499,'Janeiro 2023 - Valor Real'!A3:A15,'Janeiro 2023 - Valor Real'!C3:C15,0))+1),((L500-1)*(1-_xlfn.XLOOKUP(K500,'Janeiro 2023 - Valor Real'!A3:A15,'Janeiro 2023 - Valor Real'!C3:C15,0))+1),((L501-1)*(1-_xlfn.XLOOKUP(K501,'Janeiro 2023 - Valor Real'!A3:A15,'Janeiro 2023 - Valor Real'!C3:C15,0))+1))/((L501-1)*(1-_xlfn.XLOOKUP(K501,'Janeiro 2023 - Valor Real'!A3:A15,'Janeiro 2023 - Valor Real'!C3:C15,0))+1)))</f>
      </c>
      <c r="AF501" s="197">
        <f>IF($K501=AF$3,ROUND(IF(OR($C501="W",$C501="1/2W",$C501="1/2L"),$P501-$O501,IF($C501="X",0,-$O501)),2),0)</f>
        <v>0</v>
      </c>
      <c r="AG501" s="198">
        <f>IF($K501=AG$3,ROUND(IF(OR($C501="W",$C501="1/2W",$C501="1/2L"),$P501-$O501,IF($C501="X",0,-$O501)),2),0)</f>
        <v>0</v>
      </c>
      <c r="AH501" s="198">
        <f>IF($K501=AH$3,ROUND(IF(OR($C501="W",$C501="1/2W",$C501="1/2L"),$P501-$O501,IF($C501="X",0,-$O501)),2),0)</f>
        <v>0</v>
      </c>
      <c r="AI501" s="198">
        <f>IF($K501=AI$3,ROUND(IF(OR($C501="W",$C501="1/2W",$C501="1/2L"),$P501-$O501,IF($C501="X",0,-$O501)),2),0)</f>
        <v>0</v>
      </c>
      <c r="AJ501" s="198">
        <f>IF($K501=AJ$3,ROUND(IF(OR($C501="W",$C501="1/2W",$C501="1/2L"),$P501-$O501,IF($C501="X",0,-$O501)),2),0)</f>
        <v>0</v>
      </c>
      <c r="AK501" s="198">
        <f>IF($K501=AK$3,ROUND(IF(OR($C501="W",$C501="1/2W",$C501="1/2L"),$P501-$O501,IF($C501="X",0,-$O501)),2),0)</f>
        <v>0</v>
      </c>
      <c r="AL501" s="198">
        <f>IF($K501=AL$3,ROUND(IF(OR($C501="W",$C501="1/2W",$C501="1/2L"),$P501-$O501,IF($C501="X",0,-$O501)),2),0)</f>
        <v>0</v>
      </c>
      <c r="AM501" s="198">
        <f>IF($K501=AM$3,ROUND(IF(OR($C501="W",$C501="1/2W",$C501="1/2L"),$P501-$O501,IF($C501="X",0,-$O501)),2),0)</f>
        <v>0</v>
      </c>
      <c r="AN501" s="198">
        <f>IF($K501=AN$3,ROUND(IF(OR($C501="W",$C501="1/2W",$C501="1/2L"),$P501-$O501,IF($C501="X",0,-$O501)),2),0)</f>
        <v>0</v>
      </c>
      <c r="AO501" s="198">
        <f>IF($K501=AO$3,ROUND(IF(OR($C501="W",$C501="1/2W",$C501="1/2L"),$P501-$O501,IF($C501="X",0,-$O501)),2),0)</f>
        <v>0</v>
      </c>
      <c r="AP501" s="198">
        <f>IF($K501=AP$3,ROUND(IF(OR($C501="W",$C501="1/2W",$C501="1/2L"),$P501-$O501,IF($C501="X",0,-$O501)),2),0)</f>
        <v>0</v>
      </c>
      <c r="AQ501" s="198">
        <f>IF($K501=AQ$3,ROUND(IF(OR($C501="W",$C501="1/2W",$C501="1/2L"),$P501-$O501,IF($C501="X",0,-$O501)),2),0)</f>
        <v>0</v>
      </c>
      <c r="AR501" s="199">
        <f>IF($K501=AR$3,ROUND(IF(OR($C501="W",$C501="1/2W",$C501="1/2L"),$P501-$O501,IF($C501="X",0,-$O501)),2),0)</f>
        <v>0</v>
      </c>
      <c r="AS501" s="197">
        <f>IF(AND($B499=" ",$K501=AS$3),$O501,0)</f>
        <v>0</v>
      </c>
      <c r="AT501" s="198">
        <f>IF(AND($B499=" ",K501=AT$3),$O501,0)</f>
        <v>0</v>
      </c>
      <c r="AU501" s="198">
        <f>IF(AND($B499=" ",$K501=AU$3),$O501,0)</f>
        <v>0</v>
      </c>
      <c r="AV501" s="198">
        <f>IF(AND($B499=" ",$K501=AV$3),$O501,0)</f>
        <v>0</v>
      </c>
      <c r="AW501" s="198">
        <f>IF(AND($B499=" ",$K501=AW$3),$O501,0)</f>
        <v>0</v>
      </c>
      <c r="AX501" s="198">
        <f>IF(AND($B499=" ",$K501=AX$3),$O501,0)</f>
        <v>0</v>
      </c>
      <c r="AY501" s="200">
        <f>IF(AND($B499=" ",$K501=AY$3),$O501,0)</f>
        <v>0</v>
      </c>
      <c r="AZ501" s="201">
        <f>IF(AND($B499=" ",$K501=AZ$3),$O501,0)</f>
        <v>0</v>
      </c>
      <c r="BA501" s="201">
        <f>IF(AND($B499=" ",$K501=BA$3),$O501,0)</f>
        <v>0</v>
      </c>
      <c r="BB501" s="201">
        <f>IF(AND($B499=" ",$K501=BB$3),$O501,0)</f>
        <v>0</v>
      </c>
      <c r="BC501" s="202">
        <f>IF(AND($B499=" ",$K501=BC$3),$O501,0)</f>
        <v>0</v>
      </c>
      <c r="BD501" s="198">
        <f>IF(AND($B499=" ",$K501=BD$3),$O501,0)</f>
        <v>0</v>
      </c>
      <c r="BE501" s="199">
        <f>IF(AND($B499=" ",$K501=BE$3),$O501,0)</f>
        <v>0</v>
      </c>
      <c r="BF501" s="197">
        <f>IF($K501=BF$3,IF($C501="X",0,$O501),0)</f>
        <v>0</v>
      </c>
      <c r="BG501" s="198">
        <f>IF($K501=BG$3,IF($C501="X",0,$O501),0)</f>
        <v>0</v>
      </c>
      <c r="BH501" s="198">
        <f>IF($K501=BH$3,IF($C501="X",0,$O501),0)</f>
        <v>0</v>
      </c>
      <c r="BI501" s="198">
        <f>IF($K501=BI$3,IF($C501="X",0,$O501),0)</f>
        <v>0</v>
      </c>
      <c r="BJ501" s="198">
        <f>IF($K501=BJ$3,IF($C501="X",0,$O501),0)</f>
        <v>0</v>
      </c>
      <c r="BK501" s="198">
        <f>IF($K501=BK$3,IF($C501="X",0,$O501),0)</f>
        <v>0</v>
      </c>
      <c r="BL501" s="198">
        <f>IF($K501=BL$3,IF($C501="X",0,$O501),0)</f>
        <v>0</v>
      </c>
      <c r="BM501" s="200">
        <f>IF($K501=BM$3,IF($C501="X",0,$O501),0)</f>
        <v>0</v>
      </c>
      <c r="BN501" s="201">
        <f>IF($K501=BN$3,IF($C501="X",0,$O501),0)</f>
        <v>0</v>
      </c>
      <c r="BO501" s="201">
        <f>IF($K501=BO$3,IF($C501="X",0,$O501),0)</f>
        <v>0</v>
      </c>
      <c r="BP501" s="201">
        <f>IF($K501=BP$3,IF($C501="X",0,$O501),0)</f>
        <v>0</v>
      </c>
      <c r="BQ501" s="202">
        <f>IF($K501=BQ$3,IF($C501="X",0,$O501),0)</f>
        <v>0</v>
      </c>
      <c r="BR501" s="199">
        <f>IF($K501=BR$3,IF($C501="X",0,$O501),0)</f>
        <v>0</v>
      </c>
      <c r="BS501" s="228"/>
      <c r="BT501" s="229"/>
      <c r="BU501" s="140"/>
      <c r="BV501" s="229"/>
      <c r="BW501" s="140"/>
      <c r="BX501" s="140"/>
      <c r="BY501" s="140"/>
      <c r="BZ501" s="229"/>
      <c r="CA501" s="140"/>
      <c r="CB501" s="140"/>
      <c r="CC501" s="140"/>
      <c r="CD501" s="141"/>
      <c r="CE501" s="142"/>
      <c r="CF501" s="230">
        <f>IF(CF$3=$K501,IF($C501="W",1,IF($C501="1/2W",0.5,0)),0)</f>
        <v>0</v>
      </c>
      <c r="CG501" s="231">
        <f>IF(CF$3=$K501,IF($C501="L",1,IF($C501="1/2L",0.5,0)),0)</f>
        <v>0</v>
      </c>
      <c r="CH501" s="231">
        <f>IF(CH$3=$K501,IF($C501="W",1,IF($C501="1/2W",0.5,0)),0)</f>
        <v>0</v>
      </c>
      <c r="CI501" s="231">
        <f>IF(CH$3=$K501,IF($C501="L",1,IF($C501="1/2L",0.5,0)),0)</f>
        <v>0</v>
      </c>
      <c r="CJ501" s="231">
        <f>IF(CJ$3=$K501,IF($C501="W",1,IF($C501="1/2W",0.5,0)),0)</f>
        <v>0</v>
      </c>
      <c r="CK501" s="231">
        <f>IF(CJ$3=$K501,IF($C501="L",1,IF($C501="1/2L",0.5,0)),0)</f>
        <v>0</v>
      </c>
      <c r="CL501" s="231">
        <f>IF(CL$3=$K501,IF($C501="W",1,IF($C501="1/2W",0.5,0)),0)</f>
        <v>0</v>
      </c>
      <c r="CM501" s="231">
        <f>IF(CL$3=$K501,IF($C501="L",1,IF($C501="1/2L",0.5,0)),0)</f>
        <v>0</v>
      </c>
      <c r="CN501" s="231">
        <f>IF(CN$3=$K501,IF($C501="W",1,IF($C501="1/2W",0.5,0)),0)</f>
        <v>0</v>
      </c>
      <c r="CO501" s="231">
        <f>IF(CN$3=$K501,IF($C501="L",1,IF($C501="1/2L",0.5,0)),0)</f>
        <v>0</v>
      </c>
      <c r="CP501" s="231">
        <f>IF(CP$3=$K501,IF($C501="W",1,IF($C501="1/2W",0.5,0)),0)</f>
        <v>0</v>
      </c>
      <c r="CQ501" s="231">
        <f>IF(CP$3=$K501,IF($C501="L",1,IF($C501="1/2L",0.5,0)),0)</f>
        <v>0</v>
      </c>
      <c r="CR501" s="231">
        <f>IF(CR$3=$K501,IF($C501="W",1,IF($C501="1/2W",0.5,0)),0)</f>
        <v>0</v>
      </c>
      <c r="CS501" s="231">
        <f>IF(CR$3=$K501,IF($C501="L",1,IF($C501="1/2L",0.5,0)),0)</f>
        <v>0</v>
      </c>
      <c r="CT501" s="208">
        <f>IF(CT$3=$K501,IF($C501="W",1,IF($C501="1/2W",0.5,0)),0)</f>
        <v>0</v>
      </c>
      <c r="CU501" s="209">
        <f>IF(CT$3=$K501,IF($C501="L",1,IF($C501="1/2L",0.5,0)),0)</f>
        <v>0</v>
      </c>
      <c r="CV501" s="209">
        <f>IF(CV$3=$K501,IF($C501="W",1,IF($C501="1/2W",0.5,0)),0)</f>
        <v>0</v>
      </c>
      <c r="CW501" s="209">
        <f>IF(CV$3=$K501,IF($C501="L",1,IF($C501="1/2L",0.5,0)),0)</f>
        <v>0</v>
      </c>
      <c r="CX501" s="209">
        <f>IF(CX$3=$K501,IF($C501="W",1,IF($C501="1/2W",0.5,0)),0)</f>
        <v>0</v>
      </c>
      <c r="CY501" s="209">
        <f>IF(CX$3=$K501,IF($C501="L",1,IF($C501="1/2L",0.5,0)),0)</f>
        <v>0</v>
      </c>
      <c r="CZ501" s="209">
        <f>IF(CZ$3=$K501,IF($C501="W",1,IF($C501="1/2W",0.5,0)),0)</f>
        <v>0</v>
      </c>
      <c r="DA501" s="209">
        <f>IF(CZ$3=$K501,IF($C501="L",1,IF($C501="1/2L",0.5,0)),0)</f>
        <v>0</v>
      </c>
      <c r="DB501" s="209">
        <f>IF(DB$3=$K501,IF($C501="W",1,IF($C501="1/2W",0.5,0)),0)</f>
        <v>0</v>
      </c>
      <c r="DC501" s="209">
        <f>IF(DB$3=$K501,IF($C501="L",1,IF($C501="1/2L",0.5,0)),0)</f>
        <v>0</v>
      </c>
      <c r="DD501" s="209">
        <f>IF(DD$3=$K501,IF($C501="W",1,IF($C501="1/2W",0.5,0)),0)</f>
        <v>0</v>
      </c>
      <c r="DE501" s="210">
        <f>IF(DD$3=$K501,IF($C501="L",1,IF($C501="1/2L",0.5,0)),0)</f>
        <v>0</v>
      </c>
      <c r="DF501" s="211">
        <f>IF(AND(L501&lt;DF$3,$C501="W"),1+DF500,DF500)</f>
        <v>16</v>
      </c>
      <c r="DG501" s="198">
        <f>IF(DF501&gt;DF500,L501+DG500,DG500)</f>
        <v>21.158</v>
      </c>
      <c r="DH501" s="209">
        <f>IF(AND(L501&gt;DH$3,$C501="W"),1+DH500,0+DH500)</f>
        <v>11</v>
      </c>
      <c r="DI501" s="198">
        <f>IF(DH501&gt;DH500,L501+DI500,DI500)</f>
        <v>59.13</v>
      </c>
      <c r="DJ501" t="s" s="306">
        <f>IF($D499="","",$D499)</f>
        <v>358</v>
      </c>
      <c r="DK501" s="232"/>
    </row>
    <row r="502" ht="14.55" customHeight="1">
      <c r="A502" s="246">
        <f>$A499+1</f>
        <v>167</v>
      </c>
      <c r="B502" t="s" s="247">
        <f>IF(AND(_xlfn.XLOOKUP(H502,H$107:H269,G$107:G269,0)=G502,_xlfn.XLOOKUP("TempoBet",K502:K504,L502:L504,0)&gt;0),"X",IF(OR(C502="W",C503="W",C504="W",C502="1/2W",C503="1/2W",C504="1/2W",C502="1/2L",C503="1/2L",C504="1/2L"),"OK",IF(OR(C502="L",C503="L",C504="L"),"LOSS",IF(OR(C502="X",C503="X",C504="X"),"Anulado"," "))))</f>
        <v>50</v>
      </c>
      <c r="C502" t="s" s="248">
        <v>56</v>
      </c>
      <c r="D502" t="s" s="303">
        <f>IF(G502="","",$D499)</f>
        <v>358</v>
      </c>
      <c r="E502" t="s" s="250">
        <v>148</v>
      </c>
      <c r="F502" t="s" s="251"/>
      <c r="G502" s="252">
        <v>44953.833333333336</v>
      </c>
      <c r="H502" t="s" s="253">
        <v>388</v>
      </c>
      <c r="I502" t="s" s="254">
        <v>54</v>
      </c>
      <c r="J502" s="255">
        <v>1.5</v>
      </c>
      <c r="K502" t="s" s="256">
        <v>41</v>
      </c>
      <c r="L502" s="257">
        <v>2.05</v>
      </c>
      <c r="M502" s="258">
        <v>6.6</v>
      </c>
      <c r="N502" s="259">
        <v>0</v>
      </c>
      <c r="O502" s="260">
        <f>IF(OR(AE502="",AE503=""),"",ROUND(IF(L504&gt;0,IF(M502&gt;0,M502,IF(M503&gt;0,ROUND((M503*AE502)/AE503,IF(N502=0,2,IF(N502=0.1,1,0))),ROUND((M504*AE502)/AE504,IF(N502=0,2,IF(N502=0.1,1,0))))),IF(M502&gt;0,M502,ROUND((M503*AE502)/AE503,IF(N502=0,2,IF(N502=0.1,1,0))))),2))</f>
        <v>6.6</v>
      </c>
      <c r="P502" s="261">
        <f>IF(OR(L502="",O502=""),"",IF($C502="1/2W",O502/2+O502/2*L502,IF($C502="1/2L",O502/2,IF(I502="Lay",(O502*(L502/(L502-1))-O502)*(1-_xlfn.XLOOKUP(K502,'Janeiro 2023 - Valor Real'!A3:A15,'Janeiro 2023 - Valor Real'!C3:C15,0))+O502,(O502*L502-O502)*(1-_xlfn.XLOOKUP(K502,'Janeiro 2023 - Valor Real'!A3:A15,'Janeiro 2023 - Valor Real'!C3:C15,0))+O502))))</f>
        <v>13.53</v>
      </c>
      <c r="Q502" s="262">
        <f>IF(K502="","",IF(_xlfn.XLOOKUP(K502,K$107:K269,DJ$107:DJ269,0,,-1)=DJ502,_xlfn.XLOOKUP(K502,K$107:K269,Q$107:Q269,1,,-1)+1,1))</f>
        <v>1</v>
      </c>
      <c r="R502" s="263">
        <f>IF(K502="","",_xlfn.XLOOKUP(K502,K$107:K269,R$107:R269,0,,-1)+IF($C502=" ",1,0))</f>
        <v>0</v>
      </c>
      <c r="S502" s="264">
        <f>IF($B502="Anulado",0,ROUND(IF(OR($B502="LOSS",$B502="OK"),IF(OR($C502="W",$C502="1/2W",$C502="1/2L"),P502-O502,IF($C502="L",-O502,0))+IF(OR($C503="W",$C503="1/2W",$C503="1/2L"),P503-O503,IF($C503="L",-O503,0))+IF(OR($C504="W",$C504="1/2W",$C504="1/2L"),P504-O504,IF($C504="L",-O504,0)),IF(AND(OR($C502="W",$C502="1/2W",$C502="1/2L"),C503="W"),P502+P503-SUM(O502:O504)+_xlfn.XLOOKUP("X",C502:C504,O502:O504,0),IF(AND(C502=TRUE,C504="W"),P502+P504-SUM(O502:O504),IF(AND(C503="W",C504="W"),P503+P504-SUM(O502:O504)+_xlfn.XLOOKUP("X",C502:C504,O502:O504,0),IF(L504&gt;0,IF(OR($C502="W",$C502="1/2W",$C502="1/2L"),P502-SUM(O502:O504)+_xlfn.XLOOKUP("X",C502:C504,O502:O504,0),IF(OR($C502="W",$C502="1/2W",$C502="1/2L"),P503-SUM(O502:O504)+_xlfn.XLOOKUP("X",C502:C504,O502:O504,0),IF(OR($C502="W",$C502="1/2W",$C502="1/2L"),P504-SUM(O502:O504)+_xlfn.XLOOKUP("X",C502:C504,O502:O504,0),IF(SUM(P502:P504)/3-SUM(O502:O504)+_xlfn.XLOOKUP("X",C502:C504,O502:O504,0)&gt;0,SUM(P502:P504)/3-SUM(O502:O504)+_xlfn.XLOOKUP("X",C502:C504,O502:O504,0),LARGE(P502:P504,1)-SUM(O502:O504))))),IF(OR($C502="W",$C502="1/2W",$C502="1/2L"),P502-SUM(O502:O503)+_xlfn.XLOOKUP("X",C502:C504,O502:O504,0),IF(OR($C502="W",$C502="1/2W",$C502="1/2L"),P503-SUM(O502:O503)+_xlfn.XLOOKUP("X",C502:C504,O502:O504,0),SUM(P502:P503)/2-SUM(O502:O503)+_xlfn.XLOOKUP("X",C502:C504,O502:O504,0)))))))),2))</f>
        <v>4.27</v>
      </c>
      <c r="T502" s="265">
        <f>IF(S502=0,0,S502/SUM(O502:O504))</f>
        <v>0.461123110151188</v>
      </c>
      <c r="U502" s="266">
        <f>IF($D502=$D499,IF(OR($B502="LOSS",$B502="OK",$B502="Anulada"),S502,0)+U499,IF(OR($B502="LOSS",$B502="OK",$B502="Anulada"),S502,0))</f>
        <v>28.62</v>
      </c>
      <c r="V502" s="266">
        <f>IF($D502="",0,IF($D502=$D499,IF($B502=" ",IF(I504="",IF(OR(AND(I502="DNB1",I503="DNB2"),AND(OR(I502="DNB1",I502="DNB2"),J503=0),AND(OR(I503="DNB1",I503="DNB2"),J502=0),AND(I502="DNB2",I503="DNB1"),AND(IF(J502=0,(J502+1)/ROUND(J502+1,0),J502/ROUND(J502,0))=1,IF(J503=0,(J503+1)/ROUND(IF(J503="",0,J503)+1,0),IF(J503="",0,J503)/ROUND(IF(J503="",1,J503),0))=1,OR(J502&lt;&gt;""),J503&lt;&gt;"")),0,IF(S502&lt;0,IF(I504="",SMALL(P502:P503,1)-SUM(O502:O503),0),SMALL(P502:P503,1)-SUM(O502:O503))),IF(S502&lt;0,IF(I504="",SMALL(P502:P504,1)-SUM(O502:O504),0),LARGE(P502:P504,1)-SUM(O502:O504))),S502)+V499,IF(I504="",IF(OR(AND(I502="DNB1",I503="DNB2"),AND(OR(I502="DNB1",I502="DNB2"),J503=0),AND(OR(I503="DNB1",I503="DNB2"),J502=0),AND(I502="DNB2",I503="DNB1"),AND(IF(J502=0,(J502+1)/ROUND(J502+1,0),J502/ROUND(J502,0))=1,IF(J503=0,(IF(J503="",0,J503)+1)/ROUND(IF(J503="",0,J503)+1,0),IF(J503="",0,J503)/ROUND(IF(J503="",0,J503)+1,0))=1,OR(J502&lt;&gt;""),J503&lt;&gt;"")),0,IF(S502&lt;0,IF(I504="",SMALL(P502:P503,1)-SUM(O502:O503),0),SMALL(P502:P504,1)-SUM(O502:O504))),IF(S502&lt;0,IF(I504="",SMALL(P502:P504,1)-SUM(O502:O504),0),LARGE(P502:P504,1)-SUM(O502:O504)))))</f>
        <v>28.62</v>
      </c>
      <c r="W502" s="266">
        <f>IF($D502=$D499,IF(S502&lt;0,IF(I504="",S502,0),S502)+W499,S502)</f>
        <v>28.62</v>
      </c>
      <c r="X502" t="s" s="267">
        <f>IF(OR(SUM(R502:R504)=0,V502=W502),ROUND(IF(W502=0,0,W502/Y502)*100,2)&amp;"%",ROUND(IF(V502=0,0,V502/Y502)*100,2)&amp;"% a "&amp;ROUND(IF(W502=0,0,W502/Y502)*100,2)&amp;"%")</f>
        <v>389</v>
      </c>
      <c r="Y502" s="268">
        <f>IF($D502=$D499,Y499+SUM(O502:O504),SUM(O502:O504))</f>
        <v>501.26</v>
      </c>
      <c r="Z502" s="266">
        <f>IF($B502=" ",SUM(O502:O504),0)+Z499</f>
        <v>0</v>
      </c>
      <c r="AA502" s="266">
        <f>IF(G502="","",IF($B502="Anulado",LARGE(P502:P504,1)-SUM(O502:O504)+AA499,AA499))</f>
        <v>24.9665076923077</v>
      </c>
      <c r="AB502" s="266">
        <f>IF($D502="","",AB499+S502)</f>
        <v>336.47</v>
      </c>
      <c r="AC502" s="269">
        <f>IF($D502="","",IF($B502=" ",IF(DAY(G502)=DAY(TODAY()),1+AC499,0+AC499),0+AC499))</f>
        <v>0</v>
      </c>
      <c r="AD502" s="270">
        <f>(1-_xlfn.XLOOKUP(K500,'Janeiro 2023 - Valor Real'!A3:A15,'Janeiro 2023 - Valor Real'!C3:C15,0))+1</f>
        <v>1.935</v>
      </c>
      <c r="AE502" s="271">
        <f>IF(L502="","",IF(L504&gt;0,(SUM(((L502-1)*(1-_xlfn.XLOOKUP(K502,'Janeiro 2023 - Valor Real'!A3:A15,'Janeiro 2023 - Valor Real'!C3:C15,0))+1),((L503-1)*(1-_xlfn.XLOOKUP(K503,'Janeiro 2023 - Valor Real'!A3:A15,'Janeiro 2023 - Valor Real'!C3:C15,0))+1),((L504-1)*(1-_xlfn.XLOOKUP(K504,'Janeiro 2023 - Valor Real'!A3:A15,'Janeiro 2023 - Valor Real'!C3:C15,0))+1))/((L502-1)*(1-_xlfn.XLOOKUP(K502,'Janeiro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Real'!C3:C15,0))+1))/((L502-1)*(1-_xlfn.XLOOKUP(K502,'Janeiro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Real'!C3:C15,0))+1))/((L503-1)*(1-_xlfn.XLOOKUP(K503,'Janeiro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Real'!C3:C15,0))+1))/((L504-1)*(1-_xlfn.XLOOKUP(K504,'Janeiro 2023 - Valor Real'!A3:A15,'Janeiro 2023 - Valor Real'!C3:C15,0))+1)),IF(I502="Lay",IF(I503="Lay",((L503/(L503-1)-1)*(1-_xlfn.XLOOKUP(K503,'Janeiro 2023 - Valor Real'!A3:A15,'Janeiro 2023 - Valor Real'!C3:C15,0))+1)/(((L503/(L503-1)-1)*(1-_xlfn.XLOOKUP(K503,'Janeiro 2023 - Valor Real'!A3:A15,'Janeiro 2023 - Valor Real'!C3:C15,0))+1)+((L502/(L502-1)-1)*(1-_xlfn.XLOOKUP(K502,'Janeiro 2023 - Valor Real'!A3:A15,'Janeiro 2023 - Valor Real'!C3:C15,0))+1)),((L503-1)*(1-_xlfn.XLOOKUP(K503,'Janeiro 2023 - Valor Real'!A3:A15,'Janeiro 2023 - Valor Real'!C3:C15,0))+1)/(((L503-1)*(1-_xlfn.XLOOKUP(K503,'Janeiro 2023 - Valor Real'!A3:A15,'Janeiro 2023 - Valor Real'!C3:C15,0))+1)+((L502/(L502-1)-1)*(1-_xlfn.XLOOKUP(K502,'Janeiro 2023 - Valor Real'!A3:A15,'Janeiro 2023 - Valor Real'!C3:C15,0))+1))),IF(I503="Lay",(((L503/(L503-1)-1)*(1-_xlfn.XLOOKUP(K503,'Janeiro 2023 - Valor Real'!A3:A15,'Janeiro 2023 - Valor Real'!C3:C15,0))+1))/(((L502-1)*(1-_xlfn.XLOOKUP(K502,'Janeiro 2023 - Valor Real'!A3:A15,'Janeiro 2023 - Valor Real'!C3:C15,0))+1)+((L503/(L503-1)-1)*(1-_xlfn.XLOOKUP(K503,'Janeiro 2023 - Valor Real'!A3:A15,'Janeiro 2023 - Valor Real'!C3:C15,0))+1)),((L503-1)*(1-_xlfn.XLOOKUP(K503,'Janeiro 2023 - Valor Real'!A3:A15,'Janeiro 2023 - Valor Real'!C3:C15,0))+1)/(((L503-1)*(1-_xlfn.XLOOKUP(K503,'Janeiro 2023 - Valor Real'!A3:A15,'Janeiro 2023 - Valor Real'!C3:C15,0))+1)+((L502-1)*(1-_xlfn.XLOOKUP(K502,'Janeiro 2023 - Valor Real'!A3:A15,'Janeiro 2023 - Valor Real'!C3:C15,0))+1))))))</f>
        <v>0.539325842696629</v>
      </c>
      <c r="AF502" s="132">
        <f>IF($K502=AF$3,ROUND(IF(OR($C502="W",$C502="1/2W",$C502="1/2L"),$P502-$O502,IF($C502="X",0,-$O502)),2),0)</f>
        <v>0</v>
      </c>
      <c r="AG502" s="133">
        <f>IF($K502=AG$3,ROUND(IF(OR($C502="W",$C502="1/2W",$C502="1/2L"),$P502-$O502,IF($C502="X",0,-$O502)),2),0)</f>
        <v>0</v>
      </c>
      <c r="AH502" s="133">
        <f>IF($K502=AH$3,ROUND(IF(OR($C502="W",$C502="1/2W",$C502="1/2L"),$P502-$O502,IF($C502="X",0,-$O502)),2),0)</f>
        <v>0</v>
      </c>
      <c r="AI502" s="133">
        <f>IF($K502=AI$3,ROUND(IF(OR($C502="W",$C502="1/2W",$C502="1/2L"),$P502-$O502,IF($C502="X",0,-$O502)),2),0)</f>
        <v>0</v>
      </c>
      <c r="AJ502" s="133">
        <f>IF($K502=AJ$3,ROUND(IF(OR($C502="W",$C502="1/2W",$C502="1/2L"),$P502-$O502,IF($C502="X",0,-$O502)),2),0)</f>
        <v>6.93</v>
      </c>
      <c r="AK502" s="133">
        <f>IF($K502=AK$3,ROUND(IF(OR($C502="W",$C502="1/2W",$C502="1/2L"),$P502-$O502,IF($C502="X",0,-$O502)),2),0)</f>
        <v>0</v>
      </c>
      <c r="AL502" s="133">
        <f>IF($K502=AL$3,ROUND(IF(OR($C502="W",$C502="1/2W",$C502="1/2L"),$P502-$O502,IF($C502="X",0,-$O502)),2),0)</f>
        <v>0</v>
      </c>
      <c r="AM502" s="133">
        <f>IF($K502=AM$3,ROUND(IF(OR($C502="W",$C502="1/2W",$C502="1/2L"),$P502-$O502,IF($C502="X",0,-$O502)),2),0)</f>
        <v>0</v>
      </c>
      <c r="AN502" s="133">
        <f>IF($K502=AN$3,ROUND(IF(OR($C502="W",$C502="1/2W",$C502="1/2L"),$P502-$O502,IF($C502="X",0,-$O502)),2),0)</f>
        <v>0</v>
      </c>
      <c r="AO502" s="133">
        <f>IF($K502=AO$3,ROUND(IF(OR($C502="W",$C502="1/2W",$C502="1/2L"),$P502-$O502,IF($C502="X",0,-$O502)),2),0)</f>
        <v>0</v>
      </c>
      <c r="AP502" s="133">
        <f>IF($K502=AP$3,ROUND(IF(OR($C502="W",$C502="1/2W",$C502="1/2L"),$P502-$O502,IF($C502="X",0,-$O502)),2),0)</f>
        <v>0</v>
      </c>
      <c r="AQ502" s="133">
        <f>IF($K502=AQ$3,ROUND(IF(OR($C502="W",$C502="1/2W",$C502="1/2L"),$P502-$O502,IF($C502="X",0,-$O502)),2),0)</f>
        <v>0</v>
      </c>
      <c r="AR502" s="134">
        <f>IF($K502=AR$3,ROUND(IF(OR($C502="W",$C502="1/2W",$C502="1/2L"),$P502-$O502,IF($C502="X",0,-$O502)),2),0)</f>
        <v>0</v>
      </c>
      <c r="AS502" s="132">
        <f>IF(AND($B502=" ",$K502=AS$3),$O502,0)</f>
        <v>0</v>
      </c>
      <c r="AT502" s="133">
        <f>IF(AND($B502=" ",$K502=AT$3),$O502,0)</f>
        <v>0</v>
      </c>
      <c r="AU502" s="133">
        <f>IF(AND($B502=" ",$K502=AU$3),$O502,0)</f>
        <v>0</v>
      </c>
      <c r="AV502" s="133">
        <f>IF(AND($B502=" ",$K502=AV$3),$O502,0)</f>
        <v>0</v>
      </c>
      <c r="AW502" s="133">
        <f>IF(AND($B502=" ",$K502=AW$3),$O502,0)</f>
        <v>0</v>
      </c>
      <c r="AX502" s="133">
        <f>IF(AND($B502=" ",$K502=AX$3),$O502,0)</f>
        <v>0</v>
      </c>
      <c r="AY502" s="135">
        <f>IF(AND($B502=" ",$K502=AY$3),$O502,0)</f>
        <v>0</v>
      </c>
      <c r="AZ502" s="136">
        <f>IF(AND($B502=" ",$K502=AZ$3),$O502,0)</f>
        <v>0</v>
      </c>
      <c r="BA502" s="136">
        <f>IF(AND($B502=" ",$K502=BA$3),$O502,0)</f>
        <v>0</v>
      </c>
      <c r="BB502" s="136">
        <f>IF(AND($B502=" ",$K502=BB$3),$O502,0)</f>
        <v>0</v>
      </c>
      <c r="BC502" s="137">
        <f>IF(AND($B502=" ",$K502=BC$3),$O502,0)</f>
        <v>0</v>
      </c>
      <c r="BD502" s="133">
        <f>IF(AND($B502=" ",$K502=BD$3),$O502,0)</f>
        <v>0</v>
      </c>
      <c r="BE502" s="134">
        <f>IF(AND($B502=" ",$K502=BE$3),$O502,0)</f>
        <v>0</v>
      </c>
      <c r="BF502" s="132">
        <f>IF($K502=BF$3,IF($C502="X",0,$O502),0)</f>
        <v>0</v>
      </c>
      <c r="BG502" s="133">
        <f>IF($K502=BG$3,IF($C502="X",0,$O502),0)</f>
        <v>0</v>
      </c>
      <c r="BH502" s="133">
        <f>IF($K502=BH$3,IF($C502="X",0,$O502),0)</f>
        <v>0</v>
      </c>
      <c r="BI502" s="133">
        <f>IF($K502=BI$3,IF($C502="X",0,$O502),0)</f>
        <v>0</v>
      </c>
      <c r="BJ502" s="133">
        <f>IF($K502=BJ$3,IF($C502="X",0,$O502),0)</f>
        <v>6.6</v>
      </c>
      <c r="BK502" s="133">
        <f>IF($K502=BK$3,IF($C502="X",0,$O502),0)</f>
        <v>0</v>
      </c>
      <c r="BL502" s="133">
        <f>IF($K502=BL$3,IF($C502="X",0,$O502),0)</f>
        <v>0</v>
      </c>
      <c r="BM502" s="135">
        <f>IF($K502=BM$3,IF($C502="X",0,$O502),0)</f>
        <v>0</v>
      </c>
      <c r="BN502" s="136">
        <f>IF($K502=BN$3,IF($C502="X",0,$O502),0)</f>
        <v>0</v>
      </c>
      <c r="BO502" s="136">
        <f>IF($K502=BO$3,IF($C502="X",0,$O502),0)</f>
        <v>0</v>
      </c>
      <c r="BP502" s="136">
        <f>IF($K502=BP$3,IF($C502="X",0,$O502),0)</f>
        <v>0</v>
      </c>
      <c r="BQ502" s="137">
        <f>IF($K502=BQ$3,IF($C502="X",0,$O502),0)</f>
        <v>0</v>
      </c>
      <c r="BR502" s="134">
        <f>IF($K502=BR$3,IF($C502="X",0,$O502),0)</f>
        <v>0</v>
      </c>
      <c r="BS502" s="170">
        <f>IF($B502="LOSS",IF(AND($K502=BS$3,$C502="L"),-$O502,0)+IF(AND($K503=BS$3,$C503="L"),-$O503,0)+IF(AND($K504=BS$3,$C504="L"),-$O504,0),IF(OR(AND($K502=BS$3,OR($C502="W",$C502="1/2W")),AND($K503=BS$3,OR($C503="W",$C503="1/2W")),AND($K504=BS$3,OR($C504="W",$C504="1/2W"))),$S502,0))</f>
        <v>0</v>
      </c>
      <c r="BT502" s="272">
        <f>IF($B502="LOSS",IF(AND($K502=BT$3,$C502="L"),-$O502,0)+IF(AND($K503=BT$3,$C503="L"),-$O503,0)+IF(AND($K503=BT$3,$C504="L"),-$O504,0),IF(OR(AND($K503=BT$3,OR($C502="W",$C502="1/2W")),AND($K503=BT$3,OR($C503="W",$C503="1/2W")),AND($K503=BT$3,OR($C504="W",$C504="1/2W"))),$S502,0))</f>
        <v>0</v>
      </c>
      <c r="BU502" s="136">
        <f>IF($B502="LOSS",IF(AND($K502=BU$3,$C502="L"),-$O502,0)+IF(AND($K503=BU$3,$C503="L"),-$O503,0)+IF(AND($K503=BU$3,$C504="L"),-$O504,0),IF(OR(AND($K503=BU$3,OR($C502="W",$C502="1/2W")),AND($K503=BU$3,OR($C503="W",$C503="1/2W")),AND($K503=BU$3,OR($C504="W",$C504="1/2W"))),$S502,0))</f>
        <v>0</v>
      </c>
      <c r="BV502" s="136">
        <f>IF($B502="LOSS",IF(AND($K502=BV$3,$C502="L"),-$O502,0)+IF(AND($K503=BV$3,$C503="L"),-$O503,0)+IF(AND($K504=BV$3,$C504="L"),-$O504,0),IF(OR(AND($K502=BV$3,OR($C502="W",$C502="1/2W")),AND($K503=BV$3,OR($C503="W",$C503="1/2W")),AND($K504=BV$3,OR($C504="W",$C504="1/2W"))),$S502,0))</f>
        <v>0</v>
      </c>
      <c r="BW502" s="136">
        <f>IF($B502="LOSS",IF(AND($K502=BW$3,$C502="L"),-$O502,0)+IF(AND($K503=BW$3,$C503="L"),-$O503,0)+IF(AND($K504=BW$3,$C504="L"),-$O504,0),IF(OR(AND($K502=BW$3,OR($C502="W",$C502="1/2W")),AND($K503=BW$3,OR($C503="W",$C503="1/2W")),AND($K504=BW$3,OR($C504="W",$C504="1/2W"))),$S502,0))</f>
        <v>4.27</v>
      </c>
      <c r="BX502" s="136">
        <f>IF($B502="LOSS",IF(AND($K502=BX$3,$C502="L"),-$O502,0)+IF(AND($K503=BX$3,$C503="L"),-$O503,0)+IF(AND($K504=BX$3,$C504="L"),-$O504,0),IF(OR(AND($K502=BX$3,OR($C502="W",$C502="1/2W")),AND($K503=BX$3,OR($C503="W",$C503="1/2W")),AND($K504=BX$3,OR($C504="W",$C504="1/2W"))),$S502,0))</f>
        <v>0</v>
      </c>
      <c r="BY502" s="136">
        <f>IF($B502="LOSS",IF(AND($K502=BY$3,$C502="L"),-$O502,0)+IF(AND($K503=BY$3,$C503="L"),-$O503,0)+IF(AND($K504=BY$3,$C504="L"),-$O504,0),IF(OR(AND($K502=BY$3,OR($C502="W",$C502="1/2W")),AND($K503=BY$3,OR($C503="W",$C503="1/2W")),AND($K504=BY$3,OR($C504="W",$C504="1/2W"))),$S502,0))</f>
        <v>0</v>
      </c>
      <c r="BZ502" s="136">
        <f>IF($B502="LOSS",IF(AND($K502=BZ$3,$C502="L"),-$O502,0)+IF(AND($K503=BZ$3,$C503="L"),-$O503,0)+IF(AND($K504=BZ$3,$C504="L"),-$O504,0),IF(OR(AND($K502=BZ$3,OR($C502="W",$C502="1/2W")),AND($K503=BZ$3,OR($C503="W",$C503="1/2W")),AND($K504=BZ$3,OR($C504="W",$C504="1/2W"))),$S502,0))</f>
        <v>0</v>
      </c>
      <c r="CA502" s="136">
        <f>IF($B502="LOSS",IF(AND($K502=CA$3,$C502="L"),-$O502,0)+IF(AND($K503=CA$3,$C503="L"),-$O503,0)+IF(AND($K504=CA$3,$C504="L"),-$O504,0),IF(OR(AND($K502=CA$3,OR($C502="W",$C502="1/2W")),AND($K503=CA$3,OR($C503="W",$C503="1/2W")),AND($K504=CA$3,OR($C504="W",$C504="1/2W"))),$S502,0))</f>
        <v>0</v>
      </c>
      <c r="CB502" s="136">
        <f>IF($B502="LOSS",IF(AND($K502=CB$3,$C502="L"),-$O502,0)+IF(AND($K503=CB$3,$C503="L"),-$O503,0)+IF(AND($K504=CB$3,$C504="L"),-$O504,0),IF(OR(AND($K502=CB$3,OR($C502="W",$C502="1/2W")),AND($K503=CB$3,OR($C503="W",$C503="1/2W")),AND($K504=CB$3,OR($C504="W",$C504="1/2W"))),$S502,0))</f>
        <v>0</v>
      </c>
      <c r="CC502" s="136">
        <f>IF($B502="LOSS",IF(AND($K502=CC$3,$C502="L"),-$O502,0)+IF(AND($K503=CC$3,$C503="L"),-$O503,0)+IF(AND($K504=CC$3,$C504="L"),-$O504,0),IF(OR(AND($K502=CC$3,OR($C502="W",$C502="1/2W")),AND($K503=CC$3,OR($C503="W",$C503="1/2W")),AND($K504=CC$3,OR($C504="W",$C504="1/2W"))),$S502,0))</f>
        <v>0</v>
      </c>
      <c r="CD502" s="137">
        <f>IF($B502="LOSS",IF(AND($K502=CD$3,$C502="L"),-$O502,0)+IF(AND($K503=CD$3,$C503="L"),-$O503,0)+IF(AND($K504=CD$3,$C504="L"),-$O504,0),IF(OR(AND($K502=CD$3,OR($C502="W",$C502="1/2W")),AND($K503=CD$3,OR($C503="W",$C503="1/2W")),AND($K504=CD$3,OR($C504="W",$C504="1/2W"))),$S502,0))</f>
        <v>0</v>
      </c>
      <c r="CE502" s="134">
        <f>IF($B502="LOSS",IF(AND($K502=CE$3,$C502="L"),-$O502,0)+IF(AND($K503=CE$3,$C503="L"),-$O503,0)+IF(AND($K504=CE$3,$C504="L"),-$O504,0),IF(OR(AND($K502=CE$3,OR($C502="W",$C502="1/2W")),AND($K503=CE$3,OR($C503="W",$C503="1/2W")),AND($K504=CE$3,OR($C504="W",$C504="1/2W"))),$S502,0))</f>
        <v>0</v>
      </c>
      <c r="CF502" s="273">
        <f>IF(CF$3=$K502,IF($C502="W",1,IF($C502="1/2W",0.5,0)),0)</f>
        <v>0</v>
      </c>
      <c r="CG502" s="274">
        <f>IF(CF$3=$K502,IF($C502="L",1,IF($C502="1/2L",0.5,0)),0)</f>
        <v>0</v>
      </c>
      <c r="CH502" s="274">
        <f>IF(CH$3=$K502,IF($C502="W",1,IF($C502="1/2W",0.5,0)),0)</f>
        <v>0</v>
      </c>
      <c r="CI502" s="274">
        <f>IF(CH$3=$K502,IF($C502="L",1,IF($C502="1/2L",0.5,0)),0)</f>
        <v>0</v>
      </c>
      <c r="CJ502" s="274">
        <f>IF(CJ$3=$K502,IF($C502="W",1,IF($C502="1/2W",0.5,0)),0)</f>
        <v>0</v>
      </c>
      <c r="CK502" s="274">
        <f>IF(CJ$3=$K502,IF($C502="L",1,IF($C502="1/2L",0.5,0)),0)</f>
        <v>0</v>
      </c>
      <c r="CL502" s="274">
        <f>IF(CL$3=$K502,IF($C502="W",1,IF($C502="1/2W",0.5,0)),0)</f>
        <v>0</v>
      </c>
      <c r="CM502" s="274">
        <f>IF(CL$3=$K502,IF($C502="L",1,IF($C502="1/2L",0.5,0)),0)</f>
        <v>0</v>
      </c>
      <c r="CN502" s="274">
        <f>IF(CN$3=$K502,IF($C502="W",1,IF($C502="1/2W",0.5,0)),0)</f>
        <v>1</v>
      </c>
      <c r="CO502" s="274">
        <f>IF(CN$3=$K502,IF($C502="L",1,IF($C502="1/2L",0.5,0)),0)</f>
        <v>0</v>
      </c>
      <c r="CP502" s="274">
        <f>IF(CP$3=$K502,IF($C502="W",1,IF($C502="1/2W",0.5,0)),0)</f>
        <v>0</v>
      </c>
      <c r="CQ502" s="274">
        <f>IF(CP$3=$K502,IF($C502="L",1,IF($C502="1/2L",0.5,0)),0)</f>
        <v>0</v>
      </c>
      <c r="CR502" s="274">
        <f>IF(CR$3=$K502,IF($C502="W",1,IF($C502="1/2W",0.5,0)),0)</f>
        <v>0</v>
      </c>
      <c r="CS502" s="274">
        <f>IF(CR$3=$K502,IF($C502="L",1,IF($C502="1/2L",0.5,0)),0)</f>
        <v>0</v>
      </c>
      <c r="CT502" s="145">
        <f>IF(CT$3=$K502,IF($C502="W",1,IF($C502="1/2W",0.5,0)),0)</f>
        <v>0</v>
      </c>
      <c r="CU502" s="146">
        <f>IF(CT$3=$K502,IF($C502="L",1,IF($C502="1/2L",0.5,0)),0)</f>
        <v>0</v>
      </c>
      <c r="CV502" s="146">
        <f>IF(CV$3=$K502,IF($C502="W",1,IF($C502="1/2W",0.5,0)),0)</f>
        <v>0</v>
      </c>
      <c r="CW502" s="146">
        <f>IF(CV$3=$K502,IF($C502="L",1,IF($C502="1/2L",0.5,0)),0)</f>
        <v>0</v>
      </c>
      <c r="CX502" s="146">
        <f>IF(CX$3=$K502,IF($C502="W",1,IF($C502="1/2W",0.5,0)),0)</f>
        <v>0</v>
      </c>
      <c r="CY502" s="146">
        <f>IF(CX$3=$K502,IF($C502="L",1,IF($C502="1/2L",0.5,0)),0)</f>
        <v>0</v>
      </c>
      <c r="CZ502" s="146">
        <f>IF(CZ$3=$K502,IF($C502="W",1,IF($C502="1/2W",0.5,0)),0)</f>
        <v>0</v>
      </c>
      <c r="DA502" s="146">
        <f>IF(CZ$3=$K502,IF($C502="L",1,IF($C502="1/2L",0.5,0)),0)</f>
        <v>0</v>
      </c>
      <c r="DB502" s="146">
        <f>IF(DB$3=$K502,IF($C502="W",1,IF($C502="1/2W",0.5,0)),0)</f>
        <v>0</v>
      </c>
      <c r="DC502" s="146">
        <f>IF(DB$3=$K502,IF($C502="L",1,IF($C502="1/2L",0.5,0)),0)</f>
        <v>0</v>
      </c>
      <c r="DD502" s="146">
        <f>IF(DD$3=$K502,IF($C502="W",1,IF($C502="1/2W",0.5,0)),0)</f>
        <v>0</v>
      </c>
      <c r="DE502" s="147">
        <f>IF(DD$3=$K502,IF($C502="L",1,IF($C502="1/2L",0.5,0)),0)</f>
        <v>0</v>
      </c>
      <c r="DF502" s="143">
        <f>IF(AND(L502&lt;DF$3,$C502="W"),1+DF501,DF501)</f>
        <v>16</v>
      </c>
      <c r="DG502" s="133">
        <f>IF(DF502&gt;DF501,L502+DG501,DG501)</f>
        <v>21.158</v>
      </c>
      <c r="DH502" s="146">
        <f>IF(AND(L502&gt;DH$3,$C502="W"),1+DH501,0+DH501)</f>
        <v>11</v>
      </c>
      <c r="DI502" s="133">
        <f>IF(DH502&gt;DH501,L502+DI501,DI501)</f>
        <v>59.13</v>
      </c>
      <c r="DJ502" t="s" s="304">
        <f>IF($D502="","",$D502)</f>
        <v>358</v>
      </c>
      <c r="DK502" s="146">
        <f>IF(AND($B502=" ",$D502&lt;&gt;""),1,0)</f>
        <v>0</v>
      </c>
    </row>
    <row r="503" ht="14.55" customHeight="1">
      <c r="A503" s="107"/>
      <c r="B503" s="108"/>
      <c r="C503" t="s" s="109">
        <v>51</v>
      </c>
      <c r="D503" s="110"/>
      <c r="E503" s="111"/>
      <c r="F503" s="113"/>
      <c r="G503" s="252"/>
      <c r="H503" s="114"/>
      <c r="I503" t="s" s="275">
        <v>57</v>
      </c>
      <c r="J503" s="276">
        <f>IF(OR(I502="TO",I502="TU",I502="TO1",I502="TU1",I502="TO2",I502="TU2"),J502,IF(OR(I502="AH1",I502="AH2"),IF(OR(I503="AH1",I503="AH2"),-J502,IF(OR(I503="EH1",I503="EH2"),-J502+0.5,"")),IF(OR(I502="EH1",I502="EH2"),IF(OR(I503="AH1",I503="AH2"),-J502+0.5,IF(OR(I503="EH1",I503="EH2"),-J502+1,"")),IF(AND(OR(I502="DNB1",I502="DNB2"),OR(I503="AH1",I503="AH2")),0,IF(AND(I502="Not ScoreBoth",OR(I503="TO1",I503="TO2")),0.5,"")))))</f>
        <v>-1.5</v>
      </c>
      <c r="K503" t="s" s="117">
        <v>40</v>
      </c>
      <c r="L503" s="277">
        <v>2.4</v>
      </c>
      <c r="M503" s="278">
        <v>2.66</v>
      </c>
      <c r="N503" s="120"/>
      <c r="O503" s="121">
        <f>IF(OR(AE502="",AE503=""),"",ROUND(IF(L504&gt;0,IF(M503&gt;0,M503,IF(M502&gt;0,IF(N502=TRUE,ROUND((M502*AE503)/AE502,0),(M502*AE503)/AE502),IF(M503&gt;0,ROUND(M503,IF(N502=0,2,IF(N502=0.1,1,0))),IF(M504&gt;0,ROUND(O504*AE503/AE504,IF(N502=0,2,IF(N502=0.1,1,0))),0)))),IF(M503&gt;0,M503,ROUND((M502*AE503)/AE502,IF(N502=0,2,IF(N502=0.1,1,0))))),2))</f>
        <v>2.66</v>
      </c>
      <c r="P503" s="122">
        <f>IF(OR(L503="",O503=""),"",IF($C503="1/2W",O503/2+O503/2*L503,IF($C503="1/2L",O503/2,IF(I503="Lay",((O503*(L503/(L503-1)))-O503)*(1-_xlfn.XLOOKUP(K503,'Janeiro 2023 - Valor Real'!A3:A15,'Janeiro 2023 - Valor Real'!C3:C15,0))+O503,(O503*L503-O503)*(1-_xlfn.XLOOKUP(K503,'Janeiro 2023 - Valor Real'!A3:A15,'Janeiro 2023 - Valor Real'!C3:C15,0))+O503))))</f>
        <v>6.384</v>
      </c>
      <c r="Q503" s="279">
        <f>IF(K503="","",IF(_xlfn.XLOOKUP(K503,K$108:K270,DJ$108:DJ270,0,,-1)=DJ503,_xlfn.XLOOKUP(K503,K$108:K270,Q$108:Q270,1,,-1)+1,1))</f>
        <v>1</v>
      </c>
      <c r="R503" s="280">
        <f>IF(K503="","",_xlfn.XLOOKUP(K503,K$108:K270,R$108:R270,0,,-1)+IF($C503=" ",1,0))</f>
        <v>0</v>
      </c>
      <c r="S503" s="125"/>
      <c r="T503" s="126"/>
      <c r="U503" s="126"/>
      <c r="V503" s="224"/>
      <c r="W503" s="126"/>
      <c r="X503" s="127"/>
      <c r="Y503" s="128"/>
      <c r="Z503" s="129"/>
      <c r="AA503" s="129"/>
      <c r="AB503" s="129"/>
      <c r="AC503" s="129"/>
      <c r="AD503" s="130"/>
      <c r="AE503" s="131">
        <f>IF(L503="","",IF(L504&gt;0,(SUM(((L502-1)*(1-_xlfn.XLOOKUP(K502,'Janeiro 2023 - Valor Real'!A3:A15,'Janeiro 2023 - Valor Real'!C3:C15,0))+1),((L503-1)*(1-_xlfn.XLOOKUP(K503,'Janeiro 2023 - Valor Real'!A3:A15,'Janeiro 2023 - Valor Real'!C3:C15,0))+1),((L504-1)*(1-_xlfn.XLOOKUP(K504,'Janeiro 2023 - Valor Real'!A3:A15,'Janeiro 2023 - Valor Real'!C3:C15,0))+1))/((L503-1)*(1-_xlfn.XLOOKUP(K503,'Janeiro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Real'!C3:C15,0))+1))/((L502-1)*(1-_xlfn.XLOOKUP(K502,'Janeiro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Real'!C3:C15,0))+1))/((L503-1)*(1-_xlfn.XLOOKUP(K503,'Janeiro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Real'!C3:C15,0))+1))/((L504-1)*(1-_xlfn.XLOOKUP(K504,'Janeiro 2023 - Valor Real'!A3:A15,'Janeiro 2023 - Valor Real'!C3:C15,0))+1)),IF(I503="Lay",IF(I502="Lay",((L502/(L502-1)-1)*(1-_xlfn.XLOOKUP(K502,'Janeiro 2023 - Valor Real'!A3:A15,'Janeiro 2023 - Valor Real'!C3:C15,0))+1)/(((L502/(L502-1)-1)*(1-_xlfn.XLOOKUP(K502,'Janeiro 2023 - Valor Real'!A3:A15,'Janeiro 2023 - Valor Real'!C3:C15,0))+1)+((L503/(L503-1)-1)*(1-_xlfn.XLOOKUP(K503,'Janeiro 2023 - Valor Real'!A3:A15,'Janeiro 2023 - Valor Real'!C3:C15,0))+1)),((L502-1)*(1-_xlfn.XLOOKUP(K502,'Janeiro 2023 - Valor Real'!A3:A15,'Janeiro 2023 - Valor Real'!C3:C15,0))+1)/(((L502-1)*(1-_xlfn.XLOOKUP(K502,'Janeiro 2023 - Valor Real'!A3:A15,'Janeiro 2023 - Valor Real'!C3:C15,0))+1)+((L503/(L503-1)-1)*(1-_xlfn.XLOOKUP(K503,'Janeiro 2023 - Valor Real'!A3:A15,'Janeiro 2023 - Valor Real'!C3:C15,0))+1))),IF(I502="Lay",((L502/(L502-1)-1)*(1-_xlfn.XLOOKUP(K502,'Janeiro 2023 - Valor Real'!A3:A15,'Janeiro 2023 - Valor Real'!C3:C15,0))+1)/((((L502/(L502-1)-1)*(1-_xlfn.XLOOKUP(K502,'Janeiro 2023 - Valor Real'!A3:A15,'Janeiro 2023 - Valor Real'!C3:C15,0))+1))+((L503-1)*(1-_xlfn.XLOOKUP(K503,'Janeiro 2023 - Valor Real'!A3:A15,'Janeiro 2023 - Valor Real'!C3:C15,0))+1)),((L502-1)*(1-_xlfn.XLOOKUP(K502,'Janeiro 2023 - Valor Real'!A3:A15,'Janeiro 2023 - Valor Real'!C3:C15,0))+1)/(((L502-1)*(1-_xlfn.XLOOKUP(K502,'Janeiro 2023 - Valor Real'!A3:A15,'Janeiro 2023 - Valor Real'!C3:C15,0))+1)+((L503-1)*(1-_xlfn.XLOOKUP(K503,'Janeiro 2023 - Valor Real'!A3:A15,'Janeiro 2023 - Valor Real'!C3:C15,0))+1))))))</f>
        <v>0.460674157303371</v>
      </c>
      <c r="AF503" s="132">
        <f>IF($K503=AF$3,ROUND(IF(OR($C503="W",$C503="1/2W",$C503="1/2L"),$P503-$O503,IF($C503="X",0,-$O503)),2),0)</f>
        <v>0</v>
      </c>
      <c r="AG503" s="133">
        <f>IF($K503=AG$3,ROUND(IF(OR($C503="W",$C503="1/2W",$C503="1/2L"),$P503-$O503,IF($C503="X",0,-$O503)),2),0)</f>
        <v>0</v>
      </c>
      <c r="AH503" s="133">
        <f>IF($K503=AH$3,ROUND(IF(OR($C503="W",$C503="1/2W",$C503="1/2L"),$P503-$O503,IF($C503="X",0,-$O503)),2),0)</f>
        <v>0</v>
      </c>
      <c r="AI503" s="133">
        <f>IF($K503=AI$3,ROUND(IF(OR($C503="W",$C503="1/2W",$C503="1/2L"),$P503-$O503,IF($C503="X",0,-$O503)),2),0)</f>
        <v>-2.66</v>
      </c>
      <c r="AJ503" s="133">
        <f>IF($K503=AJ$3,ROUND(IF(OR($C503="W",$C503="1/2W",$C503="1/2L"),$P503-$O503,IF($C503="X",0,-$O503)),2),0)</f>
        <v>0</v>
      </c>
      <c r="AK503" s="133">
        <f>IF($K503=AK$3,ROUND(IF(OR($C503="W",$C503="1/2W",$C503="1/2L"),$P503-$O503,IF($C503="X",0,-$O503)),2),0)</f>
        <v>0</v>
      </c>
      <c r="AL503" s="133">
        <f>IF($K503=AL$3,ROUND(IF(OR($C503="W",$C503="1/2W",$C503="1/2L"),$P503-$O503,IF($C503="X",0,-$O503)),2),0)</f>
        <v>0</v>
      </c>
      <c r="AM503" s="133">
        <f>IF($K503=AM$3,ROUND(IF(OR($C503="W",$C503="1/2W",$C503="1/2L"),$P503-$O503,IF($C503="X",0,-$O503)),2),0)</f>
        <v>0</v>
      </c>
      <c r="AN503" s="133">
        <f>IF($K503=AN$3,ROUND(IF(OR($C503="W",$C503="1/2W",$C503="1/2L"),$P503-$O503,IF($C503="X",0,-$O503)),2),0)</f>
        <v>0</v>
      </c>
      <c r="AO503" s="133">
        <f>IF($K503=AO$3,ROUND(IF(OR($C503="W",$C503="1/2W",$C503="1/2L"),$P503-$O503,IF($C503="X",0,-$O503)),2),0)</f>
        <v>0</v>
      </c>
      <c r="AP503" s="133">
        <f>IF($K503=AP$3,ROUND(IF(OR($C503="W",$C503="1/2W",$C503="1/2L"),$P503-$O503,IF($C503="X",0,-$O503)),2),0)</f>
        <v>0</v>
      </c>
      <c r="AQ503" s="133">
        <f>IF($K503=AQ$3,ROUND(IF(OR($C503="W",$C503="1/2W",$C503="1/2L"),$P503-$O503,IF($C503="X",0,-$O503)),2),0)</f>
        <v>0</v>
      </c>
      <c r="AR503" s="134">
        <f>IF($K503=AR$3,ROUND(IF(OR($C503="W",$C503="1/2W",$C503="1/2L"),$P503-$O503,IF($C503="X",0,-$O503)),2),0)</f>
        <v>0</v>
      </c>
      <c r="AS503" s="132">
        <f>IF(AND($B502=" ",$K503=AS$3),$O503,0)</f>
        <v>0</v>
      </c>
      <c r="AT503" s="133">
        <f>IF(AND($B502=" ",K503=AT$3),$O503,0)</f>
        <v>0</v>
      </c>
      <c r="AU503" s="133">
        <f>IF(AND($B502=" ",$K503=AU$3),$O503,0)</f>
        <v>0</v>
      </c>
      <c r="AV503" s="133">
        <f>IF(AND($B502=" ",$K503=AV$3),$O503,0)</f>
        <v>0</v>
      </c>
      <c r="AW503" s="133">
        <f>IF(AND($B502=" ",$K503=AW$3),$O503,0)</f>
        <v>0</v>
      </c>
      <c r="AX503" s="133">
        <f>IF(AND($B502=" ",$K503=AX$3),$O503,0)</f>
        <v>0</v>
      </c>
      <c r="AY503" s="135">
        <f>IF(AND($B502=" ",$K503=AY$3),$O503,0)</f>
        <v>0</v>
      </c>
      <c r="AZ503" s="136">
        <f>IF(AND($B502=" ",$K503=AZ$3),$O503,0)</f>
        <v>0</v>
      </c>
      <c r="BA503" s="136">
        <f>IF(AND($B502=" ",$K503=BA$3),$O503,0)</f>
        <v>0</v>
      </c>
      <c r="BB503" s="136">
        <f>IF(AND($B502=" ",$K503=BB$3),$O503,0)</f>
        <v>0</v>
      </c>
      <c r="BC503" s="137">
        <f>IF(AND($B502=" ",$K503=BC$3),$O503,0)</f>
        <v>0</v>
      </c>
      <c r="BD503" s="133">
        <f>IF(AND($B502=" ",$K503=BD$3),$O503,0)</f>
        <v>0</v>
      </c>
      <c r="BE503" s="134">
        <f>IF(AND($B502=" ",$K503=BE$3),$O503,0)</f>
        <v>0</v>
      </c>
      <c r="BF503" s="132">
        <f>IF($K503=BF$3,IF($C503="X",0,$O503),0)</f>
        <v>0</v>
      </c>
      <c r="BG503" s="281">
        <f>IF($K503=BG$3,IF($C503="X",0,$O503),0)</f>
        <v>0</v>
      </c>
      <c r="BH503" s="133">
        <f>IF($K503=BH$3,IF($C503="X",0,$O503),0)</f>
        <v>0</v>
      </c>
      <c r="BI503" s="133">
        <f>IF($K503=BI$3,IF($C503="X",0,$O503),0)</f>
        <v>2.66</v>
      </c>
      <c r="BJ503" s="133">
        <f>IF($K503=BJ$3,IF($C503="X",0,$O503),0)</f>
        <v>0</v>
      </c>
      <c r="BK503" s="133">
        <f>IF($K503=BK$3,IF($C503="X",0,$O503),0)</f>
        <v>0</v>
      </c>
      <c r="BL503" s="133">
        <f>IF($K503=BL$3,IF($C503="X",0,$O503),0)</f>
        <v>0</v>
      </c>
      <c r="BM503" s="135">
        <f>IF($K503=BM$3,IF($C503="X",0,$O503),0)</f>
        <v>0</v>
      </c>
      <c r="BN503" s="136">
        <f>IF($K503=BN$3,IF($C503="X",0,$O503),0)</f>
        <v>0</v>
      </c>
      <c r="BO503" s="136">
        <f>IF($K503=BO$3,IF($C503="X",0,$O503),0)</f>
        <v>0</v>
      </c>
      <c r="BP503" s="136">
        <f>IF($K503=BP$3,IF($C503="X",0,$O503),0)</f>
        <v>0</v>
      </c>
      <c r="BQ503" s="137">
        <f>IF($K503=BQ$3,IF($C503="X",0,$O503),0)</f>
        <v>0</v>
      </c>
      <c r="BR503" s="134">
        <f>IF($K503=BR$3,IF($C503="X",0,$O503),0)</f>
        <v>0</v>
      </c>
      <c r="BS503" s="282"/>
      <c r="BT503" s="283"/>
      <c r="BU503" s="140"/>
      <c r="BV503" s="283"/>
      <c r="BW503" s="140"/>
      <c r="BX503" s="140"/>
      <c r="BY503" s="140"/>
      <c r="BZ503" s="283"/>
      <c r="CA503" s="140"/>
      <c r="CB503" s="140"/>
      <c r="CC503" s="140"/>
      <c r="CD503" s="141"/>
      <c r="CE503" s="142"/>
      <c r="CF503" s="284">
        <f>IF(CF$3=$K503,IF($C503="W",1,IF($C503="1/2W",0.5,0)),0)</f>
        <v>0</v>
      </c>
      <c r="CG503" s="285">
        <f>IF(CF$3=$K503,IF($C503="L",1,IF($C503="1/2L",0.5,0)),0)</f>
        <v>0</v>
      </c>
      <c r="CH503" s="285">
        <f>IF(CH$3=$K503,IF($C503="W",1,IF($C503="1/2W",0.5,0)),0)</f>
        <v>0</v>
      </c>
      <c r="CI503" s="285">
        <f>IF(CH$3=$K503,IF($C503="L",1,IF($C503="1/2L",0.5,0)),0)</f>
        <v>0</v>
      </c>
      <c r="CJ503" s="285">
        <f>IF(CJ$3=$K503,IF($C503="W",1,IF($C503="1/2W",0.5,0)),0)</f>
        <v>0</v>
      </c>
      <c r="CK503" s="285">
        <f>IF(CJ$3=$K503,IF($C503="L",1,IF($C503="1/2L",0.5,0)),0)</f>
        <v>0</v>
      </c>
      <c r="CL503" s="285">
        <f>IF(CL$3=$K503,IF($C503="W",1,IF($C503="1/2W",0.5,0)),0)</f>
        <v>0</v>
      </c>
      <c r="CM503" s="285">
        <f>IF(CL$3=$K503,IF($C503="L",1,IF($C503="1/2L",0.5,0)),0)</f>
        <v>1</v>
      </c>
      <c r="CN503" s="285">
        <f>IF(CN$3=$K503,IF($C503="W",1,IF($C503="1/2W",0.5,0)),0)</f>
        <v>0</v>
      </c>
      <c r="CO503" s="285">
        <f>IF(CN$3=$K503,IF($C503="L",1,IF($C503="1/2L",0.5,0)),0)</f>
        <v>0</v>
      </c>
      <c r="CP503" s="285">
        <f>IF(CP$3=$K503,IF($C503="W",1,IF($C503="1/2W",0.5,0)),0)</f>
        <v>0</v>
      </c>
      <c r="CQ503" s="285">
        <f>IF(CP$3=$K503,IF($C503="L",1,IF($C503="1/2L",0.5,0)),0)</f>
        <v>0</v>
      </c>
      <c r="CR503" s="285">
        <f>IF(CR$3=$K503,IF($C503="W",1,IF($C503="1/2W",0.5,0)),0)</f>
        <v>0</v>
      </c>
      <c r="CS503" s="285">
        <f>IF(CR$3=$K503,IF($C503="L",1,IF($C503="1/2L",0.5,0)),0)</f>
        <v>0</v>
      </c>
      <c r="CT503" s="145">
        <f>IF(CT$3=$K503,IF($C503="W",1,IF($C503="1/2W",0.5,0)),0)</f>
        <v>0</v>
      </c>
      <c r="CU503" s="146">
        <f>IF(CT$3=$K503,IF($C503="L",1,IF($C503="1/2L",0.5,0)),0)</f>
        <v>0</v>
      </c>
      <c r="CV503" s="146">
        <f>IF(CV$3=$K503,IF($C503="W",1,IF($C503="1/2W",0.5,0)),0)</f>
        <v>0</v>
      </c>
      <c r="CW503" s="146">
        <f>IF(CV$3=$K503,IF($C503="L",1,IF($C503="1/2L",0.5,0)),0)</f>
        <v>0</v>
      </c>
      <c r="CX503" s="146">
        <f>IF(CX$3=$K503,IF($C503="W",1,IF($C503="1/2W",0.5,0)),0)</f>
        <v>0</v>
      </c>
      <c r="CY503" s="146">
        <f>IF(CX$3=$K503,IF($C503="L",1,IF($C503="1/2L",0.5,0)),0)</f>
        <v>0</v>
      </c>
      <c r="CZ503" s="146">
        <f>IF(CZ$3=$K503,IF($C503="W",1,IF($C503="1/2W",0.5,0)),0)</f>
        <v>0</v>
      </c>
      <c r="DA503" s="146">
        <f>IF(CZ$3=$K503,IF($C503="L",1,IF($C503="1/2L",0.5,0)),0)</f>
        <v>0</v>
      </c>
      <c r="DB503" s="146">
        <f>IF(DB$3=$K503,IF($C503="W",1,IF($C503="1/2W",0.5,0)),0)</f>
        <v>0</v>
      </c>
      <c r="DC503" s="146">
        <f>IF(DB$3=$K503,IF($C503="L",1,IF($C503="1/2L",0.5,0)),0)</f>
        <v>0</v>
      </c>
      <c r="DD503" s="146">
        <f>IF(DD$3=$K503,IF($C503="W",1,IF($C503="1/2W",0.5,0)),0)</f>
        <v>0</v>
      </c>
      <c r="DE503" s="147">
        <f>IF(DD$3=$K503,IF($C503="L",1,IF($C503="1/2L",0.5,0)),0)</f>
        <v>0</v>
      </c>
      <c r="DF503" s="143">
        <f>IF(AND(L503&lt;DF$3,$C503="W"),1+DF502,DF502)</f>
        <v>16</v>
      </c>
      <c r="DG503" s="133">
        <f>IF(DF503&gt;DF502,L503+DG502,DG502)</f>
        <v>21.158</v>
      </c>
      <c r="DH503" s="146">
        <f>IF(AND(L503&gt;DH$3,$C503="W"),1+DH502,0+DH502)</f>
        <v>11</v>
      </c>
      <c r="DI503" s="133">
        <f>IF(DH503&gt;DH502,L503+DI502,DI502)</f>
        <v>59.13</v>
      </c>
      <c r="DJ503" t="s" s="304">
        <f>IF($D502="","",$D502)</f>
        <v>358</v>
      </c>
      <c r="DK503" s="286"/>
    </row>
    <row r="504" ht="14.55" customHeight="1">
      <c r="A504" s="149"/>
      <c r="B504" s="150"/>
      <c r="C504" t="s" s="151">
        <v>58</v>
      </c>
      <c r="D504" s="152"/>
      <c r="E504" s="153"/>
      <c r="F504" s="155"/>
      <c r="G504" s="252"/>
      <c r="H504" s="156"/>
      <c r="I504" s="287"/>
      <c r="J504" s="288"/>
      <c r="K504" s="156"/>
      <c r="L504" s="289"/>
      <c r="M504" s="290"/>
      <c r="N504" s="161"/>
      <c r="O504" t="s" s="162">
        <f>IF(OR(AE502="",AE503=""),"",IF(L504&gt;0,ROUND(IF(M504&gt;0,M504,IF(M502&gt;0,ROUND((M502*AE504)/AE502,IF(N502=0,2,IF(N502=0.1,1,0))),IF(M503&gt;0,ROUND((M503*AE504)/AE503,IF(N502=0,2,IF(N502=0.1,1,0))),IF(M504&gt;0,M504,0)))),2),""))</f>
      </c>
      <c r="P504" t="s" s="163">
        <f>IF(I503="Lay",O503*(L503/(L503-1))-O503,IF(I502="Lay",O502*(L502/(L502-1))-O502,IF(OR(L504="",O504=""),"",IF($C504="1/2W",O504/2+O504/2*L504,IF($C504="1/2L",O504/2,(O504*L504-O504)*(1-_xlfn.XLOOKUP(K504,'Janeiro 2023 - Valor Real'!A3:A15,'Janeiro 2023 - Valor Real'!C3:C15,0))+O504)))))</f>
      </c>
      <c r="Q504" t="s" s="154">
        <f>IF(K504="","",IF(_xlfn.XLOOKUP(K504,K$109:K271,DJ$109:DJ271,0,,-1)=DJ504,_xlfn.XLOOKUP(K504,K$109:K271,Q$109:Q271,1,,-1)+1,1))</f>
      </c>
      <c r="R504" t="s" s="163">
        <f>IF(K504="","",_xlfn.XLOOKUP(K504,K$109:K271,R$109:R271,0,,-1)+IF($C504=" ",1,0))</f>
      </c>
      <c r="S504" s="166"/>
      <c r="T504" s="155"/>
      <c r="U504" s="155"/>
      <c r="V504" s="166"/>
      <c r="W504" s="155"/>
      <c r="X504" s="167"/>
      <c r="Y504" s="128"/>
      <c r="Z504" s="129"/>
      <c r="AA504" s="129"/>
      <c r="AB504" s="129"/>
      <c r="AC504" s="129"/>
      <c r="AD504" s="168"/>
      <c r="AE504" t="s" s="169">
        <f>IF(L504="","",(SUM(((L502-1)*(1-_xlfn.XLOOKUP(K502,'Janeiro 2023 - Valor Real'!A3:A15,'Janeiro 2023 - Valor Real'!C3:C15,0))+1),((L503-1)*(1-_xlfn.XLOOKUP(K503,'Janeiro 2023 - Valor Real'!A3:A15,'Janeiro 2023 - Valor Real'!C3:C15,0))+1),((L504-1)*(1-_xlfn.XLOOKUP(K504,'Janeiro 2023 - Valor Real'!A3:A15,'Janeiro 2023 - Valor Real'!C3:C15,0))+1))/((L504-1)*(1-_xlfn.XLOOKUP(K504,'Janeiro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Real'!C3:C15,0))+1))/((L502-1)*(1-_xlfn.XLOOKUP(K502,'Janeiro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Real'!C3:C15,0))+1))/((L503-1)*(1-_xlfn.XLOOKUP(K503,'Janeiro 2023 - Valor Real'!A3:A15,'Janeiro 2023 - Valor Real'!C3:C15,0))+1)+SUM(((L502-1)*(1-_xlfn.XLOOKUP(K502,'Janeiro 2023 - Valor Real'!A3:A15,'Janeiro 2023 - Valor Real'!C3:C15,0))+1),((L503-1)*(1-_xlfn.XLOOKUP(K503,'Janeiro 2023 - Valor Real'!A3:A15,'Janeiro 2023 - Valor Real'!C3:C15,0))+1),((L504-1)*(1-_xlfn.XLOOKUP(K504,'Janeiro 2023 - Valor Real'!A3:A15,'Janeiro 2023 - Valor Real'!C3:C15,0))+1))/((L504-1)*(1-_xlfn.XLOOKUP(K504,'Janeiro 2023 - Valor Real'!A3:A15,'Janeiro 2023 - Valor Real'!C3:C15,0))+1)))</f>
      </c>
      <c r="AF504" s="132">
        <f>IF($K504=AF$3,ROUND(IF(OR($C504="W",$C504="1/2W",$C504="1/2L"),$P504-$O504,IF($C504="X",0,-$O504)),2),0)</f>
        <v>0</v>
      </c>
      <c r="AG504" s="133">
        <f>IF($K504=AG$3,ROUND(IF(OR($C504="W",$C504="1/2W",$C504="1/2L"),$P504-$O504,IF($C504="X",0,-$O504)),2),0)</f>
        <v>0</v>
      </c>
      <c r="AH504" s="133">
        <f>IF($K504=AH$3,ROUND(IF(OR($C504="W",$C504="1/2W",$C504="1/2L"),$P504-$O504,IF($C504="X",0,-$O504)),2),0)</f>
        <v>0</v>
      </c>
      <c r="AI504" s="133">
        <f>IF($K504=AI$3,ROUND(IF(OR($C504="W",$C504="1/2W",$C504="1/2L"),$P504-$O504,IF($C504="X",0,-$O504)),2),0)</f>
        <v>0</v>
      </c>
      <c r="AJ504" s="133">
        <f>IF($K504=AJ$3,ROUND(IF(OR($C504="W",$C504="1/2W",$C504="1/2L"),$P504-$O504,IF($C504="X",0,-$O504)),2),0)</f>
        <v>0</v>
      </c>
      <c r="AK504" s="133">
        <f>IF($K504=AK$3,ROUND(IF(OR($C504="W",$C504="1/2W",$C504="1/2L"),$P504-$O504,IF($C504="X",0,-$O504)),2),0)</f>
        <v>0</v>
      </c>
      <c r="AL504" s="133">
        <f>IF($K504=AL$3,ROUND(IF(OR($C504="W",$C504="1/2W",$C504="1/2L"),$P504-$O504,IF($C504="X",0,-$O504)),2),0)</f>
        <v>0</v>
      </c>
      <c r="AM504" s="133">
        <f>IF($K504=AM$3,ROUND(IF(OR($C504="W",$C504="1/2W",$C504="1/2L"),$P504-$O504,IF($C504="X",0,-$O504)),2),0)</f>
        <v>0</v>
      </c>
      <c r="AN504" s="133">
        <f>IF($K504=AN$3,ROUND(IF(OR($C504="W",$C504="1/2W",$C504="1/2L"),$P504-$O504,IF($C504="X",0,-$O504)),2),0)</f>
        <v>0</v>
      </c>
      <c r="AO504" s="133">
        <f>IF($K504=AO$3,ROUND(IF(OR($C504="W",$C504="1/2W",$C504="1/2L"),$P504-$O504,IF($C504="X",0,-$O504)),2),0)</f>
        <v>0</v>
      </c>
      <c r="AP504" s="133">
        <f>IF($K504=AP$3,ROUND(IF(OR($C504="W",$C504="1/2W",$C504="1/2L"),$P504-$O504,IF($C504="X",0,-$O504)),2),0)</f>
        <v>0</v>
      </c>
      <c r="AQ504" s="133">
        <f>IF($K504=AQ$3,ROUND(IF(OR($C504="W",$C504="1/2W",$C504="1/2L"),$P504-$O504,IF($C504="X",0,-$O504)),2),0)</f>
        <v>0</v>
      </c>
      <c r="AR504" s="134">
        <f>IF($K504=AR$3,ROUND(IF(OR($C504="W",$C504="1/2W",$C504="1/2L"),$P504-$O504,IF($C504="X",0,-$O504)),2),0)</f>
        <v>0</v>
      </c>
      <c r="AS504" s="132">
        <f>IF(AND($B502=" ",$K504=AS$3),$O504,0)</f>
        <v>0</v>
      </c>
      <c r="AT504" s="133">
        <f>IF(AND($B502=" ",K504=AT$3),$O504,0)</f>
        <v>0</v>
      </c>
      <c r="AU504" s="133">
        <f>IF(AND($B502=" ",$K504=AU$3),$O504,0)</f>
        <v>0</v>
      </c>
      <c r="AV504" s="133">
        <f>IF(AND($B502=" ",$K504=AV$3),$O504,0)</f>
        <v>0</v>
      </c>
      <c r="AW504" s="133">
        <f>IF(AND($B502=" ",$K504=AW$3),$O504,0)</f>
        <v>0</v>
      </c>
      <c r="AX504" s="133">
        <f>IF(AND($B502=" ",$K504=AX$3),$O504,0)</f>
        <v>0</v>
      </c>
      <c r="AY504" s="135">
        <f>IF(AND($B502=" ",$K504=AY$3),$O504,0)</f>
        <v>0</v>
      </c>
      <c r="AZ504" s="136">
        <f>IF(AND($B502=" ",$K504=AZ$3),$O504,0)</f>
        <v>0</v>
      </c>
      <c r="BA504" s="136">
        <f>IF(AND($B502=" ",$K504=BA$3),$O504,0)</f>
        <v>0</v>
      </c>
      <c r="BB504" s="136">
        <f>IF(AND($B502=" ",$K504=BB$3),$O504,0)</f>
        <v>0</v>
      </c>
      <c r="BC504" s="137">
        <f>IF(AND($B502=" ",$K504=BC$3),$O504,0)</f>
        <v>0</v>
      </c>
      <c r="BD504" s="133">
        <f>IF(AND($B502=" ",$K504=BD$3),$O504,0)</f>
        <v>0</v>
      </c>
      <c r="BE504" s="134">
        <f>IF(AND($B502=" ",$K504=BE$3),$O504,0)</f>
        <v>0</v>
      </c>
      <c r="BF504" s="132">
        <f>IF($K504=BF$3,IF($C504="X",0,$O504),0)</f>
        <v>0</v>
      </c>
      <c r="BG504" s="281">
        <f>IF($K504=BG$3,IF($C504="X",0,$O504),0)</f>
        <v>0</v>
      </c>
      <c r="BH504" s="133">
        <f>IF($K504=BH$3,IF($C504="X",0,$O504),0)</f>
        <v>0</v>
      </c>
      <c r="BI504" s="133">
        <f>IF($K504=BI$3,IF($C504="X",0,$O504),0)</f>
        <v>0</v>
      </c>
      <c r="BJ504" s="133">
        <f>IF($K504=BJ$3,IF($C504="X",0,$O504),0)</f>
        <v>0</v>
      </c>
      <c r="BK504" s="133">
        <f>IF($K504=BK$3,IF($C504="X",0,$O504),0)</f>
        <v>0</v>
      </c>
      <c r="BL504" s="133">
        <f>IF($K504=BL$3,IF($C504="X",0,$O504),0)</f>
        <v>0</v>
      </c>
      <c r="BM504" s="135">
        <f>IF($K504=BM$3,IF($C504="X",0,$O504),0)</f>
        <v>0</v>
      </c>
      <c r="BN504" s="136">
        <f>IF($K504=BN$3,IF($C504="X",0,$O504),0)</f>
        <v>0</v>
      </c>
      <c r="BO504" s="136">
        <f>IF($K504=BO$3,IF($C504="X",0,$O504),0)</f>
        <v>0</v>
      </c>
      <c r="BP504" s="136">
        <f>IF($K504=BP$3,IF($C504="X",0,$O504),0)</f>
        <v>0</v>
      </c>
      <c r="BQ504" s="137">
        <f>IF($K504=BQ$3,IF($C504="X",0,$O504),0)</f>
        <v>0</v>
      </c>
      <c r="BR504" s="134">
        <f>IF($K504=BR$3,IF($C504="X",0,$O504),0)</f>
        <v>0</v>
      </c>
      <c r="BS504" s="282"/>
      <c r="BT504" s="283"/>
      <c r="BU504" s="140"/>
      <c r="BV504" s="283"/>
      <c r="BW504" s="140"/>
      <c r="BX504" s="140"/>
      <c r="BY504" s="140"/>
      <c r="BZ504" s="283"/>
      <c r="CA504" s="140"/>
      <c r="CB504" s="140"/>
      <c r="CC504" s="140"/>
      <c r="CD504" s="141"/>
      <c r="CE504" s="142"/>
      <c r="CF504" s="284">
        <f>IF(CF$3=$K504,IF($C504="W",1,IF($C504="1/2W",0.5,0)),0)</f>
        <v>0</v>
      </c>
      <c r="CG504" s="285">
        <f>IF(CF$3=$K504,IF($C504="L",1,IF($C504="1/2L",0.5,0)),0)</f>
        <v>0</v>
      </c>
      <c r="CH504" s="285">
        <f>IF(CH$3=$K504,IF($C504="W",1,IF($C504="1/2W",0.5,0)),0)</f>
        <v>0</v>
      </c>
      <c r="CI504" s="285">
        <f>IF(CH$3=$K504,IF($C504="L",1,IF($C504="1/2L",0.5,0)),0)</f>
        <v>0</v>
      </c>
      <c r="CJ504" s="285">
        <f>IF(CJ$3=$K504,IF($C504="W",1,IF($C504="1/2W",0.5,0)),0)</f>
        <v>0</v>
      </c>
      <c r="CK504" s="285">
        <f>IF(CJ$3=$K504,IF($C504="L",1,IF($C504="1/2L",0.5,0)),0)</f>
        <v>0</v>
      </c>
      <c r="CL504" s="285">
        <f>IF(CL$3=$K504,IF($C504="W",1,IF($C504="1/2W",0.5,0)),0)</f>
        <v>0</v>
      </c>
      <c r="CM504" s="285">
        <f>IF(CL$3=$K504,IF($C504="L",1,IF($C504="1/2L",0.5,0)),0)</f>
        <v>0</v>
      </c>
      <c r="CN504" s="285">
        <f>IF(CN$3=$K504,IF($C504="W",1,IF($C504="1/2W",0.5,0)),0)</f>
        <v>0</v>
      </c>
      <c r="CO504" s="285">
        <f>IF(CN$3=$K504,IF($C504="L",1,IF($C504="1/2L",0.5,0)),0)</f>
        <v>0</v>
      </c>
      <c r="CP504" s="285">
        <f>IF(CP$3=$K504,IF($C504="W",1,IF($C504="1/2W",0.5,0)),0)</f>
        <v>0</v>
      </c>
      <c r="CQ504" s="285">
        <f>IF(CP$3=$K504,IF($C504="L",1,IF($C504="1/2L",0.5,0)),0)</f>
        <v>0</v>
      </c>
      <c r="CR504" s="285">
        <f>IF(CR$3=$K504,IF($C504="W",1,IF($C504="1/2W",0.5,0)),0)</f>
        <v>0</v>
      </c>
      <c r="CS504" s="285">
        <f>IF(CR$3=$K504,IF($C504="L",1,IF($C504="1/2L",0.5,0)),0)</f>
        <v>0</v>
      </c>
      <c r="CT504" s="145">
        <f>IF(CT$3=$K504,IF($C504="W",1,IF($C504="1/2W",0.5,0)),0)</f>
        <v>0</v>
      </c>
      <c r="CU504" s="146">
        <f>IF(CT$3=$K504,IF($C504="L",1,IF($C504="1/2L",0.5,0)),0)</f>
        <v>0</v>
      </c>
      <c r="CV504" s="146">
        <f>IF(CV$3=$K504,IF($C504="W",1,IF($C504="1/2W",0.5,0)),0)</f>
        <v>0</v>
      </c>
      <c r="CW504" s="146">
        <f>IF(CV$3=$K504,IF($C504="L",1,IF($C504="1/2L",0.5,0)),0)</f>
        <v>0</v>
      </c>
      <c r="CX504" s="146">
        <f>IF(CX$3=$K504,IF($C504="W",1,IF($C504="1/2W",0.5,0)),0)</f>
        <v>0</v>
      </c>
      <c r="CY504" s="146">
        <f>IF(CX$3=$K504,IF($C504="L",1,IF($C504="1/2L",0.5,0)),0)</f>
        <v>0</v>
      </c>
      <c r="CZ504" s="146">
        <f>IF(CZ$3=$K504,IF($C504="W",1,IF($C504="1/2W",0.5,0)),0)</f>
        <v>0</v>
      </c>
      <c r="DA504" s="146">
        <f>IF(CZ$3=$K504,IF($C504="L",1,IF($C504="1/2L",0.5,0)),0)</f>
        <v>0</v>
      </c>
      <c r="DB504" s="146">
        <f>IF(DB$3=$K504,IF($C504="W",1,IF($C504="1/2W",0.5,0)),0)</f>
        <v>0</v>
      </c>
      <c r="DC504" s="146">
        <f>IF(DB$3=$K504,IF($C504="L",1,IF($C504="1/2L",0.5,0)),0)</f>
        <v>0</v>
      </c>
      <c r="DD504" s="146">
        <f>IF(DD$3=$K504,IF($C504="W",1,IF($C504="1/2W",0.5,0)),0)</f>
        <v>0</v>
      </c>
      <c r="DE504" s="147">
        <f>IF(DD$3=$K504,IF($C504="L",1,IF($C504="1/2L",0.5,0)),0)</f>
        <v>0</v>
      </c>
      <c r="DF504" s="143">
        <f>IF(AND(L504&lt;DF$3,$C504="W"),1+DF503,DF503)</f>
        <v>16</v>
      </c>
      <c r="DG504" s="133">
        <f>IF(DF504&gt;DF503,L504+DG503,DG503)</f>
        <v>21.158</v>
      </c>
      <c r="DH504" s="146">
        <f>IF(AND(L504&gt;DH$3,$C504="W"),1+DH503,0+DH503)</f>
        <v>11</v>
      </c>
      <c r="DI504" s="133">
        <f>IF(DH504&gt;DH503,L504+DI503,DI503)</f>
        <v>59.13</v>
      </c>
      <c r="DJ504" t="s" s="304">
        <f>IF($D502="","",$D502)</f>
        <v>358</v>
      </c>
      <c r="DK504" s="286"/>
    </row>
    <row r="505" ht="14.55" customHeight="1">
      <c r="A505" s="171">
        <f>$A502+1</f>
        <v>168</v>
      </c>
      <c r="B505" t="s" s="172">
        <f>IF(AND(_xlfn.XLOOKUP(H505,H$110:H266,G$110:G266,0)=G505,_xlfn.XLOOKUP("TempoBet",K505:K507,L505:L507,0)&gt;0),"X",IF(OR(C505="W",C506="W",C507="W",C505="1/2W",C506="1/2W",C507="1/2W",C505="1/2L",C506="1/2L",C507="1/2L"),"OK",IF(OR(C505="L",C506="L",C507="L"),"LOSS",IF(OR(C505="X",C506="X",C507="X"),"Anulado"," "))))</f>
        <v>50</v>
      </c>
      <c r="C505" t="s" s="173">
        <v>51</v>
      </c>
      <c r="D505" t="s" s="305">
        <f>IF(G505="","",$D502)</f>
        <v>358</v>
      </c>
      <c r="E505" t="s" s="175">
        <f>IF(G505=""," ","– "&amp;COUNTIF(D$4:D507,$D505))</f>
        <v>150</v>
      </c>
      <c r="F505" t="s" s="176"/>
      <c r="G505" s="177">
        <v>44951.697916666664</v>
      </c>
      <c r="H505" t="s" s="178">
        <v>390</v>
      </c>
      <c r="I505" t="s" s="179">
        <v>79</v>
      </c>
      <c r="J505" s="180"/>
      <c r="K505" t="s" s="181">
        <v>48</v>
      </c>
      <c r="L505" s="182">
        <v>1.67</v>
      </c>
      <c r="M505" s="183"/>
      <c r="N505" s="184">
        <v>0</v>
      </c>
      <c r="O505" s="185">
        <f>IF(OR(AE505="",AE506=""),"",ROUND(IF(L507&gt;0,IF(M505&gt;0,M505,IF(M506&gt;0,ROUND((M506*AE505)/AE506,IF(N505=0,2,IF(N505=0.1,1,0))),ROUND((M507*AE505)/AE507,IF(N505=0,2,IF(N505=0.1,1,0))))),IF(M505&gt;0,M505,ROUND((M506*AE505)/AE506,IF(N505=0,2,IF(N505=0.1,1,0))))),2))</f>
        <v>10.3</v>
      </c>
      <c r="P505" s="186">
        <f>IF(OR(L505="",O505=""),"",IF($C505="1/2W",O505/2+O505/2*L505,IF($C505="1/2L",O505/2,IF(I505="Lay",(O505*(L505/(L505-1))-O505)*(1-_xlfn.XLOOKUP(K505,'Janeiro 2023 - Valor Real'!A3:A15,'Janeiro 2023 - Valor Real'!C3:C15,0))+O505,(O505*L505-O505)*(1-_xlfn.XLOOKUP(K505,'Janeiro 2023 - Valor Real'!A3:A15,'Janeiro 2023 - Valor Real'!C3:C15,0))+O505))))</f>
        <v>17.201</v>
      </c>
      <c r="Q505" s="187">
        <f>IF(K505="","",IF(_xlfn.XLOOKUP(K505,K$110:K266,DJ$110:DJ266,0,,-1)=DJ505,_xlfn.XLOOKUP(K505,K$110:K266,Q$110:Q266,1,,-1)+1,1))</f>
        <v>1</v>
      </c>
      <c r="R505" s="188">
        <f>IF(K505="","",_xlfn.XLOOKUP(K505,K$110:K266,R$110:R266,0,,-1)+IF($C505=" ",1,0))</f>
        <v>0</v>
      </c>
      <c r="S505" s="189">
        <f>IF($B505="Anulado",0,ROUND(IF(OR($B505="LOSS",$B505="OK"),IF(OR($C505="W",$C505="1/2W",$C505="1/2L"),P505-O505,IF($C505="L",-O505,0))+IF(OR($C506="W",$C506="1/2W",$C506="1/2L"),P506-O506,IF($C506="L",-O506,0))+IF(OR($C507="W",$C507="1/2W",$C507="1/2L"),P507-O507,IF($C507="L",-O507,0)),IF(AND(OR($C505="W",$C505="1/2W",$C505="1/2L"),C506="W"),P505+P506-SUM(O505:O507)+_xlfn.XLOOKUP("X",C505:C507,O505:O507,0),IF(AND(C505=TRUE,C507="W"),P505+P507-SUM(O505:O507),IF(AND(C506="W",C507="W"),P506+P507-SUM(O505:O507)+_xlfn.XLOOKUP("X",C505:C507,O505:O507,0),IF(L507&gt;0,IF(OR($C505="W",$C505="1/2W",$C505="1/2L"),P505-SUM(O505:O507)+_xlfn.XLOOKUP("X",C505:C507,O505:O507,0),IF(OR($C505="W",$C505="1/2W",$C505="1/2L"),P506-SUM(O505:O507)+_xlfn.XLOOKUP("X",C505:C507,O505:O507,0),IF(OR($C505="W",$C505="1/2W",$C505="1/2L"),P507-SUM(O505:O507)+_xlfn.XLOOKUP("X",C505:C507,O505:O507,0),IF(SUM(P505:P507)/3-SUM(O505:O507)+_xlfn.XLOOKUP("X",C505:C507,O505:O507,0)&gt;0,SUM(P505:P507)/3-SUM(O505:O507)+_xlfn.XLOOKUP("X",C505:C507,O505:O507,0),LARGE(P505:P507,1)-SUM(O505:O507))))),IF(OR($C505="W",$C505="1/2W",$C505="1/2L"),P505-SUM(O505:O506)+_xlfn.XLOOKUP("X",C505:C507,O505:O507,0),IF(OR($C505="W",$C505="1/2W",$C505="1/2L"),P506-SUM(O505:O506)+_xlfn.XLOOKUP("X",C505:C507,O505:O507,0),SUM(P505:P506)/2-SUM(O505:O506)+_xlfn.XLOOKUP("X",C505:C507,O505:O507,0)))))))),2))</f>
        <v>0.53</v>
      </c>
      <c r="T505" s="190">
        <f>IF(S505=0,0,S505/SUM(O505:O507))</f>
        <v>0.0317936412717457</v>
      </c>
      <c r="U505" s="191">
        <f>IF($D505=$D502,IF(OR($B505="LOSS",$B505="OK",$B505="Anulada"),S505,0)+U502,IF(OR($B505="LOSS",$B505="OK",$B505="Anulada"),S505,0))</f>
        <v>29.15</v>
      </c>
      <c r="V505" s="191">
        <f>IF($D505="",0,IF($D505=$D502,IF($B505=" ",IF(I507="",IF(OR(AND(I505="DNB1",I506="DNB2"),AND(OR(I505="DNB1",I505="DNB2"),J506=0),AND(OR(I506="DNB1",I506="DNB2"),J505=0),AND(I505="DNB2",I506="DNB1"),AND(IF(J505=0,(J505+1)/ROUND(J505+1,0),J505/ROUND(J505,0))=1,IF(J506=0,(J506+1)/ROUND(IF(J506="",0,J506)+1,0),IF(J506="",0,J506)/ROUND(IF(J506="",1,J506),0))=1,OR(J505&lt;&gt;""),J506&lt;&gt;"")),0,IF(S505&lt;0,IF(I507="",SMALL(P505:P506,1)-SUM(O505:O506),0),SMALL(P505:P506,1)-SUM(O505:O506))),IF(S505&lt;0,IF(I507="",SMALL(P505:P507,1)-SUM(O505:O507),0),LARGE(P505:P507,1)-SUM(O505:O507))),S505)+V502,IF(I507="",IF(OR(AND(I505="DNB1",I506="DNB2"),AND(OR(I505="DNB1",I505="DNB2"),J506=0),AND(OR(I506="DNB1",I506="DNB2"),J505=0),AND(I505="DNB2",I506="DNB1"),AND(IF(J505=0,(J505+1)/ROUND(J505+1,0),J505/ROUND(J505,0))=1,IF(J506=0,(IF(J506="",0,J506)+1)/ROUND(IF(J506="",0,J506)+1,0),IF(J506="",0,J506)/ROUND(IF(J506="",0,J506)+1,0))=1,OR(J505&lt;&gt;""),J506&lt;&gt;"")),0,IF(S505&lt;0,IF(I507="",SMALL(P505:P506,1)-SUM(O505:O506),0),SMALL(P505:P507,1)-SUM(O505:O507))),IF(S505&lt;0,IF(I507="",SMALL(P505:P507,1)-SUM(O505:O507),0),LARGE(P505:P507,1)-SUM(O505:O507)))))</f>
        <v>29.15</v>
      </c>
      <c r="W505" s="191">
        <f>IF($D505=$D502,IF(S505&lt;0,IF(I507="",S505,0),S505)+W502,S505)</f>
        <v>29.15</v>
      </c>
      <c r="X505" t="s" s="192">
        <f>IF(OR(SUM(R505:R507)=0,V505=W505),ROUND(IF(W505=0,0,W505/Y505)*100,2)&amp;"%",ROUND(IF(V505=0,0,V505/Y505)*100,2)&amp;"% a "&amp;ROUND(IF(W505=0,0,W505/Y505)*100,2)&amp;"%")</f>
        <v>384</v>
      </c>
      <c r="Y505" s="193">
        <f>IF($D505=$D502,Y502+SUM(O505:O507),SUM(O505:O507))</f>
        <v>517.9299999999999</v>
      </c>
      <c r="Z505" s="191">
        <f>IF($B505=" ",SUM(O505:O507),0)+Z502</f>
        <v>0</v>
      </c>
      <c r="AA505" s="191">
        <f>IF(G505="","",IF($B505="Anulado",LARGE(P505:P507,1)-SUM(O505:O507)+AA502,AA502))</f>
        <v>24.9665076923077</v>
      </c>
      <c r="AB505" s="191">
        <f>IF($D505="","",AB502+S505)</f>
        <v>337</v>
      </c>
      <c r="AC505" s="194">
        <f>IF($D505="","",IF($B505=" ",IF(DAY(G505)=DAY(TODAY()),1+AC502,0+AC502),0+AC502))</f>
        <v>0</v>
      </c>
      <c r="AD505" s="195">
        <f>(((L506/(L506-1)-1)*(1-_xlfn.XLOOKUP(K506,'Janeiro 2023 - Valor Real'!A3:A15,'Janeiro 2023 - Valor Real'!C3:C15,0))+1))/(((L505-1)*(1-_xlfn.XLOOKUP(K505,'Janeiro 2023 - Valor Real'!A3:A15,'Janeiro 2023 - Valor Real'!C3:C15,0))+1)+((L506/(L506-1)-1)*(1-_xlfn.XLOOKUP(K506,'Janeiro 2023 - Valor Real'!A3:A15,'Janeiro 2023 - Valor Real'!C3:C15,0))+1))</f>
        <v>0.487452608774147</v>
      </c>
      <c r="AE505" s="196">
        <f>IF(L505="","",IF(L507&gt;0,(SUM(((L505-1)*(1-_xlfn.XLOOKUP(K505,'Janeiro 2023 - Valor Real'!A3:A15,'Janeiro 2023 - Valor Real'!C3:C15,0))+1),((L506-1)*(1-_xlfn.XLOOKUP(K506,'Janeiro 2023 - Valor Real'!A3:A15,'Janeiro 2023 - Valor Real'!C3:C15,0))+1),((L507-1)*(1-_xlfn.XLOOKUP(K507,'Janeiro 2023 - Valor Real'!A3:A15,'Janeiro 2023 - Valor Real'!C3:C15,0))+1))/((L505-1)*(1-_xlfn.XLOOKUP(K505,'Janeiro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Real'!C3:C15,0))+1))/((L505-1)*(1-_xlfn.XLOOKUP(K505,'Janeiro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Real'!C3:C15,0))+1))/((L506-1)*(1-_xlfn.XLOOKUP(K506,'Janeiro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Real'!C3:C15,0))+1))/((L507-1)*(1-_xlfn.XLOOKUP(K507,'Janeiro 2023 - Valor Real'!A3:A15,'Janeiro 2023 - Valor Real'!C3:C15,0))+1)),IF(I505="Lay",IF(I506="Lay",((L506/(L506-1)-1)*(1-_xlfn.XLOOKUP(K506,'Janeiro 2023 - Valor Real'!A3:A15,'Janeiro 2023 - Valor Real'!C3:C15,0))+1)/(((L506/(L506-1)-1)*(1-_xlfn.XLOOKUP(K506,'Janeiro 2023 - Valor Real'!A3:A15,'Janeiro 2023 - Valor Real'!C3:C15,0))+1)+((L505/(L505-1)-1)*(1-_xlfn.XLOOKUP(K505,'Janeiro 2023 - Valor Real'!A3:A15,'Janeiro 2023 - Valor Real'!C3:C15,0))+1)),((L506-1)*(1-_xlfn.XLOOKUP(K506,'Janeiro 2023 - Valor Real'!A3:A15,'Janeiro 2023 - Valor Real'!C3:C15,0))+1)/(((L506-1)*(1-_xlfn.XLOOKUP(K506,'Janeiro 2023 - Valor Real'!A3:A15,'Janeiro 2023 - Valor Real'!C3:C15,0))+1)+((L505/(L505-1)-1)*(1-_xlfn.XLOOKUP(K505,'Janeiro 2023 - Valor Real'!A3:A15,'Janeiro 2023 - Valor Real'!C3:C15,0))+1))),IF(I506="Lay",(((L506/(L506-1)-1)*(1-_xlfn.XLOOKUP(K506,'Janeiro 2023 - Valor Real'!A3:A15,'Janeiro 2023 - Valor Real'!C3:C15,0))+1))/(((L505-1)*(1-_xlfn.XLOOKUP(K505,'Janeiro 2023 - Valor Real'!A3:A15,'Janeiro 2023 - Valor Real'!C3:C15,0))+1)+((L506/(L506-1)-1)*(1-_xlfn.XLOOKUP(K506,'Janeiro 2023 - Valor Real'!A3:A15,'Janeiro 2023 - Valor Real'!C3:C15,0))+1)),((L506-1)*(1-_xlfn.XLOOKUP(K506,'Janeiro 2023 - Valor Real'!A3:A15,'Janeiro 2023 - Valor Real'!C3:C15,0))+1)/(((L506-1)*(1-_xlfn.XLOOKUP(K506,'Janeiro 2023 - Valor Real'!A3:A15,'Janeiro 2023 - Valor Real'!C3:C15,0))+1)+((L505-1)*(1-_xlfn.XLOOKUP(K505,'Janeiro 2023 - Valor Real'!A3:A15,'Janeiro 2023 - Valor Real'!C3:C15,0))+1))))))</f>
        <v>0.617848970251716</v>
      </c>
      <c r="AF505" s="197">
        <f>IF($K505=AF$3,ROUND(IF(OR($C505="W",$C505="1/2W",$C505="1/2L"),$P505-$O505,IF($C505="X",0,-$O505)),2),0)</f>
        <v>0</v>
      </c>
      <c r="AG505" s="198">
        <f>IF($K505=AG$3,ROUND(IF(OR($C505="W",$C505="1/2W",$C505="1/2L"),$P505-$O505,IF($C505="X",0,-$O505)),2),0)</f>
        <v>0</v>
      </c>
      <c r="AH505" s="198">
        <f>IF($K505=AH$3,ROUND(IF(OR($C505="W",$C505="1/2W",$C505="1/2L"),$P505-$O505,IF($C505="X",0,-$O505)),2),0)</f>
        <v>0</v>
      </c>
      <c r="AI505" s="198">
        <f>IF($K505=AI$3,ROUND(IF(OR($C505="W",$C505="1/2W",$C505="1/2L"),$P505-$O505,IF($C505="X",0,-$O505)),2),0)</f>
        <v>0</v>
      </c>
      <c r="AJ505" s="198">
        <f>IF($K505=AJ$3,ROUND(IF(OR($C505="W",$C505="1/2W",$C505="1/2L"),$P505-$O505,IF($C505="X",0,-$O505)),2),0)</f>
        <v>0</v>
      </c>
      <c r="AK505" s="198">
        <f>IF($K505=AK$3,ROUND(IF(OR($C505="W",$C505="1/2W",$C505="1/2L"),$P505-$O505,IF($C505="X",0,-$O505)),2),0)</f>
        <v>0</v>
      </c>
      <c r="AL505" s="198">
        <f>IF($K505=AL$3,ROUND(IF(OR($C505="W",$C505="1/2W",$C505="1/2L"),$P505-$O505,IF($C505="X",0,-$O505)),2),0)</f>
        <v>0</v>
      </c>
      <c r="AM505" s="198">
        <f>IF($K505=AM$3,ROUND(IF(OR($C505="W",$C505="1/2W",$C505="1/2L"),$P505-$O505,IF($C505="X",0,-$O505)),2),0)</f>
        <v>0</v>
      </c>
      <c r="AN505" s="198">
        <f>IF($K505=AN$3,ROUND(IF(OR($C505="W",$C505="1/2W",$C505="1/2L"),$P505-$O505,IF($C505="X",0,-$O505)),2),0)</f>
        <v>0</v>
      </c>
      <c r="AO505" s="198">
        <f>IF($K505=AO$3,ROUND(IF(OR($C505="W",$C505="1/2W",$C505="1/2L"),$P505-$O505,IF($C505="X",0,-$O505)),2),0)</f>
        <v>0</v>
      </c>
      <c r="AP505" s="198">
        <f>IF($K505=AP$3,ROUND(IF(OR($C505="W",$C505="1/2W",$C505="1/2L"),$P505-$O505,IF($C505="X",0,-$O505)),2),0)</f>
        <v>0</v>
      </c>
      <c r="AQ505" s="198">
        <f>IF($K505=AQ$3,ROUND(IF(OR($C505="W",$C505="1/2W",$C505="1/2L"),$P505-$O505,IF($C505="X",0,-$O505)),2),0)</f>
        <v>-10.3</v>
      </c>
      <c r="AR505" s="199">
        <f>IF($K505=AR$3,ROUND(IF(OR($C505="W",$C505="1/2W",$C505="1/2L"),$P505-$O505,IF($C505="X",0,-$O505)),2),0)</f>
        <v>0</v>
      </c>
      <c r="AS505" s="197">
        <f>IF(AND($B505=" ",$K505=AS$3),$O505,0)</f>
        <v>0</v>
      </c>
      <c r="AT505" s="198">
        <f>IF(AND($B505=" ",$K505=AT$3),$O505,0)</f>
        <v>0</v>
      </c>
      <c r="AU505" s="198">
        <f>IF(AND($B505=" ",$K505=AU$3),$O505,0)</f>
        <v>0</v>
      </c>
      <c r="AV505" s="198">
        <f>IF(AND($B505=" ",$K505=AV$3),$O505,0)</f>
        <v>0</v>
      </c>
      <c r="AW505" s="198">
        <f>IF(AND($B505=" ",$K505=AW$3),$O505,0)</f>
        <v>0</v>
      </c>
      <c r="AX505" s="198">
        <f>IF(AND($B505=" ",$K505=AX$3),$O505,0)</f>
        <v>0</v>
      </c>
      <c r="AY505" s="200">
        <f>IF(AND($B505=" ",$K505=AY$3),$O505,0)</f>
        <v>0</v>
      </c>
      <c r="AZ505" s="201">
        <f>IF(AND($B505=" ",$K505=AZ$3),$O505,0)</f>
        <v>0</v>
      </c>
      <c r="BA505" s="201">
        <f>IF(AND($B505=" ",$K505=BA$3),$O505,0)</f>
        <v>0</v>
      </c>
      <c r="BB505" s="201">
        <f>IF(AND($B505=" ",$K505=BB$3),$O505,0)</f>
        <v>0</v>
      </c>
      <c r="BC505" s="202">
        <f>IF(AND($B505=" ",$K505=BC$3),$O505,0)</f>
        <v>0</v>
      </c>
      <c r="BD505" s="198">
        <f>IF(AND($B505=" ",$K505=BD$3),$O505,0)</f>
        <v>0</v>
      </c>
      <c r="BE505" s="199">
        <f>IF(AND($B505=" ",$K505=BE$3),$O505,0)</f>
        <v>0</v>
      </c>
      <c r="BF505" s="203">
        <f>IF($K505=BF$3,IF($C505="X",0,$O505),0)</f>
        <v>0</v>
      </c>
      <c r="BG505" s="198">
        <f>IF($K505=BG$3,IF($C505="X",0,$O505),0)</f>
        <v>0</v>
      </c>
      <c r="BH505" s="198">
        <f>IF($K505=BH$3,IF($C505="X",0,$O505),0)</f>
        <v>0</v>
      </c>
      <c r="BI505" s="198">
        <f>IF($K505=BI$3,IF($C505="X",0,$O505),0)</f>
        <v>0</v>
      </c>
      <c r="BJ505" s="198">
        <f>IF($K505=BJ$3,IF($C505="X",0,$O505),0)</f>
        <v>0</v>
      </c>
      <c r="BK505" s="198">
        <f>IF($K505=BK$3,IF($C505="X",0,$O505),0)</f>
        <v>0</v>
      </c>
      <c r="BL505" s="198">
        <f>IF($K505=BL$3,IF($C505="X",0,$O505),0)</f>
        <v>0</v>
      </c>
      <c r="BM505" s="200">
        <f>IF($K505=BM$3,IF($C505="X",0,$O505),0)</f>
        <v>0</v>
      </c>
      <c r="BN505" s="201">
        <f>IF($K505=BN$3,IF($C505="X",0,$O505),0)</f>
        <v>0</v>
      </c>
      <c r="BO505" s="201">
        <f>IF($K505=BO$3,IF($C505="X",0,$O505),0)</f>
        <v>0</v>
      </c>
      <c r="BP505" s="201">
        <f>IF($K505=BP$3,IF($C505="X",0,$O505),0)</f>
        <v>0</v>
      </c>
      <c r="BQ505" s="202">
        <f>IF($K505=BQ$3,IF($C505="X",0,$O505),0)</f>
        <v>10.3</v>
      </c>
      <c r="BR505" s="199">
        <f>IF($K505=BR$3,IF($C505="X",0,$O505),0)</f>
        <v>0</v>
      </c>
      <c r="BS505" s="204">
        <f>IF($B505="LOSS",IF(AND($K505=BS$3,$C505="L"),-$O505,0)+IF(AND($K506=BS$3,$C506="L"),-$O506,0)+IF(AND($K507=BS$3,$C507="L"),-$O507,0),IF(OR(AND($K505=BS$3,OR($C505="W",$C505="1/2W")),AND($K506=BS$3,OR($C506="W",$C506="1/2W")),AND($K507=BS$3,OR($C507="W",$C507="1/2W"))),$S505,0))</f>
        <v>0</v>
      </c>
      <c r="BT505" s="201">
        <f>IF($B505="LOSS",IF(AND($K505=BT$3,$C505="L"),-$O505,0)+IF(AND($K506=BT$3,$C506="L"),-$O506,0)+IF(AND($K506=BT$3,$C507="L"),-$O507,0),IF(OR(AND($K506=BT$3,OR($C505="W",$C505="1/2W")),AND($K506=BT$3,OR($C506="W",$C506="1/2W")),AND($K506=BT$3,OR($C507="W",$C507="1/2W"))),$S505,0))</f>
        <v>0.53</v>
      </c>
      <c r="BU505" s="201">
        <f>IF($B505="LOSS",IF(AND($K505=BU$3,$C505="L"),-$O505,0)+IF(AND($K506=BU$3,$C506="L"),-$O506,0)+IF(AND($K506=BU$3,$C507="L"),-$O507,0),IF(OR(AND($K506=BU$3,OR($C505="W",$C505="1/2W")),AND($K506=BU$3,OR($C506="W",$C506="1/2W")),AND($K506=BU$3,OR($C507="W",$C507="1/2W"))),$S505,0))</f>
        <v>0</v>
      </c>
      <c r="BV505" s="201">
        <f>IF($B505="LOSS",IF(AND($K505=BV$3,$C505="L"),-$O505,0)+IF(AND($K506=BV$3,$C506="L"),-$O506,0)+IF(AND($K507=BV$3,$C507="L"),-$O507,0),IF(OR(AND($K505=BV$3,OR($C505="W",$C505="1/2W")),AND($K506=BV$3,OR($C506="W",$C506="1/2W")),AND($K507=BV$3,OR($C507="W",$C507="1/2W"))),$S505,0))</f>
        <v>0</v>
      </c>
      <c r="BW505" s="201">
        <f>IF($B505="LOSS",IF(AND($K505=BW$3,$C505="L"),-$O505,0)+IF(AND($K506=BW$3,$C506="L"),-$O506,0)+IF(AND($K507=BW$3,$C507="L"),-$O507,0),IF(OR(AND($K505=BW$3,OR($C505="W",$C505="1/2W")),AND($K506=BW$3,OR($C506="W",$C506="1/2W")),AND($K507=BW$3,OR($C507="W",$C507="1/2W"))),$S505,0))</f>
        <v>0</v>
      </c>
      <c r="BX505" s="201">
        <f>IF($B505="LOSS",IF(AND($K505=BX$3,$C505="L"),-$O505,0)+IF(AND($K506=BX$3,$C506="L"),-$O506,0)+IF(AND($K507=BX$3,$C507="L"),-$O507,0),IF(OR(AND($K505=BX$3,OR($C505="W",$C505="1/2W")),AND($K506=BX$3,OR($C506="W",$C506="1/2W")),AND($K507=BX$3,OR($C507="W",$C507="1/2W"))),$S505,0))</f>
        <v>0</v>
      </c>
      <c r="BY505" s="201">
        <f>IF($B505="LOSS",IF(AND($K505=BY$3,$C505="L"),-$O505,0)+IF(AND($K506=BY$3,$C506="L"),-$O506,0)+IF(AND($K507=BY$3,$C507="L"),-$O507,0),IF(OR(AND($K505=BY$3,OR($C505="W",$C505="1/2W")),AND($K506=BY$3,OR($C506="W",$C506="1/2W")),AND($K507=BY$3,OR($C507="W",$C507="1/2W"))),$S505,0))</f>
        <v>0</v>
      </c>
      <c r="BZ505" s="205">
        <f>IF($B505="LOSS",IF(AND($K505=BZ$3,$C505="L"),-$O505,0)+IF(AND($K506=BZ$3,$C506="L"),-$O506,0)+IF(AND($K507=BZ$3,$C507="L"),-$O507,0),IF(OR(AND($K505=BZ$3,OR($C505="W",$C505="1/2W")),AND($K506=BZ$3,OR($C506="W",$C506="1/2W")),AND($K507=BZ$3,OR($C507="W",$C507="1/2W"))),$S505,0))</f>
        <v>0</v>
      </c>
      <c r="CA505" s="205">
        <f>IF($B505="LOSS",IF(AND($K505=CA$3,$C505="L"),-$O505,0)+IF(AND($K506=CA$3,$C506="L"),-$O506,0)+IF(AND($K507=CA$3,$C507="L"),-$O507,0),IF(OR(AND($K505=CA$3,OR($C505="W",$C505="1/2W")),AND($K506=CA$3,OR($C506="W",$C506="1/2W")),AND($K507=CA$3,OR($C507="W",$C507="1/2W"))),$S505,0))</f>
        <v>0</v>
      </c>
      <c r="CB505" s="205">
        <f>IF($B505="LOSS",IF(AND($K505=CB$3,$C505="L"),-$O505,0)+IF(AND($K506=CB$3,$C506="L"),-$O506,0)+IF(AND($K507=CB$3,$C507="L"),-$O507,0),IF(OR(AND($K505=CB$3,OR($C505="W",$C505="1/2W")),AND($K506=CB$3,OR($C506="W",$C506="1/2W")),AND($K507=CB$3,OR($C507="W",$C507="1/2W"))),$S505,0))</f>
        <v>0</v>
      </c>
      <c r="CC505" s="205">
        <f>IF($B505="LOSS",IF(AND($K505=CC$3,$C505="L"),-$O505,0)+IF(AND($K506=CC$3,$C506="L"),-$O506,0)+IF(AND($K507=CC$3,$C507="L"),-$O507,0),IF(OR(AND($K505=CC$3,OR($C505="W",$C505="1/2W")),AND($K506=CC$3,OR($C506="W",$C506="1/2W")),AND($K507=CC$3,OR($C507="W",$C507="1/2W"))),$S505,0))</f>
        <v>0</v>
      </c>
      <c r="CD505" s="202">
        <f>IF($B505="LOSS",IF(AND($K505=CD$3,$C505="L"),-$O505,0)+IF(AND($K506=CD$3,$C506="L"),-$O506,0)+IF(AND($K507=CD$3,$C507="L"),-$O507,0),IF(OR(AND($K505=CD$3,OR($C505="W",$C505="1/2W")),AND($K506=CD$3,OR($C506="W",$C506="1/2W")),AND($K507=CD$3,OR($C507="W",$C507="1/2W"))),$S505,0))</f>
        <v>0</v>
      </c>
      <c r="CE505" s="199">
        <f>IF($B505="LOSS",IF(AND($K505=CE$3,$C505="L"),-$O505,0)+IF(AND($K506=CE$3,$C506="L"),-$O506,0)+IF(AND($K507=CE$3,$C507="L"),-$O507,0),IF(OR(AND($K505=CE$3,OR($C505="W",$C505="1/2W")),AND($K506=CE$3,OR($C506="W",$C506="1/2W")),AND($K507=CE$3,OR($C507="W",$C507="1/2W"))),$S505,0))</f>
        <v>0</v>
      </c>
      <c r="CF505" s="206">
        <f>IF(CF$3=$K505,IF($C505="W",1,IF($C505="1/2W",0.5,0)),0)</f>
        <v>0</v>
      </c>
      <c r="CG505" s="207">
        <f>IF(CF$3=$K505,IF($C505="L",1,IF($C505="1/2L",0.5,0)),0)</f>
        <v>0</v>
      </c>
      <c r="CH505" s="207">
        <f>IF(CH$3=$K505,IF($C505="W",1,IF($C505="1/2W",0.5,0)),0)</f>
        <v>0</v>
      </c>
      <c r="CI505" s="207">
        <f>IF(CH$3=$K505,IF($C505="L",1,IF($C505="1/2L",0.5,0)),0)</f>
        <v>0</v>
      </c>
      <c r="CJ505" s="207">
        <f>IF(CJ$3=$K505,IF($C505="W",1,IF($C505="1/2W",0.5,0)),0)</f>
        <v>0</v>
      </c>
      <c r="CK505" s="207">
        <f>IF(CJ$3=$K505,IF($C505="L",1,IF($C505="1/2L",0.5,0)),0)</f>
        <v>0</v>
      </c>
      <c r="CL505" s="207">
        <f>IF(CL$3=$K505,IF($C505="W",1,IF($C505="1/2W",0.5,0)),0)</f>
        <v>0</v>
      </c>
      <c r="CM505" s="207">
        <f>IF(CL$3=$K505,IF($C505="L",1,IF($C505="1/2L",0.5,0)),0)</f>
        <v>0</v>
      </c>
      <c r="CN505" s="207">
        <f>IF(CN$3=$K505,IF($C505="W",1,IF($C505="1/2W",0.5,0)),0)</f>
        <v>0</v>
      </c>
      <c r="CO505" s="207">
        <f>IF(CN$3=$K505,IF($C505="L",1,IF($C505="1/2L",0.5,0)),0)</f>
        <v>0</v>
      </c>
      <c r="CP505" s="207">
        <f>IF(CP$3=$K505,IF($C505="W",1,IF($C505="1/2W",0.5,0)),0)</f>
        <v>0</v>
      </c>
      <c r="CQ505" s="207">
        <f>IF(CP$3=$K505,IF($C505="L",1,IF($C505="1/2L",0.5,0)),0)</f>
        <v>0</v>
      </c>
      <c r="CR505" s="207">
        <f>IF(CR$3=$K505,IF($C505="W",1,IF($C505="1/2W",0.5,0)),0)</f>
        <v>0</v>
      </c>
      <c r="CS505" s="207">
        <f>IF(CR$3=$K505,IF($C505="L",1,IF($C505="1/2L",0.5,0)),0)</f>
        <v>0</v>
      </c>
      <c r="CT505" s="208">
        <f>IF(CT$3=$K505,IF($C505="W",1,IF($C505="1/2W",0.5,0)),0)</f>
        <v>0</v>
      </c>
      <c r="CU505" s="209">
        <f>IF(CT$3=$K505,IF($C505="L",1,IF($C505="1/2L",0.5,0)),0)</f>
        <v>0</v>
      </c>
      <c r="CV505" s="209">
        <f>IF(CV$3=$K505,IF($C505="W",1,IF($C505="1/2W",0.5,0)),0)</f>
        <v>0</v>
      </c>
      <c r="CW505" s="209">
        <f>IF(CV$3=$K505,IF($C505="L",1,IF($C505="1/2L",0.5,0)),0)</f>
        <v>0</v>
      </c>
      <c r="CX505" s="209">
        <f>IF(CX$3=$K505,IF($C505="W",1,IF($C505="1/2W",0.5,0)),0)</f>
        <v>0</v>
      </c>
      <c r="CY505" s="209">
        <f>IF(CX$3=$K505,IF($C505="L",1,IF($C505="1/2L",0.5,0)),0)</f>
        <v>0</v>
      </c>
      <c r="CZ505" s="209">
        <f>IF(CZ$3=$K505,IF($C505="W",1,IF($C505="1/2W",0.5,0)),0)</f>
        <v>0</v>
      </c>
      <c r="DA505" s="209">
        <f>IF(CZ$3=$K505,IF($C505="L",1,IF($C505="1/2L",0.5,0)),0)</f>
        <v>0</v>
      </c>
      <c r="DB505" s="209">
        <f>IF(DB$3=$K505,IF($C505="W",1,IF($C505="1/2W",0.5,0)),0)</f>
        <v>0</v>
      </c>
      <c r="DC505" s="209">
        <f>IF(DB$3=$K505,IF($C505="L",1,IF($C505="1/2L",0.5,0)),0)</f>
        <v>1</v>
      </c>
      <c r="DD505" s="209">
        <f>IF(DD$3=$K505,IF($C505="W",1,IF($C505="1/2W",0.5,0)),0)</f>
        <v>0</v>
      </c>
      <c r="DE505" s="210">
        <f>IF(DD$3=$K505,IF($C505="L",1,IF($C505="1/2L",0.5,0)),0)</f>
        <v>0</v>
      </c>
      <c r="DF505" s="211">
        <f>IF(AND(L505&lt;DF$3,$C505="W"),1+DF504,DF504)</f>
        <v>16</v>
      </c>
      <c r="DG505" s="198">
        <f>IF(DF505&gt;DF504,L505+DG504,DG504)</f>
        <v>21.158</v>
      </c>
      <c r="DH505" s="209">
        <f>IF(AND(L505&gt;DH$3,$C505="W"),1+DH504,0+DH504)</f>
        <v>11</v>
      </c>
      <c r="DI505" s="198">
        <f>IF(DH505&gt;DH504,L505+DI504,DI504)</f>
        <v>59.13</v>
      </c>
      <c r="DJ505" t="s" s="306">
        <f>IF($D505="","",$D505)</f>
        <v>358</v>
      </c>
      <c r="DK505" s="209">
        <f>IF(AND($B505=" ",$D505&lt;&gt;""),1,0)</f>
        <v>0</v>
      </c>
    </row>
    <row r="506" ht="14.55" customHeight="1">
      <c r="A506" s="107"/>
      <c r="B506" s="108"/>
      <c r="C506" t="s" s="213">
        <v>56</v>
      </c>
      <c r="D506" s="110"/>
      <c r="E506" s="111"/>
      <c r="F506" s="113"/>
      <c r="G506" s="214"/>
      <c r="H506" s="114"/>
      <c r="I506" t="s" s="215">
        <v>81</v>
      </c>
      <c r="J506" t="s" s="216">
        <f>IF(OR(I505="TO",I505="TU",I505="TO1",I505="TU1",I505="TO2",I505="TU2"),J505,IF(OR(I505="AH1",I505="AH2"),IF(OR(I506="AH1",I506="AH2"),-J505,IF(OR(I506="EH1",I506="EH2"),-J505+0.5,"")),IF(OR(I505="EH1",I505="EH2"),IF(OR(I506="AH1",I506="AH2"),-J505+0.5,IF(OR(I506="EH1",I506="EH2"),-J505+1,"")),IF(AND(OR(I505="DNB1",I505="DNB2"),OR(I506="AH1",I506="AH2")),0,IF(AND(I505="Not ScoreBoth",OR(I506="TO1",I506="TO2")),0.5,"")))))</f>
      </c>
      <c r="K506" t="s" s="217">
        <v>38</v>
      </c>
      <c r="L506" s="218">
        <v>2.7</v>
      </c>
      <c r="M506" s="219">
        <v>6.37</v>
      </c>
      <c r="N506" s="120"/>
      <c r="O506" s="220">
        <f>IF(OR(AE505="",AE506=""),"",ROUND(IF(L507&gt;0,IF(M506&gt;0,M506,IF(M505&gt;0,IF(N505=TRUE,ROUND((M505*AE506)/AE505,0),(M505*AE506)/AE505),IF(M506&gt;0,ROUND(M506,IF(N505=0,2,IF(N505=0.1,1,0))),IF(M507&gt;0,ROUND(O507*AE506/AE507,IF(N505=0,2,IF(N505=0.1,1,0))),0)))),IF(M506&gt;0,M506,ROUND((M505*AE506)/AE505,IF(N505=0,2,IF(N505=0.1,1,0))))),2))</f>
        <v>6.37</v>
      </c>
      <c r="P506" s="221">
        <f>IF(OR(L506="",O506=""),"",IF($C506="1/2W",O506/2+O506/2*L506,IF($C506="1/2L",O506/2,IF(I506="Lay",((O506*(L506/(L506-1)))-O506)*(1-_xlfn.XLOOKUP(K506,'Janeiro 2023 - Valor Real'!A3:A15,'Janeiro 2023 - Valor Real'!C3:C15,0))+O506,(O506*L506-O506)*(1-_xlfn.XLOOKUP(K506,'Janeiro 2023 - Valor Real'!A3:A15,'Janeiro 2023 - Valor Real'!C3:C15,0))+O506))))</f>
        <v>17.199</v>
      </c>
      <c r="Q506" s="222">
        <f>IF(K506="","",IF(_xlfn.XLOOKUP(K506,K$111:K267,DJ$111:DJ267,0,,-1)=DJ506,_xlfn.XLOOKUP(K506,K$111:K267,Q$111:Q267,1,,-1)+1,1))</f>
        <v>1</v>
      </c>
      <c r="R506" s="223">
        <f>IF(K506="","",_xlfn.XLOOKUP(K506,K$111:K267,R$111:R267,0,,-1)+IF($C506=" ",1,0))</f>
        <v>0</v>
      </c>
      <c r="S506" s="125"/>
      <c r="T506" s="126"/>
      <c r="U506" s="126"/>
      <c r="V506" s="224"/>
      <c r="W506" s="126"/>
      <c r="X506" s="127"/>
      <c r="Y506" s="128"/>
      <c r="Z506" s="129"/>
      <c r="AA506" s="129"/>
      <c r="AB506" s="129"/>
      <c r="AC506" s="129"/>
      <c r="AD506" s="225">
        <f>(((L506/(L506-1)-1)*(1-_xlfn.XLOOKUP(K506,'Janeiro 2023 - Valor Real'!A3:A15,'Janeiro 2023 - Valor Real'!C3:C15,0))+1))</f>
        <v>1.58823529411765</v>
      </c>
      <c r="AE506" s="226">
        <f>IF(L506="","",IF(L507&gt;0,(SUM(((L505-1)*(1-_xlfn.XLOOKUP(K505,'Janeiro 2023 - Valor Real'!A3:A15,'Janeiro 2023 - Valor Real'!C3:C15,0))+1),((L506-1)*(1-_xlfn.XLOOKUP(K506,'Janeiro 2023 - Valor Real'!A3:A15,'Janeiro 2023 - Valor Real'!C3:C15,0))+1),((L507-1)*(1-_xlfn.XLOOKUP(K507,'Janeiro 2023 - Valor Real'!A3:A15,'Janeiro 2023 - Valor Real'!C3:C15,0))+1))/((L506-1)*(1-_xlfn.XLOOKUP(K506,'Janeiro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Real'!C3:C15,0))+1))/((L505-1)*(1-_xlfn.XLOOKUP(K505,'Janeiro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Real'!C3:C15,0))+1))/((L506-1)*(1-_xlfn.XLOOKUP(K506,'Janeiro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Real'!C3:C15,0))+1))/((L507-1)*(1-_xlfn.XLOOKUP(K507,'Janeiro 2023 - Valor Real'!A3:A15,'Janeiro 2023 - Valor Real'!C3:C15,0))+1)),IF(I506="Lay",IF(I505="Lay",((L505/(L505-1)-1)*(1-_xlfn.XLOOKUP(K505,'Janeiro 2023 - Valor Real'!A3:A15,'Janeiro 2023 - Valor Real'!C3:C15,0))+1)/(((L505/(L505-1)-1)*(1-_xlfn.XLOOKUP(K505,'Janeiro 2023 - Valor Real'!A3:A15,'Janeiro 2023 - Valor Real'!C3:C15,0))+1)+((L506/(L506-1)-1)*(1-_xlfn.XLOOKUP(K506,'Janeiro 2023 - Valor Real'!A3:A15,'Janeiro 2023 - Valor Real'!C3:C15,0))+1)),((L505-1)*(1-_xlfn.XLOOKUP(K505,'Janeiro 2023 - Valor Real'!A3:A15,'Janeiro 2023 - Valor Real'!C3:C15,0))+1)/(((L505-1)*(1-_xlfn.XLOOKUP(K505,'Janeiro 2023 - Valor Real'!A3:A15,'Janeiro 2023 - Valor Real'!C3:C15,0))+1)+((L506/(L506-1)-1)*(1-_xlfn.XLOOKUP(K506,'Janeiro 2023 - Valor Real'!A3:A15,'Janeiro 2023 - Valor Real'!C3:C15,0))+1))),IF(I505="Lay",((L505/(L505-1)-1)*(1-_xlfn.XLOOKUP(K505,'Janeiro 2023 - Valor Real'!A3:A15,'Janeiro 2023 - Valor Real'!C3:C15,0))+1)/((((L505/(L505-1)-1)*(1-_xlfn.XLOOKUP(K505,'Janeiro 2023 - Valor Real'!A3:A15,'Janeiro 2023 - Valor Real'!C3:C15,0))+1))+((L506-1)*(1-_xlfn.XLOOKUP(K506,'Janeiro 2023 - Valor Real'!A3:A15,'Janeiro 2023 - Valor Real'!C3:C15,0))+1)),((L505-1)*(1-_xlfn.XLOOKUP(K505,'Janeiro 2023 - Valor Real'!A3:A15,'Janeiro 2023 - Valor Real'!C3:C15,0))+1)/(((L505-1)*(1-_xlfn.XLOOKUP(K505,'Janeiro 2023 - Valor Real'!A3:A15,'Janeiro 2023 - Valor Real'!C3:C15,0))+1)+((L506-1)*(1-_xlfn.XLOOKUP(K506,'Janeiro 2023 - Valor Real'!A3:A15,'Janeiro 2023 - Valor Real'!C3:C15,0))+1))))))</f>
        <v>0.382151029748284</v>
      </c>
      <c r="AF506" s="197">
        <f>IF($K506=AF$3,ROUND(IF(OR($C506="W",$C506="1/2W",$C506="1/2L"),$P506-$O506,IF($C506="X",0,-$O506)),2),0)</f>
        <v>0</v>
      </c>
      <c r="AG506" s="198">
        <f>IF($K506=AG$3,ROUND(IF(OR($C506="W",$C506="1/2W",$C506="1/2L"),$P506-$O506,IF($C506="X",0,-$O506)),2),0)</f>
        <v>10.83</v>
      </c>
      <c r="AH506" s="198">
        <f>IF($K506=AH$3,ROUND(IF(OR($C506="W",$C506="1/2W",$C506="1/2L"),$P506-$O506,IF($C506="X",0,-$O506)),2),0)</f>
        <v>0</v>
      </c>
      <c r="AI506" s="198">
        <f>IF($K506=AI$3,ROUND(IF(OR($C506="W",$C506="1/2W",$C506="1/2L"),$P506-$O506,IF($C506="X",0,-$O506)),2),0)</f>
        <v>0</v>
      </c>
      <c r="AJ506" s="198">
        <f>IF($K506=AJ$3,ROUND(IF(OR($C506="W",$C506="1/2W",$C506="1/2L"),$P506-$O506,IF($C506="X",0,-$O506)),2),0)</f>
        <v>0</v>
      </c>
      <c r="AK506" s="198">
        <f>IF($K506=AK$3,ROUND(IF(OR($C506="W",$C506="1/2W",$C506="1/2L"),$P506-$O506,IF($C506="X",0,-$O506)),2),0)</f>
        <v>0</v>
      </c>
      <c r="AL506" s="198">
        <f>IF($K506=AL$3,ROUND(IF(OR($C506="W",$C506="1/2W",$C506="1/2L"),$P506-$O506,IF($C506="X",0,-$O506)),2),0)</f>
        <v>0</v>
      </c>
      <c r="AM506" s="198">
        <f>IF($K506=AM$3,ROUND(IF(OR($C506="W",$C506="1/2W",$C506="1/2L"),$P506-$O506,IF($C506="X",0,-$O506)),2),0)</f>
        <v>0</v>
      </c>
      <c r="AN506" s="198">
        <f>IF($K506=AN$3,ROUND(IF(OR($C506="W",$C506="1/2W",$C506="1/2L"),$P506-$O506,IF($C506="X",0,-$O506)),2),0)</f>
        <v>0</v>
      </c>
      <c r="AO506" s="198">
        <f>IF($K506=AO$3,ROUND(IF(OR($C506="W",$C506="1/2W",$C506="1/2L"),$P506-$O506,IF($C506="X",0,-$O506)),2),0)</f>
        <v>0</v>
      </c>
      <c r="AP506" s="198">
        <f>IF($K506=AP$3,ROUND(IF(OR($C506="W",$C506="1/2W",$C506="1/2L"),$P506-$O506,IF($C506="X",0,-$O506)),2),0)</f>
        <v>0</v>
      </c>
      <c r="AQ506" s="198">
        <f>IF($K506=AQ$3,ROUND(IF(OR($C506="W",$C506="1/2W",$C506="1/2L"),$P506-$O506,IF($C506="X",0,-$O506)),2),0)</f>
        <v>0</v>
      </c>
      <c r="AR506" s="199">
        <f>IF($K506=AR$3,ROUND(IF(OR($C506="W",$C506="1/2W",$C506="1/2L"),$P506-$O506,IF($C506="X",0,-$O506)),2),0)</f>
        <v>0</v>
      </c>
      <c r="AS506" s="197">
        <f>IF(AND($B505=" ",$K506=AS$3),$O506,0)</f>
        <v>0</v>
      </c>
      <c r="AT506" s="198">
        <f>IF(AND($B505=" ",K506=AT$3),$O506,0)</f>
        <v>0</v>
      </c>
      <c r="AU506" s="198">
        <f>IF(AND($B505=" ",$K506=AU$3),$O506,0)</f>
        <v>0</v>
      </c>
      <c r="AV506" s="198">
        <f>IF(AND($B505=" ",$K506=AV$3),$O506,0)</f>
        <v>0</v>
      </c>
      <c r="AW506" s="198">
        <f>IF(AND($B505=" ",$K506=AW$3),$O506,0)</f>
        <v>0</v>
      </c>
      <c r="AX506" s="198">
        <f>IF(AND($B505=" ",$K506=AX$3),$O506,0)</f>
        <v>0</v>
      </c>
      <c r="AY506" s="200">
        <f>IF(AND($B505=" ",$K506=AY$3),$O506,0)</f>
        <v>0</v>
      </c>
      <c r="AZ506" s="201">
        <f>IF(AND($B505=" ",$K506=AZ$3),$O506,0)</f>
        <v>0</v>
      </c>
      <c r="BA506" s="201">
        <f>IF(AND($B505=" ",$K506=BA$3),$O506,0)</f>
        <v>0</v>
      </c>
      <c r="BB506" s="201">
        <f>IF(AND($B505=" ",$K506=BB$3),$O506,0)</f>
        <v>0</v>
      </c>
      <c r="BC506" s="202">
        <f>IF(AND($B505=" ",$K506=BC$3),$O506,0)</f>
        <v>0</v>
      </c>
      <c r="BD506" s="198">
        <f>IF(AND($B505=" ",$K506=BD$3),$O506,0)</f>
        <v>0</v>
      </c>
      <c r="BE506" s="199">
        <f>IF(AND($B505=" ",$K506=BE$3),$O506,0)</f>
        <v>0</v>
      </c>
      <c r="BF506" s="197">
        <f>IF($K506=BF$3,IF($C506="X",0,$O506),0)</f>
        <v>0</v>
      </c>
      <c r="BG506" s="198">
        <f>IF($K506=BG$3,IF($C506="X",0,$O506),0)</f>
        <v>6.37</v>
      </c>
      <c r="BH506" s="198">
        <f>IF($K506=BH$3,IF($C506="X",0,$O506),0)</f>
        <v>0</v>
      </c>
      <c r="BI506" s="198">
        <f>IF($K506=BI$3,IF($C506="X",0,$O506),0)</f>
        <v>0</v>
      </c>
      <c r="BJ506" s="198">
        <f>IF($K506=BJ$3,IF($C506="X",0,$O506),0)</f>
        <v>0</v>
      </c>
      <c r="BK506" s="198">
        <f>IF($K506=BK$3,IF($C506="X",0,$O506),0)</f>
        <v>0</v>
      </c>
      <c r="BL506" s="198">
        <f>IF($K506=BL$3,IF($C506="X",0,$O506),0)</f>
        <v>0</v>
      </c>
      <c r="BM506" s="227">
        <f>IF($K506=BM$3,IF($C506="X",0,$O506),0)</f>
        <v>0</v>
      </c>
      <c r="BN506" s="205">
        <f>IF($K506=BN$3,IF($C506="X",0,$O506),0)</f>
        <v>0</v>
      </c>
      <c r="BO506" s="205">
        <f>IF($K506=BO$3,IF($C506="X",0,$O506),0)</f>
        <v>0</v>
      </c>
      <c r="BP506" s="205">
        <f>IF($K506=BP$3,IF($C506="X",0,$O506),0)</f>
        <v>0</v>
      </c>
      <c r="BQ506" s="202">
        <f>IF($K506=BQ$3,IF($C506="X",0,$O506),0)</f>
        <v>0</v>
      </c>
      <c r="BR506" s="199">
        <f>IF($K506=BR$3,IF($C506="X",0,$O506),0)</f>
        <v>0</v>
      </c>
      <c r="BS506" s="228"/>
      <c r="BT506" s="229"/>
      <c r="BU506" s="140"/>
      <c r="BV506" s="229"/>
      <c r="BW506" s="140"/>
      <c r="BX506" s="140"/>
      <c r="BY506" s="140"/>
      <c r="BZ506" s="229"/>
      <c r="CA506" s="140"/>
      <c r="CB506" s="140"/>
      <c r="CC506" s="140"/>
      <c r="CD506" s="141"/>
      <c r="CE506" s="142"/>
      <c r="CF506" s="230">
        <f>IF(CF$3=$K506,IF($C506="W",1,IF($C506="1/2W",0.5,0)),0)</f>
        <v>0</v>
      </c>
      <c r="CG506" s="231">
        <f>IF(CF$3=$K506,IF($C506="L",1,IF($C506="1/2L",0.5,0)),0)</f>
        <v>0</v>
      </c>
      <c r="CH506" s="231">
        <f>IF(CH$3=$K506,IF($C506="W",1,IF($C506="1/2W",0.5,0)),0)</f>
        <v>1</v>
      </c>
      <c r="CI506" s="231">
        <f>IF(CH$3=$K506,IF($C506="L",1,IF($C506="1/2L",0.5,0)),0)</f>
        <v>0</v>
      </c>
      <c r="CJ506" s="231">
        <f>IF(CJ$3=$K506,IF($C506="W",1,IF($C506="1/2W",0.5,0)),0)</f>
        <v>0</v>
      </c>
      <c r="CK506" s="231">
        <f>IF(CJ$3=$K506,IF($C506="L",1,IF($C506="1/2L",0.5,0)),0)</f>
        <v>0</v>
      </c>
      <c r="CL506" s="231">
        <f>IF(CL$3=$K506,IF($C506="W",1,IF($C506="1/2W",0.5,0)),0)</f>
        <v>0</v>
      </c>
      <c r="CM506" s="231">
        <f>IF(CL$3=$K506,IF($C506="L",1,IF($C506="1/2L",0.5,0)),0)</f>
        <v>0</v>
      </c>
      <c r="CN506" s="231">
        <f>IF(CN$3=$K506,IF($C506="W",1,IF($C506="1/2W",0.5,0)),0)</f>
        <v>0</v>
      </c>
      <c r="CO506" s="231">
        <f>IF(CN$3=$K506,IF($C506="L",1,IF($C506="1/2L",0.5,0)),0)</f>
        <v>0</v>
      </c>
      <c r="CP506" s="231">
        <f>IF(CP$3=$K506,IF($C506="W",1,IF($C506="1/2W",0.5,0)),0)</f>
        <v>0</v>
      </c>
      <c r="CQ506" s="231">
        <f>IF(CP$3=$K506,IF($C506="L",1,IF($C506="1/2L",0.5,0)),0)</f>
        <v>0</v>
      </c>
      <c r="CR506" s="231">
        <f>IF(CR$3=$K506,IF($C506="W",1,IF($C506="1/2W",0.5,0)),0)</f>
        <v>0</v>
      </c>
      <c r="CS506" s="231">
        <f>IF(CR$3=$K506,IF($C506="L",1,IF($C506="1/2L",0.5,0)),0)</f>
        <v>0</v>
      </c>
      <c r="CT506" s="208">
        <f>IF(CT$3=$K506,IF($C506="W",1,IF($C506="1/2W",0.5,0)),0)</f>
        <v>0</v>
      </c>
      <c r="CU506" s="209">
        <f>IF(CT$3=$K506,IF($C506="L",1,IF($C506="1/2L",0.5,0)),0)</f>
        <v>0</v>
      </c>
      <c r="CV506" s="209">
        <f>IF(CV$3=$K506,IF($C506="W",1,IF($C506="1/2W",0.5,0)),0)</f>
        <v>0</v>
      </c>
      <c r="CW506" s="209">
        <f>IF(CV$3=$K506,IF($C506="L",1,IF($C506="1/2L",0.5,0)),0)</f>
        <v>0</v>
      </c>
      <c r="CX506" s="209">
        <f>IF(CX$3=$K506,IF($C506="W",1,IF($C506="1/2W",0.5,0)),0)</f>
        <v>0</v>
      </c>
      <c r="CY506" s="209">
        <f>IF(CX$3=$K506,IF($C506="L",1,IF($C506="1/2L",0.5,0)),0)</f>
        <v>0</v>
      </c>
      <c r="CZ506" s="209">
        <f>IF(CZ$3=$K506,IF($C506="W",1,IF($C506="1/2W",0.5,0)),0)</f>
        <v>0</v>
      </c>
      <c r="DA506" s="209">
        <f>IF(CZ$3=$K506,IF($C506="L",1,IF($C506="1/2L",0.5,0)),0)</f>
        <v>0</v>
      </c>
      <c r="DB506" s="209">
        <f>IF(DB$3=$K506,IF($C506="W",1,IF($C506="1/2W",0.5,0)),0)</f>
        <v>0</v>
      </c>
      <c r="DC506" s="209">
        <f>IF(DB$3=$K506,IF($C506="L",1,IF($C506="1/2L",0.5,0)),0)</f>
        <v>0</v>
      </c>
      <c r="DD506" s="209">
        <f>IF(DD$3=$K506,IF($C506="W",1,IF($C506="1/2W",0.5,0)),0)</f>
        <v>0</v>
      </c>
      <c r="DE506" s="210">
        <f>IF(DD$3=$K506,IF($C506="L",1,IF($C506="1/2L",0.5,0)),0)</f>
        <v>0</v>
      </c>
      <c r="DF506" s="211">
        <f>IF(AND(L506&lt;DF$3,$C506="W"),1+DF505,DF505)</f>
        <v>16</v>
      </c>
      <c r="DG506" s="198">
        <f>IF(DF506&gt;DF505,L506+DG505,DG505)</f>
        <v>21.158</v>
      </c>
      <c r="DH506" s="209">
        <f>IF(AND(L506&gt;DH$3,$C506="W"),1+DH505,0+DH505)</f>
        <v>11</v>
      </c>
      <c r="DI506" s="198">
        <f>IF(DH506&gt;DH505,L506+DI505,DI505)</f>
        <v>59.13</v>
      </c>
      <c r="DJ506" t="s" s="306">
        <f>IF($D505="","",$D505)</f>
        <v>358</v>
      </c>
      <c r="DK506" s="232"/>
    </row>
    <row r="507" ht="14.55" customHeight="1">
      <c r="A507" s="149"/>
      <c r="B507" s="150"/>
      <c r="C507" t="s" s="233">
        <v>58</v>
      </c>
      <c r="D507" s="152"/>
      <c r="E507" s="153"/>
      <c r="F507" s="155"/>
      <c r="G507" s="234"/>
      <c r="H507" s="156"/>
      <c r="I507" s="235"/>
      <c r="J507" s="236"/>
      <c r="K507" s="237"/>
      <c r="L507" s="238"/>
      <c r="M507" s="239"/>
      <c r="N507" s="161"/>
      <c r="O507" t="s" s="240">
        <f>IF(OR(AE505="",AE506=""),"",IF(L507&gt;0,ROUND(IF(M507&gt;0,M507,IF(M505&gt;0,ROUND((M505*AE507)/AE505,IF(N505=0,2,IF(N505=0.1,1,0))),IF(M506&gt;0,ROUND((M506*AE507)/AE506,IF(N505=0,2,IF(N505=0.1,1,0))),IF(M507&gt;0,M507,0)))),2),""))</f>
      </c>
      <c r="P507" t="s" s="241">
        <f>IF(I506="Lay",O506*(L506/(L506-1))-O506,IF(I505="Lay",O505*(L505/(L505-1))-O505,IF(OR(L507="",O507=""),"",IF($C507="1/2W",O507/2+O507/2*L507,IF($C507="1/2L",O507/2,(O507*L507-O507)*(1-_xlfn.XLOOKUP(K507,'Janeiro 2023 - Valor Real'!A3:A15,'Janeiro 2023 - Valor Real'!C3:C15,0))+O507)))))</f>
      </c>
      <c r="Q507" t="s" s="242">
        <f>IF(K507="","",IF(_xlfn.XLOOKUP(K507,K$112:K268,DJ$112:DJ268,0,,-1)=DJ507,_xlfn.XLOOKUP(K507,K$112:K268,Q$112:Q268,1,,-1)+1,1))</f>
      </c>
      <c r="R507" t="s" s="243">
        <f>IF(K507="","",_xlfn.XLOOKUP(K507,K$112:K268,R$112:R268,0,,-1)+IF($C507=" ",1,0))</f>
      </c>
      <c r="S507" s="166"/>
      <c r="T507" s="155"/>
      <c r="U507" s="155"/>
      <c r="V507" s="166"/>
      <c r="W507" s="155"/>
      <c r="X507" s="167"/>
      <c r="Y507" s="128"/>
      <c r="Z507" s="129"/>
      <c r="AA507" s="129"/>
      <c r="AB507" s="129"/>
      <c r="AC507" s="129"/>
      <c r="AD507" s="244">
        <f>((L506/(L506-1)-1))</f>
        <v>0.588235294117647</v>
      </c>
      <c r="AE507" t="s" s="245">
        <f>IF(L507="","",(SUM(((L505-1)*(1-_xlfn.XLOOKUP(K505,'Janeiro 2023 - Valor Real'!A3:A15,'Janeiro 2023 - Valor Real'!C3:C15,0))+1),((L506-1)*(1-_xlfn.XLOOKUP(K506,'Janeiro 2023 - Valor Real'!A3:A15,'Janeiro 2023 - Valor Real'!C3:C15,0))+1),((L507-1)*(1-_xlfn.XLOOKUP(K507,'Janeiro 2023 - Valor Real'!A3:A15,'Janeiro 2023 - Valor Real'!C3:C15,0))+1))/((L507-1)*(1-_xlfn.XLOOKUP(K507,'Janeiro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Real'!C3:C15,0))+1))/((L505-1)*(1-_xlfn.XLOOKUP(K505,'Janeiro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Real'!C3:C15,0))+1))/((L506-1)*(1-_xlfn.XLOOKUP(K506,'Janeiro 2023 - Valor Real'!A3:A15,'Janeiro 2023 - Valor Real'!C3:C15,0))+1)+SUM(((L505-1)*(1-_xlfn.XLOOKUP(K505,'Janeiro 2023 - Valor Real'!A3:A15,'Janeiro 2023 - Valor Real'!C3:C15,0))+1),((L506-1)*(1-_xlfn.XLOOKUP(K506,'Janeiro 2023 - Valor Real'!A3:A15,'Janeiro 2023 - Valor Real'!C3:C15,0))+1),((L507-1)*(1-_xlfn.XLOOKUP(K507,'Janeiro 2023 - Valor Real'!A3:A15,'Janeiro 2023 - Valor Real'!C3:C15,0))+1))/((L507-1)*(1-_xlfn.XLOOKUP(K507,'Janeiro 2023 - Valor Real'!A3:A15,'Janeiro 2023 - Valor Real'!C3:C15,0))+1)))</f>
      </c>
      <c r="AF507" s="197">
        <f>IF($K507=AF$3,ROUND(IF(OR($C507="W",$C507="1/2W",$C507="1/2L"),$P507-$O507,IF($C507="X",0,-$O507)),2),0)</f>
        <v>0</v>
      </c>
      <c r="AG507" s="198">
        <f>IF($K507=AG$3,ROUND(IF(OR($C507="W",$C507="1/2W",$C507="1/2L"),$P507-$O507,IF($C507="X",0,-$O507)),2),0)</f>
        <v>0</v>
      </c>
      <c r="AH507" s="198">
        <f>IF($K507=AH$3,ROUND(IF(OR($C507="W",$C507="1/2W",$C507="1/2L"),$P507-$O507,IF($C507="X",0,-$O507)),2),0)</f>
        <v>0</v>
      </c>
      <c r="AI507" s="198">
        <f>IF($K507=AI$3,ROUND(IF(OR($C507="W",$C507="1/2W",$C507="1/2L"),$P507-$O507,IF($C507="X",0,-$O507)),2),0)</f>
        <v>0</v>
      </c>
      <c r="AJ507" s="198">
        <f>IF($K507=AJ$3,ROUND(IF(OR($C507="W",$C507="1/2W",$C507="1/2L"),$P507-$O507,IF($C507="X",0,-$O507)),2),0)</f>
        <v>0</v>
      </c>
      <c r="AK507" s="198">
        <f>IF($K507=AK$3,ROUND(IF(OR($C507="W",$C507="1/2W",$C507="1/2L"),$P507-$O507,IF($C507="X",0,-$O507)),2),0)</f>
        <v>0</v>
      </c>
      <c r="AL507" s="198">
        <f>IF($K507=AL$3,ROUND(IF(OR($C507="W",$C507="1/2W",$C507="1/2L"),$P507-$O507,IF($C507="X",0,-$O507)),2),0)</f>
        <v>0</v>
      </c>
      <c r="AM507" s="198">
        <f>IF($K507=AM$3,ROUND(IF(OR($C507="W",$C507="1/2W",$C507="1/2L"),$P507-$O507,IF($C507="X",0,-$O507)),2),0)</f>
        <v>0</v>
      </c>
      <c r="AN507" s="198">
        <f>IF($K507=AN$3,ROUND(IF(OR($C507="W",$C507="1/2W",$C507="1/2L"),$P507-$O507,IF($C507="X",0,-$O507)),2),0)</f>
        <v>0</v>
      </c>
      <c r="AO507" s="198">
        <f>IF($K507=AO$3,ROUND(IF(OR($C507="W",$C507="1/2W",$C507="1/2L"),$P507-$O507,IF($C507="X",0,-$O507)),2),0)</f>
        <v>0</v>
      </c>
      <c r="AP507" s="198">
        <f>IF($K507=AP$3,ROUND(IF(OR($C507="W",$C507="1/2W",$C507="1/2L"),$P507-$O507,IF($C507="X",0,-$O507)),2),0)</f>
        <v>0</v>
      </c>
      <c r="AQ507" s="198">
        <f>IF($K507=AQ$3,ROUND(IF(OR($C507="W",$C507="1/2W",$C507="1/2L"),$P507-$O507,IF($C507="X",0,-$O507)),2),0)</f>
        <v>0</v>
      </c>
      <c r="AR507" s="199">
        <f>IF($K507=AR$3,ROUND(IF(OR($C507="W",$C507="1/2W",$C507="1/2L"),$P507-$O507,IF($C507="X",0,-$O507)),2),0)</f>
        <v>0</v>
      </c>
      <c r="AS507" s="197">
        <f>IF(AND($B505=" ",$K507=AS$3),$O507,0)</f>
        <v>0</v>
      </c>
      <c r="AT507" s="198">
        <f>IF(AND($B505=" ",K507=AT$3),$O507,0)</f>
        <v>0</v>
      </c>
      <c r="AU507" s="198">
        <f>IF(AND($B505=" ",$K507=AU$3),$O507,0)</f>
        <v>0</v>
      </c>
      <c r="AV507" s="198">
        <f>IF(AND($B505=" ",$K507=AV$3),$O507,0)</f>
        <v>0</v>
      </c>
      <c r="AW507" s="198">
        <f>IF(AND($B505=" ",$K507=AW$3),$O507,0)</f>
        <v>0</v>
      </c>
      <c r="AX507" s="198">
        <f>IF(AND($B505=" ",$K507=AX$3),$O507,0)</f>
        <v>0</v>
      </c>
      <c r="AY507" s="200">
        <f>IF(AND($B505=" ",$K507=AY$3),$O507,0)</f>
        <v>0</v>
      </c>
      <c r="AZ507" s="201">
        <f>IF(AND($B505=" ",$K507=AZ$3),$O507,0)</f>
        <v>0</v>
      </c>
      <c r="BA507" s="201">
        <f>IF(AND($B505=" ",$K507=BA$3),$O507,0)</f>
        <v>0</v>
      </c>
      <c r="BB507" s="201">
        <f>IF(AND($B505=" ",$K507=BB$3),$O507,0)</f>
        <v>0</v>
      </c>
      <c r="BC507" s="202">
        <f>IF(AND($B505=" ",$K507=BC$3),$O507,0)</f>
        <v>0</v>
      </c>
      <c r="BD507" s="198">
        <f>IF(AND($B505=" ",$K507=BD$3),$O507,0)</f>
        <v>0</v>
      </c>
      <c r="BE507" s="199">
        <f>IF(AND($B505=" ",$K507=BE$3),$O507,0)</f>
        <v>0</v>
      </c>
      <c r="BF507" s="197">
        <f>IF($K507=BF$3,IF($C507="X",0,$O507),0)</f>
        <v>0</v>
      </c>
      <c r="BG507" s="198">
        <f>IF($K507=BG$3,IF($C507="X",0,$O507),0)</f>
        <v>0</v>
      </c>
      <c r="BH507" s="198">
        <f>IF($K507=BH$3,IF($C507="X",0,$O507),0)</f>
        <v>0</v>
      </c>
      <c r="BI507" s="198">
        <f>IF($K507=BI$3,IF($C507="X",0,$O507),0)</f>
        <v>0</v>
      </c>
      <c r="BJ507" s="198">
        <f>IF($K507=BJ$3,IF($C507="X",0,$O507),0)</f>
        <v>0</v>
      </c>
      <c r="BK507" s="198">
        <f>IF($K507=BK$3,IF($C507="X",0,$O507),0)</f>
        <v>0</v>
      </c>
      <c r="BL507" s="198">
        <f>IF($K507=BL$3,IF($C507="X",0,$O507),0)</f>
        <v>0</v>
      </c>
      <c r="BM507" s="200">
        <f>IF($K507=BM$3,IF($C507="X",0,$O507),0)</f>
        <v>0</v>
      </c>
      <c r="BN507" s="201">
        <f>IF($K507=BN$3,IF($C507="X",0,$O507),0)</f>
        <v>0</v>
      </c>
      <c r="BO507" s="201">
        <f>IF($K507=BO$3,IF($C507="X",0,$O507),0)</f>
        <v>0</v>
      </c>
      <c r="BP507" s="201">
        <f>IF($K507=BP$3,IF($C507="X",0,$O507),0)</f>
        <v>0</v>
      </c>
      <c r="BQ507" s="202">
        <f>IF($K507=BQ$3,IF($C507="X",0,$O507),0)</f>
        <v>0</v>
      </c>
      <c r="BR507" s="199">
        <f>IF($K507=BR$3,IF($C507="X",0,$O507),0)</f>
        <v>0</v>
      </c>
      <c r="BS507" s="228"/>
      <c r="BT507" s="229"/>
      <c r="BU507" s="140"/>
      <c r="BV507" s="229"/>
      <c r="BW507" s="140"/>
      <c r="BX507" s="140"/>
      <c r="BY507" s="140"/>
      <c r="BZ507" s="229"/>
      <c r="CA507" s="140"/>
      <c r="CB507" s="140"/>
      <c r="CC507" s="140"/>
      <c r="CD507" s="141"/>
      <c r="CE507" s="142"/>
      <c r="CF507" s="230">
        <f>IF(CF$3=$K507,IF($C507="W",1,IF($C507="1/2W",0.5,0)),0)</f>
        <v>0</v>
      </c>
      <c r="CG507" s="231">
        <f>IF(CF$3=$K507,IF($C507="L",1,IF($C507="1/2L",0.5,0)),0)</f>
        <v>0</v>
      </c>
      <c r="CH507" s="231">
        <f>IF(CH$3=$K507,IF($C507="W",1,IF($C507="1/2W",0.5,0)),0)</f>
        <v>0</v>
      </c>
      <c r="CI507" s="231">
        <f>IF(CH$3=$K507,IF($C507="L",1,IF($C507="1/2L",0.5,0)),0)</f>
        <v>0</v>
      </c>
      <c r="CJ507" s="231">
        <f>IF(CJ$3=$K507,IF($C507="W",1,IF($C507="1/2W",0.5,0)),0)</f>
        <v>0</v>
      </c>
      <c r="CK507" s="231">
        <f>IF(CJ$3=$K507,IF($C507="L",1,IF($C507="1/2L",0.5,0)),0)</f>
        <v>0</v>
      </c>
      <c r="CL507" s="231">
        <f>IF(CL$3=$K507,IF($C507="W",1,IF($C507="1/2W",0.5,0)),0)</f>
        <v>0</v>
      </c>
      <c r="CM507" s="231">
        <f>IF(CL$3=$K507,IF($C507="L",1,IF($C507="1/2L",0.5,0)),0)</f>
        <v>0</v>
      </c>
      <c r="CN507" s="231">
        <f>IF(CN$3=$K507,IF($C507="W",1,IF($C507="1/2W",0.5,0)),0)</f>
        <v>0</v>
      </c>
      <c r="CO507" s="231">
        <f>IF(CN$3=$K507,IF($C507="L",1,IF($C507="1/2L",0.5,0)),0)</f>
        <v>0</v>
      </c>
      <c r="CP507" s="231">
        <f>IF(CP$3=$K507,IF($C507="W",1,IF($C507="1/2W",0.5,0)),0)</f>
        <v>0</v>
      </c>
      <c r="CQ507" s="231">
        <f>IF(CP$3=$K507,IF($C507="L",1,IF($C507="1/2L",0.5,0)),0)</f>
        <v>0</v>
      </c>
      <c r="CR507" s="231">
        <f>IF(CR$3=$K507,IF($C507="W",1,IF($C507="1/2W",0.5,0)),0)</f>
        <v>0</v>
      </c>
      <c r="CS507" s="231">
        <f>IF(CR$3=$K507,IF($C507="L",1,IF($C507="1/2L",0.5,0)),0)</f>
        <v>0</v>
      </c>
      <c r="CT507" s="208">
        <f>IF(CT$3=$K507,IF($C507="W",1,IF($C507="1/2W",0.5,0)),0)</f>
        <v>0</v>
      </c>
      <c r="CU507" s="209">
        <f>IF(CT$3=$K507,IF($C507="L",1,IF($C507="1/2L",0.5,0)),0)</f>
        <v>0</v>
      </c>
      <c r="CV507" s="209">
        <f>IF(CV$3=$K507,IF($C507="W",1,IF($C507="1/2W",0.5,0)),0)</f>
        <v>0</v>
      </c>
      <c r="CW507" s="209">
        <f>IF(CV$3=$K507,IF($C507="L",1,IF($C507="1/2L",0.5,0)),0)</f>
        <v>0</v>
      </c>
      <c r="CX507" s="209">
        <f>IF(CX$3=$K507,IF($C507="W",1,IF($C507="1/2W",0.5,0)),0)</f>
        <v>0</v>
      </c>
      <c r="CY507" s="209">
        <f>IF(CX$3=$K507,IF($C507="L",1,IF($C507="1/2L",0.5,0)),0)</f>
        <v>0</v>
      </c>
      <c r="CZ507" s="209">
        <f>IF(CZ$3=$K507,IF($C507="W",1,IF($C507="1/2W",0.5,0)),0)</f>
        <v>0</v>
      </c>
      <c r="DA507" s="209">
        <f>IF(CZ$3=$K507,IF($C507="L",1,IF($C507="1/2L",0.5,0)),0)</f>
        <v>0</v>
      </c>
      <c r="DB507" s="209">
        <f>IF(DB$3=$K507,IF($C507="W",1,IF($C507="1/2W",0.5,0)),0)</f>
        <v>0</v>
      </c>
      <c r="DC507" s="209">
        <f>IF(DB$3=$K507,IF($C507="L",1,IF($C507="1/2L",0.5,0)),0)</f>
        <v>0</v>
      </c>
      <c r="DD507" s="209">
        <f>IF(DD$3=$K507,IF($C507="W",1,IF($C507="1/2W",0.5,0)),0)</f>
        <v>0</v>
      </c>
      <c r="DE507" s="210">
        <f>IF(DD$3=$K507,IF($C507="L",1,IF($C507="1/2L",0.5,0)),0)</f>
        <v>0</v>
      </c>
      <c r="DF507" s="211">
        <f>IF(AND(L507&lt;DF$3,$C507="W"),1+DF506,DF506)</f>
        <v>16</v>
      </c>
      <c r="DG507" s="198">
        <f>IF(DF507&gt;DF506,L507+DG506,DG506)</f>
        <v>21.158</v>
      </c>
      <c r="DH507" s="209">
        <f>IF(AND(L507&gt;DH$3,$C507="W"),1+DH506,0+DH506)</f>
        <v>11</v>
      </c>
      <c r="DI507" s="198">
        <f>IF(DH507&gt;DH506,L507+DI506,DI506)</f>
        <v>59.13</v>
      </c>
      <c r="DJ507" t="s" s="306">
        <f>IF($D505="","",$D505)</f>
        <v>358</v>
      </c>
      <c r="DK507" s="232"/>
    </row>
    <row r="508" ht="14.55" customHeight="1">
      <c r="A508" s="246">
        <f>$A505+1</f>
        <v>169</v>
      </c>
      <c r="B508" t="s" s="247">
        <f>IF(AND(_xlfn.XLOOKUP(H508,H$107:H287,G$107:G287,0)=G508,_xlfn.XLOOKUP("TempoBet",K508:K510,L508:L510,0)&gt;0),"X",IF(OR(C508="W",C509="W",C510="W",C508="1/2W",C509="1/2W",C510="1/2W",C508="1/2L",C509="1/2L",C510="1/2L"),"OK",IF(OR(C508="L",C509="L",C510="L"),"LOSS",IF(OR(C508="X",C509="X",C510="X"),"Anulado"," "))))</f>
        <v>50</v>
      </c>
      <c r="C508" t="s" s="248">
        <v>56</v>
      </c>
      <c r="D508" t="s" s="303">
        <f>IF(G508="","",$D505)</f>
        <v>358</v>
      </c>
      <c r="E508" t="s" s="250">
        <v>152</v>
      </c>
      <c r="F508" t="s" s="251"/>
      <c r="G508" s="252">
        <v>44952.708333333336</v>
      </c>
      <c r="H508" t="s" s="253">
        <v>391</v>
      </c>
      <c r="I508" t="s" s="254">
        <v>67</v>
      </c>
      <c r="J508" s="255">
        <v>3</v>
      </c>
      <c r="K508" t="s" s="256">
        <v>48</v>
      </c>
      <c r="L508" s="257">
        <v>1.7</v>
      </c>
      <c r="M508" s="258">
        <v>17.85</v>
      </c>
      <c r="N508" s="259">
        <v>0</v>
      </c>
      <c r="O508" s="260">
        <f>IF(OR(AE508="",AE509=""),"",ROUND(IF(L510&gt;0,IF(M508&gt;0,M508,IF(M509&gt;0,ROUND((M509*AE508)/AE509,IF(N508=0,2,IF(N508=0.1,1,0))),ROUND((M510*AE508)/AE510,IF(N508=0,2,IF(N508=0.1,1,0))))),IF(M508&gt;0,M508,ROUND((M509*AE508)/AE509,IF(N508=0,2,IF(N508=0.1,1,0))))),2))</f>
        <v>17.85</v>
      </c>
      <c r="P508" s="261">
        <f>IF(OR(L508="",O508=""),"",IF($C508="1/2W",O508/2+O508/2*L508,IF($C508="1/2L",O508/2,IF(I508="Lay",(O508*(L508/(L508-1))-O508)*(1-_xlfn.XLOOKUP(K508,'Janeiro 2023 - Valor Real'!A3:A15,'Janeiro 2023 - Valor Real'!C3:C15,0))+O508,(O508*L508-O508)*(1-_xlfn.XLOOKUP(K508,'Janeiro 2023 - Valor Real'!A3:A15,'Janeiro 2023 - Valor Real'!C3:C15,0))+O508))))</f>
        <v>30.345</v>
      </c>
      <c r="Q508" s="262">
        <f>IF(K508="","",IF(_xlfn.XLOOKUP(K508,K$107:K287,DJ$107:DJ287,0,,-1)=DJ508,_xlfn.XLOOKUP(K508,K$107:K287,Q$107:Q287,1,,-1)+1,1))</f>
        <v>1</v>
      </c>
      <c r="R508" s="263">
        <f>IF(K508="","",_xlfn.XLOOKUP(K508,K$107:K287,R$107:R287,0,,-1)+IF($C508=" ",1,0))</f>
        <v>0</v>
      </c>
      <c r="S508" s="264">
        <f>IF($B508="Anulado",0,ROUND(IF(OR($B508="LOSS",$B508="OK"),IF(OR($C508="W",$C508="1/2W",$C508="1/2L"),P508-O508,IF($C508="L",-O508,0))+IF(OR($C509="W",$C509="1/2W",$C509="1/2L"),P509-O509,IF($C509="L",-O509,0))+IF(OR($C510="W",$C510="1/2W",$C510="1/2L"),P510-O510,IF($C510="L",-O510,0)),IF(AND(OR($C508="W",$C508="1/2W",$C508="1/2L"),C509="W"),P508+P509-SUM(O508:O510)+_xlfn.XLOOKUP("X",C508:C510,O508:O510,0),IF(AND(C508=TRUE,C510="W"),P508+P510-SUM(O508:O510),IF(AND(C509="W",C510="W"),P509+P510-SUM(O508:O510)+_xlfn.XLOOKUP("X",C508:C510,O508:O510,0),IF(L510&gt;0,IF(OR($C508="W",$C508="1/2W",$C508="1/2L"),P508-SUM(O508:O510)+_xlfn.XLOOKUP("X",C508:C510,O508:O510,0),IF(OR($C508="W",$C508="1/2W",$C508="1/2L"),P509-SUM(O508:O510)+_xlfn.XLOOKUP("X",C508:C510,O508:O510,0),IF(OR($C508="W",$C508="1/2W",$C508="1/2L"),P510-SUM(O508:O510)+_xlfn.XLOOKUP("X",C508:C510,O508:O510,0),IF(SUM(P508:P510)/3-SUM(O508:O510)+_xlfn.XLOOKUP("X",C508:C510,O508:O510,0)&gt;0,SUM(P508:P510)/3-SUM(O508:O510)+_xlfn.XLOOKUP("X",C508:C510,O508:O510,0),LARGE(P508:P510,1)-SUM(O508:O510))))),IF(OR($C508="W",$C508="1/2W",$C508="1/2L"),P508-SUM(O508:O509)+_xlfn.XLOOKUP("X",C508:C510,O508:O510,0),IF(OR($C508="W",$C508="1/2W",$C508="1/2L"),P509-SUM(O508:O509)+_xlfn.XLOOKUP("X",C508:C510,O508:O510,0),SUM(P508:P509)/2-SUM(O508:O509)+_xlfn.XLOOKUP("X",C508:C510,O508:O510,0)))))))),2))</f>
        <v>0.99</v>
      </c>
      <c r="T508" s="265">
        <f>IF(S508=0,0,S508/SUM(O508:O510))</f>
        <v>0.0337193460490463</v>
      </c>
      <c r="U508" s="266">
        <f>IF($D508=$D505,IF(OR($B508="LOSS",$B508="OK",$B508="Anulada"),S508,0)+U505,IF(OR($B508="LOSS",$B508="OK",$B508="Anulada"),S508,0))</f>
        <v>30.14</v>
      </c>
      <c r="V508" s="266">
        <f>IF($D508="",0,IF($D508=$D505,IF($B508=" ",IF(I510="",IF(OR(AND(I508="DNB1",I509="DNB2"),AND(OR(I508="DNB1",I508="DNB2"),J509=0),AND(OR(I509="DNB1",I509="DNB2"),J508=0),AND(I508="DNB2",I509="DNB1"),AND(IF(J508=0,(J508+1)/ROUND(J508+1,0),J508/ROUND(J508,0))=1,IF(J509=0,(J509+1)/ROUND(IF(J509="",0,J509)+1,0),IF(J509="",0,J509)/ROUND(IF(J509="",1,J509),0))=1,OR(J508&lt;&gt;""),J509&lt;&gt;"")),0,IF(S508&lt;0,IF(I510="",SMALL(P508:P509,1)-SUM(O508:O509),0),SMALL(P508:P509,1)-SUM(O508:O509))),IF(S508&lt;0,IF(I510="",SMALL(P508:P510,1)-SUM(O508:O510),0),LARGE(P508:P510,1)-SUM(O508:O510))),S508)+V505,IF(I510="",IF(OR(AND(I508="DNB1",I509="DNB2"),AND(OR(I508="DNB1",I508="DNB2"),J509=0),AND(OR(I509="DNB1",I509="DNB2"),J508=0),AND(I508="DNB2",I509="DNB1"),AND(IF(J508=0,(J508+1)/ROUND(J508+1,0),J508/ROUND(J508,0))=1,IF(J509=0,(IF(J509="",0,J509)+1)/ROUND(IF(J509="",0,J509)+1,0),IF(J509="",0,J509)/ROUND(IF(J509="",0,J509)+1,0))=1,OR(J508&lt;&gt;""),J509&lt;&gt;"")),0,IF(S508&lt;0,IF(I510="",SMALL(P508:P509,1)-SUM(O508:O509),0),SMALL(P508:P510,1)-SUM(O508:O510))),IF(S508&lt;0,IF(I510="",SMALL(P508:P510,1)-SUM(O508:O510),0),LARGE(P508:P510,1)-SUM(O508:O510)))))</f>
        <v>30.14</v>
      </c>
      <c r="W508" s="266">
        <f>IF($D508=$D505,IF(S508&lt;0,IF(I510="",S508,0),S508)+W505,S508)</f>
        <v>30.14</v>
      </c>
      <c r="X508" t="s" s="267">
        <f>IF(OR(SUM(R508:R510)=0,V508=W508),ROUND(IF(W508=0,0,W508/Y508)*100,2)&amp;"%",ROUND(IF(V508=0,0,V508/Y508)*100,2)&amp;"% a "&amp;ROUND(IF(W508=0,0,W508/Y508)*100,2)&amp;"%")</f>
        <v>392</v>
      </c>
      <c r="Y508" s="268">
        <f>IF($D508=$D505,Y505+SUM(O508:O510),SUM(O508:O510))</f>
        <v>547.29</v>
      </c>
      <c r="Z508" s="266">
        <f>IF($B508=" ",SUM(O508:O510),0)+Z505</f>
        <v>0</v>
      </c>
      <c r="AA508" s="266">
        <f>IF(G508="","",IF($B508="Anulado",LARGE(P508:P510,1)-SUM(O508:O510)+AA505,AA505))</f>
        <v>24.9665076923077</v>
      </c>
      <c r="AB508" s="266">
        <f>IF($D508="","",AB505+S508)</f>
        <v>337.99</v>
      </c>
      <c r="AC508" s="269">
        <f>IF($D508="","",IF($B508=" ",IF(DAY(G508)=DAY(TODAY()),1+AC505,0+AC505),0+AC505))</f>
        <v>0</v>
      </c>
      <c r="AD508" s="270">
        <f>(1-_xlfn.XLOOKUP(K506,'Janeiro 2023 - Valor Real'!A3:A15,'Janeiro 2023 - Valor Real'!C3:C15,0))+1</f>
        <v>2</v>
      </c>
      <c r="AE508" s="271">
        <f>IF(L508="","",IF(L510&gt;0,(SUM(((L508-1)*(1-_xlfn.XLOOKUP(K508,'Janeiro 2023 - Valor Real'!A3:A15,'Janeiro 2023 - Valor Real'!C3:C15,0))+1),((L509-1)*(1-_xlfn.XLOOKUP(K509,'Janeiro 2023 - Valor Real'!A3:A15,'Janeiro 2023 - Valor Real'!C3:C15,0))+1),((L510-1)*(1-_xlfn.XLOOKUP(K510,'Janeiro 2023 - Valor Real'!A3:A15,'Janeiro 2023 - Valor Real'!C3:C15,0))+1))/((L508-1)*(1-_xlfn.XLOOKUP(K508,'Janeiro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Real'!C3:C15,0))+1))/((L508-1)*(1-_xlfn.XLOOKUP(K508,'Janeiro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Real'!C3:C15,0))+1))/((L509-1)*(1-_xlfn.XLOOKUP(K509,'Janeiro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Real'!C3:C15,0))+1))/((L510-1)*(1-_xlfn.XLOOKUP(K510,'Janeiro 2023 - Valor Real'!A3:A15,'Janeiro 2023 - Valor Real'!C3:C15,0))+1)),IF(I508="Lay",IF(I509="Lay",((L509/(L509-1)-1)*(1-_xlfn.XLOOKUP(K509,'Janeiro 2023 - Valor Real'!A3:A15,'Janeiro 2023 - Valor Real'!C3:C15,0))+1)/(((L509/(L509-1)-1)*(1-_xlfn.XLOOKUP(K509,'Janeiro 2023 - Valor Real'!A3:A15,'Janeiro 2023 - Valor Real'!C3:C15,0))+1)+((L508/(L508-1)-1)*(1-_xlfn.XLOOKUP(K508,'Janeiro 2023 - Valor Real'!A3:A15,'Janeiro 2023 - Valor Real'!C3:C15,0))+1)),((L509-1)*(1-_xlfn.XLOOKUP(K509,'Janeiro 2023 - Valor Real'!A3:A15,'Janeiro 2023 - Valor Real'!C3:C15,0))+1)/(((L509-1)*(1-_xlfn.XLOOKUP(K509,'Janeiro 2023 - Valor Real'!A3:A15,'Janeiro 2023 - Valor Real'!C3:C15,0))+1)+((L508/(L508-1)-1)*(1-_xlfn.XLOOKUP(K508,'Janeiro 2023 - Valor Real'!A3:A15,'Janeiro 2023 - Valor Real'!C3:C15,0))+1))),IF(I509="Lay",(((L509/(L509-1)-1)*(1-_xlfn.XLOOKUP(K509,'Janeiro 2023 - Valor Real'!A3:A15,'Janeiro 2023 - Valor Real'!C3:C15,0))+1))/(((L508-1)*(1-_xlfn.XLOOKUP(K508,'Janeiro 2023 - Valor Real'!A3:A15,'Janeiro 2023 - Valor Real'!C3:C15,0))+1)+((L509/(L509-1)-1)*(1-_xlfn.XLOOKUP(K509,'Janeiro 2023 - Valor Real'!A3:A15,'Janeiro 2023 - Valor Real'!C3:C15,0))+1)),((L509-1)*(1-_xlfn.XLOOKUP(K509,'Janeiro 2023 - Valor Real'!A3:A15,'Janeiro 2023 - Valor Real'!C3:C15,0))+1)/(((L509-1)*(1-_xlfn.XLOOKUP(K509,'Janeiro 2023 - Valor Real'!A3:A15,'Janeiro 2023 - Valor Real'!C3:C15,0))+1)+((L508-1)*(1-_xlfn.XLOOKUP(K508,'Janeiro 2023 - Valor Real'!A3:A15,'Janeiro 2023 - Valor Real'!C3:C15,0))+1))))))</f>
        <v>0.424176507147296</v>
      </c>
      <c r="AF508" s="132">
        <f>IF($K508=AF$3,ROUND(IF(OR($C508="W",$C508="1/2W",$C508="1/2L"),$P508-$O508,IF($C508="X",0,-$O508)),2),0)</f>
        <v>0</v>
      </c>
      <c r="AG508" s="133">
        <f>IF($K508=AG$3,ROUND(IF(OR($C508="W",$C508="1/2W",$C508="1/2L"),$P508-$O508,IF($C508="X",0,-$O508)),2),0)</f>
        <v>0</v>
      </c>
      <c r="AH508" s="133">
        <f>IF($K508=AH$3,ROUND(IF(OR($C508="W",$C508="1/2W",$C508="1/2L"),$P508-$O508,IF($C508="X",0,-$O508)),2),0)</f>
        <v>0</v>
      </c>
      <c r="AI508" s="133">
        <f>IF($K508=AI$3,ROUND(IF(OR($C508="W",$C508="1/2W",$C508="1/2L"),$P508-$O508,IF($C508="X",0,-$O508)),2),0)</f>
        <v>0</v>
      </c>
      <c r="AJ508" s="133">
        <f>IF($K508=AJ$3,ROUND(IF(OR($C508="W",$C508="1/2W",$C508="1/2L"),$P508-$O508,IF($C508="X",0,-$O508)),2),0)</f>
        <v>0</v>
      </c>
      <c r="AK508" s="133">
        <f>IF($K508=AK$3,ROUND(IF(OR($C508="W",$C508="1/2W",$C508="1/2L"),$P508-$O508,IF($C508="X",0,-$O508)),2),0)</f>
        <v>0</v>
      </c>
      <c r="AL508" s="133">
        <f>IF($K508=AL$3,ROUND(IF(OR($C508="W",$C508="1/2W",$C508="1/2L"),$P508-$O508,IF($C508="X",0,-$O508)),2),0)</f>
        <v>0</v>
      </c>
      <c r="AM508" s="133">
        <f>IF($K508=AM$3,ROUND(IF(OR($C508="W",$C508="1/2W",$C508="1/2L"),$P508-$O508,IF($C508="X",0,-$O508)),2),0)</f>
        <v>0</v>
      </c>
      <c r="AN508" s="133">
        <f>IF($K508=AN$3,ROUND(IF(OR($C508="W",$C508="1/2W",$C508="1/2L"),$P508-$O508,IF($C508="X",0,-$O508)),2),0)</f>
        <v>0</v>
      </c>
      <c r="AO508" s="133">
        <f>IF($K508=AO$3,ROUND(IF(OR($C508="W",$C508="1/2W",$C508="1/2L"),$P508-$O508,IF($C508="X",0,-$O508)),2),0)</f>
        <v>0</v>
      </c>
      <c r="AP508" s="133">
        <f>IF($K508=AP$3,ROUND(IF(OR($C508="W",$C508="1/2W",$C508="1/2L"),$P508-$O508,IF($C508="X",0,-$O508)),2),0)</f>
        <v>0</v>
      </c>
      <c r="AQ508" s="133">
        <f>IF($K508=AQ$3,ROUND(IF(OR($C508="W",$C508="1/2W",$C508="1/2L"),$P508-$O508,IF($C508="X",0,-$O508)),2),0)</f>
        <v>12.5</v>
      </c>
      <c r="AR508" s="134">
        <f>IF($K508=AR$3,ROUND(IF(OR($C508="W",$C508="1/2W",$C508="1/2L"),$P508-$O508,IF($C508="X",0,-$O508)),2),0)</f>
        <v>0</v>
      </c>
      <c r="AS508" s="132">
        <f>IF(AND($B508=" ",$K508=AS$3),$O508,0)</f>
        <v>0</v>
      </c>
      <c r="AT508" s="133">
        <f>IF(AND($B508=" ",$K508=AT$3),$O508,0)</f>
        <v>0</v>
      </c>
      <c r="AU508" s="133">
        <f>IF(AND($B508=" ",$K508=AU$3),$O508,0)</f>
        <v>0</v>
      </c>
      <c r="AV508" s="133">
        <f>IF(AND($B508=" ",$K508=AV$3),$O508,0)</f>
        <v>0</v>
      </c>
      <c r="AW508" s="133">
        <f>IF(AND($B508=" ",$K508=AW$3),$O508,0)</f>
        <v>0</v>
      </c>
      <c r="AX508" s="133">
        <f>IF(AND($B508=" ",$K508=AX$3),$O508,0)</f>
        <v>0</v>
      </c>
      <c r="AY508" s="135">
        <f>IF(AND($B508=" ",$K508=AY$3),$O508,0)</f>
        <v>0</v>
      </c>
      <c r="AZ508" s="136">
        <f>IF(AND($B508=" ",$K508=AZ$3),$O508,0)</f>
        <v>0</v>
      </c>
      <c r="BA508" s="136">
        <f>IF(AND($B508=" ",$K508=BA$3),$O508,0)</f>
        <v>0</v>
      </c>
      <c r="BB508" s="136">
        <f>IF(AND($B508=" ",$K508=BB$3),$O508,0)</f>
        <v>0</v>
      </c>
      <c r="BC508" s="137">
        <f>IF(AND($B508=" ",$K508=BC$3),$O508,0)</f>
        <v>0</v>
      </c>
      <c r="BD508" s="133">
        <f>IF(AND($B508=" ",$K508=BD$3),$O508,0)</f>
        <v>0</v>
      </c>
      <c r="BE508" s="134">
        <f>IF(AND($B508=" ",$K508=BE$3),$O508,0)</f>
        <v>0</v>
      </c>
      <c r="BF508" s="132">
        <f>IF($K508=BF$3,IF($C508="X",0,$O508),0)</f>
        <v>0</v>
      </c>
      <c r="BG508" s="133">
        <f>IF($K508=BG$3,IF($C508="X",0,$O508),0)</f>
        <v>0</v>
      </c>
      <c r="BH508" s="133">
        <f>IF($K508=BH$3,IF($C508="X",0,$O508),0)</f>
        <v>0</v>
      </c>
      <c r="BI508" s="133">
        <f>IF($K508=BI$3,IF($C508="X",0,$O508),0)</f>
        <v>0</v>
      </c>
      <c r="BJ508" s="133">
        <f>IF($K508=BJ$3,IF($C508="X",0,$O508),0)</f>
        <v>0</v>
      </c>
      <c r="BK508" s="133">
        <f>IF($K508=BK$3,IF($C508="X",0,$O508),0)</f>
        <v>0</v>
      </c>
      <c r="BL508" s="133">
        <f>IF($K508=BL$3,IF($C508="X",0,$O508),0)</f>
        <v>0</v>
      </c>
      <c r="BM508" s="135">
        <f>IF($K508=BM$3,IF($C508="X",0,$O508),0)</f>
        <v>0</v>
      </c>
      <c r="BN508" s="136">
        <f>IF($K508=BN$3,IF($C508="X",0,$O508),0)</f>
        <v>0</v>
      </c>
      <c r="BO508" s="136">
        <f>IF($K508=BO$3,IF($C508="X",0,$O508),0)</f>
        <v>0</v>
      </c>
      <c r="BP508" s="136">
        <f>IF($K508=BP$3,IF($C508="X",0,$O508),0)</f>
        <v>0</v>
      </c>
      <c r="BQ508" s="137">
        <f>IF($K508=BQ$3,IF($C508="X",0,$O508),0)</f>
        <v>17.85</v>
      </c>
      <c r="BR508" s="134">
        <f>IF($K508=BR$3,IF($C508="X",0,$O508),0)</f>
        <v>0</v>
      </c>
      <c r="BS508" s="170">
        <f>IF($B508="LOSS",IF(AND($K508=BS$3,$C508="L"),-$O508,0)+IF(AND($K509=BS$3,$C509="L"),-$O509,0)+IF(AND($K510=BS$3,$C510="L"),-$O510,0),IF(OR(AND($K508=BS$3,OR($C508="W",$C508="1/2W")),AND($K509=BS$3,OR($C509="W",$C509="1/2W")),AND($K510=BS$3,OR($C510="W",$C510="1/2W"))),$S508,0))</f>
        <v>0</v>
      </c>
      <c r="BT508" s="272">
        <f>IF($B508="LOSS",IF(AND($K508=BT$3,$C508="L"),-$O508,0)+IF(AND($K509=BT$3,$C509="L"),-$O509,0)+IF(AND($K509=BT$3,$C510="L"),-$O510,0),IF(OR(AND($K509=BT$3,OR($C508="W",$C508="1/2W")),AND($K509=BT$3,OR($C509="W",$C509="1/2W")),AND($K509=BT$3,OR($C510="W",$C510="1/2W"))),$S508,0))</f>
        <v>0.99</v>
      </c>
      <c r="BU508" s="136">
        <f>IF($B508="LOSS",IF(AND($K508=BU$3,$C508="L"),-$O508,0)+IF(AND($K509=BU$3,$C509="L"),-$O509,0)+IF(AND($K509=BU$3,$C510="L"),-$O510,0),IF(OR(AND($K509=BU$3,OR($C508="W",$C508="1/2W")),AND($K509=BU$3,OR($C509="W",$C509="1/2W")),AND($K509=BU$3,OR($C510="W",$C510="1/2W"))),$S508,0))</f>
        <v>0</v>
      </c>
      <c r="BV508" s="136">
        <f>IF($B508="LOSS",IF(AND($K508=BV$3,$C508="L"),-$O508,0)+IF(AND($K509=BV$3,$C509="L"),-$O509,0)+IF(AND($K510=BV$3,$C510="L"),-$O510,0),IF(OR(AND($K508=BV$3,OR($C508="W",$C508="1/2W")),AND($K509=BV$3,OR($C509="W",$C509="1/2W")),AND($K510=BV$3,OR($C510="W",$C510="1/2W"))),$S508,0))</f>
        <v>0</v>
      </c>
      <c r="BW508" s="136">
        <f>IF($B508="LOSS",IF(AND($K508=BW$3,$C508="L"),-$O508,0)+IF(AND($K509=BW$3,$C509="L"),-$O509,0)+IF(AND($K510=BW$3,$C510="L"),-$O510,0),IF(OR(AND($K508=BW$3,OR($C508="W",$C508="1/2W")),AND($K509=BW$3,OR($C509="W",$C509="1/2W")),AND($K510=BW$3,OR($C510="W",$C510="1/2W"))),$S508,0))</f>
        <v>0</v>
      </c>
      <c r="BX508" s="136">
        <f>IF($B508="LOSS",IF(AND($K508=BX$3,$C508="L"),-$O508,0)+IF(AND($K509=BX$3,$C509="L"),-$O509,0)+IF(AND($K510=BX$3,$C510="L"),-$O510,0),IF(OR(AND($K508=BX$3,OR($C508="W",$C508="1/2W")),AND($K509=BX$3,OR($C509="W",$C509="1/2W")),AND($K510=BX$3,OR($C510="W",$C510="1/2W"))),$S508,0))</f>
        <v>0</v>
      </c>
      <c r="BY508" s="136">
        <f>IF($B508="LOSS",IF(AND($K508=BY$3,$C508="L"),-$O508,0)+IF(AND($K509=BY$3,$C509="L"),-$O509,0)+IF(AND($K510=BY$3,$C510="L"),-$O510,0),IF(OR(AND($K508=BY$3,OR($C508="W",$C508="1/2W")),AND($K509=BY$3,OR($C509="W",$C509="1/2W")),AND($K510=BY$3,OR($C510="W",$C510="1/2W"))),$S508,0))</f>
        <v>0</v>
      </c>
      <c r="BZ508" s="136">
        <f>IF($B508="LOSS",IF(AND($K508=BZ$3,$C508="L"),-$O508,0)+IF(AND($K509=BZ$3,$C509="L"),-$O509,0)+IF(AND($K510=BZ$3,$C510="L"),-$O510,0),IF(OR(AND($K508=BZ$3,OR($C508="W",$C508="1/2W")),AND($K509=BZ$3,OR($C509="W",$C509="1/2W")),AND($K510=BZ$3,OR($C510="W",$C510="1/2W"))),$S508,0))</f>
        <v>0</v>
      </c>
      <c r="CA508" s="136">
        <f>IF($B508="LOSS",IF(AND($K508=CA$3,$C508="L"),-$O508,0)+IF(AND($K509=CA$3,$C509="L"),-$O509,0)+IF(AND($K510=CA$3,$C510="L"),-$O510,0),IF(OR(AND($K508=CA$3,OR($C508="W",$C508="1/2W")),AND($K509=CA$3,OR($C509="W",$C509="1/2W")),AND($K510=CA$3,OR($C510="W",$C510="1/2W"))),$S508,0))</f>
        <v>0</v>
      </c>
      <c r="CB508" s="136">
        <f>IF($B508="LOSS",IF(AND($K508=CB$3,$C508="L"),-$O508,0)+IF(AND($K509=CB$3,$C509="L"),-$O509,0)+IF(AND($K510=CB$3,$C510="L"),-$O510,0),IF(OR(AND($K508=CB$3,OR($C508="W",$C508="1/2W")),AND($K509=CB$3,OR($C509="W",$C509="1/2W")),AND($K510=CB$3,OR($C510="W",$C510="1/2W"))),$S508,0))</f>
        <v>0</v>
      </c>
      <c r="CC508" s="136">
        <f>IF($B508="LOSS",IF(AND($K508=CC$3,$C508="L"),-$O508,0)+IF(AND($K509=CC$3,$C509="L"),-$O509,0)+IF(AND($K510=CC$3,$C510="L"),-$O510,0),IF(OR(AND($K508=CC$3,OR($C508="W",$C508="1/2W")),AND($K509=CC$3,OR($C509="W",$C509="1/2W")),AND($K510=CC$3,OR($C510="W",$C510="1/2W"))),$S508,0))</f>
        <v>0</v>
      </c>
      <c r="CD508" s="137">
        <f>IF($B508="LOSS",IF(AND($K508=CD$3,$C508="L"),-$O508,0)+IF(AND($K509=CD$3,$C509="L"),-$O509,0)+IF(AND($K510=CD$3,$C510="L"),-$O510,0),IF(OR(AND($K508=CD$3,OR($C508="W",$C508="1/2W")),AND($K509=CD$3,OR($C509="W",$C509="1/2W")),AND($K510=CD$3,OR($C510="W",$C510="1/2W"))),$S508,0))</f>
        <v>0.99</v>
      </c>
      <c r="CE508" s="134">
        <f>IF($B508="LOSS",IF(AND($K508=CE$3,$C508="L"),-$O508,0)+IF(AND($K509=CE$3,$C509="L"),-$O509,0)+IF(AND($K510=CE$3,$C510="L"),-$O510,0),IF(OR(AND($K508=CE$3,OR($C508="W",$C508="1/2W")),AND($K509=CE$3,OR($C509="W",$C509="1/2W")),AND($K510=CE$3,OR($C510="W",$C510="1/2W"))),$S508,0))</f>
        <v>0</v>
      </c>
      <c r="CF508" s="273">
        <f>IF(CF$3=$K508,IF($C508="W",1,IF($C508="1/2W",0.5,0)),0)</f>
        <v>0</v>
      </c>
      <c r="CG508" s="274">
        <f>IF(CF$3=$K508,IF($C508="L",1,IF($C508="1/2L",0.5,0)),0)</f>
        <v>0</v>
      </c>
      <c r="CH508" s="274">
        <f>IF(CH$3=$K508,IF($C508="W",1,IF($C508="1/2W",0.5,0)),0)</f>
        <v>0</v>
      </c>
      <c r="CI508" s="274">
        <f>IF(CH$3=$K508,IF($C508="L",1,IF($C508="1/2L",0.5,0)),0)</f>
        <v>0</v>
      </c>
      <c r="CJ508" s="274">
        <f>IF(CJ$3=$K508,IF($C508="W",1,IF($C508="1/2W",0.5,0)),0)</f>
        <v>0</v>
      </c>
      <c r="CK508" s="274">
        <f>IF(CJ$3=$K508,IF($C508="L",1,IF($C508="1/2L",0.5,0)),0)</f>
        <v>0</v>
      </c>
      <c r="CL508" s="274">
        <f>IF(CL$3=$K508,IF($C508="W",1,IF($C508="1/2W",0.5,0)),0)</f>
        <v>0</v>
      </c>
      <c r="CM508" s="274">
        <f>IF(CL$3=$K508,IF($C508="L",1,IF($C508="1/2L",0.5,0)),0)</f>
        <v>0</v>
      </c>
      <c r="CN508" s="274">
        <f>IF(CN$3=$K508,IF($C508="W",1,IF($C508="1/2W",0.5,0)),0)</f>
        <v>0</v>
      </c>
      <c r="CO508" s="274">
        <f>IF(CN$3=$K508,IF($C508="L",1,IF($C508="1/2L",0.5,0)),0)</f>
        <v>0</v>
      </c>
      <c r="CP508" s="274">
        <f>IF(CP$3=$K508,IF($C508="W",1,IF($C508="1/2W",0.5,0)),0)</f>
        <v>0</v>
      </c>
      <c r="CQ508" s="274">
        <f>IF(CP$3=$K508,IF($C508="L",1,IF($C508="1/2L",0.5,0)),0)</f>
        <v>0</v>
      </c>
      <c r="CR508" s="274">
        <f>IF(CR$3=$K508,IF($C508="W",1,IF($C508="1/2W",0.5,0)),0)</f>
        <v>0</v>
      </c>
      <c r="CS508" s="274">
        <f>IF(CR$3=$K508,IF($C508="L",1,IF($C508="1/2L",0.5,0)),0)</f>
        <v>0</v>
      </c>
      <c r="CT508" s="145">
        <f>IF(CT$3=$K508,IF($C508="W",1,IF($C508="1/2W",0.5,0)),0)</f>
        <v>0</v>
      </c>
      <c r="CU508" s="146">
        <f>IF(CT$3=$K508,IF($C508="L",1,IF($C508="1/2L",0.5,0)),0)</f>
        <v>0</v>
      </c>
      <c r="CV508" s="146">
        <f>IF(CV$3=$K508,IF($C508="W",1,IF($C508="1/2W",0.5,0)),0)</f>
        <v>0</v>
      </c>
      <c r="CW508" s="146">
        <f>IF(CV$3=$K508,IF($C508="L",1,IF($C508="1/2L",0.5,0)),0)</f>
        <v>0</v>
      </c>
      <c r="CX508" s="146">
        <f>IF(CX$3=$K508,IF($C508="W",1,IF($C508="1/2W",0.5,0)),0)</f>
        <v>0</v>
      </c>
      <c r="CY508" s="146">
        <f>IF(CX$3=$K508,IF($C508="L",1,IF($C508="1/2L",0.5,0)),0)</f>
        <v>0</v>
      </c>
      <c r="CZ508" s="146">
        <f>IF(CZ$3=$K508,IF($C508="W",1,IF($C508="1/2W",0.5,0)),0)</f>
        <v>0</v>
      </c>
      <c r="DA508" s="146">
        <f>IF(CZ$3=$K508,IF($C508="L",1,IF($C508="1/2L",0.5,0)),0)</f>
        <v>0</v>
      </c>
      <c r="DB508" s="146">
        <f>IF(DB$3=$K508,IF($C508="W",1,IF($C508="1/2W",0.5,0)),0)</f>
        <v>1</v>
      </c>
      <c r="DC508" s="146">
        <f>IF(DB$3=$K508,IF($C508="L",1,IF($C508="1/2L",0.5,0)),0)</f>
        <v>0</v>
      </c>
      <c r="DD508" s="146">
        <f>IF(DD$3=$K508,IF($C508="W",1,IF($C508="1/2W",0.5,0)),0)</f>
        <v>0</v>
      </c>
      <c r="DE508" s="147">
        <f>IF(DD$3=$K508,IF($C508="L",1,IF($C508="1/2L",0.5,0)),0)</f>
        <v>0</v>
      </c>
      <c r="DF508" s="143">
        <f>IF(AND(L508&lt;DF$3,$C508="W"),1+DF507,DF507)</f>
        <v>16</v>
      </c>
      <c r="DG508" s="133">
        <f>IF(DF508&gt;DF507,L508+DG507,DG507)</f>
        <v>21.158</v>
      </c>
      <c r="DH508" s="146">
        <f>IF(AND(L508&gt;DH$3,$C508="W"),1+DH507,0+DH507)</f>
        <v>11</v>
      </c>
      <c r="DI508" s="133">
        <f>IF(DH508&gt;DH507,L508+DI507,DI507)</f>
        <v>59.13</v>
      </c>
      <c r="DJ508" t="s" s="304">
        <f>IF($D508="","",$D508)</f>
        <v>358</v>
      </c>
      <c r="DK508" s="146">
        <f>IF(AND($B508=" ",$D508&lt;&gt;""),1,0)</f>
        <v>0</v>
      </c>
    </row>
    <row r="509" ht="14.55" customHeight="1">
      <c r="A509" s="107"/>
      <c r="B509" s="108"/>
      <c r="C509" t="s" s="109">
        <v>51</v>
      </c>
      <c r="D509" s="110"/>
      <c r="E509" s="111"/>
      <c r="F509" s="113"/>
      <c r="G509" s="252"/>
      <c r="H509" s="114"/>
      <c r="I509" t="s" s="275">
        <v>65</v>
      </c>
      <c r="J509" s="276">
        <v>2.5</v>
      </c>
      <c r="K509" t="s" s="117">
        <v>38</v>
      </c>
      <c r="L509" s="277">
        <v>1.95</v>
      </c>
      <c r="M509" s="278">
        <v>6.41</v>
      </c>
      <c r="N509" s="120"/>
      <c r="O509" s="121">
        <f>IF(OR(AE508="",AE509=""),"",ROUND(IF(L510&gt;0,IF(M509&gt;0,M509,IF(M508&gt;0,IF(N508=TRUE,ROUND((M508*AE509)/AE508,0),(M508*AE509)/AE508),IF(M509&gt;0,ROUND(M509,IF(N508=0,2,IF(N508=0.1,1,0))),IF(M510&gt;0,ROUND(O510*AE509/AE510,IF(N508=0,2,IF(N508=0.1,1,0))),0)))),IF(M509&gt;0,M509,ROUND((M508*AE509)/AE508,IF(N508=0,2,IF(N508=0.1,1,0))))),2))</f>
        <v>6.41</v>
      </c>
      <c r="P509" s="122">
        <f>IF(OR(L509="",O509=""),"",IF($C509="1/2W",O509/2+O509/2*L509,IF($C509="1/2L",O509/2,IF(I509="Lay",((O509*(L509/(L509-1)))-O509)*(1-_xlfn.XLOOKUP(K509,'Janeiro 2023 - Valor Real'!A3:A15,'Janeiro 2023 - Valor Real'!C3:C15,0))+O509,(O509*L509-O509)*(1-_xlfn.XLOOKUP(K509,'Janeiro 2023 - Valor Real'!A3:A15,'Janeiro 2023 - Valor Real'!C3:C15,0))+O509))))</f>
        <v>12.4995</v>
      </c>
      <c r="Q509" s="279">
        <f>IF(K509="","",IF(_xlfn.XLOOKUP(K509,K$120:K288,DJ$120:DJ288,0,,-1)=DJ509,_xlfn.XLOOKUP(K509,K$120:K288,Q$120:Q288,1,,-1)+1,1))</f>
        <v>1</v>
      </c>
      <c r="R509" s="280">
        <f>IF(K509="","",_xlfn.XLOOKUP(K509,K$120:K288,R$120:R288,0,,-1)+IF($C509=" ",1,0))</f>
        <v>0</v>
      </c>
      <c r="S509" s="125"/>
      <c r="T509" s="126"/>
      <c r="U509" s="126"/>
      <c r="V509" s="224"/>
      <c r="W509" s="126"/>
      <c r="X509" s="127"/>
      <c r="Y509" s="128"/>
      <c r="Z509" s="129"/>
      <c r="AA509" s="129"/>
      <c r="AB509" s="129"/>
      <c r="AC509" s="129"/>
      <c r="AD509" s="130"/>
      <c r="AE509" s="131">
        <f>IF(L509="","",IF(L510&gt;0,(SUM(((L508-1)*(1-_xlfn.XLOOKUP(K508,'Janeiro 2023 - Valor Real'!A3:A15,'Janeiro 2023 - Valor Real'!C3:C15,0))+1),((L509-1)*(1-_xlfn.XLOOKUP(K509,'Janeiro 2023 - Valor Real'!A3:A15,'Janeiro 2023 - Valor Real'!C3:C15,0))+1),((L510-1)*(1-_xlfn.XLOOKUP(K510,'Janeiro 2023 - Valor Real'!A3:A15,'Janeiro 2023 - Valor Real'!C3:C15,0))+1))/((L509-1)*(1-_xlfn.XLOOKUP(K509,'Janeiro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Real'!C3:C15,0))+1))/((L508-1)*(1-_xlfn.XLOOKUP(K508,'Janeiro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Real'!C3:C15,0))+1))/((L509-1)*(1-_xlfn.XLOOKUP(K509,'Janeiro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Real'!C3:C15,0))+1))/((L510-1)*(1-_xlfn.XLOOKUP(K510,'Janeiro 2023 - Valor Real'!A3:A15,'Janeiro 2023 - Valor Real'!C3:C15,0))+1)),IF(I509="Lay",IF(I508="Lay",((L508/(L508-1)-1)*(1-_xlfn.XLOOKUP(K508,'Janeiro 2023 - Valor Real'!A3:A15,'Janeiro 2023 - Valor Real'!C3:C15,0))+1)/(((L508/(L508-1)-1)*(1-_xlfn.XLOOKUP(K508,'Janeiro 2023 - Valor Real'!A3:A15,'Janeiro 2023 - Valor Real'!C3:C15,0))+1)+((L509/(L509-1)-1)*(1-_xlfn.XLOOKUP(K509,'Janeiro 2023 - Valor Real'!A3:A15,'Janeiro 2023 - Valor Real'!C3:C15,0))+1)),((L508-1)*(1-_xlfn.XLOOKUP(K508,'Janeiro 2023 - Valor Real'!A3:A15,'Janeiro 2023 - Valor Real'!C3:C15,0))+1)/(((L508-1)*(1-_xlfn.XLOOKUP(K508,'Janeiro 2023 - Valor Real'!A3:A15,'Janeiro 2023 - Valor Real'!C3:C15,0))+1)+((L509/(L509-1)-1)*(1-_xlfn.XLOOKUP(K509,'Janeiro 2023 - Valor Real'!A3:A15,'Janeiro 2023 - Valor Real'!C3:C15,0))+1))),IF(I508="Lay",((L508/(L508-1)-1)*(1-_xlfn.XLOOKUP(K508,'Janeiro 2023 - Valor Real'!A3:A15,'Janeiro 2023 - Valor Real'!C3:C15,0))+1)/((((L508/(L508-1)-1)*(1-_xlfn.XLOOKUP(K508,'Janeiro 2023 - Valor Real'!A3:A15,'Janeiro 2023 - Valor Real'!C3:C15,0))+1))+((L509-1)*(1-_xlfn.XLOOKUP(K509,'Janeiro 2023 - Valor Real'!A3:A15,'Janeiro 2023 - Valor Real'!C3:C15,0))+1)),((L508-1)*(1-_xlfn.XLOOKUP(K508,'Janeiro 2023 - Valor Real'!A3:A15,'Janeiro 2023 - Valor Real'!C3:C15,0))+1)/(((L508-1)*(1-_xlfn.XLOOKUP(K508,'Janeiro 2023 - Valor Real'!A3:A15,'Janeiro 2023 - Valor Real'!C3:C15,0))+1)+((L509-1)*(1-_xlfn.XLOOKUP(K509,'Janeiro 2023 - Valor Real'!A3:A15,'Janeiro 2023 - Valor Real'!C3:C15,0))+1))))))</f>
        <v>0.369794903666874</v>
      </c>
      <c r="AF509" s="132">
        <f>IF($K509=AF$3,ROUND(IF(OR($C509="W",$C509="1/2W",$C509="1/2L"),$P509-$O509,IF($C509="X",0,-$O509)),2),0)</f>
        <v>0</v>
      </c>
      <c r="AG509" s="133">
        <f>IF($K509=AG$3,ROUND(IF(OR($C509="W",$C509="1/2W",$C509="1/2L"),$P509-$O509,IF($C509="X",0,-$O509)),2),0)</f>
        <v>-6.41</v>
      </c>
      <c r="AH509" s="133">
        <f>IF($K509=AH$3,ROUND(IF(OR($C509="W",$C509="1/2W",$C509="1/2L"),$P509-$O509,IF($C509="X",0,-$O509)),2),0)</f>
        <v>0</v>
      </c>
      <c r="AI509" s="133">
        <f>IF($K509=AI$3,ROUND(IF(OR($C509="W",$C509="1/2W",$C509="1/2L"),$P509-$O509,IF($C509="X",0,-$O509)),2),0)</f>
        <v>0</v>
      </c>
      <c r="AJ509" s="133">
        <f>IF($K509=AJ$3,ROUND(IF(OR($C509="W",$C509="1/2W",$C509="1/2L"),$P509-$O509,IF($C509="X",0,-$O509)),2),0)</f>
        <v>0</v>
      </c>
      <c r="AK509" s="133">
        <f>IF($K509=AK$3,ROUND(IF(OR($C509="W",$C509="1/2W",$C509="1/2L"),$P509-$O509,IF($C509="X",0,-$O509)),2),0)</f>
        <v>0</v>
      </c>
      <c r="AL509" s="133">
        <f>IF($K509=AL$3,ROUND(IF(OR($C509="W",$C509="1/2W",$C509="1/2L"),$P509-$O509,IF($C509="X",0,-$O509)),2),0)</f>
        <v>0</v>
      </c>
      <c r="AM509" s="133">
        <f>IF($K509=AM$3,ROUND(IF(OR($C509="W",$C509="1/2W",$C509="1/2L"),$P509-$O509,IF($C509="X",0,-$O509)),2),0)</f>
        <v>0</v>
      </c>
      <c r="AN509" s="133">
        <f>IF($K509=AN$3,ROUND(IF(OR($C509="W",$C509="1/2W",$C509="1/2L"),$P509-$O509,IF($C509="X",0,-$O509)),2),0)</f>
        <v>0</v>
      </c>
      <c r="AO509" s="133">
        <f>IF($K509=AO$3,ROUND(IF(OR($C509="W",$C509="1/2W",$C509="1/2L"),$P509-$O509,IF($C509="X",0,-$O509)),2),0)</f>
        <v>0</v>
      </c>
      <c r="AP509" s="133">
        <f>IF($K509=AP$3,ROUND(IF(OR($C509="W",$C509="1/2W",$C509="1/2L"),$P509-$O509,IF($C509="X",0,-$O509)),2),0)</f>
        <v>0</v>
      </c>
      <c r="AQ509" s="133">
        <f>IF($K509=AQ$3,ROUND(IF(OR($C509="W",$C509="1/2W",$C509="1/2L"),$P509-$O509,IF($C509="X",0,-$O509)),2),0)</f>
        <v>0</v>
      </c>
      <c r="AR509" s="134">
        <f>IF($K509=AR$3,ROUND(IF(OR($C509="W",$C509="1/2W",$C509="1/2L"),$P509-$O509,IF($C509="X",0,-$O509)),2),0)</f>
        <v>0</v>
      </c>
      <c r="AS509" s="132">
        <f>IF(AND($B508=" ",$K509=AS$3),$O509,0)</f>
        <v>0</v>
      </c>
      <c r="AT509" s="133">
        <f>IF(AND($B508=" ",K509=AT$3),$O509,0)</f>
        <v>0</v>
      </c>
      <c r="AU509" s="133">
        <f>IF(AND($B508=" ",$K509=AU$3),$O509,0)</f>
        <v>0</v>
      </c>
      <c r="AV509" s="133">
        <f>IF(AND($B508=" ",$K509=AV$3),$O509,0)</f>
        <v>0</v>
      </c>
      <c r="AW509" s="133">
        <f>IF(AND($B508=" ",$K509=AW$3),$O509,0)</f>
        <v>0</v>
      </c>
      <c r="AX509" s="133">
        <f>IF(AND($B508=" ",$K509=AX$3),$O509,0)</f>
        <v>0</v>
      </c>
      <c r="AY509" s="135">
        <f>IF(AND($B508=" ",$K509=AY$3),$O509,0)</f>
        <v>0</v>
      </c>
      <c r="AZ509" s="136">
        <f>IF(AND($B508=" ",$K509=AZ$3),$O509,0)</f>
        <v>0</v>
      </c>
      <c r="BA509" s="136">
        <f>IF(AND($B508=" ",$K509=BA$3),$O509,0)</f>
        <v>0</v>
      </c>
      <c r="BB509" s="136">
        <f>IF(AND($B508=" ",$K509=BB$3),$O509,0)</f>
        <v>0</v>
      </c>
      <c r="BC509" s="137">
        <f>IF(AND($B508=" ",$K509=BC$3),$O509,0)</f>
        <v>0</v>
      </c>
      <c r="BD509" s="133">
        <f>IF(AND($B508=" ",$K509=BD$3),$O509,0)</f>
        <v>0</v>
      </c>
      <c r="BE509" s="134">
        <f>IF(AND($B508=" ",$K509=BE$3),$O509,0)</f>
        <v>0</v>
      </c>
      <c r="BF509" s="132">
        <f>IF($K509=BF$3,IF($C509="X",0,$O509),0)</f>
        <v>0</v>
      </c>
      <c r="BG509" s="281">
        <f>IF($K509=BG$3,IF($C509="X",0,$O509),0)</f>
        <v>6.41</v>
      </c>
      <c r="BH509" s="133">
        <f>IF($K509=BH$3,IF($C509="X",0,$O509),0)</f>
        <v>0</v>
      </c>
      <c r="BI509" s="133">
        <f>IF($K509=BI$3,IF($C509="X",0,$O509),0)</f>
        <v>0</v>
      </c>
      <c r="BJ509" s="133">
        <f>IF($K509=BJ$3,IF($C509="X",0,$O509),0)</f>
        <v>0</v>
      </c>
      <c r="BK509" s="133">
        <f>IF($K509=BK$3,IF($C509="X",0,$O509),0)</f>
        <v>0</v>
      </c>
      <c r="BL509" s="133">
        <f>IF($K509=BL$3,IF($C509="X",0,$O509),0)</f>
        <v>0</v>
      </c>
      <c r="BM509" s="135">
        <f>IF($K509=BM$3,IF($C509="X",0,$O509),0)</f>
        <v>0</v>
      </c>
      <c r="BN509" s="136">
        <f>IF($K509=BN$3,IF($C509="X",0,$O509),0)</f>
        <v>0</v>
      </c>
      <c r="BO509" s="136">
        <f>IF($K509=BO$3,IF($C509="X",0,$O509),0)</f>
        <v>0</v>
      </c>
      <c r="BP509" s="136">
        <f>IF($K509=BP$3,IF($C509="X",0,$O509),0)</f>
        <v>0</v>
      </c>
      <c r="BQ509" s="137">
        <f>IF($K509=BQ$3,IF($C509="X",0,$O509),0)</f>
        <v>0</v>
      </c>
      <c r="BR509" s="134">
        <f>IF($K509=BR$3,IF($C509="X",0,$O509),0)</f>
        <v>0</v>
      </c>
      <c r="BS509" s="282"/>
      <c r="BT509" s="283"/>
      <c r="BU509" s="140"/>
      <c r="BV509" s="283"/>
      <c r="BW509" s="140"/>
      <c r="BX509" s="140"/>
      <c r="BY509" s="140"/>
      <c r="BZ509" s="283"/>
      <c r="CA509" s="140"/>
      <c r="CB509" s="140"/>
      <c r="CC509" s="140"/>
      <c r="CD509" s="141"/>
      <c r="CE509" s="142"/>
      <c r="CF509" s="284">
        <f>IF(CF$3=$K509,IF($C509="W",1,IF($C509="1/2W",0.5,0)),0)</f>
        <v>0</v>
      </c>
      <c r="CG509" s="285">
        <f>IF(CF$3=$K509,IF($C509="L",1,IF($C509="1/2L",0.5,0)),0)</f>
        <v>0</v>
      </c>
      <c r="CH509" s="285">
        <f>IF(CH$3=$K509,IF($C509="W",1,IF($C509="1/2W",0.5,0)),0)</f>
        <v>0</v>
      </c>
      <c r="CI509" s="285">
        <f>IF(CH$3=$K509,IF($C509="L",1,IF($C509="1/2L",0.5,0)),0)</f>
        <v>1</v>
      </c>
      <c r="CJ509" s="285">
        <f>IF(CJ$3=$K509,IF($C509="W",1,IF($C509="1/2W",0.5,0)),0)</f>
        <v>0</v>
      </c>
      <c r="CK509" s="285">
        <f>IF(CJ$3=$K509,IF($C509="L",1,IF($C509="1/2L",0.5,0)),0)</f>
        <v>0</v>
      </c>
      <c r="CL509" s="285">
        <f>IF(CL$3=$K509,IF($C509="W",1,IF($C509="1/2W",0.5,0)),0)</f>
        <v>0</v>
      </c>
      <c r="CM509" s="285">
        <f>IF(CL$3=$K509,IF($C509="L",1,IF($C509="1/2L",0.5,0)),0)</f>
        <v>0</v>
      </c>
      <c r="CN509" s="285">
        <f>IF(CN$3=$K509,IF($C509="W",1,IF($C509="1/2W",0.5,0)),0)</f>
        <v>0</v>
      </c>
      <c r="CO509" s="285">
        <f>IF(CN$3=$K509,IF($C509="L",1,IF($C509="1/2L",0.5,0)),0)</f>
        <v>0</v>
      </c>
      <c r="CP509" s="285">
        <f>IF(CP$3=$K509,IF($C509="W",1,IF($C509="1/2W",0.5,0)),0)</f>
        <v>0</v>
      </c>
      <c r="CQ509" s="285">
        <f>IF(CP$3=$K509,IF($C509="L",1,IF($C509="1/2L",0.5,0)),0)</f>
        <v>0</v>
      </c>
      <c r="CR509" s="285">
        <f>IF(CR$3=$K509,IF($C509="W",1,IF($C509="1/2W",0.5,0)),0)</f>
        <v>0</v>
      </c>
      <c r="CS509" s="285">
        <f>IF(CR$3=$K509,IF($C509="L",1,IF($C509="1/2L",0.5,0)),0)</f>
        <v>0</v>
      </c>
      <c r="CT509" s="145">
        <f>IF(CT$3=$K509,IF($C509="W",1,IF($C509="1/2W",0.5,0)),0)</f>
        <v>0</v>
      </c>
      <c r="CU509" s="146">
        <f>IF(CT$3=$K509,IF($C509="L",1,IF($C509="1/2L",0.5,0)),0)</f>
        <v>0</v>
      </c>
      <c r="CV509" s="146">
        <f>IF(CV$3=$K509,IF($C509="W",1,IF($C509="1/2W",0.5,0)),0)</f>
        <v>0</v>
      </c>
      <c r="CW509" s="146">
        <f>IF(CV$3=$K509,IF($C509="L",1,IF($C509="1/2L",0.5,0)),0)</f>
        <v>0</v>
      </c>
      <c r="CX509" s="146">
        <f>IF(CX$3=$K509,IF($C509="W",1,IF($C509="1/2W",0.5,0)),0)</f>
        <v>0</v>
      </c>
      <c r="CY509" s="146">
        <f>IF(CX$3=$K509,IF($C509="L",1,IF($C509="1/2L",0.5,0)),0)</f>
        <v>0</v>
      </c>
      <c r="CZ509" s="146">
        <f>IF(CZ$3=$K509,IF($C509="W",1,IF($C509="1/2W",0.5,0)),0)</f>
        <v>0</v>
      </c>
      <c r="DA509" s="146">
        <f>IF(CZ$3=$K509,IF($C509="L",1,IF($C509="1/2L",0.5,0)),0)</f>
        <v>0</v>
      </c>
      <c r="DB509" s="146">
        <f>IF(DB$3=$K509,IF($C509="W",1,IF($C509="1/2W",0.5,0)),0)</f>
        <v>0</v>
      </c>
      <c r="DC509" s="146">
        <f>IF(DB$3=$K509,IF($C509="L",1,IF($C509="1/2L",0.5,0)),0)</f>
        <v>0</v>
      </c>
      <c r="DD509" s="146">
        <f>IF(DD$3=$K509,IF($C509="W",1,IF($C509="1/2W",0.5,0)),0)</f>
        <v>0</v>
      </c>
      <c r="DE509" s="147">
        <f>IF(DD$3=$K509,IF($C509="L",1,IF($C509="1/2L",0.5,0)),0)</f>
        <v>0</v>
      </c>
      <c r="DF509" s="143">
        <f>IF(AND(L509&lt;DF$3,$C509="W"),1+DF508,DF508)</f>
        <v>16</v>
      </c>
      <c r="DG509" s="133">
        <f>IF(DF509&gt;DF508,L509+DG508,DG508)</f>
        <v>21.158</v>
      </c>
      <c r="DH509" s="146">
        <f>IF(AND(L509&gt;DH$3,$C509="W"),1+DH508,0+DH508)</f>
        <v>11</v>
      </c>
      <c r="DI509" s="133">
        <f>IF(DH509&gt;DH508,L509+DI508,DI508)</f>
        <v>59.13</v>
      </c>
      <c r="DJ509" t="s" s="304">
        <f>IF($D508="","",$D508)</f>
        <v>358</v>
      </c>
      <c r="DK509" s="286"/>
    </row>
    <row r="510" ht="14.55" customHeight="1">
      <c r="A510" s="149"/>
      <c r="B510" s="150"/>
      <c r="C510" t="s" s="151">
        <v>51</v>
      </c>
      <c r="D510" s="152"/>
      <c r="E510" s="153"/>
      <c r="F510" s="155"/>
      <c r="G510" s="252"/>
      <c r="H510" s="156"/>
      <c r="I510" t="s" s="347">
        <v>65</v>
      </c>
      <c r="J510" s="348">
        <v>3.5</v>
      </c>
      <c r="K510" t="s" s="341">
        <v>38</v>
      </c>
      <c r="L510" s="342">
        <v>3.5</v>
      </c>
      <c r="M510" s="290">
        <v>5.1</v>
      </c>
      <c r="N510" s="161"/>
      <c r="O510" s="343">
        <f>IF(OR(AE508="",AE509=""),"",IF(L510&gt;0,ROUND(IF(M510&gt;0,M510,IF(M508&gt;0,ROUND((M508*AE510)/AE508,IF(N508=0,2,IF(N508=0.1,1,0))),IF(M509&gt;0,ROUND((M509*AE510)/AE509,IF(N508=0,2,IF(N508=0.1,1,0))),IF(M510&gt;0,M510,0)))),2),""))</f>
        <v>5.1</v>
      </c>
      <c r="P510" s="297">
        <f>IF(I509="Lay",O509*(L509/(L509-1))-O509,IF(I508="Lay",O508*(L508/(L508-1))-O508,IF(OR(L510="",O510=""),"",IF($C510="1/2W",O510/2+O510/2*L510,IF($C510="1/2L",O510/2,(O510*L510-O510)*(1-_xlfn.XLOOKUP(K510,'Janeiro 2023 - Valor Real'!A3:A15,'Janeiro 2023 - Valor Real'!C3:C15,0))+O510)))))</f>
        <v>17.85</v>
      </c>
      <c r="Q510" s="344">
        <f>IF(K510="","",IF(_xlfn.XLOOKUP(K510,K$121:K289,DJ$121:DJ289,0,,-1)=DJ510,_xlfn.XLOOKUP(K510,K$121:K289,Q$121:Q289,1,,-1)+1,1))</f>
        <v>1</v>
      </c>
      <c r="R510" s="345">
        <f>IF(K510="","",_xlfn.XLOOKUP(K510,K$121:K289,R$121:R289,0,,-1)+IF($C510=" ",1,0))</f>
        <v>0</v>
      </c>
      <c r="S510" s="166"/>
      <c r="T510" s="155"/>
      <c r="U510" s="155"/>
      <c r="V510" s="166"/>
      <c r="W510" s="155"/>
      <c r="X510" s="167"/>
      <c r="Y510" s="128"/>
      <c r="Z510" s="129"/>
      <c r="AA510" s="129"/>
      <c r="AB510" s="129"/>
      <c r="AC510" s="129"/>
      <c r="AD510" s="168"/>
      <c r="AE510" s="346">
        <f>IF(L510="","",(SUM(((L508-1)*(1-_xlfn.XLOOKUP(K508,'Janeiro 2023 - Valor Real'!A3:A15,'Janeiro 2023 - Valor Real'!C3:C15,0))+1),((L509-1)*(1-_xlfn.XLOOKUP(K509,'Janeiro 2023 - Valor Real'!A3:A15,'Janeiro 2023 - Valor Real'!C3:C15,0))+1),((L510-1)*(1-_xlfn.XLOOKUP(K510,'Janeiro 2023 - Valor Real'!A3:A15,'Janeiro 2023 - Valor Real'!C3:C15,0))+1))/((L510-1)*(1-_xlfn.XLOOKUP(K510,'Janeiro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Real'!C3:C15,0))+1))/((L508-1)*(1-_xlfn.XLOOKUP(K508,'Janeiro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Real'!C3:C15,0))+1))/((L509-1)*(1-_xlfn.XLOOKUP(K509,'Janeiro 2023 - Valor Real'!A3:A15,'Janeiro 2023 - Valor Real'!C3:C15,0))+1)+SUM(((L508-1)*(1-_xlfn.XLOOKUP(K508,'Janeiro 2023 - Valor Real'!A3:A15,'Janeiro 2023 - Valor Real'!C3:C15,0))+1),((L509-1)*(1-_xlfn.XLOOKUP(K509,'Janeiro 2023 - Valor Real'!A3:A15,'Janeiro 2023 - Valor Real'!C3:C15,0))+1),((L510-1)*(1-_xlfn.XLOOKUP(K510,'Janeiro 2023 - Valor Real'!A3:A15,'Janeiro 2023 - Valor Real'!C3:C15,0))+1))/((L510-1)*(1-_xlfn.XLOOKUP(K510,'Janeiro 2023 - Valor Real'!A3:A15,'Janeiro 2023 - Valor Real'!C3:C15,0))+1)))</f>
        <v>0.20602858918583</v>
      </c>
      <c r="AF510" s="132">
        <f>IF($K510=AF$3,ROUND(IF(OR($C510="W",$C510="1/2W",$C510="1/2L"),$P510-$O510,IF($C510="X",0,-$O510)),2),0)</f>
        <v>0</v>
      </c>
      <c r="AG510" s="133">
        <f>IF($K510=AG$3,ROUND(IF(OR($C510="W",$C510="1/2W",$C510="1/2L"),$P510-$O510,IF($C510="X",0,-$O510)),2),0)</f>
        <v>-5.1</v>
      </c>
      <c r="AH510" s="133">
        <f>IF($K510=AH$3,ROUND(IF(OR($C510="W",$C510="1/2W",$C510="1/2L"),$P510-$O510,IF($C510="X",0,-$O510)),2),0)</f>
        <v>0</v>
      </c>
      <c r="AI510" s="133">
        <f>IF($K510=AI$3,ROUND(IF(OR($C510="W",$C510="1/2W",$C510="1/2L"),$P510-$O510,IF($C510="X",0,-$O510)),2),0)</f>
        <v>0</v>
      </c>
      <c r="AJ510" s="133">
        <f>IF($K510=AJ$3,ROUND(IF(OR($C510="W",$C510="1/2W",$C510="1/2L"),$P510-$O510,IF($C510="X",0,-$O510)),2),0)</f>
        <v>0</v>
      </c>
      <c r="AK510" s="133">
        <f>IF($K510=AK$3,ROUND(IF(OR($C510="W",$C510="1/2W",$C510="1/2L"),$P510-$O510,IF($C510="X",0,-$O510)),2),0)</f>
        <v>0</v>
      </c>
      <c r="AL510" s="133">
        <f>IF($K510=AL$3,ROUND(IF(OR($C510="W",$C510="1/2W",$C510="1/2L"),$P510-$O510,IF($C510="X",0,-$O510)),2),0)</f>
        <v>0</v>
      </c>
      <c r="AM510" s="133">
        <f>IF($K510=AM$3,ROUND(IF(OR($C510="W",$C510="1/2W",$C510="1/2L"),$P510-$O510,IF($C510="X",0,-$O510)),2),0)</f>
        <v>0</v>
      </c>
      <c r="AN510" s="133">
        <f>IF($K510=AN$3,ROUND(IF(OR($C510="W",$C510="1/2W",$C510="1/2L"),$P510-$O510,IF($C510="X",0,-$O510)),2),0)</f>
        <v>0</v>
      </c>
      <c r="AO510" s="133">
        <f>IF($K510=AO$3,ROUND(IF(OR($C510="W",$C510="1/2W",$C510="1/2L"),$P510-$O510,IF($C510="X",0,-$O510)),2),0)</f>
        <v>0</v>
      </c>
      <c r="AP510" s="133">
        <f>IF($K510=AP$3,ROUND(IF(OR($C510="W",$C510="1/2W",$C510="1/2L"),$P510-$O510,IF($C510="X",0,-$O510)),2),0)</f>
        <v>0</v>
      </c>
      <c r="AQ510" s="133">
        <f>IF($K510=AQ$3,ROUND(IF(OR($C510="W",$C510="1/2W",$C510="1/2L"),$P510-$O510,IF($C510="X",0,-$O510)),2),0)</f>
        <v>0</v>
      </c>
      <c r="AR510" s="134">
        <f>IF($K510=AR$3,ROUND(IF(OR($C510="W",$C510="1/2W",$C510="1/2L"),$P510-$O510,IF($C510="X",0,-$O510)),2),0)</f>
        <v>0</v>
      </c>
      <c r="AS510" s="132">
        <f>IF(AND($B508=" ",$K510=AS$3),$O510,0)</f>
        <v>0</v>
      </c>
      <c r="AT510" s="133">
        <f>IF(AND($B508=" ",K510=AT$3),$O510,0)</f>
        <v>0</v>
      </c>
      <c r="AU510" s="133">
        <f>IF(AND($B508=" ",$K510=AU$3),$O510,0)</f>
        <v>0</v>
      </c>
      <c r="AV510" s="133">
        <f>IF(AND($B508=" ",$K510=AV$3),$O510,0)</f>
        <v>0</v>
      </c>
      <c r="AW510" s="133">
        <f>IF(AND($B508=" ",$K510=AW$3),$O510,0)</f>
        <v>0</v>
      </c>
      <c r="AX510" s="133">
        <f>IF(AND($B508=" ",$K510=AX$3),$O510,0)</f>
        <v>0</v>
      </c>
      <c r="AY510" s="135">
        <f>IF(AND($B508=" ",$K510=AY$3),$O510,0)</f>
        <v>0</v>
      </c>
      <c r="AZ510" s="136">
        <f>IF(AND($B508=" ",$K510=AZ$3),$O510,0)</f>
        <v>0</v>
      </c>
      <c r="BA510" s="136">
        <f>IF(AND($B508=" ",$K510=BA$3),$O510,0)</f>
        <v>0</v>
      </c>
      <c r="BB510" s="136">
        <f>IF(AND($B508=" ",$K510=BB$3),$O510,0)</f>
        <v>0</v>
      </c>
      <c r="BC510" s="137">
        <f>IF(AND($B508=" ",$K510=BC$3),$O510,0)</f>
        <v>0</v>
      </c>
      <c r="BD510" s="133">
        <f>IF(AND($B508=" ",$K510=BD$3),$O510,0)</f>
        <v>0</v>
      </c>
      <c r="BE510" s="134">
        <f>IF(AND($B508=" ",$K510=BE$3),$O510,0)</f>
        <v>0</v>
      </c>
      <c r="BF510" s="132">
        <f>IF($K510=BF$3,IF($C510="X",0,$O510),0)</f>
        <v>0</v>
      </c>
      <c r="BG510" s="281">
        <f>IF($K510=BG$3,IF($C510="X",0,$O510),0)</f>
        <v>5.1</v>
      </c>
      <c r="BH510" s="133">
        <f>IF($K510=BH$3,IF($C510="X",0,$O510),0)</f>
        <v>0</v>
      </c>
      <c r="BI510" s="133">
        <f>IF($K510=BI$3,IF($C510="X",0,$O510),0)</f>
        <v>0</v>
      </c>
      <c r="BJ510" s="133">
        <f>IF($K510=BJ$3,IF($C510="X",0,$O510),0)</f>
        <v>0</v>
      </c>
      <c r="BK510" s="133">
        <f>IF($K510=BK$3,IF($C510="X",0,$O510),0)</f>
        <v>0</v>
      </c>
      <c r="BL510" s="133">
        <f>IF($K510=BL$3,IF($C510="X",0,$O510),0)</f>
        <v>0</v>
      </c>
      <c r="BM510" s="135">
        <f>IF($K510=BM$3,IF($C510="X",0,$O510),0)</f>
        <v>0</v>
      </c>
      <c r="BN510" s="136">
        <f>IF($K510=BN$3,IF($C510="X",0,$O510),0)</f>
        <v>0</v>
      </c>
      <c r="BO510" s="136">
        <f>IF($K510=BO$3,IF($C510="X",0,$O510),0)</f>
        <v>0</v>
      </c>
      <c r="BP510" s="136">
        <f>IF($K510=BP$3,IF($C510="X",0,$O510),0)</f>
        <v>0</v>
      </c>
      <c r="BQ510" s="137">
        <f>IF($K510=BQ$3,IF($C510="X",0,$O510),0)</f>
        <v>0</v>
      </c>
      <c r="BR510" s="134">
        <f>IF($K510=BR$3,IF($C510="X",0,$O510),0)</f>
        <v>0</v>
      </c>
      <c r="BS510" s="282"/>
      <c r="BT510" s="283"/>
      <c r="BU510" s="140"/>
      <c r="BV510" s="283"/>
      <c r="BW510" s="140"/>
      <c r="BX510" s="140"/>
      <c r="BY510" s="140"/>
      <c r="BZ510" s="283"/>
      <c r="CA510" s="140"/>
      <c r="CB510" s="140"/>
      <c r="CC510" s="140"/>
      <c r="CD510" s="141"/>
      <c r="CE510" s="142"/>
      <c r="CF510" s="284">
        <f>IF(CF$3=$K510,IF($C510="W",1,IF($C510="1/2W",0.5,0)),0)</f>
        <v>0</v>
      </c>
      <c r="CG510" s="285">
        <f>IF(CF$3=$K510,IF($C510="L",1,IF($C510="1/2L",0.5,0)),0)</f>
        <v>0</v>
      </c>
      <c r="CH510" s="285">
        <f>IF(CH$3=$K510,IF($C510="W",1,IF($C510="1/2W",0.5,0)),0)</f>
        <v>0</v>
      </c>
      <c r="CI510" s="285">
        <f>IF(CH$3=$K510,IF($C510="L",1,IF($C510="1/2L",0.5,0)),0)</f>
        <v>1</v>
      </c>
      <c r="CJ510" s="285">
        <f>IF(CJ$3=$K510,IF($C510="W",1,IF($C510="1/2W",0.5,0)),0)</f>
        <v>0</v>
      </c>
      <c r="CK510" s="285">
        <f>IF(CJ$3=$K510,IF($C510="L",1,IF($C510="1/2L",0.5,0)),0)</f>
        <v>0</v>
      </c>
      <c r="CL510" s="285">
        <f>IF(CL$3=$K510,IF($C510="W",1,IF($C510="1/2W",0.5,0)),0)</f>
        <v>0</v>
      </c>
      <c r="CM510" s="285">
        <f>IF(CL$3=$K510,IF($C510="L",1,IF($C510="1/2L",0.5,0)),0)</f>
        <v>0</v>
      </c>
      <c r="CN510" s="285">
        <f>IF(CN$3=$K510,IF($C510="W",1,IF($C510="1/2W",0.5,0)),0)</f>
        <v>0</v>
      </c>
      <c r="CO510" s="285">
        <f>IF(CN$3=$K510,IF($C510="L",1,IF($C510="1/2L",0.5,0)),0)</f>
        <v>0</v>
      </c>
      <c r="CP510" s="285">
        <f>IF(CP$3=$K510,IF($C510="W",1,IF($C510="1/2W",0.5,0)),0)</f>
        <v>0</v>
      </c>
      <c r="CQ510" s="285">
        <f>IF(CP$3=$K510,IF($C510="L",1,IF($C510="1/2L",0.5,0)),0)</f>
        <v>0</v>
      </c>
      <c r="CR510" s="285">
        <f>IF(CR$3=$K510,IF($C510="W",1,IF($C510="1/2W",0.5,0)),0)</f>
        <v>0</v>
      </c>
      <c r="CS510" s="285">
        <f>IF(CR$3=$K510,IF($C510="L",1,IF($C510="1/2L",0.5,0)),0)</f>
        <v>0</v>
      </c>
      <c r="CT510" s="145">
        <f>IF(CT$3=$K510,IF($C510="W",1,IF($C510="1/2W",0.5,0)),0)</f>
        <v>0</v>
      </c>
      <c r="CU510" s="146">
        <f>IF(CT$3=$K510,IF($C510="L",1,IF($C510="1/2L",0.5,0)),0)</f>
        <v>0</v>
      </c>
      <c r="CV510" s="146">
        <f>IF(CV$3=$K510,IF($C510="W",1,IF($C510="1/2W",0.5,0)),0)</f>
        <v>0</v>
      </c>
      <c r="CW510" s="146">
        <f>IF(CV$3=$K510,IF($C510="L",1,IF($C510="1/2L",0.5,0)),0)</f>
        <v>0</v>
      </c>
      <c r="CX510" s="146">
        <f>IF(CX$3=$K510,IF($C510="W",1,IF($C510="1/2W",0.5,0)),0)</f>
        <v>0</v>
      </c>
      <c r="CY510" s="146">
        <f>IF(CX$3=$K510,IF($C510="L",1,IF($C510="1/2L",0.5,0)),0)</f>
        <v>0</v>
      </c>
      <c r="CZ510" s="146">
        <f>IF(CZ$3=$K510,IF($C510="W",1,IF($C510="1/2W",0.5,0)),0)</f>
        <v>0</v>
      </c>
      <c r="DA510" s="146">
        <f>IF(CZ$3=$K510,IF($C510="L",1,IF($C510="1/2L",0.5,0)),0)</f>
        <v>0</v>
      </c>
      <c r="DB510" s="146">
        <f>IF(DB$3=$K510,IF($C510="W",1,IF($C510="1/2W",0.5,0)),0)</f>
        <v>0</v>
      </c>
      <c r="DC510" s="146">
        <f>IF(DB$3=$K510,IF($C510="L",1,IF($C510="1/2L",0.5,0)),0)</f>
        <v>0</v>
      </c>
      <c r="DD510" s="146">
        <f>IF(DD$3=$K510,IF($C510="W",1,IF($C510="1/2W",0.5,0)),0)</f>
        <v>0</v>
      </c>
      <c r="DE510" s="147">
        <f>IF(DD$3=$K510,IF($C510="L",1,IF($C510="1/2L",0.5,0)),0)</f>
        <v>0</v>
      </c>
      <c r="DF510" s="143">
        <f>IF(AND(L510&lt;DF$3,$C510="W"),1+DF509,DF509)</f>
        <v>16</v>
      </c>
      <c r="DG510" s="133">
        <f>IF(DF510&gt;DF509,L510+DG509,DG509)</f>
        <v>21.158</v>
      </c>
      <c r="DH510" s="146">
        <f>IF(AND(L510&gt;DH$3,$C510="W"),1+DH509,0+DH509)</f>
        <v>11</v>
      </c>
      <c r="DI510" s="133">
        <f>IF(DH510&gt;DH509,L510+DI509,DI509)</f>
        <v>59.13</v>
      </c>
      <c r="DJ510" t="s" s="304">
        <f>IF($D508="","",$D508)</f>
        <v>358</v>
      </c>
      <c r="DK510" s="286"/>
    </row>
    <row r="511" ht="14.55" customHeight="1">
      <c r="A511" s="171">
        <f>$A508+1</f>
        <v>170</v>
      </c>
      <c r="B511" t="s" s="172">
        <f>IF(AND(_xlfn.XLOOKUP(H511,H$122:H284,G$122:G284,0)=G511,_xlfn.XLOOKUP("TempoBet",K511:K513,L511:L513,0)&gt;0),"X",IF(OR(C511="W",C512="W",C513="W",C511="1/2W",C512="1/2W",C513="1/2W",C511="1/2L",C512="1/2L",C513="1/2L"),"OK",IF(OR(C511="L",C512="L",C513="L"),"LOSS",IF(OR(C511="X",C512="X",C513="X"),"Anulado"," "))))</f>
        <v>50</v>
      </c>
      <c r="C511" t="s" s="173">
        <v>51</v>
      </c>
      <c r="D511" t="s" s="305">
        <f>IF(G511="","",$D508)</f>
        <v>358</v>
      </c>
      <c r="E511" t="s" s="175">
        <f>IF(G511=""," ","– "&amp;COUNTIF(D$4:D513,$D511))</f>
        <v>155</v>
      </c>
      <c r="F511" t="s" s="176"/>
      <c r="G511" s="177">
        <v>44953.541666666664</v>
      </c>
      <c r="H511" t="s" s="178">
        <v>393</v>
      </c>
      <c r="I511" t="s" s="179">
        <v>394</v>
      </c>
      <c r="J511" s="180"/>
      <c r="K511" t="s" s="181">
        <v>37</v>
      </c>
      <c r="L511" s="182">
        <v>1.9</v>
      </c>
      <c r="M511" s="183"/>
      <c r="N511" s="184">
        <v>0.1</v>
      </c>
      <c r="O511" s="185">
        <f>IF(OR(AE511="",AE512=""),"",ROUND(IF(L513&gt;0,IF(M511&gt;0,M511,IF(M512&gt;0,ROUND((M512*AE511)/AE512,IF(N511=0,2,IF(N511=0.1,1,0))),ROUND((M513*AE511)/AE513,IF(N511=0,2,IF(N511=0.1,1,0))))),IF(M511&gt;0,M511,ROUND((M512*AE511)/AE512,IF(N511=0,2,IF(N511=0.1,1,0))))),2))</f>
        <v>10</v>
      </c>
      <c r="P511" s="186">
        <f>IF(OR(L511="",O511=""),"",IF($C511="1/2W",O511/2+O511/2*L511,IF($C511="1/2L",O511/2,IF(I511="Lay",(O511*(L511/(L511-1))-O511)*(1-_xlfn.XLOOKUP(K511,'Janeiro 2023 - Valor Real'!A3:A15,'Janeiro 2023 - Valor Real'!C3:C15,0))+O511,(O511*L511-O511)*(1-_xlfn.XLOOKUP(K511,'Janeiro 2023 - Valor Real'!A3:A15,'Janeiro 2023 - Valor Real'!C3:C15,0))+O511))))</f>
        <v>19</v>
      </c>
      <c r="Q511" s="187">
        <f>IF(K511="","",IF(_xlfn.XLOOKUP(K511,K$122:K284,DJ$122:DJ284,0,,-1)=DJ511,_xlfn.XLOOKUP(K511,K$122:K284,Q$122:Q284,1,,-1)+1,1))</f>
        <v>1</v>
      </c>
      <c r="R511" s="188">
        <f>IF(K511="","",_xlfn.XLOOKUP(K511,K$122:K284,R$122:R284,0,,-1)+IF($C511=" ",1,0))</f>
        <v>0</v>
      </c>
      <c r="S511" s="189">
        <f>IF($B511="Anulado",0,ROUND(IF(OR($B511="LOSS",$B511="OK"),IF(OR($C511="W",$C511="1/2W",$C511="1/2L"),P511-O511,IF($C511="L",-O511,0))+IF(OR($C512="W",$C512="1/2W",$C512="1/2L"),P512-O512,IF($C512="L",-O512,0))+IF(OR($C513="W",$C513="1/2W",$C513="1/2L"),P513-O513,IF($C513="L",-O513,0)),IF(AND(OR($C511="W",$C511="1/2W",$C511="1/2L"),C512="W"),P511+P512-SUM(O511:O513)+_xlfn.XLOOKUP("X",C511:C513,O511:O513,0),IF(AND(C511=TRUE,C513="W"),P511+P513-SUM(O511:O513),IF(AND(C512="W",C513="W"),P512+P513-SUM(O511:O513)+_xlfn.XLOOKUP("X",C511:C513,O511:O513,0),IF(L513&gt;0,IF(OR($C511="W",$C511="1/2W",$C511="1/2L"),P511-SUM(O511:O513)+_xlfn.XLOOKUP("X",C511:C513,O511:O513,0),IF(OR($C511="W",$C511="1/2W",$C511="1/2L"),P512-SUM(O511:O513)+_xlfn.XLOOKUP("X",C511:C513,O511:O513,0),IF(OR($C511="W",$C511="1/2W",$C511="1/2L"),P513-SUM(O511:O513)+_xlfn.XLOOKUP("X",C511:C513,O511:O513,0),IF(SUM(P511:P513)/3-SUM(O511:O513)+_xlfn.XLOOKUP("X",C511:C513,O511:O513,0)&gt;0,SUM(P511:P513)/3-SUM(O511:O513)+_xlfn.XLOOKUP("X",C511:C513,O511:O513,0),LARGE(P511:P513,1)-SUM(O511:O513))))),IF(OR($C511="W",$C511="1/2W",$C511="1/2L"),P511-SUM(O511:O512)+_xlfn.XLOOKUP("X",C511:C513,O511:O513,0),IF(OR($C511="W",$C511="1/2W",$C511="1/2L"),P512-SUM(O511:O512)+_xlfn.XLOOKUP("X",C511:C513,O511:O513,0),SUM(P511:P512)/2-SUM(O511:O512)+_xlfn.XLOOKUP("X",C511:C513,O511:O513,0)))))))),2))</f>
        <v>1.25</v>
      </c>
      <c r="T511" s="190">
        <f>IF(S511=0,0,S511/SUM(O511:O513))</f>
        <v>0.0703828828828829</v>
      </c>
      <c r="U511" s="191">
        <f>IF($D511=$D508,IF(OR($B511="LOSS",$B511="OK",$B511="Anulada"),S511,0)+U508,IF(OR($B511="LOSS",$B511="OK",$B511="Anulada"),S511,0))</f>
        <v>31.39</v>
      </c>
      <c r="V511" s="191">
        <f>IF($D511="",0,IF($D511=$D508,IF($B511=" ",IF(I513="",IF(OR(AND(I511="DNB1",I512="DNB2"),AND(OR(I511="DNB1",I511="DNB2"),J512=0),AND(OR(I512="DNB1",I512="DNB2"),J511=0),AND(I511="DNB2",I512="DNB1"),AND(IF(J511=0,(J511+1)/ROUND(J511+1,0),J511/ROUND(J511,0))=1,IF(J512=0,(J512+1)/ROUND(IF(J512="",0,J512)+1,0),IF(J512="",0,J512)/ROUND(IF(J512="",1,J512),0))=1,OR(J511&lt;&gt;""),J512&lt;&gt;"")),0,IF(S511&lt;0,IF(I513="",SMALL(P511:P512,1)-SUM(O511:O512),0),SMALL(P511:P512,1)-SUM(O511:O512))),IF(S511&lt;0,IF(I513="",SMALL(P511:P513,1)-SUM(O511:O513),0),LARGE(P511:P513,1)-SUM(O511:O513))),S511)+V508,IF(I513="",IF(OR(AND(I511="DNB1",I512="DNB2"),AND(OR(I511="DNB1",I511="DNB2"),J512=0),AND(OR(I512="DNB1",I512="DNB2"),J511=0),AND(I511="DNB2",I512="DNB1"),AND(IF(J511=0,(J511+1)/ROUND(J511+1,0),J511/ROUND(J511,0))=1,IF(J512=0,(IF(J512="",0,J512)+1)/ROUND(IF(J512="",0,J512)+1,0),IF(J512="",0,J512)/ROUND(IF(J512="",0,J512)+1,0))=1,OR(J511&lt;&gt;""),J512&lt;&gt;"")),0,IF(S511&lt;0,IF(I513="",SMALL(P511:P512,1)-SUM(O511:O512),0),SMALL(P511:P513,1)-SUM(O511:O513))),IF(S511&lt;0,IF(I513="",SMALL(P511:P513,1)-SUM(O511:O513),0),LARGE(P511:P513,1)-SUM(O511:O513)))))</f>
        <v>31.39</v>
      </c>
      <c r="W511" s="191">
        <f>IF($D511=$D508,IF(S511&lt;0,IF(I513="",S511,0),S511)+W508,S511)</f>
        <v>31.39</v>
      </c>
      <c r="X511" t="s" s="192">
        <f>IF(OR(SUM(R511:R513)=0,V511=W511),ROUND(IF(W511=0,0,W511/Y511)*100,2)&amp;"%",ROUND(IF(V511=0,0,V511/Y511)*100,2)&amp;"% a "&amp;ROUND(IF(W511=0,0,W511/Y511)*100,2)&amp;"%")</f>
        <v>186</v>
      </c>
      <c r="Y511" s="193">
        <f>IF($D511=$D508,Y508+SUM(O511:O513),SUM(O511:O513))</f>
        <v>565.05</v>
      </c>
      <c r="Z511" s="191">
        <f>IF($B511=" ",SUM(O511:O513),0)+Z508</f>
        <v>0</v>
      </c>
      <c r="AA511" s="191">
        <f>IF(G511="","",IF($B511="Anulado",LARGE(P511:P513,1)-SUM(O511:O513)+AA508,AA508))</f>
        <v>24.9665076923077</v>
      </c>
      <c r="AB511" s="191">
        <f>IF($D511="","",AB508+S511)</f>
        <v>339.24</v>
      </c>
      <c r="AC511" s="194">
        <f>IF($D511="","",IF($B511=" ",IF(DAY(G511)=DAY(TODAY()),1+AC508,0+AC508),0+AC508))</f>
        <v>0</v>
      </c>
      <c r="AD511" s="195">
        <f>(((L512/(L512-1)-1)*(1-_xlfn.XLOOKUP(K512,'Janeiro 2023 - Valor Real'!A3:A15,'Janeiro 2023 - Valor Real'!C3:C15,0))+1))/(((L511-1)*(1-_xlfn.XLOOKUP(K511,'Janeiro 2023 - Valor Real'!A3:A15,'Janeiro 2023 - Valor Real'!C3:C15,0))+1)+((L512/(L512-1)-1)*(1-_xlfn.XLOOKUP(K512,'Janeiro 2023 - Valor Real'!A3:A15,'Janeiro 2023 - Valor Real'!C3:C15,0))+1))</f>
        <v>0.470701248799232</v>
      </c>
      <c r="AE511" s="196">
        <f>IF(L511="","",IF(L513&gt;0,(SUM(((L511-1)*(1-_xlfn.XLOOKUP(K511,'Janeiro 2023 - Valor Real'!A3:A15,'Janeiro 2023 - Valor Real'!C3:C15,0))+1),((L512-1)*(1-_xlfn.XLOOKUP(K512,'Janeiro 2023 - Valor Real'!A3:A15,'Janeiro 2023 - Valor Real'!C3:C15,0))+1),((L513-1)*(1-_xlfn.XLOOKUP(K513,'Janeiro 2023 - Valor Real'!A3:A15,'Janeiro 2023 - Valor Real'!C3:C15,0))+1))/((L511-1)*(1-_xlfn.XLOOKUP(K511,'Janeiro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Real'!C3:C15,0))+1))/((L511-1)*(1-_xlfn.XLOOKUP(K511,'Janeiro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Real'!C3:C15,0))+1))/((L512-1)*(1-_xlfn.XLOOKUP(K512,'Janeiro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Real'!C3:C15,0))+1))/((L513-1)*(1-_xlfn.XLOOKUP(K513,'Janeiro 2023 - Valor Real'!A3:A15,'Janeiro 2023 - Valor Real'!C3:C15,0))+1)),IF(I511="Lay",IF(I512="Lay",((L512/(L512-1)-1)*(1-_xlfn.XLOOKUP(K512,'Janeiro 2023 - Valor Real'!A3:A15,'Janeiro 2023 - Valor Real'!C3:C15,0))+1)/(((L512/(L512-1)-1)*(1-_xlfn.XLOOKUP(K512,'Janeiro 2023 - Valor Real'!A3:A15,'Janeiro 2023 - Valor Real'!C3:C15,0))+1)+((L511/(L511-1)-1)*(1-_xlfn.XLOOKUP(K511,'Janeiro 2023 - Valor Real'!A3:A15,'Janeiro 2023 - Valor Real'!C3:C15,0))+1)),((L512-1)*(1-_xlfn.XLOOKUP(K512,'Janeiro 2023 - Valor Real'!A3:A15,'Janeiro 2023 - Valor Real'!C3:C15,0))+1)/(((L512-1)*(1-_xlfn.XLOOKUP(K512,'Janeiro 2023 - Valor Real'!A3:A15,'Janeiro 2023 - Valor Real'!C3:C15,0))+1)+((L511/(L511-1)-1)*(1-_xlfn.XLOOKUP(K511,'Janeiro 2023 - Valor Real'!A3:A15,'Janeiro 2023 - Valor Real'!C3:C15,0))+1))),IF(I512="Lay",(((L512/(L512-1)-1)*(1-_xlfn.XLOOKUP(K512,'Janeiro 2023 - Valor Real'!A3:A15,'Janeiro 2023 - Valor Real'!C3:C15,0))+1))/(((L511-1)*(1-_xlfn.XLOOKUP(K511,'Janeiro 2023 - Valor Real'!A3:A15,'Janeiro 2023 - Valor Real'!C3:C15,0))+1)+((L512/(L512-1)-1)*(1-_xlfn.XLOOKUP(K512,'Janeiro 2023 - Valor Real'!A3:A15,'Janeiro 2023 - Valor Real'!C3:C15,0))+1)),((L512-1)*(1-_xlfn.XLOOKUP(K512,'Janeiro 2023 - Valor Real'!A3:A15,'Janeiro 2023 - Valor Real'!C3:C15,0))+1)/(((L512-1)*(1-_xlfn.XLOOKUP(K512,'Janeiro 2023 - Valor Real'!A3:A15,'Janeiro 2023 - Valor Real'!C3:C15,0))+1)+((L511-1)*(1-_xlfn.XLOOKUP(K511,'Janeiro 2023 - Valor Real'!A3:A15,'Janeiro 2023 - Valor Real'!C3:C15,0))+1))))))</f>
        <v>0.563218390804598</v>
      </c>
      <c r="AF511" s="197">
        <f>IF($K511=AF$3,ROUND(IF(OR($C511="W",$C511="1/2W",$C511="1/2L"),$P511-$O511,IF($C511="X",0,-$O511)),2),0)</f>
        <v>-10</v>
      </c>
      <c r="AG511" s="198">
        <f>IF($K511=AG$3,ROUND(IF(OR($C511="W",$C511="1/2W",$C511="1/2L"),$P511-$O511,IF($C511="X",0,-$O511)),2),0)</f>
        <v>0</v>
      </c>
      <c r="AH511" s="198">
        <f>IF($K511=AH$3,ROUND(IF(OR($C511="W",$C511="1/2W",$C511="1/2L"),$P511-$O511,IF($C511="X",0,-$O511)),2),0)</f>
        <v>0</v>
      </c>
      <c r="AI511" s="198">
        <f>IF($K511=AI$3,ROUND(IF(OR($C511="W",$C511="1/2W",$C511="1/2L"),$P511-$O511,IF($C511="X",0,-$O511)),2),0)</f>
        <v>0</v>
      </c>
      <c r="AJ511" s="198">
        <f>IF($K511=AJ$3,ROUND(IF(OR($C511="W",$C511="1/2W",$C511="1/2L"),$P511-$O511,IF($C511="X",0,-$O511)),2),0)</f>
        <v>0</v>
      </c>
      <c r="AK511" s="198">
        <f>IF($K511=AK$3,ROUND(IF(OR($C511="W",$C511="1/2W",$C511="1/2L"),$P511-$O511,IF($C511="X",0,-$O511)),2),0)</f>
        <v>0</v>
      </c>
      <c r="AL511" s="198">
        <f>IF($K511=AL$3,ROUND(IF(OR($C511="W",$C511="1/2W",$C511="1/2L"),$P511-$O511,IF($C511="X",0,-$O511)),2),0)</f>
        <v>0</v>
      </c>
      <c r="AM511" s="198">
        <f>IF($K511=AM$3,ROUND(IF(OR($C511="W",$C511="1/2W",$C511="1/2L"),$P511-$O511,IF($C511="X",0,-$O511)),2),0)</f>
        <v>0</v>
      </c>
      <c r="AN511" s="198">
        <f>IF($K511=AN$3,ROUND(IF(OR($C511="W",$C511="1/2W",$C511="1/2L"),$P511-$O511,IF($C511="X",0,-$O511)),2),0)</f>
        <v>0</v>
      </c>
      <c r="AO511" s="198">
        <f>IF($K511=AO$3,ROUND(IF(OR($C511="W",$C511="1/2W",$C511="1/2L"),$P511-$O511,IF($C511="X",0,-$O511)),2),0)</f>
        <v>0</v>
      </c>
      <c r="AP511" s="198">
        <f>IF($K511=AP$3,ROUND(IF(OR($C511="W",$C511="1/2W",$C511="1/2L"),$P511-$O511,IF($C511="X",0,-$O511)),2),0)</f>
        <v>0</v>
      </c>
      <c r="AQ511" s="198">
        <f>IF($K511=AQ$3,ROUND(IF(OR($C511="W",$C511="1/2W",$C511="1/2L"),$P511-$O511,IF($C511="X",0,-$O511)),2),0)</f>
        <v>0</v>
      </c>
      <c r="AR511" s="199">
        <f>IF($K511=AR$3,ROUND(IF(OR($C511="W",$C511="1/2W",$C511="1/2L"),$P511-$O511,IF($C511="X",0,-$O511)),2),0)</f>
        <v>0</v>
      </c>
      <c r="AS511" s="197">
        <f>IF(AND($B511=" ",$K511=AS$3),$O511,0)</f>
        <v>0</v>
      </c>
      <c r="AT511" s="198">
        <f>IF(AND($B511=" ",$K511=AT$3),$O511,0)</f>
        <v>0</v>
      </c>
      <c r="AU511" s="198">
        <f>IF(AND($B511=" ",$K511=AU$3),$O511,0)</f>
        <v>0</v>
      </c>
      <c r="AV511" s="198">
        <f>IF(AND($B511=" ",$K511=AV$3),$O511,0)</f>
        <v>0</v>
      </c>
      <c r="AW511" s="198">
        <f>IF(AND($B511=" ",$K511=AW$3),$O511,0)</f>
        <v>0</v>
      </c>
      <c r="AX511" s="198">
        <f>IF(AND($B511=" ",$K511=AX$3),$O511,0)</f>
        <v>0</v>
      </c>
      <c r="AY511" s="200">
        <f>IF(AND($B511=" ",$K511=AY$3),$O511,0)</f>
        <v>0</v>
      </c>
      <c r="AZ511" s="201">
        <f>IF(AND($B511=" ",$K511=AZ$3),$O511,0)</f>
        <v>0</v>
      </c>
      <c r="BA511" s="201">
        <f>IF(AND($B511=" ",$K511=BA$3),$O511,0)</f>
        <v>0</v>
      </c>
      <c r="BB511" s="201">
        <f>IF(AND($B511=" ",$K511=BB$3),$O511,0)</f>
        <v>0</v>
      </c>
      <c r="BC511" s="202">
        <f>IF(AND($B511=" ",$K511=BC$3),$O511,0)</f>
        <v>0</v>
      </c>
      <c r="BD511" s="198">
        <f>IF(AND($B511=" ",$K511=BD$3),$O511,0)</f>
        <v>0</v>
      </c>
      <c r="BE511" s="199">
        <f>IF(AND($B511=" ",$K511=BE$3),$O511,0)</f>
        <v>0</v>
      </c>
      <c r="BF511" s="203">
        <f>IF($K511=BF$3,IF($C511="X",0,$O511),0)</f>
        <v>10</v>
      </c>
      <c r="BG511" s="198">
        <f>IF($K511=BG$3,IF($C511="X",0,$O511),0)</f>
        <v>0</v>
      </c>
      <c r="BH511" s="198">
        <f>IF($K511=BH$3,IF($C511="X",0,$O511),0)</f>
        <v>0</v>
      </c>
      <c r="BI511" s="198">
        <f>IF($K511=BI$3,IF($C511="X",0,$O511),0)</f>
        <v>0</v>
      </c>
      <c r="BJ511" s="198">
        <f>IF($K511=BJ$3,IF($C511="X",0,$O511),0)</f>
        <v>0</v>
      </c>
      <c r="BK511" s="198">
        <f>IF($K511=BK$3,IF($C511="X",0,$O511),0)</f>
        <v>0</v>
      </c>
      <c r="BL511" s="198">
        <f>IF($K511=BL$3,IF($C511="X",0,$O511),0)</f>
        <v>0</v>
      </c>
      <c r="BM511" s="200">
        <f>IF($K511=BM$3,IF($C511="X",0,$O511),0)</f>
        <v>0</v>
      </c>
      <c r="BN511" s="201">
        <f>IF($K511=BN$3,IF($C511="X",0,$O511),0)</f>
        <v>0</v>
      </c>
      <c r="BO511" s="201">
        <f>IF($K511=BO$3,IF($C511="X",0,$O511),0)</f>
        <v>0</v>
      </c>
      <c r="BP511" s="201">
        <f>IF($K511=BP$3,IF($C511="X",0,$O511),0)</f>
        <v>0</v>
      </c>
      <c r="BQ511" s="202">
        <f>IF($K511=BQ$3,IF($C511="X",0,$O511),0)</f>
        <v>0</v>
      </c>
      <c r="BR511" s="199">
        <f>IF($K511=BR$3,IF($C511="X",0,$O511),0)</f>
        <v>0</v>
      </c>
      <c r="BS511" s="204">
        <f>IF($B511="LOSS",IF(AND($K511=BS$3,$C511="L"),-$O511,0)+IF(AND($K512=BS$3,$C512="L"),-$O512,0)+IF(AND($K513=BS$3,$C513="L"),-$O513,0),IF(OR(AND($K511=BS$3,OR($C511="W",$C511="1/2W")),AND($K512=BS$3,OR($C512="W",$C512="1/2W")),AND($K513=BS$3,OR($C513="W",$C513="1/2W"))),$S511,0))</f>
        <v>0</v>
      </c>
      <c r="BT511" s="201">
        <f>IF($B511="LOSS",IF(AND($K511=BT$3,$C511="L"),-$O511,0)+IF(AND($K512=BT$3,$C512="L"),-$O512,0)+IF(AND($K512=BT$3,$C513="L"),-$O513,0),IF(OR(AND($K512=BT$3,OR($C511="W",$C511="1/2W")),AND($K512=BT$3,OR($C512="W",$C512="1/2W")),AND($K512=BT$3,OR($C513="W",$C513="1/2W"))),$S511,0))</f>
        <v>0</v>
      </c>
      <c r="BU511" s="201">
        <f>IF($B511="LOSS",IF(AND($K511=BU$3,$C511="L"),-$O511,0)+IF(AND($K512=BU$3,$C512="L"),-$O512,0)+IF(AND($K512=BU$3,$C513="L"),-$O513,0),IF(OR(AND($K512=BU$3,OR($C511="W",$C511="1/2W")),AND($K512=BU$3,OR($C512="W",$C512="1/2W")),AND($K512=BU$3,OR($C513="W",$C513="1/2W"))),$S511,0))</f>
        <v>0</v>
      </c>
      <c r="BV511" s="201">
        <f>IF($B511="LOSS",IF(AND($K511=BV$3,$C511="L"),-$O511,0)+IF(AND($K512=BV$3,$C512="L"),-$O512,0)+IF(AND($K513=BV$3,$C513="L"),-$O513,0),IF(OR(AND($K511=BV$3,OR($C511="W",$C511="1/2W")),AND($K512=BV$3,OR($C512="W",$C512="1/2W")),AND($K513=BV$3,OR($C513="W",$C513="1/2W"))),$S511,0))</f>
        <v>0</v>
      </c>
      <c r="BW511" s="201">
        <f>IF($B511="LOSS",IF(AND($K511=BW$3,$C511="L"),-$O511,0)+IF(AND($K512=BW$3,$C512="L"),-$O512,0)+IF(AND($K513=BW$3,$C513="L"),-$O513,0),IF(OR(AND($K511=BW$3,OR($C511="W",$C511="1/2W")),AND($K512=BW$3,OR($C512="W",$C512="1/2W")),AND($K513=BW$3,OR($C513="W",$C513="1/2W"))),$S511,0))</f>
        <v>1.25</v>
      </c>
      <c r="BX511" s="201">
        <f>IF($B511="LOSS",IF(AND($K511=BX$3,$C511="L"),-$O511,0)+IF(AND($K512=BX$3,$C512="L"),-$O512,0)+IF(AND($K513=BX$3,$C513="L"),-$O513,0),IF(OR(AND($K511=BX$3,OR($C511="W",$C511="1/2W")),AND($K512=BX$3,OR($C512="W",$C512="1/2W")),AND($K513=BX$3,OR($C513="W",$C513="1/2W"))),$S511,0))</f>
        <v>0</v>
      </c>
      <c r="BY511" s="201">
        <f>IF($B511="LOSS",IF(AND($K511=BY$3,$C511="L"),-$O511,0)+IF(AND($K512=BY$3,$C512="L"),-$O512,0)+IF(AND($K513=BY$3,$C513="L"),-$O513,0),IF(OR(AND($K511=BY$3,OR($C511="W",$C511="1/2W")),AND($K512=BY$3,OR($C512="W",$C512="1/2W")),AND($K513=BY$3,OR($C513="W",$C513="1/2W"))),$S511,0))</f>
        <v>0</v>
      </c>
      <c r="BZ511" s="205">
        <f>IF($B511="LOSS",IF(AND($K511=BZ$3,$C511="L"),-$O511,0)+IF(AND($K512=BZ$3,$C512="L"),-$O512,0)+IF(AND($K513=BZ$3,$C513="L"),-$O513,0),IF(OR(AND($K511=BZ$3,OR($C511="W",$C511="1/2W")),AND($K512=BZ$3,OR($C512="W",$C512="1/2W")),AND($K513=BZ$3,OR($C513="W",$C513="1/2W"))),$S511,0))</f>
        <v>0</v>
      </c>
      <c r="CA511" s="205">
        <f>IF($B511="LOSS",IF(AND($K511=CA$3,$C511="L"),-$O511,0)+IF(AND($K512=CA$3,$C512="L"),-$O512,0)+IF(AND($K513=CA$3,$C513="L"),-$O513,0),IF(OR(AND($K511=CA$3,OR($C511="W",$C511="1/2W")),AND($K512=CA$3,OR($C512="W",$C512="1/2W")),AND($K513=CA$3,OR($C513="W",$C513="1/2W"))),$S511,0))</f>
        <v>0</v>
      </c>
      <c r="CB511" s="205">
        <f>IF($B511="LOSS",IF(AND($K511=CB$3,$C511="L"),-$O511,0)+IF(AND($K512=CB$3,$C512="L"),-$O512,0)+IF(AND($K513=CB$3,$C513="L"),-$O513,0),IF(OR(AND($K511=CB$3,OR($C511="W",$C511="1/2W")),AND($K512=CB$3,OR($C512="W",$C512="1/2W")),AND($K513=CB$3,OR($C513="W",$C513="1/2W"))),$S511,0))</f>
        <v>0</v>
      </c>
      <c r="CC511" s="205">
        <f>IF($B511="LOSS",IF(AND($K511=CC$3,$C511="L"),-$O511,0)+IF(AND($K512=CC$3,$C512="L"),-$O512,0)+IF(AND($K513=CC$3,$C513="L"),-$O513,0),IF(OR(AND($K511=CC$3,OR($C511="W",$C511="1/2W")),AND($K512=CC$3,OR($C512="W",$C512="1/2W")),AND($K513=CC$3,OR($C513="W",$C513="1/2W"))),$S511,0))</f>
        <v>0</v>
      </c>
      <c r="CD511" s="202">
        <f>IF($B511="LOSS",IF(AND($K511=CD$3,$C511="L"),-$O511,0)+IF(AND($K512=CD$3,$C512="L"),-$O512,0)+IF(AND($K513=CD$3,$C513="L"),-$O513,0),IF(OR(AND($K511=CD$3,OR($C511="W",$C511="1/2W")),AND($K512=CD$3,OR($C512="W",$C512="1/2W")),AND($K513=CD$3,OR($C513="W",$C513="1/2W"))),$S511,0))</f>
        <v>0</v>
      </c>
      <c r="CE511" s="199">
        <f>IF($B511="LOSS",IF(AND($K511=CE$3,$C511="L"),-$O511,0)+IF(AND($K512=CE$3,$C512="L"),-$O512,0)+IF(AND($K513=CE$3,$C513="L"),-$O513,0),IF(OR(AND($K511=CE$3,OR($C511="W",$C511="1/2W")),AND($K512=CE$3,OR($C512="W",$C512="1/2W")),AND($K513=CE$3,OR($C513="W",$C513="1/2W"))),$S511,0))</f>
        <v>0</v>
      </c>
      <c r="CF511" s="206">
        <f>IF(CF$3=$K511,IF($C511="W",1,IF($C511="1/2W",0.5,0)),0)</f>
        <v>0</v>
      </c>
      <c r="CG511" s="207">
        <f>IF(CF$3=$K511,IF($C511="L",1,IF($C511="1/2L",0.5,0)),0)</f>
        <v>1</v>
      </c>
      <c r="CH511" s="207">
        <f>IF(CH$3=$K511,IF($C511="W",1,IF($C511="1/2W",0.5,0)),0)</f>
        <v>0</v>
      </c>
      <c r="CI511" s="207">
        <f>IF(CH$3=$K511,IF($C511="L",1,IF($C511="1/2L",0.5,0)),0)</f>
        <v>0</v>
      </c>
      <c r="CJ511" s="207">
        <f>IF(CJ$3=$K511,IF($C511="W",1,IF($C511="1/2W",0.5,0)),0)</f>
        <v>0</v>
      </c>
      <c r="CK511" s="207">
        <f>IF(CJ$3=$K511,IF($C511="L",1,IF($C511="1/2L",0.5,0)),0)</f>
        <v>0</v>
      </c>
      <c r="CL511" s="207">
        <f>IF(CL$3=$K511,IF($C511="W",1,IF($C511="1/2W",0.5,0)),0)</f>
        <v>0</v>
      </c>
      <c r="CM511" s="207">
        <f>IF(CL$3=$K511,IF($C511="L",1,IF($C511="1/2L",0.5,0)),0)</f>
        <v>0</v>
      </c>
      <c r="CN511" s="207">
        <f>IF(CN$3=$K511,IF($C511="W",1,IF($C511="1/2W",0.5,0)),0)</f>
        <v>0</v>
      </c>
      <c r="CO511" s="207">
        <f>IF(CN$3=$K511,IF($C511="L",1,IF($C511="1/2L",0.5,0)),0)</f>
        <v>0</v>
      </c>
      <c r="CP511" s="207">
        <f>IF(CP$3=$K511,IF($C511="W",1,IF($C511="1/2W",0.5,0)),0)</f>
        <v>0</v>
      </c>
      <c r="CQ511" s="207">
        <f>IF(CP$3=$K511,IF($C511="L",1,IF($C511="1/2L",0.5,0)),0)</f>
        <v>0</v>
      </c>
      <c r="CR511" s="207">
        <f>IF(CR$3=$K511,IF($C511="W",1,IF($C511="1/2W",0.5,0)),0)</f>
        <v>0</v>
      </c>
      <c r="CS511" s="207">
        <f>IF(CR$3=$K511,IF($C511="L",1,IF($C511="1/2L",0.5,0)),0)</f>
        <v>0</v>
      </c>
      <c r="CT511" s="208">
        <f>IF(CT$3=$K511,IF($C511="W",1,IF($C511="1/2W",0.5,0)),0)</f>
        <v>0</v>
      </c>
      <c r="CU511" s="209">
        <f>IF(CT$3=$K511,IF($C511="L",1,IF($C511="1/2L",0.5,0)),0)</f>
        <v>0</v>
      </c>
      <c r="CV511" s="209">
        <f>IF(CV$3=$K511,IF($C511="W",1,IF($C511="1/2W",0.5,0)),0)</f>
        <v>0</v>
      </c>
      <c r="CW511" s="209">
        <f>IF(CV$3=$K511,IF($C511="L",1,IF($C511="1/2L",0.5,0)),0)</f>
        <v>0</v>
      </c>
      <c r="CX511" s="209">
        <f>IF(CX$3=$K511,IF($C511="W",1,IF($C511="1/2W",0.5,0)),0)</f>
        <v>0</v>
      </c>
      <c r="CY511" s="209">
        <f>IF(CX$3=$K511,IF($C511="L",1,IF($C511="1/2L",0.5,0)),0)</f>
        <v>0</v>
      </c>
      <c r="CZ511" s="209">
        <f>IF(CZ$3=$K511,IF($C511="W",1,IF($C511="1/2W",0.5,0)),0)</f>
        <v>0</v>
      </c>
      <c r="DA511" s="209">
        <f>IF(CZ$3=$K511,IF($C511="L",1,IF($C511="1/2L",0.5,0)),0)</f>
        <v>0</v>
      </c>
      <c r="DB511" s="209">
        <f>IF(DB$3=$K511,IF($C511="W",1,IF($C511="1/2W",0.5,0)),0)</f>
        <v>0</v>
      </c>
      <c r="DC511" s="209">
        <f>IF(DB$3=$K511,IF($C511="L",1,IF($C511="1/2L",0.5,0)),0)</f>
        <v>0</v>
      </c>
      <c r="DD511" s="209">
        <f>IF(DD$3=$K511,IF($C511="W",1,IF($C511="1/2W",0.5,0)),0)</f>
        <v>0</v>
      </c>
      <c r="DE511" s="210">
        <f>IF(DD$3=$K511,IF($C511="L",1,IF($C511="1/2L",0.5,0)),0)</f>
        <v>0</v>
      </c>
      <c r="DF511" s="211">
        <f>IF(AND(L511&lt;DF$3,$C511="W"),1+DF510,DF510)</f>
        <v>16</v>
      </c>
      <c r="DG511" s="198">
        <f>IF(DF511&gt;DF510,L511+DG510,DG510)</f>
        <v>21.158</v>
      </c>
      <c r="DH511" s="209">
        <f>IF(AND(L511&gt;DH$3,$C511="W"),1+DH510,0+DH510)</f>
        <v>11</v>
      </c>
      <c r="DI511" s="198">
        <f>IF(DH511&gt;DH510,L511+DI510,DI510)</f>
        <v>59.13</v>
      </c>
      <c r="DJ511" t="s" s="306">
        <f>IF($D511="","",$D511)</f>
        <v>358</v>
      </c>
      <c r="DK511" s="209">
        <f>IF(AND($B511=" ",$D511&lt;&gt;""),1,0)</f>
        <v>0</v>
      </c>
    </row>
    <row r="512" ht="14.55" customHeight="1">
      <c r="A512" s="107"/>
      <c r="B512" s="108"/>
      <c r="C512" t="s" s="213">
        <v>56</v>
      </c>
      <c r="D512" s="110"/>
      <c r="E512" s="111"/>
      <c r="F512" s="112"/>
      <c r="G512" s="214"/>
      <c r="H512" s="114"/>
      <c r="I512" t="s" s="215">
        <v>395</v>
      </c>
      <c r="J512" t="s" s="216">
        <f>IF(OR(I511="TO",I511="TU",I511="TO1",I511="TU1",I511="TO2",I511="TU2"),J511,IF(OR(I511="AH1",I511="AH2"),IF(OR(I512="AH1",I512="AH2"),-J511,IF(OR(I512="EH1",I512="EH2"),-J511+0.5,"")),IF(OR(I511="EH1",I511="EH2"),IF(OR(I512="AH1",I512="AH2"),-J511+0.5,IF(OR(I512="EH1",I512="EH2"),-J511+1,"")),IF(AND(OR(I511="DNB1",I511="DNB2"),OR(I512="AH1",I512="AH2")),0,IF(AND(I511="Not ScoreBoth",OR(I512="TO1",I512="TO2")),0.5,"")))))</f>
      </c>
      <c r="K512" t="s" s="217">
        <v>41</v>
      </c>
      <c r="L512" s="218">
        <v>2.45</v>
      </c>
      <c r="M512" s="219">
        <v>7.76</v>
      </c>
      <c r="N512" s="120"/>
      <c r="O512" s="220">
        <f>IF(OR(AE511="",AE512=""),"",ROUND(IF(L513&gt;0,IF(M512&gt;0,M512,IF(M511&gt;0,IF(N511=TRUE,ROUND((M511*AE512)/AE511,0),(M511*AE512)/AE511),IF(M512&gt;0,ROUND(M512,IF(N511=0,2,IF(N511=0.1,1,0))),IF(M513&gt;0,ROUND(O513*AE512/AE513,IF(N511=0,2,IF(N511=0.1,1,0))),0)))),IF(M512&gt;0,M512,ROUND((M511*AE512)/AE511,IF(N511=0,2,IF(N511=0.1,1,0))))),2))</f>
        <v>7.76</v>
      </c>
      <c r="P512" s="221">
        <f>IF(OR(L512="",O512=""),"",IF($C512="1/2W",O512/2+O512/2*L512,IF($C512="1/2L",O512/2,IF(I512="Lay",((O512*(L512/(L512-1)))-O512)*(1-_xlfn.XLOOKUP(K512,'Janeiro 2023 - Valor Real'!A3:A15,'Janeiro 2023 - Valor Real'!C3:C15,0))+O512,(O512*L512-O512)*(1-_xlfn.XLOOKUP(K512,'Janeiro 2023 - Valor Real'!A3:A15,'Janeiro 2023 - Valor Real'!C3:C15,0))+O512))))</f>
        <v>19.012</v>
      </c>
      <c r="Q512" s="222">
        <f>IF(K512="","",IF(_xlfn.XLOOKUP(K512,K$123:K285,DJ$123:DJ285,0,,-1)=DJ512,_xlfn.XLOOKUP(K512,K$123:K285,Q$123:Q285,1,,-1)+1,1))</f>
        <v>1</v>
      </c>
      <c r="R512" s="223">
        <f>IF(K512="","",_xlfn.XLOOKUP(K512,K$123:K285,R$123:R285,0,,-1)+IF($C512=" ",1,0))</f>
        <v>0</v>
      </c>
      <c r="S512" s="125"/>
      <c r="T512" s="126"/>
      <c r="U512" s="126"/>
      <c r="V512" s="224"/>
      <c r="W512" s="126"/>
      <c r="X512" s="127"/>
      <c r="Y512" s="128"/>
      <c r="Z512" s="129"/>
      <c r="AA512" s="129"/>
      <c r="AB512" s="129"/>
      <c r="AC512" s="129"/>
      <c r="AD512" s="225">
        <f>(((L512/(L512-1)-1)*(1-_xlfn.XLOOKUP(K512,'Janeiro 2023 - Valor Real'!A3:A15,'Janeiro 2023 - Valor Real'!C3:C15,0))+1))</f>
        <v>1.68965517241379</v>
      </c>
      <c r="AE512" s="226">
        <f>IF(L512="","",IF(L513&gt;0,(SUM(((L511-1)*(1-_xlfn.XLOOKUP(K511,'Janeiro 2023 - Valor Real'!A3:A15,'Janeiro 2023 - Valor Real'!C3:C15,0))+1),((L512-1)*(1-_xlfn.XLOOKUP(K512,'Janeiro 2023 - Valor Real'!A3:A15,'Janeiro 2023 - Valor Real'!C3:C15,0))+1),((L513-1)*(1-_xlfn.XLOOKUP(K513,'Janeiro 2023 - Valor Real'!A3:A15,'Janeiro 2023 - Valor Real'!C3:C15,0))+1))/((L512-1)*(1-_xlfn.XLOOKUP(K512,'Janeiro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Real'!C3:C15,0))+1))/((L511-1)*(1-_xlfn.XLOOKUP(K511,'Janeiro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Real'!C3:C15,0))+1))/((L512-1)*(1-_xlfn.XLOOKUP(K512,'Janeiro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Real'!C3:C15,0))+1))/((L513-1)*(1-_xlfn.XLOOKUP(K513,'Janeiro 2023 - Valor Real'!A3:A15,'Janeiro 2023 - Valor Real'!C3:C15,0))+1)),IF(I512="Lay",IF(I511="Lay",((L511/(L511-1)-1)*(1-_xlfn.XLOOKUP(K511,'Janeiro 2023 - Valor Real'!A3:A15,'Janeiro 2023 - Valor Real'!C3:C15,0))+1)/(((L511/(L511-1)-1)*(1-_xlfn.XLOOKUP(K511,'Janeiro 2023 - Valor Real'!A3:A15,'Janeiro 2023 - Valor Real'!C3:C15,0))+1)+((L512/(L512-1)-1)*(1-_xlfn.XLOOKUP(K512,'Janeiro 2023 - Valor Real'!A3:A15,'Janeiro 2023 - Valor Real'!C3:C15,0))+1)),((L511-1)*(1-_xlfn.XLOOKUP(K511,'Janeiro 2023 - Valor Real'!A3:A15,'Janeiro 2023 - Valor Real'!C3:C15,0))+1)/(((L511-1)*(1-_xlfn.XLOOKUP(K511,'Janeiro 2023 - Valor Real'!A3:A15,'Janeiro 2023 - Valor Real'!C3:C15,0))+1)+((L512/(L512-1)-1)*(1-_xlfn.XLOOKUP(K512,'Janeiro 2023 - Valor Real'!A3:A15,'Janeiro 2023 - Valor Real'!C3:C15,0))+1))),IF(I511="Lay",((L511/(L511-1)-1)*(1-_xlfn.XLOOKUP(K511,'Janeiro 2023 - Valor Real'!A3:A15,'Janeiro 2023 - Valor Real'!C3:C15,0))+1)/((((L511/(L511-1)-1)*(1-_xlfn.XLOOKUP(K511,'Janeiro 2023 - Valor Real'!A3:A15,'Janeiro 2023 - Valor Real'!C3:C15,0))+1))+((L512-1)*(1-_xlfn.XLOOKUP(K512,'Janeiro 2023 - Valor Real'!A3:A15,'Janeiro 2023 - Valor Real'!C3:C15,0))+1)),((L511-1)*(1-_xlfn.XLOOKUP(K511,'Janeiro 2023 - Valor Real'!A3:A15,'Janeiro 2023 - Valor Real'!C3:C15,0))+1)/(((L511-1)*(1-_xlfn.XLOOKUP(K511,'Janeiro 2023 - Valor Real'!A3:A15,'Janeiro 2023 - Valor Real'!C3:C15,0))+1)+((L512-1)*(1-_xlfn.XLOOKUP(K512,'Janeiro 2023 - Valor Real'!A3:A15,'Janeiro 2023 - Valor Real'!C3:C15,0))+1))))))</f>
        <v>0.436781609195402</v>
      </c>
      <c r="AF512" s="197">
        <f>IF($K512=AF$3,ROUND(IF(OR($C512="W",$C512="1/2W",$C512="1/2L"),$P512-$O512,IF($C512="X",0,-$O512)),2),0)</f>
        <v>0</v>
      </c>
      <c r="AG512" s="198">
        <f>IF($K512=AG$3,ROUND(IF(OR($C512="W",$C512="1/2W",$C512="1/2L"),$P512-$O512,IF($C512="X",0,-$O512)),2),0)</f>
        <v>0</v>
      </c>
      <c r="AH512" s="198">
        <f>IF($K512=AH$3,ROUND(IF(OR($C512="W",$C512="1/2W",$C512="1/2L"),$P512-$O512,IF($C512="X",0,-$O512)),2),0)</f>
        <v>0</v>
      </c>
      <c r="AI512" s="198">
        <f>IF($K512=AI$3,ROUND(IF(OR($C512="W",$C512="1/2W",$C512="1/2L"),$P512-$O512,IF($C512="X",0,-$O512)),2),0)</f>
        <v>0</v>
      </c>
      <c r="AJ512" s="198">
        <f>IF($K512=AJ$3,ROUND(IF(OR($C512="W",$C512="1/2W",$C512="1/2L"),$P512-$O512,IF($C512="X",0,-$O512)),2),0)</f>
        <v>11.25</v>
      </c>
      <c r="AK512" s="198">
        <f>IF($K512=AK$3,ROUND(IF(OR($C512="W",$C512="1/2W",$C512="1/2L"),$P512-$O512,IF($C512="X",0,-$O512)),2),0)</f>
        <v>0</v>
      </c>
      <c r="AL512" s="198">
        <f>IF($K512=AL$3,ROUND(IF(OR($C512="W",$C512="1/2W",$C512="1/2L"),$P512-$O512,IF($C512="X",0,-$O512)),2),0)</f>
        <v>0</v>
      </c>
      <c r="AM512" s="198">
        <f>IF($K512=AM$3,ROUND(IF(OR($C512="W",$C512="1/2W",$C512="1/2L"),$P512-$O512,IF($C512="X",0,-$O512)),2),0)</f>
        <v>0</v>
      </c>
      <c r="AN512" s="198">
        <f>IF($K512=AN$3,ROUND(IF(OR($C512="W",$C512="1/2W",$C512="1/2L"),$P512-$O512,IF($C512="X",0,-$O512)),2),0)</f>
        <v>0</v>
      </c>
      <c r="AO512" s="198">
        <f>IF($K512=AO$3,ROUND(IF(OR($C512="W",$C512="1/2W",$C512="1/2L"),$P512-$O512,IF($C512="X",0,-$O512)),2),0)</f>
        <v>0</v>
      </c>
      <c r="AP512" s="198">
        <f>IF($K512=AP$3,ROUND(IF(OR($C512="W",$C512="1/2W",$C512="1/2L"),$P512-$O512,IF($C512="X",0,-$O512)),2),0)</f>
        <v>0</v>
      </c>
      <c r="AQ512" s="198">
        <f>IF($K512=AQ$3,ROUND(IF(OR($C512="W",$C512="1/2W",$C512="1/2L"),$P512-$O512,IF($C512="X",0,-$O512)),2),0)</f>
        <v>0</v>
      </c>
      <c r="AR512" s="199">
        <f>IF($K512=AR$3,ROUND(IF(OR($C512="W",$C512="1/2W",$C512="1/2L"),$P512-$O512,IF($C512="X",0,-$O512)),2),0)</f>
        <v>0</v>
      </c>
      <c r="AS512" s="197">
        <f>IF(AND($B511=" ",$K512=AS$3),$O512,0)</f>
        <v>0</v>
      </c>
      <c r="AT512" s="198">
        <f>IF(AND($B511=" ",K512=AT$3),$O512,0)</f>
        <v>0</v>
      </c>
      <c r="AU512" s="198">
        <f>IF(AND($B511=" ",$K512=AU$3),$O512,0)</f>
        <v>0</v>
      </c>
      <c r="AV512" s="198">
        <f>IF(AND($B511=" ",$K512=AV$3),$O512,0)</f>
        <v>0</v>
      </c>
      <c r="AW512" s="198">
        <f>IF(AND($B511=" ",$K512=AW$3),$O512,0)</f>
        <v>0</v>
      </c>
      <c r="AX512" s="198">
        <f>IF(AND($B511=" ",$K512=AX$3),$O512,0)</f>
        <v>0</v>
      </c>
      <c r="AY512" s="200">
        <f>IF(AND($B511=" ",$K512=AY$3),$O512,0)</f>
        <v>0</v>
      </c>
      <c r="AZ512" s="201">
        <f>IF(AND($B511=" ",$K512=AZ$3),$O512,0)</f>
        <v>0</v>
      </c>
      <c r="BA512" s="201">
        <f>IF(AND($B511=" ",$K512=BA$3),$O512,0)</f>
        <v>0</v>
      </c>
      <c r="BB512" s="201">
        <f>IF(AND($B511=" ",$K512=BB$3),$O512,0)</f>
        <v>0</v>
      </c>
      <c r="BC512" s="202">
        <f>IF(AND($B511=" ",$K512=BC$3),$O512,0)</f>
        <v>0</v>
      </c>
      <c r="BD512" s="198">
        <f>IF(AND($B511=" ",$K512=BD$3),$O512,0)</f>
        <v>0</v>
      </c>
      <c r="BE512" s="199">
        <f>IF(AND($B511=" ",$K512=BE$3),$O512,0)</f>
        <v>0</v>
      </c>
      <c r="BF512" s="197">
        <f>IF($K512=BF$3,IF($C512="X",0,$O512),0)</f>
        <v>0</v>
      </c>
      <c r="BG512" s="198">
        <f>IF($K512=BG$3,IF($C512="X",0,$O512),0)</f>
        <v>0</v>
      </c>
      <c r="BH512" s="198">
        <f>IF($K512=BH$3,IF($C512="X",0,$O512),0)</f>
        <v>0</v>
      </c>
      <c r="BI512" s="198">
        <f>IF($K512=BI$3,IF($C512="X",0,$O512),0)</f>
        <v>0</v>
      </c>
      <c r="BJ512" s="198">
        <f>IF($K512=BJ$3,IF($C512="X",0,$O512),0)</f>
        <v>7.76</v>
      </c>
      <c r="BK512" s="198">
        <f>IF($K512=BK$3,IF($C512="X",0,$O512),0)</f>
        <v>0</v>
      </c>
      <c r="BL512" s="198">
        <f>IF($K512=BL$3,IF($C512="X",0,$O512),0)</f>
        <v>0</v>
      </c>
      <c r="BM512" s="227">
        <f>IF($K512=BM$3,IF($C512="X",0,$O512),0)</f>
        <v>0</v>
      </c>
      <c r="BN512" s="205">
        <f>IF($K512=BN$3,IF($C512="X",0,$O512),0)</f>
        <v>0</v>
      </c>
      <c r="BO512" s="205">
        <f>IF($K512=BO$3,IF($C512="X",0,$O512),0)</f>
        <v>0</v>
      </c>
      <c r="BP512" s="205">
        <f>IF($K512=BP$3,IF($C512="X",0,$O512),0)</f>
        <v>0</v>
      </c>
      <c r="BQ512" s="202">
        <f>IF($K512=BQ$3,IF($C512="X",0,$O512),0)</f>
        <v>0</v>
      </c>
      <c r="BR512" s="199">
        <f>IF($K512=BR$3,IF($C512="X",0,$O512),0)</f>
        <v>0</v>
      </c>
      <c r="BS512" s="228"/>
      <c r="BT512" s="229"/>
      <c r="BU512" s="140"/>
      <c r="BV512" s="229"/>
      <c r="BW512" s="140"/>
      <c r="BX512" s="140"/>
      <c r="BY512" s="140"/>
      <c r="BZ512" s="229"/>
      <c r="CA512" s="140"/>
      <c r="CB512" s="140"/>
      <c r="CC512" s="140"/>
      <c r="CD512" s="141"/>
      <c r="CE512" s="142"/>
      <c r="CF512" s="230">
        <f>IF(CF$3=$K512,IF($C512="W",1,IF($C512="1/2W",0.5,0)),0)</f>
        <v>0</v>
      </c>
      <c r="CG512" s="231">
        <f>IF(CF$3=$K512,IF($C512="L",1,IF($C512="1/2L",0.5,0)),0)</f>
        <v>0</v>
      </c>
      <c r="CH512" s="231">
        <f>IF(CH$3=$K512,IF($C512="W",1,IF($C512="1/2W",0.5,0)),0)</f>
        <v>0</v>
      </c>
      <c r="CI512" s="231">
        <f>IF(CH$3=$K512,IF($C512="L",1,IF($C512="1/2L",0.5,0)),0)</f>
        <v>0</v>
      </c>
      <c r="CJ512" s="231">
        <f>IF(CJ$3=$K512,IF($C512="W",1,IF($C512="1/2W",0.5,0)),0)</f>
        <v>0</v>
      </c>
      <c r="CK512" s="231">
        <f>IF(CJ$3=$K512,IF($C512="L",1,IF($C512="1/2L",0.5,0)),0)</f>
        <v>0</v>
      </c>
      <c r="CL512" s="231">
        <f>IF(CL$3=$K512,IF($C512="W",1,IF($C512="1/2W",0.5,0)),0)</f>
        <v>0</v>
      </c>
      <c r="CM512" s="231">
        <f>IF(CL$3=$K512,IF($C512="L",1,IF($C512="1/2L",0.5,0)),0)</f>
        <v>0</v>
      </c>
      <c r="CN512" s="231">
        <f>IF(CN$3=$K512,IF($C512="W",1,IF($C512="1/2W",0.5,0)),0)</f>
        <v>1</v>
      </c>
      <c r="CO512" s="231">
        <f>IF(CN$3=$K512,IF($C512="L",1,IF($C512="1/2L",0.5,0)),0)</f>
        <v>0</v>
      </c>
      <c r="CP512" s="231">
        <f>IF(CP$3=$K512,IF($C512="W",1,IF($C512="1/2W",0.5,0)),0)</f>
        <v>0</v>
      </c>
      <c r="CQ512" s="231">
        <f>IF(CP$3=$K512,IF($C512="L",1,IF($C512="1/2L",0.5,0)),0)</f>
        <v>0</v>
      </c>
      <c r="CR512" s="231">
        <f>IF(CR$3=$K512,IF($C512="W",1,IF($C512="1/2W",0.5,0)),0)</f>
        <v>0</v>
      </c>
      <c r="CS512" s="231">
        <f>IF(CR$3=$K512,IF($C512="L",1,IF($C512="1/2L",0.5,0)),0)</f>
        <v>0</v>
      </c>
      <c r="CT512" s="208">
        <f>IF(CT$3=$K512,IF($C512="W",1,IF($C512="1/2W",0.5,0)),0)</f>
        <v>0</v>
      </c>
      <c r="CU512" s="209">
        <f>IF(CT$3=$K512,IF($C512="L",1,IF($C512="1/2L",0.5,0)),0)</f>
        <v>0</v>
      </c>
      <c r="CV512" s="209">
        <f>IF(CV$3=$K512,IF($C512="W",1,IF($C512="1/2W",0.5,0)),0)</f>
        <v>0</v>
      </c>
      <c r="CW512" s="209">
        <f>IF(CV$3=$K512,IF($C512="L",1,IF($C512="1/2L",0.5,0)),0)</f>
        <v>0</v>
      </c>
      <c r="CX512" s="209">
        <f>IF(CX$3=$K512,IF($C512="W",1,IF($C512="1/2W",0.5,0)),0)</f>
        <v>0</v>
      </c>
      <c r="CY512" s="209">
        <f>IF(CX$3=$K512,IF($C512="L",1,IF($C512="1/2L",0.5,0)),0)</f>
        <v>0</v>
      </c>
      <c r="CZ512" s="209">
        <f>IF(CZ$3=$K512,IF($C512="W",1,IF($C512="1/2W",0.5,0)),0)</f>
        <v>0</v>
      </c>
      <c r="DA512" s="209">
        <f>IF(CZ$3=$K512,IF($C512="L",1,IF($C512="1/2L",0.5,0)),0)</f>
        <v>0</v>
      </c>
      <c r="DB512" s="209">
        <f>IF(DB$3=$K512,IF($C512="W",1,IF($C512="1/2W",0.5,0)),0)</f>
        <v>0</v>
      </c>
      <c r="DC512" s="209">
        <f>IF(DB$3=$K512,IF($C512="L",1,IF($C512="1/2L",0.5,0)),0)</f>
        <v>0</v>
      </c>
      <c r="DD512" s="209">
        <f>IF(DD$3=$K512,IF($C512="W",1,IF($C512="1/2W",0.5,0)),0)</f>
        <v>0</v>
      </c>
      <c r="DE512" s="210">
        <f>IF(DD$3=$K512,IF($C512="L",1,IF($C512="1/2L",0.5,0)),0)</f>
        <v>0</v>
      </c>
      <c r="DF512" s="211">
        <f>IF(AND(L512&lt;DF$3,$C512="W"),1+DF511,DF511)</f>
        <v>16</v>
      </c>
      <c r="DG512" s="198">
        <f>IF(DF512&gt;DF511,L512+DG511,DG511)</f>
        <v>21.158</v>
      </c>
      <c r="DH512" s="209">
        <f>IF(AND(L512&gt;DH$3,$C512="W"),1+DH511,0+DH511)</f>
        <v>11</v>
      </c>
      <c r="DI512" s="198">
        <f>IF(DH512&gt;DH511,L512+DI511,DI511)</f>
        <v>59.13</v>
      </c>
      <c r="DJ512" t="s" s="306">
        <f>IF($D511="","",$D511)</f>
        <v>358</v>
      </c>
      <c r="DK512" s="232"/>
    </row>
    <row r="513" ht="14.55" customHeight="1">
      <c r="A513" s="149"/>
      <c r="B513" s="150"/>
      <c r="C513" t="s" s="233">
        <v>58</v>
      </c>
      <c r="D513" s="152"/>
      <c r="E513" s="153"/>
      <c r="F513" s="154"/>
      <c r="G513" s="234"/>
      <c r="H513" s="156"/>
      <c r="I513" s="235"/>
      <c r="J513" s="236"/>
      <c r="K513" s="237"/>
      <c r="L513" s="238"/>
      <c r="M513" s="239"/>
      <c r="N513" s="161"/>
      <c r="O513" t="s" s="240">
        <f>IF(OR(AE511="",AE512=""),"",IF(L513&gt;0,ROUND(IF(M513&gt;0,M513,IF(M511&gt;0,ROUND((M511*AE513)/AE511,IF(N511=0,2,IF(N511=0.1,1,0))),IF(M512&gt;0,ROUND((M512*AE513)/AE512,IF(N511=0,2,IF(N511=0.1,1,0))),IF(M513&gt;0,M513,0)))),2),""))</f>
      </c>
      <c r="P513" t="s" s="241">
        <f>IF(I512="Lay",O512*(L512/(L512-1))-O512,IF(I511="Lay",O511*(L511/(L511-1))-O511,IF(OR(L513="",O513=""),"",IF($C513="1/2W",O513/2+O513/2*L513,IF($C513="1/2L",O513/2,(O513*L513-O513)*(1-_xlfn.XLOOKUP(K513,'Janeiro 2023 - Valor Real'!A3:A15,'Janeiro 2023 - Valor Real'!C3:C15,0))+O513)))))</f>
      </c>
      <c r="Q513" t="s" s="242">
        <f>IF(K513="","",IF(_xlfn.XLOOKUP(K513,K$124:K286,DJ$124:DJ286,0,,-1)=DJ513,_xlfn.XLOOKUP(K513,K$124:K286,Q$124:Q286,1,,-1)+1,1))</f>
      </c>
      <c r="R513" t="s" s="243">
        <f>IF(K513="","",_xlfn.XLOOKUP(K513,K$124:K286,R$124:R286,0,,-1)+IF($C513=" ",1,0))</f>
      </c>
      <c r="S513" s="166"/>
      <c r="T513" s="155"/>
      <c r="U513" s="155"/>
      <c r="V513" s="166"/>
      <c r="W513" s="155"/>
      <c r="X513" s="167"/>
      <c r="Y513" s="128"/>
      <c r="Z513" s="129"/>
      <c r="AA513" s="129"/>
      <c r="AB513" s="129"/>
      <c r="AC513" s="129"/>
      <c r="AD513" s="244">
        <f>((L512/(L512-1)-1))</f>
        <v>0.689655172413793</v>
      </c>
      <c r="AE513" t="s" s="245">
        <f>IF(L513="","",(SUM(((L511-1)*(1-_xlfn.XLOOKUP(K511,'Janeiro 2023 - Valor Real'!A3:A15,'Janeiro 2023 - Valor Real'!C3:C15,0))+1),((L512-1)*(1-_xlfn.XLOOKUP(K512,'Janeiro 2023 - Valor Real'!A3:A15,'Janeiro 2023 - Valor Real'!C3:C15,0))+1),((L513-1)*(1-_xlfn.XLOOKUP(K513,'Janeiro 2023 - Valor Real'!A3:A15,'Janeiro 2023 - Valor Real'!C3:C15,0))+1))/((L513-1)*(1-_xlfn.XLOOKUP(K513,'Janeiro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Real'!C3:C15,0))+1))/((L511-1)*(1-_xlfn.XLOOKUP(K511,'Janeiro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Real'!C3:C15,0))+1))/((L512-1)*(1-_xlfn.XLOOKUP(K512,'Janeiro 2023 - Valor Real'!A3:A15,'Janeiro 2023 - Valor Real'!C3:C15,0))+1)+SUM(((L511-1)*(1-_xlfn.XLOOKUP(K511,'Janeiro 2023 - Valor Real'!A3:A15,'Janeiro 2023 - Valor Real'!C3:C15,0))+1),((L512-1)*(1-_xlfn.XLOOKUP(K512,'Janeiro 2023 - Valor Real'!A3:A15,'Janeiro 2023 - Valor Real'!C3:C15,0))+1),((L513-1)*(1-_xlfn.XLOOKUP(K513,'Janeiro 2023 - Valor Real'!A3:A15,'Janeiro 2023 - Valor Real'!C3:C15,0))+1))/((L513-1)*(1-_xlfn.XLOOKUP(K513,'Janeiro 2023 - Valor Real'!A3:A15,'Janeiro 2023 - Valor Real'!C3:C15,0))+1)))</f>
      </c>
      <c r="AF513" s="197">
        <f>IF($K513=AF$3,ROUND(IF(OR($C513="W",$C513="1/2W",$C513="1/2L"),$P513-$O513,IF($C513="X",0,-$O513)),2),0)</f>
        <v>0</v>
      </c>
      <c r="AG513" s="198">
        <f>IF($K513=AG$3,ROUND(IF(OR($C513="W",$C513="1/2W",$C513="1/2L"),$P513-$O513,IF($C513="X",0,-$O513)),2),0)</f>
        <v>0</v>
      </c>
      <c r="AH513" s="198">
        <f>IF($K513=AH$3,ROUND(IF(OR($C513="W",$C513="1/2W",$C513="1/2L"),$P513-$O513,IF($C513="X",0,-$O513)),2),0)</f>
        <v>0</v>
      </c>
      <c r="AI513" s="198">
        <f>IF($K513=AI$3,ROUND(IF(OR($C513="W",$C513="1/2W",$C513="1/2L"),$P513-$O513,IF($C513="X",0,-$O513)),2),0)</f>
        <v>0</v>
      </c>
      <c r="AJ513" s="198">
        <f>IF($K513=AJ$3,ROUND(IF(OR($C513="W",$C513="1/2W",$C513="1/2L"),$P513-$O513,IF($C513="X",0,-$O513)),2),0)</f>
        <v>0</v>
      </c>
      <c r="AK513" s="198">
        <f>IF($K513=AK$3,ROUND(IF(OR($C513="W",$C513="1/2W",$C513="1/2L"),$P513-$O513,IF($C513="X",0,-$O513)),2),0)</f>
        <v>0</v>
      </c>
      <c r="AL513" s="198">
        <f>IF($K513=AL$3,ROUND(IF(OR($C513="W",$C513="1/2W",$C513="1/2L"),$P513-$O513,IF($C513="X",0,-$O513)),2),0)</f>
        <v>0</v>
      </c>
      <c r="AM513" s="198">
        <f>IF($K513=AM$3,ROUND(IF(OR($C513="W",$C513="1/2W",$C513="1/2L"),$P513-$O513,IF($C513="X",0,-$O513)),2),0)</f>
        <v>0</v>
      </c>
      <c r="AN513" s="198">
        <f>IF($K513=AN$3,ROUND(IF(OR($C513="W",$C513="1/2W",$C513="1/2L"),$P513-$O513,IF($C513="X",0,-$O513)),2),0)</f>
        <v>0</v>
      </c>
      <c r="AO513" s="198">
        <f>IF($K513=AO$3,ROUND(IF(OR($C513="W",$C513="1/2W",$C513="1/2L"),$P513-$O513,IF($C513="X",0,-$O513)),2),0)</f>
        <v>0</v>
      </c>
      <c r="AP513" s="198">
        <f>IF($K513=AP$3,ROUND(IF(OR($C513="W",$C513="1/2W",$C513="1/2L"),$P513-$O513,IF($C513="X",0,-$O513)),2),0)</f>
        <v>0</v>
      </c>
      <c r="AQ513" s="198">
        <f>IF($K513=AQ$3,ROUND(IF(OR($C513="W",$C513="1/2W",$C513="1/2L"),$P513-$O513,IF($C513="X",0,-$O513)),2),0)</f>
        <v>0</v>
      </c>
      <c r="AR513" s="199">
        <f>IF($K513=AR$3,ROUND(IF(OR($C513="W",$C513="1/2W",$C513="1/2L"),$P513-$O513,IF($C513="X",0,-$O513)),2),0)</f>
        <v>0</v>
      </c>
      <c r="AS513" s="197">
        <f>IF(AND($B511=" ",$K513=AS$3),$O513,0)</f>
        <v>0</v>
      </c>
      <c r="AT513" s="198">
        <f>IF(AND($B511=" ",K513=AT$3),$O513,0)</f>
        <v>0</v>
      </c>
      <c r="AU513" s="198">
        <f>IF(AND($B511=" ",$K513=AU$3),$O513,0)</f>
        <v>0</v>
      </c>
      <c r="AV513" s="198">
        <f>IF(AND($B511=" ",$K513=AV$3),$O513,0)</f>
        <v>0</v>
      </c>
      <c r="AW513" s="198">
        <f>IF(AND($B511=" ",$K513=AW$3),$O513,0)</f>
        <v>0</v>
      </c>
      <c r="AX513" s="198">
        <f>IF(AND($B511=" ",$K513=AX$3),$O513,0)</f>
        <v>0</v>
      </c>
      <c r="AY513" s="200">
        <f>IF(AND($B511=" ",$K513=AY$3),$O513,0)</f>
        <v>0</v>
      </c>
      <c r="AZ513" s="201">
        <f>IF(AND($B511=" ",$K513=AZ$3),$O513,0)</f>
        <v>0</v>
      </c>
      <c r="BA513" s="201">
        <f>IF(AND($B511=" ",$K513=BA$3),$O513,0)</f>
        <v>0</v>
      </c>
      <c r="BB513" s="201">
        <f>IF(AND($B511=" ",$K513=BB$3),$O513,0)</f>
        <v>0</v>
      </c>
      <c r="BC513" s="202">
        <f>IF(AND($B511=" ",$K513=BC$3),$O513,0)</f>
        <v>0</v>
      </c>
      <c r="BD513" s="198">
        <f>IF(AND($B511=" ",$K513=BD$3),$O513,0)</f>
        <v>0</v>
      </c>
      <c r="BE513" s="199">
        <f>IF(AND($B511=" ",$K513=BE$3),$O513,0)</f>
        <v>0</v>
      </c>
      <c r="BF513" s="197">
        <f>IF($K513=BF$3,IF($C513="X",0,$O513),0)</f>
        <v>0</v>
      </c>
      <c r="BG513" s="198">
        <f>IF($K513=BG$3,IF($C513="X",0,$O513),0)</f>
        <v>0</v>
      </c>
      <c r="BH513" s="198">
        <f>IF($K513=BH$3,IF($C513="X",0,$O513),0)</f>
        <v>0</v>
      </c>
      <c r="BI513" s="198">
        <f>IF($K513=BI$3,IF($C513="X",0,$O513),0)</f>
        <v>0</v>
      </c>
      <c r="BJ513" s="198">
        <f>IF($K513=BJ$3,IF($C513="X",0,$O513),0)</f>
        <v>0</v>
      </c>
      <c r="BK513" s="198">
        <f>IF($K513=BK$3,IF($C513="X",0,$O513),0)</f>
        <v>0</v>
      </c>
      <c r="BL513" s="198">
        <f>IF($K513=BL$3,IF($C513="X",0,$O513),0)</f>
        <v>0</v>
      </c>
      <c r="BM513" s="200">
        <f>IF($K513=BM$3,IF($C513="X",0,$O513),0)</f>
        <v>0</v>
      </c>
      <c r="BN513" s="201">
        <f>IF($K513=BN$3,IF($C513="X",0,$O513),0)</f>
        <v>0</v>
      </c>
      <c r="BO513" s="201">
        <f>IF($K513=BO$3,IF($C513="X",0,$O513),0)</f>
        <v>0</v>
      </c>
      <c r="BP513" s="201">
        <f>IF($K513=BP$3,IF($C513="X",0,$O513),0)</f>
        <v>0</v>
      </c>
      <c r="BQ513" s="202">
        <f>IF($K513=BQ$3,IF($C513="X",0,$O513),0)</f>
        <v>0</v>
      </c>
      <c r="BR513" s="199">
        <f>IF($K513=BR$3,IF($C513="X",0,$O513),0)</f>
        <v>0</v>
      </c>
      <c r="BS513" s="228"/>
      <c r="BT513" s="229"/>
      <c r="BU513" s="140"/>
      <c r="BV513" s="229"/>
      <c r="BW513" s="140"/>
      <c r="BX513" s="140"/>
      <c r="BY513" s="140"/>
      <c r="BZ513" s="229"/>
      <c r="CA513" s="140"/>
      <c r="CB513" s="140"/>
      <c r="CC513" s="140"/>
      <c r="CD513" s="141"/>
      <c r="CE513" s="142"/>
      <c r="CF513" s="230">
        <f>IF(CF$3=$K513,IF($C513="W",1,IF($C513="1/2W",0.5,0)),0)</f>
        <v>0</v>
      </c>
      <c r="CG513" s="231">
        <f>IF(CF$3=$K513,IF($C513="L",1,IF($C513="1/2L",0.5,0)),0)</f>
        <v>0</v>
      </c>
      <c r="CH513" s="231">
        <f>IF(CH$3=$K513,IF($C513="W",1,IF($C513="1/2W",0.5,0)),0)</f>
        <v>0</v>
      </c>
      <c r="CI513" s="231">
        <f>IF(CH$3=$K513,IF($C513="L",1,IF($C513="1/2L",0.5,0)),0)</f>
        <v>0</v>
      </c>
      <c r="CJ513" s="231">
        <f>IF(CJ$3=$K513,IF($C513="W",1,IF($C513="1/2W",0.5,0)),0)</f>
        <v>0</v>
      </c>
      <c r="CK513" s="231">
        <f>IF(CJ$3=$K513,IF($C513="L",1,IF($C513="1/2L",0.5,0)),0)</f>
        <v>0</v>
      </c>
      <c r="CL513" s="231">
        <f>IF(CL$3=$K513,IF($C513="W",1,IF($C513="1/2W",0.5,0)),0)</f>
        <v>0</v>
      </c>
      <c r="CM513" s="231">
        <f>IF(CL$3=$K513,IF($C513="L",1,IF($C513="1/2L",0.5,0)),0)</f>
        <v>0</v>
      </c>
      <c r="CN513" s="231">
        <f>IF(CN$3=$K513,IF($C513="W",1,IF($C513="1/2W",0.5,0)),0)</f>
        <v>0</v>
      </c>
      <c r="CO513" s="231">
        <f>IF(CN$3=$K513,IF($C513="L",1,IF($C513="1/2L",0.5,0)),0)</f>
        <v>0</v>
      </c>
      <c r="CP513" s="231">
        <f>IF(CP$3=$K513,IF($C513="W",1,IF($C513="1/2W",0.5,0)),0)</f>
        <v>0</v>
      </c>
      <c r="CQ513" s="231">
        <f>IF(CP$3=$K513,IF($C513="L",1,IF($C513="1/2L",0.5,0)),0)</f>
        <v>0</v>
      </c>
      <c r="CR513" s="231">
        <f>IF(CR$3=$K513,IF($C513="W",1,IF($C513="1/2W",0.5,0)),0)</f>
        <v>0</v>
      </c>
      <c r="CS513" s="231">
        <f>IF(CR$3=$K513,IF($C513="L",1,IF($C513="1/2L",0.5,0)),0)</f>
        <v>0</v>
      </c>
      <c r="CT513" s="208">
        <f>IF(CT$3=$K513,IF($C513="W",1,IF($C513="1/2W",0.5,0)),0)</f>
        <v>0</v>
      </c>
      <c r="CU513" s="209">
        <f>IF(CT$3=$K513,IF($C513="L",1,IF($C513="1/2L",0.5,0)),0)</f>
        <v>0</v>
      </c>
      <c r="CV513" s="209">
        <f>IF(CV$3=$K513,IF($C513="W",1,IF($C513="1/2W",0.5,0)),0)</f>
        <v>0</v>
      </c>
      <c r="CW513" s="209">
        <f>IF(CV$3=$K513,IF($C513="L",1,IF($C513="1/2L",0.5,0)),0)</f>
        <v>0</v>
      </c>
      <c r="CX513" s="209">
        <f>IF(CX$3=$K513,IF($C513="W",1,IF($C513="1/2W",0.5,0)),0)</f>
        <v>0</v>
      </c>
      <c r="CY513" s="209">
        <f>IF(CX$3=$K513,IF($C513="L",1,IF($C513="1/2L",0.5,0)),0)</f>
        <v>0</v>
      </c>
      <c r="CZ513" s="209">
        <f>IF(CZ$3=$K513,IF($C513="W",1,IF($C513="1/2W",0.5,0)),0)</f>
        <v>0</v>
      </c>
      <c r="DA513" s="209">
        <f>IF(CZ$3=$K513,IF($C513="L",1,IF($C513="1/2L",0.5,0)),0)</f>
        <v>0</v>
      </c>
      <c r="DB513" s="209">
        <f>IF(DB$3=$K513,IF($C513="W",1,IF($C513="1/2W",0.5,0)),0)</f>
        <v>0</v>
      </c>
      <c r="DC513" s="209">
        <f>IF(DB$3=$K513,IF($C513="L",1,IF($C513="1/2L",0.5,0)),0)</f>
        <v>0</v>
      </c>
      <c r="DD513" s="209">
        <f>IF(DD$3=$K513,IF($C513="W",1,IF($C513="1/2W",0.5,0)),0)</f>
        <v>0</v>
      </c>
      <c r="DE513" s="210">
        <f>IF(DD$3=$K513,IF($C513="L",1,IF($C513="1/2L",0.5,0)),0)</f>
        <v>0</v>
      </c>
      <c r="DF513" s="211">
        <f>IF(AND(L513&lt;DF$3,$C513="W"),1+DF512,DF512)</f>
        <v>16</v>
      </c>
      <c r="DG513" s="198">
        <f>IF(DF513&gt;DF512,L513+DG512,DG512)</f>
        <v>21.158</v>
      </c>
      <c r="DH513" s="209">
        <f>IF(AND(L513&gt;DH$3,$C513="W"),1+DH512,0+DH512)</f>
        <v>11</v>
      </c>
      <c r="DI513" s="198">
        <f>IF(DH513&gt;DH512,L513+DI512,DI512)</f>
        <v>59.13</v>
      </c>
      <c r="DJ513" t="s" s="306">
        <f>IF($D511="","",$D511)</f>
        <v>358</v>
      </c>
      <c r="DK513" s="232"/>
    </row>
    <row r="514" ht="14.55" customHeight="1">
      <c r="A514" s="246">
        <f>$A511+1</f>
        <v>171</v>
      </c>
      <c r="B514" t="s" s="247">
        <f>IF(AND(_xlfn.XLOOKUP(H514,H$107:H293,G$107:G293,0)=G514,_xlfn.XLOOKUP("TempoBet",K514:K516,L514:L516,0)&gt;0),"X",IF(OR(C514="W",C515="W",C516="W",C514="1/2W",C515="1/2W",C516="1/2W",C514="1/2L",C515="1/2L",C516="1/2L"),"OK",IF(OR(C514="L",C515="L",C516="L"),"LOSS",IF(OR(C514="X",C515="X",C516="X"),"Anulado"," "))))</f>
        <v>50</v>
      </c>
      <c r="C514" t="s" s="248">
        <v>56</v>
      </c>
      <c r="D514" t="s" s="303">
        <v>396</v>
      </c>
      <c r="E514" t="s" s="250">
        <v>52</v>
      </c>
      <c r="F514" t="s" s="251"/>
      <c r="G514" s="252">
        <v>44953.677083333336</v>
      </c>
      <c r="H514" t="s" s="253">
        <v>397</v>
      </c>
      <c r="I514" t="s" s="254">
        <v>65</v>
      </c>
      <c r="J514" s="255">
        <v>5.5</v>
      </c>
      <c r="K514" t="s" s="256">
        <v>41</v>
      </c>
      <c r="L514" s="257">
        <v>1.9</v>
      </c>
      <c r="M514" s="258">
        <v>37.5</v>
      </c>
      <c r="N514" s="259">
        <v>0</v>
      </c>
      <c r="O514" s="260">
        <f>IF(OR(AE514="",AE515=""),"",ROUND(IF(L516&gt;0,IF(M514&gt;0,M514,IF(M515&gt;0,ROUND((M515*AE514)/AE515,IF(N514=0,2,IF(N514=0.1,1,0))),ROUND((M516*AE514)/AE516,IF(N514=0,2,IF(N514=0.1,1,0))))),IF(M514&gt;0,M514,ROUND((M515*AE514)/AE515,IF(N514=0,2,IF(N514=0.1,1,0))))),2))</f>
        <v>37.5</v>
      </c>
      <c r="P514" s="261">
        <f>IF(OR(L514="",O514=""),"",IF($C514="1/2W",O514/2+O514/2*L514,IF($C514="1/2L",O514/2,IF(I514="Lay",(O514*(L514/(L514-1))-O514)*(1-_xlfn.XLOOKUP(K514,'Janeiro 2023 - Valor Real'!A3:A15,'Janeiro 2023 - Valor Real'!C3:C15,0))+O514,(O514*L514-O514)*(1-_xlfn.XLOOKUP(K514,'Janeiro 2023 - Valor Real'!A3:A15,'Janeiro 2023 - Valor Real'!C3:C15,0))+O514))))</f>
        <v>71.25</v>
      </c>
      <c r="Q514" s="262">
        <f>IF(K514="","",IF(_xlfn.XLOOKUP(K514,K$107:K293,DJ$107:DJ293,0,,-1)=DJ514,_xlfn.XLOOKUP(K514,K$107:K293,Q$107:Q293,1,,-1)+1,1))</f>
        <v>1</v>
      </c>
      <c r="R514" s="263">
        <f>IF(K514="","",_xlfn.XLOOKUP(K514,K$107:K293,R$107:R293,0,,-1)+IF($C514=" ",1,0))</f>
        <v>0</v>
      </c>
      <c r="S514" s="264">
        <f>IF($B514="Anulado",0,ROUND(IF(OR($B514="LOSS",$B514="OK"),IF(OR($C514="W",$C514="1/2W",$C514="1/2L"),P514-O514,IF($C514="L",-O514,0))+IF(OR($C515="W",$C515="1/2W",$C515="1/2L"),P515-O515,IF($C515="L",-O515,0))+IF(OR($C516="W",$C516="1/2W",$C516="1/2L"),P516-O516,IF($C516="L",-O516,0)),IF(AND(OR($C514="W",$C514="1/2W",$C514="1/2L"),C515="W"),P514+P515-SUM(O514:O516)+_xlfn.XLOOKUP("X",C514:C516,O514:O516,0),IF(AND(C514=TRUE,C516="W"),P514+P516-SUM(O514:O516),IF(AND(C515="W",C516="W"),P515+P516-SUM(O514:O516)+_xlfn.XLOOKUP("X",C514:C516,O514:O516,0),IF(L516&gt;0,IF(OR($C514="W",$C514="1/2W",$C514="1/2L"),P514-SUM(O514:O516)+_xlfn.XLOOKUP("X",C514:C516,O514:O516,0),IF(OR($C514="W",$C514="1/2W",$C514="1/2L"),P515-SUM(O514:O516)+_xlfn.XLOOKUP("X",C514:C516,O514:O516,0),IF(OR($C514="W",$C514="1/2W",$C514="1/2L"),P516-SUM(O514:O516)+_xlfn.XLOOKUP("X",C514:C516,O514:O516,0),IF(SUM(P514:P516)/3-SUM(O514:O516)+_xlfn.XLOOKUP("X",C514:C516,O514:O516,0)&gt;0,SUM(P514:P516)/3-SUM(O514:O516)+_xlfn.XLOOKUP("X",C514:C516,O514:O516,0),LARGE(P514:P516,1)-SUM(O514:O516))))),IF(OR($C514="W",$C514="1/2W",$C514="1/2L"),P514-SUM(O514:O515)+_xlfn.XLOOKUP("X",C514:C516,O514:O516,0),IF(OR($C514="W",$C514="1/2W",$C514="1/2L"),P515-SUM(O514:O515)+_xlfn.XLOOKUP("X",C514:C516,O514:O516,0),SUM(P514:P515)/2-SUM(O514:O515)+_xlfn.XLOOKUP("X",C514:C516,O514:O516,0)))))))),2))</f>
        <v>2.05</v>
      </c>
      <c r="T514" s="265">
        <f>IF(S514=0,0,S514/SUM(O514:O516))</f>
        <v>0.0296242774566474</v>
      </c>
      <c r="U514" s="266">
        <f>IF($D514=$D511,IF(OR($B514="LOSS",$B514="OK",$B514="Anulada"),S514,0)+U511,IF(OR($B514="LOSS",$B514="OK",$B514="Anulada"),S514,0))</f>
        <v>2.05</v>
      </c>
      <c r="V514" s="266">
        <f>IF($D514="",0,IF($D514=$D511,IF($B514=" ",IF(I516="",IF(OR(AND(I514="DNB1",I515="DNB2"),AND(OR(I514="DNB1",I514="DNB2"),J515=0),AND(OR(I515="DNB1",I515="DNB2"),J514=0),AND(I514="DNB2",I515="DNB1"),AND(IF(J514=0,(J514+1)/ROUND(J514+1,0),J514/ROUND(J514,0))=1,IF(J515=0,(J515+1)/ROUND(IF(J515="",0,J515)+1,0),IF(J515="",0,J515)/ROUND(IF(J515="",1,J515),0))=1,OR(J514&lt;&gt;""),J515&lt;&gt;"")),0,IF(S514&lt;0,IF(I516="",SMALL(P514:P515,1)-SUM(O514:O515),0),SMALL(P514:P515,1)-SUM(O514:O515))),IF(S514&lt;0,IF(I516="",SMALL(P514:P516,1)-SUM(O514:O516),0),LARGE(P514:P516,1)-SUM(O514:O516))),S514)+V511,IF(I516="",IF(OR(AND(I514="DNB1",I515="DNB2"),AND(OR(I514="DNB1",I514="DNB2"),J515=0),AND(OR(I515="DNB1",I515="DNB2"),J514=0),AND(I514="DNB2",I515="DNB1"),AND(IF(J514=0,(J514+1)/ROUND(J514+1,0),J514/ROUND(J514,0))=1,IF(J515=0,(IF(J515="",0,J515)+1)/ROUND(IF(J515="",0,J515)+1,0),IF(J515="",0,J515)/ROUND(IF(J515="",0,J515)+1,0))=1,OR(J514&lt;&gt;""),J515&lt;&gt;"")),0,IF(S514&lt;0,IF(I516="",SMALL(P514:P515,1)-SUM(O514:O515),0),SMALL(P514:P516,1)-SUM(O514:O516))),IF(S514&lt;0,IF(I516="",SMALL(P514:P516,1)-SUM(O514:O516),0),LARGE(P514:P516,1)-SUM(O514:O516)))))</f>
        <v>2.05</v>
      </c>
      <c r="W514" s="266">
        <f>IF($D514=$D511,IF(S514&lt;0,IF(I516="",S514,0),S514)+W511,S514)</f>
        <v>2.05</v>
      </c>
      <c r="X514" t="s" s="267">
        <f>IF(OR(SUM(R514:R516)=0,V514=W514),ROUND(IF(W514=0,0,W514/Y514)*100,2)&amp;"%",ROUND(IF(V514=0,0,V514/Y514)*100,2)&amp;"% a "&amp;ROUND(IF(W514=0,0,W514/Y514)*100,2)&amp;"%")</f>
        <v>398</v>
      </c>
      <c r="Y514" s="268">
        <f>IF($D514=$D511,Y511+SUM(O514:O516),SUM(O514:O516))</f>
        <v>69.2</v>
      </c>
      <c r="Z514" s="266">
        <f>IF($B514=" ",SUM(O514:O516),0)+Z511</f>
        <v>0</v>
      </c>
      <c r="AA514" s="266">
        <f>IF(G514="","",IF($B514="Anulado",LARGE(P514:P516,1)-SUM(O514:O516)+AA511,AA511))</f>
        <v>24.9665076923077</v>
      </c>
      <c r="AB514" s="266">
        <f>IF($D514="","",AB511+S514)</f>
        <v>341.29</v>
      </c>
      <c r="AC514" s="269">
        <f>IF($D514="","",IF($B514=" ",IF(DAY(G514)=DAY(TODAY()),1+AC511,0+AC511),0+AC511))</f>
        <v>0</v>
      </c>
      <c r="AD514" s="270">
        <f>(1-_xlfn.XLOOKUP(K512,'Janeiro 2023 - Valor Real'!A3:A15,'Janeiro 2023 - Valor Real'!C3:C15,0))+1</f>
        <v>2</v>
      </c>
      <c r="AE514" s="271">
        <f>IF(L514="","",IF(L516&gt;0,(SUM(((L514-1)*(1-_xlfn.XLOOKUP(K514,'Janeiro 2023 - Valor Real'!A3:A15,'Janeiro 2023 - Valor Real'!C3:C15,0))+1),((L515-1)*(1-_xlfn.XLOOKUP(K515,'Janeiro 2023 - Valor Real'!A3:A15,'Janeiro 2023 - Valor Real'!C3:C15,0))+1),((L516-1)*(1-_xlfn.XLOOKUP(K516,'Janeiro 2023 - Valor Real'!A3:A15,'Janeiro 2023 - Valor Real'!C3:C15,0))+1))/((L514-1)*(1-_xlfn.XLOOKUP(K514,'Janeiro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Real'!C3:C15,0))+1))/((L514-1)*(1-_xlfn.XLOOKUP(K514,'Janeiro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Real'!C3:C15,0))+1))/((L515-1)*(1-_xlfn.XLOOKUP(K515,'Janeiro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Real'!C3:C15,0))+1))/((L516-1)*(1-_xlfn.XLOOKUP(K516,'Janeiro 2023 - Valor Real'!A3:A15,'Janeiro 2023 - Valor Real'!C3:C15,0))+1)),IF(I514="Lay",IF(I515="Lay",((L515/(L515-1)-1)*(1-_xlfn.XLOOKUP(K515,'Janeiro 2023 - Valor Real'!A3:A15,'Janeiro 2023 - Valor Real'!C3:C15,0))+1)/(((L515/(L515-1)-1)*(1-_xlfn.XLOOKUP(K515,'Janeiro 2023 - Valor Real'!A3:A15,'Janeiro 2023 - Valor Real'!C3:C15,0))+1)+((L514/(L514-1)-1)*(1-_xlfn.XLOOKUP(K514,'Janeiro 2023 - Valor Real'!A3:A15,'Janeiro 2023 - Valor Real'!C3:C15,0))+1)),((L515-1)*(1-_xlfn.XLOOKUP(K515,'Janeiro 2023 - Valor Real'!A3:A15,'Janeiro 2023 - Valor Real'!C3:C15,0))+1)/(((L515-1)*(1-_xlfn.XLOOKUP(K515,'Janeiro 2023 - Valor Real'!A3:A15,'Janeiro 2023 - Valor Real'!C3:C15,0))+1)+((L514/(L514-1)-1)*(1-_xlfn.XLOOKUP(K514,'Janeiro 2023 - Valor Real'!A3:A15,'Janeiro 2023 - Valor Real'!C3:C15,0))+1))),IF(I515="Lay",(((L515/(L515-1)-1)*(1-_xlfn.XLOOKUP(K515,'Janeiro 2023 - Valor Real'!A3:A15,'Janeiro 2023 - Valor Real'!C3:C15,0))+1))/(((L514-1)*(1-_xlfn.XLOOKUP(K514,'Janeiro 2023 - Valor Real'!A3:A15,'Janeiro 2023 - Valor Real'!C3:C15,0))+1)+((L515/(L515-1)-1)*(1-_xlfn.XLOOKUP(K515,'Janeiro 2023 - Valor Real'!A3:A15,'Janeiro 2023 - Valor Real'!C3:C15,0))+1)),((L515-1)*(1-_xlfn.XLOOKUP(K515,'Janeiro 2023 - Valor Real'!A3:A15,'Janeiro 2023 - Valor Real'!C3:C15,0))+1)/(((L515-1)*(1-_xlfn.XLOOKUP(K515,'Janeiro 2023 - Valor Real'!A3:A15,'Janeiro 2023 - Valor Real'!C3:C15,0))+1)+((L514-1)*(1-_xlfn.XLOOKUP(K514,'Janeiro 2023 - Valor Real'!A3:A15,'Janeiro 2023 - Valor Real'!C3:C15,0))+1))))))</f>
        <v>0.542168674698795</v>
      </c>
      <c r="AF514" s="132">
        <f>IF($K514=AF$3,ROUND(IF(OR($C514="W",$C514="1/2W",$C514="1/2L"),$P514-$O514,IF($C514="X",0,-$O514)),2),0)</f>
        <v>0</v>
      </c>
      <c r="AG514" s="133">
        <f>IF($K514=AG$3,ROUND(IF(OR($C514="W",$C514="1/2W",$C514="1/2L"),$P514-$O514,IF($C514="X",0,-$O514)),2),0)</f>
        <v>0</v>
      </c>
      <c r="AH514" s="133">
        <f>IF($K514=AH$3,ROUND(IF(OR($C514="W",$C514="1/2W",$C514="1/2L"),$P514-$O514,IF($C514="X",0,-$O514)),2),0)</f>
        <v>0</v>
      </c>
      <c r="AI514" s="133">
        <f>IF($K514=AI$3,ROUND(IF(OR($C514="W",$C514="1/2W",$C514="1/2L"),$P514-$O514,IF($C514="X",0,-$O514)),2),0)</f>
        <v>0</v>
      </c>
      <c r="AJ514" s="133">
        <f>IF($K514=AJ$3,ROUND(IF(OR($C514="W",$C514="1/2W",$C514="1/2L"),$P514-$O514,IF($C514="X",0,-$O514)),2),0)</f>
        <v>33.75</v>
      </c>
      <c r="AK514" s="133">
        <f>IF($K514=AK$3,ROUND(IF(OR($C514="W",$C514="1/2W",$C514="1/2L"),$P514-$O514,IF($C514="X",0,-$O514)),2),0)</f>
        <v>0</v>
      </c>
      <c r="AL514" s="133">
        <f>IF($K514=AL$3,ROUND(IF(OR($C514="W",$C514="1/2W",$C514="1/2L"),$P514-$O514,IF($C514="X",0,-$O514)),2),0)</f>
        <v>0</v>
      </c>
      <c r="AM514" s="133">
        <f>IF($K514=AM$3,ROUND(IF(OR($C514="W",$C514="1/2W",$C514="1/2L"),$P514-$O514,IF($C514="X",0,-$O514)),2),0)</f>
        <v>0</v>
      </c>
      <c r="AN514" s="133">
        <f>IF($K514=AN$3,ROUND(IF(OR($C514="W",$C514="1/2W",$C514="1/2L"),$P514-$O514,IF($C514="X",0,-$O514)),2),0)</f>
        <v>0</v>
      </c>
      <c r="AO514" s="133">
        <f>IF($K514=AO$3,ROUND(IF(OR($C514="W",$C514="1/2W",$C514="1/2L"),$P514-$O514,IF($C514="X",0,-$O514)),2),0)</f>
        <v>0</v>
      </c>
      <c r="AP514" s="133">
        <f>IF($K514=AP$3,ROUND(IF(OR($C514="W",$C514="1/2W",$C514="1/2L"),$P514-$O514,IF($C514="X",0,-$O514)),2),0)</f>
        <v>0</v>
      </c>
      <c r="AQ514" s="133">
        <f>IF($K514=AQ$3,ROUND(IF(OR($C514="W",$C514="1/2W",$C514="1/2L"),$P514-$O514,IF($C514="X",0,-$O514)),2),0)</f>
        <v>0</v>
      </c>
      <c r="AR514" s="134">
        <f>IF($K514=AR$3,ROUND(IF(OR($C514="W",$C514="1/2W",$C514="1/2L"),$P514-$O514,IF($C514="X",0,-$O514)),2),0)</f>
        <v>0</v>
      </c>
      <c r="AS514" s="132">
        <f>IF(AND($B514=" ",$K514=AS$3),$O514,0)</f>
        <v>0</v>
      </c>
      <c r="AT514" s="133">
        <f>IF(AND($B514=" ",$K514=AT$3),$O514,0)</f>
        <v>0</v>
      </c>
      <c r="AU514" s="133">
        <f>IF(AND($B514=" ",$K514=AU$3),$O514,0)</f>
        <v>0</v>
      </c>
      <c r="AV514" s="133">
        <f>IF(AND($B514=" ",$K514=AV$3),$O514,0)</f>
        <v>0</v>
      </c>
      <c r="AW514" s="133">
        <f>IF(AND($B514=" ",$K514=AW$3),$O514,0)</f>
        <v>0</v>
      </c>
      <c r="AX514" s="133">
        <f>IF(AND($B514=" ",$K514=AX$3),$O514,0)</f>
        <v>0</v>
      </c>
      <c r="AY514" s="135">
        <f>IF(AND($B514=" ",$K514=AY$3),$O514,0)</f>
        <v>0</v>
      </c>
      <c r="AZ514" s="136">
        <f>IF(AND($B514=" ",$K514=AZ$3),$O514,0)</f>
        <v>0</v>
      </c>
      <c r="BA514" s="136">
        <f>IF(AND($B514=" ",$K514=BA$3),$O514,0)</f>
        <v>0</v>
      </c>
      <c r="BB514" s="136">
        <f>IF(AND($B514=" ",$K514=BB$3),$O514,0)</f>
        <v>0</v>
      </c>
      <c r="BC514" s="137">
        <f>IF(AND($B514=" ",$K514=BC$3),$O514,0)</f>
        <v>0</v>
      </c>
      <c r="BD514" s="133">
        <f>IF(AND($B514=" ",$K514=BD$3),$O514,0)</f>
        <v>0</v>
      </c>
      <c r="BE514" s="134">
        <f>IF(AND($B514=" ",$K514=BE$3),$O514,0)</f>
        <v>0</v>
      </c>
      <c r="BF514" s="132">
        <f>IF($K514=BF$3,IF($C514="X",0,$O514),0)</f>
        <v>0</v>
      </c>
      <c r="BG514" s="133">
        <f>IF($K514=BG$3,IF($C514="X",0,$O514),0)</f>
        <v>0</v>
      </c>
      <c r="BH514" s="133">
        <f>IF($K514=BH$3,IF($C514="X",0,$O514),0)</f>
        <v>0</v>
      </c>
      <c r="BI514" s="133">
        <f>IF($K514=BI$3,IF($C514="X",0,$O514),0)</f>
        <v>0</v>
      </c>
      <c r="BJ514" s="133">
        <f>IF($K514=BJ$3,IF($C514="X",0,$O514),0)</f>
        <v>37.5</v>
      </c>
      <c r="BK514" s="133">
        <f>IF($K514=BK$3,IF($C514="X",0,$O514),0)</f>
        <v>0</v>
      </c>
      <c r="BL514" s="133">
        <f>IF($K514=BL$3,IF($C514="X",0,$O514),0)</f>
        <v>0</v>
      </c>
      <c r="BM514" s="135">
        <f>IF($K514=BM$3,IF($C514="X",0,$O514),0)</f>
        <v>0</v>
      </c>
      <c r="BN514" s="136">
        <f>IF($K514=BN$3,IF($C514="X",0,$O514),0)</f>
        <v>0</v>
      </c>
      <c r="BO514" s="136">
        <f>IF($K514=BO$3,IF($C514="X",0,$O514),0)</f>
        <v>0</v>
      </c>
      <c r="BP514" s="136">
        <f>IF($K514=BP$3,IF($C514="X",0,$O514),0)</f>
        <v>0</v>
      </c>
      <c r="BQ514" s="137">
        <f>IF($K514=BQ$3,IF($C514="X",0,$O514),0)</f>
        <v>0</v>
      </c>
      <c r="BR514" s="134">
        <f>IF($K514=BR$3,IF($C514="X",0,$O514),0)</f>
        <v>0</v>
      </c>
      <c r="BS514" s="170">
        <f>IF($B514="LOSS",IF(AND($K514=BS$3,$C514="L"),-$O514,0)+IF(AND($K515=BS$3,$C515="L"),-$O515,0)+IF(AND($K516=BS$3,$C516="L"),-$O516,0),IF(OR(AND($K514=BS$3,OR($C514="W",$C514="1/2W")),AND($K515=BS$3,OR($C515="W",$C515="1/2W")),AND($K516=BS$3,OR($C516="W",$C516="1/2W"))),$S514,0))</f>
        <v>0</v>
      </c>
      <c r="BT514" s="272">
        <f>IF($B514="LOSS",IF(AND($K514=BT$3,$C514="L"),-$O514,0)+IF(AND($K515=BT$3,$C515="L"),-$O515,0)+IF(AND($K515=BT$3,$C516="L"),-$O516,0),IF(OR(AND($K515=BT$3,OR($C514="W",$C514="1/2W")),AND($K515=BT$3,OR($C515="W",$C515="1/2W")),AND($K515=BT$3,OR($C516="W",$C516="1/2W"))),$S514,0))</f>
        <v>0</v>
      </c>
      <c r="BU514" s="136">
        <f>IF($B514="LOSS",IF(AND($K514=BU$3,$C514="L"),-$O514,0)+IF(AND($K515=BU$3,$C515="L"),-$O515,0)+IF(AND($K515=BU$3,$C516="L"),-$O516,0),IF(OR(AND($K515=BU$3,OR($C514="W",$C514="1/2W")),AND($K515=BU$3,OR($C515="W",$C515="1/2W")),AND($K515=BU$3,OR($C516="W",$C516="1/2W"))),$S514,0))</f>
        <v>0</v>
      </c>
      <c r="BV514" s="136">
        <f>IF($B514="LOSS",IF(AND($K514=BV$3,$C514="L"),-$O514,0)+IF(AND($K515=BV$3,$C515="L"),-$O515,0)+IF(AND($K516=BV$3,$C516="L"),-$O516,0),IF(OR(AND($K514=BV$3,OR($C514="W",$C514="1/2W")),AND($K515=BV$3,OR($C515="W",$C515="1/2W")),AND($K516=BV$3,OR($C516="W",$C516="1/2W"))),$S514,0))</f>
        <v>0</v>
      </c>
      <c r="BW514" s="136">
        <f>IF($B514="LOSS",IF(AND($K514=BW$3,$C514="L"),-$O514,0)+IF(AND($K515=BW$3,$C515="L"),-$O515,0)+IF(AND($K516=BW$3,$C516="L"),-$O516,0),IF(OR(AND($K514=BW$3,OR($C514="W",$C514="1/2W")),AND($K515=BW$3,OR($C515="W",$C515="1/2W")),AND($K516=BW$3,OR($C516="W",$C516="1/2W"))),$S514,0))</f>
        <v>2.05</v>
      </c>
      <c r="BX514" s="136">
        <f>IF($B514="LOSS",IF(AND($K514=BX$3,$C514="L"),-$O514,0)+IF(AND($K515=BX$3,$C515="L"),-$O515,0)+IF(AND($K516=BX$3,$C516="L"),-$O516,0),IF(OR(AND($K514=BX$3,OR($C514="W",$C514="1/2W")),AND($K515=BX$3,OR($C515="W",$C515="1/2W")),AND($K516=BX$3,OR($C516="W",$C516="1/2W"))),$S514,0))</f>
        <v>0</v>
      </c>
      <c r="BY514" s="136">
        <f>IF($B514="LOSS",IF(AND($K514=BY$3,$C514="L"),-$O514,0)+IF(AND($K515=BY$3,$C515="L"),-$O515,0)+IF(AND($K516=BY$3,$C516="L"),-$O516,0),IF(OR(AND($K514=BY$3,OR($C514="W",$C514="1/2W")),AND($K515=BY$3,OR($C515="W",$C515="1/2W")),AND($K516=BY$3,OR($C516="W",$C516="1/2W"))),$S514,0))</f>
        <v>0</v>
      </c>
      <c r="BZ514" s="136">
        <f>IF($B514="LOSS",IF(AND($K514=BZ$3,$C514="L"),-$O514,0)+IF(AND($K515=BZ$3,$C515="L"),-$O515,0)+IF(AND($K516=BZ$3,$C516="L"),-$O516,0),IF(OR(AND($K514=BZ$3,OR($C514="W",$C514="1/2W")),AND($K515=BZ$3,OR($C515="W",$C515="1/2W")),AND($K516=BZ$3,OR($C516="W",$C516="1/2W"))),$S514,0))</f>
        <v>0</v>
      </c>
      <c r="CA514" s="136">
        <f>IF($B514="LOSS",IF(AND($K514=CA$3,$C514="L"),-$O514,0)+IF(AND($K515=CA$3,$C515="L"),-$O515,0)+IF(AND($K516=CA$3,$C516="L"),-$O516,0),IF(OR(AND($K514=CA$3,OR($C514="W",$C514="1/2W")),AND($K515=CA$3,OR($C515="W",$C515="1/2W")),AND($K516=CA$3,OR($C516="W",$C516="1/2W"))),$S514,0))</f>
        <v>0</v>
      </c>
      <c r="CB514" s="136">
        <f>IF($B514="LOSS",IF(AND($K514=CB$3,$C514="L"),-$O514,0)+IF(AND($K515=CB$3,$C515="L"),-$O515,0)+IF(AND($K516=CB$3,$C516="L"),-$O516,0),IF(OR(AND($K514=CB$3,OR($C514="W",$C514="1/2W")),AND($K515=CB$3,OR($C515="W",$C515="1/2W")),AND($K516=CB$3,OR($C516="W",$C516="1/2W"))),$S514,0))</f>
        <v>0</v>
      </c>
      <c r="CC514" s="136">
        <f>IF($B514="LOSS",IF(AND($K514=CC$3,$C514="L"),-$O514,0)+IF(AND($K515=CC$3,$C515="L"),-$O515,0)+IF(AND($K516=CC$3,$C516="L"),-$O516,0),IF(OR(AND($K514=CC$3,OR($C514="W",$C514="1/2W")),AND($K515=CC$3,OR($C515="W",$C515="1/2W")),AND($K516=CC$3,OR($C516="W",$C516="1/2W"))),$S514,0))</f>
        <v>0</v>
      </c>
      <c r="CD514" s="137">
        <f>IF($B514="LOSS",IF(AND($K514=CD$3,$C514="L"),-$O514,0)+IF(AND($K515=CD$3,$C515="L"),-$O515,0)+IF(AND($K516=CD$3,$C516="L"),-$O516,0),IF(OR(AND($K514=CD$3,OR($C514="W",$C514="1/2W")),AND($K515=CD$3,OR($C515="W",$C515="1/2W")),AND($K516=CD$3,OR($C516="W",$C516="1/2W"))),$S514,0))</f>
        <v>0</v>
      </c>
      <c r="CE514" s="134">
        <f>IF($B514="LOSS",IF(AND($K514=CE$3,$C514="L"),-$O514,0)+IF(AND($K515=CE$3,$C515="L"),-$O515,0)+IF(AND($K516=CE$3,$C516="L"),-$O516,0),IF(OR(AND($K514=CE$3,OR($C514="W",$C514="1/2W")),AND($K515=CE$3,OR($C515="W",$C515="1/2W")),AND($K516=CE$3,OR($C516="W",$C516="1/2W"))),$S514,0))</f>
        <v>0</v>
      </c>
      <c r="CF514" s="273">
        <f>IF(CF$3=$K514,IF($C514="W",1,IF($C514="1/2W",0.5,0)),0)</f>
        <v>0</v>
      </c>
      <c r="CG514" s="274">
        <f>IF(CF$3=$K514,IF($C514="L",1,IF($C514="1/2L",0.5,0)),0)</f>
        <v>0</v>
      </c>
      <c r="CH514" s="274">
        <f>IF(CH$3=$K514,IF($C514="W",1,IF($C514="1/2W",0.5,0)),0)</f>
        <v>0</v>
      </c>
      <c r="CI514" s="274">
        <f>IF(CH$3=$K514,IF($C514="L",1,IF($C514="1/2L",0.5,0)),0)</f>
        <v>0</v>
      </c>
      <c r="CJ514" s="274">
        <f>IF(CJ$3=$K514,IF($C514="W",1,IF($C514="1/2W",0.5,0)),0)</f>
        <v>0</v>
      </c>
      <c r="CK514" s="274">
        <f>IF(CJ$3=$K514,IF($C514="L",1,IF($C514="1/2L",0.5,0)),0)</f>
        <v>0</v>
      </c>
      <c r="CL514" s="274">
        <f>IF(CL$3=$K514,IF($C514="W",1,IF($C514="1/2W",0.5,0)),0)</f>
        <v>0</v>
      </c>
      <c r="CM514" s="274">
        <f>IF(CL$3=$K514,IF($C514="L",1,IF($C514="1/2L",0.5,0)),0)</f>
        <v>0</v>
      </c>
      <c r="CN514" s="274">
        <f>IF(CN$3=$K514,IF($C514="W",1,IF($C514="1/2W",0.5,0)),0)</f>
        <v>1</v>
      </c>
      <c r="CO514" s="274">
        <f>IF(CN$3=$K514,IF($C514="L",1,IF($C514="1/2L",0.5,0)),0)</f>
        <v>0</v>
      </c>
      <c r="CP514" s="274">
        <f>IF(CP$3=$K514,IF($C514="W",1,IF($C514="1/2W",0.5,0)),0)</f>
        <v>0</v>
      </c>
      <c r="CQ514" s="274">
        <f>IF(CP$3=$K514,IF($C514="L",1,IF($C514="1/2L",0.5,0)),0)</f>
        <v>0</v>
      </c>
      <c r="CR514" s="274">
        <f>IF(CR$3=$K514,IF($C514="W",1,IF($C514="1/2W",0.5,0)),0)</f>
        <v>0</v>
      </c>
      <c r="CS514" s="274">
        <f>IF(CR$3=$K514,IF($C514="L",1,IF($C514="1/2L",0.5,0)),0)</f>
        <v>0</v>
      </c>
      <c r="CT514" s="145">
        <f>IF(CT$3=$K514,IF($C514="W",1,IF($C514="1/2W",0.5,0)),0)</f>
        <v>0</v>
      </c>
      <c r="CU514" s="146">
        <f>IF(CT$3=$K514,IF($C514="L",1,IF($C514="1/2L",0.5,0)),0)</f>
        <v>0</v>
      </c>
      <c r="CV514" s="146">
        <f>IF(CV$3=$K514,IF($C514="W",1,IF($C514="1/2W",0.5,0)),0)</f>
        <v>0</v>
      </c>
      <c r="CW514" s="146">
        <f>IF(CV$3=$K514,IF($C514="L",1,IF($C514="1/2L",0.5,0)),0)</f>
        <v>0</v>
      </c>
      <c r="CX514" s="146">
        <f>IF(CX$3=$K514,IF($C514="W",1,IF($C514="1/2W",0.5,0)),0)</f>
        <v>0</v>
      </c>
      <c r="CY514" s="146">
        <f>IF(CX$3=$K514,IF($C514="L",1,IF($C514="1/2L",0.5,0)),0)</f>
        <v>0</v>
      </c>
      <c r="CZ514" s="146">
        <f>IF(CZ$3=$K514,IF($C514="W",1,IF($C514="1/2W",0.5,0)),0)</f>
        <v>0</v>
      </c>
      <c r="DA514" s="146">
        <f>IF(CZ$3=$K514,IF($C514="L",1,IF($C514="1/2L",0.5,0)),0)</f>
        <v>0</v>
      </c>
      <c r="DB514" s="146">
        <f>IF(DB$3=$K514,IF($C514="W",1,IF($C514="1/2W",0.5,0)),0)</f>
        <v>0</v>
      </c>
      <c r="DC514" s="146">
        <f>IF(DB$3=$K514,IF($C514="L",1,IF($C514="1/2L",0.5,0)),0)</f>
        <v>0</v>
      </c>
      <c r="DD514" s="146">
        <f>IF(DD$3=$K514,IF($C514="W",1,IF($C514="1/2W",0.5,0)),0)</f>
        <v>0</v>
      </c>
      <c r="DE514" s="147">
        <f>IF(DD$3=$K514,IF($C514="L",1,IF($C514="1/2L",0.5,0)),0)</f>
        <v>0</v>
      </c>
      <c r="DF514" s="143">
        <f>IF(AND(L514&lt;DF$3,$C514="W"),1+DF513,DF513)</f>
        <v>16</v>
      </c>
      <c r="DG514" s="133">
        <f>IF(DF514&gt;DF513,L514+DG513,DG513)</f>
        <v>21.158</v>
      </c>
      <c r="DH514" s="146">
        <f>IF(AND(L514&gt;DH$3,$C514="W"),1+DH513,0+DH513)</f>
        <v>11</v>
      </c>
      <c r="DI514" s="133">
        <f>IF(DH514&gt;DH513,L514+DI513,DI513)</f>
        <v>59.13</v>
      </c>
      <c r="DJ514" t="s" s="304">
        <f>IF($D514="","",$D514)</f>
        <v>396</v>
      </c>
      <c r="DK514" s="146">
        <f>IF(AND($B514=" ",$D514&lt;&gt;""),1,0)</f>
        <v>0</v>
      </c>
    </row>
    <row r="515" ht="14.55" customHeight="1">
      <c r="A515" s="107"/>
      <c r="B515" s="108"/>
      <c r="C515" t="s" s="109">
        <v>51</v>
      </c>
      <c r="D515" s="110"/>
      <c r="E515" s="111"/>
      <c r="F515" s="113"/>
      <c r="G515" s="252"/>
      <c r="H515" s="114"/>
      <c r="I515" t="s" s="275">
        <v>67</v>
      </c>
      <c r="J515" s="276">
        <f>IF(OR(I514="TO",I514="TU",I514="TO1",I514="TU1",I514="TO2",I514="TU2"),J514,IF(OR(I514="AH1",I514="AH2"),IF(OR(I515="AH1",I515="AH2"),-J514,IF(OR(I515="EH1",I515="EH2"),-J514+0.5,"")),IF(OR(I514="EH1",I514="EH2"),IF(OR(I515="AH1",I515="AH2"),-J514+0.5,IF(OR(I515="EH1",I515="EH2"),-J514+1,"")),IF(AND(OR(I514="DNB1",I514="DNB2"),OR(I515="AH1",I515="AH2")),0,IF(AND(I514="Not ScoreBoth",OR(I515="TO1",I515="TO2")),0.5,"")))))</f>
        <v>5.5</v>
      </c>
      <c r="K515" t="s" s="117">
        <v>37</v>
      </c>
      <c r="L515" s="277">
        <v>2.25</v>
      </c>
      <c r="M515" s="278">
        <f>15.85*2</f>
        <v>31.7</v>
      </c>
      <c r="N515" s="120"/>
      <c r="O515" s="121">
        <f>IF(OR(AE514="",AE515=""),"",ROUND(IF(L516&gt;0,IF(M515&gt;0,M515,IF(M514&gt;0,IF(N514=TRUE,ROUND((M514*AE515)/AE514,0),(M514*AE515)/AE514),IF(M515&gt;0,ROUND(M515,IF(N514=0,2,IF(N514=0.1,1,0))),IF(M516&gt;0,ROUND(O516*AE515/AE516,IF(N514=0,2,IF(N514=0.1,1,0))),0)))),IF(M515&gt;0,M515,ROUND((M514*AE515)/AE514,IF(N514=0,2,IF(N514=0.1,1,0))))),2))</f>
        <v>31.7</v>
      </c>
      <c r="P515" s="122">
        <f>IF(OR(L515="",O515=""),"",IF($C515="1/2W",O515/2+O515/2*L515,IF($C515="1/2L",O515/2,IF(I515="Lay",((O515*(L515/(L515-1)))-O515)*(1-_xlfn.XLOOKUP(K515,'Janeiro 2023 - Valor Real'!A3:A15,'Janeiro 2023 - Valor Real'!C3:C15,0))+O515,(O515*L515-O515)*(1-_xlfn.XLOOKUP(K515,'Janeiro 2023 - Valor Real'!A3:A15,'Janeiro 2023 - Valor Real'!C3:C15,0))+O515))))</f>
        <v>71.325</v>
      </c>
      <c r="Q515" s="279">
        <f>IF(K515="","",IF(_xlfn.XLOOKUP(K515,K$120:K294,DJ$120:DJ294,0,,-1)=DJ515,_xlfn.XLOOKUP(K515,K$120:K294,Q$120:Q294,1,,-1)+1,1))</f>
        <v>1</v>
      </c>
      <c r="R515" s="280">
        <f>IF(K515="","",_xlfn.XLOOKUP(K515,K$120:K294,R$120:R294,0,,-1)+IF($C515=" ",1,0))</f>
        <v>0</v>
      </c>
      <c r="S515" s="125"/>
      <c r="T515" s="126"/>
      <c r="U515" s="126"/>
      <c r="V515" s="224"/>
      <c r="W515" s="126"/>
      <c r="X515" s="127"/>
      <c r="Y515" s="128"/>
      <c r="Z515" s="129"/>
      <c r="AA515" s="129"/>
      <c r="AB515" s="129"/>
      <c r="AC515" s="129"/>
      <c r="AD515" s="130"/>
      <c r="AE515" s="131">
        <f>IF(L515="","",IF(L516&gt;0,(SUM(((L514-1)*(1-_xlfn.XLOOKUP(K514,'Janeiro 2023 - Valor Real'!A3:A15,'Janeiro 2023 - Valor Real'!C3:C15,0))+1),((L515-1)*(1-_xlfn.XLOOKUP(K515,'Janeiro 2023 - Valor Real'!A3:A15,'Janeiro 2023 - Valor Real'!C3:C15,0))+1),((L516-1)*(1-_xlfn.XLOOKUP(K516,'Janeiro 2023 - Valor Real'!A3:A15,'Janeiro 2023 - Valor Real'!C3:C15,0))+1))/((L515-1)*(1-_xlfn.XLOOKUP(K515,'Janeiro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Real'!C3:C15,0))+1))/((L514-1)*(1-_xlfn.XLOOKUP(K514,'Janeiro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Real'!C3:C15,0))+1))/((L515-1)*(1-_xlfn.XLOOKUP(K515,'Janeiro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Real'!C3:C15,0))+1))/((L516-1)*(1-_xlfn.XLOOKUP(K516,'Janeiro 2023 - Valor Real'!A3:A15,'Janeiro 2023 - Valor Real'!C3:C15,0))+1)),IF(I515="Lay",IF(I514="Lay",((L514/(L514-1)-1)*(1-_xlfn.XLOOKUP(K514,'Janeiro 2023 - Valor Real'!A3:A15,'Janeiro 2023 - Valor Real'!C3:C15,0))+1)/(((L514/(L514-1)-1)*(1-_xlfn.XLOOKUP(K514,'Janeiro 2023 - Valor Real'!A3:A15,'Janeiro 2023 - Valor Real'!C3:C15,0))+1)+((L515/(L515-1)-1)*(1-_xlfn.XLOOKUP(K515,'Janeiro 2023 - Valor Real'!A3:A15,'Janeiro 2023 - Valor Real'!C3:C15,0))+1)),((L514-1)*(1-_xlfn.XLOOKUP(K514,'Janeiro 2023 - Valor Real'!A3:A15,'Janeiro 2023 - Valor Real'!C3:C15,0))+1)/(((L514-1)*(1-_xlfn.XLOOKUP(K514,'Janeiro 2023 - Valor Real'!A3:A15,'Janeiro 2023 - Valor Real'!C3:C15,0))+1)+((L515/(L515-1)-1)*(1-_xlfn.XLOOKUP(K515,'Janeiro 2023 - Valor Real'!A3:A15,'Janeiro 2023 - Valor Real'!C3:C15,0))+1))),IF(I514="Lay",((L514/(L514-1)-1)*(1-_xlfn.XLOOKUP(K514,'Janeiro 2023 - Valor Real'!A3:A15,'Janeiro 2023 - Valor Real'!C3:C15,0))+1)/((((L514/(L514-1)-1)*(1-_xlfn.XLOOKUP(K514,'Janeiro 2023 - Valor Real'!A3:A15,'Janeiro 2023 - Valor Real'!C3:C15,0))+1))+((L515-1)*(1-_xlfn.XLOOKUP(K515,'Janeiro 2023 - Valor Real'!A3:A15,'Janeiro 2023 - Valor Real'!C3:C15,0))+1)),((L514-1)*(1-_xlfn.XLOOKUP(K514,'Janeiro 2023 - Valor Real'!A3:A15,'Janeiro 2023 - Valor Real'!C3:C15,0))+1)/(((L514-1)*(1-_xlfn.XLOOKUP(K514,'Janeiro 2023 - Valor Real'!A3:A15,'Janeiro 2023 - Valor Real'!C3:C15,0))+1)+((L515-1)*(1-_xlfn.XLOOKUP(K515,'Janeiro 2023 - Valor Real'!A3:A15,'Janeiro 2023 - Valor Real'!C3:C15,0))+1))))))</f>
        <v>0.457831325301205</v>
      </c>
      <c r="AF515" s="132">
        <f>IF($K515=AF$3,ROUND(IF(OR($C515="W",$C515="1/2W",$C515="1/2L"),$P515-$O515,IF($C515="X",0,-$O515)),2),0)</f>
        <v>-31.7</v>
      </c>
      <c r="AG515" s="133">
        <f>IF($K515=AG$3,ROUND(IF(OR($C515="W",$C515="1/2W",$C515="1/2L"),$P515-$O515,IF($C515="X",0,-$O515)),2),0)</f>
        <v>0</v>
      </c>
      <c r="AH515" s="133">
        <f>IF($K515=AH$3,ROUND(IF(OR($C515="W",$C515="1/2W",$C515="1/2L"),$P515-$O515,IF($C515="X",0,-$O515)),2),0)</f>
        <v>0</v>
      </c>
      <c r="AI515" s="133">
        <f>IF($K515=AI$3,ROUND(IF(OR($C515="W",$C515="1/2W",$C515="1/2L"),$P515-$O515,IF($C515="X",0,-$O515)),2),0)</f>
        <v>0</v>
      </c>
      <c r="AJ515" s="133">
        <f>IF($K515=AJ$3,ROUND(IF(OR($C515="W",$C515="1/2W",$C515="1/2L"),$P515-$O515,IF($C515="X",0,-$O515)),2),0)</f>
        <v>0</v>
      </c>
      <c r="AK515" s="133">
        <f>IF($K515=AK$3,ROUND(IF(OR($C515="W",$C515="1/2W",$C515="1/2L"),$P515-$O515,IF($C515="X",0,-$O515)),2),0)</f>
        <v>0</v>
      </c>
      <c r="AL515" s="133">
        <f>IF($K515=AL$3,ROUND(IF(OR($C515="W",$C515="1/2W",$C515="1/2L"),$P515-$O515,IF($C515="X",0,-$O515)),2),0)</f>
        <v>0</v>
      </c>
      <c r="AM515" s="133">
        <f>IF($K515=AM$3,ROUND(IF(OR($C515="W",$C515="1/2W",$C515="1/2L"),$P515-$O515,IF($C515="X",0,-$O515)),2),0)</f>
        <v>0</v>
      </c>
      <c r="AN515" s="133">
        <f>IF($K515=AN$3,ROUND(IF(OR($C515="W",$C515="1/2W",$C515="1/2L"),$P515-$O515,IF($C515="X",0,-$O515)),2),0)</f>
        <v>0</v>
      </c>
      <c r="AO515" s="133">
        <f>IF($K515=AO$3,ROUND(IF(OR($C515="W",$C515="1/2W",$C515="1/2L"),$P515-$O515,IF($C515="X",0,-$O515)),2),0)</f>
        <v>0</v>
      </c>
      <c r="AP515" s="133">
        <f>IF($K515=AP$3,ROUND(IF(OR($C515="W",$C515="1/2W",$C515="1/2L"),$P515-$O515,IF($C515="X",0,-$O515)),2),0)</f>
        <v>0</v>
      </c>
      <c r="AQ515" s="133">
        <f>IF($K515=AQ$3,ROUND(IF(OR($C515="W",$C515="1/2W",$C515="1/2L"),$P515-$O515,IF($C515="X",0,-$O515)),2),0)</f>
        <v>0</v>
      </c>
      <c r="AR515" s="134">
        <f>IF($K515=AR$3,ROUND(IF(OR($C515="W",$C515="1/2W",$C515="1/2L"),$P515-$O515,IF($C515="X",0,-$O515)),2),0)</f>
        <v>0</v>
      </c>
      <c r="AS515" s="132">
        <f>IF(AND($B514=" ",$K515=AS$3),$O515,0)</f>
        <v>0</v>
      </c>
      <c r="AT515" s="133">
        <f>IF(AND($B514=" ",K515=AT$3),$O515,0)</f>
        <v>0</v>
      </c>
      <c r="AU515" s="133">
        <f>IF(AND($B514=" ",$K515=AU$3),$O515,0)</f>
        <v>0</v>
      </c>
      <c r="AV515" s="133">
        <f>IF(AND($B514=" ",$K515=AV$3),$O515,0)</f>
        <v>0</v>
      </c>
      <c r="AW515" s="133">
        <f>IF(AND($B514=" ",$K515=AW$3),$O515,0)</f>
        <v>0</v>
      </c>
      <c r="AX515" s="133">
        <f>IF(AND($B514=" ",$K515=AX$3),$O515,0)</f>
        <v>0</v>
      </c>
      <c r="AY515" s="135">
        <f>IF(AND($B514=" ",$K515=AY$3),$O515,0)</f>
        <v>0</v>
      </c>
      <c r="AZ515" s="136">
        <f>IF(AND($B514=" ",$K515=AZ$3),$O515,0)</f>
        <v>0</v>
      </c>
      <c r="BA515" s="136">
        <f>IF(AND($B514=" ",$K515=BA$3),$O515,0)</f>
        <v>0</v>
      </c>
      <c r="BB515" s="136">
        <f>IF(AND($B514=" ",$K515=BB$3),$O515,0)</f>
        <v>0</v>
      </c>
      <c r="BC515" s="137">
        <f>IF(AND($B514=" ",$K515=BC$3),$O515,0)</f>
        <v>0</v>
      </c>
      <c r="BD515" s="133">
        <f>IF(AND($B514=" ",$K515=BD$3),$O515,0)</f>
        <v>0</v>
      </c>
      <c r="BE515" s="134">
        <f>IF(AND($B514=" ",$K515=BE$3),$O515,0)</f>
        <v>0</v>
      </c>
      <c r="BF515" s="132">
        <f>IF($K515=BF$3,IF($C515="X",0,$O515),0)</f>
        <v>31.7</v>
      </c>
      <c r="BG515" s="281">
        <f>IF($K515=BG$3,IF($C515="X",0,$O515),0)</f>
        <v>0</v>
      </c>
      <c r="BH515" s="133">
        <f>IF($K515=BH$3,IF($C515="X",0,$O515),0)</f>
        <v>0</v>
      </c>
      <c r="BI515" s="133">
        <f>IF($K515=BI$3,IF($C515="X",0,$O515),0)</f>
        <v>0</v>
      </c>
      <c r="BJ515" s="133">
        <f>IF($K515=BJ$3,IF($C515="X",0,$O515),0)</f>
        <v>0</v>
      </c>
      <c r="BK515" s="133">
        <f>IF($K515=BK$3,IF($C515="X",0,$O515),0)</f>
        <v>0</v>
      </c>
      <c r="BL515" s="133">
        <f>IF($K515=BL$3,IF($C515="X",0,$O515),0)</f>
        <v>0</v>
      </c>
      <c r="BM515" s="135">
        <f>IF($K515=BM$3,IF($C515="X",0,$O515),0)</f>
        <v>0</v>
      </c>
      <c r="BN515" s="136">
        <f>IF($K515=BN$3,IF($C515="X",0,$O515),0)</f>
        <v>0</v>
      </c>
      <c r="BO515" s="136">
        <f>IF($K515=BO$3,IF($C515="X",0,$O515),0)</f>
        <v>0</v>
      </c>
      <c r="BP515" s="136">
        <f>IF($K515=BP$3,IF($C515="X",0,$O515),0)</f>
        <v>0</v>
      </c>
      <c r="BQ515" s="137">
        <f>IF($K515=BQ$3,IF($C515="X",0,$O515),0)</f>
        <v>0</v>
      </c>
      <c r="BR515" s="134">
        <f>IF($K515=BR$3,IF($C515="X",0,$O515),0)</f>
        <v>0</v>
      </c>
      <c r="BS515" s="282"/>
      <c r="BT515" s="283"/>
      <c r="BU515" s="140"/>
      <c r="BV515" s="283"/>
      <c r="BW515" s="140"/>
      <c r="BX515" s="140"/>
      <c r="BY515" s="140"/>
      <c r="BZ515" s="283"/>
      <c r="CA515" s="140"/>
      <c r="CB515" s="140"/>
      <c r="CC515" s="140"/>
      <c r="CD515" s="141"/>
      <c r="CE515" s="142"/>
      <c r="CF515" s="284">
        <f>IF(CF$3=$K515,IF($C515="W",1,IF($C515="1/2W",0.5,0)),0)</f>
        <v>0</v>
      </c>
      <c r="CG515" s="285">
        <f>IF(CF$3=$K515,IF($C515="L",1,IF($C515="1/2L",0.5,0)),0)</f>
        <v>1</v>
      </c>
      <c r="CH515" s="285">
        <f>IF(CH$3=$K515,IF($C515="W",1,IF($C515="1/2W",0.5,0)),0)</f>
        <v>0</v>
      </c>
      <c r="CI515" s="285">
        <f>IF(CH$3=$K515,IF($C515="L",1,IF($C515="1/2L",0.5,0)),0)</f>
        <v>0</v>
      </c>
      <c r="CJ515" s="285">
        <f>IF(CJ$3=$K515,IF($C515="W",1,IF($C515="1/2W",0.5,0)),0)</f>
        <v>0</v>
      </c>
      <c r="CK515" s="285">
        <f>IF(CJ$3=$K515,IF($C515="L",1,IF($C515="1/2L",0.5,0)),0)</f>
        <v>0</v>
      </c>
      <c r="CL515" s="285">
        <f>IF(CL$3=$K515,IF($C515="W",1,IF($C515="1/2W",0.5,0)),0)</f>
        <v>0</v>
      </c>
      <c r="CM515" s="285">
        <f>IF(CL$3=$K515,IF($C515="L",1,IF($C515="1/2L",0.5,0)),0)</f>
        <v>0</v>
      </c>
      <c r="CN515" s="285">
        <f>IF(CN$3=$K515,IF($C515="W",1,IF($C515="1/2W",0.5,0)),0)</f>
        <v>0</v>
      </c>
      <c r="CO515" s="285">
        <f>IF(CN$3=$K515,IF($C515="L",1,IF($C515="1/2L",0.5,0)),0)</f>
        <v>0</v>
      </c>
      <c r="CP515" s="285">
        <f>IF(CP$3=$K515,IF($C515="W",1,IF($C515="1/2W",0.5,0)),0)</f>
        <v>0</v>
      </c>
      <c r="CQ515" s="285">
        <f>IF(CP$3=$K515,IF($C515="L",1,IF($C515="1/2L",0.5,0)),0)</f>
        <v>0</v>
      </c>
      <c r="CR515" s="285">
        <f>IF(CR$3=$K515,IF($C515="W",1,IF($C515="1/2W",0.5,0)),0)</f>
        <v>0</v>
      </c>
      <c r="CS515" s="285">
        <f>IF(CR$3=$K515,IF($C515="L",1,IF($C515="1/2L",0.5,0)),0)</f>
        <v>0</v>
      </c>
      <c r="CT515" s="145">
        <f>IF(CT$3=$K515,IF($C515="W",1,IF($C515="1/2W",0.5,0)),0)</f>
        <v>0</v>
      </c>
      <c r="CU515" s="146">
        <f>IF(CT$3=$K515,IF($C515="L",1,IF($C515="1/2L",0.5,0)),0)</f>
        <v>0</v>
      </c>
      <c r="CV515" s="146">
        <f>IF(CV$3=$K515,IF($C515="W",1,IF($C515="1/2W",0.5,0)),0)</f>
        <v>0</v>
      </c>
      <c r="CW515" s="146">
        <f>IF(CV$3=$K515,IF($C515="L",1,IF($C515="1/2L",0.5,0)),0)</f>
        <v>0</v>
      </c>
      <c r="CX515" s="146">
        <f>IF(CX$3=$K515,IF($C515="W",1,IF($C515="1/2W",0.5,0)),0)</f>
        <v>0</v>
      </c>
      <c r="CY515" s="146">
        <f>IF(CX$3=$K515,IF($C515="L",1,IF($C515="1/2L",0.5,0)),0)</f>
        <v>0</v>
      </c>
      <c r="CZ515" s="146">
        <f>IF(CZ$3=$K515,IF($C515="W",1,IF($C515="1/2W",0.5,0)),0)</f>
        <v>0</v>
      </c>
      <c r="DA515" s="146">
        <f>IF(CZ$3=$K515,IF($C515="L",1,IF($C515="1/2L",0.5,0)),0)</f>
        <v>0</v>
      </c>
      <c r="DB515" s="146">
        <f>IF(DB$3=$K515,IF($C515="W",1,IF($C515="1/2W",0.5,0)),0)</f>
        <v>0</v>
      </c>
      <c r="DC515" s="146">
        <f>IF(DB$3=$K515,IF($C515="L",1,IF($C515="1/2L",0.5,0)),0)</f>
        <v>0</v>
      </c>
      <c r="DD515" s="146">
        <f>IF(DD$3=$K515,IF($C515="W",1,IF($C515="1/2W",0.5,0)),0)</f>
        <v>0</v>
      </c>
      <c r="DE515" s="147">
        <f>IF(DD$3=$K515,IF($C515="L",1,IF($C515="1/2L",0.5,0)),0)</f>
        <v>0</v>
      </c>
      <c r="DF515" s="143">
        <f>IF(AND(L515&lt;DF$3,$C515="W"),1+DF514,DF514)</f>
        <v>16</v>
      </c>
      <c r="DG515" s="133">
        <f>IF(DF515&gt;DF514,L515+DG514,DG514)</f>
        <v>21.158</v>
      </c>
      <c r="DH515" s="146">
        <f>IF(AND(L515&gt;DH$3,$C515="W"),1+DH514,0+DH514)</f>
        <v>11</v>
      </c>
      <c r="DI515" s="133">
        <f>IF(DH515&gt;DH514,L515+DI514,DI514)</f>
        <v>59.13</v>
      </c>
      <c r="DJ515" t="s" s="304">
        <f>IF($D514="","",$D514)</f>
        <v>396</v>
      </c>
      <c r="DK515" s="286"/>
    </row>
    <row r="516" ht="14.55" customHeight="1">
      <c r="A516" s="149"/>
      <c r="B516" s="150"/>
      <c r="C516" t="s" s="151">
        <v>58</v>
      </c>
      <c r="D516" s="152"/>
      <c r="E516" s="153"/>
      <c r="F516" s="155"/>
      <c r="G516" s="252"/>
      <c r="H516" s="156"/>
      <c r="I516" s="287"/>
      <c r="J516" s="288"/>
      <c r="K516" s="156"/>
      <c r="L516" s="289"/>
      <c r="M516" s="290"/>
      <c r="N516" s="161"/>
      <c r="O516" t="s" s="162">
        <f>IF(OR(AE514="",AE515=""),"",IF(L516&gt;0,ROUND(IF(M516&gt;0,M516,IF(M514&gt;0,ROUND((M514*AE516)/AE514,IF(N514=0,2,IF(N514=0.1,1,0))),IF(M515&gt;0,ROUND((M515*AE516)/AE515,IF(N514=0,2,IF(N514=0.1,1,0))),IF(M516&gt;0,M516,0)))),2),""))</f>
      </c>
      <c r="P516" t="s" s="163">
        <f>IF(I515="Lay",O515*(L515/(L515-1))-O515,IF(I514="Lay",O514*(L514/(L514-1))-O514,IF(OR(L516="",O516=""),"",IF($C516="1/2W",O516/2+O516/2*L516,IF($C516="1/2L",O516/2,(O516*L516-O516)*(1-_xlfn.XLOOKUP(K516,'Janeiro 2023 - Valor Real'!A3:A15,'Janeiro 2023 - Valor Real'!C3:C15,0))+O516)))))</f>
      </c>
      <c r="Q516" t="s" s="154">
        <f>IF(K516="","",IF(_xlfn.XLOOKUP(K516,K$121:K295,DJ$121:DJ295,0,,-1)=DJ516,_xlfn.XLOOKUP(K516,K$121:K295,Q$121:Q295,1,,-1)+1,1))</f>
      </c>
      <c r="R516" t="s" s="163">
        <f>IF(K516="","",_xlfn.XLOOKUP(K516,K$121:K295,R$121:R295,0,,-1)+IF($C516=" ",1,0))</f>
      </c>
      <c r="S516" s="166"/>
      <c r="T516" s="155"/>
      <c r="U516" s="155"/>
      <c r="V516" s="166"/>
      <c r="W516" s="155"/>
      <c r="X516" s="167"/>
      <c r="Y516" s="128"/>
      <c r="Z516" s="129"/>
      <c r="AA516" s="129"/>
      <c r="AB516" s="129"/>
      <c r="AC516" s="129"/>
      <c r="AD516" s="168"/>
      <c r="AE516" t="s" s="169">
        <f>IF(L516="","",(SUM(((L514-1)*(1-_xlfn.XLOOKUP(K514,'Janeiro 2023 - Valor Real'!A3:A15,'Janeiro 2023 - Valor Real'!C3:C15,0))+1),((L515-1)*(1-_xlfn.XLOOKUP(K515,'Janeiro 2023 - Valor Real'!A3:A15,'Janeiro 2023 - Valor Real'!C3:C15,0))+1),((L516-1)*(1-_xlfn.XLOOKUP(K516,'Janeiro 2023 - Valor Real'!A3:A15,'Janeiro 2023 - Valor Real'!C3:C15,0))+1))/((L516-1)*(1-_xlfn.XLOOKUP(K516,'Janeiro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Real'!C3:C15,0))+1))/((L514-1)*(1-_xlfn.XLOOKUP(K514,'Janeiro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Real'!C3:C15,0))+1))/((L515-1)*(1-_xlfn.XLOOKUP(K515,'Janeiro 2023 - Valor Real'!A3:A15,'Janeiro 2023 - Valor Real'!C3:C15,0))+1)+SUM(((L514-1)*(1-_xlfn.XLOOKUP(K514,'Janeiro 2023 - Valor Real'!A3:A15,'Janeiro 2023 - Valor Real'!C3:C15,0))+1),((L515-1)*(1-_xlfn.XLOOKUP(K515,'Janeiro 2023 - Valor Real'!A3:A15,'Janeiro 2023 - Valor Real'!C3:C15,0))+1),((L516-1)*(1-_xlfn.XLOOKUP(K516,'Janeiro 2023 - Valor Real'!A3:A15,'Janeiro 2023 - Valor Real'!C3:C15,0))+1))/((L516-1)*(1-_xlfn.XLOOKUP(K516,'Janeiro 2023 - Valor Real'!A3:A15,'Janeiro 2023 - Valor Real'!C3:C15,0))+1)))</f>
      </c>
      <c r="AF516" s="132">
        <f>IF($K516=AF$3,ROUND(IF(OR($C516="W",$C516="1/2W",$C516="1/2L"),$P516-$O516,IF($C516="X",0,-$O516)),2),0)</f>
        <v>0</v>
      </c>
      <c r="AG516" s="133">
        <f>IF($K516=AG$3,ROUND(IF(OR($C516="W",$C516="1/2W",$C516="1/2L"),$P516-$O516,IF($C516="X",0,-$O516)),2),0)</f>
        <v>0</v>
      </c>
      <c r="AH516" s="133">
        <f>IF($K516=AH$3,ROUND(IF(OR($C516="W",$C516="1/2W",$C516="1/2L"),$P516-$O516,IF($C516="X",0,-$O516)),2),0)</f>
        <v>0</v>
      </c>
      <c r="AI516" s="133">
        <f>IF($K516=AI$3,ROUND(IF(OR($C516="W",$C516="1/2W",$C516="1/2L"),$P516-$O516,IF($C516="X",0,-$O516)),2),0)</f>
        <v>0</v>
      </c>
      <c r="AJ516" s="133">
        <f>IF($K516=AJ$3,ROUND(IF(OR($C516="W",$C516="1/2W",$C516="1/2L"),$P516-$O516,IF($C516="X",0,-$O516)),2),0)</f>
        <v>0</v>
      </c>
      <c r="AK516" s="133">
        <f>IF($K516=AK$3,ROUND(IF(OR($C516="W",$C516="1/2W",$C516="1/2L"),$P516-$O516,IF($C516="X",0,-$O516)),2),0)</f>
        <v>0</v>
      </c>
      <c r="AL516" s="133">
        <f>IF($K516=AL$3,ROUND(IF(OR($C516="W",$C516="1/2W",$C516="1/2L"),$P516-$O516,IF($C516="X",0,-$O516)),2),0)</f>
        <v>0</v>
      </c>
      <c r="AM516" s="133">
        <f>IF($K516=AM$3,ROUND(IF(OR($C516="W",$C516="1/2W",$C516="1/2L"),$P516-$O516,IF($C516="X",0,-$O516)),2),0)</f>
        <v>0</v>
      </c>
      <c r="AN516" s="133">
        <f>IF($K516=AN$3,ROUND(IF(OR($C516="W",$C516="1/2W",$C516="1/2L"),$P516-$O516,IF($C516="X",0,-$O516)),2),0)</f>
        <v>0</v>
      </c>
      <c r="AO516" s="133">
        <f>IF($K516=AO$3,ROUND(IF(OR($C516="W",$C516="1/2W",$C516="1/2L"),$P516-$O516,IF($C516="X",0,-$O516)),2),0)</f>
        <v>0</v>
      </c>
      <c r="AP516" s="133">
        <f>IF($K516=AP$3,ROUND(IF(OR($C516="W",$C516="1/2W",$C516="1/2L"),$P516-$O516,IF($C516="X",0,-$O516)),2),0)</f>
        <v>0</v>
      </c>
      <c r="AQ516" s="133">
        <f>IF($K516=AQ$3,ROUND(IF(OR($C516="W",$C516="1/2W",$C516="1/2L"),$P516-$O516,IF($C516="X",0,-$O516)),2),0)</f>
        <v>0</v>
      </c>
      <c r="AR516" s="134">
        <f>IF($K516=AR$3,ROUND(IF(OR($C516="W",$C516="1/2W",$C516="1/2L"),$P516-$O516,IF($C516="X",0,-$O516)),2),0)</f>
        <v>0</v>
      </c>
      <c r="AS516" s="132">
        <f>IF(AND($B514=" ",$K516=AS$3),$O516,0)</f>
        <v>0</v>
      </c>
      <c r="AT516" s="133">
        <f>IF(AND($B514=" ",K516=AT$3),$O516,0)</f>
        <v>0</v>
      </c>
      <c r="AU516" s="133">
        <f>IF(AND($B514=" ",$K516=AU$3),$O516,0)</f>
        <v>0</v>
      </c>
      <c r="AV516" s="133">
        <f>IF(AND($B514=" ",$K516=AV$3),$O516,0)</f>
        <v>0</v>
      </c>
      <c r="AW516" s="133">
        <f>IF(AND($B514=" ",$K516=AW$3),$O516,0)</f>
        <v>0</v>
      </c>
      <c r="AX516" s="133">
        <f>IF(AND($B514=" ",$K516=AX$3),$O516,0)</f>
        <v>0</v>
      </c>
      <c r="AY516" s="135">
        <f>IF(AND($B514=" ",$K516=AY$3),$O516,0)</f>
        <v>0</v>
      </c>
      <c r="AZ516" s="136">
        <f>IF(AND($B514=" ",$K516=AZ$3),$O516,0)</f>
        <v>0</v>
      </c>
      <c r="BA516" s="136">
        <f>IF(AND($B514=" ",$K516=BA$3),$O516,0)</f>
        <v>0</v>
      </c>
      <c r="BB516" s="136">
        <f>IF(AND($B514=" ",$K516=BB$3),$O516,0)</f>
        <v>0</v>
      </c>
      <c r="BC516" s="137">
        <f>IF(AND($B514=" ",$K516=BC$3),$O516,0)</f>
        <v>0</v>
      </c>
      <c r="BD516" s="133">
        <f>IF(AND($B514=" ",$K516=BD$3),$O516,0)</f>
        <v>0</v>
      </c>
      <c r="BE516" s="134">
        <f>IF(AND($B514=" ",$K516=BE$3),$O516,0)</f>
        <v>0</v>
      </c>
      <c r="BF516" s="132">
        <f>IF($K516=BF$3,IF($C516="X",0,$O516),0)</f>
        <v>0</v>
      </c>
      <c r="BG516" s="281">
        <f>IF($K516=BG$3,IF($C516="X",0,$O516),0)</f>
        <v>0</v>
      </c>
      <c r="BH516" s="133">
        <f>IF($K516=BH$3,IF($C516="X",0,$O516),0)</f>
        <v>0</v>
      </c>
      <c r="BI516" s="133">
        <f>IF($K516=BI$3,IF($C516="X",0,$O516),0)</f>
        <v>0</v>
      </c>
      <c r="BJ516" s="133">
        <f>IF($K516=BJ$3,IF($C516="X",0,$O516),0)</f>
        <v>0</v>
      </c>
      <c r="BK516" s="133">
        <f>IF($K516=BK$3,IF($C516="X",0,$O516),0)</f>
        <v>0</v>
      </c>
      <c r="BL516" s="133">
        <f>IF($K516=BL$3,IF($C516="X",0,$O516),0)</f>
        <v>0</v>
      </c>
      <c r="BM516" s="135">
        <f>IF($K516=BM$3,IF($C516="X",0,$O516),0)</f>
        <v>0</v>
      </c>
      <c r="BN516" s="136">
        <f>IF($K516=BN$3,IF($C516="X",0,$O516),0)</f>
        <v>0</v>
      </c>
      <c r="BO516" s="136">
        <f>IF($K516=BO$3,IF($C516="X",0,$O516),0)</f>
        <v>0</v>
      </c>
      <c r="BP516" s="136">
        <f>IF($K516=BP$3,IF($C516="X",0,$O516),0)</f>
        <v>0</v>
      </c>
      <c r="BQ516" s="137">
        <f>IF($K516=BQ$3,IF($C516="X",0,$O516),0)</f>
        <v>0</v>
      </c>
      <c r="BR516" s="134">
        <f>IF($K516=BR$3,IF($C516="X",0,$O516),0)</f>
        <v>0</v>
      </c>
      <c r="BS516" s="282"/>
      <c r="BT516" s="283"/>
      <c r="BU516" s="140"/>
      <c r="BV516" s="283"/>
      <c r="BW516" s="140"/>
      <c r="BX516" s="140"/>
      <c r="BY516" s="140"/>
      <c r="BZ516" s="283"/>
      <c r="CA516" s="140"/>
      <c r="CB516" s="140"/>
      <c r="CC516" s="140"/>
      <c r="CD516" s="141"/>
      <c r="CE516" s="142"/>
      <c r="CF516" s="284">
        <f>IF(CF$3=$K516,IF($C516="W",1,IF($C516="1/2W",0.5,0)),0)</f>
        <v>0</v>
      </c>
      <c r="CG516" s="285">
        <f>IF(CF$3=$K516,IF($C516="L",1,IF($C516="1/2L",0.5,0)),0)</f>
        <v>0</v>
      </c>
      <c r="CH516" s="285">
        <f>IF(CH$3=$K516,IF($C516="W",1,IF($C516="1/2W",0.5,0)),0)</f>
        <v>0</v>
      </c>
      <c r="CI516" s="285">
        <f>IF(CH$3=$K516,IF($C516="L",1,IF($C516="1/2L",0.5,0)),0)</f>
        <v>0</v>
      </c>
      <c r="CJ516" s="285">
        <f>IF(CJ$3=$K516,IF($C516="W",1,IF($C516="1/2W",0.5,0)),0)</f>
        <v>0</v>
      </c>
      <c r="CK516" s="285">
        <f>IF(CJ$3=$K516,IF($C516="L",1,IF($C516="1/2L",0.5,0)),0)</f>
        <v>0</v>
      </c>
      <c r="CL516" s="285">
        <f>IF(CL$3=$K516,IF($C516="W",1,IF($C516="1/2W",0.5,0)),0)</f>
        <v>0</v>
      </c>
      <c r="CM516" s="285">
        <f>IF(CL$3=$K516,IF($C516="L",1,IF($C516="1/2L",0.5,0)),0)</f>
        <v>0</v>
      </c>
      <c r="CN516" s="285">
        <f>IF(CN$3=$K516,IF($C516="W",1,IF($C516="1/2W",0.5,0)),0)</f>
        <v>0</v>
      </c>
      <c r="CO516" s="285">
        <f>IF(CN$3=$K516,IF($C516="L",1,IF($C516="1/2L",0.5,0)),0)</f>
        <v>0</v>
      </c>
      <c r="CP516" s="285">
        <f>IF(CP$3=$K516,IF($C516="W",1,IF($C516="1/2W",0.5,0)),0)</f>
        <v>0</v>
      </c>
      <c r="CQ516" s="285">
        <f>IF(CP$3=$K516,IF($C516="L",1,IF($C516="1/2L",0.5,0)),0)</f>
        <v>0</v>
      </c>
      <c r="CR516" s="285">
        <f>IF(CR$3=$K516,IF($C516="W",1,IF($C516="1/2W",0.5,0)),0)</f>
        <v>0</v>
      </c>
      <c r="CS516" s="285">
        <f>IF(CR$3=$K516,IF($C516="L",1,IF($C516="1/2L",0.5,0)),0)</f>
        <v>0</v>
      </c>
      <c r="CT516" s="145">
        <f>IF(CT$3=$K516,IF($C516="W",1,IF($C516="1/2W",0.5,0)),0)</f>
        <v>0</v>
      </c>
      <c r="CU516" s="146">
        <f>IF(CT$3=$K516,IF($C516="L",1,IF($C516="1/2L",0.5,0)),0)</f>
        <v>0</v>
      </c>
      <c r="CV516" s="146">
        <f>IF(CV$3=$K516,IF($C516="W",1,IF($C516="1/2W",0.5,0)),0)</f>
        <v>0</v>
      </c>
      <c r="CW516" s="146">
        <f>IF(CV$3=$K516,IF($C516="L",1,IF($C516="1/2L",0.5,0)),0)</f>
        <v>0</v>
      </c>
      <c r="CX516" s="146">
        <f>IF(CX$3=$K516,IF($C516="W",1,IF($C516="1/2W",0.5,0)),0)</f>
        <v>0</v>
      </c>
      <c r="CY516" s="146">
        <f>IF(CX$3=$K516,IF($C516="L",1,IF($C516="1/2L",0.5,0)),0)</f>
        <v>0</v>
      </c>
      <c r="CZ516" s="146">
        <f>IF(CZ$3=$K516,IF($C516="W",1,IF($C516="1/2W",0.5,0)),0)</f>
        <v>0</v>
      </c>
      <c r="DA516" s="146">
        <f>IF(CZ$3=$K516,IF($C516="L",1,IF($C516="1/2L",0.5,0)),0)</f>
        <v>0</v>
      </c>
      <c r="DB516" s="146">
        <f>IF(DB$3=$K516,IF($C516="W",1,IF($C516="1/2W",0.5,0)),0)</f>
        <v>0</v>
      </c>
      <c r="DC516" s="146">
        <f>IF(DB$3=$K516,IF($C516="L",1,IF($C516="1/2L",0.5,0)),0)</f>
        <v>0</v>
      </c>
      <c r="DD516" s="146">
        <f>IF(DD$3=$K516,IF($C516="W",1,IF($C516="1/2W",0.5,0)),0)</f>
        <v>0</v>
      </c>
      <c r="DE516" s="147">
        <f>IF(DD$3=$K516,IF($C516="L",1,IF($C516="1/2L",0.5,0)),0)</f>
        <v>0</v>
      </c>
      <c r="DF516" s="143">
        <f>IF(AND(L516&lt;DF$3,$C516="W"),1+DF515,DF515)</f>
        <v>16</v>
      </c>
      <c r="DG516" s="133">
        <f>IF(DF516&gt;DF515,L516+DG515,DG515)</f>
        <v>21.158</v>
      </c>
      <c r="DH516" s="146">
        <f>IF(AND(L516&gt;DH$3,$C516="W"),1+DH515,0+DH515)</f>
        <v>11</v>
      </c>
      <c r="DI516" s="133">
        <f>IF(DH516&gt;DH515,L516+DI515,DI515)</f>
        <v>59.13</v>
      </c>
      <c r="DJ516" t="s" s="304">
        <f>IF($D514="","",$D514)</f>
        <v>396</v>
      </c>
      <c r="DK516" s="286"/>
    </row>
    <row r="517" ht="14.55" customHeight="1">
      <c r="A517" s="171">
        <f>$A514+1</f>
        <v>172</v>
      </c>
      <c r="B517" t="s" s="172">
        <f>IF(AND(_xlfn.XLOOKUP(H517,H$122:H290,G$122:G290,0)=G517,_xlfn.XLOOKUP("TempoBet",K517:K519,L517:L519,0)&gt;0),"X",IF(OR(C517="W",C518="W",C519="W",C517="1/2W",C518="1/2W",C519="1/2W",C517="1/2L",C518="1/2L",C519="1/2L"),"OK",IF(OR(C517="L",C518="L",C519="L"),"LOSS",IF(OR(C517="X",C518="X",C519="X"),"Anulado"," "))))</f>
        <v>50</v>
      </c>
      <c r="C517" t="s" s="173">
        <v>51</v>
      </c>
      <c r="D517" t="s" s="305">
        <f>IF(G517="","",$D514)</f>
        <v>396</v>
      </c>
      <c r="E517" t="s" s="175">
        <f>IF(G517=""," ","– "&amp;COUNTIF(D$4:D519,$D517))</f>
        <v>59</v>
      </c>
      <c r="F517" t="s" s="176"/>
      <c r="G517" s="177">
        <v>44953.645833333336</v>
      </c>
      <c r="H517" t="s" s="178">
        <v>399</v>
      </c>
      <c r="I517" t="s" s="179">
        <v>65</v>
      </c>
      <c r="J517" s="291">
        <v>5.5</v>
      </c>
      <c r="K517" t="s" s="181">
        <v>44</v>
      </c>
      <c r="L517" s="182">
        <v>2.06</v>
      </c>
      <c r="M517" s="183"/>
      <c r="N517" s="184">
        <v>0</v>
      </c>
      <c r="O517" s="185">
        <f>IF(OR(AE517="",AE518=""),"",ROUND(IF(L519&gt;0,IF(M517&gt;0,M517,IF(M518&gt;0,ROUND((M518*AE517)/AE518,IF(N517=0,2,IF(N517=0.1,1,0))),ROUND((M519*AE517)/AE519,IF(N517=0,2,IF(N517=0.1,1,0))))),IF(M517&gt;0,M517,ROUND((M518*AE517)/AE518,IF(N517=0,2,IF(N517=0.1,1,0))))),2))</f>
        <v>11.27</v>
      </c>
      <c r="P517" s="186">
        <f>IF(OR(L517="",O517=""),"",IF($C517="1/2W",O517/2+O517/2*L517,IF($C517="1/2L",O517/2,IF(I517="Lay",(O517*(L517/(L517-1))-O517)*(1-_xlfn.XLOOKUP(K517,'Janeiro 2023 - Valor Real'!A3:A15,'Janeiro 2023 - Valor Real'!C3:C15,0))+O517,(O517*L517-O517)*(1-_xlfn.XLOOKUP(K517,'Janeiro 2023 - Valor Real'!A3:A15,'Janeiro 2023 - Valor Real'!C3:C15,0))+O517))))</f>
        <v>23.2162</v>
      </c>
      <c r="Q517" s="187">
        <f>IF(K517="","",IF(_xlfn.XLOOKUP(K517,K$122:K290,DJ$122:DJ290,0,,-1)=DJ517,_xlfn.XLOOKUP(K517,K$122:K290,Q$122:Q290,1,,-1)+1,1))</f>
        <v>1</v>
      </c>
      <c r="R517" s="188">
        <f>IF(K517="","",_xlfn.XLOOKUP(K517,K$122:K290,R$122:R290,0,,-1)+IF($C517=" ",1,0))</f>
        <v>0</v>
      </c>
      <c r="S517" s="189">
        <f>IF($B517="Anulado",0,ROUND(IF(OR($B517="LOSS",$B517="OK"),IF(OR($C517="W",$C517="1/2W",$C517="1/2L"),P517-O517,IF($C517="L",-O517,0))+IF(OR($C518="W",$C518="1/2W",$C518="1/2L"),P518-O518,IF($C518="L",-O518,0))+IF(OR($C519="W",$C519="1/2W",$C519="1/2L"),P519-O519,IF($C519="L",-O519,0)),IF(AND(OR($C517="W",$C517="1/2W",$C517="1/2L"),C518="W"),P517+P518-SUM(O517:O519)+_xlfn.XLOOKUP("X",C517:C519,O517:O519,0),IF(AND(C517=TRUE,C519="W"),P517+P519-SUM(O517:O519),IF(AND(C518="W",C519="W"),P518+P519-SUM(O517:O519)+_xlfn.XLOOKUP("X",C517:C519,O517:O519,0),IF(L519&gt;0,IF(OR($C517="W",$C517="1/2W",$C517="1/2L"),P517-SUM(O517:O519)+_xlfn.XLOOKUP("X",C517:C519,O517:O519,0),IF(OR($C517="W",$C517="1/2W",$C517="1/2L"),P518-SUM(O517:O519)+_xlfn.XLOOKUP("X",C517:C519,O517:O519,0),IF(OR($C517="W",$C517="1/2W",$C517="1/2L"),P519-SUM(O517:O519)+_xlfn.XLOOKUP("X",C517:C519,O517:O519,0),IF(SUM(P517:P519)/3-SUM(O517:O519)+_xlfn.XLOOKUP("X",C517:C519,O517:O519,0)&gt;0,SUM(P517:P519)/3-SUM(O517:O519)+_xlfn.XLOOKUP("X",C517:C519,O517:O519,0),LARGE(P517:P519,1)-SUM(O517:O519))))),IF(OR($C517="W",$C517="1/2W",$C517="1/2L"),P517-SUM(O517:O518)+_xlfn.XLOOKUP("X",C517:C519,O517:O519,0),IF(OR($C517="W",$C517="1/2W",$C517="1/2L"),P518-SUM(O517:O518)+_xlfn.XLOOKUP("X",C517:C519,O517:O519,0),SUM(P517:P518)/2-SUM(O517:O518)+_xlfn.XLOOKUP("X",C517:C519,O517:O519,0)))))))),2))</f>
        <v>-0.02</v>
      </c>
      <c r="T517" s="190">
        <f>IF(S517=0,0,S517/SUM(O517:O519))</f>
        <v>-0.000860585197934596</v>
      </c>
      <c r="U517" s="191">
        <f>IF($D517=$D514,IF(OR($B517="LOSS",$B517="OK",$B517="Anulada"),S517,0)+U514,IF(OR($B517="LOSS",$B517="OK",$B517="Anulada"),S517,0))</f>
        <v>2.03</v>
      </c>
      <c r="V517" s="191">
        <f>IF($D517="",0,IF($D517=$D514,IF($B517=" ",IF(I519="",IF(OR(AND(I517="DNB1",I518="DNB2"),AND(OR(I517="DNB1",I517="DNB2"),J518=0),AND(OR(I518="DNB1",I518="DNB2"),J517=0),AND(I517="DNB2",I518="DNB1"),AND(IF(J517=0,(J517+1)/ROUND(J517+1,0),J517/ROUND(J517,0))=1,IF(J518=0,(J518+1)/ROUND(IF(J518="",0,J518)+1,0),IF(J518="",0,J518)/ROUND(IF(J518="",1,J518),0))=1,OR(J517&lt;&gt;""),J518&lt;&gt;"")),0,IF(S517&lt;0,IF(I519="",SMALL(P517:P518,1)-SUM(O517:O518),0),SMALL(P517:P518,1)-SUM(O517:O518))),IF(S517&lt;0,IF(I519="",SMALL(P517:P519,1)-SUM(O517:O519),0),LARGE(P517:P519,1)-SUM(O517:O519))),S517)+V514,IF(I519="",IF(OR(AND(I517="DNB1",I518="DNB2"),AND(OR(I517="DNB1",I517="DNB2"),J518=0),AND(OR(I518="DNB1",I518="DNB2"),J517=0),AND(I517="DNB2",I518="DNB1"),AND(IF(J517=0,(J517+1)/ROUND(J517+1,0),J517/ROUND(J517,0))=1,IF(J518=0,(IF(J518="",0,J518)+1)/ROUND(IF(J518="",0,J518)+1,0),IF(J518="",0,J518)/ROUND(IF(J518="",0,J518)+1,0))=1,OR(J517&lt;&gt;""),J518&lt;&gt;"")),0,IF(S517&lt;0,IF(I519="",SMALL(P517:P518,1)-SUM(O517:O518),0),SMALL(P517:P519,1)-SUM(O517:O519))),IF(S517&lt;0,IF(I519="",SMALL(P517:P519,1)-SUM(O517:O519),0),LARGE(P517:P519,1)-SUM(O517:O519)))))</f>
        <v>2.03</v>
      </c>
      <c r="W517" s="191">
        <f>IF($D517=$D514,IF(S517&lt;0,IF(I519="",S517,0),S517)+W514,S517)</f>
        <v>2.03</v>
      </c>
      <c r="X517" t="s" s="192">
        <f>IF(OR(SUM(R517:R519)=0,V517=W517),ROUND(IF(W517=0,0,W517/Y517)*100,2)&amp;"%",ROUND(IF(V517=0,0,V517/Y517)*100,2)&amp;"% a "&amp;ROUND(IF(W517=0,0,W517/Y517)*100,2)&amp;"%")</f>
        <v>400</v>
      </c>
      <c r="Y517" s="193">
        <f>IF($D517=$D514,Y514+SUM(O517:O519),SUM(O517:O519))</f>
        <v>92.44</v>
      </c>
      <c r="Z517" s="191">
        <f>IF($B517=" ",SUM(O517:O519),0)+Z514</f>
        <v>0</v>
      </c>
      <c r="AA517" s="191">
        <f>IF(G517="","",IF($B517="Anulado",LARGE(P517:P519,1)-SUM(O517:O519)+AA514,AA514))</f>
        <v>24.9665076923077</v>
      </c>
      <c r="AB517" s="191">
        <f>IF($D517="","",AB514+S517)</f>
        <v>341.27</v>
      </c>
      <c r="AC517" s="194">
        <f>IF($D517="","",IF($B517=" ",IF(DAY(G517)=DAY(TODAY()),1+AC514,0+AC514),0+AC514))</f>
        <v>0</v>
      </c>
      <c r="AD517" s="195">
        <f>(((L518/(L518-1)-1)*(1-_xlfn.XLOOKUP(K518,'Janeiro 2023 - Valor Real'!A3:A15,'Janeiro 2023 - Valor Real'!C3:C15,0))+1))/(((L517-1)*(1-_xlfn.XLOOKUP(K517,'Janeiro 2023 - Valor Real'!A3:A15,'Janeiro 2023 - Valor Real'!C3:C15,0))+1)+((L518/(L518-1)-1)*(1-_xlfn.XLOOKUP(K518,'Janeiro 2023 - Valor Real'!A3:A15,'Janeiro 2023 - Valor Real'!C3:C15,0))+1))</f>
        <v>0.500464348364462</v>
      </c>
      <c r="AE517" s="196">
        <f>IF(L517="","",IF(L519&gt;0,(SUM(((L517-1)*(1-_xlfn.XLOOKUP(K517,'Janeiro 2023 - Valor Real'!A3:A15,'Janeiro 2023 - Valor Real'!C3:C15,0))+1),((L518-1)*(1-_xlfn.XLOOKUP(K518,'Janeiro 2023 - Valor Real'!A3:A15,'Janeiro 2023 - Valor Real'!C3:C15,0))+1),((L519-1)*(1-_xlfn.XLOOKUP(K519,'Janeiro 2023 - Valor Real'!A3:A15,'Janeiro 2023 - Valor Real'!C3:C15,0))+1))/((L517-1)*(1-_xlfn.XLOOKUP(K517,'Janeiro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Real'!C3:C15,0))+1))/((L517-1)*(1-_xlfn.XLOOKUP(K517,'Janeiro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Real'!C3:C15,0))+1))/((L518-1)*(1-_xlfn.XLOOKUP(K518,'Janeiro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Real'!C3:C15,0))+1))/((L519-1)*(1-_xlfn.XLOOKUP(K519,'Janeiro 2023 - Valor Real'!A3:A15,'Janeiro 2023 - Valor Real'!C3:C15,0))+1)),IF(I517="Lay",IF(I518="Lay",((L518/(L518-1)-1)*(1-_xlfn.XLOOKUP(K518,'Janeiro 2023 - Valor Real'!A3:A15,'Janeiro 2023 - Valor Real'!C3:C15,0))+1)/(((L518/(L518-1)-1)*(1-_xlfn.XLOOKUP(K518,'Janeiro 2023 - Valor Real'!A3:A15,'Janeiro 2023 - Valor Real'!C3:C15,0))+1)+((L517/(L517-1)-1)*(1-_xlfn.XLOOKUP(K517,'Janeiro 2023 - Valor Real'!A3:A15,'Janeiro 2023 - Valor Real'!C3:C15,0))+1)),((L518-1)*(1-_xlfn.XLOOKUP(K518,'Janeiro 2023 - Valor Real'!A3:A15,'Janeiro 2023 - Valor Real'!C3:C15,0))+1)/(((L518-1)*(1-_xlfn.XLOOKUP(K518,'Janeiro 2023 - Valor Real'!A3:A15,'Janeiro 2023 - Valor Real'!C3:C15,0))+1)+((L517/(L517-1)-1)*(1-_xlfn.XLOOKUP(K517,'Janeiro 2023 - Valor Real'!A3:A15,'Janeiro 2023 - Valor Real'!C3:C15,0))+1))),IF(I518="Lay",(((L518/(L518-1)-1)*(1-_xlfn.XLOOKUP(K518,'Janeiro 2023 - Valor Real'!A3:A15,'Janeiro 2023 - Valor Real'!C3:C15,0))+1))/(((L517-1)*(1-_xlfn.XLOOKUP(K517,'Janeiro 2023 - Valor Real'!A3:A15,'Janeiro 2023 - Valor Real'!C3:C15,0))+1)+((L518/(L518-1)-1)*(1-_xlfn.XLOOKUP(K518,'Janeiro 2023 - Valor Real'!A3:A15,'Janeiro 2023 - Valor Real'!C3:C15,0))+1)),((L518-1)*(1-_xlfn.XLOOKUP(K518,'Janeiro 2023 - Valor Real'!A3:A15,'Janeiro 2023 - Valor Real'!C3:C15,0))+1)/(((L518-1)*(1-_xlfn.XLOOKUP(K518,'Janeiro 2023 - Valor Real'!A3:A15,'Janeiro 2023 - Valor Real'!C3:C15,0))+1)+((L517-1)*(1-_xlfn.XLOOKUP(K517,'Janeiro 2023 - Valor Real'!A3:A15,'Janeiro 2023 - Valor Real'!C3:C15,0))+1))))))</f>
        <v>0.485</v>
      </c>
      <c r="AF517" s="197">
        <f>IF($K517=AF$3,ROUND(IF(OR($C517="W",$C517="1/2W",$C517="1/2L"),$P517-$O517,IF($C517="X",0,-$O517)),2),0)</f>
        <v>0</v>
      </c>
      <c r="AG517" s="198">
        <f>IF($K517=AG$3,ROUND(IF(OR($C517="W",$C517="1/2W",$C517="1/2L"),$P517-$O517,IF($C517="X",0,-$O517)),2),0)</f>
        <v>0</v>
      </c>
      <c r="AH517" s="198">
        <f>IF($K517=AH$3,ROUND(IF(OR($C517="W",$C517="1/2W",$C517="1/2L"),$P517-$O517,IF($C517="X",0,-$O517)),2),0)</f>
        <v>0</v>
      </c>
      <c r="AI517" s="198">
        <f>IF($K517=AI$3,ROUND(IF(OR($C517="W",$C517="1/2W",$C517="1/2L"),$P517-$O517,IF($C517="X",0,-$O517)),2),0)</f>
        <v>0</v>
      </c>
      <c r="AJ517" s="198">
        <f>IF($K517=AJ$3,ROUND(IF(OR($C517="W",$C517="1/2W",$C517="1/2L"),$P517-$O517,IF($C517="X",0,-$O517)),2),0)</f>
        <v>0</v>
      </c>
      <c r="AK517" s="198">
        <f>IF($K517=AK$3,ROUND(IF(OR($C517="W",$C517="1/2W",$C517="1/2L"),$P517-$O517,IF($C517="X",0,-$O517)),2),0)</f>
        <v>0</v>
      </c>
      <c r="AL517" s="198">
        <f>IF($K517=AL$3,ROUND(IF(OR($C517="W",$C517="1/2W",$C517="1/2L"),$P517-$O517,IF($C517="X",0,-$O517)),2),0)</f>
        <v>0</v>
      </c>
      <c r="AM517" s="198">
        <f>IF($K517=AM$3,ROUND(IF(OR($C517="W",$C517="1/2W",$C517="1/2L"),$P517-$O517,IF($C517="X",0,-$O517)),2),0)</f>
        <v>-11.27</v>
      </c>
      <c r="AN517" s="198">
        <f>IF($K517=AN$3,ROUND(IF(OR($C517="W",$C517="1/2W",$C517="1/2L"),$P517-$O517,IF($C517="X",0,-$O517)),2),0)</f>
        <v>0</v>
      </c>
      <c r="AO517" s="198">
        <f>IF($K517=AO$3,ROUND(IF(OR($C517="W",$C517="1/2W",$C517="1/2L"),$P517-$O517,IF($C517="X",0,-$O517)),2),0)</f>
        <v>0</v>
      </c>
      <c r="AP517" s="198">
        <f>IF($K517=AP$3,ROUND(IF(OR($C517="W",$C517="1/2W",$C517="1/2L"),$P517-$O517,IF($C517="X",0,-$O517)),2),0)</f>
        <v>0</v>
      </c>
      <c r="AQ517" s="198">
        <f>IF($K517=AQ$3,ROUND(IF(OR($C517="W",$C517="1/2W",$C517="1/2L"),$P517-$O517,IF($C517="X",0,-$O517)),2),0)</f>
        <v>0</v>
      </c>
      <c r="AR517" s="199">
        <f>IF($K517=AR$3,ROUND(IF(OR($C517="W",$C517="1/2W",$C517="1/2L"),$P517-$O517,IF($C517="X",0,-$O517)),2),0)</f>
        <v>0</v>
      </c>
      <c r="AS517" s="197">
        <f>IF(AND($B517=" ",$K517=AS$3),$O517,0)</f>
        <v>0</v>
      </c>
      <c r="AT517" s="198">
        <f>IF(AND($B517=" ",$K517=AT$3),$O517,0)</f>
        <v>0</v>
      </c>
      <c r="AU517" s="198">
        <f>IF(AND($B517=" ",$K517=AU$3),$O517,0)</f>
        <v>0</v>
      </c>
      <c r="AV517" s="198">
        <f>IF(AND($B517=" ",$K517=AV$3),$O517,0)</f>
        <v>0</v>
      </c>
      <c r="AW517" s="198">
        <f>IF(AND($B517=" ",$K517=AW$3),$O517,0)</f>
        <v>0</v>
      </c>
      <c r="AX517" s="198">
        <f>IF(AND($B517=" ",$K517=AX$3),$O517,0)</f>
        <v>0</v>
      </c>
      <c r="AY517" s="200">
        <f>IF(AND($B517=" ",$K517=AY$3),$O517,0)</f>
        <v>0</v>
      </c>
      <c r="AZ517" s="201">
        <f>IF(AND($B517=" ",$K517=AZ$3),$O517,0)</f>
        <v>0</v>
      </c>
      <c r="BA517" s="201">
        <f>IF(AND($B517=" ",$K517=BA$3),$O517,0)</f>
        <v>0</v>
      </c>
      <c r="BB517" s="201">
        <f>IF(AND($B517=" ",$K517=BB$3),$O517,0)</f>
        <v>0</v>
      </c>
      <c r="BC517" s="202">
        <f>IF(AND($B517=" ",$K517=BC$3),$O517,0)</f>
        <v>0</v>
      </c>
      <c r="BD517" s="198">
        <f>IF(AND($B517=" ",$K517=BD$3),$O517,0)</f>
        <v>0</v>
      </c>
      <c r="BE517" s="199">
        <f>IF(AND($B517=" ",$K517=BE$3),$O517,0)</f>
        <v>0</v>
      </c>
      <c r="BF517" s="203">
        <f>IF($K517=BF$3,IF($C517="X",0,$O517),0)</f>
        <v>0</v>
      </c>
      <c r="BG517" s="198">
        <f>IF($K517=BG$3,IF($C517="X",0,$O517),0)</f>
        <v>0</v>
      </c>
      <c r="BH517" s="198">
        <f>IF($K517=BH$3,IF($C517="X",0,$O517),0)</f>
        <v>0</v>
      </c>
      <c r="BI517" s="198">
        <f>IF($K517=BI$3,IF($C517="X",0,$O517),0)</f>
        <v>0</v>
      </c>
      <c r="BJ517" s="198">
        <f>IF($K517=BJ$3,IF($C517="X",0,$O517),0)</f>
        <v>0</v>
      </c>
      <c r="BK517" s="198">
        <f>IF($K517=BK$3,IF($C517="X",0,$O517),0)</f>
        <v>0</v>
      </c>
      <c r="BL517" s="198">
        <f>IF($K517=BL$3,IF($C517="X",0,$O517),0)</f>
        <v>0</v>
      </c>
      <c r="BM517" s="200">
        <f>IF($K517=BM$3,IF($C517="X",0,$O517),0)</f>
        <v>11.27</v>
      </c>
      <c r="BN517" s="201">
        <f>IF($K517=BN$3,IF($C517="X",0,$O517),0)</f>
        <v>0</v>
      </c>
      <c r="BO517" s="201">
        <f>IF($K517=BO$3,IF($C517="X",0,$O517),0)</f>
        <v>0</v>
      </c>
      <c r="BP517" s="201">
        <f>IF($K517=BP$3,IF($C517="X",0,$O517),0)</f>
        <v>0</v>
      </c>
      <c r="BQ517" s="202">
        <f>IF($K517=BQ$3,IF($C517="X",0,$O517),0)</f>
        <v>0</v>
      </c>
      <c r="BR517" s="199">
        <f>IF($K517=BR$3,IF($C517="X",0,$O517),0)</f>
        <v>0</v>
      </c>
      <c r="BS517" s="204">
        <f>IF($B517="LOSS",IF(AND($K517=BS$3,$C517="L"),-$O517,0)+IF(AND($K518=BS$3,$C518="L"),-$O518,0)+IF(AND($K519=BS$3,$C519="L"),-$O519,0),IF(OR(AND($K517=BS$3,OR($C517="W",$C517="1/2W")),AND($K518=BS$3,OR($C518="W",$C518="1/2W")),AND($K519=BS$3,OR($C519="W",$C519="1/2W"))),$S517,0))</f>
        <v>0</v>
      </c>
      <c r="BT517" s="201">
        <f>IF($B517="LOSS",IF(AND($K517=BT$3,$C517="L"),-$O517,0)+IF(AND($K518=BT$3,$C518="L"),-$O518,0)+IF(AND($K518=BT$3,$C519="L"),-$O519,0),IF(OR(AND($K518=BT$3,OR($C517="W",$C517="1/2W")),AND($K518=BT$3,OR($C518="W",$C518="1/2W")),AND($K518=BT$3,OR($C519="W",$C519="1/2W"))),$S517,0))</f>
        <v>0</v>
      </c>
      <c r="BU517" s="201">
        <f>IF($B517="LOSS",IF(AND($K517=BU$3,$C517="L"),-$O517,0)+IF(AND($K518=BU$3,$C518="L"),-$O518,0)+IF(AND($K518=BU$3,$C519="L"),-$O519,0),IF(OR(AND($K518=BU$3,OR($C517="W",$C517="1/2W")),AND($K518=BU$3,OR($C518="W",$C518="1/2W")),AND($K518=BU$3,OR($C519="W",$C519="1/2W"))),$S517,0))</f>
        <v>0</v>
      </c>
      <c r="BV517" s="201">
        <f>IF($B517="LOSS",IF(AND($K517=BV$3,$C517="L"),-$O517,0)+IF(AND($K518=BV$3,$C518="L"),-$O518,0)+IF(AND($K519=BV$3,$C519="L"),-$O519,0),IF(OR(AND($K517=BV$3,OR($C517="W",$C517="1/2W")),AND($K518=BV$3,OR($C518="W",$C518="1/2W")),AND($K519=BV$3,OR($C519="W",$C519="1/2W"))),$S517,0))</f>
        <v>0</v>
      </c>
      <c r="BW517" s="201">
        <f>IF($B517="LOSS",IF(AND($K517=BW$3,$C517="L"),-$O517,0)+IF(AND($K518=BW$3,$C518="L"),-$O518,0)+IF(AND($K519=BW$3,$C519="L"),-$O519,0),IF(OR(AND($K517=BW$3,OR($C517="W",$C517="1/2W")),AND($K518=BW$3,OR($C518="W",$C518="1/2W")),AND($K519=BW$3,OR($C519="W",$C519="1/2W"))),$S517,0))</f>
        <v>-0.02</v>
      </c>
      <c r="BX517" s="201">
        <f>IF($B517="LOSS",IF(AND($K517=BX$3,$C517="L"),-$O517,0)+IF(AND($K518=BX$3,$C518="L"),-$O518,0)+IF(AND($K519=BX$3,$C519="L"),-$O519,0),IF(OR(AND($K517=BX$3,OR($C517="W",$C517="1/2W")),AND($K518=BX$3,OR($C518="W",$C518="1/2W")),AND($K519=BX$3,OR($C519="W",$C519="1/2W"))),$S517,0))</f>
        <v>0</v>
      </c>
      <c r="BY517" s="201">
        <f>IF($B517="LOSS",IF(AND($K517=BY$3,$C517="L"),-$O517,0)+IF(AND($K518=BY$3,$C518="L"),-$O518,0)+IF(AND($K519=BY$3,$C519="L"),-$O519,0),IF(OR(AND($K517=BY$3,OR($C517="W",$C517="1/2W")),AND($K518=BY$3,OR($C518="W",$C518="1/2W")),AND($K519=BY$3,OR($C519="W",$C519="1/2W"))),$S517,0))</f>
        <v>0</v>
      </c>
      <c r="BZ517" s="205">
        <f>IF($B517="LOSS",IF(AND($K517=BZ$3,$C517="L"),-$O517,0)+IF(AND($K518=BZ$3,$C518="L"),-$O518,0)+IF(AND($K519=BZ$3,$C519="L"),-$O519,0),IF(OR(AND($K517=BZ$3,OR($C517="W",$C517="1/2W")),AND($K518=BZ$3,OR($C518="W",$C518="1/2W")),AND($K519=BZ$3,OR($C519="W",$C519="1/2W"))),$S517,0))</f>
        <v>0</v>
      </c>
      <c r="CA517" s="205">
        <f>IF($B517="LOSS",IF(AND($K517=CA$3,$C517="L"),-$O517,0)+IF(AND($K518=CA$3,$C518="L"),-$O518,0)+IF(AND($K519=CA$3,$C519="L"),-$O519,0),IF(OR(AND($K517=CA$3,OR($C517="W",$C517="1/2W")),AND($K518=CA$3,OR($C518="W",$C518="1/2W")),AND($K519=CA$3,OR($C519="W",$C519="1/2W"))),$S517,0))</f>
        <v>0</v>
      </c>
      <c r="CB517" s="205">
        <f>IF($B517="LOSS",IF(AND($K517=CB$3,$C517="L"),-$O517,0)+IF(AND($K518=CB$3,$C518="L"),-$O518,0)+IF(AND($K519=CB$3,$C519="L"),-$O519,0),IF(OR(AND($K517=CB$3,OR($C517="W",$C517="1/2W")),AND($K518=CB$3,OR($C518="W",$C518="1/2W")),AND($K519=CB$3,OR($C519="W",$C519="1/2W"))),$S517,0))</f>
        <v>0</v>
      </c>
      <c r="CC517" s="205">
        <f>IF($B517="LOSS",IF(AND($K517=CC$3,$C517="L"),-$O517,0)+IF(AND($K518=CC$3,$C518="L"),-$O518,0)+IF(AND($K519=CC$3,$C519="L"),-$O519,0),IF(OR(AND($K517=CC$3,OR($C517="W",$C517="1/2W")),AND($K518=CC$3,OR($C518="W",$C518="1/2W")),AND($K519=CC$3,OR($C519="W",$C519="1/2W"))),$S517,0))</f>
        <v>0</v>
      </c>
      <c r="CD517" s="202">
        <f>IF($B517="LOSS",IF(AND($K517=CD$3,$C517="L"),-$O517,0)+IF(AND($K518=CD$3,$C518="L"),-$O518,0)+IF(AND($K519=CD$3,$C519="L"),-$O519,0),IF(OR(AND($K517=CD$3,OR($C517="W",$C517="1/2W")),AND($K518=CD$3,OR($C518="W",$C518="1/2W")),AND($K519=CD$3,OR($C519="W",$C519="1/2W"))),$S517,0))</f>
        <v>0</v>
      </c>
      <c r="CE517" s="199">
        <f>IF($B517="LOSS",IF(AND($K517=CE$3,$C517="L"),-$O517,0)+IF(AND($K518=CE$3,$C518="L"),-$O518,0)+IF(AND($K519=CE$3,$C519="L"),-$O519,0),IF(OR(AND($K517=CE$3,OR($C517="W",$C517="1/2W")),AND($K518=CE$3,OR($C518="W",$C518="1/2W")),AND($K519=CE$3,OR($C519="W",$C519="1/2W"))),$S517,0))</f>
        <v>0</v>
      </c>
      <c r="CF517" s="206">
        <f>IF(CF$3=$K517,IF($C517="W",1,IF($C517="1/2W",0.5,0)),0)</f>
        <v>0</v>
      </c>
      <c r="CG517" s="207">
        <f>IF(CF$3=$K517,IF($C517="L",1,IF($C517="1/2L",0.5,0)),0)</f>
        <v>0</v>
      </c>
      <c r="CH517" s="207">
        <f>IF(CH$3=$K517,IF($C517="W",1,IF($C517="1/2W",0.5,0)),0)</f>
        <v>0</v>
      </c>
      <c r="CI517" s="207">
        <f>IF(CH$3=$K517,IF($C517="L",1,IF($C517="1/2L",0.5,0)),0)</f>
        <v>0</v>
      </c>
      <c r="CJ517" s="207">
        <f>IF(CJ$3=$K517,IF($C517="W",1,IF($C517="1/2W",0.5,0)),0)</f>
        <v>0</v>
      </c>
      <c r="CK517" s="207">
        <f>IF(CJ$3=$K517,IF($C517="L",1,IF($C517="1/2L",0.5,0)),0)</f>
        <v>0</v>
      </c>
      <c r="CL517" s="207">
        <f>IF(CL$3=$K517,IF($C517="W",1,IF($C517="1/2W",0.5,0)),0)</f>
        <v>0</v>
      </c>
      <c r="CM517" s="207">
        <f>IF(CL$3=$K517,IF($C517="L",1,IF($C517="1/2L",0.5,0)),0)</f>
        <v>0</v>
      </c>
      <c r="CN517" s="207">
        <f>IF(CN$3=$K517,IF($C517="W",1,IF($C517="1/2W",0.5,0)),0)</f>
        <v>0</v>
      </c>
      <c r="CO517" s="207">
        <f>IF(CN$3=$K517,IF($C517="L",1,IF($C517="1/2L",0.5,0)),0)</f>
        <v>0</v>
      </c>
      <c r="CP517" s="207">
        <f>IF(CP$3=$K517,IF($C517="W",1,IF($C517="1/2W",0.5,0)),0)</f>
        <v>0</v>
      </c>
      <c r="CQ517" s="207">
        <f>IF(CP$3=$K517,IF($C517="L",1,IF($C517="1/2L",0.5,0)),0)</f>
        <v>0</v>
      </c>
      <c r="CR517" s="207">
        <f>IF(CR$3=$K517,IF($C517="W",1,IF($C517="1/2W",0.5,0)),0)</f>
        <v>0</v>
      </c>
      <c r="CS517" s="207">
        <f>IF(CR$3=$K517,IF($C517="L",1,IF($C517="1/2L",0.5,0)),0)</f>
        <v>0</v>
      </c>
      <c r="CT517" s="208">
        <f>IF(CT$3=$K517,IF($C517="W",1,IF($C517="1/2W",0.5,0)),0)</f>
        <v>0</v>
      </c>
      <c r="CU517" s="209">
        <f>IF(CT$3=$K517,IF($C517="L",1,IF($C517="1/2L",0.5,0)),0)</f>
        <v>1</v>
      </c>
      <c r="CV517" s="209">
        <f>IF(CV$3=$K517,IF($C517="W",1,IF($C517="1/2W",0.5,0)),0)</f>
        <v>0</v>
      </c>
      <c r="CW517" s="209">
        <f>IF(CV$3=$K517,IF($C517="L",1,IF($C517="1/2L",0.5,0)),0)</f>
        <v>0</v>
      </c>
      <c r="CX517" s="209">
        <f>IF(CX$3=$K517,IF($C517="W",1,IF($C517="1/2W",0.5,0)),0)</f>
        <v>0</v>
      </c>
      <c r="CY517" s="209">
        <f>IF(CX$3=$K517,IF($C517="L",1,IF($C517="1/2L",0.5,0)),0)</f>
        <v>0</v>
      </c>
      <c r="CZ517" s="209">
        <f>IF(CZ$3=$K517,IF($C517="W",1,IF($C517="1/2W",0.5,0)),0)</f>
        <v>0</v>
      </c>
      <c r="DA517" s="209">
        <f>IF(CZ$3=$K517,IF($C517="L",1,IF($C517="1/2L",0.5,0)),0)</f>
        <v>0</v>
      </c>
      <c r="DB517" s="209">
        <f>IF(DB$3=$K517,IF($C517="W",1,IF($C517="1/2W",0.5,0)),0)</f>
        <v>0</v>
      </c>
      <c r="DC517" s="209">
        <f>IF(DB$3=$K517,IF($C517="L",1,IF($C517="1/2L",0.5,0)),0)</f>
        <v>0</v>
      </c>
      <c r="DD517" s="209">
        <f>IF(DD$3=$K517,IF($C517="W",1,IF($C517="1/2W",0.5,0)),0)</f>
        <v>0</v>
      </c>
      <c r="DE517" s="210">
        <f>IF(DD$3=$K517,IF($C517="L",1,IF($C517="1/2L",0.5,0)),0)</f>
        <v>0</v>
      </c>
      <c r="DF517" s="211">
        <f>IF(AND(L517&lt;DF$3,$C517="W"),1+DF516,DF516)</f>
        <v>16</v>
      </c>
      <c r="DG517" s="198">
        <f>IF(DF517&gt;DF516,L517+DG516,DG516)</f>
        <v>21.158</v>
      </c>
      <c r="DH517" s="209">
        <f>IF(AND(L517&gt;DH$3,$C517="W"),1+DH516,0+DH516)</f>
        <v>11</v>
      </c>
      <c r="DI517" s="198">
        <f>IF(DH517&gt;DH516,L517+DI516,DI516)</f>
        <v>59.13</v>
      </c>
      <c r="DJ517" t="s" s="306">
        <f>IF($D517="","",$D517)</f>
        <v>396</v>
      </c>
      <c r="DK517" s="209">
        <f>IF(AND($B517=" ",$D517&lt;&gt;""),1,0)</f>
        <v>0</v>
      </c>
    </row>
    <row r="518" ht="14.55" customHeight="1">
      <c r="A518" s="107"/>
      <c r="B518" s="108"/>
      <c r="C518" t="s" s="213">
        <v>56</v>
      </c>
      <c r="D518" s="110"/>
      <c r="E518" s="111"/>
      <c r="F518" s="113"/>
      <c r="G518" s="214"/>
      <c r="H518" s="114"/>
      <c r="I518" t="s" s="215">
        <v>67</v>
      </c>
      <c r="J518" s="296">
        <f>IF(OR(I517="TO",I517="TU",I517="TO1",I517="TU1",I517="TO2",I517="TU2"),J517,IF(OR(I517="AH1",I517="AH2"),IF(OR(I518="AH1",I518="AH2"),-J517,IF(OR(I518="EH1",I518="EH2"),-J517+0.5,"")),IF(OR(I517="EH1",I517="EH2"),IF(OR(I518="AH1",I518="AH2"),-J517+0.5,IF(OR(I518="EH1",I518="EH2"),-J517+1,"")),IF(AND(OR(I517="DNB1",I517="DNB2"),OR(I518="AH1",I518="AH2")),0,IF(AND(I517="Not ScoreBoth",OR(I518="TO1",I518="TO2")),0.5,"")))))</f>
        <v>5.5</v>
      </c>
      <c r="K518" t="s" s="217">
        <v>41</v>
      </c>
      <c r="L518" s="218">
        <v>1.94</v>
      </c>
      <c r="M518" s="219">
        <v>11.97</v>
      </c>
      <c r="N518" s="120"/>
      <c r="O518" s="220">
        <f>IF(OR(AE517="",AE518=""),"",ROUND(IF(L519&gt;0,IF(M518&gt;0,M518,IF(M517&gt;0,IF(N517=TRUE,ROUND((M517*AE518)/AE517,0),(M517*AE518)/AE517),IF(M518&gt;0,ROUND(M518,IF(N517=0,2,IF(N517=0.1,1,0))),IF(M519&gt;0,ROUND(O519*AE518/AE519,IF(N517=0,2,IF(N517=0.1,1,0))),0)))),IF(M518&gt;0,M518,ROUND((M517*AE518)/AE517,IF(N517=0,2,IF(N517=0.1,1,0))))),2))</f>
        <v>11.97</v>
      </c>
      <c r="P518" s="221">
        <f>IF(OR(L518="",O518=""),"",IF($C518="1/2W",O518/2+O518/2*L518,IF($C518="1/2L",O518/2,IF(I518="Lay",((O518*(L518/(L518-1)))-O518)*(1-_xlfn.XLOOKUP(K518,'Janeiro 2023 - Valor Real'!A3:A15,'Janeiro 2023 - Valor Real'!C3:C15,0))+O518,(O518*L518-O518)*(1-_xlfn.XLOOKUP(K518,'Janeiro 2023 - Valor Real'!A3:A15,'Janeiro 2023 - Valor Real'!C3:C15,0))+O518))))</f>
        <v>23.2218</v>
      </c>
      <c r="Q518" s="222">
        <f>IF(K518="","",IF(_xlfn.XLOOKUP(K518,K$123:K291,DJ$123:DJ291,0,,-1)=DJ518,_xlfn.XLOOKUP(K518,K$123:K291,Q$123:Q291,1,,-1)+1,1))</f>
        <v>1</v>
      </c>
      <c r="R518" s="223">
        <f>IF(K518="","",_xlfn.XLOOKUP(K518,K$123:K291,R$123:R291,0,,-1)+IF($C518=" ",1,0))</f>
        <v>0</v>
      </c>
      <c r="S518" s="125"/>
      <c r="T518" s="126"/>
      <c r="U518" s="126"/>
      <c r="V518" s="224"/>
      <c r="W518" s="126"/>
      <c r="X518" s="127"/>
      <c r="Y518" s="128"/>
      <c r="Z518" s="129"/>
      <c r="AA518" s="129"/>
      <c r="AB518" s="129"/>
      <c r="AC518" s="129"/>
      <c r="AD518" s="225">
        <f>(((L518/(L518-1)-1)*(1-_xlfn.XLOOKUP(K518,'Janeiro 2023 - Valor Real'!A3:A15,'Janeiro 2023 - Valor Real'!C3:C15,0))+1))</f>
        <v>2.06382978723404</v>
      </c>
      <c r="AE518" s="226">
        <f>IF(L518="","",IF(L519&gt;0,(SUM(((L517-1)*(1-_xlfn.XLOOKUP(K517,'Janeiro 2023 - Valor Real'!A3:A15,'Janeiro 2023 - Valor Real'!C3:C15,0))+1),((L518-1)*(1-_xlfn.XLOOKUP(K518,'Janeiro 2023 - Valor Real'!A3:A15,'Janeiro 2023 - Valor Real'!C3:C15,0))+1),((L519-1)*(1-_xlfn.XLOOKUP(K519,'Janeiro 2023 - Valor Real'!A3:A15,'Janeiro 2023 - Valor Real'!C3:C15,0))+1))/((L518-1)*(1-_xlfn.XLOOKUP(K518,'Janeiro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Real'!C3:C15,0))+1))/((L517-1)*(1-_xlfn.XLOOKUP(K517,'Janeiro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Real'!C3:C15,0))+1))/((L518-1)*(1-_xlfn.XLOOKUP(K518,'Janeiro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Real'!C3:C15,0))+1))/((L519-1)*(1-_xlfn.XLOOKUP(K519,'Janeiro 2023 - Valor Real'!A3:A15,'Janeiro 2023 - Valor Real'!C3:C15,0))+1)),IF(I518="Lay",IF(I517="Lay",((L517/(L517-1)-1)*(1-_xlfn.XLOOKUP(K517,'Janeiro 2023 - Valor Real'!A3:A15,'Janeiro 2023 - Valor Real'!C3:C15,0))+1)/(((L517/(L517-1)-1)*(1-_xlfn.XLOOKUP(K517,'Janeiro 2023 - Valor Real'!A3:A15,'Janeiro 2023 - Valor Real'!C3:C15,0))+1)+((L518/(L518-1)-1)*(1-_xlfn.XLOOKUP(K518,'Janeiro 2023 - Valor Real'!A3:A15,'Janeiro 2023 - Valor Real'!C3:C15,0))+1)),((L517-1)*(1-_xlfn.XLOOKUP(K517,'Janeiro 2023 - Valor Real'!A3:A15,'Janeiro 2023 - Valor Real'!C3:C15,0))+1)/(((L517-1)*(1-_xlfn.XLOOKUP(K517,'Janeiro 2023 - Valor Real'!A3:A15,'Janeiro 2023 - Valor Real'!C3:C15,0))+1)+((L518/(L518-1)-1)*(1-_xlfn.XLOOKUP(K518,'Janeiro 2023 - Valor Real'!A3:A15,'Janeiro 2023 - Valor Real'!C3:C15,0))+1))),IF(I517="Lay",((L517/(L517-1)-1)*(1-_xlfn.XLOOKUP(K517,'Janeiro 2023 - Valor Real'!A3:A15,'Janeiro 2023 - Valor Real'!C3:C15,0))+1)/((((L517/(L517-1)-1)*(1-_xlfn.XLOOKUP(K517,'Janeiro 2023 - Valor Real'!A3:A15,'Janeiro 2023 - Valor Real'!C3:C15,0))+1))+((L518-1)*(1-_xlfn.XLOOKUP(K518,'Janeiro 2023 - Valor Real'!A3:A15,'Janeiro 2023 - Valor Real'!C3:C15,0))+1)),((L517-1)*(1-_xlfn.XLOOKUP(K517,'Janeiro 2023 - Valor Real'!A3:A15,'Janeiro 2023 - Valor Real'!C3:C15,0))+1)/(((L517-1)*(1-_xlfn.XLOOKUP(K517,'Janeiro 2023 - Valor Real'!A3:A15,'Janeiro 2023 - Valor Real'!C3:C15,0))+1)+((L518-1)*(1-_xlfn.XLOOKUP(K518,'Janeiro 2023 - Valor Real'!A3:A15,'Janeiro 2023 - Valor Real'!C3:C15,0))+1))))))</f>
        <v>0.515</v>
      </c>
      <c r="AF518" s="197">
        <f>IF($K518=AF$3,ROUND(IF(OR($C518="W",$C518="1/2W",$C518="1/2L"),$P518-$O518,IF($C518="X",0,-$O518)),2),0)</f>
        <v>0</v>
      </c>
      <c r="AG518" s="198">
        <f>IF($K518=AG$3,ROUND(IF(OR($C518="W",$C518="1/2W",$C518="1/2L"),$P518-$O518,IF($C518="X",0,-$O518)),2),0)</f>
        <v>0</v>
      </c>
      <c r="AH518" s="198">
        <f>IF($K518=AH$3,ROUND(IF(OR($C518="W",$C518="1/2W",$C518="1/2L"),$P518-$O518,IF($C518="X",0,-$O518)),2),0)</f>
        <v>0</v>
      </c>
      <c r="AI518" s="198">
        <f>IF($K518=AI$3,ROUND(IF(OR($C518="W",$C518="1/2W",$C518="1/2L"),$P518-$O518,IF($C518="X",0,-$O518)),2),0)</f>
        <v>0</v>
      </c>
      <c r="AJ518" s="198">
        <f>IF($K518=AJ$3,ROUND(IF(OR($C518="W",$C518="1/2W",$C518="1/2L"),$P518-$O518,IF($C518="X",0,-$O518)),2),0)</f>
        <v>11.25</v>
      </c>
      <c r="AK518" s="198">
        <f>IF($K518=AK$3,ROUND(IF(OR($C518="W",$C518="1/2W",$C518="1/2L"),$P518-$O518,IF($C518="X",0,-$O518)),2),0)</f>
        <v>0</v>
      </c>
      <c r="AL518" s="198">
        <f>IF($K518=AL$3,ROUND(IF(OR($C518="W",$C518="1/2W",$C518="1/2L"),$P518-$O518,IF($C518="X",0,-$O518)),2),0)</f>
        <v>0</v>
      </c>
      <c r="AM518" s="198">
        <f>IF($K518=AM$3,ROUND(IF(OR($C518="W",$C518="1/2W",$C518="1/2L"),$P518-$O518,IF($C518="X",0,-$O518)),2),0)</f>
        <v>0</v>
      </c>
      <c r="AN518" s="198">
        <f>IF($K518=AN$3,ROUND(IF(OR($C518="W",$C518="1/2W",$C518="1/2L"),$P518-$O518,IF($C518="X",0,-$O518)),2),0)</f>
        <v>0</v>
      </c>
      <c r="AO518" s="198">
        <f>IF($K518=AO$3,ROUND(IF(OR($C518="W",$C518="1/2W",$C518="1/2L"),$P518-$O518,IF($C518="X",0,-$O518)),2),0)</f>
        <v>0</v>
      </c>
      <c r="AP518" s="198">
        <f>IF($K518=AP$3,ROUND(IF(OR($C518="W",$C518="1/2W",$C518="1/2L"),$P518-$O518,IF($C518="X",0,-$O518)),2),0)</f>
        <v>0</v>
      </c>
      <c r="AQ518" s="198">
        <f>IF($K518=AQ$3,ROUND(IF(OR($C518="W",$C518="1/2W",$C518="1/2L"),$P518-$O518,IF($C518="X",0,-$O518)),2),0)</f>
        <v>0</v>
      </c>
      <c r="AR518" s="199">
        <f>IF($K518=AR$3,ROUND(IF(OR($C518="W",$C518="1/2W",$C518="1/2L"),$P518-$O518,IF($C518="X",0,-$O518)),2),0)</f>
        <v>0</v>
      </c>
      <c r="AS518" s="197">
        <f>IF(AND($B517=" ",$K518=AS$3),$O518,0)</f>
        <v>0</v>
      </c>
      <c r="AT518" s="198">
        <f>IF(AND($B517=" ",K518=AT$3),$O518,0)</f>
        <v>0</v>
      </c>
      <c r="AU518" s="198">
        <f>IF(AND($B517=" ",$K518=AU$3),$O518,0)</f>
        <v>0</v>
      </c>
      <c r="AV518" s="198">
        <f>IF(AND($B517=" ",$K518=AV$3),$O518,0)</f>
        <v>0</v>
      </c>
      <c r="AW518" s="198">
        <f>IF(AND($B517=" ",$K518=AW$3),$O518,0)</f>
        <v>0</v>
      </c>
      <c r="AX518" s="198">
        <f>IF(AND($B517=" ",$K518=AX$3),$O518,0)</f>
        <v>0</v>
      </c>
      <c r="AY518" s="200">
        <f>IF(AND($B517=" ",$K518=AY$3),$O518,0)</f>
        <v>0</v>
      </c>
      <c r="AZ518" s="201">
        <f>IF(AND($B517=" ",$K518=AZ$3),$O518,0)</f>
        <v>0</v>
      </c>
      <c r="BA518" s="201">
        <f>IF(AND($B517=" ",$K518=BA$3),$O518,0)</f>
        <v>0</v>
      </c>
      <c r="BB518" s="201">
        <f>IF(AND($B517=" ",$K518=BB$3),$O518,0)</f>
        <v>0</v>
      </c>
      <c r="BC518" s="202">
        <f>IF(AND($B517=" ",$K518=BC$3),$O518,0)</f>
        <v>0</v>
      </c>
      <c r="BD518" s="198">
        <f>IF(AND($B517=" ",$K518=BD$3),$O518,0)</f>
        <v>0</v>
      </c>
      <c r="BE518" s="199">
        <f>IF(AND($B517=" ",$K518=BE$3),$O518,0)</f>
        <v>0</v>
      </c>
      <c r="BF518" s="197">
        <f>IF($K518=BF$3,IF($C518="X",0,$O518),0)</f>
        <v>0</v>
      </c>
      <c r="BG518" s="198">
        <f>IF($K518=BG$3,IF($C518="X",0,$O518),0)</f>
        <v>0</v>
      </c>
      <c r="BH518" s="198">
        <f>IF($K518=BH$3,IF($C518="X",0,$O518),0)</f>
        <v>0</v>
      </c>
      <c r="BI518" s="198">
        <f>IF($K518=BI$3,IF($C518="X",0,$O518),0)</f>
        <v>0</v>
      </c>
      <c r="BJ518" s="198">
        <f>IF($K518=BJ$3,IF($C518="X",0,$O518),0)</f>
        <v>11.97</v>
      </c>
      <c r="BK518" s="198">
        <f>IF($K518=BK$3,IF($C518="X",0,$O518),0)</f>
        <v>0</v>
      </c>
      <c r="BL518" s="198">
        <f>IF($K518=BL$3,IF($C518="X",0,$O518),0)</f>
        <v>0</v>
      </c>
      <c r="BM518" s="227">
        <f>IF($K518=BM$3,IF($C518="X",0,$O518),0)</f>
        <v>0</v>
      </c>
      <c r="BN518" s="205">
        <f>IF($K518=BN$3,IF($C518="X",0,$O518),0)</f>
        <v>0</v>
      </c>
      <c r="BO518" s="205">
        <f>IF($K518=BO$3,IF($C518="X",0,$O518),0)</f>
        <v>0</v>
      </c>
      <c r="BP518" s="205">
        <f>IF($K518=BP$3,IF($C518="X",0,$O518),0)</f>
        <v>0</v>
      </c>
      <c r="BQ518" s="202">
        <f>IF($K518=BQ$3,IF($C518="X",0,$O518),0)</f>
        <v>0</v>
      </c>
      <c r="BR518" s="199">
        <f>IF($K518=BR$3,IF($C518="X",0,$O518),0)</f>
        <v>0</v>
      </c>
      <c r="BS518" s="228"/>
      <c r="BT518" s="229"/>
      <c r="BU518" s="140"/>
      <c r="BV518" s="229"/>
      <c r="BW518" s="140"/>
      <c r="BX518" s="140"/>
      <c r="BY518" s="140"/>
      <c r="BZ518" s="229"/>
      <c r="CA518" s="140"/>
      <c r="CB518" s="140"/>
      <c r="CC518" s="140"/>
      <c r="CD518" s="141"/>
      <c r="CE518" s="142"/>
      <c r="CF518" s="230">
        <f>IF(CF$3=$K518,IF($C518="W",1,IF($C518="1/2W",0.5,0)),0)</f>
        <v>0</v>
      </c>
      <c r="CG518" s="231">
        <f>IF(CF$3=$K518,IF($C518="L",1,IF($C518="1/2L",0.5,0)),0)</f>
        <v>0</v>
      </c>
      <c r="CH518" s="231">
        <f>IF(CH$3=$K518,IF($C518="W",1,IF($C518="1/2W",0.5,0)),0)</f>
        <v>0</v>
      </c>
      <c r="CI518" s="231">
        <f>IF(CH$3=$K518,IF($C518="L",1,IF($C518="1/2L",0.5,0)),0)</f>
        <v>0</v>
      </c>
      <c r="CJ518" s="231">
        <f>IF(CJ$3=$K518,IF($C518="W",1,IF($C518="1/2W",0.5,0)),0)</f>
        <v>0</v>
      </c>
      <c r="CK518" s="231">
        <f>IF(CJ$3=$K518,IF($C518="L",1,IF($C518="1/2L",0.5,0)),0)</f>
        <v>0</v>
      </c>
      <c r="CL518" s="231">
        <f>IF(CL$3=$K518,IF($C518="W",1,IF($C518="1/2W",0.5,0)),0)</f>
        <v>0</v>
      </c>
      <c r="CM518" s="231">
        <f>IF(CL$3=$K518,IF($C518="L",1,IF($C518="1/2L",0.5,0)),0)</f>
        <v>0</v>
      </c>
      <c r="CN518" s="231">
        <f>IF(CN$3=$K518,IF($C518="W",1,IF($C518="1/2W",0.5,0)),0)</f>
        <v>1</v>
      </c>
      <c r="CO518" s="231">
        <f>IF(CN$3=$K518,IF($C518="L",1,IF($C518="1/2L",0.5,0)),0)</f>
        <v>0</v>
      </c>
      <c r="CP518" s="231">
        <f>IF(CP$3=$K518,IF($C518="W",1,IF($C518="1/2W",0.5,0)),0)</f>
        <v>0</v>
      </c>
      <c r="CQ518" s="231">
        <f>IF(CP$3=$K518,IF($C518="L",1,IF($C518="1/2L",0.5,0)),0)</f>
        <v>0</v>
      </c>
      <c r="CR518" s="231">
        <f>IF(CR$3=$K518,IF($C518="W",1,IF($C518="1/2W",0.5,0)),0)</f>
        <v>0</v>
      </c>
      <c r="CS518" s="231">
        <f>IF(CR$3=$K518,IF($C518="L",1,IF($C518="1/2L",0.5,0)),0)</f>
        <v>0</v>
      </c>
      <c r="CT518" s="208">
        <f>IF(CT$3=$K518,IF($C518="W",1,IF($C518="1/2W",0.5,0)),0)</f>
        <v>0</v>
      </c>
      <c r="CU518" s="209">
        <f>IF(CT$3=$K518,IF($C518="L",1,IF($C518="1/2L",0.5,0)),0)</f>
        <v>0</v>
      </c>
      <c r="CV518" s="209">
        <f>IF(CV$3=$K518,IF($C518="W",1,IF($C518="1/2W",0.5,0)),0)</f>
        <v>0</v>
      </c>
      <c r="CW518" s="209">
        <f>IF(CV$3=$K518,IF($C518="L",1,IF($C518="1/2L",0.5,0)),0)</f>
        <v>0</v>
      </c>
      <c r="CX518" s="209">
        <f>IF(CX$3=$K518,IF($C518="W",1,IF($C518="1/2W",0.5,0)),0)</f>
        <v>0</v>
      </c>
      <c r="CY518" s="209">
        <f>IF(CX$3=$K518,IF($C518="L",1,IF($C518="1/2L",0.5,0)),0)</f>
        <v>0</v>
      </c>
      <c r="CZ518" s="209">
        <f>IF(CZ$3=$K518,IF($C518="W",1,IF($C518="1/2W",0.5,0)),0)</f>
        <v>0</v>
      </c>
      <c r="DA518" s="209">
        <f>IF(CZ$3=$K518,IF($C518="L",1,IF($C518="1/2L",0.5,0)),0)</f>
        <v>0</v>
      </c>
      <c r="DB518" s="209">
        <f>IF(DB$3=$K518,IF($C518="W",1,IF($C518="1/2W",0.5,0)),0)</f>
        <v>0</v>
      </c>
      <c r="DC518" s="209">
        <f>IF(DB$3=$K518,IF($C518="L",1,IF($C518="1/2L",0.5,0)),0)</f>
        <v>0</v>
      </c>
      <c r="DD518" s="209">
        <f>IF(DD$3=$K518,IF($C518="W",1,IF($C518="1/2W",0.5,0)),0)</f>
        <v>0</v>
      </c>
      <c r="DE518" s="210">
        <f>IF(DD$3=$K518,IF($C518="L",1,IF($C518="1/2L",0.5,0)),0)</f>
        <v>0</v>
      </c>
      <c r="DF518" s="211">
        <f>IF(AND(L518&lt;DF$3,$C518="W"),1+DF517,DF517)</f>
        <v>16</v>
      </c>
      <c r="DG518" s="198">
        <f>IF(DF518&gt;DF517,L518+DG517,DG517)</f>
        <v>21.158</v>
      </c>
      <c r="DH518" s="209">
        <f>IF(AND(L518&gt;DH$3,$C518="W"),1+DH517,0+DH517)</f>
        <v>11</v>
      </c>
      <c r="DI518" s="198">
        <f>IF(DH518&gt;DH517,L518+DI517,DI517)</f>
        <v>59.13</v>
      </c>
      <c r="DJ518" t="s" s="306">
        <f>IF($D517="","",$D517)</f>
        <v>396</v>
      </c>
      <c r="DK518" s="232"/>
    </row>
    <row r="519" ht="14.55" customHeight="1">
      <c r="A519" s="149"/>
      <c r="B519" s="150"/>
      <c r="C519" t="s" s="233">
        <v>58</v>
      </c>
      <c r="D519" s="152"/>
      <c r="E519" s="153"/>
      <c r="F519" s="155"/>
      <c r="G519" s="234"/>
      <c r="H519" s="156"/>
      <c r="I519" s="235"/>
      <c r="J519" s="236"/>
      <c r="K519" s="237"/>
      <c r="L519" s="238"/>
      <c r="M519" s="239"/>
      <c r="N519" s="161"/>
      <c r="O519" t="s" s="240">
        <f>IF(OR(AE517="",AE518=""),"",IF(L519&gt;0,ROUND(IF(M519&gt;0,M519,IF(M517&gt;0,ROUND((M517*AE519)/AE517,IF(N517=0,2,IF(N517=0.1,1,0))),IF(M518&gt;0,ROUND((M518*AE519)/AE518,IF(N517=0,2,IF(N517=0.1,1,0))),IF(M519&gt;0,M519,0)))),2),""))</f>
      </c>
      <c r="P519" t="s" s="241">
        <f>IF(I518="Lay",O518*(L518/(L518-1))-O518,IF(I517="Lay",O517*(L517/(L517-1))-O517,IF(OR(L519="",O519=""),"",IF($C519="1/2W",O519/2+O519/2*L519,IF($C519="1/2L",O519/2,(O519*L519-O519)*(1-_xlfn.XLOOKUP(K519,'Janeiro 2023 - Valor Real'!A3:A15,'Janeiro 2023 - Valor Real'!C3:C15,0))+O519)))))</f>
      </c>
      <c r="Q519" t="s" s="242">
        <f>IF(K519="","",IF(_xlfn.XLOOKUP(K519,K$124:K292,DJ$124:DJ292,0,,-1)=DJ519,_xlfn.XLOOKUP(K519,K$124:K292,Q$124:Q292,1,,-1)+1,1))</f>
      </c>
      <c r="R519" t="s" s="243">
        <f>IF(K519="","",_xlfn.XLOOKUP(K519,K$124:K292,R$124:R292,0,,-1)+IF($C519=" ",1,0))</f>
      </c>
      <c r="S519" s="166"/>
      <c r="T519" s="155"/>
      <c r="U519" s="155"/>
      <c r="V519" s="166"/>
      <c r="W519" s="155"/>
      <c r="X519" s="167"/>
      <c r="Y519" s="128"/>
      <c r="Z519" s="129"/>
      <c r="AA519" s="129"/>
      <c r="AB519" s="129"/>
      <c r="AC519" s="129"/>
      <c r="AD519" s="244">
        <f>((L518/(L518-1)-1))</f>
        <v>1.06382978723404</v>
      </c>
      <c r="AE519" t="s" s="245">
        <f>IF(L519="","",(SUM(((L517-1)*(1-_xlfn.XLOOKUP(K517,'Janeiro 2023 - Valor Real'!A3:A15,'Janeiro 2023 - Valor Real'!C3:C15,0))+1),((L518-1)*(1-_xlfn.XLOOKUP(K518,'Janeiro 2023 - Valor Real'!A3:A15,'Janeiro 2023 - Valor Real'!C3:C15,0))+1),((L519-1)*(1-_xlfn.XLOOKUP(K519,'Janeiro 2023 - Valor Real'!A3:A15,'Janeiro 2023 - Valor Real'!C3:C15,0))+1))/((L519-1)*(1-_xlfn.XLOOKUP(K519,'Janeiro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Real'!C3:C15,0))+1))/((L517-1)*(1-_xlfn.XLOOKUP(K517,'Janeiro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Real'!C3:C15,0))+1))/((L518-1)*(1-_xlfn.XLOOKUP(K518,'Janeiro 2023 - Valor Real'!A3:A15,'Janeiro 2023 - Valor Real'!C3:C15,0))+1)+SUM(((L517-1)*(1-_xlfn.XLOOKUP(K517,'Janeiro 2023 - Valor Real'!A3:A15,'Janeiro 2023 - Valor Real'!C3:C15,0))+1),((L518-1)*(1-_xlfn.XLOOKUP(K518,'Janeiro 2023 - Valor Real'!A3:A15,'Janeiro 2023 - Valor Real'!C3:C15,0))+1),((L519-1)*(1-_xlfn.XLOOKUP(K519,'Janeiro 2023 - Valor Real'!A3:A15,'Janeiro 2023 - Valor Real'!C3:C15,0))+1))/((L519-1)*(1-_xlfn.XLOOKUP(K519,'Janeiro 2023 - Valor Real'!A3:A15,'Janeiro 2023 - Valor Real'!C3:C15,0))+1)))</f>
      </c>
      <c r="AF519" s="197">
        <f>IF($K519=AF$3,ROUND(IF(OR($C519="W",$C519="1/2W",$C519="1/2L"),$P519-$O519,IF($C519="X",0,-$O519)),2),0)</f>
        <v>0</v>
      </c>
      <c r="AG519" s="198">
        <f>IF($K519=AG$3,ROUND(IF(OR($C519="W",$C519="1/2W",$C519="1/2L"),$P519-$O519,IF($C519="X",0,-$O519)),2),0)</f>
        <v>0</v>
      </c>
      <c r="AH519" s="198">
        <f>IF($K519=AH$3,ROUND(IF(OR($C519="W",$C519="1/2W",$C519="1/2L"),$P519-$O519,IF($C519="X",0,-$O519)),2),0)</f>
        <v>0</v>
      </c>
      <c r="AI519" s="198">
        <f>IF($K519=AI$3,ROUND(IF(OR($C519="W",$C519="1/2W",$C519="1/2L"),$P519-$O519,IF($C519="X",0,-$O519)),2),0)</f>
        <v>0</v>
      </c>
      <c r="AJ519" s="198">
        <f>IF($K519=AJ$3,ROUND(IF(OR($C519="W",$C519="1/2W",$C519="1/2L"),$P519-$O519,IF($C519="X",0,-$O519)),2),0)</f>
        <v>0</v>
      </c>
      <c r="AK519" s="198">
        <f>IF($K519=AK$3,ROUND(IF(OR($C519="W",$C519="1/2W",$C519="1/2L"),$P519-$O519,IF($C519="X",0,-$O519)),2),0)</f>
        <v>0</v>
      </c>
      <c r="AL519" s="198">
        <f>IF($K519=AL$3,ROUND(IF(OR($C519="W",$C519="1/2W",$C519="1/2L"),$P519-$O519,IF($C519="X",0,-$O519)),2),0)</f>
        <v>0</v>
      </c>
      <c r="AM519" s="198">
        <f>IF($K519=AM$3,ROUND(IF(OR($C519="W",$C519="1/2W",$C519="1/2L"),$P519-$O519,IF($C519="X",0,-$O519)),2),0)</f>
        <v>0</v>
      </c>
      <c r="AN519" s="198">
        <f>IF($K519=AN$3,ROUND(IF(OR($C519="W",$C519="1/2W",$C519="1/2L"),$P519-$O519,IF($C519="X",0,-$O519)),2),0)</f>
        <v>0</v>
      </c>
      <c r="AO519" s="198">
        <f>IF($K519=AO$3,ROUND(IF(OR($C519="W",$C519="1/2W",$C519="1/2L"),$P519-$O519,IF($C519="X",0,-$O519)),2),0)</f>
        <v>0</v>
      </c>
      <c r="AP519" s="198">
        <f>IF($K519=AP$3,ROUND(IF(OR($C519="W",$C519="1/2W",$C519="1/2L"),$P519-$O519,IF($C519="X",0,-$O519)),2),0)</f>
        <v>0</v>
      </c>
      <c r="AQ519" s="198">
        <f>IF($K519=AQ$3,ROUND(IF(OR($C519="W",$C519="1/2W",$C519="1/2L"),$P519-$O519,IF($C519="X",0,-$O519)),2),0)</f>
        <v>0</v>
      </c>
      <c r="AR519" s="199">
        <f>IF($K519=AR$3,ROUND(IF(OR($C519="W",$C519="1/2W",$C519="1/2L"),$P519-$O519,IF($C519="X",0,-$O519)),2),0)</f>
        <v>0</v>
      </c>
      <c r="AS519" s="197">
        <f>IF(AND($B517=" ",$K519=AS$3),$O519,0)</f>
        <v>0</v>
      </c>
      <c r="AT519" s="198">
        <f>IF(AND($B517=" ",K519=AT$3),$O519,0)</f>
        <v>0</v>
      </c>
      <c r="AU519" s="198">
        <f>IF(AND($B517=" ",$K519=AU$3),$O519,0)</f>
        <v>0</v>
      </c>
      <c r="AV519" s="198">
        <f>IF(AND($B517=" ",$K519=AV$3),$O519,0)</f>
        <v>0</v>
      </c>
      <c r="AW519" s="198">
        <f>IF(AND($B517=" ",$K519=AW$3),$O519,0)</f>
        <v>0</v>
      </c>
      <c r="AX519" s="198">
        <f>IF(AND($B517=" ",$K519=AX$3),$O519,0)</f>
        <v>0</v>
      </c>
      <c r="AY519" s="200">
        <f>IF(AND($B517=" ",$K519=AY$3),$O519,0)</f>
        <v>0</v>
      </c>
      <c r="AZ519" s="201">
        <f>IF(AND($B517=" ",$K519=AZ$3),$O519,0)</f>
        <v>0</v>
      </c>
      <c r="BA519" s="201">
        <f>IF(AND($B517=" ",$K519=BA$3),$O519,0)</f>
        <v>0</v>
      </c>
      <c r="BB519" s="201">
        <f>IF(AND($B517=" ",$K519=BB$3),$O519,0)</f>
        <v>0</v>
      </c>
      <c r="BC519" s="202">
        <f>IF(AND($B517=" ",$K519=BC$3),$O519,0)</f>
        <v>0</v>
      </c>
      <c r="BD519" s="198">
        <f>IF(AND($B517=" ",$K519=BD$3),$O519,0)</f>
        <v>0</v>
      </c>
      <c r="BE519" s="199">
        <f>IF(AND($B517=" ",$K519=BE$3),$O519,0)</f>
        <v>0</v>
      </c>
      <c r="BF519" s="197">
        <f>IF($K519=BF$3,IF($C519="X",0,$O519),0)</f>
        <v>0</v>
      </c>
      <c r="BG519" s="198">
        <f>IF($K519=BG$3,IF($C519="X",0,$O519),0)</f>
        <v>0</v>
      </c>
      <c r="BH519" s="198">
        <f>IF($K519=BH$3,IF($C519="X",0,$O519),0)</f>
        <v>0</v>
      </c>
      <c r="BI519" s="198">
        <f>IF($K519=BI$3,IF($C519="X",0,$O519),0)</f>
        <v>0</v>
      </c>
      <c r="BJ519" s="198">
        <f>IF($K519=BJ$3,IF($C519="X",0,$O519),0)</f>
        <v>0</v>
      </c>
      <c r="BK519" s="198">
        <f>IF($K519=BK$3,IF($C519="X",0,$O519),0)</f>
        <v>0</v>
      </c>
      <c r="BL519" s="198">
        <f>IF($K519=BL$3,IF($C519="X",0,$O519),0)</f>
        <v>0</v>
      </c>
      <c r="BM519" s="200">
        <f>IF($K519=BM$3,IF($C519="X",0,$O519),0)</f>
        <v>0</v>
      </c>
      <c r="BN519" s="201">
        <f>IF($K519=BN$3,IF($C519="X",0,$O519),0)</f>
        <v>0</v>
      </c>
      <c r="BO519" s="201">
        <f>IF($K519=BO$3,IF($C519="X",0,$O519),0)</f>
        <v>0</v>
      </c>
      <c r="BP519" s="201">
        <f>IF($K519=BP$3,IF($C519="X",0,$O519),0)</f>
        <v>0</v>
      </c>
      <c r="BQ519" s="202">
        <f>IF($K519=BQ$3,IF($C519="X",0,$O519),0)</f>
        <v>0</v>
      </c>
      <c r="BR519" s="199">
        <f>IF($K519=BR$3,IF($C519="X",0,$O519),0)</f>
        <v>0</v>
      </c>
      <c r="BS519" s="228"/>
      <c r="BT519" s="229"/>
      <c r="BU519" s="140"/>
      <c r="BV519" s="229"/>
      <c r="BW519" s="140"/>
      <c r="BX519" s="140"/>
      <c r="BY519" s="140"/>
      <c r="BZ519" s="229"/>
      <c r="CA519" s="140"/>
      <c r="CB519" s="140"/>
      <c r="CC519" s="140"/>
      <c r="CD519" s="141"/>
      <c r="CE519" s="142"/>
      <c r="CF519" s="230">
        <f>IF(CF$3=$K519,IF($C519="W",1,IF($C519="1/2W",0.5,0)),0)</f>
        <v>0</v>
      </c>
      <c r="CG519" s="231">
        <f>IF(CF$3=$K519,IF($C519="L",1,IF($C519="1/2L",0.5,0)),0)</f>
        <v>0</v>
      </c>
      <c r="CH519" s="231">
        <f>IF(CH$3=$K519,IF($C519="W",1,IF($C519="1/2W",0.5,0)),0)</f>
        <v>0</v>
      </c>
      <c r="CI519" s="231">
        <f>IF(CH$3=$K519,IF($C519="L",1,IF($C519="1/2L",0.5,0)),0)</f>
        <v>0</v>
      </c>
      <c r="CJ519" s="231">
        <f>IF(CJ$3=$K519,IF($C519="W",1,IF($C519="1/2W",0.5,0)),0)</f>
        <v>0</v>
      </c>
      <c r="CK519" s="231">
        <f>IF(CJ$3=$K519,IF($C519="L",1,IF($C519="1/2L",0.5,0)),0)</f>
        <v>0</v>
      </c>
      <c r="CL519" s="231">
        <f>IF(CL$3=$K519,IF($C519="W",1,IF($C519="1/2W",0.5,0)),0)</f>
        <v>0</v>
      </c>
      <c r="CM519" s="231">
        <f>IF(CL$3=$K519,IF($C519="L",1,IF($C519="1/2L",0.5,0)),0)</f>
        <v>0</v>
      </c>
      <c r="CN519" s="231">
        <f>IF(CN$3=$K519,IF($C519="W",1,IF($C519="1/2W",0.5,0)),0)</f>
        <v>0</v>
      </c>
      <c r="CO519" s="231">
        <f>IF(CN$3=$K519,IF($C519="L",1,IF($C519="1/2L",0.5,0)),0)</f>
        <v>0</v>
      </c>
      <c r="CP519" s="231">
        <f>IF(CP$3=$K519,IF($C519="W",1,IF($C519="1/2W",0.5,0)),0)</f>
        <v>0</v>
      </c>
      <c r="CQ519" s="231">
        <f>IF(CP$3=$K519,IF($C519="L",1,IF($C519="1/2L",0.5,0)),0)</f>
        <v>0</v>
      </c>
      <c r="CR519" s="231">
        <f>IF(CR$3=$K519,IF($C519="W",1,IF($C519="1/2W",0.5,0)),0)</f>
        <v>0</v>
      </c>
      <c r="CS519" s="231">
        <f>IF(CR$3=$K519,IF($C519="L",1,IF($C519="1/2L",0.5,0)),0)</f>
        <v>0</v>
      </c>
      <c r="CT519" s="208">
        <f>IF(CT$3=$K519,IF($C519="W",1,IF($C519="1/2W",0.5,0)),0)</f>
        <v>0</v>
      </c>
      <c r="CU519" s="209">
        <f>IF(CT$3=$K519,IF($C519="L",1,IF($C519="1/2L",0.5,0)),0)</f>
        <v>0</v>
      </c>
      <c r="CV519" s="209">
        <f>IF(CV$3=$K519,IF($C519="W",1,IF($C519="1/2W",0.5,0)),0)</f>
        <v>0</v>
      </c>
      <c r="CW519" s="209">
        <f>IF(CV$3=$K519,IF($C519="L",1,IF($C519="1/2L",0.5,0)),0)</f>
        <v>0</v>
      </c>
      <c r="CX519" s="209">
        <f>IF(CX$3=$K519,IF($C519="W",1,IF($C519="1/2W",0.5,0)),0)</f>
        <v>0</v>
      </c>
      <c r="CY519" s="209">
        <f>IF(CX$3=$K519,IF($C519="L",1,IF($C519="1/2L",0.5,0)),0)</f>
        <v>0</v>
      </c>
      <c r="CZ519" s="209">
        <f>IF(CZ$3=$K519,IF($C519="W",1,IF($C519="1/2W",0.5,0)),0)</f>
        <v>0</v>
      </c>
      <c r="DA519" s="209">
        <f>IF(CZ$3=$K519,IF($C519="L",1,IF($C519="1/2L",0.5,0)),0)</f>
        <v>0</v>
      </c>
      <c r="DB519" s="209">
        <f>IF(DB$3=$K519,IF($C519="W",1,IF($C519="1/2W",0.5,0)),0)</f>
        <v>0</v>
      </c>
      <c r="DC519" s="209">
        <f>IF(DB$3=$K519,IF($C519="L",1,IF($C519="1/2L",0.5,0)),0)</f>
        <v>0</v>
      </c>
      <c r="DD519" s="209">
        <f>IF(DD$3=$K519,IF($C519="W",1,IF($C519="1/2W",0.5,0)),0)</f>
        <v>0</v>
      </c>
      <c r="DE519" s="210">
        <f>IF(DD$3=$K519,IF($C519="L",1,IF($C519="1/2L",0.5,0)),0)</f>
        <v>0</v>
      </c>
      <c r="DF519" s="211">
        <f>IF(AND(L519&lt;DF$3,$C519="W"),1+DF518,DF518)</f>
        <v>16</v>
      </c>
      <c r="DG519" s="198">
        <f>IF(DF519&gt;DF518,L519+DG518,DG518)</f>
        <v>21.158</v>
      </c>
      <c r="DH519" s="209">
        <f>IF(AND(L519&gt;DH$3,$C519="W"),1+DH518,0+DH518)</f>
        <v>11</v>
      </c>
      <c r="DI519" s="198">
        <f>IF(DH519&gt;DH518,L519+DI518,DI518)</f>
        <v>59.13</v>
      </c>
      <c r="DJ519" t="s" s="306">
        <f>IF($D517="","",$D517)</f>
        <v>396</v>
      </c>
      <c r="DK519" s="232"/>
    </row>
    <row r="520" ht="14.55" customHeight="1">
      <c r="A520" s="246">
        <f>$A517+1</f>
        <v>173</v>
      </c>
      <c r="B520" t="s" s="247">
        <f>IF(AND(_xlfn.XLOOKUP(H520,H$107:H299,G$107:G299,0)=G520,_xlfn.XLOOKUP("TempoBet",K520:K522,L520:L522,0)&gt;0),"X",IF(OR(C520="W",C521="W",C522="W",C520="1/2W",C521="1/2W",C522="1/2W",C520="1/2L",C521="1/2L",C522="1/2L"),"OK",IF(OR(C520="L",C521="L",C522="L"),"LOSS",IF(OR(C520="X",C521="X",C522="X"),"Anulado"," "))))</f>
        <v>50</v>
      </c>
      <c r="C520" t="s" s="248">
        <v>51</v>
      </c>
      <c r="D520" t="s" s="303">
        <f>IF(G520="","",$D517)</f>
        <v>396</v>
      </c>
      <c r="E520" t="s" s="250">
        <v>63</v>
      </c>
      <c r="F520" t="s" s="251"/>
      <c r="G520" s="252">
        <v>44952.354166666664</v>
      </c>
      <c r="H520" t="s" s="253">
        <v>401</v>
      </c>
      <c r="I520" t="s" s="254">
        <v>57</v>
      </c>
      <c r="J520" s="255">
        <v>1</v>
      </c>
      <c r="K520" t="s" s="256">
        <v>41</v>
      </c>
      <c r="L520" s="257">
        <v>1.39</v>
      </c>
      <c r="M520" s="258">
        <v>57.69</v>
      </c>
      <c r="N520" s="259">
        <v>0</v>
      </c>
      <c r="O520" s="260">
        <f>IF(OR(AE520="",AE521=""),"",ROUND(IF(L522&gt;0,IF(M520&gt;0,M520,IF(M521&gt;0,ROUND((M521*AE520)/AE521,IF(N520=0,2,IF(N520=0.1,1,0))),ROUND((M522*AE520)/AE522,IF(N520=0,2,IF(N520=0.1,1,0))))),IF(M520&gt;0,M520,ROUND((M521*AE520)/AE521,IF(N520=0,2,IF(N520=0.1,1,0))))),2))</f>
        <v>57.69</v>
      </c>
      <c r="P520" s="261">
        <f>IF(OR(L520="",O520=""),"",IF($C520="1/2W",O520/2+O520/2*L520,IF($C520="1/2L",O520/2,IF(I520="Lay",(O520*(L520/(L520-1))-O520)*(1-_xlfn.XLOOKUP(K520,'Janeiro 2023 - Valor Real'!A3:A15,'Janeiro 2023 - Valor Real'!C3:C15,0))+O520,(O520*L520-O520)*(1-_xlfn.XLOOKUP(K520,'Janeiro 2023 - Valor Real'!A3:A15,'Janeiro 2023 - Valor Real'!C3:C15,0))+O520))))</f>
        <v>80.1891</v>
      </c>
      <c r="Q520" s="262">
        <f>IF(K520="","",IF(_xlfn.XLOOKUP(K520,K$107:K299,DJ$107:DJ299,0,,-1)=DJ520,_xlfn.XLOOKUP(K520,K$107:K299,Q$107:Q299,1,,-1)+1,1))</f>
        <v>1</v>
      </c>
      <c r="R520" s="263">
        <f>IF(K520="","",_xlfn.XLOOKUP(K520,K$107:K299,R$107:R299,0,,-1)+IF($C520=" ",1,0))</f>
        <v>0</v>
      </c>
      <c r="S520" s="264">
        <f>IF($B520="Anulado",0,ROUND(IF(OR($B520="LOSS",$B520="OK"),IF(OR($C520="W",$C520="1/2W",$C520="1/2L"),P520-O520,IF($C520="L",-O520,0))+IF(OR($C521="W",$C521="1/2W",$C521="1/2L"),P521-O521,IF($C521="L",-O521,0))+IF(OR($C522="W",$C522="1/2W",$C522="1/2L"),P522-O522,IF($C522="L",-O522,0)),IF(AND(OR($C520="W",$C520="1/2W",$C520="1/2L"),C521="W"),P520+P521-SUM(O520:O522)+_xlfn.XLOOKUP("X",C520:C522,O520:O522,0),IF(AND(C520=TRUE,C522="W"),P520+P522-SUM(O520:O522),IF(AND(C521="W",C522="W"),P521+P522-SUM(O520:O522)+_xlfn.XLOOKUP("X",C520:C522,O520:O522,0),IF(L522&gt;0,IF(OR($C520="W",$C520="1/2W",$C520="1/2L"),P520-SUM(O520:O522)+_xlfn.XLOOKUP("X",C520:C522,O520:O522,0),IF(OR($C520="W",$C520="1/2W",$C520="1/2L"),P521-SUM(O520:O522)+_xlfn.XLOOKUP("X",C520:C522,O520:O522,0),IF(OR($C520="W",$C520="1/2W",$C520="1/2L"),P522-SUM(O520:O522)+_xlfn.XLOOKUP("X",C520:C522,O520:O522,0),IF(SUM(P520:P522)/3-SUM(O520:O522)+_xlfn.XLOOKUP("X",C520:C522,O520:O522,0)&gt;0,SUM(P520:P522)/3-SUM(O520:O522)+_xlfn.XLOOKUP("X",C520:C522,O520:O522,0),LARGE(P520:P522,1)-SUM(O520:O522))))),IF(OR($C520="W",$C520="1/2W",$C520="1/2L"),P520-SUM(O520:O521)+_xlfn.XLOOKUP("X",C520:C522,O520:O522,0),IF(OR($C520="W",$C520="1/2W",$C520="1/2L"),P521-SUM(O520:O521)+_xlfn.XLOOKUP("X",C520:C522,O520:O522,0),SUM(P520:P521)/2-SUM(O520:O521)+_xlfn.XLOOKUP("X",C520:C522,O520:O522,0)))))))),2))</f>
        <v>3.86</v>
      </c>
      <c r="T520" s="265">
        <f>IF(S520=0,0,S520/SUM(O520:O522))</f>
        <v>0.0505632695834425</v>
      </c>
      <c r="U520" s="266">
        <f>IF($D520=$D517,IF(OR($B520="LOSS",$B520="OK",$B520="Anulada"),S520,0)+U517,IF(OR($B520="LOSS",$B520="OK",$B520="Anulada"),S520,0))</f>
        <v>5.89</v>
      </c>
      <c r="V520" s="266">
        <f>IF($D520="",0,IF($D520=$D517,IF($B520=" ",IF(I522="",IF(OR(AND(I520="DNB1",I521="DNB2"),AND(OR(I520="DNB1",I520="DNB2"),J521=0),AND(OR(I521="DNB1",I521="DNB2"),J520=0),AND(I520="DNB2",I521="DNB1"),AND(IF(J520=0,(J520+1)/ROUND(J520+1,0),J520/ROUND(J520,0))=1,IF(J521=0,(J521+1)/ROUND(IF(J521="",0,J521)+1,0),IF(J521="",0,J521)/ROUND(IF(J521="",1,J521),0))=1,OR(J520&lt;&gt;""),J521&lt;&gt;"")),0,IF(S520&lt;0,IF(I522="",SMALL(P520:P521,1)-SUM(O520:O521),0),SMALL(P520:P521,1)-SUM(O520:O521))),IF(S520&lt;0,IF(I522="",SMALL(P520:P522,1)-SUM(O520:O522),0),LARGE(P520:P522,1)-SUM(O520:O522))),S520)+V517,IF(I522="",IF(OR(AND(I520="DNB1",I521="DNB2"),AND(OR(I520="DNB1",I520="DNB2"),J521=0),AND(OR(I521="DNB1",I521="DNB2"),J520=0),AND(I520="DNB2",I521="DNB1"),AND(IF(J520=0,(J520+1)/ROUND(J520+1,0),J520/ROUND(J520,0))=1,IF(J521=0,(IF(J521="",0,J521)+1)/ROUND(IF(J521="",0,J521)+1,0),IF(J521="",0,J521)/ROUND(IF(J521="",0,J521)+1,0))=1,OR(J520&lt;&gt;""),J521&lt;&gt;"")),0,IF(S520&lt;0,IF(I522="",SMALL(P520:P521,1)-SUM(O520:O521),0),SMALL(P520:P522,1)-SUM(O520:O522))),IF(S520&lt;0,IF(I522="",SMALL(P520:P522,1)-SUM(O520:O522),0),LARGE(P520:P522,1)-SUM(O520:O522)))))</f>
        <v>5.89</v>
      </c>
      <c r="W520" s="266">
        <f>IF($D520=$D517,IF(S520&lt;0,IF(I522="",S520,0),S520)+W517,S520)</f>
        <v>5.89</v>
      </c>
      <c r="X520" t="s" s="267">
        <f>IF(OR(SUM(R520:R522)=0,V520=W520),ROUND(IF(W520=0,0,W520/Y520)*100,2)&amp;"%",ROUND(IF(V520=0,0,V520/Y520)*100,2)&amp;"% a "&amp;ROUND(IF(W520=0,0,W520/Y520)*100,2)&amp;"%")</f>
        <v>402</v>
      </c>
      <c r="Y520" s="268">
        <f>IF($D520=$D517,Y517+SUM(O520:O522),SUM(O520:O522))</f>
        <v>168.78</v>
      </c>
      <c r="Z520" s="266">
        <f>IF($B520=" ",SUM(O520:O522),0)+Z517</f>
        <v>0</v>
      </c>
      <c r="AA520" s="266">
        <f>IF(G520="","",IF($B520="Anulado",LARGE(P520:P522,1)-SUM(O520:O522)+AA517,AA517))</f>
        <v>24.9665076923077</v>
      </c>
      <c r="AB520" s="266">
        <f>IF($D520="","",AB517+S520)</f>
        <v>345.13</v>
      </c>
      <c r="AC520" s="269">
        <f>IF($D520="","",IF($B520=" ",IF(DAY(G520)=DAY(TODAY()),1+AC517,0+AC517),0+AC517))</f>
        <v>0</v>
      </c>
      <c r="AD520" s="270">
        <f>(1-_xlfn.XLOOKUP(K518,'Janeiro 2023 - Valor Real'!A3:A15,'Janeiro 2023 - Valor Real'!C3:C15,0))+1</f>
        <v>2</v>
      </c>
      <c r="AE520" s="271">
        <f>IF(L520="","",IF(L522&gt;0,(SUM(((L520-1)*(1-_xlfn.XLOOKUP(K520,'Janeiro 2023 - Valor Real'!A3:A15,'Janeiro 2023 - Valor Real'!C3:C15,0))+1),((L521-1)*(1-_xlfn.XLOOKUP(K521,'Janeiro 2023 - Valor Real'!A3:A15,'Janeiro 2023 - Valor Real'!C3:C15,0))+1),((L522-1)*(1-_xlfn.XLOOKUP(K522,'Janeiro 2023 - Valor Real'!A3:A15,'Janeiro 2023 - Valor Real'!C3:C15,0))+1))/((L520-1)*(1-_xlfn.XLOOKUP(K520,'Janeiro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Real'!C3:C15,0))+1))/((L520-1)*(1-_xlfn.XLOOKUP(K520,'Janeiro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Real'!C3:C15,0))+1))/((L521-1)*(1-_xlfn.XLOOKUP(K521,'Janeiro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Real'!C3:C15,0))+1))/((L522-1)*(1-_xlfn.XLOOKUP(K522,'Janeiro 2023 - Valor Real'!A3:A15,'Janeiro 2023 - Valor Real'!C3:C15,0))+1)),IF(I520="Lay",IF(I521="Lay",((L521/(L521-1)-1)*(1-_xlfn.XLOOKUP(K521,'Janeiro 2023 - Valor Real'!A3:A15,'Janeiro 2023 - Valor Real'!C3:C15,0))+1)/(((L521/(L521-1)-1)*(1-_xlfn.XLOOKUP(K521,'Janeiro 2023 - Valor Real'!A3:A15,'Janeiro 2023 - Valor Real'!C3:C15,0))+1)+((L520/(L520-1)-1)*(1-_xlfn.XLOOKUP(K520,'Janeiro 2023 - Valor Real'!A3:A15,'Janeiro 2023 - Valor Real'!C3:C15,0))+1)),((L521-1)*(1-_xlfn.XLOOKUP(K521,'Janeiro 2023 - Valor Real'!A3:A15,'Janeiro 2023 - Valor Real'!C3:C15,0))+1)/(((L521-1)*(1-_xlfn.XLOOKUP(K521,'Janeiro 2023 - Valor Real'!A3:A15,'Janeiro 2023 - Valor Real'!C3:C15,0))+1)+((L520/(L520-1)-1)*(1-_xlfn.XLOOKUP(K520,'Janeiro 2023 - Valor Real'!A3:A15,'Janeiro 2023 - Valor Real'!C3:C15,0))+1))),IF(I521="Lay",(((L521/(L521-1)-1)*(1-_xlfn.XLOOKUP(K521,'Janeiro 2023 - Valor Real'!A3:A15,'Janeiro 2023 - Valor Real'!C3:C15,0))+1))/(((L520-1)*(1-_xlfn.XLOOKUP(K520,'Janeiro 2023 - Valor Real'!A3:A15,'Janeiro 2023 - Valor Real'!C3:C15,0))+1)+((L521/(L521-1)-1)*(1-_xlfn.XLOOKUP(K521,'Janeiro 2023 - Valor Real'!A3:A15,'Janeiro 2023 - Valor Real'!C3:C15,0))+1)),((L521-1)*(1-_xlfn.XLOOKUP(K521,'Janeiro 2023 - Valor Real'!A3:A15,'Janeiro 2023 - Valor Real'!C3:C15,0))+1)/(((L521-1)*(1-_xlfn.XLOOKUP(K521,'Janeiro 2023 - Valor Real'!A3:A15,'Janeiro 2023 - Valor Real'!C3:C15,0))+1)+((L520-1)*(1-_xlfn.XLOOKUP(K520,'Janeiro 2023 - Valor Real'!A3:A15,'Janeiro 2023 - Valor Real'!C3:C15,0))+1))))))</f>
        <v>0.7557117750439371</v>
      </c>
      <c r="AF520" s="132">
        <f>IF($K520=AF$3,ROUND(IF(OR($C520="W",$C520="1/2W",$C520="1/2L"),$P520-$O520,IF($C520="X",0,-$O520)),2),0)</f>
        <v>0</v>
      </c>
      <c r="AG520" s="133">
        <f>IF($K520=AG$3,ROUND(IF(OR($C520="W",$C520="1/2W",$C520="1/2L"),$P520-$O520,IF($C520="X",0,-$O520)),2),0)</f>
        <v>0</v>
      </c>
      <c r="AH520" s="133">
        <f>IF($K520=AH$3,ROUND(IF(OR($C520="W",$C520="1/2W",$C520="1/2L"),$P520-$O520,IF($C520="X",0,-$O520)),2),0)</f>
        <v>0</v>
      </c>
      <c r="AI520" s="133">
        <f>IF($K520=AI$3,ROUND(IF(OR($C520="W",$C520="1/2W",$C520="1/2L"),$P520-$O520,IF($C520="X",0,-$O520)),2),0)</f>
        <v>0</v>
      </c>
      <c r="AJ520" s="133">
        <f>IF($K520=AJ$3,ROUND(IF(OR($C520="W",$C520="1/2W",$C520="1/2L"),$P520-$O520,IF($C520="X",0,-$O520)),2),0)</f>
        <v>-57.69</v>
      </c>
      <c r="AK520" s="133">
        <f>IF($K520=AK$3,ROUND(IF(OR($C520="W",$C520="1/2W",$C520="1/2L"),$P520-$O520,IF($C520="X",0,-$O520)),2),0)</f>
        <v>0</v>
      </c>
      <c r="AL520" s="133">
        <f>IF($K520=AL$3,ROUND(IF(OR($C520="W",$C520="1/2W",$C520="1/2L"),$P520-$O520,IF($C520="X",0,-$O520)),2),0)</f>
        <v>0</v>
      </c>
      <c r="AM520" s="133">
        <f>IF($K520=AM$3,ROUND(IF(OR($C520="W",$C520="1/2W",$C520="1/2L"),$P520-$O520,IF($C520="X",0,-$O520)),2),0)</f>
        <v>0</v>
      </c>
      <c r="AN520" s="133">
        <f>IF($K520=AN$3,ROUND(IF(OR($C520="W",$C520="1/2W",$C520="1/2L"),$P520-$O520,IF($C520="X",0,-$O520)),2),0)</f>
        <v>0</v>
      </c>
      <c r="AO520" s="133">
        <f>IF($K520=AO$3,ROUND(IF(OR($C520="W",$C520="1/2W",$C520="1/2L"),$P520-$O520,IF($C520="X",0,-$O520)),2),0)</f>
        <v>0</v>
      </c>
      <c r="AP520" s="133">
        <f>IF($K520=AP$3,ROUND(IF(OR($C520="W",$C520="1/2W",$C520="1/2L"),$P520-$O520,IF($C520="X",0,-$O520)),2),0)</f>
        <v>0</v>
      </c>
      <c r="AQ520" s="133">
        <f>IF($K520=AQ$3,ROUND(IF(OR($C520="W",$C520="1/2W",$C520="1/2L"),$P520-$O520,IF($C520="X",0,-$O520)),2),0)</f>
        <v>0</v>
      </c>
      <c r="AR520" s="134">
        <f>IF($K520=AR$3,ROUND(IF(OR($C520="W",$C520="1/2W",$C520="1/2L"),$P520-$O520,IF($C520="X",0,-$O520)),2),0)</f>
        <v>0</v>
      </c>
      <c r="AS520" s="132">
        <f>IF(AND($B520=" ",$K520=AS$3),$O520,0)</f>
        <v>0</v>
      </c>
      <c r="AT520" s="133">
        <f>IF(AND($B520=" ",$K520=AT$3),$O520,0)</f>
        <v>0</v>
      </c>
      <c r="AU520" s="133">
        <f>IF(AND($B520=" ",$K520=AU$3),$O520,0)</f>
        <v>0</v>
      </c>
      <c r="AV520" s="133">
        <f>IF(AND($B520=" ",$K520=AV$3),$O520,0)</f>
        <v>0</v>
      </c>
      <c r="AW520" s="133">
        <f>IF(AND($B520=" ",$K520=AW$3),$O520,0)</f>
        <v>0</v>
      </c>
      <c r="AX520" s="133">
        <f>IF(AND($B520=" ",$K520=AX$3),$O520,0)</f>
        <v>0</v>
      </c>
      <c r="AY520" s="135">
        <f>IF(AND($B520=" ",$K520=AY$3),$O520,0)</f>
        <v>0</v>
      </c>
      <c r="AZ520" s="136">
        <f>IF(AND($B520=" ",$K520=AZ$3),$O520,0)</f>
        <v>0</v>
      </c>
      <c r="BA520" s="136">
        <f>IF(AND($B520=" ",$K520=BA$3),$O520,0)</f>
        <v>0</v>
      </c>
      <c r="BB520" s="136">
        <f>IF(AND($B520=" ",$K520=BB$3),$O520,0)</f>
        <v>0</v>
      </c>
      <c r="BC520" s="137">
        <f>IF(AND($B520=" ",$K520=BC$3),$O520,0)</f>
        <v>0</v>
      </c>
      <c r="BD520" s="133">
        <f>IF(AND($B520=" ",$K520=BD$3),$O520,0)</f>
        <v>0</v>
      </c>
      <c r="BE520" s="134">
        <f>IF(AND($B520=" ",$K520=BE$3),$O520,0)</f>
        <v>0</v>
      </c>
      <c r="BF520" s="132">
        <f>IF($K520=BF$3,IF($C520="X",0,$O520),0)</f>
        <v>0</v>
      </c>
      <c r="BG520" s="133">
        <f>IF($K520=BG$3,IF($C520="X",0,$O520),0)</f>
        <v>0</v>
      </c>
      <c r="BH520" s="133">
        <f>IF($K520=BH$3,IF($C520="X",0,$O520),0)</f>
        <v>0</v>
      </c>
      <c r="BI520" s="133">
        <f>IF($K520=BI$3,IF($C520="X",0,$O520),0)</f>
        <v>0</v>
      </c>
      <c r="BJ520" s="133">
        <f>IF($K520=BJ$3,IF($C520="X",0,$O520),0)</f>
        <v>57.69</v>
      </c>
      <c r="BK520" s="133">
        <f>IF($K520=BK$3,IF($C520="X",0,$O520),0)</f>
        <v>0</v>
      </c>
      <c r="BL520" s="133">
        <f>IF($K520=BL$3,IF($C520="X",0,$O520),0)</f>
        <v>0</v>
      </c>
      <c r="BM520" s="135">
        <f>IF($K520=BM$3,IF($C520="X",0,$O520),0)</f>
        <v>0</v>
      </c>
      <c r="BN520" s="136">
        <f>IF($K520=BN$3,IF($C520="X",0,$O520),0)</f>
        <v>0</v>
      </c>
      <c r="BO520" s="136">
        <f>IF($K520=BO$3,IF($C520="X",0,$O520),0)</f>
        <v>0</v>
      </c>
      <c r="BP520" s="136">
        <f>IF($K520=BP$3,IF($C520="X",0,$O520),0)</f>
        <v>0</v>
      </c>
      <c r="BQ520" s="137">
        <f>IF($K520=BQ$3,IF($C520="X",0,$O520),0)</f>
        <v>0</v>
      </c>
      <c r="BR520" s="134">
        <f>IF($K520=BR$3,IF($C520="X",0,$O520),0)</f>
        <v>0</v>
      </c>
      <c r="BS520" s="170">
        <f>IF($B520="LOSS",IF(AND($K520=BS$3,$C520="L"),-$O520,0)+IF(AND($K521=BS$3,$C521="L"),-$O521,0)+IF(AND($K522=BS$3,$C522="L"),-$O522,0),IF(OR(AND($K520=BS$3,OR($C520="W",$C520="1/2W")),AND($K521=BS$3,OR($C521="W",$C521="1/2W")),AND($K522=BS$3,OR($C522="W",$C522="1/2W"))),$S520,0))</f>
        <v>0</v>
      </c>
      <c r="BT520" s="272">
        <f>IF($B520="LOSS",IF(AND($K520=BT$3,$C520="L"),-$O520,0)+IF(AND($K521=BT$3,$C521="L"),-$O521,0)+IF(AND($K521=BT$3,$C522="L"),-$O522,0),IF(OR(AND($K521=BT$3,OR($C520="W",$C520="1/2W")),AND($K521=BT$3,OR($C521="W",$C521="1/2W")),AND($K521=BT$3,OR($C522="W",$C522="1/2W"))),$S520,0))</f>
        <v>0</v>
      </c>
      <c r="BU520" s="136">
        <f>IF($B520="LOSS",IF(AND($K520=BU$3,$C520="L"),-$O520,0)+IF(AND($K521=BU$3,$C521="L"),-$O521,0)+IF(AND($K521=BU$3,$C522="L"),-$O522,0),IF(OR(AND($K521=BU$3,OR($C520="W",$C520="1/2W")),AND($K521=BU$3,OR($C521="W",$C521="1/2W")),AND($K521=BU$3,OR($C522="W",$C522="1/2W"))),$S520,0))</f>
        <v>0</v>
      </c>
      <c r="BV520" s="136">
        <f>IF($B520="LOSS",IF(AND($K520=BV$3,$C520="L"),-$O520,0)+IF(AND($K521=BV$3,$C521="L"),-$O521,0)+IF(AND($K522=BV$3,$C522="L"),-$O522,0),IF(OR(AND($K520=BV$3,OR($C520="W",$C520="1/2W")),AND($K521=BV$3,OR($C521="W",$C521="1/2W")),AND($K522=BV$3,OR($C522="W",$C522="1/2W"))),$S520,0))</f>
        <v>0</v>
      </c>
      <c r="BW520" s="136">
        <f>IF($B520="LOSS",IF(AND($K520=BW$3,$C520="L"),-$O520,0)+IF(AND($K521=BW$3,$C521="L"),-$O521,0)+IF(AND($K522=BW$3,$C522="L"),-$O522,0),IF(OR(AND($K520=BW$3,OR($C520="W",$C520="1/2W")),AND($K521=BW$3,OR($C521="W",$C521="1/2W")),AND($K522=BW$3,OR($C522="W",$C522="1/2W"))),$S520,0))</f>
        <v>0</v>
      </c>
      <c r="BX520" s="136">
        <f>IF($B520="LOSS",IF(AND($K520=BX$3,$C520="L"),-$O520,0)+IF(AND($K521=BX$3,$C521="L"),-$O521,0)+IF(AND($K522=BX$3,$C522="L"),-$O522,0),IF(OR(AND($K520=BX$3,OR($C520="W",$C520="1/2W")),AND($K521=BX$3,OR($C521="W",$C521="1/2W")),AND($K522=BX$3,OR($C522="W",$C522="1/2W"))),$S520,0))</f>
        <v>0</v>
      </c>
      <c r="BY520" s="136">
        <f>IF($B520="LOSS",IF(AND($K520=BY$3,$C520="L"),-$O520,0)+IF(AND($K521=BY$3,$C521="L"),-$O521,0)+IF(AND($K522=BY$3,$C522="L"),-$O522,0),IF(OR(AND($K520=BY$3,OR($C520="W",$C520="1/2W")),AND($K521=BY$3,OR($C521="W",$C521="1/2W")),AND($K522=BY$3,OR($C522="W",$C522="1/2W"))),$S520,0))</f>
        <v>0</v>
      </c>
      <c r="BZ520" s="136">
        <f>IF($B520="LOSS",IF(AND($K520=BZ$3,$C520="L"),-$O520,0)+IF(AND($K521=BZ$3,$C521="L"),-$O521,0)+IF(AND($K522=BZ$3,$C522="L"),-$O522,0),IF(OR(AND($K520=BZ$3,OR($C520="W",$C520="1/2W")),AND($K521=BZ$3,OR($C521="W",$C521="1/2W")),AND($K522=BZ$3,OR($C522="W",$C522="1/2W"))),$S520,0))</f>
        <v>0</v>
      </c>
      <c r="CA520" s="136">
        <f>IF($B520="LOSS",IF(AND($K520=CA$3,$C520="L"),-$O520,0)+IF(AND($K521=CA$3,$C521="L"),-$O521,0)+IF(AND($K522=CA$3,$C522="L"),-$O522,0),IF(OR(AND($K520=CA$3,OR($C520="W",$C520="1/2W")),AND($K521=CA$3,OR($C521="W",$C521="1/2W")),AND($K522=CA$3,OR($C522="W",$C522="1/2W"))),$S520,0))</f>
        <v>0</v>
      </c>
      <c r="CB520" s="136">
        <f>IF($B520="LOSS",IF(AND($K520=CB$3,$C520="L"),-$O520,0)+IF(AND($K521=CB$3,$C521="L"),-$O521,0)+IF(AND($K522=CB$3,$C522="L"),-$O522,0),IF(OR(AND($K520=CB$3,OR($C520="W",$C520="1/2W")),AND($K521=CB$3,OR($C521="W",$C521="1/2W")),AND($K522=CB$3,OR($C522="W",$C522="1/2W"))),$S520,0))</f>
        <v>0</v>
      </c>
      <c r="CC520" s="136">
        <f>IF($B520="LOSS",IF(AND($K520=CC$3,$C520="L"),-$O520,0)+IF(AND($K521=CC$3,$C521="L"),-$O521,0)+IF(AND($K522=CC$3,$C522="L"),-$O522,0),IF(OR(AND($K520=CC$3,OR($C520="W",$C520="1/2W")),AND($K521=CC$3,OR($C521="W",$C521="1/2W")),AND($K522=CC$3,OR($C522="W",$C522="1/2W"))),$S520,0))</f>
        <v>0</v>
      </c>
      <c r="CD520" s="137">
        <f>IF($B520="LOSS",IF(AND($K520=CD$3,$C520="L"),-$O520,0)+IF(AND($K521=CD$3,$C521="L"),-$O521,0)+IF(AND($K522=CD$3,$C522="L"),-$O522,0),IF(OR(AND($K520=CD$3,OR($C520="W",$C520="1/2W")),AND($K521=CD$3,OR($C521="W",$C521="1/2W")),AND($K522=CD$3,OR($C522="W",$C522="1/2W"))),$S520,0))</f>
        <v>3.86</v>
      </c>
      <c r="CE520" s="134">
        <f>IF($B520="LOSS",IF(AND($K520=CE$3,$C520="L"),-$O520,0)+IF(AND($K521=CE$3,$C521="L"),-$O521,0)+IF(AND($K522=CE$3,$C522="L"),-$O522,0),IF(OR(AND($K520=CE$3,OR($C520="W",$C520="1/2W")),AND($K521=CE$3,OR($C521="W",$C521="1/2W")),AND($K522=CE$3,OR($C522="W",$C522="1/2W"))),$S520,0))</f>
        <v>0</v>
      </c>
      <c r="CF520" s="273">
        <f>IF(CF$3=$K520,IF($C520="W",1,IF($C520="1/2W",0.5,0)),0)</f>
        <v>0</v>
      </c>
      <c r="CG520" s="274">
        <f>IF(CF$3=$K520,IF($C520="L",1,IF($C520="1/2L",0.5,0)),0)</f>
        <v>0</v>
      </c>
      <c r="CH520" s="274">
        <f>IF(CH$3=$K520,IF($C520="W",1,IF($C520="1/2W",0.5,0)),0)</f>
        <v>0</v>
      </c>
      <c r="CI520" s="274">
        <f>IF(CH$3=$K520,IF($C520="L",1,IF($C520="1/2L",0.5,0)),0)</f>
        <v>0</v>
      </c>
      <c r="CJ520" s="274">
        <f>IF(CJ$3=$K520,IF($C520="W",1,IF($C520="1/2W",0.5,0)),0)</f>
        <v>0</v>
      </c>
      <c r="CK520" s="274">
        <f>IF(CJ$3=$K520,IF($C520="L",1,IF($C520="1/2L",0.5,0)),0)</f>
        <v>0</v>
      </c>
      <c r="CL520" s="274">
        <f>IF(CL$3=$K520,IF($C520="W",1,IF($C520="1/2W",0.5,0)),0)</f>
        <v>0</v>
      </c>
      <c r="CM520" s="274">
        <f>IF(CL$3=$K520,IF($C520="L",1,IF($C520="1/2L",0.5,0)),0)</f>
        <v>0</v>
      </c>
      <c r="CN520" s="274">
        <f>IF(CN$3=$K520,IF($C520="W",1,IF($C520="1/2W",0.5,0)),0)</f>
        <v>0</v>
      </c>
      <c r="CO520" s="274">
        <f>IF(CN$3=$K520,IF($C520="L",1,IF($C520="1/2L",0.5,0)),0)</f>
        <v>1</v>
      </c>
      <c r="CP520" s="274">
        <f>IF(CP$3=$K520,IF($C520="W",1,IF($C520="1/2W",0.5,0)),0)</f>
        <v>0</v>
      </c>
      <c r="CQ520" s="274">
        <f>IF(CP$3=$K520,IF($C520="L",1,IF($C520="1/2L",0.5,0)),0)</f>
        <v>0</v>
      </c>
      <c r="CR520" s="274">
        <f>IF(CR$3=$K520,IF($C520="W",1,IF($C520="1/2W",0.5,0)),0)</f>
        <v>0</v>
      </c>
      <c r="CS520" s="274">
        <f>IF(CR$3=$K520,IF($C520="L",1,IF($C520="1/2L",0.5,0)),0)</f>
        <v>0</v>
      </c>
      <c r="CT520" s="145">
        <f>IF(CT$3=$K520,IF($C520="W",1,IF($C520="1/2W",0.5,0)),0)</f>
        <v>0</v>
      </c>
      <c r="CU520" s="146">
        <f>IF(CT$3=$K520,IF($C520="L",1,IF($C520="1/2L",0.5,0)),0)</f>
        <v>0</v>
      </c>
      <c r="CV520" s="146">
        <f>IF(CV$3=$K520,IF($C520="W",1,IF($C520="1/2W",0.5,0)),0)</f>
        <v>0</v>
      </c>
      <c r="CW520" s="146">
        <f>IF(CV$3=$K520,IF($C520="L",1,IF($C520="1/2L",0.5,0)),0)</f>
        <v>0</v>
      </c>
      <c r="CX520" s="146">
        <f>IF(CX$3=$K520,IF($C520="W",1,IF($C520="1/2W",0.5,0)),0)</f>
        <v>0</v>
      </c>
      <c r="CY520" s="146">
        <f>IF(CX$3=$K520,IF($C520="L",1,IF($C520="1/2L",0.5,0)),0)</f>
        <v>0</v>
      </c>
      <c r="CZ520" s="146">
        <f>IF(CZ$3=$K520,IF($C520="W",1,IF($C520="1/2W",0.5,0)),0)</f>
        <v>0</v>
      </c>
      <c r="DA520" s="146">
        <f>IF(CZ$3=$K520,IF($C520="L",1,IF($C520="1/2L",0.5,0)),0)</f>
        <v>0</v>
      </c>
      <c r="DB520" s="146">
        <f>IF(DB$3=$K520,IF($C520="W",1,IF($C520="1/2W",0.5,0)),0)</f>
        <v>0</v>
      </c>
      <c r="DC520" s="146">
        <f>IF(DB$3=$K520,IF($C520="L",1,IF($C520="1/2L",0.5,0)),0)</f>
        <v>0</v>
      </c>
      <c r="DD520" s="146">
        <f>IF(DD$3=$K520,IF($C520="W",1,IF($C520="1/2W",0.5,0)),0)</f>
        <v>0</v>
      </c>
      <c r="DE520" s="147">
        <f>IF(DD$3=$K520,IF($C520="L",1,IF($C520="1/2L",0.5,0)),0)</f>
        <v>0</v>
      </c>
      <c r="DF520" s="143">
        <f>IF(AND(L520&lt;DF$3,$C520="W"),1+DF519,DF519)</f>
        <v>16</v>
      </c>
      <c r="DG520" s="133">
        <f>IF(DF520&gt;DF519,L520+DG519,DG519)</f>
        <v>21.158</v>
      </c>
      <c r="DH520" s="146">
        <f>IF(AND(L520&gt;DH$3,$C520="W"),1+DH519,0+DH519)</f>
        <v>11</v>
      </c>
      <c r="DI520" s="133">
        <f>IF(DH520&gt;DH519,L520+DI519,DI519)</f>
        <v>59.13</v>
      </c>
      <c r="DJ520" t="s" s="304">
        <f>IF($D520="","",$D520)</f>
        <v>396</v>
      </c>
      <c r="DK520" s="146">
        <f>IF(AND($B520=" ",$D520&lt;&gt;""),1,0)</f>
        <v>0</v>
      </c>
    </row>
    <row r="521" ht="14.55" customHeight="1">
      <c r="A521" s="107"/>
      <c r="B521" s="108"/>
      <c r="C521" t="s" s="109">
        <v>56</v>
      </c>
      <c r="D521" s="110"/>
      <c r="E521" s="111"/>
      <c r="F521" s="113"/>
      <c r="G521" s="252"/>
      <c r="H521" s="114"/>
      <c r="I521" t="s" s="275">
        <v>54</v>
      </c>
      <c r="J521" s="276">
        <f>IF(OR(I520="TO",I520="TU",I520="TO1",I520="TU1",I520="TO2",I520="TU2"),J520,IF(OR(I520="AH1",I520="AH2"),IF(OR(I521="AH1",I521="AH2"),-J520,IF(OR(I521="EH1",I521="EH2"),-J520+0.5,"")),IF(OR(I520="EH1",I520="EH2"),IF(OR(I521="AH1",I521="AH2"),-J520+0.5,IF(OR(I521="EH1",I521="EH2"),-J520+1,"")),IF(AND(OR(I520="DNB1",I520="DNB2"),OR(I521="AH1",I521="AH2")),0,IF(AND(I520="Not ScoreBoth",OR(I521="TO1",I521="TO2")),0.5,"")))))</f>
        <v>-1</v>
      </c>
      <c r="K521" t="s" s="117">
        <v>48</v>
      </c>
      <c r="L521" s="277">
        <v>4.3</v>
      </c>
      <c r="M521" s="278"/>
      <c r="N521" s="120"/>
      <c r="O521" s="121">
        <f>IF(OR(AE520="",AE521=""),"",ROUND(IF(L522&gt;0,IF(M521&gt;0,M521,IF(M520&gt;0,IF(N520=TRUE,ROUND((M520*AE521)/AE520,0),(M520*AE521)/AE520),IF(M521&gt;0,ROUND(M521,IF(N520=0,2,IF(N520=0.1,1,0))),IF(M522&gt;0,ROUND(O522*AE521/AE522,IF(N520=0,2,IF(N520=0.1,1,0))),0)))),IF(M521&gt;0,M521,ROUND((M520*AE521)/AE520,IF(N520=0,2,IF(N520=0.1,1,0))))),2))</f>
        <v>18.65</v>
      </c>
      <c r="P521" s="122">
        <f>IF(OR(L521="",O521=""),"",IF($C521="1/2W",O521/2+O521/2*L521,IF($C521="1/2L",O521/2,IF(I521="Lay",((O521*(L521/(L521-1)))-O521)*(1-_xlfn.XLOOKUP(K521,'Janeiro 2023 - Valor Real'!A3:A15,'Janeiro 2023 - Valor Real'!C3:C15,0))+O521,(O521*L521-O521)*(1-_xlfn.XLOOKUP(K521,'Janeiro 2023 - Valor Real'!A3:A15,'Janeiro 2023 - Valor Real'!C3:C15,0))+O521))))</f>
        <v>80.19499999999999</v>
      </c>
      <c r="Q521" s="279">
        <f>IF(K521="","",IF(_xlfn.XLOOKUP(K521,K$120:K300,DJ$120:DJ300,0,,-1)=DJ521,_xlfn.XLOOKUP(K521,K$120:K300,Q$120:Q300,1,,-1)+1,1))</f>
        <v>1</v>
      </c>
      <c r="R521" s="280">
        <f>IF(K521="","",_xlfn.XLOOKUP(K521,K$120:K300,R$120:R300,0,,-1)+IF($C521=" ",1,0))</f>
        <v>0</v>
      </c>
      <c r="S521" s="125"/>
      <c r="T521" s="126"/>
      <c r="U521" s="126"/>
      <c r="V521" s="224"/>
      <c r="W521" s="126"/>
      <c r="X521" s="127"/>
      <c r="Y521" s="128"/>
      <c r="Z521" s="129"/>
      <c r="AA521" s="129"/>
      <c r="AB521" s="129"/>
      <c r="AC521" s="129"/>
      <c r="AD521" s="130"/>
      <c r="AE521" s="131">
        <f>IF(L521="","",IF(L522&gt;0,(SUM(((L520-1)*(1-_xlfn.XLOOKUP(K520,'Janeiro 2023 - Valor Real'!A3:A15,'Janeiro 2023 - Valor Real'!C3:C15,0))+1),((L521-1)*(1-_xlfn.XLOOKUP(K521,'Janeiro 2023 - Valor Real'!A3:A15,'Janeiro 2023 - Valor Real'!C3:C15,0))+1),((L522-1)*(1-_xlfn.XLOOKUP(K522,'Janeiro 2023 - Valor Real'!A3:A15,'Janeiro 2023 - Valor Real'!C3:C15,0))+1))/((L521-1)*(1-_xlfn.XLOOKUP(K521,'Janeiro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Real'!C3:C15,0))+1))/((L520-1)*(1-_xlfn.XLOOKUP(K520,'Janeiro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Real'!C3:C15,0))+1))/((L521-1)*(1-_xlfn.XLOOKUP(K521,'Janeiro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Real'!C3:C15,0))+1))/((L522-1)*(1-_xlfn.XLOOKUP(K522,'Janeiro 2023 - Valor Real'!A3:A15,'Janeiro 2023 - Valor Real'!C3:C15,0))+1)),IF(I521="Lay",IF(I520="Lay",((L520/(L520-1)-1)*(1-_xlfn.XLOOKUP(K520,'Janeiro 2023 - Valor Real'!A3:A15,'Janeiro 2023 - Valor Real'!C3:C15,0))+1)/(((L520/(L520-1)-1)*(1-_xlfn.XLOOKUP(K520,'Janeiro 2023 - Valor Real'!A3:A15,'Janeiro 2023 - Valor Real'!C3:C15,0))+1)+((L521/(L521-1)-1)*(1-_xlfn.XLOOKUP(K521,'Janeiro 2023 - Valor Real'!A3:A15,'Janeiro 2023 - Valor Real'!C3:C15,0))+1)),((L520-1)*(1-_xlfn.XLOOKUP(K520,'Janeiro 2023 - Valor Real'!A3:A15,'Janeiro 2023 - Valor Real'!C3:C15,0))+1)/(((L520-1)*(1-_xlfn.XLOOKUP(K520,'Janeiro 2023 - Valor Real'!A3:A15,'Janeiro 2023 - Valor Real'!C3:C15,0))+1)+((L521/(L521-1)-1)*(1-_xlfn.XLOOKUP(K521,'Janeiro 2023 - Valor Real'!A3:A15,'Janeiro 2023 - Valor Real'!C3:C15,0))+1))),IF(I520="Lay",((L520/(L520-1)-1)*(1-_xlfn.XLOOKUP(K520,'Janeiro 2023 - Valor Real'!A3:A15,'Janeiro 2023 - Valor Real'!C3:C15,0))+1)/((((L520/(L520-1)-1)*(1-_xlfn.XLOOKUP(K520,'Janeiro 2023 - Valor Real'!A3:A15,'Janeiro 2023 - Valor Real'!C3:C15,0))+1))+((L521-1)*(1-_xlfn.XLOOKUP(K521,'Janeiro 2023 - Valor Real'!A3:A15,'Janeiro 2023 - Valor Real'!C3:C15,0))+1)),((L520-1)*(1-_xlfn.XLOOKUP(K520,'Janeiro 2023 - Valor Real'!A3:A15,'Janeiro 2023 - Valor Real'!C3:C15,0))+1)/(((L520-1)*(1-_xlfn.XLOOKUP(K520,'Janeiro 2023 - Valor Real'!A3:A15,'Janeiro 2023 - Valor Real'!C3:C15,0))+1)+((L521-1)*(1-_xlfn.XLOOKUP(K521,'Janeiro 2023 - Valor Real'!A3:A15,'Janeiro 2023 - Valor Real'!C3:C15,0))+1))))))</f>
        <v>0.244288224956063</v>
      </c>
      <c r="AF521" s="132">
        <f>IF($K521=AF$3,ROUND(IF(OR($C521="W",$C521="1/2W",$C521="1/2L"),$P521-$O521,IF($C521="X",0,-$O521)),2),0)</f>
        <v>0</v>
      </c>
      <c r="AG521" s="133">
        <f>IF($K521=AG$3,ROUND(IF(OR($C521="W",$C521="1/2W",$C521="1/2L"),$P521-$O521,IF($C521="X",0,-$O521)),2),0)</f>
        <v>0</v>
      </c>
      <c r="AH521" s="133">
        <f>IF($K521=AH$3,ROUND(IF(OR($C521="W",$C521="1/2W",$C521="1/2L"),$P521-$O521,IF($C521="X",0,-$O521)),2),0)</f>
        <v>0</v>
      </c>
      <c r="AI521" s="133">
        <f>IF($K521=AI$3,ROUND(IF(OR($C521="W",$C521="1/2W",$C521="1/2L"),$P521-$O521,IF($C521="X",0,-$O521)),2),0)</f>
        <v>0</v>
      </c>
      <c r="AJ521" s="133">
        <f>IF($K521=AJ$3,ROUND(IF(OR($C521="W",$C521="1/2W",$C521="1/2L"),$P521-$O521,IF($C521="X",0,-$O521)),2),0)</f>
        <v>0</v>
      </c>
      <c r="AK521" s="133">
        <f>IF($K521=AK$3,ROUND(IF(OR($C521="W",$C521="1/2W",$C521="1/2L"),$P521-$O521,IF($C521="X",0,-$O521)),2),0)</f>
        <v>0</v>
      </c>
      <c r="AL521" s="133">
        <f>IF($K521=AL$3,ROUND(IF(OR($C521="W",$C521="1/2W",$C521="1/2L"),$P521-$O521,IF($C521="X",0,-$O521)),2),0)</f>
        <v>0</v>
      </c>
      <c r="AM521" s="133">
        <f>IF($K521=AM$3,ROUND(IF(OR($C521="W",$C521="1/2W",$C521="1/2L"),$P521-$O521,IF($C521="X",0,-$O521)),2),0)</f>
        <v>0</v>
      </c>
      <c r="AN521" s="133">
        <f>IF($K521=AN$3,ROUND(IF(OR($C521="W",$C521="1/2W",$C521="1/2L"),$P521-$O521,IF($C521="X",0,-$O521)),2),0)</f>
        <v>0</v>
      </c>
      <c r="AO521" s="133">
        <f>IF($K521=AO$3,ROUND(IF(OR($C521="W",$C521="1/2W",$C521="1/2L"),$P521-$O521,IF($C521="X",0,-$O521)),2),0)</f>
        <v>0</v>
      </c>
      <c r="AP521" s="133">
        <f>IF($K521=AP$3,ROUND(IF(OR($C521="W",$C521="1/2W",$C521="1/2L"),$P521-$O521,IF($C521="X",0,-$O521)),2),0)</f>
        <v>0</v>
      </c>
      <c r="AQ521" s="133">
        <f>IF($K521=AQ$3,ROUND(IF(OR($C521="W",$C521="1/2W",$C521="1/2L"),$P521-$O521,IF($C521="X",0,-$O521)),2),0)</f>
        <v>61.55</v>
      </c>
      <c r="AR521" s="134">
        <f>IF($K521=AR$3,ROUND(IF(OR($C521="W",$C521="1/2W",$C521="1/2L"),$P521-$O521,IF($C521="X",0,-$O521)),2),0)</f>
        <v>0</v>
      </c>
      <c r="AS521" s="132">
        <f>IF(AND($B520=" ",$K521=AS$3),$O521,0)</f>
        <v>0</v>
      </c>
      <c r="AT521" s="133">
        <f>IF(AND($B520=" ",K521=AT$3),$O521,0)</f>
        <v>0</v>
      </c>
      <c r="AU521" s="133">
        <f>IF(AND($B520=" ",$K521=AU$3),$O521,0)</f>
        <v>0</v>
      </c>
      <c r="AV521" s="133">
        <f>IF(AND($B520=" ",$K521=AV$3),$O521,0)</f>
        <v>0</v>
      </c>
      <c r="AW521" s="133">
        <f>IF(AND($B520=" ",$K521=AW$3),$O521,0)</f>
        <v>0</v>
      </c>
      <c r="AX521" s="133">
        <f>IF(AND($B520=" ",$K521=AX$3),$O521,0)</f>
        <v>0</v>
      </c>
      <c r="AY521" s="135">
        <f>IF(AND($B520=" ",$K521=AY$3),$O521,0)</f>
        <v>0</v>
      </c>
      <c r="AZ521" s="136">
        <f>IF(AND($B520=" ",$K521=AZ$3),$O521,0)</f>
        <v>0</v>
      </c>
      <c r="BA521" s="136">
        <f>IF(AND($B520=" ",$K521=BA$3),$O521,0)</f>
        <v>0</v>
      </c>
      <c r="BB521" s="136">
        <f>IF(AND($B520=" ",$K521=BB$3),$O521,0)</f>
        <v>0</v>
      </c>
      <c r="BC521" s="137">
        <f>IF(AND($B520=" ",$K521=BC$3),$O521,0)</f>
        <v>0</v>
      </c>
      <c r="BD521" s="133">
        <f>IF(AND($B520=" ",$K521=BD$3),$O521,0)</f>
        <v>0</v>
      </c>
      <c r="BE521" s="134">
        <f>IF(AND($B520=" ",$K521=BE$3),$O521,0)</f>
        <v>0</v>
      </c>
      <c r="BF521" s="132">
        <f>IF($K521=BF$3,IF($C521="X",0,$O521),0)</f>
        <v>0</v>
      </c>
      <c r="BG521" s="281">
        <f>IF($K521=BG$3,IF($C521="X",0,$O521),0)</f>
        <v>0</v>
      </c>
      <c r="BH521" s="133">
        <f>IF($K521=BH$3,IF($C521="X",0,$O521),0)</f>
        <v>0</v>
      </c>
      <c r="BI521" s="133">
        <f>IF($K521=BI$3,IF($C521="X",0,$O521),0)</f>
        <v>0</v>
      </c>
      <c r="BJ521" s="133">
        <f>IF($K521=BJ$3,IF($C521="X",0,$O521),0)</f>
        <v>0</v>
      </c>
      <c r="BK521" s="133">
        <f>IF($K521=BK$3,IF($C521="X",0,$O521),0)</f>
        <v>0</v>
      </c>
      <c r="BL521" s="133">
        <f>IF($K521=BL$3,IF($C521="X",0,$O521),0)</f>
        <v>0</v>
      </c>
      <c r="BM521" s="135">
        <f>IF($K521=BM$3,IF($C521="X",0,$O521),0)</f>
        <v>0</v>
      </c>
      <c r="BN521" s="136">
        <f>IF($K521=BN$3,IF($C521="X",0,$O521),0)</f>
        <v>0</v>
      </c>
      <c r="BO521" s="136">
        <f>IF($K521=BO$3,IF($C521="X",0,$O521),0)</f>
        <v>0</v>
      </c>
      <c r="BP521" s="136">
        <f>IF($K521=BP$3,IF($C521="X",0,$O521),0)</f>
        <v>0</v>
      </c>
      <c r="BQ521" s="137">
        <f>IF($K521=BQ$3,IF($C521="X",0,$O521),0)</f>
        <v>18.65</v>
      </c>
      <c r="BR521" s="134">
        <f>IF($K521=BR$3,IF($C521="X",0,$O521),0)</f>
        <v>0</v>
      </c>
      <c r="BS521" s="282"/>
      <c r="BT521" s="283"/>
      <c r="BU521" s="140"/>
      <c r="BV521" s="283"/>
      <c r="BW521" s="140"/>
      <c r="BX521" s="140"/>
      <c r="BY521" s="140"/>
      <c r="BZ521" s="283"/>
      <c r="CA521" s="140"/>
      <c r="CB521" s="140"/>
      <c r="CC521" s="140"/>
      <c r="CD521" s="141"/>
      <c r="CE521" s="142"/>
      <c r="CF521" s="284">
        <f>IF(CF$3=$K521,IF($C521="W",1,IF($C521="1/2W",0.5,0)),0)</f>
        <v>0</v>
      </c>
      <c r="CG521" s="285">
        <f>IF(CF$3=$K521,IF($C521="L",1,IF($C521="1/2L",0.5,0)),0)</f>
        <v>0</v>
      </c>
      <c r="CH521" s="285">
        <f>IF(CH$3=$K521,IF($C521="W",1,IF($C521="1/2W",0.5,0)),0)</f>
        <v>0</v>
      </c>
      <c r="CI521" s="285">
        <f>IF(CH$3=$K521,IF($C521="L",1,IF($C521="1/2L",0.5,0)),0)</f>
        <v>0</v>
      </c>
      <c r="CJ521" s="285">
        <f>IF(CJ$3=$K521,IF($C521="W",1,IF($C521="1/2W",0.5,0)),0)</f>
        <v>0</v>
      </c>
      <c r="CK521" s="285">
        <f>IF(CJ$3=$K521,IF($C521="L",1,IF($C521="1/2L",0.5,0)),0)</f>
        <v>0</v>
      </c>
      <c r="CL521" s="285">
        <f>IF(CL$3=$K521,IF($C521="W",1,IF($C521="1/2W",0.5,0)),0)</f>
        <v>0</v>
      </c>
      <c r="CM521" s="285">
        <f>IF(CL$3=$K521,IF($C521="L",1,IF($C521="1/2L",0.5,0)),0)</f>
        <v>0</v>
      </c>
      <c r="CN521" s="285">
        <f>IF(CN$3=$K521,IF($C521="W",1,IF($C521="1/2W",0.5,0)),0)</f>
        <v>0</v>
      </c>
      <c r="CO521" s="285">
        <f>IF(CN$3=$K521,IF($C521="L",1,IF($C521="1/2L",0.5,0)),0)</f>
        <v>0</v>
      </c>
      <c r="CP521" s="285">
        <f>IF(CP$3=$K521,IF($C521="W",1,IF($C521="1/2W",0.5,0)),0)</f>
        <v>0</v>
      </c>
      <c r="CQ521" s="285">
        <f>IF(CP$3=$K521,IF($C521="L",1,IF($C521="1/2L",0.5,0)),0)</f>
        <v>0</v>
      </c>
      <c r="CR521" s="285">
        <f>IF(CR$3=$K521,IF($C521="W",1,IF($C521="1/2W",0.5,0)),0)</f>
        <v>0</v>
      </c>
      <c r="CS521" s="285">
        <f>IF(CR$3=$K521,IF($C521="L",1,IF($C521="1/2L",0.5,0)),0)</f>
        <v>0</v>
      </c>
      <c r="CT521" s="145">
        <f>IF(CT$3=$K521,IF($C521="W",1,IF($C521="1/2W",0.5,0)),0)</f>
        <v>0</v>
      </c>
      <c r="CU521" s="146">
        <f>IF(CT$3=$K521,IF($C521="L",1,IF($C521="1/2L",0.5,0)),0)</f>
        <v>0</v>
      </c>
      <c r="CV521" s="146">
        <f>IF(CV$3=$K521,IF($C521="W",1,IF($C521="1/2W",0.5,0)),0)</f>
        <v>0</v>
      </c>
      <c r="CW521" s="146">
        <f>IF(CV$3=$K521,IF($C521="L",1,IF($C521="1/2L",0.5,0)),0)</f>
        <v>0</v>
      </c>
      <c r="CX521" s="146">
        <f>IF(CX$3=$K521,IF($C521="W",1,IF($C521="1/2W",0.5,0)),0)</f>
        <v>0</v>
      </c>
      <c r="CY521" s="146">
        <f>IF(CX$3=$K521,IF($C521="L",1,IF($C521="1/2L",0.5,0)),0)</f>
        <v>0</v>
      </c>
      <c r="CZ521" s="146">
        <f>IF(CZ$3=$K521,IF($C521="W",1,IF($C521="1/2W",0.5,0)),0)</f>
        <v>0</v>
      </c>
      <c r="DA521" s="146">
        <f>IF(CZ$3=$K521,IF($C521="L",1,IF($C521="1/2L",0.5,0)),0)</f>
        <v>0</v>
      </c>
      <c r="DB521" s="146">
        <f>IF(DB$3=$K521,IF($C521="W",1,IF($C521="1/2W",0.5,0)),0)</f>
        <v>1</v>
      </c>
      <c r="DC521" s="146">
        <f>IF(DB$3=$K521,IF($C521="L",1,IF($C521="1/2L",0.5,0)),0)</f>
        <v>0</v>
      </c>
      <c r="DD521" s="146">
        <f>IF(DD$3=$K521,IF($C521="W",1,IF($C521="1/2W",0.5,0)),0)</f>
        <v>0</v>
      </c>
      <c r="DE521" s="147">
        <f>IF(DD$3=$K521,IF($C521="L",1,IF($C521="1/2L",0.5,0)),0)</f>
        <v>0</v>
      </c>
      <c r="DF521" s="143">
        <f>IF(AND(L521&lt;DF$3,$C521="W"),1+DF520,DF520)</f>
        <v>16</v>
      </c>
      <c r="DG521" s="133">
        <f>IF(DF521&gt;DF520,L521+DG520,DG520)</f>
        <v>21.158</v>
      </c>
      <c r="DH521" s="146">
        <f>IF(AND(L521&gt;DH$3,$C521="W"),1+DH520,0+DH520)</f>
        <v>12</v>
      </c>
      <c r="DI521" s="133">
        <f>IF(DH521&gt;DH520,L521+DI520,DI520)</f>
        <v>63.43</v>
      </c>
      <c r="DJ521" t="s" s="304">
        <f>IF($D520="","",$D520)</f>
        <v>396</v>
      </c>
      <c r="DK521" s="286"/>
    </row>
    <row r="522" ht="14.55" customHeight="1">
      <c r="A522" s="149"/>
      <c r="B522" s="150"/>
      <c r="C522" t="s" s="151">
        <v>58</v>
      </c>
      <c r="D522" s="152"/>
      <c r="E522" s="153"/>
      <c r="F522" s="155"/>
      <c r="G522" s="252"/>
      <c r="H522" s="156"/>
      <c r="I522" s="287"/>
      <c r="J522" s="288"/>
      <c r="K522" s="156"/>
      <c r="L522" s="289"/>
      <c r="M522" s="290"/>
      <c r="N522" s="161"/>
      <c r="O522" t="s" s="162">
        <f>IF(OR(AE520="",AE521=""),"",IF(L522&gt;0,ROUND(IF(M522&gt;0,M522,IF(M520&gt;0,ROUND((M520*AE522)/AE520,IF(N520=0,2,IF(N520=0.1,1,0))),IF(M521&gt;0,ROUND((M521*AE522)/AE521,IF(N520=0,2,IF(N520=0.1,1,0))),IF(M522&gt;0,M522,0)))),2),""))</f>
      </c>
      <c r="P522" t="s" s="163">
        <f>IF(I521="Lay",O521*(L521/(L521-1))-O521,IF(I520="Lay",O520*(L520/(L520-1))-O520,IF(OR(L522="",O522=""),"",IF($C522="1/2W",O522/2+O522/2*L522,IF($C522="1/2L",O522/2,(O522*L522-O522)*(1-_xlfn.XLOOKUP(K522,'Janeiro 2023 - Valor Real'!A3:A15,'Janeiro 2023 - Valor Real'!C3:C15,0))+O522)))))</f>
      </c>
      <c r="Q522" t="s" s="154">
        <f>IF(K522="","",IF(_xlfn.XLOOKUP(K522,K$121:K301,DJ$121:DJ301,0,,-1)=DJ522,_xlfn.XLOOKUP(K522,K$121:K301,Q$121:Q301,1,,-1)+1,1))</f>
      </c>
      <c r="R522" t="s" s="163">
        <f>IF(K522="","",_xlfn.XLOOKUP(K522,K$121:K301,R$121:R301,0,,-1)+IF($C522=" ",1,0))</f>
      </c>
      <c r="S522" s="166"/>
      <c r="T522" s="155"/>
      <c r="U522" s="155"/>
      <c r="V522" s="166"/>
      <c r="W522" s="155"/>
      <c r="X522" s="167"/>
      <c r="Y522" s="128"/>
      <c r="Z522" s="129"/>
      <c r="AA522" s="129"/>
      <c r="AB522" s="129"/>
      <c r="AC522" s="129"/>
      <c r="AD522" s="168"/>
      <c r="AE522" t="s" s="169">
        <f>IF(L522="","",(SUM(((L520-1)*(1-_xlfn.XLOOKUP(K520,'Janeiro 2023 - Valor Real'!A3:A15,'Janeiro 2023 - Valor Real'!C3:C15,0))+1),((L521-1)*(1-_xlfn.XLOOKUP(K521,'Janeiro 2023 - Valor Real'!A3:A15,'Janeiro 2023 - Valor Real'!C3:C15,0))+1),((L522-1)*(1-_xlfn.XLOOKUP(K522,'Janeiro 2023 - Valor Real'!A3:A15,'Janeiro 2023 - Valor Real'!C3:C15,0))+1))/((L522-1)*(1-_xlfn.XLOOKUP(K522,'Janeiro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Real'!C3:C15,0))+1))/((L520-1)*(1-_xlfn.XLOOKUP(K520,'Janeiro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Real'!C3:C15,0))+1))/((L521-1)*(1-_xlfn.XLOOKUP(K521,'Janeiro 2023 - Valor Real'!A3:A15,'Janeiro 2023 - Valor Real'!C3:C15,0))+1)+SUM(((L520-1)*(1-_xlfn.XLOOKUP(K520,'Janeiro 2023 - Valor Real'!A3:A15,'Janeiro 2023 - Valor Real'!C3:C15,0))+1),((L521-1)*(1-_xlfn.XLOOKUP(K521,'Janeiro 2023 - Valor Real'!A3:A15,'Janeiro 2023 - Valor Real'!C3:C15,0))+1),((L522-1)*(1-_xlfn.XLOOKUP(K522,'Janeiro 2023 - Valor Real'!A3:A15,'Janeiro 2023 - Valor Real'!C3:C15,0))+1))/((L522-1)*(1-_xlfn.XLOOKUP(K522,'Janeiro 2023 - Valor Real'!A3:A15,'Janeiro 2023 - Valor Real'!C3:C15,0))+1)))</f>
      </c>
      <c r="AF522" s="132">
        <f>IF($K522=AF$3,ROUND(IF(OR($C522="W",$C522="1/2W",$C522="1/2L"),$P522-$O522,IF($C522="X",0,-$O522)),2),0)</f>
        <v>0</v>
      </c>
      <c r="AG522" s="133">
        <f>IF($K522=AG$3,ROUND(IF(OR($C522="W",$C522="1/2W",$C522="1/2L"),$P522-$O522,IF($C522="X",0,-$O522)),2),0)</f>
        <v>0</v>
      </c>
      <c r="AH522" s="133">
        <f>IF($K522=AH$3,ROUND(IF(OR($C522="W",$C522="1/2W",$C522="1/2L"),$P522-$O522,IF($C522="X",0,-$O522)),2),0)</f>
        <v>0</v>
      </c>
      <c r="AI522" s="133">
        <f>IF($K522=AI$3,ROUND(IF(OR($C522="W",$C522="1/2W",$C522="1/2L"),$P522-$O522,IF($C522="X",0,-$O522)),2),0)</f>
        <v>0</v>
      </c>
      <c r="AJ522" s="133">
        <f>IF($K522=AJ$3,ROUND(IF(OR($C522="W",$C522="1/2W",$C522="1/2L"),$P522-$O522,IF($C522="X",0,-$O522)),2),0)</f>
        <v>0</v>
      </c>
      <c r="AK522" s="133">
        <f>IF($K522=AK$3,ROUND(IF(OR($C522="W",$C522="1/2W",$C522="1/2L"),$P522-$O522,IF($C522="X",0,-$O522)),2),0)</f>
        <v>0</v>
      </c>
      <c r="AL522" s="133">
        <f>IF($K522=AL$3,ROUND(IF(OR($C522="W",$C522="1/2W",$C522="1/2L"),$P522-$O522,IF($C522="X",0,-$O522)),2),0)</f>
        <v>0</v>
      </c>
      <c r="AM522" s="133">
        <f>IF($K522=AM$3,ROUND(IF(OR($C522="W",$C522="1/2W",$C522="1/2L"),$P522-$O522,IF($C522="X",0,-$O522)),2),0)</f>
        <v>0</v>
      </c>
      <c r="AN522" s="133">
        <f>IF($K522=AN$3,ROUND(IF(OR($C522="W",$C522="1/2W",$C522="1/2L"),$P522-$O522,IF($C522="X",0,-$O522)),2),0)</f>
        <v>0</v>
      </c>
      <c r="AO522" s="133">
        <f>IF($K522=AO$3,ROUND(IF(OR($C522="W",$C522="1/2W",$C522="1/2L"),$P522-$O522,IF($C522="X",0,-$O522)),2),0)</f>
        <v>0</v>
      </c>
      <c r="AP522" s="133">
        <f>IF($K522=AP$3,ROUND(IF(OR($C522="W",$C522="1/2W",$C522="1/2L"),$P522-$O522,IF($C522="X",0,-$O522)),2),0)</f>
        <v>0</v>
      </c>
      <c r="AQ522" s="133">
        <f>IF($K522=AQ$3,ROUND(IF(OR($C522="W",$C522="1/2W",$C522="1/2L"),$P522-$O522,IF($C522="X",0,-$O522)),2),0)</f>
        <v>0</v>
      </c>
      <c r="AR522" s="134">
        <f>IF($K522=AR$3,ROUND(IF(OR($C522="W",$C522="1/2W",$C522="1/2L"),$P522-$O522,IF($C522="X",0,-$O522)),2),0)</f>
        <v>0</v>
      </c>
      <c r="AS522" s="132">
        <f>IF(AND($B520=" ",$K522=AS$3),$O522,0)</f>
        <v>0</v>
      </c>
      <c r="AT522" s="133">
        <f>IF(AND($B520=" ",K522=AT$3),$O522,0)</f>
        <v>0</v>
      </c>
      <c r="AU522" s="133">
        <f>IF(AND($B520=" ",$K522=AU$3),$O522,0)</f>
        <v>0</v>
      </c>
      <c r="AV522" s="133">
        <f>IF(AND($B520=" ",$K522=AV$3),$O522,0)</f>
        <v>0</v>
      </c>
      <c r="AW522" s="133">
        <f>IF(AND($B520=" ",$K522=AW$3),$O522,0)</f>
        <v>0</v>
      </c>
      <c r="AX522" s="133">
        <f>IF(AND($B520=" ",$K522=AX$3),$O522,0)</f>
        <v>0</v>
      </c>
      <c r="AY522" s="135">
        <f>IF(AND($B520=" ",$K522=AY$3),$O522,0)</f>
        <v>0</v>
      </c>
      <c r="AZ522" s="136">
        <f>IF(AND($B520=" ",$K522=AZ$3),$O522,0)</f>
        <v>0</v>
      </c>
      <c r="BA522" s="136">
        <f>IF(AND($B520=" ",$K522=BA$3),$O522,0)</f>
        <v>0</v>
      </c>
      <c r="BB522" s="136">
        <f>IF(AND($B520=" ",$K522=BB$3),$O522,0)</f>
        <v>0</v>
      </c>
      <c r="BC522" s="137">
        <f>IF(AND($B520=" ",$K522=BC$3),$O522,0)</f>
        <v>0</v>
      </c>
      <c r="BD522" s="133">
        <f>IF(AND($B520=" ",$K522=BD$3),$O522,0)</f>
        <v>0</v>
      </c>
      <c r="BE522" s="134">
        <f>IF(AND($B520=" ",$K522=BE$3),$O522,0)</f>
        <v>0</v>
      </c>
      <c r="BF522" s="132">
        <f>IF($K522=BF$3,IF($C522="X",0,$O522),0)</f>
        <v>0</v>
      </c>
      <c r="BG522" s="281">
        <f>IF($K522=BG$3,IF($C522="X",0,$O522),0)</f>
        <v>0</v>
      </c>
      <c r="BH522" s="133">
        <f>IF($K522=BH$3,IF($C522="X",0,$O522),0)</f>
        <v>0</v>
      </c>
      <c r="BI522" s="133">
        <f>IF($K522=BI$3,IF($C522="X",0,$O522),0)</f>
        <v>0</v>
      </c>
      <c r="BJ522" s="133">
        <f>IF($K522=BJ$3,IF($C522="X",0,$O522),0)</f>
        <v>0</v>
      </c>
      <c r="BK522" s="133">
        <f>IF($K522=BK$3,IF($C522="X",0,$O522),0)</f>
        <v>0</v>
      </c>
      <c r="BL522" s="133">
        <f>IF($K522=BL$3,IF($C522="X",0,$O522),0)</f>
        <v>0</v>
      </c>
      <c r="BM522" s="135">
        <f>IF($K522=BM$3,IF($C522="X",0,$O522),0)</f>
        <v>0</v>
      </c>
      <c r="BN522" s="136">
        <f>IF($K522=BN$3,IF($C522="X",0,$O522),0)</f>
        <v>0</v>
      </c>
      <c r="BO522" s="136">
        <f>IF($K522=BO$3,IF($C522="X",0,$O522),0)</f>
        <v>0</v>
      </c>
      <c r="BP522" s="136">
        <f>IF($K522=BP$3,IF($C522="X",0,$O522),0)</f>
        <v>0</v>
      </c>
      <c r="BQ522" s="137">
        <f>IF($K522=BQ$3,IF($C522="X",0,$O522),0)</f>
        <v>0</v>
      </c>
      <c r="BR522" s="134">
        <f>IF($K522=BR$3,IF($C522="X",0,$O522),0)</f>
        <v>0</v>
      </c>
      <c r="BS522" s="282"/>
      <c r="BT522" s="283"/>
      <c r="BU522" s="140"/>
      <c r="BV522" s="283"/>
      <c r="BW522" s="140"/>
      <c r="BX522" s="140"/>
      <c r="BY522" s="140"/>
      <c r="BZ522" s="283"/>
      <c r="CA522" s="140"/>
      <c r="CB522" s="140"/>
      <c r="CC522" s="140"/>
      <c r="CD522" s="141"/>
      <c r="CE522" s="142"/>
      <c r="CF522" s="284">
        <f>IF(CF$3=$K522,IF($C522="W",1,IF($C522="1/2W",0.5,0)),0)</f>
        <v>0</v>
      </c>
      <c r="CG522" s="285">
        <f>IF(CF$3=$K522,IF($C522="L",1,IF($C522="1/2L",0.5,0)),0)</f>
        <v>0</v>
      </c>
      <c r="CH522" s="285">
        <f>IF(CH$3=$K522,IF($C522="W",1,IF($C522="1/2W",0.5,0)),0)</f>
        <v>0</v>
      </c>
      <c r="CI522" s="285">
        <f>IF(CH$3=$K522,IF($C522="L",1,IF($C522="1/2L",0.5,0)),0)</f>
        <v>0</v>
      </c>
      <c r="CJ522" s="285">
        <f>IF(CJ$3=$K522,IF($C522="W",1,IF($C522="1/2W",0.5,0)),0)</f>
        <v>0</v>
      </c>
      <c r="CK522" s="285">
        <f>IF(CJ$3=$K522,IF($C522="L",1,IF($C522="1/2L",0.5,0)),0)</f>
        <v>0</v>
      </c>
      <c r="CL522" s="285">
        <f>IF(CL$3=$K522,IF($C522="W",1,IF($C522="1/2W",0.5,0)),0)</f>
        <v>0</v>
      </c>
      <c r="CM522" s="285">
        <f>IF(CL$3=$K522,IF($C522="L",1,IF($C522="1/2L",0.5,0)),0)</f>
        <v>0</v>
      </c>
      <c r="CN522" s="285">
        <f>IF(CN$3=$K522,IF($C522="W",1,IF($C522="1/2W",0.5,0)),0)</f>
        <v>0</v>
      </c>
      <c r="CO522" s="285">
        <f>IF(CN$3=$K522,IF($C522="L",1,IF($C522="1/2L",0.5,0)),0)</f>
        <v>0</v>
      </c>
      <c r="CP522" s="285">
        <f>IF(CP$3=$K522,IF($C522="W",1,IF($C522="1/2W",0.5,0)),0)</f>
        <v>0</v>
      </c>
      <c r="CQ522" s="285">
        <f>IF(CP$3=$K522,IF($C522="L",1,IF($C522="1/2L",0.5,0)),0)</f>
        <v>0</v>
      </c>
      <c r="CR522" s="285">
        <f>IF(CR$3=$K522,IF($C522="W",1,IF($C522="1/2W",0.5,0)),0)</f>
        <v>0</v>
      </c>
      <c r="CS522" s="285">
        <f>IF(CR$3=$K522,IF($C522="L",1,IF($C522="1/2L",0.5,0)),0)</f>
        <v>0</v>
      </c>
      <c r="CT522" s="145">
        <f>IF(CT$3=$K522,IF($C522="W",1,IF($C522="1/2W",0.5,0)),0)</f>
        <v>0</v>
      </c>
      <c r="CU522" s="146">
        <f>IF(CT$3=$K522,IF($C522="L",1,IF($C522="1/2L",0.5,0)),0)</f>
        <v>0</v>
      </c>
      <c r="CV522" s="146">
        <f>IF(CV$3=$K522,IF($C522="W",1,IF($C522="1/2W",0.5,0)),0)</f>
        <v>0</v>
      </c>
      <c r="CW522" s="146">
        <f>IF(CV$3=$K522,IF($C522="L",1,IF($C522="1/2L",0.5,0)),0)</f>
        <v>0</v>
      </c>
      <c r="CX522" s="146">
        <f>IF(CX$3=$K522,IF($C522="W",1,IF($C522="1/2W",0.5,0)),0)</f>
        <v>0</v>
      </c>
      <c r="CY522" s="146">
        <f>IF(CX$3=$K522,IF($C522="L",1,IF($C522="1/2L",0.5,0)),0)</f>
        <v>0</v>
      </c>
      <c r="CZ522" s="146">
        <f>IF(CZ$3=$K522,IF($C522="W",1,IF($C522="1/2W",0.5,0)),0)</f>
        <v>0</v>
      </c>
      <c r="DA522" s="146">
        <f>IF(CZ$3=$K522,IF($C522="L",1,IF($C522="1/2L",0.5,0)),0)</f>
        <v>0</v>
      </c>
      <c r="DB522" s="146">
        <f>IF(DB$3=$K522,IF($C522="W",1,IF($C522="1/2W",0.5,0)),0)</f>
        <v>0</v>
      </c>
      <c r="DC522" s="146">
        <f>IF(DB$3=$K522,IF($C522="L",1,IF($C522="1/2L",0.5,0)),0)</f>
        <v>0</v>
      </c>
      <c r="DD522" s="146">
        <f>IF(DD$3=$K522,IF($C522="W",1,IF($C522="1/2W",0.5,0)),0)</f>
        <v>0</v>
      </c>
      <c r="DE522" s="147">
        <f>IF(DD$3=$K522,IF($C522="L",1,IF($C522="1/2L",0.5,0)),0)</f>
        <v>0</v>
      </c>
      <c r="DF522" s="143">
        <f>IF(AND(L522&lt;DF$3,$C522="W"),1+DF521,DF521)</f>
        <v>16</v>
      </c>
      <c r="DG522" s="133">
        <f>IF(DF522&gt;DF521,L522+DG521,DG521)</f>
        <v>21.158</v>
      </c>
      <c r="DH522" s="146">
        <f>IF(AND(L522&gt;DH$3,$C522="W"),1+DH521,0+DH521)</f>
        <v>12</v>
      </c>
      <c r="DI522" s="133">
        <f>IF(DH522&gt;DH521,L522+DI521,DI521)</f>
        <v>63.43</v>
      </c>
      <c r="DJ522" t="s" s="304">
        <f>IF($D520="","",$D520)</f>
        <v>396</v>
      </c>
      <c r="DK522" s="286"/>
    </row>
    <row r="523" ht="14.55" customHeight="1">
      <c r="A523" s="171">
        <f>$A520+1</f>
        <v>174</v>
      </c>
      <c r="B523" t="s" s="172">
        <f>IF(AND(_xlfn.XLOOKUP(H523,H$122:H296,G$122:G296,0)=G523,_xlfn.XLOOKUP("TempoBet",K523:K525,L523:L525,0)&gt;0),"X",IF(OR(C523="W",C524="W",C525="W",C523="1/2W",C524="1/2W",C525="1/2W",C523="1/2L",C524="1/2L",C525="1/2L"),"OK",IF(OR(C523="L",C524="L",C525="L"),"LOSS",IF(OR(C523="X",C524="X",C525="X"),"Anulado"," "))))</f>
        <v>50</v>
      </c>
      <c r="C523" t="s" s="173">
        <v>51</v>
      </c>
      <c r="D523" t="s" s="305">
        <f>IF(G523="","",$D520)</f>
        <v>396</v>
      </c>
      <c r="E523" t="s" s="175">
        <f>IF(G523=""," ","– "&amp;COUNTIF(D$4:D525,$D523))</f>
        <v>106</v>
      </c>
      <c r="F523" t="s" s="176"/>
      <c r="G523" s="177">
        <v>44952.354166666664</v>
      </c>
      <c r="H523" t="s" s="178">
        <v>401</v>
      </c>
      <c r="I523" t="s" s="179">
        <v>57</v>
      </c>
      <c r="J523" s="291">
        <v>1.5</v>
      </c>
      <c r="K523" t="s" s="181">
        <v>41</v>
      </c>
      <c r="L523" s="182">
        <v>1.23</v>
      </c>
      <c r="M523" s="183">
        <v>97.83</v>
      </c>
      <c r="N523" s="184">
        <v>0.1</v>
      </c>
      <c r="O523" s="185">
        <f>IF(OR(AE523="",AE524=""),"",ROUND(IF(L525&gt;0,IF(M523&gt;0,M523,IF(M524&gt;0,ROUND((M524*AE523)/AE524,IF(N523=0,2,IF(N523=0.1,1,0))),ROUND((M525*AE523)/AE525,IF(N523=0,2,IF(N523=0.1,1,0))))),IF(M523&gt;0,M523,ROUND((M524*AE523)/AE524,IF(N523=0,2,IF(N523=0.1,1,0))))),2))</f>
        <v>97.83</v>
      </c>
      <c r="P523" s="186">
        <f>IF(OR(L523="",O523=""),"",IF($C523="1/2W",O523/2+O523/2*L523,IF($C523="1/2L",O523/2,IF(I523="Lay",(O523*(L523/(L523-1))-O523)*(1-_xlfn.XLOOKUP(K523,'Janeiro 2023 - Valor Real'!A3:A15,'Janeiro 2023 - Valor Real'!C3:C15,0))+O523,(O523*L523-O523)*(1-_xlfn.XLOOKUP(K523,'Janeiro 2023 - Valor Real'!A3:A15,'Janeiro 2023 - Valor Real'!C3:C15,0))+O523))))</f>
        <v>120.3309</v>
      </c>
      <c r="Q523" s="187">
        <f>IF(K523="","",IF(_xlfn.XLOOKUP(K523,K$122:K296,DJ$122:DJ296,0,,-1)=DJ523,_xlfn.XLOOKUP(K523,K$122:K296,Q$122:Q296,1,,-1)+1,1))</f>
        <v>1</v>
      </c>
      <c r="R523" s="188">
        <f>IF(K523="","",_xlfn.XLOOKUP(K523,K$122:K296,R$122:R296,0,,-1)+IF($C523=" ",1,0))</f>
        <v>0</v>
      </c>
      <c r="S523" s="189">
        <f>IF($B523="Anulado",0,ROUND(IF(OR($B523="LOSS",$B523="OK"),IF(OR($C523="W",$C523="1/2W",$C523="1/2L"),P523-O523,IF($C523="L",-O523,0))+IF(OR($C524="W",$C524="1/2W",$C524="1/2L"),P524-O524,IF($C524="L",-O524,0))+IF(OR($C525="W",$C525="1/2W",$C525="1/2L"),P525-O525,IF($C525="L",-O525,0)),IF(AND(OR($C523="W",$C523="1/2W",$C523="1/2L"),C524="W"),P523+P524-SUM(O523:O525)+_xlfn.XLOOKUP("X",C523:C525,O523:O525,0),IF(AND(C523=TRUE,C525="W"),P523+P525-SUM(O523:O525),IF(AND(C524="W",C525="W"),P524+P525-SUM(O523:O525)+_xlfn.XLOOKUP("X",C523:C525,O523:O525,0),IF(L525&gt;0,IF(OR($C523="W",$C523="1/2W",$C523="1/2L"),P523-SUM(O523:O525)+_xlfn.XLOOKUP("X",C523:C525,O523:O525,0),IF(OR($C523="W",$C523="1/2W",$C523="1/2L"),P524-SUM(O523:O525)+_xlfn.XLOOKUP("X",C523:C525,O523:O525,0),IF(OR($C523="W",$C523="1/2W",$C523="1/2L"),P525-SUM(O523:O525)+_xlfn.XLOOKUP("X",C523:C525,O523:O525,0),IF(SUM(P523:P525)/3-SUM(O523:O525)+_xlfn.XLOOKUP("X",C523:C525,O523:O525,0)&gt;0,SUM(P523:P525)/3-SUM(O523:O525)+_xlfn.XLOOKUP("X",C523:C525,O523:O525,0),LARGE(P523:P525,1)-SUM(O523:O525))))),IF(OR($C523="W",$C523="1/2W",$C523="1/2L"),P523-SUM(O523:O524)+_xlfn.XLOOKUP("X",C523:C525,O523:O525,0),IF(OR($C523="W",$C523="1/2W",$C523="1/2L"),P524-SUM(O523:O524)+_xlfn.XLOOKUP("X",C523:C525,O523:O525,0),SUM(P523:P524)/2-SUM(O523:O524)+_xlfn.XLOOKUP("X",C523:C525,O523:O525,0)))))))),2))</f>
        <v>5.37</v>
      </c>
      <c r="T523" s="190">
        <f>IF(S523=0,0,S523/SUM(O523:O525))</f>
        <v>0.0466834738763801</v>
      </c>
      <c r="U523" s="191">
        <f>IF($D523=$D520,IF(OR($B523="LOSS",$B523="OK",$B523="Anulada"),S523,0)+U520,IF(OR($B523="LOSS",$B523="OK",$B523="Anulada"),S523,0))</f>
        <v>11.26</v>
      </c>
      <c r="V523" s="191">
        <f>IF($D523="",0,IF($D523=$D520,IF($B523=" ",IF(I525="",IF(OR(AND(I523="DNB1",I524="DNB2"),AND(OR(I523="DNB1",I523="DNB2"),J524=0),AND(OR(I524="DNB1",I524="DNB2"),J523=0),AND(I523="DNB2",I524="DNB1"),AND(IF(J523=0,(J523+1)/ROUND(J523+1,0),J523/ROUND(J523,0))=1,IF(J524=0,(J524+1)/ROUND(IF(J524="",0,J524)+1,0),IF(J524="",0,J524)/ROUND(IF(J524="",1,J524),0))=1,OR(J523&lt;&gt;""),J524&lt;&gt;"")),0,IF(S523&lt;0,IF(I525="",SMALL(P523:P524,1)-SUM(O523:O524),0),SMALL(P523:P524,1)-SUM(O523:O524))),IF(S523&lt;0,IF(I525="",SMALL(P523:P525,1)-SUM(O523:O525),0),LARGE(P523:P525,1)-SUM(O523:O525))),S523)+V520,IF(I525="",IF(OR(AND(I523="DNB1",I524="DNB2"),AND(OR(I523="DNB1",I523="DNB2"),J524=0),AND(OR(I524="DNB1",I524="DNB2"),J523=0),AND(I523="DNB2",I524="DNB1"),AND(IF(J523=0,(J523+1)/ROUND(J523+1,0),J523/ROUND(J523,0))=1,IF(J524=0,(IF(J524="",0,J524)+1)/ROUND(IF(J524="",0,J524)+1,0),IF(J524="",0,J524)/ROUND(IF(J524="",0,J524)+1,0))=1,OR(J523&lt;&gt;""),J524&lt;&gt;"")),0,IF(S523&lt;0,IF(I525="",SMALL(P523:P524,1)-SUM(O523:O524),0),SMALL(P523:P525,1)-SUM(O523:O525))),IF(S523&lt;0,IF(I525="",SMALL(P523:P525,1)-SUM(O523:O525),0),LARGE(P523:P525,1)-SUM(O523:O525)))))</f>
        <v>11.26</v>
      </c>
      <c r="W523" s="191">
        <f>IF($D523=$D520,IF(S523&lt;0,IF(I525="",S523,0),S523)+W520,S523)</f>
        <v>11.26</v>
      </c>
      <c r="X523" t="s" s="192">
        <f>IF(OR(SUM(R523:R525)=0,V523=W523),ROUND(IF(W523=0,0,W523/Y523)*100,2)&amp;"%",ROUND(IF(V523=0,0,V523/Y523)*100,2)&amp;"% a "&amp;ROUND(IF(W523=0,0,W523/Y523)*100,2)&amp;"%")</f>
        <v>403</v>
      </c>
      <c r="Y523" s="193">
        <f>IF($D523=$D520,Y520+SUM(O523:O525),SUM(O523:O525))</f>
        <v>283.81</v>
      </c>
      <c r="Z523" s="191">
        <f>IF($B523=" ",SUM(O523:O525),0)+Z520</f>
        <v>0</v>
      </c>
      <c r="AA523" s="191">
        <f>IF(G523="","",IF($B523="Anulado",LARGE(P523:P525,1)-SUM(O523:O525)+AA520,AA520))</f>
        <v>24.9665076923077</v>
      </c>
      <c r="AB523" s="191">
        <f>IF($D523="","",AB520+S523)</f>
        <v>350.5</v>
      </c>
      <c r="AC523" s="194">
        <f>IF($D523="","",IF($B523=" ",IF(DAY(G523)=DAY(TODAY()),1+AC520,0+AC520),0+AC520))</f>
        <v>0</v>
      </c>
      <c r="AD523" s="195">
        <f>(((L524/(L524-1)-1)*(1-_xlfn.XLOOKUP(K524,'Janeiro 2023 - Valor Real'!A3:A15,'Janeiro 2023 - Valor Real'!C3:C15,0))+1))/(((L523-1)*(1-_xlfn.XLOOKUP(K523,'Janeiro 2023 - Valor Real'!A3:A15,'Janeiro 2023 - Valor Real'!C3:C15,0))+1)+((L524/(L524-1)-1)*(1-_xlfn.XLOOKUP(K524,'Janeiro 2023 - Valor Real'!A3:A15,'Janeiro 2023 - Valor Real'!C3:C15,0))+1))</f>
        <v>0.486787204450626</v>
      </c>
      <c r="AE523" s="196">
        <f>IF(L523="","",IF(L525&gt;0,(SUM(((L523-1)*(1-_xlfn.XLOOKUP(K523,'Janeiro 2023 - Valor Real'!A3:A15,'Janeiro 2023 - Valor Real'!C3:C15,0))+1),((L524-1)*(1-_xlfn.XLOOKUP(K524,'Janeiro 2023 - Valor Real'!A3:A15,'Janeiro 2023 - Valor Real'!C3:C15,0))+1),((L525-1)*(1-_xlfn.XLOOKUP(K525,'Janeiro 2023 - Valor Real'!A3:A15,'Janeiro 2023 - Valor Real'!C3:C15,0))+1))/((L523-1)*(1-_xlfn.XLOOKUP(K523,'Janeiro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Real'!C3:C15,0))+1))/((L523-1)*(1-_xlfn.XLOOKUP(K523,'Janeiro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Real'!C3:C15,0))+1))/((L524-1)*(1-_xlfn.XLOOKUP(K524,'Janeiro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Real'!C3:C15,0))+1))/((L525-1)*(1-_xlfn.XLOOKUP(K525,'Janeiro 2023 - Valor Real'!A3:A15,'Janeiro 2023 - Valor Real'!C3:C15,0))+1)),IF(I523="Lay",IF(I524="Lay",((L524/(L524-1)-1)*(1-_xlfn.XLOOKUP(K524,'Janeiro 2023 - Valor Real'!A3:A15,'Janeiro 2023 - Valor Real'!C3:C15,0))+1)/(((L524/(L524-1)-1)*(1-_xlfn.XLOOKUP(K524,'Janeiro 2023 - Valor Real'!A3:A15,'Janeiro 2023 - Valor Real'!C3:C15,0))+1)+((L523/(L523-1)-1)*(1-_xlfn.XLOOKUP(K523,'Janeiro 2023 - Valor Real'!A3:A15,'Janeiro 2023 - Valor Real'!C3:C15,0))+1)),((L524-1)*(1-_xlfn.XLOOKUP(K524,'Janeiro 2023 - Valor Real'!A3:A15,'Janeiro 2023 - Valor Real'!C3:C15,0))+1)/(((L524-1)*(1-_xlfn.XLOOKUP(K524,'Janeiro 2023 - Valor Real'!A3:A15,'Janeiro 2023 - Valor Real'!C3:C15,0))+1)+((L523/(L523-1)-1)*(1-_xlfn.XLOOKUP(K523,'Janeiro 2023 - Valor Real'!A3:A15,'Janeiro 2023 - Valor Real'!C3:C15,0))+1))),IF(I524="Lay",(((L524/(L524-1)-1)*(1-_xlfn.XLOOKUP(K524,'Janeiro 2023 - Valor Real'!A3:A15,'Janeiro 2023 - Valor Real'!C3:C15,0))+1))/(((L523-1)*(1-_xlfn.XLOOKUP(K523,'Janeiro 2023 - Valor Real'!A3:A15,'Janeiro 2023 - Valor Real'!C3:C15,0))+1)+((L524/(L524-1)-1)*(1-_xlfn.XLOOKUP(K524,'Janeiro 2023 - Valor Real'!A3:A15,'Janeiro 2023 - Valor Real'!C3:C15,0))+1)),((L524-1)*(1-_xlfn.XLOOKUP(K524,'Janeiro 2023 - Valor Real'!A3:A15,'Janeiro 2023 - Valor Real'!C3:C15,0))+1)/(((L524-1)*(1-_xlfn.XLOOKUP(K524,'Janeiro 2023 - Valor Real'!A3:A15,'Janeiro 2023 - Valor Real'!C3:C15,0))+1)+((L523-1)*(1-_xlfn.XLOOKUP(K523,'Janeiro 2023 - Valor Real'!A3:A15,'Janeiro 2023 - Valor Real'!C3:C15,0))+1))))))</f>
        <v>0.850546780072904</v>
      </c>
      <c r="AF523" s="197">
        <f>IF($K523=AF$3,ROUND(IF(OR($C523="W",$C523="1/2W",$C523="1/2L"),$P523-$O523,IF($C523="X",0,-$O523)),2),0)</f>
        <v>0</v>
      </c>
      <c r="AG523" s="198">
        <f>IF($K523=AG$3,ROUND(IF(OR($C523="W",$C523="1/2W",$C523="1/2L"),$P523-$O523,IF($C523="X",0,-$O523)),2),0)</f>
        <v>0</v>
      </c>
      <c r="AH523" s="198">
        <f>IF($K523=AH$3,ROUND(IF(OR($C523="W",$C523="1/2W",$C523="1/2L"),$P523-$O523,IF($C523="X",0,-$O523)),2),0)</f>
        <v>0</v>
      </c>
      <c r="AI523" s="198">
        <f>IF($K523=AI$3,ROUND(IF(OR($C523="W",$C523="1/2W",$C523="1/2L"),$P523-$O523,IF($C523="X",0,-$O523)),2),0)</f>
        <v>0</v>
      </c>
      <c r="AJ523" s="198">
        <f>IF($K523=AJ$3,ROUND(IF(OR($C523="W",$C523="1/2W",$C523="1/2L"),$P523-$O523,IF($C523="X",0,-$O523)),2),0)</f>
        <v>-97.83</v>
      </c>
      <c r="AK523" s="198">
        <f>IF($K523=AK$3,ROUND(IF(OR($C523="W",$C523="1/2W",$C523="1/2L"),$P523-$O523,IF($C523="X",0,-$O523)),2),0)</f>
        <v>0</v>
      </c>
      <c r="AL523" s="198">
        <f>IF($K523=AL$3,ROUND(IF(OR($C523="W",$C523="1/2W",$C523="1/2L"),$P523-$O523,IF($C523="X",0,-$O523)),2),0)</f>
        <v>0</v>
      </c>
      <c r="AM523" s="198">
        <f>IF($K523=AM$3,ROUND(IF(OR($C523="W",$C523="1/2W",$C523="1/2L"),$P523-$O523,IF($C523="X",0,-$O523)),2),0)</f>
        <v>0</v>
      </c>
      <c r="AN523" s="198">
        <f>IF($K523=AN$3,ROUND(IF(OR($C523="W",$C523="1/2W",$C523="1/2L"),$P523-$O523,IF($C523="X",0,-$O523)),2),0)</f>
        <v>0</v>
      </c>
      <c r="AO523" s="198">
        <f>IF($K523=AO$3,ROUND(IF(OR($C523="W",$C523="1/2W",$C523="1/2L"),$P523-$O523,IF($C523="X",0,-$O523)),2),0)</f>
        <v>0</v>
      </c>
      <c r="AP523" s="198">
        <f>IF($K523=AP$3,ROUND(IF(OR($C523="W",$C523="1/2W",$C523="1/2L"),$P523-$O523,IF($C523="X",0,-$O523)),2),0)</f>
        <v>0</v>
      </c>
      <c r="AQ523" s="198">
        <f>IF($K523=AQ$3,ROUND(IF(OR($C523="W",$C523="1/2W",$C523="1/2L"),$P523-$O523,IF($C523="X",0,-$O523)),2),0)</f>
        <v>0</v>
      </c>
      <c r="AR523" s="199">
        <f>IF($K523=AR$3,ROUND(IF(OR($C523="W",$C523="1/2W",$C523="1/2L"),$P523-$O523,IF($C523="X",0,-$O523)),2),0)</f>
        <v>0</v>
      </c>
      <c r="AS523" s="197">
        <f>IF(AND($B523=" ",$K523=AS$3),$O523,0)</f>
        <v>0</v>
      </c>
      <c r="AT523" s="198">
        <f>IF(AND($B523=" ",$K523=AT$3),$O523,0)</f>
        <v>0</v>
      </c>
      <c r="AU523" s="198">
        <f>IF(AND($B523=" ",$K523=AU$3),$O523,0)</f>
        <v>0</v>
      </c>
      <c r="AV523" s="198">
        <f>IF(AND($B523=" ",$K523=AV$3),$O523,0)</f>
        <v>0</v>
      </c>
      <c r="AW523" s="198">
        <f>IF(AND($B523=" ",$K523=AW$3),$O523,0)</f>
        <v>0</v>
      </c>
      <c r="AX523" s="198">
        <f>IF(AND($B523=" ",$K523=AX$3),$O523,0)</f>
        <v>0</v>
      </c>
      <c r="AY523" s="200">
        <f>IF(AND($B523=" ",$K523=AY$3),$O523,0)</f>
        <v>0</v>
      </c>
      <c r="AZ523" s="201">
        <f>IF(AND($B523=" ",$K523=AZ$3),$O523,0)</f>
        <v>0</v>
      </c>
      <c r="BA523" s="201">
        <f>IF(AND($B523=" ",$K523=BA$3),$O523,0)</f>
        <v>0</v>
      </c>
      <c r="BB523" s="201">
        <f>IF(AND($B523=" ",$K523=BB$3),$O523,0)</f>
        <v>0</v>
      </c>
      <c r="BC523" s="202">
        <f>IF(AND($B523=" ",$K523=BC$3),$O523,0)</f>
        <v>0</v>
      </c>
      <c r="BD523" s="198">
        <f>IF(AND($B523=" ",$K523=BD$3),$O523,0)</f>
        <v>0</v>
      </c>
      <c r="BE523" s="199">
        <f>IF(AND($B523=" ",$K523=BE$3),$O523,0)</f>
        <v>0</v>
      </c>
      <c r="BF523" s="203">
        <f>IF($K523=BF$3,IF($C523="X",0,$O523),0)</f>
        <v>0</v>
      </c>
      <c r="BG523" s="198">
        <f>IF($K523=BG$3,IF($C523="X",0,$O523),0)</f>
        <v>0</v>
      </c>
      <c r="BH523" s="198">
        <f>IF($K523=BH$3,IF($C523="X",0,$O523),0)</f>
        <v>0</v>
      </c>
      <c r="BI523" s="198">
        <f>IF($K523=BI$3,IF($C523="X",0,$O523),0)</f>
        <v>0</v>
      </c>
      <c r="BJ523" s="198">
        <f>IF($K523=BJ$3,IF($C523="X",0,$O523),0)</f>
        <v>97.83</v>
      </c>
      <c r="BK523" s="198">
        <f>IF($K523=BK$3,IF($C523="X",0,$O523),0)</f>
        <v>0</v>
      </c>
      <c r="BL523" s="198">
        <f>IF($K523=BL$3,IF($C523="X",0,$O523),0)</f>
        <v>0</v>
      </c>
      <c r="BM523" s="200">
        <f>IF($K523=BM$3,IF($C523="X",0,$O523),0)</f>
        <v>0</v>
      </c>
      <c r="BN523" s="201">
        <f>IF($K523=BN$3,IF($C523="X",0,$O523),0)</f>
        <v>0</v>
      </c>
      <c r="BO523" s="201">
        <f>IF($K523=BO$3,IF($C523="X",0,$O523),0)</f>
        <v>0</v>
      </c>
      <c r="BP523" s="201">
        <f>IF($K523=BP$3,IF($C523="X",0,$O523),0)</f>
        <v>0</v>
      </c>
      <c r="BQ523" s="202">
        <f>IF($K523=BQ$3,IF($C523="X",0,$O523),0)</f>
        <v>0</v>
      </c>
      <c r="BR523" s="199">
        <f>IF($K523=BR$3,IF($C523="X",0,$O523),0)</f>
        <v>0</v>
      </c>
      <c r="BS523" s="204">
        <f>IF($B523="LOSS",IF(AND($K523=BS$3,$C523="L"),-$O523,0)+IF(AND($K524=BS$3,$C524="L"),-$O524,0)+IF(AND($K525=BS$3,$C525="L"),-$O525,0),IF(OR(AND($K523=BS$3,OR($C523="W",$C523="1/2W")),AND($K524=BS$3,OR($C524="W",$C524="1/2W")),AND($K525=BS$3,OR($C525="W",$C525="1/2W"))),$S523,0))</f>
        <v>0</v>
      </c>
      <c r="BT523" s="201">
        <f>IF($B523="LOSS",IF(AND($K523=BT$3,$C523="L"),-$O523,0)+IF(AND($K524=BT$3,$C524="L"),-$O524,0)+IF(AND($K524=BT$3,$C525="L"),-$O525,0),IF(OR(AND($K524=BT$3,OR($C523="W",$C523="1/2W")),AND($K524=BT$3,OR($C524="W",$C524="1/2W")),AND($K524=BT$3,OR($C525="W",$C525="1/2W"))),$S523,0))</f>
        <v>0</v>
      </c>
      <c r="BU523" s="201">
        <f>IF($B523="LOSS",IF(AND($K523=BU$3,$C523="L"),-$O523,0)+IF(AND($K524=BU$3,$C524="L"),-$O524,0)+IF(AND($K524=BU$3,$C525="L"),-$O525,0),IF(OR(AND($K524=BU$3,OR($C523="W",$C523="1/2W")),AND($K524=BU$3,OR($C524="W",$C524="1/2W")),AND($K524=BU$3,OR($C525="W",$C525="1/2W"))),$S523,0))</f>
        <v>0</v>
      </c>
      <c r="BV523" s="201">
        <f>IF($B523="LOSS",IF(AND($K523=BV$3,$C523="L"),-$O523,0)+IF(AND($K524=BV$3,$C524="L"),-$O524,0)+IF(AND($K525=BV$3,$C525="L"),-$O525,0),IF(OR(AND($K523=BV$3,OR($C523="W",$C523="1/2W")),AND($K524=BV$3,OR($C524="W",$C524="1/2W")),AND($K525=BV$3,OR($C525="W",$C525="1/2W"))),$S523,0))</f>
        <v>0</v>
      </c>
      <c r="BW523" s="201">
        <f>IF($B523="LOSS",IF(AND($K523=BW$3,$C523="L"),-$O523,0)+IF(AND($K524=BW$3,$C524="L"),-$O524,0)+IF(AND($K525=BW$3,$C525="L"),-$O525,0),IF(OR(AND($K523=BW$3,OR($C523="W",$C523="1/2W")),AND($K524=BW$3,OR($C524="W",$C524="1/2W")),AND($K525=BW$3,OR($C525="W",$C525="1/2W"))),$S523,0))</f>
        <v>0</v>
      </c>
      <c r="BX523" s="201">
        <f>IF($B523="LOSS",IF(AND($K523=BX$3,$C523="L"),-$O523,0)+IF(AND($K524=BX$3,$C524="L"),-$O524,0)+IF(AND($K525=BX$3,$C525="L"),-$O525,0),IF(OR(AND($K523=BX$3,OR($C523="W",$C523="1/2W")),AND($K524=BX$3,OR($C524="W",$C524="1/2W")),AND($K525=BX$3,OR($C525="W",$C525="1/2W"))),$S523,0))</f>
        <v>0</v>
      </c>
      <c r="BY523" s="201">
        <f>IF($B523="LOSS",IF(AND($K523=BY$3,$C523="L"),-$O523,0)+IF(AND($K524=BY$3,$C524="L"),-$O524,0)+IF(AND($K525=BY$3,$C525="L"),-$O525,0),IF(OR(AND($K523=BY$3,OR($C523="W",$C523="1/2W")),AND($K524=BY$3,OR($C524="W",$C524="1/2W")),AND($K525=BY$3,OR($C525="W",$C525="1/2W"))),$S523,0))</f>
        <v>0</v>
      </c>
      <c r="BZ523" s="205">
        <f>IF($B523="LOSS",IF(AND($K523=BZ$3,$C523="L"),-$O523,0)+IF(AND($K524=BZ$3,$C524="L"),-$O524,0)+IF(AND($K525=BZ$3,$C525="L"),-$O525,0),IF(OR(AND($K523=BZ$3,OR($C523="W",$C523="1/2W")),AND($K524=BZ$3,OR($C524="W",$C524="1/2W")),AND($K525=BZ$3,OR($C525="W",$C525="1/2W"))),$S523,0))</f>
        <v>0</v>
      </c>
      <c r="CA523" s="205">
        <f>IF($B523="LOSS",IF(AND($K523=CA$3,$C523="L"),-$O523,0)+IF(AND($K524=CA$3,$C524="L"),-$O524,0)+IF(AND($K525=CA$3,$C525="L"),-$O525,0),IF(OR(AND($K523=CA$3,OR($C523="W",$C523="1/2W")),AND($K524=CA$3,OR($C524="W",$C524="1/2W")),AND($K525=CA$3,OR($C525="W",$C525="1/2W"))),$S523,0))</f>
        <v>0</v>
      </c>
      <c r="CB523" s="205">
        <f>IF($B523="LOSS",IF(AND($K523=CB$3,$C523="L"),-$O523,0)+IF(AND($K524=CB$3,$C524="L"),-$O524,0)+IF(AND($K525=CB$3,$C525="L"),-$O525,0),IF(OR(AND($K523=CB$3,OR($C523="W",$C523="1/2W")),AND($K524=CB$3,OR($C524="W",$C524="1/2W")),AND($K525=CB$3,OR($C525="W",$C525="1/2W"))),$S523,0))</f>
        <v>0</v>
      </c>
      <c r="CC523" s="205">
        <f>IF($B523="LOSS",IF(AND($K523=CC$3,$C523="L"),-$O523,0)+IF(AND($K524=CC$3,$C524="L"),-$O524,0)+IF(AND($K525=CC$3,$C525="L"),-$O525,0),IF(OR(AND($K523=CC$3,OR($C523="W",$C523="1/2W")),AND($K524=CC$3,OR($C524="W",$C524="1/2W")),AND($K525=CC$3,OR($C525="W",$C525="1/2W"))),$S523,0))</f>
        <v>0</v>
      </c>
      <c r="CD523" s="202">
        <f>IF($B523="LOSS",IF(AND($K523=CD$3,$C523="L"),-$O523,0)+IF(AND($K524=CD$3,$C524="L"),-$O524,0)+IF(AND($K525=CD$3,$C525="L"),-$O525,0),IF(OR(AND($K523=CD$3,OR($C523="W",$C523="1/2W")),AND($K524=CD$3,OR($C524="W",$C524="1/2W")),AND($K525=CD$3,OR($C525="W",$C525="1/2W"))),$S523,0))</f>
        <v>5.37</v>
      </c>
      <c r="CE523" s="199">
        <f>IF($B523="LOSS",IF(AND($K523=CE$3,$C523="L"),-$O523,0)+IF(AND($K524=CE$3,$C524="L"),-$O524,0)+IF(AND($K525=CE$3,$C525="L"),-$O525,0),IF(OR(AND($K523=CE$3,OR($C523="W",$C523="1/2W")),AND($K524=CE$3,OR($C524="W",$C524="1/2W")),AND($K525=CE$3,OR($C525="W",$C525="1/2W"))),$S523,0))</f>
        <v>0</v>
      </c>
      <c r="CF523" s="206">
        <f>IF(CF$3=$K523,IF($C523="W",1,IF($C523="1/2W",0.5,0)),0)</f>
        <v>0</v>
      </c>
      <c r="CG523" s="207">
        <f>IF(CF$3=$K523,IF($C523="L",1,IF($C523="1/2L",0.5,0)),0)</f>
        <v>0</v>
      </c>
      <c r="CH523" s="207">
        <f>IF(CH$3=$K523,IF($C523="W",1,IF($C523="1/2W",0.5,0)),0)</f>
        <v>0</v>
      </c>
      <c r="CI523" s="207">
        <f>IF(CH$3=$K523,IF($C523="L",1,IF($C523="1/2L",0.5,0)),0)</f>
        <v>0</v>
      </c>
      <c r="CJ523" s="207">
        <f>IF(CJ$3=$K523,IF($C523="W",1,IF($C523="1/2W",0.5,0)),0)</f>
        <v>0</v>
      </c>
      <c r="CK523" s="207">
        <f>IF(CJ$3=$K523,IF($C523="L",1,IF($C523="1/2L",0.5,0)),0)</f>
        <v>0</v>
      </c>
      <c r="CL523" s="207">
        <f>IF(CL$3=$K523,IF($C523="W",1,IF($C523="1/2W",0.5,0)),0)</f>
        <v>0</v>
      </c>
      <c r="CM523" s="207">
        <f>IF(CL$3=$K523,IF($C523="L",1,IF($C523="1/2L",0.5,0)),0)</f>
        <v>0</v>
      </c>
      <c r="CN523" s="207">
        <f>IF(CN$3=$K523,IF($C523="W",1,IF($C523="1/2W",0.5,0)),0)</f>
        <v>0</v>
      </c>
      <c r="CO523" s="207">
        <f>IF(CN$3=$K523,IF($C523="L",1,IF($C523="1/2L",0.5,0)),0)</f>
        <v>1</v>
      </c>
      <c r="CP523" s="207">
        <f>IF(CP$3=$K523,IF($C523="W",1,IF($C523="1/2W",0.5,0)),0)</f>
        <v>0</v>
      </c>
      <c r="CQ523" s="207">
        <f>IF(CP$3=$K523,IF($C523="L",1,IF($C523="1/2L",0.5,0)),0)</f>
        <v>0</v>
      </c>
      <c r="CR523" s="207">
        <f>IF(CR$3=$K523,IF($C523="W",1,IF($C523="1/2W",0.5,0)),0)</f>
        <v>0</v>
      </c>
      <c r="CS523" s="207">
        <f>IF(CR$3=$K523,IF($C523="L",1,IF($C523="1/2L",0.5,0)),0)</f>
        <v>0</v>
      </c>
      <c r="CT523" s="208">
        <f>IF(CT$3=$K523,IF($C523="W",1,IF($C523="1/2W",0.5,0)),0)</f>
        <v>0</v>
      </c>
      <c r="CU523" s="209">
        <f>IF(CT$3=$K523,IF($C523="L",1,IF($C523="1/2L",0.5,0)),0)</f>
        <v>0</v>
      </c>
      <c r="CV523" s="209">
        <f>IF(CV$3=$K523,IF($C523="W",1,IF($C523="1/2W",0.5,0)),0)</f>
        <v>0</v>
      </c>
      <c r="CW523" s="209">
        <f>IF(CV$3=$K523,IF($C523="L",1,IF($C523="1/2L",0.5,0)),0)</f>
        <v>0</v>
      </c>
      <c r="CX523" s="209">
        <f>IF(CX$3=$K523,IF($C523="W",1,IF($C523="1/2W",0.5,0)),0)</f>
        <v>0</v>
      </c>
      <c r="CY523" s="209">
        <f>IF(CX$3=$K523,IF($C523="L",1,IF($C523="1/2L",0.5,0)),0)</f>
        <v>0</v>
      </c>
      <c r="CZ523" s="209">
        <f>IF(CZ$3=$K523,IF($C523="W",1,IF($C523="1/2W",0.5,0)),0)</f>
        <v>0</v>
      </c>
      <c r="DA523" s="209">
        <f>IF(CZ$3=$K523,IF($C523="L",1,IF($C523="1/2L",0.5,0)),0)</f>
        <v>0</v>
      </c>
      <c r="DB523" s="209">
        <f>IF(DB$3=$K523,IF($C523="W",1,IF($C523="1/2W",0.5,0)),0)</f>
        <v>0</v>
      </c>
      <c r="DC523" s="209">
        <f>IF(DB$3=$K523,IF($C523="L",1,IF($C523="1/2L",0.5,0)),0)</f>
        <v>0</v>
      </c>
      <c r="DD523" s="209">
        <f>IF(DD$3=$K523,IF($C523="W",1,IF($C523="1/2W",0.5,0)),0)</f>
        <v>0</v>
      </c>
      <c r="DE523" s="210">
        <f>IF(DD$3=$K523,IF($C523="L",1,IF($C523="1/2L",0.5,0)),0)</f>
        <v>0</v>
      </c>
      <c r="DF523" s="211">
        <f>IF(AND(L523&lt;DF$3,$C523="W"),1+DF522,DF522)</f>
        <v>16</v>
      </c>
      <c r="DG523" s="198">
        <f>IF(DF523&gt;DF522,L523+DG522,DG522)</f>
        <v>21.158</v>
      </c>
      <c r="DH523" s="209">
        <f>IF(AND(L523&gt;DH$3,$C523="W"),1+DH522,0+DH522)</f>
        <v>12</v>
      </c>
      <c r="DI523" s="198">
        <f>IF(DH523&gt;DH522,L523+DI522,DI522)</f>
        <v>63.43</v>
      </c>
      <c r="DJ523" t="s" s="306">
        <f>IF($D523="","",$D523)</f>
        <v>396</v>
      </c>
      <c r="DK523" s="209">
        <f>IF(AND($B523=" ",$D523&lt;&gt;""),1,0)</f>
        <v>0</v>
      </c>
    </row>
    <row r="524" ht="14.55" customHeight="1">
      <c r="A524" s="107"/>
      <c r="B524" s="108"/>
      <c r="C524" t="s" s="213">
        <v>56</v>
      </c>
      <c r="D524" s="110"/>
      <c r="E524" s="111"/>
      <c r="F524" s="113"/>
      <c r="G524" s="214"/>
      <c r="H524" s="114"/>
      <c r="I524" t="s" s="215">
        <v>140</v>
      </c>
      <c r="J524" s="296">
        <f>IF(OR(I523="TO",I523="TU",I523="TO1",I523="TU1",I523="TO2",I523="TU2"),J523,IF(OR(I523="AH1",I523="AH2"),IF(OR(I524="AH1",I524="AH2"),-J523,IF(OR(I524="EH1",I524="EH2"),-J523+0.5,"")),IF(OR(I523="EH1",I523="EH2"),IF(OR(I524="AH1",I524="AH2"),-J523+0.5,IF(OR(I524="EH1",I524="EH2"),-J523+1,"")),IF(AND(OR(I523="DNB1",I523="DNB2"),OR(I524="AH1",I524="AH2")),0,IF(AND(I523="Not ScoreBoth",OR(I524="TO1",I524="TO2")),0.5,"")))))</f>
        <v>-1</v>
      </c>
      <c r="K524" t="s" s="217">
        <v>48</v>
      </c>
      <c r="L524" s="218">
        <v>7</v>
      </c>
      <c r="M524" s="219"/>
      <c r="N524" s="120"/>
      <c r="O524" s="220">
        <f>IF(OR(AE523="",AE524=""),"",ROUND(IF(L525&gt;0,IF(M524&gt;0,M524,IF(M523&gt;0,IF(N523=TRUE,ROUND((M523*AE524)/AE523,0),(M523*AE524)/AE523),IF(M524&gt;0,ROUND(M524,IF(N523=0,2,IF(N523=0.1,1,0))),IF(M525&gt;0,ROUND(O525*AE524/AE525,IF(N523=0,2,IF(N523=0.1,1,0))),0)))),IF(M524&gt;0,M524,ROUND((M523*AE524)/AE523,IF(N523=0,2,IF(N523=0.1,1,0))))),2))</f>
        <v>17.2</v>
      </c>
      <c r="P524" s="221">
        <f>IF(OR(L524="",O524=""),"",IF($C524="1/2W",O524/2+O524/2*L524,IF($C524="1/2L",O524/2,IF(I524="Lay",((O524*(L524/(L524-1)))-O524)*(1-_xlfn.XLOOKUP(K524,'Janeiro 2023 - Valor Real'!A3:A15,'Janeiro 2023 - Valor Real'!C3:C15,0))+O524,(O524*L524-O524)*(1-_xlfn.XLOOKUP(K524,'Janeiro 2023 - Valor Real'!A3:A15,'Janeiro 2023 - Valor Real'!C3:C15,0))+O524))))</f>
        <v>120.4</v>
      </c>
      <c r="Q524" s="222">
        <f>IF(K524="","",IF(_xlfn.XLOOKUP(K524,K$123:K297,DJ$123:DJ297,0,,-1)=DJ524,_xlfn.XLOOKUP(K524,K$123:K297,Q$123:Q297,1,,-1)+1,1))</f>
        <v>1</v>
      </c>
      <c r="R524" s="223">
        <f>IF(K524="","",_xlfn.XLOOKUP(K524,K$123:K297,R$123:R297,0,,-1)+IF($C524=" ",1,0))</f>
        <v>0</v>
      </c>
      <c r="S524" s="125"/>
      <c r="T524" s="126"/>
      <c r="U524" s="126"/>
      <c r="V524" s="224"/>
      <c r="W524" s="126"/>
      <c r="X524" s="127"/>
      <c r="Y524" s="128"/>
      <c r="Z524" s="129"/>
      <c r="AA524" s="129"/>
      <c r="AB524" s="129"/>
      <c r="AC524" s="129"/>
      <c r="AD524" s="225">
        <f>(((L524/(L524-1)-1)*(1-_xlfn.XLOOKUP(K524,'Janeiro 2023 - Valor Real'!A3:A15,'Janeiro 2023 - Valor Real'!C3:C15,0))+1))</f>
        <v>1.16666666666667</v>
      </c>
      <c r="AE524" s="226">
        <f>IF(L524="","",IF(L525&gt;0,(SUM(((L523-1)*(1-_xlfn.XLOOKUP(K523,'Janeiro 2023 - Valor Real'!A3:A15,'Janeiro 2023 - Valor Real'!C3:C15,0))+1),((L524-1)*(1-_xlfn.XLOOKUP(K524,'Janeiro 2023 - Valor Real'!A3:A15,'Janeiro 2023 - Valor Real'!C3:C15,0))+1),((L525-1)*(1-_xlfn.XLOOKUP(K525,'Janeiro 2023 - Valor Real'!A3:A15,'Janeiro 2023 - Valor Real'!C3:C15,0))+1))/((L524-1)*(1-_xlfn.XLOOKUP(K524,'Janeiro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Real'!C3:C15,0))+1))/((L523-1)*(1-_xlfn.XLOOKUP(K523,'Janeiro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Real'!C3:C15,0))+1))/((L524-1)*(1-_xlfn.XLOOKUP(K524,'Janeiro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Real'!C3:C15,0))+1))/((L525-1)*(1-_xlfn.XLOOKUP(K525,'Janeiro 2023 - Valor Real'!A3:A15,'Janeiro 2023 - Valor Real'!C3:C15,0))+1)),IF(I524="Lay",IF(I523="Lay",((L523/(L523-1)-1)*(1-_xlfn.XLOOKUP(K523,'Janeiro 2023 - Valor Real'!A3:A15,'Janeiro 2023 - Valor Real'!C3:C15,0))+1)/(((L523/(L523-1)-1)*(1-_xlfn.XLOOKUP(K523,'Janeiro 2023 - Valor Real'!A3:A15,'Janeiro 2023 - Valor Real'!C3:C15,0))+1)+((L524/(L524-1)-1)*(1-_xlfn.XLOOKUP(K524,'Janeiro 2023 - Valor Real'!A3:A15,'Janeiro 2023 - Valor Real'!C3:C15,0))+1)),((L523-1)*(1-_xlfn.XLOOKUP(K523,'Janeiro 2023 - Valor Real'!A3:A15,'Janeiro 2023 - Valor Real'!C3:C15,0))+1)/(((L523-1)*(1-_xlfn.XLOOKUP(K523,'Janeiro 2023 - Valor Real'!A3:A15,'Janeiro 2023 - Valor Real'!C3:C15,0))+1)+((L524/(L524-1)-1)*(1-_xlfn.XLOOKUP(K524,'Janeiro 2023 - Valor Real'!A3:A15,'Janeiro 2023 - Valor Real'!C3:C15,0))+1))),IF(I523="Lay",((L523/(L523-1)-1)*(1-_xlfn.XLOOKUP(K523,'Janeiro 2023 - Valor Real'!A3:A15,'Janeiro 2023 - Valor Real'!C3:C15,0))+1)/((((L523/(L523-1)-1)*(1-_xlfn.XLOOKUP(K523,'Janeiro 2023 - Valor Real'!A3:A15,'Janeiro 2023 - Valor Real'!C3:C15,0))+1))+((L524-1)*(1-_xlfn.XLOOKUP(K524,'Janeiro 2023 - Valor Real'!A3:A15,'Janeiro 2023 - Valor Real'!C3:C15,0))+1)),((L523-1)*(1-_xlfn.XLOOKUP(K523,'Janeiro 2023 - Valor Real'!A3:A15,'Janeiro 2023 - Valor Real'!C3:C15,0))+1)/(((L523-1)*(1-_xlfn.XLOOKUP(K523,'Janeiro 2023 - Valor Real'!A3:A15,'Janeiro 2023 - Valor Real'!C3:C15,0))+1)+((L524-1)*(1-_xlfn.XLOOKUP(K524,'Janeiro 2023 - Valor Real'!A3:A15,'Janeiro 2023 - Valor Real'!C3:C15,0))+1))))))</f>
        <v>0.149453219927096</v>
      </c>
      <c r="AF524" s="197">
        <f>IF($K524=AF$3,ROUND(IF(OR($C524="W",$C524="1/2W",$C524="1/2L"),$P524-$O524,IF($C524="X",0,-$O524)),2),0)</f>
        <v>0</v>
      </c>
      <c r="AG524" s="198">
        <f>IF($K524=AG$3,ROUND(IF(OR($C524="W",$C524="1/2W",$C524="1/2L"),$P524-$O524,IF($C524="X",0,-$O524)),2),0)</f>
        <v>0</v>
      </c>
      <c r="AH524" s="198">
        <f>IF($K524=AH$3,ROUND(IF(OR($C524="W",$C524="1/2W",$C524="1/2L"),$P524-$O524,IF($C524="X",0,-$O524)),2),0)</f>
        <v>0</v>
      </c>
      <c r="AI524" s="198">
        <f>IF($K524=AI$3,ROUND(IF(OR($C524="W",$C524="1/2W",$C524="1/2L"),$P524-$O524,IF($C524="X",0,-$O524)),2),0)</f>
        <v>0</v>
      </c>
      <c r="AJ524" s="198">
        <f>IF($K524=AJ$3,ROUND(IF(OR($C524="W",$C524="1/2W",$C524="1/2L"),$P524-$O524,IF($C524="X",0,-$O524)),2),0)</f>
        <v>0</v>
      </c>
      <c r="AK524" s="198">
        <f>IF($K524=AK$3,ROUND(IF(OR($C524="W",$C524="1/2W",$C524="1/2L"),$P524-$O524,IF($C524="X",0,-$O524)),2),0)</f>
        <v>0</v>
      </c>
      <c r="AL524" s="198">
        <f>IF($K524=AL$3,ROUND(IF(OR($C524="W",$C524="1/2W",$C524="1/2L"),$P524-$O524,IF($C524="X",0,-$O524)),2),0)</f>
        <v>0</v>
      </c>
      <c r="AM524" s="198">
        <f>IF($K524=AM$3,ROUND(IF(OR($C524="W",$C524="1/2W",$C524="1/2L"),$P524-$O524,IF($C524="X",0,-$O524)),2),0)</f>
        <v>0</v>
      </c>
      <c r="AN524" s="198">
        <f>IF($K524=AN$3,ROUND(IF(OR($C524="W",$C524="1/2W",$C524="1/2L"),$P524-$O524,IF($C524="X",0,-$O524)),2),0)</f>
        <v>0</v>
      </c>
      <c r="AO524" s="198">
        <f>IF($K524=AO$3,ROUND(IF(OR($C524="W",$C524="1/2W",$C524="1/2L"),$P524-$O524,IF($C524="X",0,-$O524)),2),0)</f>
        <v>0</v>
      </c>
      <c r="AP524" s="198">
        <f>IF($K524=AP$3,ROUND(IF(OR($C524="W",$C524="1/2W",$C524="1/2L"),$P524-$O524,IF($C524="X",0,-$O524)),2),0)</f>
        <v>0</v>
      </c>
      <c r="AQ524" s="198">
        <f>IF($K524=AQ$3,ROUND(IF(OR($C524="W",$C524="1/2W",$C524="1/2L"),$P524-$O524,IF($C524="X",0,-$O524)),2),0)</f>
        <v>103.2</v>
      </c>
      <c r="AR524" s="199">
        <f>IF($K524=AR$3,ROUND(IF(OR($C524="W",$C524="1/2W",$C524="1/2L"),$P524-$O524,IF($C524="X",0,-$O524)),2),0)</f>
        <v>0</v>
      </c>
      <c r="AS524" s="197">
        <f>IF(AND($B523=" ",$K524=AS$3),$O524,0)</f>
        <v>0</v>
      </c>
      <c r="AT524" s="198">
        <f>IF(AND($B523=" ",K524=AT$3),$O524,0)</f>
        <v>0</v>
      </c>
      <c r="AU524" s="198">
        <f>IF(AND($B523=" ",$K524=AU$3),$O524,0)</f>
        <v>0</v>
      </c>
      <c r="AV524" s="198">
        <f>IF(AND($B523=" ",$K524=AV$3),$O524,0)</f>
        <v>0</v>
      </c>
      <c r="AW524" s="198">
        <f>IF(AND($B523=" ",$K524=AW$3),$O524,0)</f>
        <v>0</v>
      </c>
      <c r="AX524" s="198">
        <f>IF(AND($B523=" ",$K524=AX$3),$O524,0)</f>
        <v>0</v>
      </c>
      <c r="AY524" s="200">
        <f>IF(AND($B523=" ",$K524=AY$3),$O524,0)</f>
        <v>0</v>
      </c>
      <c r="AZ524" s="201">
        <f>IF(AND($B523=" ",$K524=AZ$3),$O524,0)</f>
        <v>0</v>
      </c>
      <c r="BA524" s="201">
        <f>IF(AND($B523=" ",$K524=BA$3),$O524,0)</f>
        <v>0</v>
      </c>
      <c r="BB524" s="201">
        <f>IF(AND($B523=" ",$K524=BB$3),$O524,0)</f>
        <v>0</v>
      </c>
      <c r="BC524" s="202">
        <f>IF(AND($B523=" ",$K524=BC$3),$O524,0)</f>
        <v>0</v>
      </c>
      <c r="BD524" s="198">
        <f>IF(AND($B523=" ",$K524=BD$3),$O524,0)</f>
        <v>0</v>
      </c>
      <c r="BE524" s="199">
        <f>IF(AND($B523=" ",$K524=BE$3),$O524,0)</f>
        <v>0</v>
      </c>
      <c r="BF524" s="197">
        <f>IF($K524=BF$3,IF($C524="X",0,$O524),0)</f>
        <v>0</v>
      </c>
      <c r="BG524" s="198">
        <f>IF($K524=BG$3,IF($C524="X",0,$O524),0)</f>
        <v>0</v>
      </c>
      <c r="BH524" s="198">
        <f>IF($K524=BH$3,IF($C524="X",0,$O524),0)</f>
        <v>0</v>
      </c>
      <c r="BI524" s="198">
        <f>IF($K524=BI$3,IF($C524="X",0,$O524),0)</f>
        <v>0</v>
      </c>
      <c r="BJ524" s="198">
        <f>IF($K524=BJ$3,IF($C524="X",0,$O524),0)</f>
        <v>0</v>
      </c>
      <c r="BK524" s="198">
        <f>IF($K524=BK$3,IF($C524="X",0,$O524),0)</f>
        <v>0</v>
      </c>
      <c r="BL524" s="198">
        <f>IF($K524=BL$3,IF($C524="X",0,$O524),0)</f>
        <v>0</v>
      </c>
      <c r="BM524" s="227">
        <f>IF($K524=BM$3,IF($C524="X",0,$O524),0)</f>
        <v>0</v>
      </c>
      <c r="BN524" s="205">
        <f>IF($K524=BN$3,IF($C524="X",0,$O524),0)</f>
        <v>0</v>
      </c>
      <c r="BO524" s="205">
        <f>IF($K524=BO$3,IF($C524="X",0,$O524),0)</f>
        <v>0</v>
      </c>
      <c r="BP524" s="205">
        <f>IF($K524=BP$3,IF($C524="X",0,$O524),0)</f>
        <v>0</v>
      </c>
      <c r="BQ524" s="202">
        <f>IF($K524=BQ$3,IF($C524="X",0,$O524),0)</f>
        <v>17.2</v>
      </c>
      <c r="BR524" s="199">
        <f>IF($K524=BR$3,IF($C524="X",0,$O524),0)</f>
        <v>0</v>
      </c>
      <c r="BS524" s="228"/>
      <c r="BT524" s="229"/>
      <c r="BU524" s="140"/>
      <c r="BV524" s="229"/>
      <c r="BW524" s="140"/>
      <c r="BX524" s="140"/>
      <c r="BY524" s="140"/>
      <c r="BZ524" s="229"/>
      <c r="CA524" s="140"/>
      <c r="CB524" s="140"/>
      <c r="CC524" s="140"/>
      <c r="CD524" s="141"/>
      <c r="CE524" s="142"/>
      <c r="CF524" s="230">
        <f>IF(CF$3=$K524,IF($C524="W",1,IF($C524="1/2W",0.5,0)),0)</f>
        <v>0</v>
      </c>
      <c r="CG524" s="231">
        <f>IF(CF$3=$K524,IF($C524="L",1,IF($C524="1/2L",0.5,0)),0)</f>
        <v>0</v>
      </c>
      <c r="CH524" s="231">
        <f>IF(CH$3=$K524,IF($C524="W",1,IF($C524="1/2W",0.5,0)),0)</f>
        <v>0</v>
      </c>
      <c r="CI524" s="231">
        <f>IF(CH$3=$K524,IF($C524="L",1,IF($C524="1/2L",0.5,0)),0)</f>
        <v>0</v>
      </c>
      <c r="CJ524" s="231">
        <f>IF(CJ$3=$K524,IF($C524="W",1,IF($C524="1/2W",0.5,0)),0)</f>
        <v>0</v>
      </c>
      <c r="CK524" s="231">
        <f>IF(CJ$3=$K524,IF($C524="L",1,IF($C524="1/2L",0.5,0)),0)</f>
        <v>0</v>
      </c>
      <c r="CL524" s="231">
        <f>IF(CL$3=$K524,IF($C524="W",1,IF($C524="1/2W",0.5,0)),0)</f>
        <v>0</v>
      </c>
      <c r="CM524" s="231">
        <f>IF(CL$3=$K524,IF($C524="L",1,IF($C524="1/2L",0.5,0)),0)</f>
        <v>0</v>
      </c>
      <c r="CN524" s="231">
        <f>IF(CN$3=$K524,IF($C524="W",1,IF($C524="1/2W",0.5,0)),0)</f>
        <v>0</v>
      </c>
      <c r="CO524" s="231">
        <f>IF(CN$3=$K524,IF($C524="L",1,IF($C524="1/2L",0.5,0)),0)</f>
        <v>0</v>
      </c>
      <c r="CP524" s="231">
        <f>IF(CP$3=$K524,IF($C524="W",1,IF($C524="1/2W",0.5,0)),0)</f>
        <v>0</v>
      </c>
      <c r="CQ524" s="231">
        <f>IF(CP$3=$K524,IF($C524="L",1,IF($C524="1/2L",0.5,0)),0)</f>
        <v>0</v>
      </c>
      <c r="CR524" s="231">
        <f>IF(CR$3=$K524,IF($C524="W",1,IF($C524="1/2W",0.5,0)),0)</f>
        <v>0</v>
      </c>
      <c r="CS524" s="231">
        <f>IF(CR$3=$K524,IF($C524="L",1,IF($C524="1/2L",0.5,0)),0)</f>
        <v>0</v>
      </c>
      <c r="CT524" s="208">
        <f>IF(CT$3=$K524,IF($C524="W",1,IF($C524="1/2W",0.5,0)),0)</f>
        <v>0</v>
      </c>
      <c r="CU524" s="209">
        <f>IF(CT$3=$K524,IF($C524="L",1,IF($C524="1/2L",0.5,0)),0)</f>
        <v>0</v>
      </c>
      <c r="CV524" s="209">
        <f>IF(CV$3=$K524,IF($C524="W",1,IF($C524="1/2W",0.5,0)),0)</f>
        <v>0</v>
      </c>
      <c r="CW524" s="209">
        <f>IF(CV$3=$K524,IF($C524="L",1,IF($C524="1/2L",0.5,0)),0)</f>
        <v>0</v>
      </c>
      <c r="CX524" s="209">
        <f>IF(CX$3=$K524,IF($C524="W",1,IF($C524="1/2W",0.5,0)),0)</f>
        <v>0</v>
      </c>
      <c r="CY524" s="209">
        <f>IF(CX$3=$K524,IF($C524="L",1,IF($C524="1/2L",0.5,0)),0)</f>
        <v>0</v>
      </c>
      <c r="CZ524" s="209">
        <f>IF(CZ$3=$K524,IF($C524="W",1,IF($C524="1/2W",0.5,0)),0)</f>
        <v>0</v>
      </c>
      <c r="DA524" s="209">
        <f>IF(CZ$3=$K524,IF($C524="L",1,IF($C524="1/2L",0.5,0)),0)</f>
        <v>0</v>
      </c>
      <c r="DB524" s="209">
        <f>IF(DB$3=$K524,IF($C524="W",1,IF($C524="1/2W",0.5,0)),0)</f>
        <v>1</v>
      </c>
      <c r="DC524" s="209">
        <f>IF(DB$3=$K524,IF($C524="L",1,IF($C524="1/2L",0.5,0)),0)</f>
        <v>0</v>
      </c>
      <c r="DD524" s="209">
        <f>IF(DD$3=$K524,IF($C524="W",1,IF($C524="1/2W",0.5,0)),0)</f>
        <v>0</v>
      </c>
      <c r="DE524" s="210">
        <f>IF(DD$3=$K524,IF($C524="L",1,IF($C524="1/2L",0.5,0)),0)</f>
        <v>0</v>
      </c>
      <c r="DF524" s="211">
        <f>IF(AND(L524&lt;DF$3,$C524="W"),1+DF523,DF523)</f>
        <v>16</v>
      </c>
      <c r="DG524" s="198">
        <f>IF(DF524&gt;DF523,L524+DG523,DG523)</f>
        <v>21.158</v>
      </c>
      <c r="DH524" s="209">
        <f>IF(AND(L524&gt;DH$3,$C524="W"),1+DH523,0+DH523)</f>
        <v>13</v>
      </c>
      <c r="DI524" s="198">
        <f>IF(DH524&gt;DH523,L524+DI523,DI523)</f>
        <v>70.43000000000001</v>
      </c>
      <c r="DJ524" t="s" s="306">
        <f>IF($D523="","",$D523)</f>
        <v>396</v>
      </c>
      <c r="DK524" s="232"/>
    </row>
    <row r="525" ht="14.55" customHeight="1">
      <c r="A525" s="149"/>
      <c r="B525" s="150"/>
      <c r="C525" t="s" s="233">
        <v>58</v>
      </c>
      <c r="D525" s="152"/>
      <c r="E525" s="153"/>
      <c r="F525" s="155"/>
      <c r="G525" s="234"/>
      <c r="H525" s="156"/>
      <c r="I525" s="235"/>
      <c r="J525" s="236"/>
      <c r="K525" s="237"/>
      <c r="L525" s="238"/>
      <c r="M525" s="239"/>
      <c r="N525" s="161"/>
      <c r="O525" t="s" s="240">
        <f>IF(OR(AE523="",AE524=""),"",IF(L525&gt;0,ROUND(IF(M525&gt;0,M525,IF(M523&gt;0,ROUND((M523*AE525)/AE523,IF(N523=0,2,IF(N523=0.1,1,0))),IF(M524&gt;0,ROUND((M524*AE525)/AE524,IF(N523=0,2,IF(N523=0.1,1,0))),IF(M525&gt;0,M525,0)))),2),""))</f>
      </c>
      <c r="P525" t="s" s="241">
        <f>IF(I524="Lay",O524*(L524/(L524-1))-O524,IF(I523="Lay",O523*(L523/(L523-1))-O523,IF(OR(L525="",O525=""),"",IF($C525="1/2W",O525/2+O525/2*L525,IF($C525="1/2L",O525/2,(O525*L525-O525)*(1-_xlfn.XLOOKUP(K525,'Janeiro 2023 - Valor Real'!A3:A15,'Janeiro 2023 - Valor Real'!C3:C15,0))+O525)))))</f>
      </c>
      <c r="Q525" t="s" s="242">
        <f>IF(K525="","",IF(_xlfn.XLOOKUP(K525,K$124:K298,DJ$124:DJ298,0,,-1)=DJ525,_xlfn.XLOOKUP(K525,K$124:K298,Q$124:Q298,1,,-1)+1,1))</f>
      </c>
      <c r="R525" t="s" s="243">
        <f>IF(K525="","",_xlfn.XLOOKUP(K525,K$124:K298,R$124:R298,0,,-1)+IF($C525=" ",1,0))</f>
      </c>
      <c r="S525" s="166"/>
      <c r="T525" s="155"/>
      <c r="U525" s="155"/>
      <c r="V525" s="166"/>
      <c r="W525" s="155"/>
      <c r="X525" s="167"/>
      <c r="Y525" s="128"/>
      <c r="Z525" s="129"/>
      <c r="AA525" s="129"/>
      <c r="AB525" s="129"/>
      <c r="AC525" s="129"/>
      <c r="AD525" s="244">
        <f>((L524/(L524-1)-1))</f>
        <v>0.166666666666667</v>
      </c>
      <c r="AE525" t="s" s="245">
        <f>IF(L525="","",(SUM(((L523-1)*(1-_xlfn.XLOOKUP(K523,'Janeiro 2023 - Valor Real'!A3:A15,'Janeiro 2023 - Valor Real'!C3:C15,0))+1),((L524-1)*(1-_xlfn.XLOOKUP(K524,'Janeiro 2023 - Valor Real'!A3:A15,'Janeiro 2023 - Valor Real'!C3:C15,0))+1),((L525-1)*(1-_xlfn.XLOOKUP(K525,'Janeiro 2023 - Valor Real'!A3:A15,'Janeiro 2023 - Valor Real'!C3:C15,0))+1))/((L525-1)*(1-_xlfn.XLOOKUP(K525,'Janeiro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Real'!C3:C15,0))+1))/((L523-1)*(1-_xlfn.XLOOKUP(K523,'Janeiro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Real'!C3:C15,0))+1))/((L524-1)*(1-_xlfn.XLOOKUP(K524,'Janeiro 2023 - Valor Real'!A3:A15,'Janeiro 2023 - Valor Real'!C3:C15,0))+1)+SUM(((L523-1)*(1-_xlfn.XLOOKUP(K523,'Janeiro 2023 - Valor Real'!A3:A15,'Janeiro 2023 - Valor Real'!C3:C15,0))+1),((L524-1)*(1-_xlfn.XLOOKUP(K524,'Janeiro 2023 - Valor Real'!A3:A15,'Janeiro 2023 - Valor Real'!C3:C15,0))+1),((L525-1)*(1-_xlfn.XLOOKUP(K525,'Janeiro 2023 - Valor Real'!A3:A15,'Janeiro 2023 - Valor Real'!C3:C15,0))+1))/((L525-1)*(1-_xlfn.XLOOKUP(K525,'Janeiro 2023 - Valor Real'!A3:A15,'Janeiro 2023 - Valor Real'!C3:C15,0))+1)))</f>
      </c>
      <c r="AF525" s="197">
        <f>IF($K525=AF$3,ROUND(IF(OR($C525="W",$C525="1/2W",$C525="1/2L"),$P525-$O525,IF($C525="X",0,-$O525)),2),0)</f>
        <v>0</v>
      </c>
      <c r="AG525" s="198">
        <f>IF($K525=AG$3,ROUND(IF(OR($C525="W",$C525="1/2W",$C525="1/2L"),$P525-$O525,IF($C525="X",0,-$O525)),2),0)</f>
        <v>0</v>
      </c>
      <c r="AH525" s="198">
        <f>IF($K525=AH$3,ROUND(IF(OR($C525="W",$C525="1/2W",$C525="1/2L"),$P525-$O525,IF($C525="X",0,-$O525)),2),0)</f>
        <v>0</v>
      </c>
      <c r="AI525" s="198">
        <f>IF($K525=AI$3,ROUND(IF(OR($C525="W",$C525="1/2W",$C525="1/2L"),$P525-$O525,IF($C525="X",0,-$O525)),2),0)</f>
        <v>0</v>
      </c>
      <c r="AJ525" s="198">
        <f>IF($K525=AJ$3,ROUND(IF(OR($C525="W",$C525="1/2W",$C525="1/2L"),$P525-$O525,IF($C525="X",0,-$O525)),2),0)</f>
        <v>0</v>
      </c>
      <c r="AK525" s="198">
        <f>IF($K525=AK$3,ROUND(IF(OR($C525="W",$C525="1/2W",$C525="1/2L"),$P525-$O525,IF($C525="X",0,-$O525)),2),0)</f>
        <v>0</v>
      </c>
      <c r="AL525" s="198">
        <f>IF($K525=AL$3,ROUND(IF(OR($C525="W",$C525="1/2W",$C525="1/2L"),$P525-$O525,IF($C525="X",0,-$O525)),2),0)</f>
        <v>0</v>
      </c>
      <c r="AM525" s="198">
        <f>IF($K525=AM$3,ROUND(IF(OR($C525="W",$C525="1/2W",$C525="1/2L"),$P525-$O525,IF($C525="X",0,-$O525)),2),0)</f>
        <v>0</v>
      </c>
      <c r="AN525" s="198">
        <f>IF($K525=AN$3,ROUND(IF(OR($C525="W",$C525="1/2W",$C525="1/2L"),$P525-$O525,IF($C525="X",0,-$O525)),2),0)</f>
        <v>0</v>
      </c>
      <c r="AO525" s="198">
        <f>IF($K525=AO$3,ROUND(IF(OR($C525="W",$C525="1/2W",$C525="1/2L"),$P525-$O525,IF($C525="X",0,-$O525)),2),0)</f>
        <v>0</v>
      </c>
      <c r="AP525" s="198">
        <f>IF($K525=AP$3,ROUND(IF(OR($C525="W",$C525="1/2W",$C525="1/2L"),$P525-$O525,IF($C525="X",0,-$O525)),2),0)</f>
        <v>0</v>
      </c>
      <c r="AQ525" s="198">
        <f>IF($K525=AQ$3,ROUND(IF(OR($C525="W",$C525="1/2W",$C525="1/2L"),$P525-$O525,IF($C525="X",0,-$O525)),2),0)</f>
        <v>0</v>
      </c>
      <c r="AR525" s="199">
        <f>IF($K525=AR$3,ROUND(IF(OR($C525="W",$C525="1/2W",$C525="1/2L"),$P525-$O525,IF($C525="X",0,-$O525)),2),0)</f>
        <v>0</v>
      </c>
      <c r="AS525" s="197">
        <f>IF(AND($B523=" ",$K525=AS$3),$O525,0)</f>
        <v>0</v>
      </c>
      <c r="AT525" s="198">
        <f>IF(AND($B523=" ",K525=AT$3),$O525,0)</f>
        <v>0</v>
      </c>
      <c r="AU525" s="198">
        <f>IF(AND($B523=" ",$K525=AU$3),$O525,0)</f>
        <v>0</v>
      </c>
      <c r="AV525" s="198">
        <f>IF(AND($B523=" ",$K525=AV$3),$O525,0)</f>
        <v>0</v>
      </c>
      <c r="AW525" s="198">
        <f>IF(AND($B523=" ",$K525=AW$3),$O525,0)</f>
        <v>0</v>
      </c>
      <c r="AX525" s="198">
        <f>IF(AND($B523=" ",$K525=AX$3),$O525,0)</f>
        <v>0</v>
      </c>
      <c r="AY525" s="200">
        <f>IF(AND($B523=" ",$K525=AY$3),$O525,0)</f>
        <v>0</v>
      </c>
      <c r="AZ525" s="201">
        <f>IF(AND($B523=" ",$K525=AZ$3),$O525,0)</f>
        <v>0</v>
      </c>
      <c r="BA525" s="201">
        <f>IF(AND($B523=" ",$K525=BA$3),$O525,0)</f>
        <v>0</v>
      </c>
      <c r="BB525" s="201">
        <f>IF(AND($B523=" ",$K525=BB$3),$O525,0)</f>
        <v>0</v>
      </c>
      <c r="BC525" s="202">
        <f>IF(AND($B523=" ",$K525=BC$3),$O525,0)</f>
        <v>0</v>
      </c>
      <c r="BD525" s="198">
        <f>IF(AND($B523=" ",$K525=BD$3),$O525,0)</f>
        <v>0</v>
      </c>
      <c r="BE525" s="199">
        <f>IF(AND($B523=" ",$K525=BE$3),$O525,0)</f>
        <v>0</v>
      </c>
      <c r="BF525" s="197">
        <f>IF($K525=BF$3,IF($C525="X",0,$O525),0)</f>
        <v>0</v>
      </c>
      <c r="BG525" s="198">
        <f>IF($K525=BG$3,IF($C525="X",0,$O525),0)</f>
        <v>0</v>
      </c>
      <c r="BH525" s="198">
        <f>IF($K525=BH$3,IF($C525="X",0,$O525),0)</f>
        <v>0</v>
      </c>
      <c r="BI525" s="198">
        <f>IF($K525=BI$3,IF($C525="X",0,$O525),0)</f>
        <v>0</v>
      </c>
      <c r="BJ525" s="198">
        <f>IF($K525=BJ$3,IF($C525="X",0,$O525),0)</f>
        <v>0</v>
      </c>
      <c r="BK525" s="198">
        <f>IF($K525=BK$3,IF($C525="X",0,$O525),0)</f>
        <v>0</v>
      </c>
      <c r="BL525" s="198">
        <f>IF($K525=BL$3,IF($C525="X",0,$O525),0)</f>
        <v>0</v>
      </c>
      <c r="BM525" s="200">
        <f>IF($K525=BM$3,IF($C525="X",0,$O525),0)</f>
        <v>0</v>
      </c>
      <c r="BN525" s="201">
        <f>IF($K525=BN$3,IF($C525="X",0,$O525),0)</f>
        <v>0</v>
      </c>
      <c r="BO525" s="201">
        <f>IF($K525=BO$3,IF($C525="X",0,$O525),0)</f>
        <v>0</v>
      </c>
      <c r="BP525" s="201">
        <f>IF($K525=BP$3,IF($C525="X",0,$O525),0)</f>
        <v>0</v>
      </c>
      <c r="BQ525" s="202">
        <f>IF($K525=BQ$3,IF($C525="X",0,$O525),0)</f>
        <v>0</v>
      </c>
      <c r="BR525" s="199">
        <f>IF($K525=BR$3,IF($C525="X",0,$O525),0)</f>
        <v>0</v>
      </c>
      <c r="BS525" s="228"/>
      <c r="BT525" s="229"/>
      <c r="BU525" s="140"/>
      <c r="BV525" s="229"/>
      <c r="BW525" s="140"/>
      <c r="BX525" s="140"/>
      <c r="BY525" s="140"/>
      <c r="BZ525" s="229"/>
      <c r="CA525" s="140"/>
      <c r="CB525" s="140"/>
      <c r="CC525" s="140"/>
      <c r="CD525" s="141"/>
      <c r="CE525" s="142"/>
      <c r="CF525" s="230">
        <f>IF(CF$3=$K525,IF($C525="W",1,IF($C525="1/2W",0.5,0)),0)</f>
        <v>0</v>
      </c>
      <c r="CG525" s="231">
        <f>IF(CF$3=$K525,IF($C525="L",1,IF($C525="1/2L",0.5,0)),0)</f>
        <v>0</v>
      </c>
      <c r="CH525" s="231">
        <f>IF(CH$3=$K525,IF($C525="W",1,IF($C525="1/2W",0.5,0)),0)</f>
        <v>0</v>
      </c>
      <c r="CI525" s="231">
        <f>IF(CH$3=$K525,IF($C525="L",1,IF($C525="1/2L",0.5,0)),0)</f>
        <v>0</v>
      </c>
      <c r="CJ525" s="231">
        <f>IF(CJ$3=$K525,IF($C525="W",1,IF($C525="1/2W",0.5,0)),0)</f>
        <v>0</v>
      </c>
      <c r="CK525" s="231">
        <f>IF(CJ$3=$K525,IF($C525="L",1,IF($C525="1/2L",0.5,0)),0)</f>
        <v>0</v>
      </c>
      <c r="CL525" s="231">
        <f>IF(CL$3=$K525,IF($C525="W",1,IF($C525="1/2W",0.5,0)),0)</f>
        <v>0</v>
      </c>
      <c r="CM525" s="231">
        <f>IF(CL$3=$K525,IF($C525="L",1,IF($C525="1/2L",0.5,0)),0)</f>
        <v>0</v>
      </c>
      <c r="CN525" s="231">
        <f>IF(CN$3=$K525,IF($C525="W",1,IF($C525="1/2W",0.5,0)),0)</f>
        <v>0</v>
      </c>
      <c r="CO525" s="231">
        <f>IF(CN$3=$K525,IF($C525="L",1,IF($C525="1/2L",0.5,0)),0)</f>
        <v>0</v>
      </c>
      <c r="CP525" s="231">
        <f>IF(CP$3=$K525,IF($C525="W",1,IF($C525="1/2W",0.5,0)),0)</f>
        <v>0</v>
      </c>
      <c r="CQ525" s="231">
        <f>IF(CP$3=$K525,IF($C525="L",1,IF($C525="1/2L",0.5,0)),0)</f>
        <v>0</v>
      </c>
      <c r="CR525" s="231">
        <f>IF(CR$3=$K525,IF($C525="W",1,IF($C525="1/2W",0.5,0)),0)</f>
        <v>0</v>
      </c>
      <c r="CS525" s="231">
        <f>IF(CR$3=$K525,IF($C525="L",1,IF($C525="1/2L",0.5,0)),0)</f>
        <v>0</v>
      </c>
      <c r="CT525" s="208">
        <f>IF(CT$3=$K525,IF($C525="W",1,IF($C525="1/2W",0.5,0)),0)</f>
        <v>0</v>
      </c>
      <c r="CU525" s="209">
        <f>IF(CT$3=$K525,IF($C525="L",1,IF($C525="1/2L",0.5,0)),0)</f>
        <v>0</v>
      </c>
      <c r="CV525" s="209">
        <f>IF(CV$3=$K525,IF($C525="W",1,IF($C525="1/2W",0.5,0)),0)</f>
        <v>0</v>
      </c>
      <c r="CW525" s="209">
        <f>IF(CV$3=$K525,IF($C525="L",1,IF($C525="1/2L",0.5,0)),0)</f>
        <v>0</v>
      </c>
      <c r="CX525" s="209">
        <f>IF(CX$3=$K525,IF($C525="W",1,IF($C525="1/2W",0.5,0)),0)</f>
        <v>0</v>
      </c>
      <c r="CY525" s="209">
        <f>IF(CX$3=$K525,IF($C525="L",1,IF($C525="1/2L",0.5,0)),0)</f>
        <v>0</v>
      </c>
      <c r="CZ525" s="209">
        <f>IF(CZ$3=$K525,IF($C525="W",1,IF($C525="1/2W",0.5,0)),0)</f>
        <v>0</v>
      </c>
      <c r="DA525" s="209">
        <f>IF(CZ$3=$K525,IF($C525="L",1,IF($C525="1/2L",0.5,0)),0)</f>
        <v>0</v>
      </c>
      <c r="DB525" s="209">
        <f>IF(DB$3=$K525,IF($C525="W",1,IF($C525="1/2W",0.5,0)),0)</f>
        <v>0</v>
      </c>
      <c r="DC525" s="209">
        <f>IF(DB$3=$K525,IF($C525="L",1,IF($C525="1/2L",0.5,0)),0)</f>
        <v>0</v>
      </c>
      <c r="DD525" s="209">
        <f>IF(DD$3=$K525,IF($C525="W",1,IF($C525="1/2W",0.5,0)),0)</f>
        <v>0</v>
      </c>
      <c r="DE525" s="210">
        <f>IF(DD$3=$K525,IF($C525="L",1,IF($C525="1/2L",0.5,0)),0)</f>
        <v>0</v>
      </c>
      <c r="DF525" s="211">
        <f>IF(AND(L525&lt;DF$3,$C525="W"),1+DF524,DF524)</f>
        <v>16</v>
      </c>
      <c r="DG525" s="198">
        <f>IF(DF525&gt;DF524,L525+DG524,DG524)</f>
        <v>21.158</v>
      </c>
      <c r="DH525" s="209">
        <f>IF(AND(L525&gt;DH$3,$C525="W"),1+DH524,0+DH524)</f>
        <v>13</v>
      </c>
      <c r="DI525" s="198">
        <f>IF(DH525&gt;DH524,L525+DI524,DI524)</f>
        <v>70.43000000000001</v>
      </c>
      <c r="DJ525" t="s" s="306">
        <f>IF($D523="","",$D523)</f>
        <v>396</v>
      </c>
      <c r="DK525" s="232"/>
    </row>
    <row r="526" ht="14.55" customHeight="1">
      <c r="A526" s="246">
        <f>$A523+1</f>
        <v>175</v>
      </c>
      <c r="B526" t="s" s="247">
        <f>IF(AND(_xlfn.XLOOKUP(H526,H$107:H305,G$107:G305,0)=G526,_xlfn.XLOOKUP("TempoBet",K526:K528,L526:L528,0)&gt;0),"X",IF(OR(C526="W",C527="W",C528="W",C526="1/2W",C527="1/2W",C528="1/2W",C526="1/2L",C527="1/2L",C528="1/2L"),"OK",IF(OR(C526="L",C527="L",C528="L"),"LOSS",IF(OR(C526="X",C527="X",C528="X"),"Anulado"," "))))</f>
        <v>50</v>
      </c>
      <c r="C526" t="s" s="248">
        <v>51</v>
      </c>
      <c r="D526" t="s" s="303">
        <f>IF(G526="","",$D523)</f>
        <v>396</v>
      </c>
      <c r="E526" t="s" s="250">
        <v>108</v>
      </c>
      <c r="F526" t="s" s="251">
        <f>IF(G526="","",IF(OR(AND($C526&lt;&gt;" ",$C527=" "),AND($C527&lt;&gt;" ",$C526=" "),AND(L528&gt;0,OR(AND($C528&lt;&gt;" ",OR($C526=" ",$C527=" ")),AND($C528=" ",OR($C526&lt;&gt;" ",$C527&lt;&gt;" "))))),IF(SUM(F$4:F525)=0,1,LARGE(F$4:F525,1)+1),IF(MONTH(G526)=MONTH(TODAY()),IF(AND(DAY(G526)&lt;DAY(TODAY()),$B526=" "),IF(SUM(F$4:F525)=0,1,LARGE(F$4:F525,1)+1),IF($B526=" ",IF(AND(DAY(G526)=DAY(TODAY()),HOUR(G526)&lt;=HOUR(NOW())+1),IF(AND(HOUR(G526)+2&lt;=HOUR(NOW()),DAY(G526)&lt;=DAY(TODAY()),MINUTE(G526)&lt;=MINUTE(NOW())),IF(SUM(F$4:F525)=0,1,LARGE(F$4:F525,1)+1),IF(OR(MINUTE(G526)&lt;=MINUTE(NOW()),HOUR(G526)&lt;=HOUR(NOW())),"!!!","")),""),"")),"")))</f>
      </c>
      <c r="G526" s="252">
        <v>44952.354166666664</v>
      </c>
      <c r="H526" t="s" s="253">
        <v>401</v>
      </c>
      <c r="I526" t="s" s="254">
        <v>57</v>
      </c>
      <c r="J526" s="255">
        <v>1</v>
      </c>
      <c r="K526" t="s" s="256">
        <v>41</v>
      </c>
      <c r="L526" s="257">
        <v>1.37</v>
      </c>
      <c r="M526" s="258">
        <v>60.81</v>
      </c>
      <c r="N526" s="259">
        <v>0</v>
      </c>
      <c r="O526" s="260">
        <f>IF(OR(AE526="",AE527=""),"",ROUND(IF(L528&gt;0,IF(M526&gt;0,M526,IF(M527&gt;0,ROUND((M527*AE526)/AE527,IF(N526=0,2,IF(N526=0.1,1,0))),ROUND((M528*AE526)/AE528,IF(N526=0,2,IF(N526=0.1,1,0))))),IF(M526&gt;0,M526,ROUND((M527*AE526)/AE527,IF(N526=0,2,IF(N526=0.1,1,0))))),2))</f>
        <v>60.81</v>
      </c>
      <c r="P526" s="261">
        <f>IF(OR(L526="",O526=""),"",IF($C526="1/2W",O526/2+O526/2*L526,IF($C526="1/2L",O526/2,IF(I526="Lay",(O526*(L526/(L526-1))-O526)*(1-_xlfn.XLOOKUP(K526,'Janeiro 2023 - Valor Real'!A3:A15,'Janeiro 2023 - Valor Real'!C3:C15,0))+O526,(O526*L526-O526)*(1-_xlfn.XLOOKUP(K526,'Janeiro 2023 - Valor Real'!A3:A15,'Janeiro 2023 - Valor Real'!C3:C15,0))+O526))))</f>
        <v>83.30970000000001</v>
      </c>
      <c r="Q526" s="262">
        <f>IF(K526="","",IF(_xlfn.XLOOKUP(K526,K$107:K305,DJ$107:DJ305,0,,-1)=DJ526,_xlfn.XLOOKUP(K526,K$107:K305,Q$107:Q305,1,,-1)+1,1))</f>
        <v>1</v>
      </c>
      <c r="R526" s="263">
        <f>IF(K526="","",_xlfn.XLOOKUP(K526,K$107:K305,R$107:R305,0,,-1)+IF($C526=" ",1,0))</f>
        <v>0</v>
      </c>
      <c r="S526" s="264">
        <f>IF($B526="Anulado",0,ROUND(IF(OR($B526="LOSS",$B526="OK"),IF(OR($C526="W",$C526="1/2W",$C526="1/2L"),P526-O526,IF($C526="L",-O526,0))+IF(OR($C527="W",$C527="1/2W",$C527="1/2L"),P527-O527,IF($C527="L",-O527,0))+IF(OR($C528="W",$C528="1/2W",$C528="1/2L"),P528-O528,IF($C528="L",-O528,0)),IF(AND(OR($C526="W",$C526="1/2W",$C526="1/2L"),C527="W"),P526+P527-SUM(O526:O528)+_xlfn.XLOOKUP("X",C526:C528,O526:O528,0),IF(AND(C526=TRUE,C528="W"),P526+P528-SUM(O526:O528),IF(AND(C527="W",C528="W"),P527+P528-SUM(O526:O528)+_xlfn.XLOOKUP("X",C526:C528,O526:O528,0),IF(L528&gt;0,IF(OR($C526="W",$C526="1/2W",$C526="1/2L"),P526-SUM(O526:O528)+_xlfn.XLOOKUP("X",C526:C528,O526:O528,0),IF(OR($C526="W",$C526="1/2W",$C526="1/2L"),P527-SUM(O526:O528)+_xlfn.XLOOKUP("X",C526:C528,O526:O528,0),IF(OR($C526="W",$C526="1/2W",$C526="1/2L"),P528-SUM(O526:O528)+_xlfn.XLOOKUP("X",C526:C528,O526:O528,0),IF(SUM(P526:P528)/3-SUM(O526:O528)+_xlfn.XLOOKUP("X",C526:C528,O526:O528,0)&gt;0,SUM(P526:P528)/3-SUM(O526:O528)+_xlfn.XLOOKUP("X",C526:C528,O526:O528,0),LARGE(P526:P528,1)-SUM(O526:O528))))),IF(OR($C526="W",$C526="1/2W",$C526="1/2L"),P526-SUM(O526:O527)+_xlfn.XLOOKUP("X",C526:C528,O526:O528,0),IF(OR($C526="W",$C526="1/2W",$C526="1/2L"),P527-SUM(O526:O527)+_xlfn.XLOOKUP("X",C526:C528,O526:O528,0),SUM(P526:P527)/2-SUM(O526:O527)+_xlfn.XLOOKUP("X",C526:C528,O526:O528,0)))))))),2))</f>
        <v>3.26</v>
      </c>
      <c r="T526" s="265">
        <f>IF(S526=0,0,S526/SUM(O526:O528))</f>
        <v>0.0406940456871801</v>
      </c>
      <c r="U526" s="266">
        <f>IF($D526=$D523,IF(OR($B526="LOSS",$B526="OK",$B526="Anulada"),S526,0)+U523,IF(OR($B526="LOSS",$B526="OK",$B526="Anulada"),S526,0))</f>
        <v>14.52</v>
      </c>
      <c r="V526" s="266">
        <f>IF($D526="",0,IF($D526=$D523,IF($B526=" ",IF(I528="",IF(OR(AND(I526="DNB1",I527="DNB2"),AND(OR(I526="DNB1",I526="DNB2"),J527=0),AND(OR(I527="DNB1",I527="DNB2"),J526=0),AND(I526="DNB2",I527="DNB1"),AND(IF(J526=0,(J526+1)/ROUND(J526+1,0),J526/ROUND(J526,0))=1,IF(J527=0,(J527+1)/ROUND(IF(J527="",0,J527)+1,0),IF(J527="",0,J527)/ROUND(IF(J527="",1,J527),0))=1,OR(J526&lt;&gt;""),J527&lt;&gt;"")),0,IF(S526&lt;0,IF(I528="",SMALL(P526:P527,1)-SUM(O526:O527),0),SMALL(P526:P527,1)-SUM(O526:O527))),IF(S526&lt;0,IF(I528="",SMALL(P526:P528,1)-SUM(O526:O528),0),LARGE(P526:P528,1)-SUM(O526:O528))),S526)+V523,IF(I528="",IF(OR(AND(I526="DNB1",I527="DNB2"),AND(OR(I526="DNB1",I526="DNB2"),J527=0),AND(OR(I527="DNB1",I527="DNB2"),J526=0),AND(I526="DNB2",I527="DNB1"),AND(IF(J526=0,(J526+1)/ROUND(J526+1,0),J526/ROUND(J526,0))=1,IF(J527=0,(IF(J527="",0,J527)+1)/ROUND(IF(J527="",0,J527)+1,0),IF(J527="",0,J527)/ROUND(IF(J527="",0,J527)+1,0))=1,OR(J526&lt;&gt;""),J527&lt;&gt;"")),0,IF(S526&lt;0,IF(I528="",SMALL(P526:P527,1)-SUM(O526:O527),0),SMALL(P526:P528,1)-SUM(O526:O528))),IF(S526&lt;0,IF(I528="",SMALL(P526:P528,1)-SUM(O526:O528),0),LARGE(P526:P528,1)-SUM(O526:O528)))))</f>
        <v>14.52</v>
      </c>
      <c r="W526" s="266">
        <f>IF($D526=$D523,IF(S526&lt;0,IF(I528="",S526,0),S526)+W523,S526)</f>
        <v>14.52</v>
      </c>
      <c r="X526" t="s" s="267">
        <f>IF(OR(SUM(R526:R528)=0,V526=W526),ROUND(IF(W526=0,0,W526/Y526)*100,2)&amp;"%",ROUND(IF(V526=0,0,V526/Y526)*100,2)&amp;"% a "&amp;ROUND(IF(W526=0,0,W526/Y526)*100,2)&amp;"%")</f>
        <v>404</v>
      </c>
      <c r="Y526" s="268">
        <f>IF($D526=$D523,Y523+SUM(O526:O528),SUM(O526:O528))</f>
        <v>363.92</v>
      </c>
      <c r="Z526" s="266">
        <f>IF($B526=" ",SUM(O526:O528),0)+Z523</f>
        <v>0</v>
      </c>
      <c r="AA526" s="266">
        <f>IF(G526="","",IF($B526="Anulado",LARGE(P526:P528,1)-SUM(O526:O528)+AA523,AA523))</f>
        <v>24.9665076923077</v>
      </c>
      <c r="AB526" s="266">
        <f>IF($D526="","",AB523+S526)</f>
        <v>353.76</v>
      </c>
      <c r="AC526" s="269">
        <f>IF($D526="","",IF($B526=" ",IF(DAY(G526)=DAY(TODAY()),1+AC523,0+AC523),0+AC523))</f>
        <v>0</v>
      </c>
      <c r="AD526" s="270">
        <f>(1-_xlfn.XLOOKUP(K524,'Janeiro 2023 - Valor Real'!A3:A15,'Janeiro 2023 - Valor Real'!C3:C15,0))+1</f>
        <v>2</v>
      </c>
      <c r="AE526" s="271">
        <f>IF(L526="","",IF(L528&gt;0,(SUM(((L526-1)*(1-_xlfn.XLOOKUP(K526,'Janeiro 2023 - Valor Real'!A3:A15,'Janeiro 2023 - Valor Real'!C3:C15,0))+1),((L527-1)*(1-_xlfn.XLOOKUP(K527,'Janeiro 2023 - Valor Real'!A3:A15,'Janeiro 2023 - Valor Real'!C3:C15,0))+1),((L528-1)*(1-_xlfn.XLOOKUP(K528,'Janeiro 2023 - Valor Real'!A3:A15,'Janeiro 2023 - Valor Real'!C3:C15,0))+1))/((L526-1)*(1-_xlfn.XLOOKUP(K526,'Janeiro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Real'!C3:C15,0))+1))/((L526-1)*(1-_xlfn.XLOOKUP(K526,'Janeiro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Real'!C3:C15,0))+1))/((L527-1)*(1-_xlfn.XLOOKUP(K527,'Janeiro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Real'!C3:C15,0))+1))/((L528-1)*(1-_xlfn.XLOOKUP(K528,'Janeiro 2023 - Valor Real'!A3:A15,'Janeiro 2023 - Valor Real'!C3:C15,0))+1)),IF(I526="Lay",IF(I527="Lay",((L527/(L527-1)-1)*(1-_xlfn.XLOOKUP(K527,'Janeiro 2023 - Valor Real'!A3:A15,'Janeiro 2023 - Valor Real'!C3:C15,0))+1)/(((L527/(L527-1)-1)*(1-_xlfn.XLOOKUP(K527,'Janeiro 2023 - Valor Real'!A3:A15,'Janeiro 2023 - Valor Real'!C3:C15,0))+1)+((L526/(L526-1)-1)*(1-_xlfn.XLOOKUP(K526,'Janeiro 2023 - Valor Real'!A3:A15,'Janeiro 2023 - Valor Real'!C3:C15,0))+1)),((L527-1)*(1-_xlfn.XLOOKUP(K527,'Janeiro 2023 - Valor Real'!A3:A15,'Janeiro 2023 - Valor Real'!C3:C15,0))+1)/(((L527-1)*(1-_xlfn.XLOOKUP(K527,'Janeiro 2023 - Valor Real'!A3:A15,'Janeiro 2023 - Valor Real'!C3:C15,0))+1)+((L526/(L526-1)-1)*(1-_xlfn.XLOOKUP(K526,'Janeiro 2023 - Valor Real'!A3:A15,'Janeiro 2023 - Valor Real'!C3:C15,0))+1))),IF(I527="Lay",(((L527/(L527-1)-1)*(1-_xlfn.XLOOKUP(K527,'Janeiro 2023 - Valor Real'!A3:A15,'Janeiro 2023 - Valor Real'!C3:C15,0))+1))/(((L526-1)*(1-_xlfn.XLOOKUP(K526,'Janeiro 2023 - Valor Real'!A3:A15,'Janeiro 2023 - Valor Real'!C3:C15,0))+1)+((L527/(L527-1)-1)*(1-_xlfn.XLOOKUP(K527,'Janeiro 2023 - Valor Real'!A3:A15,'Janeiro 2023 - Valor Real'!C3:C15,0))+1)),((L527-1)*(1-_xlfn.XLOOKUP(K527,'Janeiro 2023 - Valor Real'!A3:A15,'Janeiro 2023 - Valor Real'!C3:C15,0))+1)/(((L527-1)*(1-_xlfn.XLOOKUP(K527,'Janeiro 2023 - Valor Real'!A3:A15,'Janeiro 2023 - Valor Real'!C3:C15,0))+1)+((L526-1)*(1-_xlfn.XLOOKUP(K526,'Janeiro 2023 - Valor Real'!A3:A15,'Janeiro 2023 - Valor Real'!C3:C15,0))+1))))))</f>
        <v>0.542905642706626</v>
      </c>
      <c r="AF526" s="132">
        <f>IF($K526=AF$3,ROUND(IF(OR($C526="W",$C526="1/2W",$C526="1/2L"),$P526-$O526,IF($C526="X",0,-$O526)),2),0)</f>
        <v>0</v>
      </c>
      <c r="AG526" s="133">
        <f>IF($K526=AG$3,ROUND(IF(OR($C526="W",$C526="1/2W",$C526="1/2L"),$P526-$O526,IF($C526="X",0,-$O526)),2),0)</f>
        <v>0</v>
      </c>
      <c r="AH526" s="133">
        <f>IF($K526=AH$3,ROUND(IF(OR($C526="W",$C526="1/2W",$C526="1/2L"),$P526-$O526,IF($C526="X",0,-$O526)),2),0)</f>
        <v>0</v>
      </c>
      <c r="AI526" s="133">
        <f>IF($K526=AI$3,ROUND(IF(OR($C526="W",$C526="1/2W",$C526="1/2L"),$P526-$O526,IF($C526="X",0,-$O526)),2),0)</f>
        <v>0</v>
      </c>
      <c r="AJ526" s="133">
        <f>IF($K526=AJ$3,ROUND(IF(OR($C526="W",$C526="1/2W",$C526="1/2L"),$P526-$O526,IF($C526="X",0,-$O526)),2),0)</f>
        <v>-60.81</v>
      </c>
      <c r="AK526" s="133">
        <f>IF($K526=AK$3,ROUND(IF(OR($C526="W",$C526="1/2W",$C526="1/2L"),$P526-$O526,IF($C526="X",0,-$O526)),2),0)</f>
        <v>0</v>
      </c>
      <c r="AL526" s="133">
        <f>IF($K526=AL$3,ROUND(IF(OR($C526="W",$C526="1/2W",$C526="1/2L"),$P526-$O526,IF($C526="X",0,-$O526)),2),0)</f>
        <v>0</v>
      </c>
      <c r="AM526" s="133">
        <f>IF($K526=AM$3,ROUND(IF(OR($C526="W",$C526="1/2W",$C526="1/2L"),$P526-$O526,IF($C526="X",0,-$O526)),2),0)</f>
        <v>0</v>
      </c>
      <c r="AN526" s="133">
        <f>IF($K526=AN$3,ROUND(IF(OR($C526="W",$C526="1/2W",$C526="1/2L"),$P526-$O526,IF($C526="X",0,-$O526)),2),0)</f>
        <v>0</v>
      </c>
      <c r="AO526" s="133">
        <f>IF($K526=AO$3,ROUND(IF(OR($C526="W",$C526="1/2W",$C526="1/2L"),$P526-$O526,IF($C526="X",0,-$O526)),2),0)</f>
        <v>0</v>
      </c>
      <c r="AP526" s="133">
        <f>IF($K526=AP$3,ROUND(IF(OR($C526="W",$C526="1/2W",$C526="1/2L"),$P526-$O526,IF($C526="X",0,-$O526)),2),0)</f>
        <v>0</v>
      </c>
      <c r="AQ526" s="133">
        <f>IF($K526=AQ$3,ROUND(IF(OR($C526="W",$C526="1/2W",$C526="1/2L"),$P526-$O526,IF($C526="X",0,-$O526)),2),0)</f>
        <v>0</v>
      </c>
      <c r="AR526" s="134">
        <f>IF($K526=AR$3,ROUND(IF(OR($C526="W",$C526="1/2W",$C526="1/2L"),$P526-$O526,IF($C526="X",0,-$O526)),2),0)</f>
        <v>0</v>
      </c>
      <c r="AS526" s="132">
        <f>IF(AND($B526=" ",$K526=AS$3),$O526,0)</f>
        <v>0</v>
      </c>
      <c r="AT526" s="133">
        <f>IF(AND($B526=" ",$K526=AT$3),$O526,0)</f>
        <v>0</v>
      </c>
      <c r="AU526" s="133">
        <f>IF(AND($B526=" ",$K526=AU$3),$O526,0)</f>
        <v>0</v>
      </c>
      <c r="AV526" s="133">
        <f>IF(AND($B526=" ",$K526=AV$3),$O526,0)</f>
        <v>0</v>
      </c>
      <c r="AW526" s="133">
        <f>IF(AND($B526=" ",$K526=AW$3),$O526,0)</f>
        <v>0</v>
      </c>
      <c r="AX526" s="133">
        <f>IF(AND($B526=" ",$K526=AX$3),$O526,0)</f>
        <v>0</v>
      </c>
      <c r="AY526" s="135">
        <f>IF(AND($B526=" ",$K526=AY$3),$O526,0)</f>
        <v>0</v>
      </c>
      <c r="AZ526" s="136">
        <f>IF(AND($B526=" ",$K526=AZ$3),$O526,0)</f>
        <v>0</v>
      </c>
      <c r="BA526" s="136">
        <f>IF(AND($B526=" ",$K526=BA$3),$O526,0)</f>
        <v>0</v>
      </c>
      <c r="BB526" s="136">
        <f>IF(AND($B526=" ",$K526=BB$3),$O526,0)</f>
        <v>0</v>
      </c>
      <c r="BC526" s="137">
        <f>IF(AND($B526=" ",$K526=BC$3),$O526,0)</f>
        <v>0</v>
      </c>
      <c r="BD526" s="133">
        <f>IF(AND($B526=" ",$K526=BD$3),$O526,0)</f>
        <v>0</v>
      </c>
      <c r="BE526" s="134">
        <f>IF(AND($B526=" ",$K526=BE$3),$O526,0)</f>
        <v>0</v>
      </c>
      <c r="BF526" s="132">
        <f>IF($K526=BF$3,IF($C526="X",0,$O526),0)</f>
        <v>0</v>
      </c>
      <c r="BG526" s="133">
        <f>IF($K526=BG$3,IF($C526="X",0,$O526),0)</f>
        <v>0</v>
      </c>
      <c r="BH526" s="133">
        <f>IF($K526=BH$3,IF($C526="X",0,$O526),0)</f>
        <v>0</v>
      </c>
      <c r="BI526" s="133">
        <f>IF($K526=BI$3,IF($C526="X",0,$O526),0)</f>
        <v>0</v>
      </c>
      <c r="BJ526" s="133">
        <f>IF($K526=BJ$3,IF($C526="X",0,$O526),0)</f>
        <v>60.81</v>
      </c>
      <c r="BK526" s="133">
        <f>IF($K526=BK$3,IF($C526="X",0,$O526),0)</f>
        <v>0</v>
      </c>
      <c r="BL526" s="133">
        <f>IF($K526=BL$3,IF($C526="X",0,$O526),0)</f>
        <v>0</v>
      </c>
      <c r="BM526" s="135">
        <f>IF($K526=BM$3,IF($C526="X",0,$O526),0)</f>
        <v>0</v>
      </c>
      <c r="BN526" s="136">
        <f>IF($K526=BN$3,IF($C526="X",0,$O526),0)</f>
        <v>0</v>
      </c>
      <c r="BO526" s="136">
        <f>IF($K526=BO$3,IF($C526="X",0,$O526),0)</f>
        <v>0</v>
      </c>
      <c r="BP526" s="136">
        <f>IF($K526=BP$3,IF($C526="X",0,$O526),0)</f>
        <v>0</v>
      </c>
      <c r="BQ526" s="137">
        <f>IF($K526=BQ$3,IF($C526="X",0,$O526),0)</f>
        <v>0</v>
      </c>
      <c r="BR526" s="134">
        <f>IF($K526=BR$3,IF($C526="X",0,$O526),0)</f>
        <v>0</v>
      </c>
      <c r="BS526" s="170">
        <f>IF($B526="LOSS",IF(AND($K526=BS$3,$C526="L"),-$O526,0)+IF(AND($K527=BS$3,$C527="L"),-$O527,0)+IF(AND($K528=BS$3,$C528="L"),-$O528,0),IF(OR(AND($K526=BS$3,OR($C526="W",$C526="1/2W")),AND($K527=BS$3,OR($C527="W",$C527="1/2W")),AND($K528=BS$3,OR($C528="W",$C528="1/2W"))),$S526,0))</f>
        <v>0</v>
      </c>
      <c r="BT526" s="272">
        <f>IF($B526="LOSS",IF(AND($K526=BT$3,$C526="L"),-$O526,0)+IF(AND($K527=BT$3,$C527="L"),-$O527,0)+IF(AND($K527=BT$3,$C528="L"),-$O528,0),IF(OR(AND($K527=BT$3,OR($C526="W",$C526="1/2W")),AND($K527=BT$3,OR($C527="W",$C527="1/2W")),AND($K527=BT$3,OR($C528="W",$C528="1/2W"))),$S526,0))</f>
        <v>0</v>
      </c>
      <c r="BU526" s="136">
        <f>IF($B526="LOSS",IF(AND($K526=BU$3,$C526="L"),-$O526,0)+IF(AND($K527=BU$3,$C527="L"),-$O527,0)+IF(AND($K527=BU$3,$C528="L"),-$O528,0),IF(OR(AND($K527=BU$3,OR($C526="W",$C526="1/2W")),AND($K527=BU$3,OR($C527="W",$C527="1/2W")),AND($K527=BU$3,OR($C528="W",$C528="1/2W"))),$S526,0))</f>
        <v>0</v>
      </c>
      <c r="BV526" s="136">
        <f>IF($B526="LOSS",IF(AND($K526=BV$3,$C526="L"),-$O526,0)+IF(AND($K527=BV$3,$C527="L"),-$O527,0)+IF(AND($K528=BV$3,$C528="L"),-$O528,0),IF(OR(AND($K526=BV$3,OR($C526="W",$C526="1/2W")),AND($K527=BV$3,OR($C527="W",$C527="1/2W")),AND($K528=BV$3,OR($C528="W",$C528="1/2W"))),$S526,0))</f>
        <v>0</v>
      </c>
      <c r="BW526" s="136">
        <f>IF($B526="LOSS",IF(AND($K526=BW$3,$C526="L"),-$O526,0)+IF(AND($K527=BW$3,$C527="L"),-$O527,0)+IF(AND($K528=BW$3,$C528="L"),-$O528,0),IF(OR(AND($K526=BW$3,OR($C526="W",$C526="1/2W")),AND($K527=BW$3,OR($C527="W",$C527="1/2W")),AND($K528=BW$3,OR($C528="W",$C528="1/2W"))),$S526,0))</f>
        <v>0</v>
      </c>
      <c r="BX526" s="136">
        <f>IF($B526="LOSS",IF(AND($K526=BX$3,$C526="L"),-$O526,0)+IF(AND($K527=BX$3,$C527="L"),-$O527,0)+IF(AND($K528=BX$3,$C528="L"),-$O528,0),IF(OR(AND($K526=BX$3,OR($C526="W",$C526="1/2W")),AND($K527=BX$3,OR($C527="W",$C527="1/2W")),AND($K528=BX$3,OR($C528="W",$C528="1/2W"))),$S526,0))</f>
        <v>0</v>
      </c>
      <c r="BY526" s="136">
        <f>IF($B526="LOSS",IF(AND($K526=BY$3,$C526="L"),-$O526,0)+IF(AND($K527=BY$3,$C527="L"),-$O527,0)+IF(AND($K528=BY$3,$C528="L"),-$O528,0),IF(OR(AND($K526=BY$3,OR($C526="W",$C526="1/2W")),AND($K527=BY$3,OR($C527="W",$C527="1/2W")),AND($K528=BY$3,OR($C528="W",$C528="1/2W"))),$S526,0))</f>
        <v>0</v>
      </c>
      <c r="BZ526" s="136">
        <f>IF($B526="LOSS",IF(AND($K526=BZ$3,$C526="L"),-$O526,0)+IF(AND($K527=BZ$3,$C527="L"),-$O527,0)+IF(AND($K528=BZ$3,$C528="L"),-$O528,0),IF(OR(AND($K526=BZ$3,OR($C526="W",$C526="1/2W")),AND($K527=BZ$3,OR($C527="W",$C527="1/2W")),AND($K528=BZ$3,OR($C528="W",$C528="1/2W"))),$S526,0))</f>
        <v>0</v>
      </c>
      <c r="CA526" s="136">
        <f>IF($B526="LOSS",IF(AND($K526=CA$3,$C526="L"),-$O526,0)+IF(AND($K527=CA$3,$C527="L"),-$O527,0)+IF(AND($K528=CA$3,$C528="L"),-$O528,0),IF(OR(AND($K526=CA$3,OR($C526="W",$C526="1/2W")),AND($K527=CA$3,OR($C527="W",$C527="1/2W")),AND($K528=CA$3,OR($C528="W",$C528="1/2W"))),$S526,0))</f>
        <v>0</v>
      </c>
      <c r="CB526" s="136">
        <f>IF($B526="LOSS",IF(AND($K526=CB$3,$C526="L"),-$O526,0)+IF(AND($K527=CB$3,$C527="L"),-$O527,0)+IF(AND($K528=CB$3,$C528="L"),-$O528,0),IF(OR(AND($K526=CB$3,OR($C526="W",$C526="1/2W")),AND($K527=CB$3,OR($C527="W",$C527="1/2W")),AND($K528=CB$3,OR($C528="W",$C528="1/2W"))),$S526,0))</f>
        <v>0</v>
      </c>
      <c r="CC526" s="136">
        <f>IF($B526="LOSS",IF(AND($K526=CC$3,$C526="L"),-$O526,0)+IF(AND($K527=CC$3,$C527="L"),-$O527,0)+IF(AND($K528=CC$3,$C528="L"),-$O528,0),IF(OR(AND($K526=CC$3,OR($C526="W",$C526="1/2W")),AND($K527=CC$3,OR($C527="W",$C527="1/2W")),AND($K528=CC$3,OR($C528="W",$C528="1/2W"))),$S526,0))</f>
        <v>0</v>
      </c>
      <c r="CD526" s="137">
        <f>IF($B526="LOSS",IF(AND($K526=CD$3,$C526="L"),-$O526,0)+IF(AND($K527=CD$3,$C527="L"),-$O527,0)+IF(AND($K528=CD$3,$C528="L"),-$O528,0),IF(OR(AND($K526=CD$3,OR($C526="W",$C526="1/2W")),AND($K527=CD$3,OR($C527="W",$C527="1/2W")),AND($K528=CD$3,OR($C528="W",$C528="1/2W"))),$S526,0))</f>
        <v>3.26</v>
      </c>
      <c r="CE526" s="134">
        <f>IF($B526="LOSS",IF(AND($K526=CE$3,$C526="L"),-$O526,0)+IF(AND($K527=CE$3,$C527="L"),-$O527,0)+IF(AND($K528=CE$3,$C528="L"),-$O528,0),IF(OR(AND($K526=CE$3,OR($C526="W",$C526="1/2W")),AND($K527=CE$3,OR($C527="W",$C527="1/2W")),AND($K528=CE$3,OR($C528="W",$C528="1/2W"))),$S526,0))</f>
        <v>0</v>
      </c>
      <c r="CF526" s="273">
        <f>IF(CF$3=$K526,IF($C526="W",1,IF($C526="1/2W",0.5,0)),0)</f>
        <v>0</v>
      </c>
      <c r="CG526" s="274">
        <f>IF(CF$3=$K526,IF($C526="L",1,IF($C526="1/2L",0.5,0)),0)</f>
        <v>0</v>
      </c>
      <c r="CH526" s="274">
        <f>IF(CH$3=$K526,IF($C526="W",1,IF($C526="1/2W",0.5,0)),0)</f>
        <v>0</v>
      </c>
      <c r="CI526" s="274">
        <f>IF(CH$3=$K526,IF($C526="L",1,IF($C526="1/2L",0.5,0)),0)</f>
        <v>0</v>
      </c>
      <c r="CJ526" s="274">
        <f>IF(CJ$3=$K526,IF($C526="W",1,IF($C526="1/2W",0.5,0)),0)</f>
        <v>0</v>
      </c>
      <c r="CK526" s="274">
        <f>IF(CJ$3=$K526,IF($C526="L",1,IF($C526="1/2L",0.5,0)),0)</f>
        <v>0</v>
      </c>
      <c r="CL526" s="274">
        <f>IF(CL$3=$K526,IF($C526="W",1,IF($C526="1/2W",0.5,0)),0)</f>
        <v>0</v>
      </c>
      <c r="CM526" s="274">
        <f>IF(CL$3=$K526,IF($C526="L",1,IF($C526="1/2L",0.5,0)),0)</f>
        <v>0</v>
      </c>
      <c r="CN526" s="274">
        <f>IF(CN$3=$K526,IF($C526="W",1,IF($C526="1/2W",0.5,0)),0)</f>
        <v>0</v>
      </c>
      <c r="CO526" s="274">
        <f>IF(CN$3=$K526,IF($C526="L",1,IF($C526="1/2L",0.5,0)),0)</f>
        <v>1</v>
      </c>
      <c r="CP526" s="274">
        <f>IF(CP$3=$K526,IF($C526="W",1,IF($C526="1/2W",0.5,0)),0)</f>
        <v>0</v>
      </c>
      <c r="CQ526" s="274">
        <f>IF(CP$3=$K526,IF($C526="L",1,IF($C526="1/2L",0.5,0)),0)</f>
        <v>0</v>
      </c>
      <c r="CR526" s="274">
        <f>IF(CR$3=$K526,IF($C526="W",1,IF($C526="1/2W",0.5,0)),0)</f>
        <v>0</v>
      </c>
      <c r="CS526" s="274">
        <f>IF(CR$3=$K526,IF($C526="L",1,IF($C526="1/2L",0.5,0)),0)</f>
        <v>0</v>
      </c>
      <c r="CT526" s="145">
        <f>IF(CT$3=$K526,IF($C526="W",1,IF($C526="1/2W",0.5,0)),0)</f>
        <v>0</v>
      </c>
      <c r="CU526" s="146">
        <f>IF(CT$3=$K526,IF($C526="L",1,IF($C526="1/2L",0.5,0)),0)</f>
        <v>0</v>
      </c>
      <c r="CV526" s="146">
        <f>IF(CV$3=$K526,IF($C526="W",1,IF($C526="1/2W",0.5,0)),0)</f>
        <v>0</v>
      </c>
      <c r="CW526" s="146">
        <f>IF(CV$3=$K526,IF($C526="L",1,IF($C526="1/2L",0.5,0)),0)</f>
        <v>0</v>
      </c>
      <c r="CX526" s="146">
        <f>IF(CX$3=$K526,IF($C526="W",1,IF($C526="1/2W",0.5,0)),0)</f>
        <v>0</v>
      </c>
      <c r="CY526" s="146">
        <f>IF(CX$3=$K526,IF($C526="L",1,IF($C526="1/2L",0.5,0)),0)</f>
        <v>0</v>
      </c>
      <c r="CZ526" s="146">
        <f>IF(CZ$3=$K526,IF($C526="W",1,IF($C526="1/2W",0.5,0)),0)</f>
        <v>0</v>
      </c>
      <c r="DA526" s="146">
        <f>IF(CZ$3=$K526,IF($C526="L",1,IF($C526="1/2L",0.5,0)),0)</f>
        <v>0</v>
      </c>
      <c r="DB526" s="146">
        <f>IF(DB$3=$K526,IF($C526="W",1,IF($C526="1/2W",0.5,0)),0)</f>
        <v>0</v>
      </c>
      <c r="DC526" s="146">
        <f>IF(DB$3=$K526,IF($C526="L",1,IF($C526="1/2L",0.5,0)),0)</f>
        <v>0</v>
      </c>
      <c r="DD526" s="146">
        <f>IF(DD$3=$K526,IF($C526="W",1,IF($C526="1/2W",0.5,0)),0)</f>
        <v>0</v>
      </c>
      <c r="DE526" s="147">
        <f>IF(DD$3=$K526,IF($C526="L",1,IF($C526="1/2L",0.5,0)),0)</f>
        <v>0</v>
      </c>
      <c r="DF526" s="143">
        <f>IF(AND(L526&lt;DF$3,$C526="W"),1+DF525,DF525)</f>
        <v>16</v>
      </c>
      <c r="DG526" s="133">
        <f>IF(DF526&gt;DF525,L526+DG525,DG525)</f>
        <v>21.158</v>
      </c>
      <c r="DH526" s="146">
        <f>IF(AND(L526&gt;DH$3,$C526="W"),1+DH525,0+DH525)</f>
        <v>13</v>
      </c>
      <c r="DI526" s="133">
        <f>IF(DH526&gt;DH525,L526+DI525,DI525)</f>
        <v>70.43000000000001</v>
      </c>
      <c r="DJ526" t="s" s="304">
        <f>IF($D526="","",$D526)</f>
        <v>396</v>
      </c>
      <c r="DK526" s="146">
        <f>IF(AND($B526=" ",$D526&lt;&gt;""),1,0)</f>
        <v>0</v>
      </c>
    </row>
    <row r="527" ht="14.55" customHeight="1">
      <c r="A527" s="107"/>
      <c r="B527" s="108"/>
      <c r="C527" t="s" s="109">
        <v>56</v>
      </c>
      <c r="D527" s="110"/>
      <c r="E527" s="111"/>
      <c r="F527" s="113"/>
      <c r="G527" s="252"/>
      <c r="H527" s="114"/>
      <c r="I527" s="294">
        <v>1</v>
      </c>
      <c r="J527" t="s" s="295">
        <f>IF(OR(I526="TO",I526="TU",I526="TO1",I526="TU1",I526="TO2",I526="TU2"),J526,IF(OR(I526="AH1",I526="AH2"),IF(OR(I527="AH1",I527="AH2"),-J526,IF(OR(I527="EH1",I527="EH2"),-J526+0.5,"")),IF(OR(I526="EH1",I526="EH2"),IF(OR(I527="AH1",I527="AH2"),-J526+0.5,IF(OR(I527="EH1",I527="EH2"),-J526+1,"")),IF(AND(OR(I526="DNB1",I526="DNB2"),OR(I527="AH1",I527="AH2")),0,IF(AND(I526="Not ScoreBoth",OR(I527="TO1",I527="TO2")),0.5,"")))))</f>
      </c>
      <c r="K527" t="s" s="117">
        <v>48</v>
      </c>
      <c r="L527" s="277">
        <v>2.12</v>
      </c>
      <c r="M527" s="278">
        <v>10.6</v>
      </c>
      <c r="N527" s="120"/>
      <c r="O527" s="121">
        <f>IF(OR(AE526="",AE527=""),"",ROUND(IF(L528&gt;0,IF(M527&gt;0,M527,IF(M526&gt;0,IF(N526=TRUE,ROUND((M526*AE527)/AE526,0),(M526*AE527)/AE526),IF(M527&gt;0,ROUND(M527,IF(N526=0,2,IF(N526=0.1,1,0))),IF(M528&gt;0,ROUND(O528*AE527/AE528,IF(N526=0,2,IF(N526=0.1,1,0))),0)))),IF(M527&gt;0,M527,ROUND((M526*AE527)/AE526,IF(N526=0,2,IF(N526=0.1,1,0))))),2))</f>
        <v>10.6</v>
      </c>
      <c r="P527" s="122">
        <f>IF(OR(L527="",O527=""),"",IF($C527="1/2W",O527/2+O527/2*L527,IF($C527="1/2L",O527/2,IF(I527="Lay",((O527*(L527/(L527-1)))-O527)*(1-_xlfn.XLOOKUP(K527,'Janeiro 2023 - Valor Real'!A3:A15,'Janeiro 2023 - Valor Real'!C3:C15,0))+O527,(O527*L527-O527)*(1-_xlfn.XLOOKUP(K527,'Janeiro 2023 - Valor Real'!A3:A15,'Janeiro 2023 - Valor Real'!C3:C15,0))+O527))))</f>
        <v>22.472</v>
      </c>
      <c r="Q527" s="279">
        <f>IF(K527="","",IF(_xlfn.XLOOKUP(K527,K$120:K306,DJ$120:DJ306,0,,-1)=DJ527,_xlfn.XLOOKUP(K527,K$120:K306,Q$120:Q306,1,,-1)+1,1))</f>
        <v>1</v>
      </c>
      <c r="R527" s="280">
        <f>IF(K527="","",_xlfn.XLOOKUP(K527,K$120:K306,R$120:R306,0,,-1)+IF($C527=" ",1,0))</f>
        <v>0</v>
      </c>
      <c r="S527" s="125"/>
      <c r="T527" s="126"/>
      <c r="U527" s="126"/>
      <c r="V527" s="224"/>
      <c r="W527" s="126"/>
      <c r="X527" s="127"/>
      <c r="Y527" s="128"/>
      <c r="Z527" s="129"/>
      <c r="AA527" s="129"/>
      <c r="AB527" s="129"/>
      <c r="AC527" s="129"/>
      <c r="AD527" s="130"/>
      <c r="AE527" s="131">
        <f>IF(L527="","",IF(L528&gt;0,(SUM(((L526-1)*(1-_xlfn.XLOOKUP(K526,'Janeiro 2023 - Valor Real'!A3:A15,'Janeiro 2023 - Valor Real'!C3:C15,0))+1),((L527-1)*(1-_xlfn.XLOOKUP(K527,'Janeiro 2023 - Valor Real'!A3:A15,'Janeiro 2023 - Valor Real'!C3:C15,0))+1),((L528-1)*(1-_xlfn.XLOOKUP(K528,'Janeiro 2023 - Valor Real'!A3:A15,'Janeiro 2023 - Valor Real'!C3:C15,0))+1))/((L527-1)*(1-_xlfn.XLOOKUP(K527,'Janeiro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Real'!C3:C15,0))+1))/((L526-1)*(1-_xlfn.XLOOKUP(K526,'Janeiro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Real'!C3:C15,0))+1))/((L527-1)*(1-_xlfn.XLOOKUP(K527,'Janeiro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Real'!C3:C15,0))+1))/((L528-1)*(1-_xlfn.XLOOKUP(K528,'Janeiro 2023 - Valor Real'!A3:A15,'Janeiro 2023 - Valor Real'!C3:C15,0))+1)),IF(I527="Lay",IF(I526="Lay",((L526/(L526-1)-1)*(1-_xlfn.XLOOKUP(K526,'Janeiro 2023 - Valor Real'!A3:A15,'Janeiro 2023 - Valor Real'!C3:C15,0))+1)/(((L526/(L526-1)-1)*(1-_xlfn.XLOOKUP(K526,'Janeiro 2023 - Valor Real'!A3:A15,'Janeiro 2023 - Valor Real'!C3:C15,0))+1)+((L527/(L527-1)-1)*(1-_xlfn.XLOOKUP(K527,'Janeiro 2023 - Valor Real'!A3:A15,'Janeiro 2023 - Valor Real'!C3:C15,0))+1)),((L526-1)*(1-_xlfn.XLOOKUP(K526,'Janeiro 2023 - Valor Real'!A3:A15,'Janeiro 2023 - Valor Real'!C3:C15,0))+1)/(((L526-1)*(1-_xlfn.XLOOKUP(K526,'Janeiro 2023 - Valor Real'!A3:A15,'Janeiro 2023 - Valor Real'!C3:C15,0))+1)+((L527/(L527-1)-1)*(1-_xlfn.XLOOKUP(K527,'Janeiro 2023 - Valor Real'!A3:A15,'Janeiro 2023 - Valor Real'!C3:C15,0))+1))),IF(I526="Lay",((L526/(L526-1)-1)*(1-_xlfn.XLOOKUP(K526,'Janeiro 2023 - Valor Real'!A3:A15,'Janeiro 2023 - Valor Real'!C3:C15,0))+1)/((((L526/(L526-1)-1)*(1-_xlfn.XLOOKUP(K526,'Janeiro 2023 - Valor Real'!A3:A15,'Janeiro 2023 - Valor Real'!C3:C15,0))+1))+((L527-1)*(1-_xlfn.XLOOKUP(K527,'Janeiro 2023 - Valor Real'!A3:A15,'Janeiro 2023 - Valor Real'!C3:C15,0))+1)),((L526-1)*(1-_xlfn.XLOOKUP(K526,'Janeiro 2023 - Valor Real'!A3:A15,'Janeiro 2023 - Valor Real'!C3:C15,0))+1)/(((L526-1)*(1-_xlfn.XLOOKUP(K526,'Janeiro 2023 - Valor Real'!A3:A15,'Janeiro 2023 - Valor Real'!C3:C15,0))+1)+((L527-1)*(1-_xlfn.XLOOKUP(K527,'Janeiro 2023 - Valor Real'!A3:A15,'Janeiro 2023 - Valor Real'!C3:C15,0))+1))))))</f>
        <v>0.350839967220791</v>
      </c>
      <c r="AF527" s="132">
        <f>IF($K527=AF$3,ROUND(IF(OR($C527="W",$C527="1/2W",$C527="1/2L"),$P527-$O527,IF($C527="X",0,-$O527)),2),0)</f>
        <v>0</v>
      </c>
      <c r="AG527" s="133">
        <f>IF($K527=AG$3,ROUND(IF(OR($C527="W",$C527="1/2W",$C527="1/2L"),$P527-$O527,IF($C527="X",0,-$O527)),2),0)</f>
        <v>0</v>
      </c>
      <c r="AH527" s="133">
        <f>IF($K527=AH$3,ROUND(IF(OR($C527="W",$C527="1/2W",$C527="1/2L"),$P527-$O527,IF($C527="X",0,-$O527)),2),0)</f>
        <v>0</v>
      </c>
      <c r="AI527" s="133">
        <f>IF($K527=AI$3,ROUND(IF(OR($C527="W",$C527="1/2W",$C527="1/2L"),$P527-$O527,IF($C527="X",0,-$O527)),2),0)</f>
        <v>0</v>
      </c>
      <c r="AJ527" s="133">
        <f>IF($K527=AJ$3,ROUND(IF(OR($C527="W",$C527="1/2W",$C527="1/2L"),$P527-$O527,IF($C527="X",0,-$O527)),2),0)</f>
        <v>0</v>
      </c>
      <c r="AK527" s="133">
        <f>IF($K527=AK$3,ROUND(IF(OR($C527="W",$C527="1/2W",$C527="1/2L"),$P527-$O527,IF($C527="X",0,-$O527)),2),0)</f>
        <v>0</v>
      </c>
      <c r="AL527" s="133">
        <f>IF($K527=AL$3,ROUND(IF(OR($C527="W",$C527="1/2W",$C527="1/2L"),$P527-$O527,IF($C527="X",0,-$O527)),2),0)</f>
        <v>0</v>
      </c>
      <c r="AM527" s="133">
        <f>IF($K527=AM$3,ROUND(IF(OR($C527="W",$C527="1/2W",$C527="1/2L"),$P527-$O527,IF($C527="X",0,-$O527)),2),0)</f>
        <v>0</v>
      </c>
      <c r="AN527" s="133">
        <f>IF($K527=AN$3,ROUND(IF(OR($C527="W",$C527="1/2W",$C527="1/2L"),$P527-$O527,IF($C527="X",0,-$O527)),2),0)</f>
        <v>0</v>
      </c>
      <c r="AO527" s="133">
        <f>IF($K527=AO$3,ROUND(IF(OR($C527="W",$C527="1/2W",$C527="1/2L"),$P527-$O527,IF($C527="X",0,-$O527)),2),0)</f>
        <v>0</v>
      </c>
      <c r="AP527" s="133">
        <f>IF($K527=AP$3,ROUND(IF(OR($C527="W",$C527="1/2W",$C527="1/2L"),$P527-$O527,IF($C527="X",0,-$O527)),2),0)</f>
        <v>0</v>
      </c>
      <c r="AQ527" s="133">
        <f>IF($K527=AQ$3,ROUND(IF(OR($C527="W",$C527="1/2W",$C527="1/2L"),$P527-$O527,IF($C527="X",0,-$O527)),2),0)</f>
        <v>11.87</v>
      </c>
      <c r="AR527" s="134">
        <f>IF($K527=AR$3,ROUND(IF(OR($C527="W",$C527="1/2W",$C527="1/2L"),$P527-$O527,IF($C527="X",0,-$O527)),2),0)</f>
        <v>0</v>
      </c>
      <c r="AS527" s="132">
        <f>IF(AND($B526=" ",$K527=AS$3),$O527,0)</f>
        <v>0</v>
      </c>
      <c r="AT527" s="133">
        <f>IF(AND($B526=" ",K527=AT$3),$O527,0)</f>
        <v>0</v>
      </c>
      <c r="AU527" s="133">
        <f>IF(AND($B526=" ",$K527=AU$3),$O527,0)</f>
        <v>0</v>
      </c>
      <c r="AV527" s="133">
        <f>IF(AND($B526=" ",$K527=AV$3),$O527,0)</f>
        <v>0</v>
      </c>
      <c r="AW527" s="133">
        <f>IF(AND($B526=" ",$K527=AW$3),$O527,0)</f>
        <v>0</v>
      </c>
      <c r="AX527" s="133">
        <f>IF(AND($B526=" ",$K527=AX$3),$O527,0)</f>
        <v>0</v>
      </c>
      <c r="AY527" s="135">
        <f>IF(AND($B526=" ",$K527=AY$3),$O527,0)</f>
        <v>0</v>
      </c>
      <c r="AZ527" s="136">
        <f>IF(AND($B526=" ",$K527=AZ$3),$O527,0)</f>
        <v>0</v>
      </c>
      <c r="BA527" s="136">
        <f>IF(AND($B526=" ",$K527=BA$3),$O527,0)</f>
        <v>0</v>
      </c>
      <c r="BB527" s="136">
        <f>IF(AND($B526=" ",$K527=BB$3),$O527,0)</f>
        <v>0</v>
      </c>
      <c r="BC527" s="137">
        <f>IF(AND($B526=" ",$K527=BC$3),$O527,0)</f>
        <v>0</v>
      </c>
      <c r="BD527" s="133">
        <f>IF(AND($B526=" ",$K527=BD$3),$O527,0)</f>
        <v>0</v>
      </c>
      <c r="BE527" s="134">
        <f>IF(AND($B526=" ",$K527=BE$3),$O527,0)</f>
        <v>0</v>
      </c>
      <c r="BF527" s="132">
        <f>IF($K527=BF$3,IF($C527="X",0,$O527),0)</f>
        <v>0</v>
      </c>
      <c r="BG527" s="281">
        <f>IF($K527=BG$3,IF($C527="X",0,$O527),0)</f>
        <v>0</v>
      </c>
      <c r="BH527" s="133">
        <f>IF($K527=BH$3,IF($C527="X",0,$O527),0)</f>
        <v>0</v>
      </c>
      <c r="BI527" s="133">
        <f>IF($K527=BI$3,IF($C527="X",0,$O527),0)</f>
        <v>0</v>
      </c>
      <c r="BJ527" s="133">
        <f>IF($K527=BJ$3,IF($C527="X",0,$O527),0)</f>
        <v>0</v>
      </c>
      <c r="BK527" s="133">
        <f>IF($K527=BK$3,IF($C527="X",0,$O527),0)</f>
        <v>0</v>
      </c>
      <c r="BL527" s="133">
        <f>IF($K527=BL$3,IF($C527="X",0,$O527),0)</f>
        <v>0</v>
      </c>
      <c r="BM527" s="135">
        <f>IF($K527=BM$3,IF($C527="X",0,$O527),0)</f>
        <v>0</v>
      </c>
      <c r="BN527" s="136">
        <f>IF($K527=BN$3,IF($C527="X",0,$O527),0)</f>
        <v>0</v>
      </c>
      <c r="BO527" s="136">
        <f>IF($K527=BO$3,IF($C527="X",0,$O527),0)</f>
        <v>0</v>
      </c>
      <c r="BP527" s="136">
        <f>IF($K527=BP$3,IF($C527="X",0,$O527),0)</f>
        <v>0</v>
      </c>
      <c r="BQ527" s="137">
        <f>IF($K527=BQ$3,IF($C527="X",0,$O527),0)</f>
        <v>10.6</v>
      </c>
      <c r="BR527" s="134">
        <f>IF($K527=BR$3,IF($C527="X",0,$O527),0)</f>
        <v>0</v>
      </c>
      <c r="BS527" s="282"/>
      <c r="BT527" s="283"/>
      <c r="BU527" s="140"/>
      <c r="BV527" s="283"/>
      <c r="BW527" s="140"/>
      <c r="BX527" s="140"/>
      <c r="BY527" s="140"/>
      <c r="BZ527" s="283"/>
      <c r="CA527" s="140"/>
      <c r="CB527" s="140"/>
      <c r="CC527" s="140"/>
      <c r="CD527" s="141"/>
      <c r="CE527" s="142"/>
      <c r="CF527" s="284">
        <f>IF(CF$3=$K527,IF($C527="W",1,IF($C527="1/2W",0.5,0)),0)</f>
        <v>0</v>
      </c>
      <c r="CG527" s="285">
        <f>IF(CF$3=$K527,IF($C527="L",1,IF($C527="1/2L",0.5,0)),0)</f>
        <v>0</v>
      </c>
      <c r="CH527" s="285">
        <f>IF(CH$3=$K527,IF($C527="W",1,IF($C527="1/2W",0.5,0)),0)</f>
        <v>0</v>
      </c>
      <c r="CI527" s="285">
        <f>IF(CH$3=$K527,IF($C527="L",1,IF($C527="1/2L",0.5,0)),0)</f>
        <v>0</v>
      </c>
      <c r="CJ527" s="285">
        <f>IF(CJ$3=$K527,IF($C527="W",1,IF($C527="1/2W",0.5,0)),0)</f>
        <v>0</v>
      </c>
      <c r="CK527" s="285">
        <f>IF(CJ$3=$K527,IF($C527="L",1,IF($C527="1/2L",0.5,0)),0)</f>
        <v>0</v>
      </c>
      <c r="CL527" s="285">
        <f>IF(CL$3=$K527,IF($C527="W",1,IF($C527="1/2W",0.5,0)),0)</f>
        <v>0</v>
      </c>
      <c r="CM527" s="285">
        <f>IF(CL$3=$K527,IF($C527="L",1,IF($C527="1/2L",0.5,0)),0)</f>
        <v>0</v>
      </c>
      <c r="CN527" s="285">
        <f>IF(CN$3=$K527,IF($C527="W",1,IF($C527="1/2W",0.5,0)),0)</f>
        <v>0</v>
      </c>
      <c r="CO527" s="285">
        <f>IF(CN$3=$K527,IF($C527="L",1,IF($C527="1/2L",0.5,0)),0)</f>
        <v>0</v>
      </c>
      <c r="CP527" s="285">
        <f>IF(CP$3=$K527,IF($C527="W",1,IF($C527="1/2W",0.5,0)),0)</f>
        <v>0</v>
      </c>
      <c r="CQ527" s="285">
        <f>IF(CP$3=$K527,IF($C527="L",1,IF($C527="1/2L",0.5,0)),0)</f>
        <v>0</v>
      </c>
      <c r="CR527" s="285">
        <f>IF(CR$3=$K527,IF($C527="W",1,IF($C527="1/2W",0.5,0)),0)</f>
        <v>0</v>
      </c>
      <c r="CS527" s="285">
        <f>IF(CR$3=$K527,IF($C527="L",1,IF($C527="1/2L",0.5,0)),0)</f>
        <v>0</v>
      </c>
      <c r="CT527" s="145">
        <f>IF(CT$3=$K527,IF($C527="W",1,IF($C527="1/2W",0.5,0)),0)</f>
        <v>0</v>
      </c>
      <c r="CU527" s="146">
        <f>IF(CT$3=$K527,IF($C527="L",1,IF($C527="1/2L",0.5,0)),0)</f>
        <v>0</v>
      </c>
      <c r="CV527" s="146">
        <f>IF(CV$3=$K527,IF($C527="W",1,IF($C527="1/2W",0.5,0)),0)</f>
        <v>0</v>
      </c>
      <c r="CW527" s="146">
        <f>IF(CV$3=$K527,IF($C527="L",1,IF($C527="1/2L",0.5,0)),0)</f>
        <v>0</v>
      </c>
      <c r="CX527" s="146">
        <f>IF(CX$3=$K527,IF($C527="W",1,IF($C527="1/2W",0.5,0)),0)</f>
        <v>0</v>
      </c>
      <c r="CY527" s="146">
        <f>IF(CX$3=$K527,IF($C527="L",1,IF($C527="1/2L",0.5,0)),0)</f>
        <v>0</v>
      </c>
      <c r="CZ527" s="146">
        <f>IF(CZ$3=$K527,IF($C527="W",1,IF($C527="1/2W",0.5,0)),0)</f>
        <v>0</v>
      </c>
      <c r="DA527" s="146">
        <f>IF(CZ$3=$K527,IF($C527="L",1,IF($C527="1/2L",0.5,0)),0)</f>
        <v>0</v>
      </c>
      <c r="DB527" s="146">
        <f>IF(DB$3=$K527,IF($C527="W",1,IF($C527="1/2W",0.5,0)),0)</f>
        <v>1</v>
      </c>
      <c r="DC527" s="146">
        <f>IF(DB$3=$K527,IF($C527="L",1,IF($C527="1/2L",0.5,0)),0)</f>
        <v>0</v>
      </c>
      <c r="DD527" s="146">
        <f>IF(DD$3=$K527,IF($C527="W",1,IF($C527="1/2W",0.5,0)),0)</f>
        <v>0</v>
      </c>
      <c r="DE527" s="147">
        <f>IF(DD$3=$K527,IF($C527="L",1,IF($C527="1/2L",0.5,0)),0)</f>
        <v>0</v>
      </c>
      <c r="DF527" s="143">
        <f>IF(AND(L527&lt;DF$3,$C527="W"),1+DF526,DF526)</f>
        <v>16</v>
      </c>
      <c r="DG527" s="133">
        <f>IF(DF527&gt;DF526,L527+DG526,DG526)</f>
        <v>21.158</v>
      </c>
      <c r="DH527" s="146">
        <f>IF(AND(L527&gt;DH$3,$C527="W"),1+DH526,0+DH526)</f>
        <v>13</v>
      </c>
      <c r="DI527" s="133">
        <f>IF(DH527&gt;DH526,L527+DI526,DI526)</f>
        <v>70.43000000000001</v>
      </c>
      <c r="DJ527" t="s" s="304">
        <f>IF($D526="","",$D526)</f>
        <v>396</v>
      </c>
      <c r="DK527" s="286"/>
    </row>
    <row r="528" ht="14.55" customHeight="1">
      <c r="A528" s="149"/>
      <c r="B528" s="150"/>
      <c r="C528" t="s" s="151">
        <v>56</v>
      </c>
      <c r="D528" s="152"/>
      <c r="E528" s="153"/>
      <c r="F528" s="155"/>
      <c r="G528" s="252"/>
      <c r="H528" s="156"/>
      <c r="I528" t="s" s="347">
        <v>140</v>
      </c>
      <c r="J528" s="348">
        <v>-1</v>
      </c>
      <c r="K528" t="s" s="341">
        <v>48</v>
      </c>
      <c r="L528" s="342">
        <v>7</v>
      </c>
      <c r="M528" s="290">
        <v>8.699999999999999</v>
      </c>
      <c r="N528" s="161"/>
      <c r="O528" s="343">
        <f>IF(OR(AE526="",AE527=""),"",IF(L528&gt;0,ROUND(IF(M528&gt;0,M528,IF(M526&gt;0,ROUND((M526*AE528)/AE526,IF(N526=0,2,IF(N526=0.1,1,0))),IF(M527&gt;0,ROUND((M527*AE528)/AE527,IF(N526=0,2,IF(N526=0.1,1,0))),IF(M528&gt;0,M528,0)))),2),""))</f>
        <v>8.699999999999999</v>
      </c>
      <c r="P528" s="297">
        <f>IF(I527="Lay",O527*(L527/(L527-1))-O527,IF(I526="Lay",O526*(L526/(L526-1))-O526,IF(OR(L528="",O528=""),"",IF($C528="1/2W",O528/2+O528/2*L528,IF($C528="1/2L",O528/2,(O528*L528-O528)*(1-_xlfn.XLOOKUP(K528,'Janeiro 2023 - Valor Real'!A3:A15,'Janeiro 2023 - Valor Real'!C3:C15,0))+O528)))))</f>
        <v>60.9</v>
      </c>
      <c r="Q528" s="344">
        <f>IF(K528="","",IF(_xlfn.XLOOKUP(K528,K$121:K307,DJ$121:DJ307,0,,-1)=DJ528,_xlfn.XLOOKUP(K528,K$121:K307,Q$121:Q307,1,,-1)+1,1))</f>
        <v>1</v>
      </c>
      <c r="R528" s="345">
        <f>IF(K528="","",_xlfn.XLOOKUP(K528,K$121:K307,R$121:R307,0,,-1)+IF($C528=" ",1,0))</f>
        <v>0</v>
      </c>
      <c r="S528" s="166"/>
      <c r="T528" s="155"/>
      <c r="U528" s="155"/>
      <c r="V528" s="166"/>
      <c r="W528" s="155"/>
      <c r="X528" s="167"/>
      <c r="Y528" s="128"/>
      <c r="Z528" s="129"/>
      <c r="AA528" s="129"/>
      <c r="AB528" s="129"/>
      <c r="AC528" s="129"/>
      <c r="AD528" s="168"/>
      <c r="AE528" s="346">
        <f>IF(L528="","",(SUM(((L526-1)*(1-_xlfn.XLOOKUP(K526,'Janeiro 2023 - Valor Real'!A3:A15,'Janeiro 2023 - Valor Real'!C3:C15,0))+1),((L527-1)*(1-_xlfn.XLOOKUP(K527,'Janeiro 2023 - Valor Real'!A3:A15,'Janeiro 2023 - Valor Real'!C3:C15,0))+1),((L528-1)*(1-_xlfn.XLOOKUP(K528,'Janeiro 2023 - Valor Real'!A3:A15,'Janeiro 2023 - Valor Real'!C3:C15,0))+1))/((L528-1)*(1-_xlfn.XLOOKUP(K528,'Janeiro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Real'!C3:C15,0))+1))/((L526-1)*(1-_xlfn.XLOOKUP(K526,'Janeiro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Real'!C3:C15,0))+1))/((L527-1)*(1-_xlfn.XLOOKUP(K527,'Janeiro 2023 - Valor Real'!A3:A15,'Janeiro 2023 - Valor Real'!C3:C15,0))+1)+SUM(((L526-1)*(1-_xlfn.XLOOKUP(K526,'Janeiro 2023 - Valor Real'!A3:A15,'Janeiro 2023 - Valor Real'!C3:C15,0))+1),((L527-1)*(1-_xlfn.XLOOKUP(K527,'Janeiro 2023 - Valor Real'!A3:A15,'Janeiro 2023 - Valor Real'!C3:C15,0))+1),((L528-1)*(1-_xlfn.XLOOKUP(K528,'Janeiro 2023 - Valor Real'!A3:A15,'Janeiro 2023 - Valor Real'!C3:C15,0))+1))/((L528-1)*(1-_xlfn.XLOOKUP(K528,'Janeiro 2023 - Valor Real'!A3:A15,'Janeiro 2023 - Valor Real'!C3:C15,0))+1)))</f>
        <v>0.106254390072583</v>
      </c>
      <c r="AF528" s="132">
        <f>IF($K528=AF$3,ROUND(IF(OR($C528="W",$C528="1/2W",$C528="1/2L"),$P528-$O528,IF($C528="X",0,-$O528)),2),0)</f>
        <v>0</v>
      </c>
      <c r="AG528" s="133">
        <f>IF($K528=AG$3,ROUND(IF(OR($C528="W",$C528="1/2W",$C528="1/2L"),$P528-$O528,IF($C528="X",0,-$O528)),2),0)</f>
        <v>0</v>
      </c>
      <c r="AH528" s="133">
        <f>IF($K528=AH$3,ROUND(IF(OR($C528="W",$C528="1/2W",$C528="1/2L"),$P528-$O528,IF($C528="X",0,-$O528)),2),0)</f>
        <v>0</v>
      </c>
      <c r="AI528" s="133">
        <f>IF($K528=AI$3,ROUND(IF(OR($C528="W",$C528="1/2W",$C528="1/2L"),$P528-$O528,IF($C528="X",0,-$O528)),2),0)</f>
        <v>0</v>
      </c>
      <c r="AJ528" s="133">
        <f>IF($K528=AJ$3,ROUND(IF(OR($C528="W",$C528="1/2W",$C528="1/2L"),$P528-$O528,IF($C528="X",0,-$O528)),2),0)</f>
        <v>0</v>
      </c>
      <c r="AK528" s="133">
        <f>IF($K528=AK$3,ROUND(IF(OR($C528="W",$C528="1/2W",$C528="1/2L"),$P528-$O528,IF($C528="X",0,-$O528)),2),0)</f>
        <v>0</v>
      </c>
      <c r="AL528" s="133">
        <f>IF($K528=AL$3,ROUND(IF(OR($C528="W",$C528="1/2W",$C528="1/2L"),$P528-$O528,IF($C528="X",0,-$O528)),2),0)</f>
        <v>0</v>
      </c>
      <c r="AM528" s="133">
        <f>IF($K528=AM$3,ROUND(IF(OR($C528="W",$C528="1/2W",$C528="1/2L"),$P528-$O528,IF($C528="X",0,-$O528)),2),0)</f>
        <v>0</v>
      </c>
      <c r="AN528" s="133">
        <f>IF($K528=AN$3,ROUND(IF(OR($C528="W",$C528="1/2W",$C528="1/2L"),$P528-$O528,IF($C528="X",0,-$O528)),2),0)</f>
        <v>0</v>
      </c>
      <c r="AO528" s="133">
        <f>IF($K528=AO$3,ROUND(IF(OR($C528="W",$C528="1/2W",$C528="1/2L"),$P528-$O528,IF($C528="X",0,-$O528)),2),0)</f>
        <v>0</v>
      </c>
      <c r="AP528" s="133">
        <f>IF($K528=AP$3,ROUND(IF(OR($C528="W",$C528="1/2W",$C528="1/2L"),$P528-$O528,IF($C528="X",0,-$O528)),2),0)</f>
        <v>0</v>
      </c>
      <c r="AQ528" s="133">
        <f>IF($K528=AQ$3,ROUND(IF(OR($C528="W",$C528="1/2W",$C528="1/2L"),$P528-$O528,IF($C528="X",0,-$O528)),2),0)</f>
        <v>52.2</v>
      </c>
      <c r="AR528" s="134">
        <f>IF($K528=AR$3,ROUND(IF(OR($C528="W",$C528="1/2W",$C528="1/2L"),$P528-$O528,IF($C528="X",0,-$O528)),2),0)</f>
        <v>0</v>
      </c>
      <c r="AS528" s="132">
        <f>IF(AND($B526=" ",$K528=AS$3),$O528,0)</f>
        <v>0</v>
      </c>
      <c r="AT528" s="133">
        <f>IF(AND($B526=" ",K528=AT$3),$O528,0)</f>
        <v>0</v>
      </c>
      <c r="AU528" s="133">
        <f>IF(AND($B526=" ",$K528=AU$3),$O528,0)</f>
        <v>0</v>
      </c>
      <c r="AV528" s="133">
        <f>IF(AND($B526=" ",$K528=AV$3),$O528,0)</f>
        <v>0</v>
      </c>
      <c r="AW528" s="133">
        <f>IF(AND($B526=" ",$K528=AW$3),$O528,0)</f>
        <v>0</v>
      </c>
      <c r="AX528" s="133">
        <f>IF(AND($B526=" ",$K528=AX$3),$O528,0)</f>
        <v>0</v>
      </c>
      <c r="AY528" s="135">
        <f>IF(AND($B526=" ",$K528=AY$3),$O528,0)</f>
        <v>0</v>
      </c>
      <c r="AZ528" s="136">
        <f>IF(AND($B526=" ",$K528=AZ$3),$O528,0)</f>
        <v>0</v>
      </c>
      <c r="BA528" s="136">
        <f>IF(AND($B526=" ",$K528=BA$3),$O528,0)</f>
        <v>0</v>
      </c>
      <c r="BB528" s="136">
        <f>IF(AND($B526=" ",$K528=BB$3),$O528,0)</f>
        <v>0</v>
      </c>
      <c r="BC528" s="137">
        <f>IF(AND($B526=" ",$K528=BC$3),$O528,0)</f>
        <v>0</v>
      </c>
      <c r="BD528" s="133">
        <f>IF(AND($B526=" ",$K528=BD$3),$O528,0)</f>
        <v>0</v>
      </c>
      <c r="BE528" s="134">
        <f>IF(AND($B526=" ",$K528=BE$3),$O528,0)</f>
        <v>0</v>
      </c>
      <c r="BF528" s="132">
        <f>IF($K528=BF$3,IF($C528="X",0,$O528),0)</f>
        <v>0</v>
      </c>
      <c r="BG528" s="281">
        <f>IF($K528=BG$3,IF($C528="X",0,$O528),0)</f>
        <v>0</v>
      </c>
      <c r="BH528" s="133">
        <f>IF($K528=BH$3,IF($C528="X",0,$O528),0)</f>
        <v>0</v>
      </c>
      <c r="BI528" s="133">
        <f>IF($K528=BI$3,IF($C528="X",0,$O528),0)</f>
        <v>0</v>
      </c>
      <c r="BJ528" s="133">
        <f>IF($K528=BJ$3,IF($C528="X",0,$O528),0)</f>
        <v>0</v>
      </c>
      <c r="BK528" s="133">
        <f>IF($K528=BK$3,IF($C528="X",0,$O528),0)</f>
        <v>0</v>
      </c>
      <c r="BL528" s="133">
        <f>IF($K528=BL$3,IF($C528="X",0,$O528),0)</f>
        <v>0</v>
      </c>
      <c r="BM528" s="135">
        <f>IF($K528=BM$3,IF($C528="X",0,$O528),0)</f>
        <v>0</v>
      </c>
      <c r="BN528" s="136">
        <f>IF($K528=BN$3,IF($C528="X",0,$O528),0)</f>
        <v>0</v>
      </c>
      <c r="BO528" s="136">
        <f>IF($K528=BO$3,IF($C528="X",0,$O528),0)</f>
        <v>0</v>
      </c>
      <c r="BP528" s="136">
        <f>IF($K528=BP$3,IF($C528="X",0,$O528),0)</f>
        <v>0</v>
      </c>
      <c r="BQ528" s="137">
        <f>IF($K528=BQ$3,IF($C528="X",0,$O528),0)</f>
        <v>8.699999999999999</v>
      </c>
      <c r="BR528" s="134">
        <f>IF($K528=BR$3,IF($C528="X",0,$O528),0)</f>
        <v>0</v>
      </c>
      <c r="BS528" s="282"/>
      <c r="BT528" s="283"/>
      <c r="BU528" s="140"/>
      <c r="BV528" s="283"/>
      <c r="BW528" s="140"/>
      <c r="BX528" s="140"/>
      <c r="BY528" s="140"/>
      <c r="BZ528" s="283"/>
      <c r="CA528" s="140"/>
      <c r="CB528" s="140"/>
      <c r="CC528" s="140"/>
      <c r="CD528" s="141"/>
      <c r="CE528" s="142"/>
      <c r="CF528" s="284">
        <f>IF(CF$3=$K528,IF($C528="W",1,IF($C528="1/2W",0.5,0)),0)</f>
        <v>0</v>
      </c>
      <c r="CG528" s="285">
        <f>IF(CF$3=$K528,IF($C528="L",1,IF($C528="1/2L",0.5,0)),0)</f>
        <v>0</v>
      </c>
      <c r="CH528" s="285">
        <f>IF(CH$3=$K528,IF($C528="W",1,IF($C528="1/2W",0.5,0)),0)</f>
        <v>0</v>
      </c>
      <c r="CI528" s="285">
        <f>IF(CH$3=$K528,IF($C528="L",1,IF($C528="1/2L",0.5,0)),0)</f>
        <v>0</v>
      </c>
      <c r="CJ528" s="285">
        <f>IF(CJ$3=$K528,IF($C528="W",1,IF($C528="1/2W",0.5,0)),0)</f>
        <v>0</v>
      </c>
      <c r="CK528" s="285">
        <f>IF(CJ$3=$K528,IF($C528="L",1,IF($C528="1/2L",0.5,0)),0)</f>
        <v>0</v>
      </c>
      <c r="CL528" s="285">
        <f>IF(CL$3=$K528,IF($C528="W",1,IF($C528="1/2W",0.5,0)),0)</f>
        <v>0</v>
      </c>
      <c r="CM528" s="285">
        <f>IF(CL$3=$K528,IF($C528="L",1,IF($C528="1/2L",0.5,0)),0)</f>
        <v>0</v>
      </c>
      <c r="CN528" s="285">
        <f>IF(CN$3=$K528,IF($C528="W",1,IF($C528="1/2W",0.5,0)),0)</f>
        <v>0</v>
      </c>
      <c r="CO528" s="285">
        <f>IF(CN$3=$K528,IF($C528="L",1,IF($C528="1/2L",0.5,0)),0)</f>
        <v>0</v>
      </c>
      <c r="CP528" s="285">
        <f>IF(CP$3=$K528,IF($C528="W",1,IF($C528="1/2W",0.5,0)),0)</f>
        <v>0</v>
      </c>
      <c r="CQ528" s="285">
        <f>IF(CP$3=$K528,IF($C528="L",1,IF($C528="1/2L",0.5,0)),0)</f>
        <v>0</v>
      </c>
      <c r="CR528" s="285">
        <f>IF(CR$3=$K528,IF($C528="W",1,IF($C528="1/2W",0.5,0)),0)</f>
        <v>0</v>
      </c>
      <c r="CS528" s="285">
        <f>IF(CR$3=$K528,IF($C528="L",1,IF($C528="1/2L",0.5,0)),0)</f>
        <v>0</v>
      </c>
      <c r="CT528" s="145">
        <f>IF(CT$3=$K528,IF($C528="W",1,IF($C528="1/2W",0.5,0)),0)</f>
        <v>0</v>
      </c>
      <c r="CU528" s="146">
        <f>IF(CT$3=$K528,IF($C528="L",1,IF($C528="1/2L",0.5,0)),0)</f>
        <v>0</v>
      </c>
      <c r="CV528" s="146">
        <f>IF(CV$3=$K528,IF($C528="W",1,IF($C528="1/2W",0.5,0)),0)</f>
        <v>0</v>
      </c>
      <c r="CW528" s="146">
        <f>IF(CV$3=$K528,IF($C528="L",1,IF($C528="1/2L",0.5,0)),0)</f>
        <v>0</v>
      </c>
      <c r="CX528" s="146">
        <f>IF(CX$3=$K528,IF($C528="W",1,IF($C528="1/2W",0.5,0)),0)</f>
        <v>0</v>
      </c>
      <c r="CY528" s="146">
        <f>IF(CX$3=$K528,IF($C528="L",1,IF($C528="1/2L",0.5,0)),0)</f>
        <v>0</v>
      </c>
      <c r="CZ528" s="146">
        <f>IF(CZ$3=$K528,IF($C528="W",1,IF($C528="1/2W",0.5,0)),0)</f>
        <v>0</v>
      </c>
      <c r="DA528" s="146">
        <f>IF(CZ$3=$K528,IF($C528="L",1,IF($C528="1/2L",0.5,0)),0)</f>
        <v>0</v>
      </c>
      <c r="DB528" s="146">
        <f>IF(DB$3=$K528,IF($C528="W",1,IF($C528="1/2W",0.5,0)),0)</f>
        <v>1</v>
      </c>
      <c r="DC528" s="146">
        <f>IF(DB$3=$K528,IF($C528="L",1,IF($C528="1/2L",0.5,0)),0)</f>
        <v>0</v>
      </c>
      <c r="DD528" s="146">
        <f>IF(DD$3=$K528,IF($C528="W",1,IF($C528="1/2W",0.5,0)),0)</f>
        <v>0</v>
      </c>
      <c r="DE528" s="147">
        <f>IF(DD$3=$K528,IF($C528="L",1,IF($C528="1/2L",0.5,0)),0)</f>
        <v>0</v>
      </c>
      <c r="DF528" s="143">
        <f>IF(AND(L528&lt;DF$3,$C528="W"),1+DF527,DF527)</f>
        <v>16</v>
      </c>
      <c r="DG528" s="133">
        <f>IF(DF528&gt;DF527,L528+DG527,DG527)</f>
        <v>21.158</v>
      </c>
      <c r="DH528" s="146">
        <f>IF(AND(L528&gt;DH$3,$C528="W"),1+DH527,0+DH527)</f>
        <v>14</v>
      </c>
      <c r="DI528" s="133">
        <f>IF(DH528&gt;DH527,L528+DI527,DI527)</f>
        <v>77.43000000000001</v>
      </c>
      <c r="DJ528" t="s" s="304">
        <f>IF($D526="","",$D526)</f>
        <v>396</v>
      </c>
      <c r="DK528" s="286"/>
    </row>
    <row r="529" ht="14.55" customHeight="1">
      <c r="A529" s="171">
        <f>$A526+1</f>
        <v>176</v>
      </c>
      <c r="B529" t="s" s="172">
        <f>IF(AND(_xlfn.XLOOKUP(H529,H$122:H302,G$122:G302,0)=G529,_xlfn.XLOOKUP("TempoBet",K529:K531,L529:L531,0)&gt;0),"X",IF(OR(C529="W",C530="W",C531="W",C529="1/2W",C530="1/2W",C531="1/2W",C529="1/2L",C530="1/2L",C531="1/2L"),"OK",IF(OR(C529="L",C530="L",C531="L"),"LOSS",IF(OR(C529="X",C530="X",C531="X"),"Anulado"," "))))</f>
        <v>50</v>
      </c>
      <c r="C529" t="s" s="173">
        <v>51</v>
      </c>
      <c r="D529" t="s" s="305">
        <f>IF(G529="","",$D526)</f>
        <v>396</v>
      </c>
      <c r="E529" t="s" s="175">
        <f>IF(G529=""," ","– "&amp;COUNTIF(D$4:D531,$D529))</f>
        <v>111</v>
      </c>
      <c r="F529" t="s" s="176">
        <f>IF(G529="","",IF(OR(AND($C529&lt;&gt;" ",$C530=" "),AND($C530&lt;&gt;" ",$C529=" "),AND(L531&gt;0,OR(AND($C531&lt;&gt;" ",OR($C529=" ",$C530=" ")),AND($C531=" ",OR($C529&lt;&gt;" ",$C530&lt;&gt;" "))))),IF(SUM(F$4:F528)=0,1,LARGE(F$4:F528,1)+1),IF(MONTH(G529)=MONTH(TODAY()),IF(AND(DAY(G529)&lt;DAY(TODAY()),$B529=" "),IF(SUM(F$4:F528)=0,1,LARGE(F$4:F528,1)+1),IF($B529=" ",IF(AND(DAY(G529)=DAY(TODAY()),HOUR(G529)&lt;=HOUR(NOW())+1),IF(AND(HOUR(G529)+2&lt;=HOUR(NOW()),DAY(G529)&lt;=DAY(TODAY()),MINUTE(G529)&lt;=MINUTE(NOW())),IF(SUM(F$4:F528)=0,1,LARGE(F$4:F528,1)+1),IF(OR(MINUTE(G529)&lt;=MINUTE(NOW()),HOUR(G529)&lt;=HOUR(NOW())),"!!!","")),""),"")),"")))</f>
      </c>
      <c r="G529" s="177">
        <v>44953.645833333336</v>
      </c>
      <c r="H529" t="s" s="178">
        <v>399</v>
      </c>
      <c r="I529" t="s" s="179">
        <v>65</v>
      </c>
      <c r="J529" s="291">
        <v>5.75</v>
      </c>
      <c r="K529" t="s" s="181">
        <v>48</v>
      </c>
      <c r="L529" s="182">
        <v>2.55</v>
      </c>
      <c r="M529" s="183">
        <v>17.05</v>
      </c>
      <c r="N529" s="184">
        <v>0</v>
      </c>
      <c r="O529" s="185">
        <f>IF(OR(AE529="",AE530=""),"",ROUND(IF(L531&gt;0,IF(M529&gt;0,M529,IF(M530&gt;0,ROUND((M530*AE529)/AE530,IF(N529=0,2,IF(N529=0.1,1,0))),ROUND((M531*AE529)/AE531,IF(N529=0,2,IF(N529=0.1,1,0))))),IF(M529&gt;0,M529,ROUND((M530*AE529)/AE530,IF(N529=0,2,IF(N529=0.1,1,0))))),2))</f>
        <v>17.05</v>
      </c>
      <c r="P529" s="186">
        <f>IF(OR(L529="",O529=""),"",IF($C529="1/2W",O529/2+O529/2*L529,IF($C529="1/2L",O529/2,IF(I529="Lay",(O529*(L529/(L529-1))-O529)*(1-_xlfn.XLOOKUP(K529,'Janeiro 2023 - Valor Real'!A3:A15,'Janeiro 2023 - Valor Real'!C3:C15,0))+O529,(O529*L529-O529)*(1-_xlfn.XLOOKUP(K529,'Janeiro 2023 - Valor Real'!A3:A15,'Janeiro 2023 - Valor Real'!C3:C15,0))+O529))))</f>
        <v>43.4775</v>
      </c>
      <c r="Q529" s="187">
        <f>IF(K529="","",IF(_xlfn.XLOOKUP(K529,K$122:K302,DJ$122:DJ302,0,,-1)=DJ529,_xlfn.XLOOKUP(K529,K$122:K302,Q$122:Q302,1,,-1)+1,1))</f>
        <v>1</v>
      </c>
      <c r="R529" s="188">
        <f>IF(K529="","",_xlfn.XLOOKUP(K529,K$122:K302,R$122:R302,0,,-1)+IF($C529=" ",1,0))</f>
        <v>0</v>
      </c>
      <c r="S529" s="189">
        <f>IF($B529="Anulado",0,ROUND(IF(OR($B529="LOSS",$B529="OK"),IF(OR($C529="W",$C529="1/2W",$C529="1/2L"),P529-O529,IF($C529="L",-O529,0))+IF(OR($C530="W",$C530="1/2W",$C530="1/2L"),P530-O530,IF($C530="L",-O530,0))+IF(OR($C531="W",$C531="1/2W",$C531="1/2L"),P531-O531,IF($C531="L",-O531,0)),IF(AND(OR($C529="W",$C529="1/2W",$C529="1/2L"),C530="W"),P529+P530-SUM(O529:O531)+_xlfn.XLOOKUP("X",C529:C531,O529:O531,0),IF(AND(C529=TRUE,C531="W"),P529+P531-SUM(O529:O531),IF(AND(C530="W",C531="W"),P530+P531-SUM(O529:O531)+_xlfn.XLOOKUP("X",C529:C531,O529:O531,0),IF(L531&gt;0,IF(OR($C529="W",$C529="1/2W",$C529="1/2L"),P529-SUM(O529:O531)+_xlfn.XLOOKUP("X",C529:C531,O529:O531,0),IF(OR($C529="W",$C529="1/2W",$C529="1/2L"),P530-SUM(O529:O531)+_xlfn.XLOOKUP("X",C529:C531,O529:O531,0),IF(OR($C529="W",$C529="1/2W",$C529="1/2L"),P531-SUM(O529:O531)+_xlfn.XLOOKUP("X",C529:C531,O529:O531,0),IF(SUM(P529:P531)/3-SUM(O529:O531)+_xlfn.XLOOKUP("X",C529:C531,O529:O531,0)&gt;0,SUM(P529:P531)/3-SUM(O529:O531)+_xlfn.XLOOKUP("X",C529:C531,O529:O531,0),LARGE(P529:P531,1)-SUM(O529:O531))))),IF(OR($C529="W",$C529="1/2W",$C529="1/2L"),P529-SUM(O529:O530)+_xlfn.XLOOKUP("X",C529:C531,O529:O531,0),IF(OR($C529="W",$C529="1/2W",$C529="1/2L"),P530-SUM(O529:O530)+_xlfn.XLOOKUP("X",C529:C531,O529:O531,0),SUM(P529:P530)/2-SUM(O529:O530)+_xlfn.XLOOKUP("X",C529:C531,O529:O531,0)))))))),2))</f>
        <v>2.4</v>
      </c>
      <c r="T529" s="190">
        <f>IF(S529=0,0,S529/SUM(O529:O531))</f>
        <v>0.0583941605839416</v>
      </c>
      <c r="U529" s="191">
        <f>IF($D529=$D526,IF(OR($B529="LOSS",$B529="OK",$B529="Anulada"),S529,0)+U526,IF(OR($B529="LOSS",$B529="OK",$B529="Anulada"),S529,0))</f>
        <v>16.92</v>
      </c>
      <c r="V529" s="191">
        <f>IF($D529="",0,IF($D529=$D526,IF($B529=" ",IF(I531="",IF(OR(AND(I529="DNB1",I530="DNB2"),AND(OR(I529="DNB1",I529="DNB2"),J530=0),AND(OR(I530="DNB1",I530="DNB2"),J529=0),AND(I529="DNB2",I530="DNB1"),AND(IF(J529=0,(J529+1)/ROUND(J529+1,0),J529/ROUND(J529,0))=1,IF(J530=0,(J530+1)/ROUND(IF(J530="",0,J530)+1,0),IF(J530="",0,J530)/ROUND(IF(J530="",1,J530),0))=1,OR(J529&lt;&gt;""),J530&lt;&gt;"")),0,IF(S529&lt;0,IF(I531="",SMALL(P529:P530,1)-SUM(O529:O530),0),SMALL(P529:P530,1)-SUM(O529:O530))),IF(S529&lt;0,IF(I531="",SMALL(P529:P531,1)-SUM(O529:O531),0),LARGE(P529:P531,1)-SUM(O529:O531))),S529)+V526,IF(I531="",IF(OR(AND(I529="DNB1",I530="DNB2"),AND(OR(I529="DNB1",I529="DNB2"),J530=0),AND(OR(I530="DNB1",I530="DNB2"),J529=0),AND(I529="DNB2",I530="DNB1"),AND(IF(J529=0,(J529+1)/ROUND(J529+1,0),J529/ROUND(J529,0))=1,IF(J530=0,(IF(J530="",0,J530)+1)/ROUND(IF(J530="",0,J530)+1,0),IF(J530="",0,J530)/ROUND(IF(J530="",0,J530)+1,0))=1,OR(J529&lt;&gt;""),J530&lt;&gt;"")),0,IF(S529&lt;0,IF(I531="",SMALL(P529:P530,1)-SUM(O529:O530),0),SMALL(P529:P531,1)-SUM(O529:O531))),IF(S529&lt;0,IF(I531="",SMALL(P529:P531,1)-SUM(O529:O531),0),LARGE(P529:P531,1)-SUM(O529:O531)))))</f>
        <v>16.92</v>
      </c>
      <c r="W529" s="191">
        <f>IF($D529=$D526,IF(S529&lt;0,IF(I531="",S529,0),S529)+W526,S529)</f>
        <v>16.92</v>
      </c>
      <c r="X529" t="s" s="192">
        <f>IF(OR(SUM(R529:R531)=0,V529=W529),ROUND(IF(W529=0,0,W529/Y529)*100,2)&amp;"%",ROUND(IF(V529=0,0,V529/Y529)*100,2)&amp;"% a "&amp;ROUND(IF(W529=0,0,W529/Y529)*100,2)&amp;"%")</f>
        <v>405</v>
      </c>
      <c r="Y529" s="193">
        <f>IF($D529=$D526,Y526+SUM(O529:O531),SUM(O529:O531))</f>
        <v>405.02</v>
      </c>
      <c r="Z529" s="191">
        <f>IF($B529=" ",SUM(O529:O531),0)+Z526</f>
        <v>0</v>
      </c>
      <c r="AA529" s="191">
        <f>IF(G529="","",IF($B529="Anulado",LARGE(P529:P531,1)-SUM(O529:O531)+AA526,AA526))</f>
        <v>24.9665076923077</v>
      </c>
      <c r="AB529" s="191">
        <f>IF($D529="","",AB526+S529)</f>
        <v>356.16</v>
      </c>
      <c r="AC529" s="194">
        <f>IF($D529="","",IF($B529=" ",IF(DAY(G529)=DAY(TODAY()),1+AC526,0+AC526),0+AC526))</f>
        <v>0</v>
      </c>
      <c r="AD529" s="195">
        <f>(((L530/(L530-1)-1)*(1-_xlfn.XLOOKUP(K530,'Janeiro 2023 - Valor Real'!A3:A15,'Janeiro 2023 - Valor Real'!C3:C15,0))+1))/(((L529-1)*(1-_xlfn.XLOOKUP(K529,'Janeiro 2023 - Valor Real'!A3:A15,'Janeiro 2023 - Valor Real'!C3:C15,0))+1)+((L530/(L530-1)-1)*(1-_xlfn.XLOOKUP(K530,'Janeiro 2023 - Valor Real'!A3:A15,'Janeiro 2023 - Valor Real'!C3:C15,0))+1))</f>
        <v>0.496559976069399</v>
      </c>
      <c r="AE529" s="196">
        <f>IF(L529="","",IF(L531&gt;0,(SUM(((L529-1)*(1-_xlfn.XLOOKUP(K529,'Janeiro 2023 - Valor Real'!A3:A15,'Janeiro 2023 - Valor Real'!C3:C15,0))+1),((L530-1)*(1-_xlfn.XLOOKUP(K530,'Janeiro 2023 - Valor Real'!A3:A15,'Janeiro 2023 - Valor Real'!C3:C15,0))+1),((L531-1)*(1-_xlfn.XLOOKUP(K531,'Janeiro 2023 - Valor Real'!A3:A15,'Janeiro 2023 - Valor Real'!C3:C15,0))+1))/((L529-1)*(1-_xlfn.XLOOKUP(K529,'Janeiro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Real'!C3:C15,0))+1))/((L529-1)*(1-_xlfn.XLOOKUP(K529,'Janeiro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Real'!C3:C15,0))+1))/((L530-1)*(1-_xlfn.XLOOKUP(K530,'Janeiro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Real'!C3:C15,0))+1))/((L531-1)*(1-_xlfn.XLOOKUP(K531,'Janeiro 2023 - Valor Real'!A3:A15,'Janeiro 2023 - Valor Real'!C3:C15,0))+1)),IF(I529="Lay",IF(I530="Lay",((L530/(L530-1)-1)*(1-_xlfn.XLOOKUP(K530,'Janeiro 2023 - Valor Real'!A3:A15,'Janeiro 2023 - Valor Real'!C3:C15,0))+1)/(((L530/(L530-1)-1)*(1-_xlfn.XLOOKUP(K530,'Janeiro 2023 - Valor Real'!A3:A15,'Janeiro 2023 - Valor Real'!C3:C15,0))+1)+((L529/(L529-1)-1)*(1-_xlfn.XLOOKUP(K529,'Janeiro 2023 - Valor Real'!A3:A15,'Janeiro 2023 - Valor Real'!C3:C15,0))+1)),((L530-1)*(1-_xlfn.XLOOKUP(K530,'Janeiro 2023 - Valor Real'!A3:A15,'Janeiro 2023 - Valor Real'!C3:C15,0))+1)/(((L530-1)*(1-_xlfn.XLOOKUP(K530,'Janeiro 2023 - Valor Real'!A3:A15,'Janeiro 2023 - Valor Real'!C3:C15,0))+1)+((L529/(L529-1)-1)*(1-_xlfn.XLOOKUP(K529,'Janeiro 2023 - Valor Real'!A3:A15,'Janeiro 2023 - Valor Real'!C3:C15,0))+1))),IF(I530="Lay",(((L530/(L530-1)-1)*(1-_xlfn.XLOOKUP(K530,'Janeiro 2023 - Valor Real'!A3:A15,'Janeiro 2023 - Valor Real'!C3:C15,0))+1))/(((L529-1)*(1-_xlfn.XLOOKUP(K529,'Janeiro 2023 - Valor Real'!A3:A15,'Janeiro 2023 - Valor Real'!C3:C15,0))+1)+((L530/(L530-1)-1)*(1-_xlfn.XLOOKUP(K530,'Janeiro 2023 - Valor Real'!A3:A15,'Janeiro 2023 - Valor Real'!C3:C15,0))+1)),((L530-1)*(1-_xlfn.XLOOKUP(K530,'Janeiro 2023 - Valor Real'!A3:A15,'Janeiro 2023 - Valor Real'!C3:C15,0))+1)/(((L530-1)*(1-_xlfn.XLOOKUP(K530,'Janeiro 2023 - Valor Real'!A3:A15,'Janeiro 2023 - Valor Real'!C3:C15,0))+1)+((L529-1)*(1-_xlfn.XLOOKUP(K529,'Janeiro 2023 - Valor Real'!A3:A15,'Janeiro 2023 - Valor Real'!C3:C15,0))+1))))))</f>
        <v>0.261947997367357</v>
      </c>
      <c r="AF529" s="197">
        <f>IF($K529=AF$3,ROUND(IF(OR($C529="W",$C529="1/2W",$C529="1/2L"),$P529-$O529,IF($C529="X",0,-$O529)),2),0)</f>
        <v>0</v>
      </c>
      <c r="AG529" s="198">
        <f>IF($K529=AG$3,ROUND(IF(OR($C529="W",$C529="1/2W",$C529="1/2L"),$P529-$O529,IF($C529="X",0,-$O529)),2),0)</f>
        <v>0</v>
      </c>
      <c r="AH529" s="198">
        <f>IF($K529=AH$3,ROUND(IF(OR($C529="W",$C529="1/2W",$C529="1/2L"),$P529-$O529,IF($C529="X",0,-$O529)),2),0)</f>
        <v>0</v>
      </c>
      <c r="AI529" s="198">
        <f>IF($K529=AI$3,ROUND(IF(OR($C529="W",$C529="1/2W",$C529="1/2L"),$P529-$O529,IF($C529="X",0,-$O529)),2),0)</f>
        <v>0</v>
      </c>
      <c r="AJ529" s="198">
        <f>IF($K529=AJ$3,ROUND(IF(OR($C529="W",$C529="1/2W",$C529="1/2L"),$P529-$O529,IF($C529="X",0,-$O529)),2),0)</f>
        <v>0</v>
      </c>
      <c r="AK529" s="198">
        <f>IF($K529=AK$3,ROUND(IF(OR($C529="W",$C529="1/2W",$C529="1/2L"),$P529-$O529,IF($C529="X",0,-$O529)),2),0)</f>
        <v>0</v>
      </c>
      <c r="AL529" s="198">
        <f>IF($K529=AL$3,ROUND(IF(OR($C529="W",$C529="1/2W",$C529="1/2L"),$P529-$O529,IF($C529="X",0,-$O529)),2),0)</f>
        <v>0</v>
      </c>
      <c r="AM529" s="198">
        <f>IF($K529=AM$3,ROUND(IF(OR($C529="W",$C529="1/2W",$C529="1/2L"),$P529-$O529,IF($C529="X",0,-$O529)),2),0)</f>
        <v>0</v>
      </c>
      <c r="AN529" s="198">
        <f>IF($K529=AN$3,ROUND(IF(OR($C529="W",$C529="1/2W",$C529="1/2L"),$P529-$O529,IF($C529="X",0,-$O529)),2),0)</f>
        <v>0</v>
      </c>
      <c r="AO529" s="198">
        <f>IF($K529=AO$3,ROUND(IF(OR($C529="W",$C529="1/2W",$C529="1/2L"),$P529-$O529,IF($C529="X",0,-$O529)),2),0)</f>
        <v>0</v>
      </c>
      <c r="AP529" s="198">
        <f>IF($K529=AP$3,ROUND(IF(OR($C529="W",$C529="1/2W",$C529="1/2L"),$P529-$O529,IF($C529="X",0,-$O529)),2),0)</f>
        <v>0</v>
      </c>
      <c r="AQ529" s="198">
        <f>IF($K529=AQ$3,ROUND(IF(OR($C529="W",$C529="1/2W",$C529="1/2L"),$P529-$O529,IF($C529="X",0,-$O529)),2),0)</f>
        <v>-17.05</v>
      </c>
      <c r="AR529" s="199">
        <f>IF($K529=AR$3,ROUND(IF(OR($C529="W",$C529="1/2W",$C529="1/2L"),$P529-$O529,IF($C529="X",0,-$O529)),2),0)</f>
        <v>0</v>
      </c>
      <c r="AS529" s="197">
        <f>IF(AND($B529=" ",$K529=AS$3),$O529,0)</f>
        <v>0</v>
      </c>
      <c r="AT529" s="198">
        <f>IF(AND($B529=" ",$K529=AT$3),$O529,0)</f>
        <v>0</v>
      </c>
      <c r="AU529" s="198">
        <f>IF(AND($B529=" ",$K529=AU$3),$O529,0)</f>
        <v>0</v>
      </c>
      <c r="AV529" s="198">
        <f>IF(AND($B529=" ",$K529=AV$3),$O529,0)</f>
        <v>0</v>
      </c>
      <c r="AW529" s="198">
        <f>IF(AND($B529=" ",$K529=AW$3),$O529,0)</f>
        <v>0</v>
      </c>
      <c r="AX529" s="198">
        <f>IF(AND($B529=" ",$K529=AX$3),$O529,0)</f>
        <v>0</v>
      </c>
      <c r="AY529" s="200">
        <f>IF(AND($B529=" ",$K529=AY$3),$O529,0)</f>
        <v>0</v>
      </c>
      <c r="AZ529" s="201">
        <f>IF(AND($B529=" ",$K529=AZ$3),$O529,0)</f>
        <v>0</v>
      </c>
      <c r="BA529" s="201">
        <f>IF(AND($B529=" ",$K529=BA$3),$O529,0)</f>
        <v>0</v>
      </c>
      <c r="BB529" s="201">
        <f>IF(AND($B529=" ",$K529=BB$3),$O529,0)</f>
        <v>0</v>
      </c>
      <c r="BC529" s="202">
        <f>IF(AND($B529=" ",$K529=BC$3),$O529,0)</f>
        <v>0</v>
      </c>
      <c r="BD529" s="198">
        <f>IF(AND($B529=" ",$K529=BD$3),$O529,0)</f>
        <v>0</v>
      </c>
      <c r="BE529" s="199">
        <f>IF(AND($B529=" ",$K529=BE$3),$O529,0)</f>
        <v>0</v>
      </c>
      <c r="BF529" s="203">
        <f>IF($K529=BF$3,IF($C529="X",0,$O529),0)</f>
        <v>0</v>
      </c>
      <c r="BG529" s="198">
        <f>IF($K529=BG$3,IF($C529="X",0,$O529),0)</f>
        <v>0</v>
      </c>
      <c r="BH529" s="198">
        <f>IF($K529=BH$3,IF($C529="X",0,$O529),0)</f>
        <v>0</v>
      </c>
      <c r="BI529" s="198">
        <f>IF($K529=BI$3,IF($C529="X",0,$O529),0)</f>
        <v>0</v>
      </c>
      <c r="BJ529" s="198">
        <f>IF($K529=BJ$3,IF($C529="X",0,$O529),0)</f>
        <v>0</v>
      </c>
      <c r="BK529" s="198">
        <f>IF($K529=BK$3,IF($C529="X",0,$O529),0)</f>
        <v>0</v>
      </c>
      <c r="BL529" s="198">
        <f>IF($K529=BL$3,IF($C529="X",0,$O529),0)</f>
        <v>0</v>
      </c>
      <c r="BM529" s="200">
        <f>IF($K529=BM$3,IF($C529="X",0,$O529),0)</f>
        <v>0</v>
      </c>
      <c r="BN529" s="201">
        <f>IF($K529=BN$3,IF($C529="X",0,$O529),0)</f>
        <v>0</v>
      </c>
      <c r="BO529" s="201">
        <f>IF($K529=BO$3,IF($C529="X",0,$O529),0)</f>
        <v>0</v>
      </c>
      <c r="BP529" s="201">
        <f>IF($K529=BP$3,IF($C529="X",0,$O529),0)</f>
        <v>0</v>
      </c>
      <c r="BQ529" s="202">
        <f>IF($K529=BQ$3,IF($C529="X",0,$O529),0)</f>
        <v>17.05</v>
      </c>
      <c r="BR529" s="199">
        <f>IF($K529=BR$3,IF($C529="X",0,$O529),0)</f>
        <v>0</v>
      </c>
      <c r="BS529" s="204">
        <f>IF($B529="LOSS",IF(AND($K529=BS$3,$C529="L"),-$O529,0)+IF(AND($K530=BS$3,$C530="L"),-$O530,0)+IF(AND($K531=BS$3,$C531="L"),-$O531,0),IF(OR(AND($K529=BS$3,OR($C529="W",$C529="1/2W")),AND($K530=BS$3,OR($C530="W",$C530="1/2W")),AND($K531=BS$3,OR($C531="W",$C531="1/2W"))),$S529,0))</f>
        <v>0</v>
      </c>
      <c r="BT529" s="201">
        <f>IF($B529="LOSS",IF(AND($K529=BT$3,$C529="L"),-$O529,0)+IF(AND($K530=BT$3,$C530="L"),-$O530,0)+IF(AND($K530=BT$3,$C531="L"),-$O531,0),IF(OR(AND($K530=BT$3,OR($C529="W",$C529="1/2W")),AND($K530=BT$3,OR($C530="W",$C530="1/2W")),AND($K530=BT$3,OR($C531="W",$C531="1/2W"))),$S529,0))</f>
        <v>0</v>
      </c>
      <c r="BU529" s="201">
        <f>IF($B529="LOSS",IF(AND($K529=BU$3,$C529="L"),-$O529,0)+IF(AND($K530=BU$3,$C530="L"),-$O530,0)+IF(AND($K530=BU$3,$C531="L"),-$O531,0),IF(OR(AND($K530=BU$3,OR($C529="W",$C529="1/2W")),AND($K530=BU$3,OR($C530="W",$C530="1/2W")),AND($K530=BU$3,OR($C531="W",$C531="1/2W"))),$S529,0))</f>
        <v>0</v>
      </c>
      <c r="BV529" s="201">
        <f>IF($B529="LOSS",IF(AND($K529=BV$3,$C529="L"),-$O529,0)+IF(AND($K530=BV$3,$C530="L"),-$O530,0)+IF(AND($K531=BV$3,$C531="L"),-$O531,0),IF(OR(AND($K529=BV$3,OR($C529="W",$C529="1/2W")),AND($K530=BV$3,OR($C530="W",$C530="1/2W")),AND($K531=BV$3,OR($C531="W",$C531="1/2W"))),$S529,0))</f>
        <v>0</v>
      </c>
      <c r="BW529" s="201">
        <f>IF($B529="LOSS",IF(AND($K529=BW$3,$C529="L"),-$O529,0)+IF(AND($K530=BW$3,$C530="L"),-$O530,0)+IF(AND($K531=BW$3,$C531="L"),-$O531,0),IF(OR(AND($K529=BW$3,OR($C529="W",$C529="1/2W")),AND($K530=BW$3,OR($C530="W",$C530="1/2W")),AND($K531=BW$3,OR($C531="W",$C531="1/2W"))),$S529,0))</f>
        <v>2.4</v>
      </c>
      <c r="BX529" s="201">
        <f>IF($B529="LOSS",IF(AND($K529=BX$3,$C529="L"),-$O529,0)+IF(AND($K530=BX$3,$C530="L"),-$O530,0)+IF(AND($K531=BX$3,$C531="L"),-$O531,0),IF(OR(AND($K529=BX$3,OR($C529="W",$C529="1/2W")),AND($K530=BX$3,OR($C530="W",$C530="1/2W")),AND($K531=BX$3,OR($C531="W",$C531="1/2W"))),$S529,0))</f>
        <v>0</v>
      </c>
      <c r="BY529" s="201">
        <f>IF($B529="LOSS",IF(AND($K529=BY$3,$C529="L"),-$O529,0)+IF(AND($K530=BY$3,$C530="L"),-$O530,0)+IF(AND($K531=BY$3,$C531="L"),-$O531,0),IF(OR(AND($K529=BY$3,OR($C529="W",$C529="1/2W")),AND($K530=BY$3,OR($C530="W",$C530="1/2W")),AND($K531=BY$3,OR($C531="W",$C531="1/2W"))),$S529,0))</f>
        <v>0</v>
      </c>
      <c r="BZ529" s="205">
        <f>IF($B529="LOSS",IF(AND($K529=BZ$3,$C529="L"),-$O529,0)+IF(AND($K530=BZ$3,$C530="L"),-$O530,0)+IF(AND($K531=BZ$3,$C531="L"),-$O531,0),IF(OR(AND($K529=BZ$3,OR($C529="W",$C529="1/2W")),AND($K530=BZ$3,OR($C530="W",$C530="1/2W")),AND($K531=BZ$3,OR($C531="W",$C531="1/2W"))),$S529,0))</f>
        <v>0</v>
      </c>
      <c r="CA529" s="205">
        <f>IF($B529="LOSS",IF(AND($K529=CA$3,$C529="L"),-$O529,0)+IF(AND($K530=CA$3,$C530="L"),-$O530,0)+IF(AND($K531=CA$3,$C531="L"),-$O531,0),IF(OR(AND($K529=CA$3,OR($C529="W",$C529="1/2W")),AND($K530=CA$3,OR($C530="W",$C530="1/2W")),AND($K531=CA$3,OR($C531="W",$C531="1/2W"))),$S529,0))</f>
        <v>0</v>
      </c>
      <c r="CB529" s="205">
        <f>IF($B529="LOSS",IF(AND($K529=CB$3,$C529="L"),-$O529,0)+IF(AND($K530=CB$3,$C530="L"),-$O530,0)+IF(AND($K531=CB$3,$C531="L"),-$O531,0),IF(OR(AND($K529=CB$3,OR($C529="W",$C529="1/2W")),AND($K530=CB$3,OR($C530="W",$C530="1/2W")),AND($K531=CB$3,OR($C531="W",$C531="1/2W"))),$S529,0))</f>
        <v>0</v>
      </c>
      <c r="CC529" s="205">
        <f>IF($B529="LOSS",IF(AND($K529=CC$3,$C529="L"),-$O529,0)+IF(AND($K530=CC$3,$C530="L"),-$O530,0)+IF(AND($K531=CC$3,$C531="L"),-$O531,0),IF(OR(AND($K529=CC$3,OR($C529="W",$C529="1/2W")),AND($K530=CC$3,OR($C530="W",$C530="1/2W")),AND($K531=CC$3,OR($C531="W",$C531="1/2W"))),$S529,0))</f>
        <v>0</v>
      </c>
      <c r="CD529" s="202">
        <f>IF($B529="LOSS",IF(AND($K529=CD$3,$C529="L"),-$O529,0)+IF(AND($K530=CD$3,$C530="L"),-$O530,0)+IF(AND($K531=CD$3,$C531="L"),-$O531,0),IF(OR(AND($K529=CD$3,OR($C529="W",$C529="1/2W")),AND($K530=CD$3,OR($C530="W",$C530="1/2W")),AND($K531=CD$3,OR($C531="W",$C531="1/2W"))),$S529,0))</f>
        <v>0</v>
      </c>
      <c r="CE529" s="199">
        <f>IF($B529="LOSS",IF(AND($K529=CE$3,$C529="L"),-$O529,0)+IF(AND($K530=CE$3,$C530="L"),-$O530,0)+IF(AND($K531=CE$3,$C531="L"),-$O531,0),IF(OR(AND($K529=CE$3,OR($C529="W",$C529="1/2W")),AND($K530=CE$3,OR($C530="W",$C530="1/2W")),AND($K531=CE$3,OR($C531="W",$C531="1/2W"))),$S529,0))</f>
        <v>0</v>
      </c>
      <c r="CF529" s="206">
        <f>IF(CF$3=$K529,IF($C529="W",1,IF($C529="1/2W",0.5,0)),0)</f>
        <v>0</v>
      </c>
      <c r="CG529" s="207">
        <f>IF(CF$3=$K529,IF($C529="L",1,IF($C529="1/2L",0.5,0)),0)</f>
        <v>0</v>
      </c>
      <c r="CH529" s="207">
        <f>IF(CH$3=$K529,IF($C529="W",1,IF($C529="1/2W",0.5,0)),0)</f>
        <v>0</v>
      </c>
      <c r="CI529" s="207">
        <f>IF(CH$3=$K529,IF($C529="L",1,IF($C529="1/2L",0.5,0)),0)</f>
        <v>0</v>
      </c>
      <c r="CJ529" s="207">
        <f>IF(CJ$3=$K529,IF($C529="W",1,IF($C529="1/2W",0.5,0)),0)</f>
        <v>0</v>
      </c>
      <c r="CK529" s="207">
        <f>IF(CJ$3=$K529,IF($C529="L",1,IF($C529="1/2L",0.5,0)),0)</f>
        <v>0</v>
      </c>
      <c r="CL529" s="207">
        <f>IF(CL$3=$K529,IF($C529="W",1,IF($C529="1/2W",0.5,0)),0)</f>
        <v>0</v>
      </c>
      <c r="CM529" s="207">
        <f>IF(CL$3=$K529,IF($C529="L",1,IF($C529="1/2L",0.5,0)),0)</f>
        <v>0</v>
      </c>
      <c r="CN529" s="207">
        <f>IF(CN$3=$K529,IF($C529="W",1,IF($C529="1/2W",0.5,0)),0)</f>
        <v>0</v>
      </c>
      <c r="CO529" s="207">
        <f>IF(CN$3=$K529,IF($C529="L",1,IF($C529="1/2L",0.5,0)),0)</f>
        <v>0</v>
      </c>
      <c r="CP529" s="207">
        <f>IF(CP$3=$K529,IF($C529="W",1,IF($C529="1/2W",0.5,0)),0)</f>
        <v>0</v>
      </c>
      <c r="CQ529" s="207">
        <f>IF(CP$3=$K529,IF($C529="L",1,IF($C529="1/2L",0.5,0)),0)</f>
        <v>0</v>
      </c>
      <c r="CR529" s="207">
        <f>IF(CR$3=$K529,IF($C529="W",1,IF($C529="1/2W",0.5,0)),0)</f>
        <v>0</v>
      </c>
      <c r="CS529" s="207">
        <f>IF(CR$3=$K529,IF($C529="L",1,IF($C529="1/2L",0.5,0)),0)</f>
        <v>0</v>
      </c>
      <c r="CT529" s="208">
        <f>IF(CT$3=$K529,IF($C529="W",1,IF($C529="1/2W",0.5,0)),0)</f>
        <v>0</v>
      </c>
      <c r="CU529" s="209">
        <f>IF(CT$3=$K529,IF($C529="L",1,IF($C529="1/2L",0.5,0)),0)</f>
        <v>0</v>
      </c>
      <c r="CV529" s="209">
        <f>IF(CV$3=$K529,IF($C529="W",1,IF($C529="1/2W",0.5,0)),0)</f>
        <v>0</v>
      </c>
      <c r="CW529" s="209">
        <f>IF(CV$3=$K529,IF($C529="L",1,IF($C529="1/2L",0.5,0)),0)</f>
        <v>0</v>
      </c>
      <c r="CX529" s="209">
        <f>IF(CX$3=$K529,IF($C529="W",1,IF($C529="1/2W",0.5,0)),0)</f>
        <v>0</v>
      </c>
      <c r="CY529" s="209">
        <f>IF(CX$3=$K529,IF($C529="L",1,IF($C529="1/2L",0.5,0)),0)</f>
        <v>0</v>
      </c>
      <c r="CZ529" s="209">
        <f>IF(CZ$3=$K529,IF($C529="W",1,IF($C529="1/2W",0.5,0)),0)</f>
        <v>0</v>
      </c>
      <c r="DA529" s="209">
        <f>IF(CZ$3=$K529,IF($C529="L",1,IF($C529="1/2L",0.5,0)),0)</f>
        <v>0</v>
      </c>
      <c r="DB529" s="209">
        <f>IF(DB$3=$K529,IF($C529="W",1,IF($C529="1/2W",0.5,0)),0)</f>
        <v>0</v>
      </c>
      <c r="DC529" s="209">
        <f>IF(DB$3=$K529,IF($C529="L",1,IF($C529="1/2L",0.5,0)),0)</f>
        <v>1</v>
      </c>
      <c r="DD529" s="209">
        <f>IF(DD$3=$K529,IF($C529="W",1,IF($C529="1/2W",0.5,0)),0)</f>
        <v>0</v>
      </c>
      <c r="DE529" s="210">
        <f>IF(DD$3=$K529,IF($C529="L",1,IF($C529="1/2L",0.5,0)),0)</f>
        <v>0</v>
      </c>
      <c r="DF529" s="211">
        <f>IF(AND(L529&lt;DF$3,$C529="W"),1+DF528,DF528)</f>
        <v>16</v>
      </c>
      <c r="DG529" s="198">
        <f>IF(DF529&gt;DF528,L529+DG528,DG528)</f>
        <v>21.158</v>
      </c>
      <c r="DH529" s="209">
        <f>IF(AND(L529&gt;DH$3,$C529="W"),1+DH528,0+DH528)</f>
        <v>14</v>
      </c>
      <c r="DI529" s="198">
        <f>IF(DH529&gt;DH528,L529+DI528,DI528)</f>
        <v>77.43000000000001</v>
      </c>
      <c r="DJ529" t="s" s="306">
        <f>IF($D529="","",$D529)</f>
        <v>396</v>
      </c>
      <c r="DK529" s="209">
        <f>IF(AND($B529=" ",$D529&lt;&gt;""),1,0)</f>
        <v>0</v>
      </c>
    </row>
    <row r="530" ht="14.55" customHeight="1">
      <c r="A530" s="107"/>
      <c r="B530" s="108"/>
      <c r="C530" t="s" s="213">
        <v>56</v>
      </c>
      <c r="D530" s="110"/>
      <c r="E530" s="111"/>
      <c r="F530" s="113"/>
      <c r="G530" s="214"/>
      <c r="H530" s="114"/>
      <c r="I530" t="s" s="215">
        <v>67</v>
      </c>
      <c r="J530" s="296">
        <v>6</v>
      </c>
      <c r="K530" t="s" s="217">
        <v>41</v>
      </c>
      <c r="L530" s="218">
        <v>1.66</v>
      </c>
      <c r="M530" s="219">
        <v>13.2</v>
      </c>
      <c r="N530" s="120"/>
      <c r="O530" s="220">
        <f>IF(OR(AE529="",AE530=""),"",ROUND(IF(L531&gt;0,IF(M530&gt;0,M530,IF(M529&gt;0,IF(N529=TRUE,ROUND((M529*AE530)/AE529,0),(M529*AE530)/AE529),IF(M530&gt;0,ROUND(M530,IF(N529=0,2,IF(N529=0.1,1,0))),IF(M531&gt;0,ROUND(O531*AE530/AE531,IF(N529=0,2,IF(N529=0.1,1,0))),0)))),IF(M530&gt;0,M530,ROUND((M529*AE530)/AE529,IF(N529=0,2,IF(N529=0.1,1,0))))),2))</f>
        <v>13.2</v>
      </c>
      <c r="P530" s="221">
        <f>IF(OR(L530="",O530=""),"",IF($C530="1/2W",O530/2+O530/2*L530,IF($C530="1/2L",O530/2,IF(I530="Lay",((O530*(L530/(L530-1)))-O530)*(1-_xlfn.XLOOKUP(K530,'Janeiro 2023 - Valor Real'!A3:A15,'Janeiro 2023 - Valor Real'!C3:C15,0))+O530,(O530*L530-O530)*(1-_xlfn.XLOOKUP(K530,'Janeiro 2023 - Valor Real'!A3:A15,'Janeiro 2023 - Valor Real'!C3:C15,0))+O530))))</f>
        <v>21.912</v>
      </c>
      <c r="Q530" s="222">
        <f>IF(K530="","",IF(_xlfn.XLOOKUP(K530,K$123:K303,DJ$123:DJ303,0,,-1)=DJ530,_xlfn.XLOOKUP(K530,K$123:K303,Q$123:Q303,1,,-1)+1,1))</f>
        <v>1</v>
      </c>
      <c r="R530" s="223">
        <f>IF(K530="","",_xlfn.XLOOKUP(K530,K$123:K303,R$123:R303,0,,-1)+IF($C530=" ",1,0))</f>
        <v>0</v>
      </c>
      <c r="S530" s="125"/>
      <c r="T530" s="126"/>
      <c r="U530" s="126"/>
      <c r="V530" s="224"/>
      <c r="W530" s="126"/>
      <c r="X530" s="127"/>
      <c r="Y530" s="128"/>
      <c r="Z530" s="129"/>
      <c r="AA530" s="129"/>
      <c r="AB530" s="129"/>
      <c r="AC530" s="129"/>
      <c r="AD530" s="225">
        <f>(((L530/(L530-1)-1)*(1-_xlfn.XLOOKUP(K530,'Janeiro 2023 - Valor Real'!A3:A15,'Janeiro 2023 - Valor Real'!C3:C15,0))+1))</f>
        <v>2.51515151515152</v>
      </c>
      <c r="AE530" s="226">
        <f>IF(L530="","",IF(L531&gt;0,(SUM(((L529-1)*(1-_xlfn.XLOOKUP(K529,'Janeiro 2023 - Valor Real'!A3:A15,'Janeiro 2023 - Valor Real'!C3:C15,0))+1),((L530-1)*(1-_xlfn.XLOOKUP(K530,'Janeiro 2023 - Valor Real'!A3:A15,'Janeiro 2023 - Valor Real'!C3:C15,0))+1),((L531-1)*(1-_xlfn.XLOOKUP(K531,'Janeiro 2023 - Valor Real'!A3:A15,'Janeiro 2023 - Valor Real'!C3:C15,0))+1))/((L530-1)*(1-_xlfn.XLOOKUP(K530,'Janeiro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Real'!C3:C15,0))+1))/((L529-1)*(1-_xlfn.XLOOKUP(K529,'Janeiro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Real'!C3:C15,0))+1))/((L530-1)*(1-_xlfn.XLOOKUP(K530,'Janeiro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Real'!C3:C15,0))+1))/((L531-1)*(1-_xlfn.XLOOKUP(K531,'Janeiro 2023 - Valor Real'!A3:A15,'Janeiro 2023 - Valor Real'!C3:C15,0))+1)),IF(I530="Lay",IF(I529="Lay",((L529/(L529-1)-1)*(1-_xlfn.XLOOKUP(K529,'Janeiro 2023 - Valor Real'!A3:A15,'Janeiro 2023 - Valor Real'!C3:C15,0))+1)/(((L529/(L529-1)-1)*(1-_xlfn.XLOOKUP(K529,'Janeiro 2023 - Valor Real'!A3:A15,'Janeiro 2023 - Valor Real'!C3:C15,0))+1)+((L530/(L530-1)-1)*(1-_xlfn.XLOOKUP(K530,'Janeiro 2023 - Valor Real'!A3:A15,'Janeiro 2023 - Valor Real'!C3:C15,0))+1)),((L529-1)*(1-_xlfn.XLOOKUP(K529,'Janeiro 2023 - Valor Real'!A3:A15,'Janeiro 2023 - Valor Real'!C3:C15,0))+1)/(((L529-1)*(1-_xlfn.XLOOKUP(K529,'Janeiro 2023 - Valor Real'!A3:A15,'Janeiro 2023 - Valor Real'!C3:C15,0))+1)+((L530/(L530-1)-1)*(1-_xlfn.XLOOKUP(K530,'Janeiro 2023 - Valor Real'!A3:A15,'Janeiro 2023 - Valor Real'!C3:C15,0))+1))),IF(I529="Lay",((L529/(L529-1)-1)*(1-_xlfn.XLOOKUP(K529,'Janeiro 2023 - Valor Real'!A3:A15,'Janeiro 2023 - Valor Real'!C3:C15,0))+1)/((((L529/(L529-1)-1)*(1-_xlfn.XLOOKUP(K529,'Janeiro 2023 - Valor Real'!A3:A15,'Janeiro 2023 - Valor Real'!C3:C15,0))+1))+((L530-1)*(1-_xlfn.XLOOKUP(K530,'Janeiro 2023 - Valor Real'!A3:A15,'Janeiro 2023 - Valor Real'!C3:C15,0))+1)),((L529-1)*(1-_xlfn.XLOOKUP(K529,'Janeiro 2023 - Valor Real'!A3:A15,'Janeiro 2023 - Valor Real'!C3:C15,0))+1)/(((L529-1)*(1-_xlfn.XLOOKUP(K529,'Janeiro 2023 - Valor Real'!A3:A15,'Janeiro 2023 - Valor Real'!C3:C15,0))+1)+((L530-1)*(1-_xlfn.XLOOKUP(K530,'Janeiro 2023 - Valor Real'!A3:A15,'Janeiro 2023 - Valor Real'!C3:C15,0))+1))))))</f>
        <v>0.402389995955879</v>
      </c>
      <c r="AF530" s="197">
        <f>IF($K530=AF$3,ROUND(IF(OR($C530="W",$C530="1/2W",$C530="1/2L"),$P530-$O530,IF($C530="X",0,-$O530)),2),0)</f>
        <v>0</v>
      </c>
      <c r="AG530" s="198">
        <f>IF($K530=AG$3,ROUND(IF(OR($C530="W",$C530="1/2W",$C530="1/2L"),$P530-$O530,IF($C530="X",0,-$O530)),2),0)</f>
        <v>0</v>
      </c>
      <c r="AH530" s="198">
        <f>IF($K530=AH$3,ROUND(IF(OR($C530="W",$C530="1/2W",$C530="1/2L"),$P530-$O530,IF($C530="X",0,-$O530)),2),0)</f>
        <v>0</v>
      </c>
      <c r="AI530" s="198">
        <f>IF($K530=AI$3,ROUND(IF(OR($C530="W",$C530="1/2W",$C530="1/2L"),$P530-$O530,IF($C530="X",0,-$O530)),2),0)</f>
        <v>0</v>
      </c>
      <c r="AJ530" s="198">
        <f>IF($K530=AJ$3,ROUND(IF(OR($C530="W",$C530="1/2W",$C530="1/2L"),$P530-$O530,IF($C530="X",0,-$O530)),2),0)</f>
        <v>8.710000000000001</v>
      </c>
      <c r="AK530" s="198">
        <f>IF($K530=AK$3,ROUND(IF(OR($C530="W",$C530="1/2W",$C530="1/2L"),$P530-$O530,IF($C530="X",0,-$O530)),2),0)</f>
        <v>0</v>
      </c>
      <c r="AL530" s="198">
        <f>IF($K530=AL$3,ROUND(IF(OR($C530="W",$C530="1/2W",$C530="1/2L"),$P530-$O530,IF($C530="X",0,-$O530)),2),0)</f>
        <v>0</v>
      </c>
      <c r="AM530" s="198">
        <f>IF($K530=AM$3,ROUND(IF(OR($C530="W",$C530="1/2W",$C530="1/2L"),$P530-$O530,IF($C530="X",0,-$O530)),2),0)</f>
        <v>0</v>
      </c>
      <c r="AN530" s="198">
        <f>IF($K530=AN$3,ROUND(IF(OR($C530="W",$C530="1/2W",$C530="1/2L"),$P530-$O530,IF($C530="X",0,-$O530)),2),0)</f>
        <v>0</v>
      </c>
      <c r="AO530" s="198">
        <f>IF($K530=AO$3,ROUND(IF(OR($C530="W",$C530="1/2W",$C530="1/2L"),$P530-$O530,IF($C530="X",0,-$O530)),2),0)</f>
        <v>0</v>
      </c>
      <c r="AP530" s="198">
        <f>IF($K530=AP$3,ROUND(IF(OR($C530="W",$C530="1/2W",$C530="1/2L"),$P530-$O530,IF($C530="X",0,-$O530)),2),0)</f>
        <v>0</v>
      </c>
      <c r="AQ530" s="198">
        <f>IF($K530=AQ$3,ROUND(IF(OR($C530="W",$C530="1/2W",$C530="1/2L"),$P530-$O530,IF($C530="X",0,-$O530)),2),0)</f>
        <v>0</v>
      </c>
      <c r="AR530" s="199">
        <f>IF($K530=AR$3,ROUND(IF(OR($C530="W",$C530="1/2W",$C530="1/2L"),$P530-$O530,IF($C530="X",0,-$O530)),2),0)</f>
        <v>0</v>
      </c>
      <c r="AS530" s="197">
        <f>IF(AND($B529=" ",$K530=AS$3),$O530,0)</f>
        <v>0</v>
      </c>
      <c r="AT530" s="198">
        <f>IF(AND($B529=" ",K530=AT$3),$O530,0)</f>
        <v>0</v>
      </c>
      <c r="AU530" s="198">
        <f>IF(AND($B529=" ",$K530=AU$3),$O530,0)</f>
        <v>0</v>
      </c>
      <c r="AV530" s="198">
        <f>IF(AND($B529=" ",$K530=AV$3),$O530,0)</f>
        <v>0</v>
      </c>
      <c r="AW530" s="198">
        <f>IF(AND($B529=" ",$K530=AW$3),$O530,0)</f>
        <v>0</v>
      </c>
      <c r="AX530" s="198">
        <f>IF(AND($B529=" ",$K530=AX$3),$O530,0)</f>
        <v>0</v>
      </c>
      <c r="AY530" s="200">
        <f>IF(AND($B529=" ",$K530=AY$3),$O530,0)</f>
        <v>0</v>
      </c>
      <c r="AZ530" s="201">
        <f>IF(AND($B529=" ",$K530=AZ$3),$O530,0)</f>
        <v>0</v>
      </c>
      <c r="BA530" s="201">
        <f>IF(AND($B529=" ",$K530=BA$3),$O530,0)</f>
        <v>0</v>
      </c>
      <c r="BB530" s="201">
        <f>IF(AND($B529=" ",$K530=BB$3),$O530,0)</f>
        <v>0</v>
      </c>
      <c r="BC530" s="202">
        <f>IF(AND($B529=" ",$K530=BC$3),$O530,0)</f>
        <v>0</v>
      </c>
      <c r="BD530" s="198">
        <f>IF(AND($B529=" ",$K530=BD$3),$O530,0)</f>
        <v>0</v>
      </c>
      <c r="BE530" s="199">
        <f>IF(AND($B529=" ",$K530=BE$3),$O530,0)</f>
        <v>0</v>
      </c>
      <c r="BF530" s="197">
        <f>IF($K530=BF$3,IF($C530="X",0,$O530),0)</f>
        <v>0</v>
      </c>
      <c r="BG530" s="198">
        <f>IF($K530=BG$3,IF($C530="X",0,$O530),0)</f>
        <v>0</v>
      </c>
      <c r="BH530" s="198">
        <f>IF($K530=BH$3,IF($C530="X",0,$O530),0)</f>
        <v>0</v>
      </c>
      <c r="BI530" s="198">
        <f>IF($K530=BI$3,IF($C530="X",0,$O530),0)</f>
        <v>0</v>
      </c>
      <c r="BJ530" s="198">
        <f>IF($K530=BJ$3,IF($C530="X",0,$O530),0)</f>
        <v>13.2</v>
      </c>
      <c r="BK530" s="198">
        <f>IF($K530=BK$3,IF($C530="X",0,$O530),0)</f>
        <v>0</v>
      </c>
      <c r="BL530" s="198">
        <f>IF($K530=BL$3,IF($C530="X",0,$O530),0)</f>
        <v>0</v>
      </c>
      <c r="BM530" s="227">
        <f>IF($K530=BM$3,IF($C530="X",0,$O530),0)</f>
        <v>0</v>
      </c>
      <c r="BN530" s="205">
        <f>IF($K530=BN$3,IF($C530="X",0,$O530),0)</f>
        <v>0</v>
      </c>
      <c r="BO530" s="205">
        <f>IF($K530=BO$3,IF($C530="X",0,$O530),0)</f>
        <v>0</v>
      </c>
      <c r="BP530" s="205">
        <f>IF($K530=BP$3,IF($C530="X",0,$O530),0)</f>
        <v>0</v>
      </c>
      <c r="BQ530" s="202">
        <f>IF($K530=BQ$3,IF($C530="X",0,$O530),0)</f>
        <v>0</v>
      </c>
      <c r="BR530" s="199">
        <f>IF($K530=BR$3,IF($C530="X",0,$O530),0)</f>
        <v>0</v>
      </c>
      <c r="BS530" s="228"/>
      <c r="BT530" s="229"/>
      <c r="BU530" s="140"/>
      <c r="BV530" s="229"/>
      <c r="BW530" s="140"/>
      <c r="BX530" s="140"/>
      <c r="BY530" s="140"/>
      <c r="BZ530" s="229"/>
      <c r="CA530" s="140"/>
      <c r="CB530" s="140"/>
      <c r="CC530" s="140"/>
      <c r="CD530" s="141"/>
      <c r="CE530" s="142"/>
      <c r="CF530" s="230">
        <f>IF(CF$3=$K530,IF($C530="W",1,IF($C530="1/2W",0.5,0)),0)</f>
        <v>0</v>
      </c>
      <c r="CG530" s="231">
        <f>IF(CF$3=$K530,IF($C530="L",1,IF($C530="1/2L",0.5,0)),0)</f>
        <v>0</v>
      </c>
      <c r="CH530" s="231">
        <f>IF(CH$3=$K530,IF($C530="W",1,IF($C530="1/2W",0.5,0)),0)</f>
        <v>0</v>
      </c>
      <c r="CI530" s="231">
        <f>IF(CH$3=$K530,IF($C530="L",1,IF($C530="1/2L",0.5,0)),0)</f>
        <v>0</v>
      </c>
      <c r="CJ530" s="231">
        <f>IF(CJ$3=$K530,IF($C530="W",1,IF($C530="1/2W",0.5,0)),0)</f>
        <v>0</v>
      </c>
      <c r="CK530" s="231">
        <f>IF(CJ$3=$K530,IF($C530="L",1,IF($C530="1/2L",0.5,0)),0)</f>
        <v>0</v>
      </c>
      <c r="CL530" s="231">
        <f>IF(CL$3=$K530,IF($C530="W",1,IF($C530="1/2W",0.5,0)),0)</f>
        <v>0</v>
      </c>
      <c r="CM530" s="231">
        <f>IF(CL$3=$K530,IF($C530="L",1,IF($C530="1/2L",0.5,0)),0)</f>
        <v>0</v>
      </c>
      <c r="CN530" s="231">
        <f>IF(CN$3=$K530,IF($C530="W",1,IF($C530="1/2W",0.5,0)),0)</f>
        <v>1</v>
      </c>
      <c r="CO530" s="231">
        <f>IF(CN$3=$K530,IF($C530="L",1,IF($C530="1/2L",0.5,0)),0)</f>
        <v>0</v>
      </c>
      <c r="CP530" s="231">
        <f>IF(CP$3=$K530,IF($C530="W",1,IF($C530="1/2W",0.5,0)),0)</f>
        <v>0</v>
      </c>
      <c r="CQ530" s="231">
        <f>IF(CP$3=$K530,IF($C530="L",1,IF($C530="1/2L",0.5,0)),0)</f>
        <v>0</v>
      </c>
      <c r="CR530" s="231">
        <f>IF(CR$3=$K530,IF($C530="W",1,IF($C530="1/2W",0.5,0)),0)</f>
        <v>0</v>
      </c>
      <c r="CS530" s="231">
        <f>IF(CR$3=$K530,IF($C530="L",1,IF($C530="1/2L",0.5,0)),0)</f>
        <v>0</v>
      </c>
      <c r="CT530" s="208">
        <f>IF(CT$3=$K530,IF($C530="W",1,IF($C530="1/2W",0.5,0)),0)</f>
        <v>0</v>
      </c>
      <c r="CU530" s="209">
        <f>IF(CT$3=$K530,IF($C530="L",1,IF($C530="1/2L",0.5,0)),0)</f>
        <v>0</v>
      </c>
      <c r="CV530" s="209">
        <f>IF(CV$3=$K530,IF($C530="W",1,IF($C530="1/2W",0.5,0)),0)</f>
        <v>0</v>
      </c>
      <c r="CW530" s="209">
        <f>IF(CV$3=$K530,IF($C530="L",1,IF($C530="1/2L",0.5,0)),0)</f>
        <v>0</v>
      </c>
      <c r="CX530" s="209">
        <f>IF(CX$3=$K530,IF($C530="W",1,IF($C530="1/2W",0.5,0)),0)</f>
        <v>0</v>
      </c>
      <c r="CY530" s="209">
        <f>IF(CX$3=$K530,IF($C530="L",1,IF($C530="1/2L",0.5,0)),0)</f>
        <v>0</v>
      </c>
      <c r="CZ530" s="209">
        <f>IF(CZ$3=$K530,IF($C530="W",1,IF($C530="1/2W",0.5,0)),0)</f>
        <v>0</v>
      </c>
      <c r="DA530" s="209">
        <f>IF(CZ$3=$K530,IF($C530="L",1,IF($C530="1/2L",0.5,0)),0)</f>
        <v>0</v>
      </c>
      <c r="DB530" s="209">
        <f>IF(DB$3=$K530,IF($C530="W",1,IF($C530="1/2W",0.5,0)),0)</f>
        <v>0</v>
      </c>
      <c r="DC530" s="209">
        <f>IF(DB$3=$K530,IF($C530="L",1,IF($C530="1/2L",0.5,0)),0)</f>
        <v>0</v>
      </c>
      <c r="DD530" s="209">
        <f>IF(DD$3=$K530,IF($C530="W",1,IF($C530="1/2W",0.5,0)),0)</f>
        <v>0</v>
      </c>
      <c r="DE530" s="210">
        <f>IF(DD$3=$K530,IF($C530="L",1,IF($C530="1/2L",0.5,0)),0)</f>
        <v>0</v>
      </c>
      <c r="DF530" s="211">
        <f>IF(AND(L530&lt;DF$3,$C530="W"),1+DF529,DF529)</f>
        <v>16</v>
      </c>
      <c r="DG530" s="198">
        <f>IF(DF530&gt;DF529,L530+DG529,DG529)</f>
        <v>21.158</v>
      </c>
      <c r="DH530" s="209">
        <f>IF(AND(L530&gt;DH$3,$C530="W"),1+DH529,0+DH529)</f>
        <v>14</v>
      </c>
      <c r="DI530" s="198">
        <f>IF(DH530&gt;DH529,L530+DI529,DI529)</f>
        <v>77.43000000000001</v>
      </c>
      <c r="DJ530" t="s" s="306">
        <f>IF($D529="","",$D529)</f>
        <v>396</v>
      </c>
      <c r="DK530" s="232"/>
    </row>
    <row r="531" ht="14.55" customHeight="1">
      <c r="A531" s="149"/>
      <c r="B531" s="150"/>
      <c r="C531" t="s" s="233">
        <v>56</v>
      </c>
      <c r="D531" s="152"/>
      <c r="E531" s="153"/>
      <c r="F531" s="155"/>
      <c r="G531" s="234"/>
      <c r="H531" s="156"/>
      <c r="I531" t="s" s="349">
        <v>67</v>
      </c>
      <c r="J531" s="350">
        <v>5.5</v>
      </c>
      <c r="K531" t="s" s="351">
        <v>41</v>
      </c>
      <c r="L531" s="352">
        <v>1.99</v>
      </c>
      <c r="M531" s="239">
        <v>10.85</v>
      </c>
      <c r="N531" s="161"/>
      <c r="O531" s="335">
        <f>IF(OR(AE529="",AE530=""),"",IF(L531&gt;0,ROUND(IF(M531&gt;0,M531,IF(M529&gt;0,ROUND((M529*AE531)/AE529,IF(N529=0,2,IF(N529=0.1,1,0))),IF(M530&gt;0,ROUND((M530*AE531)/AE530,IF(N529=0,2,IF(N529=0.1,1,0))),IF(M531&gt;0,M531,0)))),2),""))</f>
        <v>10.85</v>
      </c>
      <c r="P531" s="309">
        <f>IF(I530="Lay",O530*(L530/(L530-1))-O530,IF(I529="Lay",O529*(L529/(L529-1))-O529,IF(OR(L531="",O531=""),"",IF($C531="1/2W",O531/2+O531/2*L531,IF($C531="1/2L",O531/2,(O531*L531-O531)*(1-_xlfn.XLOOKUP(K531,'Janeiro 2023 - Valor Real'!A3:A15,'Janeiro 2023 - Valor Real'!C3:C15,0))+O531)))))</f>
        <v>21.5915</v>
      </c>
      <c r="Q531" s="336">
        <f>IF(K531="","",IF(_xlfn.XLOOKUP(K531,K$124:K304,DJ$124:DJ304,0,,-1)=DJ531,_xlfn.XLOOKUP(K531,K$124:K304,Q$124:Q304,1,,-1)+1,1))</f>
        <v>1</v>
      </c>
      <c r="R531" s="337">
        <f>IF(K531="","",_xlfn.XLOOKUP(K531,K$124:K304,R$124:R304,0,,-1)+IF($C531=" ",1,0))</f>
        <v>0</v>
      </c>
      <c r="S531" s="166"/>
      <c r="T531" s="155"/>
      <c r="U531" s="155"/>
      <c r="V531" s="166"/>
      <c r="W531" s="155"/>
      <c r="X531" s="167"/>
      <c r="Y531" s="128"/>
      <c r="Z531" s="129"/>
      <c r="AA531" s="129"/>
      <c r="AB531" s="129"/>
      <c r="AC531" s="129"/>
      <c r="AD531" s="244">
        <f>((L530/(L530-1)-1))</f>
        <v>1.51515151515152</v>
      </c>
      <c r="AE531" s="338">
        <f>IF(L531="","",(SUM(((L529-1)*(1-_xlfn.XLOOKUP(K529,'Janeiro 2023 - Valor Real'!A3:A15,'Janeiro 2023 - Valor Real'!C3:C15,0))+1),((L530-1)*(1-_xlfn.XLOOKUP(K530,'Janeiro 2023 - Valor Real'!A3:A15,'Janeiro 2023 - Valor Real'!C3:C15,0))+1),((L531-1)*(1-_xlfn.XLOOKUP(K531,'Janeiro 2023 - Valor Real'!A3:A15,'Janeiro 2023 - Valor Real'!C3:C15,0))+1))/((L531-1)*(1-_xlfn.XLOOKUP(K531,'Janeiro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Real'!C3:C15,0))+1))/((L529-1)*(1-_xlfn.XLOOKUP(K529,'Janeiro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Real'!C3:C15,0))+1))/((L530-1)*(1-_xlfn.XLOOKUP(K530,'Janeiro 2023 - Valor Real'!A3:A15,'Janeiro 2023 - Valor Real'!C3:C15,0))+1)+SUM(((L529-1)*(1-_xlfn.XLOOKUP(K529,'Janeiro 2023 - Valor Real'!A3:A15,'Janeiro 2023 - Valor Real'!C3:C15,0))+1),((L530-1)*(1-_xlfn.XLOOKUP(K530,'Janeiro 2023 - Valor Real'!A3:A15,'Janeiro 2023 - Valor Real'!C3:C15,0))+1),((L531-1)*(1-_xlfn.XLOOKUP(K531,'Janeiro 2023 - Valor Real'!A3:A15,'Janeiro 2023 - Valor Real'!C3:C15,0))+1))/((L531-1)*(1-_xlfn.XLOOKUP(K531,'Janeiro 2023 - Valor Real'!A3:A15,'Janeiro 2023 - Valor Real'!C3:C15,0))+1)))</f>
        <v>0.335662006676764</v>
      </c>
      <c r="AF531" s="197">
        <f>IF($K531=AF$3,ROUND(IF(OR($C531="W",$C531="1/2W",$C531="1/2L"),$P531-$O531,IF($C531="X",0,-$O531)),2),0)</f>
        <v>0</v>
      </c>
      <c r="AG531" s="198">
        <f>IF($K531=AG$3,ROUND(IF(OR($C531="W",$C531="1/2W",$C531="1/2L"),$P531-$O531,IF($C531="X",0,-$O531)),2),0)</f>
        <v>0</v>
      </c>
      <c r="AH531" s="198">
        <f>IF($K531=AH$3,ROUND(IF(OR($C531="W",$C531="1/2W",$C531="1/2L"),$P531-$O531,IF($C531="X",0,-$O531)),2),0)</f>
        <v>0</v>
      </c>
      <c r="AI531" s="198">
        <f>IF($K531=AI$3,ROUND(IF(OR($C531="W",$C531="1/2W",$C531="1/2L"),$P531-$O531,IF($C531="X",0,-$O531)),2),0)</f>
        <v>0</v>
      </c>
      <c r="AJ531" s="198">
        <f>IF($K531=AJ$3,ROUND(IF(OR($C531="W",$C531="1/2W",$C531="1/2L"),$P531-$O531,IF($C531="X",0,-$O531)),2),0)</f>
        <v>10.74</v>
      </c>
      <c r="AK531" s="198">
        <f>IF($K531=AK$3,ROUND(IF(OR($C531="W",$C531="1/2W",$C531="1/2L"),$P531-$O531,IF($C531="X",0,-$O531)),2),0)</f>
        <v>0</v>
      </c>
      <c r="AL531" s="198">
        <f>IF($K531=AL$3,ROUND(IF(OR($C531="W",$C531="1/2W",$C531="1/2L"),$P531-$O531,IF($C531="X",0,-$O531)),2),0)</f>
        <v>0</v>
      </c>
      <c r="AM531" s="198">
        <f>IF($K531=AM$3,ROUND(IF(OR($C531="W",$C531="1/2W",$C531="1/2L"),$P531-$O531,IF($C531="X",0,-$O531)),2),0)</f>
        <v>0</v>
      </c>
      <c r="AN531" s="198">
        <f>IF($K531=AN$3,ROUND(IF(OR($C531="W",$C531="1/2W",$C531="1/2L"),$P531-$O531,IF($C531="X",0,-$O531)),2),0)</f>
        <v>0</v>
      </c>
      <c r="AO531" s="198">
        <f>IF($K531=AO$3,ROUND(IF(OR($C531="W",$C531="1/2W",$C531="1/2L"),$P531-$O531,IF($C531="X",0,-$O531)),2),0)</f>
        <v>0</v>
      </c>
      <c r="AP531" s="198">
        <f>IF($K531=AP$3,ROUND(IF(OR($C531="W",$C531="1/2W",$C531="1/2L"),$P531-$O531,IF($C531="X",0,-$O531)),2),0)</f>
        <v>0</v>
      </c>
      <c r="AQ531" s="198">
        <f>IF($K531=AQ$3,ROUND(IF(OR($C531="W",$C531="1/2W",$C531="1/2L"),$P531-$O531,IF($C531="X",0,-$O531)),2),0)</f>
        <v>0</v>
      </c>
      <c r="AR531" s="199">
        <f>IF($K531=AR$3,ROUND(IF(OR($C531="W",$C531="1/2W",$C531="1/2L"),$P531-$O531,IF($C531="X",0,-$O531)),2),0)</f>
        <v>0</v>
      </c>
      <c r="AS531" s="197">
        <f>IF(AND($B529=" ",$K531=AS$3),$O531,0)</f>
        <v>0</v>
      </c>
      <c r="AT531" s="198">
        <f>IF(AND($B529=" ",K531=AT$3),$O531,0)</f>
        <v>0</v>
      </c>
      <c r="AU531" s="198">
        <f>IF(AND($B529=" ",$K531=AU$3),$O531,0)</f>
        <v>0</v>
      </c>
      <c r="AV531" s="198">
        <f>IF(AND($B529=" ",$K531=AV$3),$O531,0)</f>
        <v>0</v>
      </c>
      <c r="AW531" s="198">
        <f>IF(AND($B529=" ",$K531=AW$3),$O531,0)</f>
        <v>0</v>
      </c>
      <c r="AX531" s="198">
        <f>IF(AND($B529=" ",$K531=AX$3),$O531,0)</f>
        <v>0</v>
      </c>
      <c r="AY531" s="200">
        <f>IF(AND($B529=" ",$K531=AY$3),$O531,0)</f>
        <v>0</v>
      </c>
      <c r="AZ531" s="201">
        <f>IF(AND($B529=" ",$K531=AZ$3),$O531,0)</f>
        <v>0</v>
      </c>
      <c r="BA531" s="201">
        <f>IF(AND($B529=" ",$K531=BA$3),$O531,0)</f>
        <v>0</v>
      </c>
      <c r="BB531" s="201">
        <f>IF(AND($B529=" ",$K531=BB$3),$O531,0)</f>
        <v>0</v>
      </c>
      <c r="BC531" s="202">
        <f>IF(AND($B529=" ",$K531=BC$3),$O531,0)</f>
        <v>0</v>
      </c>
      <c r="BD531" s="198">
        <f>IF(AND($B529=" ",$K531=BD$3),$O531,0)</f>
        <v>0</v>
      </c>
      <c r="BE531" s="199">
        <f>IF(AND($B529=" ",$K531=BE$3),$O531,0)</f>
        <v>0</v>
      </c>
      <c r="BF531" s="197">
        <f>IF($K531=BF$3,IF($C531="X",0,$O531),0)</f>
        <v>0</v>
      </c>
      <c r="BG531" s="198">
        <f>IF($K531=BG$3,IF($C531="X",0,$O531),0)</f>
        <v>0</v>
      </c>
      <c r="BH531" s="198">
        <f>IF($K531=BH$3,IF($C531="X",0,$O531),0)</f>
        <v>0</v>
      </c>
      <c r="BI531" s="198">
        <f>IF($K531=BI$3,IF($C531="X",0,$O531),0)</f>
        <v>0</v>
      </c>
      <c r="BJ531" s="198">
        <f>IF($K531=BJ$3,IF($C531="X",0,$O531),0)</f>
        <v>10.85</v>
      </c>
      <c r="BK531" s="198">
        <f>IF($K531=BK$3,IF($C531="X",0,$O531),0)</f>
        <v>0</v>
      </c>
      <c r="BL531" s="198">
        <f>IF($K531=BL$3,IF($C531="X",0,$O531),0)</f>
        <v>0</v>
      </c>
      <c r="BM531" s="200">
        <f>IF($K531=BM$3,IF($C531="X",0,$O531),0)</f>
        <v>0</v>
      </c>
      <c r="BN531" s="201">
        <f>IF($K531=BN$3,IF($C531="X",0,$O531),0)</f>
        <v>0</v>
      </c>
      <c r="BO531" s="201">
        <f>IF($K531=BO$3,IF($C531="X",0,$O531),0)</f>
        <v>0</v>
      </c>
      <c r="BP531" s="201">
        <f>IF($K531=BP$3,IF($C531="X",0,$O531),0)</f>
        <v>0</v>
      </c>
      <c r="BQ531" s="202">
        <f>IF($K531=BQ$3,IF($C531="X",0,$O531),0)</f>
        <v>0</v>
      </c>
      <c r="BR531" s="199">
        <f>IF($K531=BR$3,IF($C531="X",0,$O531),0)</f>
        <v>0</v>
      </c>
      <c r="BS531" s="228"/>
      <c r="BT531" s="229"/>
      <c r="BU531" s="140"/>
      <c r="BV531" s="229"/>
      <c r="BW531" s="140"/>
      <c r="BX531" s="140"/>
      <c r="BY531" s="140"/>
      <c r="BZ531" s="229"/>
      <c r="CA531" s="140"/>
      <c r="CB531" s="140"/>
      <c r="CC531" s="140"/>
      <c r="CD531" s="141"/>
      <c r="CE531" s="142"/>
      <c r="CF531" s="230">
        <f>IF(CF$3=$K531,IF($C531="W",1,IF($C531="1/2W",0.5,0)),0)</f>
        <v>0</v>
      </c>
      <c r="CG531" s="231">
        <f>IF(CF$3=$K531,IF($C531="L",1,IF($C531="1/2L",0.5,0)),0)</f>
        <v>0</v>
      </c>
      <c r="CH531" s="231">
        <f>IF(CH$3=$K531,IF($C531="W",1,IF($C531="1/2W",0.5,0)),0)</f>
        <v>0</v>
      </c>
      <c r="CI531" s="231">
        <f>IF(CH$3=$K531,IF($C531="L",1,IF($C531="1/2L",0.5,0)),0)</f>
        <v>0</v>
      </c>
      <c r="CJ531" s="231">
        <f>IF(CJ$3=$K531,IF($C531="W",1,IF($C531="1/2W",0.5,0)),0)</f>
        <v>0</v>
      </c>
      <c r="CK531" s="231">
        <f>IF(CJ$3=$K531,IF($C531="L",1,IF($C531="1/2L",0.5,0)),0)</f>
        <v>0</v>
      </c>
      <c r="CL531" s="231">
        <f>IF(CL$3=$K531,IF($C531="W",1,IF($C531="1/2W",0.5,0)),0)</f>
        <v>0</v>
      </c>
      <c r="CM531" s="231">
        <f>IF(CL$3=$K531,IF($C531="L",1,IF($C531="1/2L",0.5,0)),0)</f>
        <v>0</v>
      </c>
      <c r="CN531" s="231">
        <f>IF(CN$3=$K531,IF($C531="W",1,IF($C531="1/2W",0.5,0)),0)</f>
        <v>1</v>
      </c>
      <c r="CO531" s="231">
        <f>IF(CN$3=$K531,IF($C531="L",1,IF($C531="1/2L",0.5,0)),0)</f>
        <v>0</v>
      </c>
      <c r="CP531" s="231">
        <f>IF(CP$3=$K531,IF($C531="W",1,IF($C531="1/2W",0.5,0)),0)</f>
        <v>0</v>
      </c>
      <c r="CQ531" s="231">
        <f>IF(CP$3=$K531,IF($C531="L",1,IF($C531="1/2L",0.5,0)),0)</f>
        <v>0</v>
      </c>
      <c r="CR531" s="231">
        <f>IF(CR$3=$K531,IF($C531="W",1,IF($C531="1/2W",0.5,0)),0)</f>
        <v>0</v>
      </c>
      <c r="CS531" s="231">
        <f>IF(CR$3=$K531,IF($C531="L",1,IF($C531="1/2L",0.5,0)),0)</f>
        <v>0</v>
      </c>
      <c r="CT531" s="208">
        <f>IF(CT$3=$K531,IF($C531="W",1,IF($C531="1/2W",0.5,0)),0)</f>
        <v>0</v>
      </c>
      <c r="CU531" s="209">
        <f>IF(CT$3=$K531,IF($C531="L",1,IF($C531="1/2L",0.5,0)),0)</f>
        <v>0</v>
      </c>
      <c r="CV531" s="209">
        <f>IF(CV$3=$K531,IF($C531="W",1,IF($C531="1/2W",0.5,0)),0)</f>
        <v>0</v>
      </c>
      <c r="CW531" s="209">
        <f>IF(CV$3=$K531,IF($C531="L",1,IF($C531="1/2L",0.5,0)),0)</f>
        <v>0</v>
      </c>
      <c r="CX531" s="209">
        <f>IF(CX$3=$K531,IF($C531="W",1,IF($C531="1/2W",0.5,0)),0)</f>
        <v>0</v>
      </c>
      <c r="CY531" s="209">
        <f>IF(CX$3=$K531,IF($C531="L",1,IF($C531="1/2L",0.5,0)),0)</f>
        <v>0</v>
      </c>
      <c r="CZ531" s="209">
        <f>IF(CZ$3=$K531,IF($C531="W",1,IF($C531="1/2W",0.5,0)),0)</f>
        <v>0</v>
      </c>
      <c r="DA531" s="209">
        <f>IF(CZ$3=$K531,IF($C531="L",1,IF($C531="1/2L",0.5,0)),0)</f>
        <v>0</v>
      </c>
      <c r="DB531" s="209">
        <f>IF(DB$3=$K531,IF($C531="W",1,IF($C531="1/2W",0.5,0)),0)</f>
        <v>0</v>
      </c>
      <c r="DC531" s="209">
        <f>IF(DB$3=$K531,IF($C531="L",1,IF($C531="1/2L",0.5,0)),0)</f>
        <v>0</v>
      </c>
      <c r="DD531" s="209">
        <f>IF(DD$3=$K531,IF($C531="W",1,IF($C531="1/2W",0.5,0)),0)</f>
        <v>0</v>
      </c>
      <c r="DE531" s="210">
        <f>IF(DD$3=$K531,IF($C531="L",1,IF($C531="1/2L",0.5,0)),0)</f>
        <v>0</v>
      </c>
      <c r="DF531" s="211">
        <f>IF(AND(L531&lt;DF$3,$C531="W"),1+DF530,DF530)</f>
        <v>16</v>
      </c>
      <c r="DG531" s="198">
        <f>IF(DF531&gt;DF530,L531+DG530,DG530)</f>
        <v>21.158</v>
      </c>
      <c r="DH531" s="209">
        <f>IF(AND(L531&gt;DH$3,$C531="W"),1+DH530,0+DH530)</f>
        <v>14</v>
      </c>
      <c r="DI531" s="198">
        <f>IF(DH531&gt;DH530,L531+DI530,DI530)</f>
        <v>77.43000000000001</v>
      </c>
      <c r="DJ531" t="s" s="306">
        <f>IF($D529="","",$D529)</f>
        <v>396</v>
      </c>
      <c r="DK531" s="232"/>
    </row>
    <row r="532" ht="14.55" customHeight="1">
      <c r="A532" s="246">
        <f>$A529+1</f>
        <v>177</v>
      </c>
      <c r="B532" t="s" s="247">
        <f>IF(AND(_xlfn.XLOOKUP(H532,H$107:H311,G$107:G311,0)=G532,_xlfn.XLOOKUP("TempoBet",K532:K534,L532:L534,0)&gt;0),"X",IF(OR(C532="W",C533="W",C534="W",C532="1/2W",C533="1/2W",C534="1/2W",C532="1/2L",C533="1/2L",C534="1/2L"),"OK",IF(OR(C532="L",C533="L",C534="L"),"LOSS",IF(OR(C532="X",C533="X",C534="X"),"Anulado"," "))))</f>
        <v>50</v>
      </c>
      <c r="C532" t="s" s="248">
        <v>51</v>
      </c>
      <c r="D532" t="s" s="303">
        <f>IF(G532="","",$D529)</f>
        <v>396</v>
      </c>
      <c r="E532" t="s" s="250">
        <v>115</v>
      </c>
      <c r="F532" t="s" s="251">
        <f>IF(G532="","",IF(OR(AND($C532&lt;&gt;" ",$C533=" "),AND($C533&lt;&gt;" ",$C532=" "),AND(L534&gt;0,OR(AND($C534&lt;&gt;" ",OR($C532=" ",$C533=" ")),AND($C534=" ",OR($C532&lt;&gt;" ",$C533&lt;&gt;" "))))),IF(SUM(F$4:F531)=0,1,LARGE(F$4:F531,1)+1),IF(MONTH(G532)=MONTH(TODAY()),IF(AND(DAY(G532)&lt;DAY(TODAY()),$B532=" "),IF(SUM(F$4:F531)=0,1,LARGE(F$4:F531,1)+1),IF($B532=" ",IF(AND(DAY(G532)=DAY(TODAY()),HOUR(G532)&lt;=HOUR(NOW())+1),IF(AND(HOUR(G532)+2&lt;=HOUR(NOW()),DAY(G532)&lt;=DAY(TODAY()),MINUTE(G532)&lt;=MINUTE(NOW())),IF(SUM(F$4:F531)=0,1,LARGE(F$4:F531,1)+1),IF(OR(MINUTE(G532)&lt;=MINUTE(NOW()),HOUR(G532)&lt;=HOUR(NOW())),"!!!","")),""),"")),"")))</f>
      </c>
      <c r="G532" s="252">
        <v>44952.645833333336</v>
      </c>
      <c r="H532" t="s" s="253">
        <v>406</v>
      </c>
      <c r="I532" t="s" s="254">
        <v>54</v>
      </c>
      <c r="J532" s="255">
        <v>2</v>
      </c>
      <c r="K532" t="s" s="256">
        <v>37</v>
      </c>
      <c r="L532" s="257">
        <v>2</v>
      </c>
      <c r="M532" s="258">
        <v>10.8</v>
      </c>
      <c r="N532" s="259">
        <v>0</v>
      </c>
      <c r="O532" s="260">
        <f>IF(OR(AE532="",AE533=""),"",ROUND(IF(L534&gt;0,IF(M532&gt;0,M532,IF(M533&gt;0,ROUND((M533*AE532)/AE533,IF(N532=0,2,IF(N532=0.1,1,0))),ROUND((M534*AE532)/AE534,IF(N532=0,2,IF(N532=0.1,1,0))))),IF(M532&gt;0,M532,ROUND((M533*AE532)/AE533,IF(N532=0,2,IF(N532=0.1,1,0))))),2))</f>
        <v>10.8</v>
      </c>
      <c r="P532" s="261">
        <f>IF(OR(L532="",O532=""),"",IF($C532="1/2W",O532/2+O532/2*L532,IF($C532="1/2L",O532/2,IF(I532="Lay",(O532*(L532/(L532-1))-O532)*(1-_xlfn.XLOOKUP(K532,'Janeiro 2023 - Valor Real'!A3:A15,'Janeiro 2023 - Valor Real'!C3:C15,0))+O532,(O532*L532-O532)*(1-_xlfn.XLOOKUP(K532,'Janeiro 2023 - Valor Real'!A3:A15,'Janeiro 2023 - Valor Real'!C3:C15,0))+O532))))</f>
        <v>21.6</v>
      </c>
      <c r="Q532" s="262">
        <f>IF(K532="","",IF(_xlfn.XLOOKUP(K532,K$107:K311,DJ$107:DJ311,0,,-1)=DJ532,_xlfn.XLOOKUP(K532,K$107:K311,Q$107:Q311,1,,-1)+1,1))</f>
        <v>1</v>
      </c>
      <c r="R532" s="263">
        <f>IF(K532="","",_xlfn.XLOOKUP(K532,K$107:K311,R$107:R311,0,,-1)+IF($C532=" ",1,0))</f>
        <v>0</v>
      </c>
      <c r="S532" s="264">
        <f>IF($B532="Anulado",0,ROUND(IF(OR($B532="LOSS",$B532="OK"),IF(OR($C532="W",$C532="1/2W",$C532="1/2L"),P532-O532,IF($C532="L",-O532,0))+IF(OR($C533="W",$C533="1/2W",$C533="1/2L"),P533-O533,IF($C533="L",-O533,0))+IF(OR($C534="W",$C534="1/2W",$C534="1/2L"),P534-O534,IF($C534="L",-O534,0)),IF(AND(OR($C532="W",$C532="1/2W",$C532="1/2L"),C533="W"),P532+P533-SUM(O532:O534)+_xlfn.XLOOKUP("X",C532:C534,O532:O534,0),IF(AND(C532=TRUE,C534="W"),P532+P534-SUM(O532:O534),IF(AND(C533="W",C534="W"),P533+P534-SUM(O532:O534)+_xlfn.XLOOKUP("X",C532:C534,O532:O534,0),IF(L534&gt;0,IF(OR($C532="W",$C532="1/2W",$C532="1/2L"),P532-SUM(O532:O534)+_xlfn.XLOOKUP("X",C532:C534,O532:O534,0),IF(OR($C532="W",$C532="1/2W",$C532="1/2L"),P533-SUM(O532:O534)+_xlfn.XLOOKUP("X",C532:C534,O532:O534,0),IF(OR($C532="W",$C532="1/2W",$C532="1/2L"),P534-SUM(O532:O534)+_xlfn.XLOOKUP("X",C532:C534,O532:O534,0),IF(SUM(P532:P534)/3-SUM(O532:O534)+_xlfn.XLOOKUP("X",C532:C534,O532:O534,0)&gt;0,SUM(P532:P534)/3-SUM(O532:O534)+_xlfn.XLOOKUP("X",C532:C534,O532:O534,0),LARGE(P532:P534,1)-SUM(O532:O534))))),IF(OR($C532="W",$C532="1/2W",$C532="1/2L"),P532-SUM(O532:O533)+_xlfn.XLOOKUP("X",C532:C534,O532:O534,0),IF(OR($C532="W",$C532="1/2W",$C532="1/2L"),P533-SUM(O532:O533)+_xlfn.XLOOKUP("X",C532:C534,O532:O534,0),SUM(P532:P533)/2-SUM(O532:O533)+_xlfn.XLOOKUP("X",C532:C534,O532:O534,0)))))))),2))</f>
        <v>0.87</v>
      </c>
      <c r="T532" s="265">
        <f>IF(S532=0,0,S532/SUM(O532:O534))</f>
        <v>0.0420899854862119</v>
      </c>
      <c r="U532" s="266">
        <f>IF($D532=$D529,IF(OR($B532="LOSS",$B532="OK",$B532="Anulada"),S532,0)+U529,IF(OR($B532="LOSS",$B532="OK",$B532="Anulada"),S532,0))</f>
        <v>17.79</v>
      </c>
      <c r="V532" s="266">
        <f>IF($D532="",0,IF($D532=$D529,IF($B532=" ",IF(I534="",IF(OR(AND(I532="DNB1",I533="DNB2"),AND(OR(I532="DNB1",I532="DNB2"),J533=0),AND(OR(I533="DNB1",I533="DNB2"),J532=0),AND(I532="DNB2",I533="DNB1"),AND(IF(J532=0,(J532+1)/ROUND(J532+1,0),J532/ROUND(J532,0))=1,IF(J533=0,(J533+1)/ROUND(IF(J533="",0,J533)+1,0),IF(J533="",0,J533)/ROUND(IF(J533="",1,J533),0))=1,OR(J532&lt;&gt;""),J533&lt;&gt;"")),0,IF(S532&lt;0,IF(I534="",SMALL(P532:P533,1)-SUM(O532:O533),0),SMALL(P532:P533,1)-SUM(O532:O533))),IF(S532&lt;0,IF(I534="",SMALL(P532:P534,1)-SUM(O532:O534),0),LARGE(P532:P534,1)-SUM(O532:O534))),S532)+V529,IF(I534="",IF(OR(AND(I532="DNB1",I533="DNB2"),AND(OR(I532="DNB1",I532="DNB2"),J533=0),AND(OR(I533="DNB1",I533="DNB2"),J532=0),AND(I532="DNB2",I533="DNB1"),AND(IF(J532=0,(J532+1)/ROUND(J532+1,0),J532/ROUND(J532,0))=1,IF(J533=0,(IF(J533="",0,J533)+1)/ROUND(IF(J533="",0,J533)+1,0),IF(J533="",0,J533)/ROUND(IF(J533="",0,J533)+1,0))=1,OR(J532&lt;&gt;""),J533&lt;&gt;"")),0,IF(S532&lt;0,IF(I534="",SMALL(P532:P533,1)-SUM(O532:O533),0),SMALL(P532:P534,1)-SUM(O532:O534))),IF(S532&lt;0,IF(I534="",SMALL(P532:P534,1)-SUM(O532:O534),0),LARGE(P532:P534,1)-SUM(O532:O534)))))</f>
        <v>17.79</v>
      </c>
      <c r="W532" s="266">
        <f>IF($D532=$D529,IF(S532&lt;0,IF(I534="",S532,0),S532)+W529,S532)</f>
        <v>17.79</v>
      </c>
      <c r="X532" t="s" s="267">
        <f>IF(OR(SUM(R532:R534)=0,V532=W532),ROUND(IF(W532=0,0,W532/Y532)*100,2)&amp;"%",ROUND(IF(V532=0,0,V532/Y532)*100,2)&amp;"% a "&amp;ROUND(IF(W532=0,0,W532/Y532)*100,2)&amp;"%")</f>
        <v>405</v>
      </c>
      <c r="Y532" s="268">
        <f>IF($D532=$D529,Y529+SUM(O532:O534),SUM(O532:O534))</f>
        <v>425.69</v>
      </c>
      <c r="Z532" s="266">
        <f>IF($B532=" ",SUM(O532:O534),0)+Z529</f>
        <v>0</v>
      </c>
      <c r="AA532" s="266">
        <f>IF(G532="","",IF($B532="Anulado",LARGE(P532:P534,1)-SUM(O532:O534)+AA529,AA529))</f>
        <v>24.9665076923077</v>
      </c>
      <c r="AB532" s="266">
        <f>IF($D532="","",AB529+S532)</f>
        <v>357.03</v>
      </c>
      <c r="AC532" s="269">
        <f>IF($D532="","",IF($B532=" ",IF(DAY(G532)=DAY(TODAY()),1+AC529,0+AC529),0+AC529))</f>
        <v>0</v>
      </c>
      <c r="AD532" s="270">
        <f>(1-_xlfn.XLOOKUP(K530,'Janeiro 2023 - Valor Real'!A3:A15,'Janeiro 2023 - Valor Real'!C3:C15,0))+1</f>
        <v>2</v>
      </c>
      <c r="AE532" s="271">
        <f>IF(L532="","",IF(L534&gt;0,(SUM(((L532-1)*(1-_xlfn.XLOOKUP(K532,'Janeiro 2023 - Valor Real'!A3:A15,'Janeiro 2023 - Valor Real'!C3:C15,0))+1),((L533-1)*(1-_xlfn.XLOOKUP(K533,'Janeiro 2023 - Valor Real'!A3:A15,'Janeiro 2023 - Valor Real'!C3:C15,0))+1),((L534-1)*(1-_xlfn.XLOOKUP(K534,'Janeiro 2023 - Valor Real'!A3:A15,'Janeiro 2023 - Valor Real'!C3:C15,0))+1))/((L532-1)*(1-_xlfn.XLOOKUP(K532,'Janeiro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Real'!C3:C15,0))+1))/((L532-1)*(1-_xlfn.XLOOKUP(K532,'Janeiro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Real'!C3:C15,0))+1))/((L533-1)*(1-_xlfn.XLOOKUP(K533,'Janeiro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Real'!C3:C15,0))+1))/((L534-1)*(1-_xlfn.XLOOKUP(K534,'Janeiro 2023 - Valor Real'!A3:A15,'Janeiro 2023 - Valor Real'!C3:C15,0))+1)),IF(I532="Lay",IF(I533="Lay",((L533/(L533-1)-1)*(1-_xlfn.XLOOKUP(K533,'Janeiro 2023 - Valor Real'!A3:A15,'Janeiro 2023 - Valor Real'!C3:C15,0))+1)/(((L533/(L533-1)-1)*(1-_xlfn.XLOOKUP(K533,'Janeiro 2023 - Valor Real'!A3:A15,'Janeiro 2023 - Valor Real'!C3:C15,0))+1)+((L532/(L532-1)-1)*(1-_xlfn.XLOOKUP(K532,'Janeiro 2023 - Valor Real'!A3:A15,'Janeiro 2023 - Valor Real'!C3:C15,0))+1)),((L533-1)*(1-_xlfn.XLOOKUP(K533,'Janeiro 2023 - Valor Real'!A3:A15,'Janeiro 2023 - Valor Real'!C3:C15,0))+1)/(((L533-1)*(1-_xlfn.XLOOKUP(K533,'Janeiro 2023 - Valor Real'!A3:A15,'Janeiro 2023 - Valor Real'!C3:C15,0))+1)+((L532/(L532-1)-1)*(1-_xlfn.XLOOKUP(K532,'Janeiro 2023 - Valor Real'!A3:A15,'Janeiro 2023 - Valor Real'!C3:C15,0))+1))),IF(I533="Lay",(((L533/(L533-1)-1)*(1-_xlfn.XLOOKUP(K533,'Janeiro 2023 - Valor Real'!A3:A15,'Janeiro 2023 - Valor Real'!C3:C15,0))+1))/(((L532-1)*(1-_xlfn.XLOOKUP(K532,'Janeiro 2023 - Valor Real'!A3:A15,'Janeiro 2023 - Valor Real'!C3:C15,0))+1)+((L533/(L533-1)-1)*(1-_xlfn.XLOOKUP(K533,'Janeiro 2023 - Valor Real'!A3:A15,'Janeiro 2023 - Valor Real'!C3:C15,0))+1)),((L533-1)*(1-_xlfn.XLOOKUP(K533,'Janeiro 2023 - Valor Real'!A3:A15,'Janeiro 2023 - Valor Real'!C3:C15,0))+1)/(((L533-1)*(1-_xlfn.XLOOKUP(K533,'Janeiro 2023 - Valor Real'!A3:A15,'Janeiro 2023 - Valor Real'!C3:C15,0))+1)+((L532-1)*(1-_xlfn.XLOOKUP(K532,'Janeiro 2023 - Valor Real'!A3:A15,'Janeiro 2023 - Valor Real'!C3:C15,0))+1))))))</f>
        <v>0.461538461538462</v>
      </c>
      <c r="AF532" s="132">
        <f>IF($K532=AF$3,ROUND(IF(OR($C532="W",$C532="1/2W",$C532="1/2L"),$P532-$O532,IF($C532="X",0,-$O532)),2),0)</f>
        <v>-10.8</v>
      </c>
      <c r="AG532" s="133">
        <f>IF($K532=AG$3,ROUND(IF(OR($C532="W",$C532="1/2W",$C532="1/2L"),$P532-$O532,IF($C532="X",0,-$O532)),2),0)</f>
        <v>0</v>
      </c>
      <c r="AH532" s="133">
        <f>IF($K532=AH$3,ROUND(IF(OR($C532="W",$C532="1/2W",$C532="1/2L"),$P532-$O532,IF($C532="X",0,-$O532)),2),0)</f>
        <v>0</v>
      </c>
      <c r="AI532" s="133">
        <f>IF($K532=AI$3,ROUND(IF(OR($C532="W",$C532="1/2W",$C532="1/2L"),$P532-$O532,IF($C532="X",0,-$O532)),2),0)</f>
        <v>0</v>
      </c>
      <c r="AJ532" s="133">
        <f>IF($K532=AJ$3,ROUND(IF(OR($C532="W",$C532="1/2W",$C532="1/2L"),$P532-$O532,IF($C532="X",0,-$O532)),2),0)</f>
        <v>0</v>
      </c>
      <c r="AK532" s="133">
        <f>IF($K532=AK$3,ROUND(IF(OR($C532="W",$C532="1/2W",$C532="1/2L"),$P532-$O532,IF($C532="X",0,-$O532)),2),0)</f>
        <v>0</v>
      </c>
      <c r="AL532" s="133">
        <f>IF($K532=AL$3,ROUND(IF(OR($C532="W",$C532="1/2W",$C532="1/2L"),$P532-$O532,IF($C532="X",0,-$O532)),2),0)</f>
        <v>0</v>
      </c>
      <c r="AM532" s="133">
        <f>IF($K532=AM$3,ROUND(IF(OR($C532="W",$C532="1/2W",$C532="1/2L"),$P532-$O532,IF($C532="X",0,-$O532)),2),0)</f>
        <v>0</v>
      </c>
      <c r="AN532" s="133">
        <f>IF($K532=AN$3,ROUND(IF(OR($C532="W",$C532="1/2W",$C532="1/2L"),$P532-$O532,IF($C532="X",0,-$O532)),2),0)</f>
        <v>0</v>
      </c>
      <c r="AO532" s="133">
        <f>IF($K532=AO$3,ROUND(IF(OR($C532="W",$C532="1/2W",$C532="1/2L"),$P532-$O532,IF($C532="X",0,-$O532)),2),0)</f>
        <v>0</v>
      </c>
      <c r="AP532" s="133">
        <f>IF($K532=AP$3,ROUND(IF(OR($C532="W",$C532="1/2W",$C532="1/2L"),$P532-$O532,IF($C532="X",0,-$O532)),2),0)</f>
        <v>0</v>
      </c>
      <c r="AQ532" s="133">
        <f>IF($K532=AQ$3,ROUND(IF(OR($C532="W",$C532="1/2W",$C532="1/2L"),$P532-$O532,IF($C532="X",0,-$O532)),2),0)</f>
        <v>0</v>
      </c>
      <c r="AR532" s="134">
        <f>IF($K532=AR$3,ROUND(IF(OR($C532="W",$C532="1/2W",$C532="1/2L"),$P532-$O532,IF($C532="X",0,-$O532)),2),0)</f>
        <v>0</v>
      </c>
      <c r="AS532" s="132">
        <f>IF(AND($B532=" ",$K532=AS$3),$O532,0)</f>
        <v>0</v>
      </c>
      <c r="AT532" s="133">
        <f>IF(AND($B532=" ",$K532=AT$3),$O532,0)</f>
        <v>0</v>
      </c>
      <c r="AU532" s="133">
        <f>IF(AND($B532=" ",$K532=AU$3),$O532,0)</f>
        <v>0</v>
      </c>
      <c r="AV532" s="133">
        <f>IF(AND($B532=" ",$K532=AV$3),$O532,0)</f>
        <v>0</v>
      </c>
      <c r="AW532" s="133">
        <f>IF(AND($B532=" ",$K532=AW$3),$O532,0)</f>
        <v>0</v>
      </c>
      <c r="AX532" s="133">
        <f>IF(AND($B532=" ",$K532=AX$3),$O532,0)</f>
        <v>0</v>
      </c>
      <c r="AY532" s="135">
        <f>IF(AND($B532=" ",$K532=AY$3),$O532,0)</f>
        <v>0</v>
      </c>
      <c r="AZ532" s="136">
        <f>IF(AND($B532=" ",$K532=AZ$3),$O532,0)</f>
        <v>0</v>
      </c>
      <c r="BA532" s="136">
        <f>IF(AND($B532=" ",$K532=BA$3),$O532,0)</f>
        <v>0</v>
      </c>
      <c r="BB532" s="136">
        <f>IF(AND($B532=" ",$K532=BB$3),$O532,0)</f>
        <v>0</v>
      </c>
      <c r="BC532" s="137">
        <f>IF(AND($B532=" ",$K532=BC$3),$O532,0)</f>
        <v>0</v>
      </c>
      <c r="BD532" s="133">
        <f>IF(AND($B532=" ",$K532=BD$3),$O532,0)</f>
        <v>0</v>
      </c>
      <c r="BE532" s="134">
        <f>IF(AND($B532=" ",$K532=BE$3),$O532,0)</f>
        <v>0</v>
      </c>
      <c r="BF532" s="132">
        <f>IF($K532=BF$3,IF($C532="X",0,$O532),0)</f>
        <v>10.8</v>
      </c>
      <c r="BG532" s="133">
        <f>IF($K532=BG$3,IF($C532="X",0,$O532),0)</f>
        <v>0</v>
      </c>
      <c r="BH532" s="133">
        <f>IF($K532=BH$3,IF($C532="X",0,$O532),0)</f>
        <v>0</v>
      </c>
      <c r="BI532" s="133">
        <f>IF($K532=BI$3,IF($C532="X",0,$O532),0)</f>
        <v>0</v>
      </c>
      <c r="BJ532" s="133">
        <f>IF($K532=BJ$3,IF($C532="X",0,$O532),0)</f>
        <v>0</v>
      </c>
      <c r="BK532" s="133">
        <f>IF($K532=BK$3,IF($C532="X",0,$O532),0)</f>
        <v>0</v>
      </c>
      <c r="BL532" s="133">
        <f>IF($K532=BL$3,IF($C532="X",0,$O532),0)</f>
        <v>0</v>
      </c>
      <c r="BM532" s="135">
        <f>IF($K532=BM$3,IF($C532="X",0,$O532),0)</f>
        <v>0</v>
      </c>
      <c r="BN532" s="136">
        <f>IF($K532=BN$3,IF($C532="X",0,$O532),0)</f>
        <v>0</v>
      </c>
      <c r="BO532" s="136">
        <f>IF($K532=BO$3,IF($C532="X",0,$O532),0)</f>
        <v>0</v>
      </c>
      <c r="BP532" s="136">
        <f>IF($K532=BP$3,IF($C532="X",0,$O532),0)</f>
        <v>0</v>
      </c>
      <c r="BQ532" s="137">
        <f>IF($K532=BQ$3,IF($C532="X",0,$O532),0)</f>
        <v>0</v>
      </c>
      <c r="BR532" s="134">
        <f>IF($K532=BR$3,IF($C532="X",0,$O532),0)</f>
        <v>0</v>
      </c>
      <c r="BS532" s="170">
        <f>IF($B532="LOSS",IF(AND($K532=BS$3,$C532="L"),-$O532,0)+IF(AND($K533=BS$3,$C533="L"),-$O533,0)+IF(AND($K534=BS$3,$C534="L"),-$O534,0),IF(OR(AND($K532=BS$3,OR($C532="W",$C532="1/2W")),AND($K533=BS$3,OR($C533="W",$C533="1/2W")),AND($K534=BS$3,OR($C534="W",$C534="1/2W"))),$S532,0))</f>
        <v>0</v>
      </c>
      <c r="BT532" s="272">
        <f>IF($B532="LOSS",IF(AND($K532=BT$3,$C532="L"),-$O532,0)+IF(AND($K533=BT$3,$C533="L"),-$O533,0)+IF(AND($K533=BT$3,$C534="L"),-$O534,0),IF(OR(AND($K533=BT$3,OR($C532="W",$C532="1/2W")),AND($K533=BT$3,OR($C533="W",$C533="1/2W")),AND($K533=BT$3,OR($C534="W",$C534="1/2W"))),$S532,0))</f>
        <v>0.87</v>
      </c>
      <c r="BU532" s="136">
        <f>IF($B532="LOSS",IF(AND($K532=BU$3,$C532="L"),-$O532,0)+IF(AND($K533=BU$3,$C533="L"),-$O533,0)+IF(AND($K533=BU$3,$C534="L"),-$O534,0),IF(OR(AND($K533=BU$3,OR($C532="W",$C532="1/2W")),AND($K533=BU$3,OR($C533="W",$C533="1/2W")),AND($K533=BU$3,OR($C534="W",$C534="1/2W"))),$S532,0))</f>
        <v>0</v>
      </c>
      <c r="BV532" s="136">
        <f>IF($B532="LOSS",IF(AND($K532=BV$3,$C532="L"),-$O532,0)+IF(AND($K533=BV$3,$C533="L"),-$O533,0)+IF(AND($K534=BV$3,$C534="L"),-$O534,0),IF(OR(AND($K532=BV$3,OR($C532="W",$C532="1/2W")),AND($K533=BV$3,OR($C533="W",$C533="1/2W")),AND($K534=BV$3,OR($C534="W",$C534="1/2W"))),$S532,0))</f>
        <v>0</v>
      </c>
      <c r="BW532" s="136">
        <f>IF($B532="LOSS",IF(AND($K532=BW$3,$C532="L"),-$O532,0)+IF(AND($K533=BW$3,$C533="L"),-$O533,0)+IF(AND($K534=BW$3,$C534="L"),-$O534,0),IF(OR(AND($K532=BW$3,OR($C532="W",$C532="1/2W")),AND($K533=BW$3,OR($C533="W",$C533="1/2W")),AND($K534=BW$3,OR($C534="W",$C534="1/2W"))),$S532,0))</f>
        <v>0</v>
      </c>
      <c r="BX532" s="136">
        <f>IF($B532="LOSS",IF(AND($K532=BX$3,$C532="L"),-$O532,0)+IF(AND($K533=BX$3,$C533="L"),-$O533,0)+IF(AND($K534=BX$3,$C534="L"),-$O534,0),IF(OR(AND($K532=BX$3,OR($C532="W",$C532="1/2W")),AND($K533=BX$3,OR($C533="W",$C533="1/2W")),AND($K534=BX$3,OR($C534="W",$C534="1/2W"))),$S532,0))</f>
        <v>0</v>
      </c>
      <c r="BY532" s="136">
        <f>IF($B532="LOSS",IF(AND($K532=BY$3,$C532="L"),-$O532,0)+IF(AND($K533=BY$3,$C533="L"),-$O533,0)+IF(AND($K534=BY$3,$C534="L"),-$O534,0),IF(OR(AND($K532=BY$3,OR($C532="W",$C532="1/2W")),AND($K533=BY$3,OR($C533="W",$C533="1/2W")),AND($K534=BY$3,OR($C534="W",$C534="1/2W"))),$S532,0))</f>
        <v>0</v>
      </c>
      <c r="BZ532" s="136">
        <f>IF($B532="LOSS",IF(AND($K532=BZ$3,$C532="L"),-$O532,0)+IF(AND($K533=BZ$3,$C533="L"),-$O533,0)+IF(AND($K534=BZ$3,$C534="L"),-$O534,0),IF(OR(AND($K532=BZ$3,OR($C532="W",$C532="1/2W")),AND($K533=BZ$3,OR($C533="W",$C533="1/2W")),AND($K534=BZ$3,OR($C534="W",$C534="1/2W"))),$S532,0))</f>
        <v>0</v>
      </c>
      <c r="CA532" s="136">
        <f>IF($B532="LOSS",IF(AND($K532=CA$3,$C532="L"),-$O532,0)+IF(AND($K533=CA$3,$C533="L"),-$O533,0)+IF(AND($K534=CA$3,$C534="L"),-$O534,0),IF(OR(AND($K532=CA$3,OR($C532="W",$C532="1/2W")),AND($K533=CA$3,OR($C533="W",$C533="1/2W")),AND($K534=CA$3,OR($C534="W",$C534="1/2W"))),$S532,0))</f>
        <v>0</v>
      </c>
      <c r="CB532" s="136">
        <f>IF($B532="LOSS",IF(AND($K532=CB$3,$C532="L"),-$O532,0)+IF(AND($K533=CB$3,$C533="L"),-$O533,0)+IF(AND($K534=CB$3,$C534="L"),-$O534,0),IF(OR(AND($K532=CB$3,OR($C532="W",$C532="1/2W")),AND($K533=CB$3,OR($C533="W",$C533="1/2W")),AND($K534=CB$3,OR($C534="W",$C534="1/2W"))),$S532,0))</f>
        <v>0</v>
      </c>
      <c r="CC532" s="136">
        <f>IF($B532="LOSS",IF(AND($K532=CC$3,$C532="L"),-$O532,0)+IF(AND($K533=CC$3,$C533="L"),-$O533,0)+IF(AND($K534=CC$3,$C534="L"),-$O534,0),IF(OR(AND($K532=CC$3,OR($C532="W",$C532="1/2W")),AND($K533=CC$3,OR($C533="W",$C533="1/2W")),AND($K534=CC$3,OR($C534="W",$C534="1/2W"))),$S532,0))</f>
        <v>0</v>
      </c>
      <c r="CD532" s="137">
        <f>IF($B532="LOSS",IF(AND($K532=CD$3,$C532="L"),-$O532,0)+IF(AND($K533=CD$3,$C533="L"),-$O533,0)+IF(AND($K534=CD$3,$C534="L"),-$O534,0),IF(OR(AND($K532=CD$3,OR($C532="W",$C532="1/2W")),AND($K533=CD$3,OR($C533="W",$C533="1/2W")),AND($K534=CD$3,OR($C534="W",$C534="1/2W"))),$S532,0))</f>
        <v>0</v>
      </c>
      <c r="CE532" s="134">
        <f>IF($B532="LOSS",IF(AND($K532=CE$3,$C532="L"),-$O532,0)+IF(AND($K533=CE$3,$C533="L"),-$O533,0)+IF(AND($K534=CE$3,$C534="L"),-$O534,0),IF(OR(AND($K532=CE$3,OR($C532="W",$C532="1/2W")),AND($K533=CE$3,OR($C533="W",$C533="1/2W")),AND($K534=CE$3,OR($C534="W",$C534="1/2W"))),$S532,0))</f>
        <v>0</v>
      </c>
      <c r="CF532" s="273">
        <f>IF(CF$3=$K532,IF($C532="W",1,IF($C532="1/2W",0.5,0)),0)</f>
        <v>0</v>
      </c>
      <c r="CG532" s="274">
        <f>IF(CF$3=$K532,IF($C532="L",1,IF($C532="1/2L",0.5,0)),0)</f>
        <v>1</v>
      </c>
      <c r="CH532" s="274">
        <f>IF(CH$3=$K532,IF($C532="W",1,IF($C532="1/2W",0.5,0)),0)</f>
        <v>0</v>
      </c>
      <c r="CI532" s="274">
        <f>IF(CH$3=$K532,IF($C532="L",1,IF($C532="1/2L",0.5,0)),0)</f>
        <v>0</v>
      </c>
      <c r="CJ532" s="274">
        <f>IF(CJ$3=$K532,IF($C532="W",1,IF($C532="1/2W",0.5,0)),0)</f>
        <v>0</v>
      </c>
      <c r="CK532" s="274">
        <f>IF(CJ$3=$K532,IF($C532="L",1,IF($C532="1/2L",0.5,0)),0)</f>
        <v>0</v>
      </c>
      <c r="CL532" s="274">
        <f>IF(CL$3=$K532,IF($C532="W",1,IF($C532="1/2W",0.5,0)),0)</f>
        <v>0</v>
      </c>
      <c r="CM532" s="274">
        <f>IF(CL$3=$K532,IF($C532="L",1,IF($C532="1/2L",0.5,0)),0)</f>
        <v>0</v>
      </c>
      <c r="CN532" s="274">
        <f>IF(CN$3=$K532,IF($C532="W",1,IF($C532="1/2W",0.5,0)),0)</f>
        <v>0</v>
      </c>
      <c r="CO532" s="274">
        <f>IF(CN$3=$K532,IF($C532="L",1,IF($C532="1/2L",0.5,0)),0)</f>
        <v>0</v>
      </c>
      <c r="CP532" s="274">
        <f>IF(CP$3=$K532,IF($C532="W",1,IF($C532="1/2W",0.5,0)),0)</f>
        <v>0</v>
      </c>
      <c r="CQ532" s="274">
        <f>IF(CP$3=$K532,IF($C532="L",1,IF($C532="1/2L",0.5,0)),0)</f>
        <v>0</v>
      </c>
      <c r="CR532" s="274">
        <f>IF(CR$3=$K532,IF($C532="W",1,IF($C532="1/2W",0.5,0)),0)</f>
        <v>0</v>
      </c>
      <c r="CS532" s="274">
        <f>IF(CR$3=$K532,IF($C532="L",1,IF($C532="1/2L",0.5,0)),0)</f>
        <v>0</v>
      </c>
      <c r="CT532" s="145">
        <f>IF(CT$3=$K532,IF($C532="W",1,IF($C532="1/2W",0.5,0)),0)</f>
        <v>0</v>
      </c>
      <c r="CU532" s="146">
        <f>IF(CT$3=$K532,IF($C532="L",1,IF($C532="1/2L",0.5,0)),0)</f>
        <v>0</v>
      </c>
      <c r="CV532" s="146">
        <f>IF(CV$3=$K532,IF($C532="W",1,IF($C532="1/2W",0.5,0)),0)</f>
        <v>0</v>
      </c>
      <c r="CW532" s="146">
        <f>IF(CV$3=$K532,IF($C532="L",1,IF($C532="1/2L",0.5,0)),0)</f>
        <v>0</v>
      </c>
      <c r="CX532" s="146">
        <f>IF(CX$3=$K532,IF($C532="W",1,IF($C532="1/2W",0.5,0)),0)</f>
        <v>0</v>
      </c>
      <c r="CY532" s="146">
        <f>IF(CX$3=$K532,IF($C532="L",1,IF($C532="1/2L",0.5,0)),0)</f>
        <v>0</v>
      </c>
      <c r="CZ532" s="146">
        <f>IF(CZ$3=$K532,IF($C532="W",1,IF($C532="1/2W",0.5,0)),0)</f>
        <v>0</v>
      </c>
      <c r="DA532" s="146">
        <f>IF(CZ$3=$K532,IF($C532="L",1,IF($C532="1/2L",0.5,0)),0)</f>
        <v>0</v>
      </c>
      <c r="DB532" s="146">
        <f>IF(DB$3=$K532,IF($C532="W",1,IF($C532="1/2W",0.5,0)),0)</f>
        <v>0</v>
      </c>
      <c r="DC532" s="146">
        <f>IF(DB$3=$K532,IF($C532="L",1,IF($C532="1/2L",0.5,0)),0)</f>
        <v>0</v>
      </c>
      <c r="DD532" s="146">
        <f>IF(DD$3=$K532,IF($C532="W",1,IF($C532="1/2W",0.5,0)),0)</f>
        <v>0</v>
      </c>
      <c r="DE532" s="147">
        <f>IF(DD$3=$K532,IF($C532="L",1,IF($C532="1/2L",0.5,0)),0)</f>
        <v>0</v>
      </c>
      <c r="DF532" s="143">
        <f>IF(AND(L532&lt;DF$3,$C532="W"),1+DF531,DF531)</f>
        <v>16</v>
      </c>
      <c r="DG532" s="133">
        <f>IF(DF532&gt;DF531,L532+DG531,DG531)</f>
        <v>21.158</v>
      </c>
      <c r="DH532" s="146">
        <f>IF(AND(L532&gt;DH$3,$C532="W"),1+DH531,0+DH531)</f>
        <v>14</v>
      </c>
      <c r="DI532" s="133">
        <f>IF(DH532&gt;DH531,L532+DI531,DI531)</f>
        <v>77.43000000000001</v>
      </c>
      <c r="DJ532" t="s" s="304">
        <f>IF($D532="","",$D532)</f>
        <v>396</v>
      </c>
      <c r="DK532" s="146">
        <f>IF(AND($B532=" ",$D532&lt;&gt;""),1,0)</f>
        <v>0</v>
      </c>
    </row>
    <row r="533" ht="14.55" customHeight="1">
      <c r="A533" s="107"/>
      <c r="B533" s="108"/>
      <c r="C533" t="s" s="109">
        <v>51</v>
      </c>
      <c r="D533" s="110"/>
      <c r="E533" s="111"/>
      <c r="F533" s="113"/>
      <c r="G533" s="252"/>
      <c r="H533" s="114"/>
      <c r="I533" t="s" s="275">
        <v>407</v>
      </c>
      <c r="J533" s="276">
        <v>-2</v>
      </c>
      <c r="K533" t="s" s="117">
        <v>38</v>
      </c>
      <c r="L533" s="277">
        <v>4</v>
      </c>
      <c r="M533" s="278">
        <v>2.69</v>
      </c>
      <c r="N533" s="120"/>
      <c r="O533" s="121">
        <f>IF(OR(AE532="",AE533=""),"",ROUND(IF(L534&gt;0,IF(M533&gt;0,M533,IF(M532&gt;0,IF(N532=TRUE,ROUND((M532*AE533)/AE532,0),(M532*AE533)/AE532),IF(M533&gt;0,ROUND(M533,IF(N532=0,2,IF(N532=0.1,1,0))),IF(M534&gt;0,ROUND(O534*AE533/AE534,IF(N532=0,2,IF(N532=0.1,1,0))),0)))),IF(M533&gt;0,M533,ROUND((M532*AE533)/AE532,IF(N532=0,2,IF(N532=0.1,1,0))))),2))</f>
        <v>2.69</v>
      </c>
      <c r="P533" s="122">
        <f>IF(OR(L533="",O533=""),"",IF($C533="1/2W",O533/2+O533/2*L533,IF($C533="1/2L",O533/2,IF(I533="Lay",((O533*(L533/(L533-1)))-O533)*(1-_xlfn.XLOOKUP(K533,'Janeiro 2023 - Valor Real'!A3:A15,'Janeiro 2023 - Valor Real'!C3:C15,0))+O533,(O533*L533-O533)*(1-_xlfn.XLOOKUP(K533,'Janeiro 2023 - Valor Real'!A3:A15,'Janeiro 2023 - Valor Real'!C3:C15,0))+O533))))</f>
        <v>10.76</v>
      </c>
      <c r="Q533" s="279">
        <f>IF(K533="","",IF(_xlfn.XLOOKUP(K533,K$120:K312,DJ$120:DJ312,0,,-1)=DJ533,_xlfn.XLOOKUP(K533,K$120:K312,Q$120:Q312,1,,-1)+1,1))</f>
        <v>1</v>
      </c>
      <c r="R533" s="280">
        <f>IF(K533="","",_xlfn.XLOOKUP(K533,K$120:K312,R$120:R312,0,,-1)+IF($C533=" ",1,0))</f>
        <v>0</v>
      </c>
      <c r="S533" s="125"/>
      <c r="T533" s="126"/>
      <c r="U533" s="126"/>
      <c r="V533" s="224"/>
      <c r="W533" s="126"/>
      <c r="X533" s="127"/>
      <c r="Y533" s="128"/>
      <c r="Z533" s="129"/>
      <c r="AA533" s="129"/>
      <c r="AB533" s="129"/>
      <c r="AC533" s="129"/>
      <c r="AD533" s="130"/>
      <c r="AE533" s="131">
        <f>IF(L533="","",IF(L534&gt;0,(SUM(((L532-1)*(1-_xlfn.XLOOKUP(K532,'Janeiro 2023 - Valor Real'!A3:A15,'Janeiro 2023 - Valor Real'!C3:C15,0))+1),((L533-1)*(1-_xlfn.XLOOKUP(K533,'Janeiro 2023 - Valor Real'!A3:A15,'Janeiro 2023 - Valor Real'!C3:C15,0))+1),((L534-1)*(1-_xlfn.XLOOKUP(K534,'Janeiro 2023 - Valor Real'!A3:A15,'Janeiro 2023 - Valor Real'!C3:C15,0))+1))/((L533-1)*(1-_xlfn.XLOOKUP(K533,'Janeiro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Real'!C3:C15,0))+1))/((L532-1)*(1-_xlfn.XLOOKUP(K532,'Janeiro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Real'!C3:C15,0))+1))/((L533-1)*(1-_xlfn.XLOOKUP(K533,'Janeiro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Real'!C3:C15,0))+1))/((L534-1)*(1-_xlfn.XLOOKUP(K534,'Janeiro 2023 - Valor Real'!A3:A15,'Janeiro 2023 - Valor Real'!C3:C15,0))+1)),IF(I533="Lay",IF(I532="Lay",((L532/(L532-1)-1)*(1-_xlfn.XLOOKUP(K532,'Janeiro 2023 - Valor Real'!A3:A15,'Janeiro 2023 - Valor Real'!C3:C15,0))+1)/(((L532/(L532-1)-1)*(1-_xlfn.XLOOKUP(K532,'Janeiro 2023 - Valor Real'!A3:A15,'Janeiro 2023 - Valor Real'!C3:C15,0))+1)+((L533/(L533-1)-1)*(1-_xlfn.XLOOKUP(K533,'Janeiro 2023 - Valor Real'!A3:A15,'Janeiro 2023 - Valor Real'!C3:C15,0))+1)),((L532-1)*(1-_xlfn.XLOOKUP(K532,'Janeiro 2023 - Valor Real'!A3:A15,'Janeiro 2023 - Valor Real'!C3:C15,0))+1)/(((L532-1)*(1-_xlfn.XLOOKUP(K532,'Janeiro 2023 - Valor Real'!A3:A15,'Janeiro 2023 - Valor Real'!C3:C15,0))+1)+((L533/(L533-1)-1)*(1-_xlfn.XLOOKUP(K533,'Janeiro 2023 - Valor Real'!A3:A15,'Janeiro 2023 - Valor Real'!C3:C15,0))+1))),IF(I532="Lay",((L532/(L532-1)-1)*(1-_xlfn.XLOOKUP(K532,'Janeiro 2023 - Valor Real'!A3:A15,'Janeiro 2023 - Valor Real'!C3:C15,0))+1)/((((L532/(L532-1)-1)*(1-_xlfn.XLOOKUP(K532,'Janeiro 2023 - Valor Real'!A3:A15,'Janeiro 2023 - Valor Real'!C3:C15,0))+1))+((L533-1)*(1-_xlfn.XLOOKUP(K533,'Janeiro 2023 - Valor Real'!A3:A15,'Janeiro 2023 - Valor Real'!C3:C15,0))+1)),((L532-1)*(1-_xlfn.XLOOKUP(K532,'Janeiro 2023 - Valor Real'!A3:A15,'Janeiro 2023 - Valor Real'!C3:C15,0))+1)/(((L532-1)*(1-_xlfn.XLOOKUP(K532,'Janeiro 2023 - Valor Real'!A3:A15,'Janeiro 2023 - Valor Real'!C3:C15,0))+1)+((L533-1)*(1-_xlfn.XLOOKUP(K533,'Janeiro 2023 - Valor Real'!A3:A15,'Janeiro 2023 - Valor Real'!C3:C15,0))+1))))))</f>
        <v>0.230769230769231</v>
      </c>
      <c r="AF533" s="132">
        <f>IF($K533=AF$3,ROUND(IF(OR($C533="W",$C533="1/2W",$C533="1/2L"),$P533-$O533,IF($C533="X",0,-$O533)),2),0)</f>
        <v>0</v>
      </c>
      <c r="AG533" s="133">
        <f>IF($K533=AG$3,ROUND(IF(OR($C533="W",$C533="1/2W",$C533="1/2L"),$P533-$O533,IF($C533="X",0,-$O533)),2),0)</f>
        <v>-2.69</v>
      </c>
      <c r="AH533" s="133">
        <f>IF($K533=AH$3,ROUND(IF(OR($C533="W",$C533="1/2W",$C533="1/2L"),$P533-$O533,IF($C533="X",0,-$O533)),2),0)</f>
        <v>0</v>
      </c>
      <c r="AI533" s="133">
        <f>IF($K533=AI$3,ROUND(IF(OR($C533="W",$C533="1/2W",$C533="1/2L"),$P533-$O533,IF($C533="X",0,-$O533)),2),0)</f>
        <v>0</v>
      </c>
      <c r="AJ533" s="133">
        <f>IF($K533=AJ$3,ROUND(IF(OR($C533="W",$C533="1/2W",$C533="1/2L"),$P533-$O533,IF($C533="X",0,-$O533)),2),0)</f>
        <v>0</v>
      </c>
      <c r="AK533" s="133">
        <f>IF($K533=AK$3,ROUND(IF(OR($C533="W",$C533="1/2W",$C533="1/2L"),$P533-$O533,IF($C533="X",0,-$O533)),2),0)</f>
        <v>0</v>
      </c>
      <c r="AL533" s="133">
        <f>IF($K533=AL$3,ROUND(IF(OR($C533="W",$C533="1/2W",$C533="1/2L"),$P533-$O533,IF($C533="X",0,-$O533)),2),0)</f>
        <v>0</v>
      </c>
      <c r="AM533" s="133">
        <f>IF($K533=AM$3,ROUND(IF(OR($C533="W",$C533="1/2W",$C533="1/2L"),$P533-$O533,IF($C533="X",0,-$O533)),2),0)</f>
        <v>0</v>
      </c>
      <c r="AN533" s="133">
        <f>IF($K533=AN$3,ROUND(IF(OR($C533="W",$C533="1/2W",$C533="1/2L"),$P533-$O533,IF($C533="X",0,-$O533)),2),0)</f>
        <v>0</v>
      </c>
      <c r="AO533" s="133">
        <f>IF($K533=AO$3,ROUND(IF(OR($C533="W",$C533="1/2W",$C533="1/2L"),$P533-$O533,IF($C533="X",0,-$O533)),2),0)</f>
        <v>0</v>
      </c>
      <c r="AP533" s="133">
        <f>IF($K533=AP$3,ROUND(IF(OR($C533="W",$C533="1/2W",$C533="1/2L"),$P533-$O533,IF($C533="X",0,-$O533)),2),0)</f>
        <v>0</v>
      </c>
      <c r="AQ533" s="133">
        <f>IF($K533=AQ$3,ROUND(IF(OR($C533="W",$C533="1/2W",$C533="1/2L"),$P533-$O533,IF($C533="X",0,-$O533)),2),0)</f>
        <v>0</v>
      </c>
      <c r="AR533" s="134">
        <f>IF($K533=AR$3,ROUND(IF(OR($C533="W",$C533="1/2W",$C533="1/2L"),$P533-$O533,IF($C533="X",0,-$O533)),2),0)</f>
        <v>0</v>
      </c>
      <c r="AS533" s="132">
        <f>IF(AND($B532=" ",$K533=AS$3),$O533,0)</f>
        <v>0</v>
      </c>
      <c r="AT533" s="133">
        <f>IF(AND($B532=" ",K533=AT$3),$O533,0)</f>
        <v>0</v>
      </c>
      <c r="AU533" s="133">
        <f>IF(AND($B532=" ",$K533=AU$3),$O533,0)</f>
        <v>0</v>
      </c>
      <c r="AV533" s="133">
        <f>IF(AND($B532=" ",$K533=AV$3),$O533,0)</f>
        <v>0</v>
      </c>
      <c r="AW533" s="133">
        <f>IF(AND($B532=" ",$K533=AW$3),$O533,0)</f>
        <v>0</v>
      </c>
      <c r="AX533" s="133">
        <f>IF(AND($B532=" ",$K533=AX$3),$O533,0)</f>
        <v>0</v>
      </c>
      <c r="AY533" s="135">
        <f>IF(AND($B532=" ",$K533=AY$3),$O533,0)</f>
        <v>0</v>
      </c>
      <c r="AZ533" s="136">
        <f>IF(AND($B532=" ",$K533=AZ$3),$O533,0)</f>
        <v>0</v>
      </c>
      <c r="BA533" s="136">
        <f>IF(AND($B532=" ",$K533=BA$3),$O533,0)</f>
        <v>0</v>
      </c>
      <c r="BB533" s="136">
        <f>IF(AND($B532=" ",$K533=BB$3),$O533,0)</f>
        <v>0</v>
      </c>
      <c r="BC533" s="137">
        <f>IF(AND($B532=" ",$K533=BC$3),$O533,0)</f>
        <v>0</v>
      </c>
      <c r="BD533" s="133">
        <f>IF(AND($B532=" ",$K533=BD$3),$O533,0)</f>
        <v>0</v>
      </c>
      <c r="BE533" s="134">
        <f>IF(AND($B532=" ",$K533=BE$3),$O533,0)</f>
        <v>0</v>
      </c>
      <c r="BF533" s="132">
        <f>IF($K533=BF$3,IF($C533="X",0,$O533),0)</f>
        <v>0</v>
      </c>
      <c r="BG533" s="281">
        <f>IF($K533=BG$3,IF($C533="X",0,$O533),0)</f>
        <v>2.69</v>
      </c>
      <c r="BH533" s="133">
        <f>IF($K533=BH$3,IF($C533="X",0,$O533),0)</f>
        <v>0</v>
      </c>
      <c r="BI533" s="133">
        <f>IF($K533=BI$3,IF($C533="X",0,$O533),0)</f>
        <v>0</v>
      </c>
      <c r="BJ533" s="133">
        <f>IF($K533=BJ$3,IF($C533="X",0,$O533),0)</f>
        <v>0</v>
      </c>
      <c r="BK533" s="133">
        <f>IF($K533=BK$3,IF($C533="X",0,$O533),0)</f>
        <v>0</v>
      </c>
      <c r="BL533" s="133">
        <f>IF($K533=BL$3,IF($C533="X",0,$O533),0)</f>
        <v>0</v>
      </c>
      <c r="BM533" s="135">
        <f>IF($K533=BM$3,IF($C533="X",0,$O533),0)</f>
        <v>0</v>
      </c>
      <c r="BN533" s="136">
        <f>IF($K533=BN$3,IF($C533="X",0,$O533),0)</f>
        <v>0</v>
      </c>
      <c r="BO533" s="136">
        <f>IF($K533=BO$3,IF($C533="X",0,$O533),0)</f>
        <v>0</v>
      </c>
      <c r="BP533" s="136">
        <f>IF($K533=BP$3,IF($C533="X",0,$O533),0)</f>
        <v>0</v>
      </c>
      <c r="BQ533" s="137">
        <f>IF($K533=BQ$3,IF($C533="X",0,$O533),0)</f>
        <v>0</v>
      </c>
      <c r="BR533" s="134">
        <f>IF($K533=BR$3,IF($C533="X",0,$O533),0)</f>
        <v>0</v>
      </c>
      <c r="BS533" s="282"/>
      <c r="BT533" s="283"/>
      <c r="BU533" s="140"/>
      <c r="BV533" s="283"/>
      <c r="BW533" s="140"/>
      <c r="BX533" s="140"/>
      <c r="BY533" s="140"/>
      <c r="BZ533" s="283"/>
      <c r="CA533" s="140"/>
      <c r="CB533" s="140"/>
      <c r="CC533" s="140"/>
      <c r="CD533" s="141"/>
      <c r="CE533" s="142"/>
      <c r="CF533" s="284">
        <f>IF(CF$3=$K533,IF($C533="W",1,IF($C533="1/2W",0.5,0)),0)</f>
        <v>0</v>
      </c>
      <c r="CG533" s="285">
        <f>IF(CF$3=$K533,IF($C533="L",1,IF($C533="1/2L",0.5,0)),0)</f>
        <v>0</v>
      </c>
      <c r="CH533" s="285">
        <f>IF(CH$3=$K533,IF($C533="W",1,IF($C533="1/2W",0.5,0)),0)</f>
        <v>0</v>
      </c>
      <c r="CI533" s="285">
        <f>IF(CH$3=$K533,IF($C533="L",1,IF($C533="1/2L",0.5,0)),0)</f>
        <v>1</v>
      </c>
      <c r="CJ533" s="285">
        <f>IF(CJ$3=$K533,IF($C533="W",1,IF($C533="1/2W",0.5,0)),0)</f>
        <v>0</v>
      </c>
      <c r="CK533" s="285">
        <f>IF(CJ$3=$K533,IF($C533="L",1,IF($C533="1/2L",0.5,0)),0)</f>
        <v>0</v>
      </c>
      <c r="CL533" s="285">
        <f>IF(CL$3=$K533,IF($C533="W",1,IF($C533="1/2W",0.5,0)),0)</f>
        <v>0</v>
      </c>
      <c r="CM533" s="285">
        <f>IF(CL$3=$K533,IF($C533="L",1,IF($C533="1/2L",0.5,0)),0)</f>
        <v>0</v>
      </c>
      <c r="CN533" s="285">
        <f>IF(CN$3=$K533,IF($C533="W",1,IF($C533="1/2W",0.5,0)),0)</f>
        <v>0</v>
      </c>
      <c r="CO533" s="285">
        <f>IF(CN$3=$K533,IF($C533="L",1,IF($C533="1/2L",0.5,0)),0)</f>
        <v>0</v>
      </c>
      <c r="CP533" s="285">
        <f>IF(CP$3=$K533,IF($C533="W",1,IF($C533="1/2W",0.5,0)),0)</f>
        <v>0</v>
      </c>
      <c r="CQ533" s="285">
        <f>IF(CP$3=$K533,IF($C533="L",1,IF($C533="1/2L",0.5,0)),0)</f>
        <v>0</v>
      </c>
      <c r="CR533" s="285">
        <f>IF(CR$3=$K533,IF($C533="W",1,IF($C533="1/2W",0.5,0)),0)</f>
        <v>0</v>
      </c>
      <c r="CS533" s="285">
        <f>IF(CR$3=$K533,IF($C533="L",1,IF($C533="1/2L",0.5,0)),0)</f>
        <v>0</v>
      </c>
      <c r="CT533" s="145">
        <f>IF(CT$3=$K533,IF($C533="W",1,IF($C533="1/2W",0.5,0)),0)</f>
        <v>0</v>
      </c>
      <c r="CU533" s="146">
        <f>IF(CT$3=$K533,IF($C533="L",1,IF($C533="1/2L",0.5,0)),0)</f>
        <v>0</v>
      </c>
      <c r="CV533" s="146">
        <f>IF(CV$3=$K533,IF($C533="W",1,IF($C533="1/2W",0.5,0)),0)</f>
        <v>0</v>
      </c>
      <c r="CW533" s="146">
        <f>IF(CV$3=$K533,IF($C533="L",1,IF($C533="1/2L",0.5,0)),0)</f>
        <v>0</v>
      </c>
      <c r="CX533" s="146">
        <f>IF(CX$3=$K533,IF($C533="W",1,IF($C533="1/2W",0.5,0)),0)</f>
        <v>0</v>
      </c>
      <c r="CY533" s="146">
        <f>IF(CX$3=$K533,IF($C533="L",1,IF($C533="1/2L",0.5,0)),0)</f>
        <v>0</v>
      </c>
      <c r="CZ533" s="146">
        <f>IF(CZ$3=$K533,IF($C533="W",1,IF($C533="1/2W",0.5,0)),0)</f>
        <v>0</v>
      </c>
      <c r="DA533" s="146">
        <f>IF(CZ$3=$K533,IF($C533="L",1,IF($C533="1/2L",0.5,0)),0)</f>
        <v>0</v>
      </c>
      <c r="DB533" s="146">
        <f>IF(DB$3=$K533,IF($C533="W",1,IF($C533="1/2W",0.5,0)),0)</f>
        <v>0</v>
      </c>
      <c r="DC533" s="146">
        <f>IF(DB$3=$K533,IF($C533="L",1,IF($C533="1/2L",0.5,0)),0)</f>
        <v>0</v>
      </c>
      <c r="DD533" s="146">
        <f>IF(DD$3=$K533,IF($C533="W",1,IF($C533="1/2W",0.5,0)),0)</f>
        <v>0</v>
      </c>
      <c r="DE533" s="147">
        <f>IF(DD$3=$K533,IF($C533="L",1,IF($C533="1/2L",0.5,0)),0)</f>
        <v>0</v>
      </c>
      <c r="DF533" s="143">
        <f>IF(AND(L533&lt;DF$3,$C533="W"),1+DF532,DF532)</f>
        <v>16</v>
      </c>
      <c r="DG533" s="133">
        <f>IF(DF533&gt;DF532,L533+DG532,DG532)</f>
        <v>21.158</v>
      </c>
      <c r="DH533" s="146">
        <f>IF(AND(L533&gt;DH$3,$C533="W"),1+DH532,0+DH532)</f>
        <v>14</v>
      </c>
      <c r="DI533" s="133">
        <f>IF(DH533&gt;DH532,L533+DI532,DI532)</f>
        <v>77.43000000000001</v>
      </c>
      <c r="DJ533" t="s" s="304">
        <f>IF($D532="","",$D532)</f>
        <v>396</v>
      </c>
      <c r="DK533" s="286"/>
    </row>
    <row r="534" ht="14.55" customHeight="1">
      <c r="A534" s="149"/>
      <c r="B534" s="150"/>
      <c r="C534" t="s" s="151">
        <v>56</v>
      </c>
      <c r="D534" s="152"/>
      <c r="E534" s="153"/>
      <c r="F534" s="155"/>
      <c r="G534" s="252"/>
      <c r="H534" s="156"/>
      <c r="I534" t="s" s="347">
        <v>140</v>
      </c>
      <c r="J534" s="348">
        <v>-2</v>
      </c>
      <c r="K534" t="s" s="341">
        <v>38</v>
      </c>
      <c r="L534" s="342">
        <v>3</v>
      </c>
      <c r="M534" s="290">
        <v>7.18</v>
      </c>
      <c r="N534" s="161"/>
      <c r="O534" s="343">
        <f>IF(OR(AE532="",AE533=""),"",IF(L534&gt;0,ROUND(IF(M534&gt;0,M534,IF(M532&gt;0,ROUND((M532*AE534)/AE532,IF(N532=0,2,IF(N532=0.1,1,0))),IF(M533&gt;0,ROUND((M533*AE534)/AE533,IF(N532=0,2,IF(N532=0.1,1,0))),IF(M534&gt;0,M534,0)))),2),""))</f>
        <v>7.18</v>
      </c>
      <c r="P534" s="297">
        <f>IF(I533="Lay",O533*(L533/(L533-1))-O533,IF(I532="Lay",O532*(L532/(L532-1))-O532,IF(OR(L534="",O534=""),"",IF($C534="1/2W",O534/2+O534/2*L534,IF($C534="1/2L",O534/2,(O534*L534-O534)*(1-_xlfn.XLOOKUP(K534,'Janeiro 2023 - Valor Real'!A3:A15,'Janeiro 2023 - Valor Real'!C3:C15,0))+O534)))))</f>
        <v>21.54</v>
      </c>
      <c r="Q534" s="344">
        <f>IF(K534="","",IF(_xlfn.XLOOKUP(K534,K$121:K313,DJ$121:DJ313,0,,-1)=DJ534,_xlfn.XLOOKUP(K534,K$121:K313,Q$121:Q313,1,,-1)+1,1))</f>
        <v>1</v>
      </c>
      <c r="R534" s="345">
        <f>IF(K534="","",_xlfn.XLOOKUP(K534,K$121:K313,R$121:R313,0,,-1)+IF($C534=" ",1,0))</f>
        <v>0</v>
      </c>
      <c r="S534" s="166"/>
      <c r="T534" s="155"/>
      <c r="U534" s="155"/>
      <c r="V534" s="166"/>
      <c r="W534" s="155"/>
      <c r="X534" s="167"/>
      <c r="Y534" s="128"/>
      <c r="Z534" s="129"/>
      <c r="AA534" s="129"/>
      <c r="AB534" s="129"/>
      <c r="AC534" s="129"/>
      <c r="AD534" s="168"/>
      <c r="AE534" s="346">
        <f>IF(L534="","",(SUM(((L532-1)*(1-_xlfn.XLOOKUP(K532,'Janeiro 2023 - Valor Real'!A3:A15,'Janeiro 2023 - Valor Real'!C3:C15,0))+1),((L533-1)*(1-_xlfn.XLOOKUP(K533,'Janeiro 2023 - Valor Real'!A3:A15,'Janeiro 2023 - Valor Real'!C3:C15,0))+1),((L534-1)*(1-_xlfn.XLOOKUP(K534,'Janeiro 2023 - Valor Real'!A3:A15,'Janeiro 2023 - Valor Real'!C3:C15,0))+1))/((L534-1)*(1-_xlfn.XLOOKUP(K534,'Janeiro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Real'!C3:C15,0))+1))/((L532-1)*(1-_xlfn.XLOOKUP(K532,'Janeiro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Real'!C3:C15,0))+1))/((L533-1)*(1-_xlfn.XLOOKUP(K533,'Janeiro 2023 - Valor Real'!A3:A15,'Janeiro 2023 - Valor Real'!C3:C15,0))+1)+SUM(((L532-1)*(1-_xlfn.XLOOKUP(K532,'Janeiro 2023 - Valor Real'!A3:A15,'Janeiro 2023 - Valor Real'!C3:C15,0))+1),((L533-1)*(1-_xlfn.XLOOKUP(K533,'Janeiro 2023 - Valor Real'!A3:A15,'Janeiro 2023 - Valor Real'!C3:C15,0))+1),((L534-1)*(1-_xlfn.XLOOKUP(K534,'Janeiro 2023 - Valor Real'!A3:A15,'Janeiro 2023 - Valor Real'!C3:C15,0))+1))/((L534-1)*(1-_xlfn.XLOOKUP(K534,'Janeiro 2023 - Valor Real'!A3:A15,'Janeiro 2023 - Valor Real'!C3:C15,0))+1)))</f>
        <v>0.307692307692308</v>
      </c>
      <c r="AF534" s="132">
        <f>IF($K534=AF$3,ROUND(IF(OR($C534="W",$C534="1/2W",$C534="1/2L"),$P534-$O534,IF($C534="X",0,-$O534)),2),0)</f>
        <v>0</v>
      </c>
      <c r="AG534" s="133">
        <f>IF($K534=AG$3,ROUND(IF(OR($C534="W",$C534="1/2W",$C534="1/2L"),$P534-$O534,IF($C534="X",0,-$O534)),2),0)</f>
        <v>14.36</v>
      </c>
      <c r="AH534" s="133">
        <f>IF($K534=AH$3,ROUND(IF(OR($C534="W",$C534="1/2W",$C534="1/2L"),$P534-$O534,IF($C534="X",0,-$O534)),2),0)</f>
        <v>0</v>
      </c>
      <c r="AI534" s="133">
        <f>IF($K534=AI$3,ROUND(IF(OR($C534="W",$C534="1/2W",$C534="1/2L"),$P534-$O534,IF($C534="X",0,-$O534)),2),0)</f>
        <v>0</v>
      </c>
      <c r="AJ534" s="133">
        <f>IF($K534=AJ$3,ROUND(IF(OR($C534="W",$C534="1/2W",$C534="1/2L"),$P534-$O534,IF($C534="X",0,-$O534)),2),0)</f>
        <v>0</v>
      </c>
      <c r="AK534" s="133">
        <f>IF($K534=AK$3,ROUND(IF(OR($C534="W",$C534="1/2W",$C534="1/2L"),$P534-$O534,IF($C534="X",0,-$O534)),2),0)</f>
        <v>0</v>
      </c>
      <c r="AL534" s="133">
        <f>IF($K534=AL$3,ROUND(IF(OR($C534="W",$C534="1/2W",$C534="1/2L"),$P534-$O534,IF($C534="X",0,-$O534)),2),0)</f>
        <v>0</v>
      </c>
      <c r="AM534" s="133">
        <f>IF($K534=AM$3,ROUND(IF(OR($C534="W",$C534="1/2W",$C534="1/2L"),$P534-$O534,IF($C534="X",0,-$O534)),2),0)</f>
        <v>0</v>
      </c>
      <c r="AN534" s="133">
        <f>IF($K534=AN$3,ROUND(IF(OR($C534="W",$C534="1/2W",$C534="1/2L"),$P534-$O534,IF($C534="X",0,-$O534)),2),0)</f>
        <v>0</v>
      </c>
      <c r="AO534" s="133">
        <f>IF($K534=AO$3,ROUND(IF(OR($C534="W",$C534="1/2W",$C534="1/2L"),$P534-$O534,IF($C534="X",0,-$O534)),2),0)</f>
        <v>0</v>
      </c>
      <c r="AP534" s="133">
        <f>IF($K534=AP$3,ROUND(IF(OR($C534="W",$C534="1/2W",$C534="1/2L"),$P534-$O534,IF($C534="X",0,-$O534)),2),0)</f>
        <v>0</v>
      </c>
      <c r="AQ534" s="133">
        <f>IF($K534=AQ$3,ROUND(IF(OR($C534="W",$C534="1/2W",$C534="1/2L"),$P534-$O534,IF($C534="X",0,-$O534)),2),0)</f>
        <v>0</v>
      </c>
      <c r="AR534" s="134">
        <f>IF($K534=AR$3,ROUND(IF(OR($C534="W",$C534="1/2W",$C534="1/2L"),$P534-$O534,IF($C534="X",0,-$O534)),2),0)</f>
        <v>0</v>
      </c>
      <c r="AS534" s="132">
        <f>IF(AND($B532=" ",$K534=AS$3),$O534,0)</f>
        <v>0</v>
      </c>
      <c r="AT534" s="133">
        <f>IF(AND($B532=" ",K534=AT$3),$O534,0)</f>
        <v>0</v>
      </c>
      <c r="AU534" s="133">
        <f>IF(AND($B532=" ",$K534=AU$3),$O534,0)</f>
        <v>0</v>
      </c>
      <c r="AV534" s="133">
        <f>IF(AND($B532=" ",$K534=AV$3),$O534,0)</f>
        <v>0</v>
      </c>
      <c r="AW534" s="133">
        <f>IF(AND($B532=" ",$K534=AW$3),$O534,0)</f>
        <v>0</v>
      </c>
      <c r="AX534" s="133">
        <f>IF(AND($B532=" ",$K534=AX$3),$O534,0)</f>
        <v>0</v>
      </c>
      <c r="AY534" s="135">
        <f>IF(AND($B532=" ",$K534=AY$3),$O534,0)</f>
        <v>0</v>
      </c>
      <c r="AZ534" s="136">
        <f>IF(AND($B532=" ",$K534=AZ$3),$O534,0)</f>
        <v>0</v>
      </c>
      <c r="BA534" s="136">
        <f>IF(AND($B532=" ",$K534=BA$3),$O534,0)</f>
        <v>0</v>
      </c>
      <c r="BB534" s="136">
        <f>IF(AND($B532=" ",$K534=BB$3),$O534,0)</f>
        <v>0</v>
      </c>
      <c r="BC534" s="137">
        <f>IF(AND($B532=" ",$K534=BC$3),$O534,0)</f>
        <v>0</v>
      </c>
      <c r="BD534" s="133">
        <f>IF(AND($B532=" ",$K534=BD$3),$O534,0)</f>
        <v>0</v>
      </c>
      <c r="BE534" s="134">
        <f>IF(AND($B532=" ",$K534=BE$3),$O534,0)</f>
        <v>0</v>
      </c>
      <c r="BF534" s="132">
        <f>IF($K534=BF$3,IF($C534="X",0,$O534),0)</f>
        <v>0</v>
      </c>
      <c r="BG534" s="281">
        <f>IF($K534=BG$3,IF($C534="X",0,$O534),0)</f>
        <v>7.18</v>
      </c>
      <c r="BH534" s="133">
        <f>IF($K534=BH$3,IF($C534="X",0,$O534),0)</f>
        <v>0</v>
      </c>
      <c r="BI534" s="133">
        <f>IF($K534=BI$3,IF($C534="X",0,$O534),0)</f>
        <v>0</v>
      </c>
      <c r="BJ534" s="133">
        <f>IF($K534=BJ$3,IF($C534="X",0,$O534),0)</f>
        <v>0</v>
      </c>
      <c r="BK534" s="133">
        <f>IF($K534=BK$3,IF($C534="X",0,$O534),0)</f>
        <v>0</v>
      </c>
      <c r="BL534" s="133">
        <f>IF($K534=BL$3,IF($C534="X",0,$O534),0)</f>
        <v>0</v>
      </c>
      <c r="BM534" s="135">
        <f>IF($K534=BM$3,IF($C534="X",0,$O534),0)</f>
        <v>0</v>
      </c>
      <c r="BN534" s="136">
        <f>IF($K534=BN$3,IF($C534="X",0,$O534),0)</f>
        <v>0</v>
      </c>
      <c r="BO534" s="136">
        <f>IF($K534=BO$3,IF($C534="X",0,$O534),0)</f>
        <v>0</v>
      </c>
      <c r="BP534" s="136">
        <f>IF($K534=BP$3,IF($C534="X",0,$O534),0)</f>
        <v>0</v>
      </c>
      <c r="BQ534" s="137">
        <f>IF($K534=BQ$3,IF($C534="X",0,$O534),0)</f>
        <v>0</v>
      </c>
      <c r="BR534" s="134">
        <f>IF($K534=BR$3,IF($C534="X",0,$O534),0)</f>
        <v>0</v>
      </c>
      <c r="BS534" s="282"/>
      <c r="BT534" s="283"/>
      <c r="BU534" s="140"/>
      <c r="BV534" s="283"/>
      <c r="BW534" s="140"/>
      <c r="BX534" s="140"/>
      <c r="BY534" s="140"/>
      <c r="BZ534" s="283"/>
      <c r="CA534" s="140"/>
      <c r="CB534" s="140"/>
      <c r="CC534" s="140"/>
      <c r="CD534" s="141"/>
      <c r="CE534" s="142"/>
      <c r="CF534" s="284">
        <f>IF(CF$3=$K534,IF($C534="W",1,IF($C534="1/2W",0.5,0)),0)</f>
        <v>0</v>
      </c>
      <c r="CG534" s="285">
        <f>IF(CF$3=$K534,IF($C534="L",1,IF($C534="1/2L",0.5,0)),0)</f>
        <v>0</v>
      </c>
      <c r="CH534" s="285">
        <f>IF(CH$3=$K534,IF($C534="W",1,IF($C534="1/2W",0.5,0)),0)</f>
        <v>1</v>
      </c>
      <c r="CI534" s="285">
        <f>IF(CH$3=$K534,IF($C534="L",1,IF($C534="1/2L",0.5,0)),0)</f>
        <v>0</v>
      </c>
      <c r="CJ534" s="285">
        <f>IF(CJ$3=$K534,IF($C534="W",1,IF($C534="1/2W",0.5,0)),0)</f>
        <v>0</v>
      </c>
      <c r="CK534" s="285">
        <f>IF(CJ$3=$K534,IF($C534="L",1,IF($C534="1/2L",0.5,0)),0)</f>
        <v>0</v>
      </c>
      <c r="CL534" s="285">
        <f>IF(CL$3=$K534,IF($C534="W",1,IF($C534="1/2W",0.5,0)),0)</f>
        <v>0</v>
      </c>
      <c r="CM534" s="285">
        <f>IF(CL$3=$K534,IF($C534="L",1,IF($C534="1/2L",0.5,0)),0)</f>
        <v>0</v>
      </c>
      <c r="CN534" s="285">
        <f>IF(CN$3=$K534,IF($C534="W",1,IF($C534="1/2W",0.5,0)),0)</f>
        <v>0</v>
      </c>
      <c r="CO534" s="285">
        <f>IF(CN$3=$K534,IF($C534="L",1,IF($C534="1/2L",0.5,0)),0)</f>
        <v>0</v>
      </c>
      <c r="CP534" s="285">
        <f>IF(CP$3=$K534,IF($C534="W",1,IF($C534="1/2W",0.5,0)),0)</f>
        <v>0</v>
      </c>
      <c r="CQ534" s="285">
        <f>IF(CP$3=$K534,IF($C534="L",1,IF($C534="1/2L",0.5,0)),0)</f>
        <v>0</v>
      </c>
      <c r="CR534" s="285">
        <f>IF(CR$3=$K534,IF($C534="W",1,IF($C534="1/2W",0.5,0)),0)</f>
        <v>0</v>
      </c>
      <c r="CS534" s="285">
        <f>IF(CR$3=$K534,IF($C534="L",1,IF($C534="1/2L",0.5,0)),0)</f>
        <v>0</v>
      </c>
      <c r="CT534" s="145">
        <f>IF(CT$3=$K534,IF($C534="W",1,IF($C534="1/2W",0.5,0)),0)</f>
        <v>0</v>
      </c>
      <c r="CU534" s="146">
        <f>IF(CT$3=$K534,IF($C534="L",1,IF($C534="1/2L",0.5,0)),0)</f>
        <v>0</v>
      </c>
      <c r="CV534" s="146">
        <f>IF(CV$3=$K534,IF($C534="W",1,IF($C534="1/2W",0.5,0)),0)</f>
        <v>0</v>
      </c>
      <c r="CW534" s="146">
        <f>IF(CV$3=$K534,IF($C534="L",1,IF($C534="1/2L",0.5,0)),0)</f>
        <v>0</v>
      </c>
      <c r="CX534" s="146">
        <f>IF(CX$3=$K534,IF($C534="W",1,IF($C534="1/2W",0.5,0)),0)</f>
        <v>0</v>
      </c>
      <c r="CY534" s="146">
        <f>IF(CX$3=$K534,IF($C534="L",1,IF($C534="1/2L",0.5,0)),0)</f>
        <v>0</v>
      </c>
      <c r="CZ534" s="146">
        <f>IF(CZ$3=$K534,IF($C534="W",1,IF($C534="1/2W",0.5,0)),0)</f>
        <v>0</v>
      </c>
      <c r="DA534" s="146">
        <f>IF(CZ$3=$K534,IF($C534="L",1,IF($C534="1/2L",0.5,0)),0)</f>
        <v>0</v>
      </c>
      <c r="DB534" s="146">
        <f>IF(DB$3=$K534,IF($C534="W",1,IF($C534="1/2W",0.5,0)),0)</f>
        <v>0</v>
      </c>
      <c r="DC534" s="146">
        <f>IF(DB$3=$K534,IF($C534="L",1,IF($C534="1/2L",0.5,0)),0)</f>
        <v>0</v>
      </c>
      <c r="DD534" s="146">
        <f>IF(DD$3=$K534,IF($C534="W",1,IF($C534="1/2W",0.5,0)),0)</f>
        <v>0</v>
      </c>
      <c r="DE534" s="147">
        <f>IF(DD$3=$K534,IF($C534="L",1,IF($C534="1/2L",0.5,0)),0)</f>
        <v>0</v>
      </c>
      <c r="DF534" s="143">
        <f>IF(AND(L534&lt;DF$3,$C534="W"),1+DF533,DF533)</f>
        <v>16</v>
      </c>
      <c r="DG534" s="133">
        <f>IF(DF534&gt;DF533,L534+DG533,DG533)</f>
        <v>21.158</v>
      </c>
      <c r="DH534" s="146">
        <f>IF(AND(L534&gt;DH$3,$C534="W"),1+DH533,0+DH533)</f>
        <v>14</v>
      </c>
      <c r="DI534" s="133">
        <f>IF(DH534&gt;DH533,L534+DI533,DI533)</f>
        <v>77.43000000000001</v>
      </c>
      <c r="DJ534" t="s" s="304">
        <f>IF($D532="","",$D532)</f>
        <v>396</v>
      </c>
      <c r="DK534" s="286"/>
    </row>
    <row r="535" ht="14.55" customHeight="1">
      <c r="A535" s="171">
        <f>$A532+1</f>
        <v>178</v>
      </c>
      <c r="B535" t="s" s="172">
        <f>IF(AND(_xlfn.XLOOKUP(H535,H$122:H308,G$122:G308,0)=G535,_xlfn.XLOOKUP("TempoBet",K535:K537,L535:L537,0)&gt;0),"X",IF(OR(C535="W",C536="W",C537="W",C535="1/2W",C536="1/2W",C537="1/2W",C535="1/2L",C536="1/2L",C537="1/2L"),"OK",IF(OR(C535="L",C536="L",C537="L"),"LOSS",IF(OR(C535="X",C536="X",C537="X"),"Anulado"," "))))</f>
        <v>50</v>
      </c>
      <c r="C535" t="s" s="173">
        <v>56</v>
      </c>
      <c r="D535" t="s" s="305">
        <f>IF(G535="","",$D532)</f>
        <v>396</v>
      </c>
      <c r="E535" t="s" s="175">
        <f>IF(G535=""," ","– "&amp;COUNTIF(D$4:D537,$D535))</f>
        <v>118</v>
      </c>
      <c r="F535" t="s" s="176">
        <f>IF(G535="","",IF(OR(AND($C535&lt;&gt;" ",$C536=" "),AND($C536&lt;&gt;" ",$C535=" "),AND(L537&gt;0,OR(AND($C537&lt;&gt;" ",OR($C535=" ",$C536=" ")),AND($C537=" ",OR($C535&lt;&gt;" ",$C536&lt;&gt;" "))))),IF(SUM(F$4:F534)=0,1,LARGE(F$4:F534,1)+1),IF(MONTH(G535)=MONTH(TODAY()),IF(AND(DAY(G535)&lt;DAY(TODAY()),$B535=" "),IF(SUM(F$4:F534)=0,1,LARGE(F$4:F534,1)+1),IF($B535=" ",IF(AND(DAY(G535)=DAY(TODAY()),HOUR(G535)&lt;=HOUR(NOW())+1),IF(AND(HOUR(G535)+2&lt;=HOUR(NOW()),DAY(G535)&lt;=DAY(TODAY()),MINUTE(G535)&lt;=MINUTE(NOW())),IF(SUM(F$4:F534)=0,1,LARGE(F$4:F534,1)+1),IF(OR(MINUTE(G535)&lt;=MINUTE(NOW()),HOUR(G535)&lt;=HOUR(NOW())),"!!!","")),""),"")),"")))</f>
      </c>
      <c r="G535" s="177">
        <v>44953.645833333336</v>
      </c>
      <c r="H535" t="s" s="178">
        <v>408</v>
      </c>
      <c r="I535" t="s" s="179">
        <v>65</v>
      </c>
      <c r="J535" s="291">
        <v>5</v>
      </c>
      <c r="K535" t="s" s="181">
        <v>48</v>
      </c>
      <c r="L535" s="182">
        <v>2.28</v>
      </c>
      <c r="M535" s="183"/>
      <c r="N535" s="184">
        <v>0</v>
      </c>
      <c r="O535" s="185">
        <f>IF(OR(AE535="",AE536=""),"",ROUND(IF(L537&gt;0,IF(M535&gt;0,M535,IF(M536&gt;0,ROUND((M536*AE535)/AE536,IF(N535=0,2,IF(N535=0.1,1,0))),ROUND((M537*AE535)/AE537,IF(N535=0,2,IF(N535=0.1,1,0))))),IF(M535&gt;0,M535,ROUND((M536*AE535)/AE536,IF(N535=0,2,IF(N535=0.1,1,0))))),2))</f>
        <v>10.35</v>
      </c>
      <c r="P535" s="186">
        <f>IF(OR(L535="",O535=""),"",IF($C535="1/2W",O535/2+O535/2*L535,IF($C535="1/2L",O535/2,IF(I535="Lay",(O535*(L535/(L535-1))-O535)*(1-_xlfn.XLOOKUP(K535,'Janeiro 2023 - Valor Real'!A3:A15,'Janeiro 2023 - Valor Real'!C3:C15,0))+O535,(O535*L535-O535)*(1-_xlfn.XLOOKUP(K535,'Janeiro 2023 - Valor Real'!A3:A15,'Janeiro 2023 - Valor Real'!C3:C15,0))+O535))))</f>
        <v>23.598</v>
      </c>
      <c r="Q535" s="187">
        <f>IF(K535="","",IF(_xlfn.XLOOKUP(K535,K$122:K308,DJ$122:DJ308,0,,-1)=DJ535,_xlfn.XLOOKUP(K535,K$122:K308,Q$122:Q308,1,,-1)+1,1))</f>
        <v>1</v>
      </c>
      <c r="R535" s="188">
        <f>IF(K535="","",_xlfn.XLOOKUP(K535,K$122:K308,R$122:R308,0,,-1)+IF($C535=" ",1,0))</f>
        <v>0</v>
      </c>
      <c r="S535" s="189">
        <f>IF($B535="Anulado",0,ROUND(IF(OR($B535="LOSS",$B535="OK"),IF(OR($C535="W",$C535="1/2W",$C535="1/2L"),P535-O535,IF($C535="L",-O535,0))+IF(OR($C536="W",$C536="1/2W",$C536="1/2L"),P536-O536,IF($C536="L",-O536,0))+IF(OR($C537="W",$C537="1/2W",$C537="1/2L"),P537-O537,IF($C537="L",-O537,0)),IF(AND(OR($C535="W",$C535="1/2W",$C535="1/2L"),C536="W"),P535+P536-SUM(O535:O537)+_xlfn.XLOOKUP("X",C535:C537,O535:O537,0),IF(AND(C535=TRUE,C537="W"),P535+P537-SUM(O535:O537),IF(AND(C536="W",C537="W"),P536+P537-SUM(O535:O537)+_xlfn.XLOOKUP("X",C535:C537,O535:O537,0),IF(L537&gt;0,IF(OR($C535="W",$C535="1/2W",$C535="1/2L"),P535-SUM(O535:O537)+_xlfn.XLOOKUP("X",C535:C537,O535:O537,0),IF(OR($C535="W",$C535="1/2W",$C535="1/2L"),P536-SUM(O535:O537)+_xlfn.XLOOKUP("X",C535:C537,O535:O537,0),IF(OR($C535="W",$C535="1/2W",$C535="1/2L"),P537-SUM(O535:O537)+_xlfn.XLOOKUP("X",C535:C537,O535:O537,0),IF(SUM(P535:P537)/3-SUM(O535:O537)+_xlfn.XLOOKUP("X",C535:C537,O535:O537,0)&gt;0,SUM(P535:P537)/3-SUM(O535:O537)+_xlfn.XLOOKUP("X",C535:C537,O535:O537,0),LARGE(P535:P537,1)-SUM(O535:O537))))),IF(OR($C535="W",$C535="1/2W",$C535="1/2L"),P535-SUM(O535:O536)+_xlfn.XLOOKUP("X",C535:C537,O535:O537,0),IF(OR($C535="W",$C535="1/2W",$C535="1/2L"),P536-SUM(O535:O536)+_xlfn.XLOOKUP("X",C535:C537,O535:O537,0),SUM(P535:P536)/2-SUM(O535:O536)+_xlfn.XLOOKUP("X",C535:C537,O535:O537,0)))))))),2))</f>
        <v>0.89</v>
      </c>
      <c r="T535" s="190">
        <f>IF(S535=0,0,S535/SUM(O535:O537))</f>
        <v>0.0391897842360194</v>
      </c>
      <c r="U535" s="191">
        <f>IF($D535=$D532,IF(OR($B535="LOSS",$B535="OK",$B535="Anulada"),S535,0)+U532,IF(OR($B535="LOSS",$B535="OK",$B535="Anulada"),S535,0))</f>
        <v>18.68</v>
      </c>
      <c r="V535" s="191">
        <f>IF($D535="",0,IF($D535=$D532,IF($B535=" ",IF(I537="",IF(OR(AND(I535="DNB1",I536="DNB2"),AND(OR(I535="DNB1",I535="DNB2"),J536=0),AND(OR(I536="DNB1",I536="DNB2"),J535=0),AND(I535="DNB2",I536="DNB1"),AND(IF(J535=0,(J535+1)/ROUND(J535+1,0),J535/ROUND(J535,0))=1,IF(J536=0,(J536+1)/ROUND(IF(J536="",0,J536)+1,0),IF(J536="",0,J536)/ROUND(IF(J536="",1,J536),0))=1,OR(J535&lt;&gt;""),J536&lt;&gt;"")),0,IF(S535&lt;0,IF(I537="",SMALL(P535:P536,1)-SUM(O535:O536),0),SMALL(P535:P536,1)-SUM(O535:O536))),IF(S535&lt;0,IF(I537="",SMALL(P535:P537,1)-SUM(O535:O537),0),LARGE(P535:P537,1)-SUM(O535:O537))),S535)+V532,IF(I537="",IF(OR(AND(I535="DNB1",I536="DNB2"),AND(OR(I535="DNB1",I535="DNB2"),J536=0),AND(OR(I536="DNB1",I536="DNB2"),J535=0),AND(I535="DNB2",I536="DNB1"),AND(IF(J535=0,(J535+1)/ROUND(J535+1,0),J535/ROUND(J535,0))=1,IF(J536=0,(IF(J536="",0,J536)+1)/ROUND(IF(J536="",0,J536)+1,0),IF(J536="",0,J536)/ROUND(IF(J536="",0,J536)+1,0))=1,OR(J535&lt;&gt;""),J536&lt;&gt;"")),0,IF(S535&lt;0,IF(I537="",SMALL(P535:P536,1)-SUM(O535:O536),0),SMALL(P535:P537,1)-SUM(O535:O537))),IF(S535&lt;0,IF(I537="",SMALL(P535:P537,1)-SUM(O535:O537),0),LARGE(P535:P537,1)-SUM(O535:O537)))))</f>
        <v>18.68</v>
      </c>
      <c r="W535" s="191">
        <f>IF($D535=$D532,IF(S535&lt;0,IF(I537="",S535,0),S535)+W532,S535)</f>
        <v>18.68</v>
      </c>
      <c r="X535" t="s" s="192">
        <f>IF(OR(SUM(R535:R537)=0,V535=W535),ROUND(IF(W535=0,0,W535/Y535)*100,2)&amp;"%",ROUND(IF(V535=0,0,V535/Y535)*100,2)&amp;"% a "&amp;ROUND(IF(W535=0,0,W535/Y535)*100,2)&amp;"%")</f>
        <v>409</v>
      </c>
      <c r="Y535" s="193">
        <f>IF($D535=$D532,Y532+SUM(O535:O537),SUM(O535:O537))</f>
        <v>448.4</v>
      </c>
      <c r="Z535" s="191">
        <f>IF($B535=" ",SUM(O535:O537),0)+Z532</f>
        <v>0</v>
      </c>
      <c r="AA535" s="191">
        <f>IF(G535="","",IF($B535="Anulado",LARGE(P535:P537,1)-SUM(O535:O537)+AA532,AA532))</f>
        <v>24.9665076923077</v>
      </c>
      <c r="AB535" s="191">
        <f>IF($D535="","",AB532+S535)</f>
        <v>357.92</v>
      </c>
      <c r="AC535" s="194">
        <f>IF($D535="","",IF($B535=" ",IF(DAY(G535)=DAY(TODAY()),1+AC532,0+AC532),0+AC532))</f>
        <v>0</v>
      </c>
      <c r="AD535" s="195">
        <f>(((L536/(L536-1)-1)*(1-_xlfn.XLOOKUP(K536,'Janeiro 2023 - Valor Real'!A3:A15,'Janeiro 2023 - Valor Real'!C3:C15,0))+1))/(((L535-1)*(1-_xlfn.XLOOKUP(K535,'Janeiro 2023 - Valor Real'!A3:A15,'Janeiro 2023 - Valor Real'!C3:C15,0))+1)+((L536/(L536-1)-1)*(1-_xlfn.XLOOKUP(K536,'Janeiro 2023 - Valor Real'!A3:A15,'Janeiro 2023 - Valor Real'!C3:C15,0))+1))</f>
        <v>0.479321421401325</v>
      </c>
      <c r="AE535" s="196">
        <f>IF(L535="","",IF(L537&gt;0,(SUM(((L535-1)*(1-_xlfn.XLOOKUP(K535,'Janeiro 2023 - Valor Real'!A3:A15,'Janeiro 2023 - Valor Real'!C3:C15,0))+1),((L536-1)*(1-_xlfn.XLOOKUP(K536,'Janeiro 2023 - Valor Real'!A3:A15,'Janeiro 2023 - Valor Real'!C3:C15,0))+1),((L537-1)*(1-_xlfn.XLOOKUP(K537,'Janeiro 2023 - Valor Real'!A3:A15,'Janeiro 2023 - Valor Real'!C3:C15,0))+1))/((L535-1)*(1-_xlfn.XLOOKUP(K535,'Janeiro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Real'!C3:C15,0))+1))/((L535-1)*(1-_xlfn.XLOOKUP(K535,'Janeiro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Real'!C3:C15,0))+1))/((L536-1)*(1-_xlfn.XLOOKUP(K536,'Janeiro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Real'!C3:C15,0))+1))/((L537-1)*(1-_xlfn.XLOOKUP(K537,'Janeiro 2023 - Valor Real'!A3:A15,'Janeiro 2023 - Valor Real'!C3:C15,0))+1)),IF(I535="Lay",IF(I536="Lay",((L536/(L536-1)-1)*(1-_xlfn.XLOOKUP(K536,'Janeiro 2023 - Valor Real'!A3:A15,'Janeiro 2023 - Valor Real'!C3:C15,0))+1)/(((L536/(L536-1)-1)*(1-_xlfn.XLOOKUP(K536,'Janeiro 2023 - Valor Real'!A3:A15,'Janeiro 2023 - Valor Real'!C3:C15,0))+1)+((L535/(L535-1)-1)*(1-_xlfn.XLOOKUP(K535,'Janeiro 2023 - Valor Real'!A3:A15,'Janeiro 2023 - Valor Real'!C3:C15,0))+1)),((L536-1)*(1-_xlfn.XLOOKUP(K536,'Janeiro 2023 - Valor Real'!A3:A15,'Janeiro 2023 - Valor Real'!C3:C15,0))+1)/(((L536-1)*(1-_xlfn.XLOOKUP(K536,'Janeiro 2023 - Valor Real'!A3:A15,'Janeiro 2023 - Valor Real'!C3:C15,0))+1)+((L535/(L535-1)-1)*(1-_xlfn.XLOOKUP(K535,'Janeiro 2023 - Valor Real'!A3:A15,'Janeiro 2023 - Valor Real'!C3:C15,0))+1))),IF(I536="Lay",(((L536/(L536-1)-1)*(1-_xlfn.XLOOKUP(K536,'Janeiro 2023 - Valor Real'!A3:A15,'Janeiro 2023 - Valor Real'!C3:C15,0))+1))/(((L535-1)*(1-_xlfn.XLOOKUP(K535,'Janeiro 2023 - Valor Real'!A3:A15,'Janeiro 2023 - Valor Real'!C3:C15,0))+1)+((L536/(L536-1)-1)*(1-_xlfn.XLOOKUP(K536,'Janeiro 2023 - Valor Real'!A3:A15,'Janeiro 2023 - Valor Real'!C3:C15,0))+1)),((L536-1)*(1-_xlfn.XLOOKUP(K536,'Janeiro 2023 - Valor Real'!A3:A15,'Janeiro 2023 - Valor Real'!C3:C15,0))+1)/(((L536-1)*(1-_xlfn.XLOOKUP(K536,'Janeiro 2023 - Valor Real'!A3:A15,'Janeiro 2023 - Valor Real'!C3:C15,0))+1)+((L535-1)*(1-_xlfn.XLOOKUP(K535,'Janeiro 2023 - Valor Real'!A3:A15,'Janeiro 2023 - Valor Real'!C3:C15,0))+1))))))</f>
        <v>0.455847255369928</v>
      </c>
      <c r="AF535" s="197">
        <f>IF($K535=AF$3,ROUND(IF(OR($C535="W",$C535="1/2W",$C535="1/2L"),$P535-$O535,IF($C535="X",0,-$O535)),2),0)</f>
        <v>0</v>
      </c>
      <c r="AG535" s="198">
        <f>IF($K535=AG$3,ROUND(IF(OR($C535="W",$C535="1/2W",$C535="1/2L"),$P535-$O535,IF($C535="X",0,-$O535)),2),0)</f>
        <v>0</v>
      </c>
      <c r="AH535" s="198">
        <f>IF($K535=AH$3,ROUND(IF(OR($C535="W",$C535="1/2W",$C535="1/2L"),$P535-$O535,IF($C535="X",0,-$O535)),2),0)</f>
        <v>0</v>
      </c>
      <c r="AI535" s="198">
        <f>IF($K535=AI$3,ROUND(IF(OR($C535="W",$C535="1/2W",$C535="1/2L"),$P535-$O535,IF($C535="X",0,-$O535)),2),0)</f>
        <v>0</v>
      </c>
      <c r="AJ535" s="198">
        <f>IF($K535=AJ$3,ROUND(IF(OR($C535="W",$C535="1/2W",$C535="1/2L"),$P535-$O535,IF($C535="X",0,-$O535)),2),0)</f>
        <v>0</v>
      </c>
      <c r="AK535" s="198">
        <f>IF($K535=AK$3,ROUND(IF(OR($C535="W",$C535="1/2W",$C535="1/2L"),$P535-$O535,IF($C535="X",0,-$O535)),2),0)</f>
        <v>0</v>
      </c>
      <c r="AL535" s="198">
        <f>IF($K535=AL$3,ROUND(IF(OR($C535="W",$C535="1/2W",$C535="1/2L"),$P535-$O535,IF($C535="X",0,-$O535)),2),0)</f>
        <v>0</v>
      </c>
      <c r="AM535" s="198">
        <f>IF($K535=AM$3,ROUND(IF(OR($C535="W",$C535="1/2W",$C535="1/2L"),$P535-$O535,IF($C535="X",0,-$O535)),2),0)</f>
        <v>0</v>
      </c>
      <c r="AN535" s="198">
        <f>IF($K535=AN$3,ROUND(IF(OR($C535="W",$C535="1/2W",$C535="1/2L"),$P535-$O535,IF($C535="X",0,-$O535)),2),0)</f>
        <v>0</v>
      </c>
      <c r="AO535" s="198">
        <f>IF($K535=AO$3,ROUND(IF(OR($C535="W",$C535="1/2W",$C535="1/2L"),$P535-$O535,IF($C535="X",0,-$O535)),2),0)</f>
        <v>0</v>
      </c>
      <c r="AP535" s="198">
        <f>IF($K535=AP$3,ROUND(IF(OR($C535="W",$C535="1/2W",$C535="1/2L"),$P535-$O535,IF($C535="X",0,-$O535)),2),0)</f>
        <v>0</v>
      </c>
      <c r="AQ535" s="198">
        <f>IF($K535=AQ$3,ROUND(IF(OR($C535="W",$C535="1/2W",$C535="1/2L"),$P535-$O535,IF($C535="X",0,-$O535)),2),0)</f>
        <v>13.25</v>
      </c>
      <c r="AR535" s="199">
        <f>IF($K535=AR$3,ROUND(IF(OR($C535="W",$C535="1/2W",$C535="1/2L"),$P535-$O535,IF($C535="X",0,-$O535)),2),0)</f>
        <v>0</v>
      </c>
      <c r="AS535" s="197">
        <f>IF(AND($B535=" ",$K535=AS$3),$O535,0)</f>
        <v>0</v>
      </c>
      <c r="AT535" s="198">
        <f>IF(AND($B535=" ",$K535=AT$3),$O535,0)</f>
        <v>0</v>
      </c>
      <c r="AU535" s="198">
        <f>IF(AND($B535=" ",$K535=AU$3),$O535,0)</f>
        <v>0</v>
      </c>
      <c r="AV535" s="198">
        <f>IF(AND($B535=" ",$K535=AV$3),$O535,0)</f>
        <v>0</v>
      </c>
      <c r="AW535" s="198">
        <f>IF(AND($B535=" ",$K535=AW$3),$O535,0)</f>
        <v>0</v>
      </c>
      <c r="AX535" s="198">
        <f>IF(AND($B535=" ",$K535=AX$3),$O535,0)</f>
        <v>0</v>
      </c>
      <c r="AY535" s="200">
        <f>IF(AND($B535=" ",$K535=AY$3),$O535,0)</f>
        <v>0</v>
      </c>
      <c r="AZ535" s="201">
        <f>IF(AND($B535=" ",$K535=AZ$3),$O535,0)</f>
        <v>0</v>
      </c>
      <c r="BA535" s="201">
        <f>IF(AND($B535=" ",$K535=BA$3),$O535,0)</f>
        <v>0</v>
      </c>
      <c r="BB535" s="201">
        <f>IF(AND($B535=" ",$K535=BB$3),$O535,0)</f>
        <v>0</v>
      </c>
      <c r="BC535" s="202">
        <f>IF(AND($B535=" ",$K535=BC$3),$O535,0)</f>
        <v>0</v>
      </c>
      <c r="BD535" s="198">
        <f>IF(AND($B535=" ",$K535=BD$3),$O535,0)</f>
        <v>0</v>
      </c>
      <c r="BE535" s="199">
        <f>IF(AND($B535=" ",$K535=BE$3),$O535,0)</f>
        <v>0</v>
      </c>
      <c r="BF535" s="203">
        <f>IF($K535=BF$3,IF($C535="X",0,$O535),0)</f>
        <v>0</v>
      </c>
      <c r="BG535" s="198">
        <f>IF($K535=BG$3,IF($C535="X",0,$O535),0)</f>
        <v>0</v>
      </c>
      <c r="BH535" s="198">
        <f>IF($K535=BH$3,IF($C535="X",0,$O535),0)</f>
        <v>0</v>
      </c>
      <c r="BI535" s="198">
        <f>IF($K535=BI$3,IF($C535="X",0,$O535),0)</f>
        <v>0</v>
      </c>
      <c r="BJ535" s="198">
        <f>IF($K535=BJ$3,IF($C535="X",0,$O535),0)</f>
        <v>0</v>
      </c>
      <c r="BK535" s="198">
        <f>IF($K535=BK$3,IF($C535="X",0,$O535),0)</f>
        <v>0</v>
      </c>
      <c r="BL535" s="198">
        <f>IF($K535=BL$3,IF($C535="X",0,$O535),0)</f>
        <v>0</v>
      </c>
      <c r="BM535" s="200">
        <f>IF($K535=BM$3,IF($C535="X",0,$O535),0)</f>
        <v>0</v>
      </c>
      <c r="BN535" s="201">
        <f>IF($K535=BN$3,IF($C535="X",0,$O535),0)</f>
        <v>0</v>
      </c>
      <c r="BO535" s="201">
        <f>IF($K535=BO$3,IF($C535="X",0,$O535),0)</f>
        <v>0</v>
      </c>
      <c r="BP535" s="201">
        <f>IF($K535=BP$3,IF($C535="X",0,$O535),0)</f>
        <v>0</v>
      </c>
      <c r="BQ535" s="202">
        <f>IF($K535=BQ$3,IF($C535="X",0,$O535),0)</f>
        <v>10.35</v>
      </c>
      <c r="BR535" s="199">
        <f>IF($K535=BR$3,IF($C535="X",0,$O535),0)</f>
        <v>0</v>
      </c>
      <c r="BS535" s="204">
        <f>IF($B535="LOSS",IF(AND($K535=BS$3,$C535="L"),-$O535,0)+IF(AND($K536=BS$3,$C536="L"),-$O536,0)+IF(AND($K537=BS$3,$C537="L"),-$O537,0),IF(OR(AND($K535=BS$3,OR($C535="W",$C535="1/2W")),AND($K536=BS$3,OR($C536="W",$C536="1/2W")),AND($K537=BS$3,OR($C537="W",$C537="1/2W"))),$S535,0))</f>
        <v>0</v>
      </c>
      <c r="BT535" s="201">
        <f>IF($B535="LOSS",IF(AND($K535=BT$3,$C535="L"),-$O535,0)+IF(AND($K536=BT$3,$C536="L"),-$O536,0)+IF(AND($K536=BT$3,$C537="L"),-$O537,0),IF(OR(AND($K536=BT$3,OR($C535="W",$C535="1/2W")),AND($K536=BT$3,OR($C536="W",$C536="1/2W")),AND($K536=BT$3,OR($C537="W",$C537="1/2W"))),$S535,0))</f>
        <v>0</v>
      </c>
      <c r="BU535" s="201">
        <f>IF($B535="LOSS",IF(AND($K535=BU$3,$C535="L"),-$O535,0)+IF(AND($K536=BU$3,$C536="L"),-$O536,0)+IF(AND($K536=BU$3,$C537="L"),-$O537,0),IF(OR(AND($K536=BU$3,OR($C535="W",$C535="1/2W")),AND($K536=BU$3,OR($C536="W",$C536="1/2W")),AND($K536=BU$3,OR($C537="W",$C537="1/2W"))),$S535,0))</f>
        <v>0</v>
      </c>
      <c r="BV535" s="201">
        <f>IF($B535="LOSS",IF(AND($K535=BV$3,$C535="L"),-$O535,0)+IF(AND($K536=BV$3,$C536="L"),-$O536,0)+IF(AND($K537=BV$3,$C537="L"),-$O537,0),IF(OR(AND($K535=BV$3,OR($C535="W",$C535="1/2W")),AND($K536=BV$3,OR($C536="W",$C536="1/2W")),AND($K537=BV$3,OR($C537="W",$C537="1/2W"))),$S535,0))</f>
        <v>0</v>
      </c>
      <c r="BW535" s="201">
        <f>IF($B535="LOSS",IF(AND($K535=BW$3,$C535="L"),-$O535,0)+IF(AND($K536=BW$3,$C536="L"),-$O536,0)+IF(AND($K537=BW$3,$C537="L"),-$O537,0),IF(OR(AND($K535=BW$3,OR($C535="W",$C535="1/2W")),AND($K536=BW$3,OR($C536="W",$C536="1/2W")),AND($K537=BW$3,OR($C537="W",$C537="1/2W"))),$S535,0))</f>
        <v>0</v>
      </c>
      <c r="BX535" s="201">
        <f>IF($B535="LOSS",IF(AND($K535=BX$3,$C535="L"),-$O535,0)+IF(AND($K536=BX$3,$C536="L"),-$O536,0)+IF(AND($K537=BX$3,$C537="L"),-$O537,0),IF(OR(AND($K535=BX$3,OR($C535="W",$C535="1/2W")),AND($K536=BX$3,OR($C536="W",$C536="1/2W")),AND($K537=BX$3,OR($C537="W",$C537="1/2W"))),$S535,0))</f>
        <v>0</v>
      </c>
      <c r="BY535" s="201">
        <f>IF($B535="LOSS",IF(AND($K535=BY$3,$C535="L"),-$O535,0)+IF(AND($K536=BY$3,$C536="L"),-$O536,0)+IF(AND($K537=BY$3,$C537="L"),-$O537,0),IF(OR(AND($K535=BY$3,OR($C535="W",$C535="1/2W")),AND($K536=BY$3,OR($C536="W",$C536="1/2W")),AND($K537=BY$3,OR($C537="W",$C537="1/2W"))),$S535,0))</f>
        <v>0</v>
      </c>
      <c r="BZ535" s="205">
        <f>IF($B535="LOSS",IF(AND($K535=BZ$3,$C535="L"),-$O535,0)+IF(AND($K536=BZ$3,$C536="L"),-$O536,0)+IF(AND($K537=BZ$3,$C537="L"),-$O537,0),IF(OR(AND($K535=BZ$3,OR($C535="W",$C535="1/2W")),AND($K536=BZ$3,OR($C536="W",$C536="1/2W")),AND($K537=BZ$3,OR($C537="W",$C537="1/2W"))),$S535,0))</f>
        <v>0</v>
      </c>
      <c r="CA535" s="205">
        <f>IF($B535="LOSS",IF(AND($K535=CA$3,$C535="L"),-$O535,0)+IF(AND($K536=CA$3,$C536="L"),-$O536,0)+IF(AND($K537=CA$3,$C537="L"),-$O537,0),IF(OR(AND($K535=CA$3,OR($C535="W",$C535="1/2W")),AND($K536=CA$3,OR($C536="W",$C536="1/2W")),AND($K537=CA$3,OR($C537="W",$C537="1/2W"))),$S535,0))</f>
        <v>0</v>
      </c>
      <c r="CB535" s="205">
        <f>IF($B535="LOSS",IF(AND($K535=CB$3,$C535="L"),-$O535,0)+IF(AND($K536=CB$3,$C536="L"),-$O536,0)+IF(AND($K537=CB$3,$C537="L"),-$O537,0),IF(OR(AND($K535=CB$3,OR($C535="W",$C535="1/2W")),AND($K536=CB$3,OR($C536="W",$C536="1/2W")),AND($K537=CB$3,OR($C537="W",$C537="1/2W"))),$S535,0))</f>
        <v>0</v>
      </c>
      <c r="CC535" s="205">
        <f>IF($B535="LOSS",IF(AND($K535=CC$3,$C535="L"),-$O535,0)+IF(AND($K536=CC$3,$C536="L"),-$O536,0)+IF(AND($K537=CC$3,$C537="L"),-$O537,0),IF(OR(AND($K535=CC$3,OR($C535="W",$C535="1/2W")),AND($K536=CC$3,OR($C536="W",$C536="1/2W")),AND($K537=CC$3,OR($C537="W",$C537="1/2W"))),$S535,0))</f>
        <v>0</v>
      </c>
      <c r="CD535" s="202">
        <f>IF($B535="LOSS",IF(AND($K535=CD$3,$C535="L"),-$O535,0)+IF(AND($K536=CD$3,$C536="L"),-$O536,0)+IF(AND($K537=CD$3,$C537="L"),-$O537,0),IF(OR(AND($K535=CD$3,OR($C535="W",$C535="1/2W")),AND($K536=CD$3,OR($C536="W",$C536="1/2W")),AND($K537=CD$3,OR($C537="W",$C537="1/2W"))),$S535,0))</f>
        <v>0.89</v>
      </c>
      <c r="CE535" s="199">
        <f>IF($B535="LOSS",IF(AND($K535=CE$3,$C535="L"),-$O535,0)+IF(AND($K536=CE$3,$C536="L"),-$O536,0)+IF(AND($K537=CE$3,$C537="L"),-$O537,0),IF(OR(AND($K535=CE$3,OR($C535="W",$C535="1/2W")),AND($K536=CE$3,OR($C536="W",$C536="1/2W")),AND($K537=CE$3,OR($C537="W",$C537="1/2W"))),$S535,0))</f>
        <v>0</v>
      </c>
      <c r="CF535" s="206">
        <f>IF(CF$3=$K535,IF($C535="W",1,IF($C535="1/2W",0.5,0)),0)</f>
        <v>0</v>
      </c>
      <c r="CG535" s="207">
        <f>IF(CF$3=$K535,IF($C535="L",1,IF($C535="1/2L",0.5,0)),0)</f>
        <v>0</v>
      </c>
      <c r="CH535" s="207">
        <f>IF(CH$3=$K535,IF($C535="W",1,IF($C535="1/2W",0.5,0)),0)</f>
        <v>0</v>
      </c>
      <c r="CI535" s="207">
        <f>IF(CH$3=$K535,IF($C535="L",1,IF($C535="1/2L",0.5,0)),0)</f>
        <v>0</v>
      </c>
      <c r="CJ535" s="207">
        <f>IF(CJ$3=$K535,IF($C535="W",1,IF($C535="1/2W",0.5,0)),0)</f>
        <v>0</v>
      </c>
      <c r="CK535" s="207">
        <f>IF(CJ$3=$K535,IF($C535="L",1,IF($C535="1/2L",0.5,0)),0)</f>
        <v>0</v>
      </c>
      <c r="CL535" s="207">
        <f>IF(CL$3=$K535,IF($C535="W",1,IF($C535="1/2W",0.5,0)),0)</f>
        <v>0</v>
      </c>
      <c r="CM535" s="207">
        <f>IF(CL$3=$K535,IF($C535="L",1,IF($C535="1/2L",0.5,0)),0)</f>
        <v>0</v>
      </c>
      <c r="CN535" s="207">
        <f>IF(CN$3=$K535,IF($C535="W",1,IF($C535="1/2W",0.5,0)),0)</f>
        <v>0</v>
      </c>
      <c r="CO535" s="207">
        <f>IF(CN$3=$K535,IF($C535="L",1,IF($C535="1/2L",0.5,0)),0)</f>
        <v>0</v>
      </c>
      <c r="CP535" s="207">
        <f>IF(CP$3=$K535,IF($C535="W",1,IF($C535="1/2W",0.5,0)),0)</f>
        <v>0</v>
      </c>
      <c r="CQ535" s="207">
        <f>IF(CP$3=$K535,IF($C535="L",1,IF($C535="1/2L",0.5,0)),0)</f>
        <v>0</v>
      </c>
      <c r="CR535" s="207">
        <f>IF(CR$3=$K535,IF($C535="W",1,IF($C535="1/2W",0.5,0)),0)</f>
        <v>0</v>
      </c>
      <c r="CS535" s="207">
        <f>IF(CR$3=$K535,IF($C535="L",1,IF($C535="1/2L",0.5,0)),0)</f>
        <v>0</v>
      </c>
      <c r="CT535" s="208">
        <f>IF(CT$3=$K535,IF($C535="W",1,IF($C535="1/2W",0.5,0)),0)</f>
        <v>0</v>
      </c>
      <c r="CU535" s="209">
        <f>IF(CT$3=$K535,IF($C535="L",1,IF($C535="1/2L",0.5,0)),0)</f>
        <v>0</v>
      </c>
      <c r="CV535" s="209">
        <f>IF(CV$3=$K535,IF($C535="W",1,IF($C535="1/2W",0.5,0)),0)</f>
        <v>0</v>
      </c>
      <c r="CW535" s="209">
        <f>IF(CV$3=$K535,IF($C535="L",1,IF($C535="1/2L",0.5,0)),0)</f>
        <v>0</v>
      </c>
      <c r="CX535" s="209">
        <f>IF(CX$3=$K535,IF($C535="W",1,IF($C535="1/2W",0.5,0)),0)</f>
        <v>0</v>
      </c>
      <c r="CY535" s="209">
        <f>IF(CX$3=$K535,IF($C535="L",1,IF($C535="1/2L",0.5,0)),0)</f>
        <v>0</v>
      </c>
      <c r="CZ535" s="209">
        <f>IF(CZ$3=$K535,IF($C535="W",1,IF($C535="1/2W",0.5,0)),0)</f>
        <v>0</v>
      </c>
      <c r="DA535" s="209">
        <f>IF(CZ$3=$K535,IF($C535="L",1,IF($C535="1/2L",0.5,0)),0)</f>
        <v>0</v>
      </c>
      <c r="DB535" s="209">
        <f>IF(DB$3=$K535,IF($C535="W",1,IF($C535="1/2W",0.5,0)),0)</f>
        <v>1</v>
      </c>
      <c r="DC535" s="209">
        <f>IF(DB$3=$K535,IF($C535="L",1,IF($C535="1/2L",0.5,0)),0)</f>
        <v>0</v>
      </c>
      <c r="DD535" s="209">
        <f>IF(DD$3=$K535,IF($C535="W",1,IF($C535="1/2W",0.5,0)),0)</f>
        <v>0</v>
      </c>
      <c r="DE535" s="210">
        <f>IF(DD$3=$K535,IF($C535="L",1,IF($C535="1/2L",0.5,0)),0)</f>
        <v>0</v>
      </c>
      <c r="DF535" s="211">
        <f>IF(AND(L535&lt;DF$3,$C535="W"),1+DF534,DF534)</f>
        <v>16</v>
      </c>
      <c r="DG535" s="198">
        <f>IF(DF535&gt;DF534,L535+DG534,DG534)</f>
        <v>21.158</v>
      </c>
      <c r="DH535" s="209">
        <f>IF(AND(L535&gt;DH$3,$C535="W"),1+DH534,0+DH534)</f>
        <v>14</v>
      </c>
      <c r="DI535" s="198">
        <f>IF(DH535&gt;DH534,L535+DI534,DI534)</f>
        <v>77.43000000000001</v>
      </c>
      <c r="DJ535" t="s" s="306">
        <f>IF($D535="","",$D535)</f>
        <v>396</v>
      </c>
      <c r="DK535" s="209">
        <f>IF(AND($B535=" ",$D535&lt;&gt;""),1,0)</f>
        <v>0</v>
      </c>
    </row>
    <row r="536" ht="14.55" customHeight="1">
      <c r="A536" s="107"/>
      <c r="B536" s="108"/>
      <c r="C536" t="s" s="213">
        <v>51</v>
      </c>
      <c r="D536" s="110"/>
      <c r="E536" s="111"/>
      <c r="F536" s="113"/>
      <c r="G536" s="214"/>
      <c r="H536" s="114"/>
      <c r="I536" t="s" s="215">
        <v>67</v>
      </c>
      <c r="J536" s="296">
        <f>IF(OR(I535="TO",I535="TU",I535="TO1",I535="TU1",I535="TO2",I535="TU2"),J535,IF(OR(I535="AH1",I535="AH2"),IF(OR(I536="AH1",I536="AH2"),-J535,IF(OR(I536="EH1",I536="EH2"),-J535+0.5,"")),IF(OR(I535="EH1",I535="EH2"),IF(OR(I536="AH1",I536="AH2"),-J535+0.5,IF(OR(I536="EH1",I536="EH2"),-J535+1,"")),IF(AND(OR(I535="DNB1",I535="DNB2"),OR(I536="AH1",I536="AH2")),0,IF(AND(I535="Not ScoreBoth",OR(I536="TO1",I536="TO2")),0.5,"")))))</f>
        <v>5</v>
      </c>
      <c r="K536" t="s" s="217">
        <v>41</v>
      </c>
      <c r="L536" s="218">
        <v>1.91</v>
      </c>
      <c r="M536" s="219">
        <v>12.36</v>
      </c>
      <c r="N536" s="120"/>
      <c r="O536" s="220">
        <f>IF(OR(AE535="",AE536=""),"",ROUND(IF(L537&gt;0,IF(M536&gt;0,M536,IF(M535&gt;0,IF(N535=TRUE,ROUND((M535*AE536)/AE535,0),(M535*AE536)/AE535),IF(M536&gt;0,ROUND(M536,IF(N535=0,2,IF(N535=0.1,1,0))),IF(M537&gt;0,ROUND(O537*AE536/AE537,IF(N535=0,2,IF(N535=0.1,1,0))),0)))),IF(M536&gt;0,M536,ROUND((M535*AE536)/AE535,IF(N535=0,2,IF(N535=0.1,1,0))))),2))</f>
        <v>12.36</v>
      </c>
      <c r="P536" s="221">
        <f>IF(OR(L536="",O536=""),"",IF($C536="1/2W",O536/2+O536/2*L536,IF($C536="1/2L",O536/2,IF(I536="Lay",((O536*(L536/(L536-1)))-O536)*(1-_xlfn.XLOOKUP(K536,'Janeiro 2023 - Valor Real'!A3:A15,'Janeiro 2023 - Valor Real'!C3:C15,0))+O536,(O536*L536-O536)*(1-_xlfn.XLOOKUP(K536,'Janeiro 2023 - Valor Real'!A3:A15,'Janeiro 2023 - Valor Real'!C3:C15,0))+O536))))</f>
        <v>23.6076</v>
      </c>
      <c r="Q536" s="222">
        <f>IF(K536="","",IF(_xlfn.XLOOKUP(K536,K$123:K309,DJ$123:DJ309,0,,-1)=DJ536,_xlfn.XLOOKUP(K536,K$123:K309,Q$123:Q309,1,,-1)+1,1))</f>
        <v>1</v>
      </c>
      <c r="R536" s="223">
        <f>IF(K536="","",_xlfn.XLOOKUP(K536,K$123:K309,R$123:R309,0,,-1)+IF($C536=" ",1,0))</f>
        <v>0</v>
      </c>
      <c r="S536" s="125"/>
      <c r="T536" s="126"/>
      <c r="U536" s="126"/>
      <c r="V536" s="224"/>
      <c r="W536" s="126"/>
      <c r="X536" s="127"/>
      <c r="Y536" s="128"/>
      <c r="Z536" s="129"/>
      <c r="AA536" s="129"/>
      <c r="AB536" s="129"/>
      <c r="AC536" s="129"/>
      <c r="AD536" s="225">
        <f>(((L536/(L536-1)-1)*(1-_xlfn.XLOOKUP(K536,'Janeiro 2023 - Valor Real'!A3:A15,'Janeiro 2023 - Valor Real'!C3:C15,0))+1))</f>
        <v>2.0989010989011</v>
      </c>
      <c r="AE536" s="226">
        <f>IF(L536="","",IF(L537&gt;0,(SUM(((L535-1)*(1-_xlfn.XLOOKUP(K535,'Janeiro 2023 - Valor Real'!A3:A15,'Janeiro 2023 - Valor Real'!C3:C15,0))+1),((L536-1)*(1-_xlfn.XLOOKUP(K536,'Janeiro 2023 - Valor Real'!A3:A15,'Janeiro 2023 - Valor Real'!C3:C15,0))+1),((L537-1)*(1-_xlfn.XLOOKUP(K537,'Janeiro 2023 - Valor Real'!A3:A15,'Janeiro 2023 - Valor Real'!C3:C15,0))+1))/((L536-1)*(1-_xlfn.XLOOKUP(K536,'Janeiro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Real'!C3:C15,0))+1))/((L535-1)*(1-_xlfn.XLOOKUP(K535,'Janeiro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Real'!C3:C15,0))+1))/((L536-1)*(1-_xlfn.XLOOKUP(K536,'Janeiro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Real'!C3:C15,0))+1))/((L537-1)*(1-_xlfn.XLOOKUP(K537,'Janeiro 2023 - Valor Real'!A3:A15,'Janeiro 2023 - Valor Real'!C3:C15,0))+1)),IF(I536="Lay",IF(I535="Lay",((L535/(L535-1)-1)*(1-_xlfn.XLOOKUP(K535,'Janeiro 2023 - Valor Real'!A3:A15,'Janeiro 2023 - Valor Real'!C3:C15,0))+1)/(((L535/(L535-1)-1)*(1-_xlfn.XLOOKUP(K535,'Janeiro 2023 - Valor Real'!A3:A15,'Janeiro 2023 - Valor Real'!C3:C15,0))+1)+((L536/(L536-1)-1)*(1-_xlfn.XLOOKUP(K536,'Janeiro 2023 - Valor Real'!A3:A15,'Janeiro 2023 - Valor Real'!C3:C15,0))+1)),((L535-1)*(1-_xlfn.XLOOKUP(K535,'Janeiro 2023 - Valor Real'!A3:A15,'Janeiro 2023 - Valor Real'!C3:C15,0))+1)/(((L535-1)*(1-_xlfn.XLOOKUP(K535,'Janeiro 2023 - Valor Real'!A3:A15,'Janeiro 2023 - Valor Real'!C3:C15,0))+1)+((L536/(L536-1)-1)*(1-_xlfn.XLOOKUP(K536,'Janeiro 2023 - Valor Real'!A3:A15,'Janeiro 2023 - Valor Real'!C3:C15,0))+1))),IF(I535="Lay",((L535/(L535-1)-1)*(1-_xlfn.XLOOKUP(K535,'Janeiro 2023 - Valor Real'!A3:A15,'Janeiro 2023 - Valor Real'!C3:C15,0))+1)/((((L535/(L535-1)-1)*(1-_xlfn.XLOOKUP(K535,'Janeiro 2023 - Valor Real'!A3:A15,'Janeiro 2023 - Valor Real'!C3:C15,0))+1))+((L536-1)*(1-_xlfn.XLOOKUP(K536,'Janeiro 2023 - Valor Real'!A3:A15,'Janeiro 2023 - Valor Real'!C3:C15,0))+1)),((L535-1)*(1-_xlfn.XLOOKUP(K535,'Janeiro 2023 - Valor Real'!A3:A15,'Janeiro 2023 - Valor Real'!C3:C15,0))+1)/(((L535-1)*(1-_xlfn.XLOOKUP(K535,'Janeiro 2023 - Valor Real'!A3:A15,'Janeiro 2023 - Valor Real'!C3:C15,0))+1)+((L536-1)*(1-_xlfn.XLOOKUP(K536,'Janeiro 2023 - Valor Real'!A3:A15,'Janeiro 2023 - Valor Real'!C3:C15,0))+1))))))</f>
        <v>0.544152744630072</v>
      </c>
      <c r="AF536" s="197">
        <f>IF($K536=AF$3,ROUND(IF(OR($C536="W",$C536="1/2W",$C536="1/2L"),$P536-$O536,IF($C536="X",0,-$O536)),2),0)</f>
        <v>0</v>
      </c>
      <c r="AG536" s="198">
        <f>IF($K536=AG$3,ROUND(IF(OR($C536="W",$C536="1/2W",$C536="1/2L"),$P536-$O536,IF($C536="X",0,-$O536)),2),0)</f>
        <v>0</v>
      </c>
      <c r="AH536" s="198">
        <f>IF($K536=AH$3,ROUND(IF(OR($C536="W",$C536="1/2W",$C536="1/2L"),$P536-$O536,IF($C536="X",0,-$O536)),2),0)</f>
        <v>0</v>
      </c>
      <c r="AI536" s="198">
        <f>IF($K536=AI$3,ROUND(IF(OR($C536="W",$C536="1/2W",$C536="1/2L"),$P536-$O536,IF($C536="X",0,-$O536)),2),0)</f>
        <v>0</v>
      </c>
      <c r="AJ536" s="198">
        <f>IF($K536=AJ$3,ROUND(IF(OR($C536="W",$C536="1/2W",$C536="1/2L"),$P536-$O536,IF($C536="X",0,-$O536)),2),0)</f>
        <v>-12.36</v>
      </c>
      <c r="AK536" s="198">
        <f>IF($K536=AK$3,ROUND(IF(OR($C536="W",$C536="1/2W",$C536="1/2L"),$P536-$O536,IF($C536="X",0,-$O536)),2),0)</f>
        <v>0</v>
      </c>
      <c r="AL536" s="198">
        <f>IF($K536=AL$3,ROUND(IF(OR($C536="W",$C536="1/2W",$C536="1/2L"),$P536-$O536,IF($C536="X",0,-$O536)),2),0)</f>
        <v>0</v>
      </c>
      <c r="AM536" s="198">
        <f>IF($K536=AM$3,ROUND(IF(OR($C536="W",$C536="1/2W",$C536="1/2L"),$P536-$O536,IF($C536="X",0,-$O536)),2),0)</f>
        <v>0</v>
      </c>
      <c r="AN536" s="198">
        <f>IF($K536=AN$3,ROUND(IF(OR($C536="W",$C536="1/2W",$C536="1/2L"),$P536-$O536,IF($C536="X",0,-$O536)),2),0)</f>
        <v>0</v>
      </c>
      <c r="AO536" s="198">
        <f>IF($K536=AO$3,ROUND(IF(OR($C536="W",$C536="1/2W",$C536="1/2L"),$P536-$O536,IF($C536="X",0,-$O536)),2),0)</f>
        <v>0</v>
      </c>
      <c r="AP536" s="198">
        <f>IF($K536=AP$3,ROUND(IF(OR($C536="W",$C536="1/2W",$C536="1/2L"),$P536-$O536,IF($C536="X",0,-$O536)),2),0)</f>
        <v>0</v>
      </c>
      <c r="AQ536" s="198">
        <f>IF($K536=AQ$3,ROUND(IF(OR($C536="W",$C536="1/2W",$C536="1/2L"),$P536-$O536,IF($C536="X",0,-$O536)),2),0)</f>
        <v>0</v>
      </c>
      <c r="AR536" s="199">
        <f>IF($K536=AR$3,ROUND(IF(OR($C536="W",$C536="1/2W",$C536="1/2L"),$P536-$O536,IF($C536="X",0,-$O536)),2),0)</f>
        <v>0</v>
      </c>
      <c r="AS536" s="197">
        <f>IF(AND($B535=" ",$K536=AS$3),$O536,0)</f>
        <v>0</v>
      </c>
      <c r="AT536" s="198">
        <f>IF(AND($B535=" ",K536=AT$3),$O536,0)</f>
        <v>0</v>
      </c>
      <c r="AU536" s="198">
        <f>IF(AND($B535=" ",$K536=AU$3),$O536,0)</f>
        <v>0</v>
      </c>
      <c r="AV536" s="198">
        <f>IF(AND($B535=" ",$K536=AV$3),$O536,0)</f>
        <v>0</v>
      </c>
      <c r="AW536" s="198">
        <f>IF(AND($B535=" ",$K536=AW$3),$O536,0)</f>
        <v>0</v>
      </c>
      <c r="AX536" s="198">
        <f>IF(AND($B535=" ",$K536=AX$3),$O536,0)</f>
        <v>0</v>
      </c>
      <c r="AY536" s="200">
        <f>IF(AND($B535=" ",$K536=AY$3),$O536,0)</f>
        <v>0</v>
      </c>
      <c r="AZ536" s="201">
        <f>IF(AND($B535=" ",$K536=AZ$3),$O536,0)</f>
        <v>0</v>
      </c>
      <c r="BA536" s="201">
        <f>IF(AND($B535=" ",$K536=BA$3),$O536,0)</f>
        <v>0</v>
      </c>
      <c r="BB536" s="201">
        <f>IF(AND($B535=" ",$K536=BB$3),$O536,0)</f>
        <v>0</v>
      </c>
      <c r="BC536" s="202">
        <f>IF(AND($B535=" ",$K536=BC$3),$O536,0)</f>
        <v>0</v>
      </c>
      <c r="BD536" s="198">
        <f>IF(AND($B535=" ",$K536=BD$3),$O536,0)</f>
        <v>0</v>
      </c>
      <c r="BE536" s="199">
        <f>IF(AND($B535=" ",$K536=BE$3),$O536,0)</f>
        <v>0</v>
      </c>
      <c r="BF536" s="197">
        <f>IF($K536=BF$3,IF($C536="X",0,$O536),0)</f>
        <v>0</v>
      </c>
      <c r="BG536" s="198">
        <f>IF($K536=BG$3,IF($C536="X",0,$O536),0)</f>
        <v>0</v>
      </c>
      <c r="BH536" s="198">
        <f>IF($K536=BH$3,IF($C536="X",0,$O536),0)</f>
        <v>0</v>
      </c>
      <c r="BI536" s="198">
        <f>IF($K536=BI$3,IF($C536="X",0,$O536),0)</f>
        <v>0</v>
      </c>
      <c r="BJ536" s="198">
        <f>IF($K536=BJ$3,IF($C536="X",0,$O536),0)</f>
        <v>12.36</v>
      </c>
      <c r="BK536" s="198">
        <f>IF($K536=BK$3,IF($C536="X",0,$O536),0)</f>
        <v>0</v>
      </c>
      <c r="BL536" s="198">
        <f>IF($K536=BL$3,IF($C536="X",0,$O536),0)</f>
        <v>0</v>
      </c>
      <c r="BM536" s="227">
        <f>IF($K536=BM$3,IF($C536="X",0,$O536),0)</f>
        <v>0</v>
      </c>
      <c r="BN536" s="205">
        <f>IF($K536=BN$3,IF($C536="X",0,$O536),0)</f>
        <v>0</v>
      </c>
      <c r="BO536" s="205">
        <f>IF($K536=BO$3,IF($C536="X",0,$O536),0)</f>
        <v>0</v>
      </c>
      <c r="BP536" s="205">
        <f>IF($K536=BP$3,IF($C536="X",0,$O536),0)</f>
        <v>0</v>
      </c>
      <c r="BQ536" s="202">
        <f>IF($K536=BQ$3,IF($C536="X",0,$O536),0)</f>
        <v>0</v>
      </c>
      <c r="BR536" s="199">
        <f>IF($K536=BR$3,IF($C536="X",0,$O536),0)</f>
        <v>0</v>
      </c>
      <c r="BS536" s="228"/>
      <c r="BT536" s="229"/>
      <c r="BU536" s="140"/>
      <c r="BV536" s="229"/>
      <c r="BW536" s="140"/>
      <c r="BX536" s="140"/>
      <c r="BY536" s="140"/>
      <c r="BZ536" s="229"/>
      <c r="CA536" s="140"/>
      <c r="CB536" s="140"/>
      <c r="CC536" s="140"/>
      <c r="CD536" s="141"/>
      <c r="CE536" s="142"/>
      <c r="CF536" s="230">
        <f>IF(CF$3=$K536,IF($C536="W",1,IF($C536="1/2W",0.5,0)),0)</f>
        <v>0</v>
      </c>
      <c r="CG536" s="231">
        <f>IF(CF$3=$K536,IF($C536="L",1,IF($C536="1/2L",0.5,0)),0)</f>
        <v>0</v>
      </c>
      <c r="CH536" s="231">
        <f>IF(CH$3=$K536,IF($C536="W",1,IF($C536="1/2W",0.5,0)),0)</f>
        <v>0</v>
      </c>
      <c r="CI536" s="231">
        <f>IF(CH$3=$K536,IF($C536="L",1,IF($C536="1/2L",0.5,0)),0)</f>
        <v>0</v>
      </c>
      <c r="CJ536" s="231">
        <f>IF(CJ$3=$K536,IF($C536="W",1,IF($C536="1/2W",0.5,0)),0)</f>
        <v>0</v>
      </c>
      <c r="CK536" s="231">
        <f>IF(CJ$3=$K536,IF($C536="L",1,IF($C536="1/2L",0.5,0)),0)</f>
        <v>0</v>
      </c>
      <c r="CL536" s="231">
        <f>IF(CL$3=$K536,IF($C536="W",1,IF($C536="1/2W",0.5,0)),0)</f>
        <v>0</v>
      </c>
      <c r="CM536" s="231">
        <f>IF(CL$3=$K536,IF($C536="L",1,IF($C536="1/2L",0.5,0)),0)</f>
        <v>0</v>
      </c>
      <c r="CN536" s="231">
        <f>IF(CN$3=$K536,IF($C536="W",1,IF($C536="1/2W",0.5,0)),0)</f>
        <v>0</v>
      </c>
      <c r="CO536" s="231">
        <f>IF(CN$3=$K536,IF($C536="L",1,IF($C536="1/2L",0.5,0)),0)</f>
        <v>1</v>
      </c>
      <c r="CP536" s="231">
        <f>IF(CP$3=$K536,IF($C536="W",1,IF($C536="1/2W",0.5,0)),0)</f>
        <v>0</v>
      </c>
      <c r="CQ536" s="231">
        <f>IF(CP$3=$K536,IF($C536="L",1,IF($C536="1/2L",0.5,0)),0)</f>
        <v>0</v>
      </c>
      <c r="CR536" s="231">
        <f>IF(CR$3=$K536,IF($C536="W",1,IF($C536="1/2W",0.5,0)),0)</f>
        <v>0</v>
      </c>
      <c r="CS536" s="231">
        <f>IF(CR$3=$K536,IF($C536="L",1,IF($C536="1/2L",0.5,0)),0)</f>
        <v>0</v>
      </c>
      <c r="CT536" s="208">
        <f>IF(CT$3=$K536,IF($C536="W",1,IF($C536="1/2W",0.5,0)),0)</f>
        <v>0</v>
      </c>
      <c r="CU536" s="209">
        <f>IF(CT$3=$K536,IF($C536="L",1,IF($C536="1/2L",0.5,0)),0)</f>
        <v>0</v>
      </c>
      <c r="CV536" s="209">
        <f>IF(CV$3=$K536,IF($C536="W",1,IF($C536="1/2W",0.5,0)),0)</f>
        <v>0</v>
      </c>
      <c r="CW536" s="209">
        <f>IF(CV$3=$K536,IF($C536="L",1,IF($C536="1/2L",0.5,0)),0)</f>
        <v>0</v>
      </c>
      <c r="CX536" s="209">
        <f>IF(CX$3=$K536,IF($C536="W",1,IF($C536="1/2W",0.5,0)),0)</f>
        <v>0</v>
      </c>
      <c r="CY536" s="209">
        <f>IF(CX$3=$K536,IF($C536="L",1,IF($C536="1/2L",0.5,0)),0)</f>
        <v>0</v>
      </c>
      <c r="CZ536" s="209">
        <f>IF(CZ$3=$K536,IF($C536="W",1,IF($C536="1/2W",0.5,0)),0)</f>
        <v>0</v>
      </c>
      <c r="DA536" s="209">
        <f>IF(CZ$3=$K536,IF($C536="L",1,IF($C536="1/2L",0.5,0)),0)</f>
        <v>0</v>
      </c>
      <c r="DB536" s="209">
        <f>IF(DB$3=$K536,IF($C536="W",1,IF($C536="1/2W",0.5,0)),0)</f>
        <v>0</v>
      </c>
      <c r="DC536" s="209">
        <f>IF(DB$3=$K536,IF($C536="L",1,IF($C536="1/2L",0.5,0)),0)</f>
        <v>0</v>
      </c>
      <c r="DD536" s="209">
        <f>IF(DD$3=$K536,IF($C536="W",1,IF($C536="1/2W",0.5,0)),0)</f>
        <v>0</v>
      </c>
      <c r="DE536" s="210">
        <f>IF(DD$3=$K536,IF($C536="L",1,IF($C536="1/2L",0.5,0)),0)</f>
        <v>0</v>
      </c>
      <c r="DF536" s="211">
        <f>IF(AND(L536&lt;DF$3,$C536="W"),1+DF535,DF535)</f>
        <v>16</v>
      </c>
      <c r="DG536" s="198">
        <f>IF(DF536&gt;DF535,L536+DG535,DG535)</f>
        <v>21.158</v>
      </c>
      <c r="DH536" s="209">
        <f>IF(AND(L536&gt;DH$3,$C536="W"),1+DH535,0+DH535)</f>
        <v>14</v>
      </c>
      <c r="DI536" s="198">
        <f>IF(DH536&gt;DH535,L536+DI535,DI535)</f>
        <v>77.43000000000001</v>
      </c>
      <c r="DJ536" t="s" s="306">
        <f>IF($D535="","",$D535)</f>
        <v>396</v>
      </c>
      <c r="DK536" s="232"/>
    </row>
    <row r="537" ht="14.55" customHeight="1">
      <c r="A537" s="149"/>
      <c r="B537" s="150"/>
      <c r="C537" t="s" s="233">
        <v>58</v>
      </c>
      <c r="D537" s="152"/>
      <c r="E537" s="153"/>
      <c r="F537" s="155"/>
      <c r="G537" s="234"/>
      <c r="H537" s="156"/>
      <c r="I537" s="235"/>
      <c r="J537" s="236"/>
      <c r="K537" s="237"/>
      <c r="L537" s="238"/>
      <c r="M537" s="239"/>
      <c r="N537" s="161"/>
      <c r="O537" t="s" s="240">
        <f>IF(OR(AE535="",AE536=""),"",IF(L537&gt;0,ROUND(IF(M537&gt;0,M537,IF(M535&gt;0,ROUND((M535*AE537)/AE535,IF(N535=0,2,IF(N535=0.1,1,0))),IF(M536&gt;0,ROUND((M536*AE537)/AE536,IF(N535=0,2,IF(N535=0.1,1,0))),IF(M537&gt;0,M537,0)))),2),""))</f>
      </c>
      <c r="P537" t="s" s="241">
        <f>IF(I536="Lay",O536*(L536/(L536-1))-O536,IF(I535="Lay",O535*(L535/(L535-1))-O535,IF(OR(L537="",O537=""),"",IF($C537="1/2W",O537/2+O537/2*L537,IF($C537="1/2L",O537/2,(O537*L537-O537)*(1-_xlfn.XLOOKUP(K537,'Janeiro 2023 - Valor Real'!A3:A15,'Janeiro 2023 - Valor Real'!C3:C15,0))+O537)))))</f>
      </c>
      <c r="Q537" t="s" s="242">
        <f>IF(K537="","",IF(_xlfn.XLOOKUP(K537,K$124:K310,DJ$124:DJ310,0,,-1)=DJ537,_xlfn.XLOOKUP(K537,K$124:K310,Q$124:Q310,1,,-1)+1,1))</f>
      </c>
      <c r="R537" t="s" s="243">
        <f>IF(K537="","",_xlfn.XLOOKUP(K537,K$124:K310,R$124:R310,0,,-1)+IF($C537=" ",1,0))</f>
      </c>
      <c r="S537" s="166"/>
      <c r="T537" s="155"/>
      <c r="U537" s="155"/>
      <c r="V537" s="166"/>
      <c r="W537" s="155"/>
      <c r="X537" s="167"/>
      <c r="Y537" s="128"/>
      <c r="Z537" s="129"/>
      <c r="AA537" s="129"/>
      <c r="AB537" s="129"/>
      <c r="AC537" s="129"/>
      <c r="AD537" s="244">
        <f>((L536/(L536-1)-1))</f>
        <v>1.0989010989011</v>
      </c>
      <c r="AE537" t="s" s="245">
        <f>IF(L537="","",(SUM(((L535-1)*(1-_xlfn.XLOOKUP(K535,'Janeiro 2023 - Valor Real'!A3:A15,'Janeiro 2023 - Valor Real'!C3:C15,0))+1),((L536-1)*(1-_xlfn.XLOOKUP(K536,'Janeiro 2023 - Valor Real'!A3:A15,'Janeiro 2023 - Valor Real'!C3:C15,0))+1),((L537-1)*(1-_xlfn.XLOOKUP(K537,'Janeiro 2023 - Valor Real'!A3:A15,'Janeiro 2023 - Valor Real'!C3:C15,0))+1))/((L537-1)*(1-_xlfn.XLOOKUP(K537,'Janeiro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Real'!C3:C15,0))+1))/((L535-1)*(1-_xlfn.XLOOKUP(K535,'Janeiro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Real'!C3:C15,0))+1))/((L536-1)*(1-_xlfn.XLOOKUP(K536,'Janeiro 2023 - Valor Real'!A3:A15,'Janeiro 2023 - Valor Real'!C3:C15,0))+1)+SUM(((L535-1)*(1-_xlfn.XLOOKUP(K535,'Janeiro 2023 - Valor Real'!A3:A15,'Janeiro 2023 - Valor Real'!C3:C15,0))+1),((L536-1)*(1-_xlfn.XLOOKUP(K536,'Janeiro 2023 - Valor Real'!A3:A15,'Janeiro 2023 - Valor Real'!C3:C15,0))+1),((L537-1)*(1-_xlfn.XLOOKUP(K537,'Janeiro 2023 - Valor Real'!A3:A15,'Janeiro 2023 - Valor Real'!C3:C15,0))+1))/((L537-1)*(1-_xlfn.XLOOKUP(K537,'Janeiro 2023 - Valor Real'!A3:A15,'Janeiro 2023 - Valor Real'!C3:C15,0))+1)))</f>
      </c>
      <c r="AF537" s="197">
        <f>IF($K537=AF$3,ROUND(IF(OR($C537="W",$C537="1/2W",$C537="1/2L"),$P537-$O537,IF($C537="X",0,-$O537)),2),0)</f>
        <v>0</v>
      </c>
      <c r="AG537" s="198">
        <f>IF($K537=AG$3,ROUND(IF(OR($C537="W",$C537="1/2W",$C537="1/2L"),$P537-$O537,IF($C537="X",0,-$O537)),2),0)</f>
        <v>0</v>
      </c>
      <c r="AH537" s="198">
        <f>IF($K537=AH$3,ROUND(IF(OR($C537="W",$C537="1/2W",$C537="1/2L"),$P537-$O537,IF($C537="X",0,-$O537)),2),0)</f>
        <v>0</v>
      </c>
      <c r="AI537" s="198">
        <f>IF($K537=AI$3,ROUND(IF(OR($C537="W",$C537="1/2W",$C537="1/2L"),$P537-$O537,IF($C537="X",0,-$O537)),2),0)</f>
        <v>0</v>
      </c>
      <c r="AJ537" s="198">
        <f>IF($K537=AJ$3,ROUND(IF(OR($C537="W",$C537="1/2W",$C537="1/2L"),$P537-$O537,IF($C537="X",0,-$O537)),2),0)</f>
        <v>0</v>
      </c>
      <c r="AK537" s="198">
        <f>IF($K537=AK$3,ROUND(IF(OR($C537="W",$C537="1/2W",$C537="1/2L"),$P537-$O537,IF($C537="X",0,-$O537)),2),0)</f>
        <v>0</v>
      </c>
      <c r="AL537" s="198">
        <f>IF($K537=AL$3,ROUND(IF(OR($C537="W",$C537="1/2W",$C537="1/2L"),$P537-$O537,IF($C537="X",0,-$O537)),2),0)</f>
        <v>0</v>
      </c>
      <c r="AM537" s="198">
        <f>IF($K537=AM$3,ROUND(IF(OR($C537="W",$C537="1/2W",$C537="1/2L"),$P537-$O537,IF($C537="X",0,-$O537)),2),0)</f>
        <v>0</v>
      </c>
      <c r="AN537" s="198">
        <f>IF($K537=AN$3,ROUND(IF(OR($C537="W",$C537="1/2W",$C537="1/2L"),$P537-$O537,IF($C537="X",0,-$O537)),2),0)</f>
        <v>0</v>
      </c>
      <c r="AO537" s="198">
        <f>IF($K537=AO$3,ROUND(IF(OR($C537="W",$C537="1/2W",$C537="1/2L"),$P537-$O537,IF($C537="X",0,-$O537)),2),0)</f>
        <v>0</v>
      </c>
      <c r="AP537" s="198">
        <f>IF($K537=AP$3,ROUND(IF(OR($C537="W",$C537="1/2W",$C537="1/2L"),$P537-$O537,IF($C537="X",0,-$O537)),2),0)</f>
        <v>0</v>
      </c>
      <c r="AQ537" s="198">
        <f>IF($K537=AQ$3,ROUND(IF(OR($C537="W",$C537="1/2W",$C537="1/2L"),$P537-$O537,IF($C537="X",0,-$O537)),2),0)</f>
        <v>0</v>
      </c>
      <c r="AR537" s="199">
        <f>IF($K537=AR$3,ROUND(IF(OR($C537="W",$C537="1/2W",$C537="1/2L"),$P537-$O537,IF($C537="X",0,-$O537)),2),0)</f>
        <v>0</v>
      </c>
      <c r="AS537" s="197">
        <f>IF(AND($B535=" ",$K537=AS$3),$O537,0)</f>
        <v>0</v>
      </c>
      <c r="AT537" s="198">
        <f>IF(AND($B535=" ",K537=AT$3),$O537,0)</f>
        <v>0</v>
      </c>
      <c r="AU537" s="198">
        <f>IF(AND($B535=" ",$K537=AU$3),$O537,0)</f>
        <v>0</v>
      </c>
      <c r="AV537" s="198">
        <f>IF(AND($B535=" ",$K537=AV$3),$O537,0)</f>
        <v>0</v>
      </c>
      <c r="AW537" s="198">
        <f>IF(AND($B535=" ",$K537=AW$3),$O537,0)</f>
        <v>0</v>
      </c>
      <c r="AX537" s="198">
        <f>IF(AND($B535=" ",$K537=AX$3),$O537,0)</f>
        <v>0</v>
      </c>
      <c r="AY537" s="200">
        <f>IF(AND($B535=" ",$K537=AY$3),$O537,0)</f>
        <v>0</v>
      </c>
      <c r="AZ537" s="201">
        <f>IF(AND($B535=" ",$K537=AZ$3),$O537,0)</f>
        <v>0</v>
      </c>
      <c r="BA537" s="201">
        <f>IF(AND($B535=" ",$K537=BA$3),$O537,0)</f>
        <v>0</v>
      </c>
      <c r="BB537" s="201">
        <f>IF(AND($B535=" ",$K537=BB$3),$O537,0)</f>
        <v>0</v>
      </c>
      <c r="BC537" s="202">
        <f>IF(AND($B535=" ",$K537=BC$3),$O537,0)</f>
        <v>0</v>
      </c>
      <c r="BD537" s="198">
        <f>IF(AND($B535=" ",$K537=BD$3),$O537,0)</f>
        <v>0</v>
      </c>
      <c r="BE537" s="199">
        <f>IF(AND($B535=" ",$K537=BE$3),$O537,0)</f>
        <v>0</v>
      </c>
      <c r="BF537" s="197">
        <f>IF($K537=BF$3,IF($C537="X",0,$O537),0)</f>
        <v>0</v>
      </c>
      <c r="BG537" s="198">
        <f>IF($K537=BG$3,IF($C537="X",0,$O537),0)</f>
        <v>0</v>
      </c>
      <c r="BH537" s="198">
        <f>IF($K537=BH$3,IF($C537="X",0,$O537),0)</f>
        <v>0</v>
      </c>
      <c r="BI537" s="198">
        <f>IF($K537=BI$3,IF($C537="X",0,$O537),0)</f>
        <v>0</v>
      </c>
      <c r="BJ537" s="198">
        <f>IF($K537=BJ$3,IF($C537="X",0,$O537),0)</f>
        <v>0</v>
      </c>
      <c r="BK537" s="198">
        <f>IF($K537=BK$3,IF($C537="X",0,$O537),0)</f>
        <v>0</v>
      </c>
      <c r="BL537" s="198">
        <f>IF($K537=BL$3,IF($C537="X",0,$O537),0)</f>
        <v>0</v>
      </c>
      <c r="BM537" s="200">
        <f>IF($K537=BM$3,IF($C537="X",0,$O537),0)</f>
        <v>0</v>
      </c>
      <c r="BN537" s="201">
        <f>IF($K537=BN$3,IF($C537="X",0,$O537),0)</f>
        <v>0</v>
      </c>
      <c r="BO537" s="201">
        <f>IF($K537=BO$3,IF($C537="X",0,$O537),0)</f>
        <v>0</v>
      </c>
      <c r="BP537" s="201">
        <f>IF($K537=BP$3,IF($C537="X",0,$O537),0)</f>
        <v>0</v>
      </c>
      <c r="BQ537" s="202">
        <f>IF($K537=BQ$3,IF($C537="X",0,$O537),0)</f>
        <v>0</v>
      </c>
      <c r="BR537" s="199">
        <f>IF($K537=BR$3,IF($C537="X",0,$O537),0)</f>
        <v>0</v>
      </c>
      <c r="BS537" s="228"/>
      <c r="BT537" s="229"/>
      <c r="BU537" s="140"/>
      <c r="BV537" s="229"/>
      <c r="BW537" s="140"/>
      <c r="BX537" s="140"/>
      <c r="BY537" s="140"/>
      <c r="BZ537" s="229"/>
      <c r="CA537" s="140"/>
      <c r="CB537" s="140"/>
      <c r="CC537" s="140"/>
      <c r="CD537" s="141"/>
      <c r="CE537" s="142"/>
      <c r="CF537" s="230">
        <f>IF(CF$3=$K537,IF($C537="W",1,IF($C537="1/2W",0.5,0)),0)</f>
        <v>0</v>
      </c>
      <c r="CG537" s="231">
        <f>IF(CF$3=$K537,IF($C537="L",1,IF($C537="1/2L",0.5,0)),0)</f>
        <v>0</v>
      </c>
      <c r="CH537" s="231">
        <f>IF(CH$3=$K537,IF($C537="W",1,IF($C537="1/2W",0.5,0)),0)</f>
        <v>0</v>
      </c>
      <c r="CI537" s="231">
        <f>IF(CH$3=$K537,IF($C537="L",1,IF($C537="1/2L",0.5,0)),0)</f>
        <v>0</v>
      </c>
      <c r="CJ537" s="231">
        <f>IF(CJ$3=$K537,IF($C537="W",1,IF($C537="1/2W",0.5,0)),0)</f>
        <v>0</v>
      </c>
      <c r="CK537" s="231">
        <f>IF(CJ$3=$K537,IF($C537="L",1,IF($C537="1/2L",0.5,0)),0)</f>
        <v>0</v>
      </c>
      <c r="CL537" s="231">
        <f>IF(CL$3=$K537,IF($C537="W",1,IF($C537="1/2W",0.5,0)),0)</f>
        <v>0</v>
      </c>
      <c r="CM537" s="231">
        <f>IF(CL$3=$K537,IF($C537="L",1,IF($C537="1/2L",0.5,0)),0)</f>
        <v>0</v>
      </c>
      <c r="CN537" s="231">
        <f>IF(CN$3=$K537,IF($C537="W",1,IF($C537="1/2W",0.5,0)),0)</f>
        <v>0</v>
      </c>
      <c r="CO537" s="231">
        <f>IF(CN$3=$K537,IF($C537="L",1,IF($C537="1/2L",0.5,0)),0)</f>
        <v>0</v>
      </c>
      <c r="CP537" s="231">
        <f>IF(CP$3=$K537,IF($C537="W",1,IF($C537="1/2W",0.5,0)),0)</f>
        <v>0</v>
      </c>
      <c r="CQ537" s="231">
        <f>IF(CP$3=$K537,IF($C537="L",1,IF($C537="1/2L",0.5,0)),0)</f>
        <v>0</v>
      </c>
      <c r="CR537" s="231">
        <f>IF(CR$3=$K537,IF($C537="W",1,IF($C537="1/2W",0.5,0)),0)</f>
        <v>0</v>
      </c>
      <c r="CS537" s="231">
        <f>IF(CR$3=$K537,IF($C537="L",1,IF($C537="1/2L",0.5,0)),0)</f>
        <v>0</v>
      </c>
      <c r="CT537" s="208">
        <f>IF(CT$3=$K537,IF($C537="W",1,IF($C537="1/2W",0.5,0)),0)</f>
        <v>0</v>
      </c>
      <c r="CU537" s="209">
        <f>IF(CT$3=$K537,IF($C537="L",1,IF($C537="1/2L",0.5,0)),0)</f>
        <v>0</v>
      </c>
      <c r="CV537" s="209">
        <f>IF(CV$3=$K537,IF($C537="W",1,IF($C537="1/2W",0.5,0)),0)</f>
        <v>0</v>
      </c>
      <c r="CW537" s="209">
        <f>IF(CV$3=$K537,IF($C537="L",1,IF($C537="1/2L",0.5,0)),0)</f>
        <v>0</v>
      </c>
      <c r="CX537" s="209">
        <f>IF(CX$3=$K537,IF($C537="W",1,IF($C537="1/2W",0.5,0)),0)</f>
        <v>0</v>
      </c>
      <c r="CY537" s="209">
        <f>IF(CX$3=$K537,IF($C537="L",1,IF($C537="1/2L",0.5,0)),0)</f>
        <v>0</v>
      </c>
      <c r="CZ537" s="209">
        <f>IF(CZ$3=$K537,IF($C537="W",1,IF($C537="1/2W",0.5,0)),0)</f>
        <v>0</v>
      </c>
      <c r="DA537" s="209">
        <f>IF(CZ$3=$K537,IF($C537="L",1,IF($C537="1/2L",0.5,0)),0)</f>
        <v>0</v>
      </c>
      <c r="DB537" s="209">
        <f>IF(DB$3=$K537,IF($C537="W",1,IF($C537="1/2W",0.5,0)),0)</f>
        <v>0</v>
      </c>
      <c r="DC537" s="209">
        <f>IF(DB$3=$K537,IF($C537="L",1,IF($C537="1/2L",0.5,0)),0)</f>
        <v>0</v>
      </c>
      <c r="DD537" s="209">
        <f>IF(DD$3=$K537,IF($C537="W",1,IF($C537="1/2W",0.5,0)),0)</f>
        <v>0</v>
      </c>
      <c r="DE537" s="210">
        <f>IF(DD$3=$K537,IF($C537="L",1,IF($C537="1/2L",0.5,0)),0)</f>
        <v>0</v>
      </c>
      <c r="DF537" s="211">
        <f>IF(AND(L537&lt;DF$3,$C537="W"),1+DF536,DF536)</f>
        <v>16</v>
      </c>
      <c r="DG537" s="198">
        <f>IF(DF537&gt;DF536,L537+DG536,DG536)</f>
        <v>21.158</v>
      </c>
      <c r="DH537" s="209">
        <f>IF(AND(L537&gt;DH$3,$C537="W"),1+DH536,0+DH536)</f>
        <v>14</v>
      </c>
      <c r="DI537" s="198">
        <f>IF(DH537&gt;DH536,L537+DI536,DI536)</f>
        <v>77.43000000000001</v>
      </c>
      <c r="DJ537" t="s" s="306">
        <f>IF($D535="","",$D535)</f>
        <v>396</v>
      </c>
      <c r="DK537" s="232"/>
    </row>
    <row r="538" ht="14.55" customHeight="1">
      <c r="A538" s="246">
        <f>$A535+1</f>
        <v>179</v>
      </c>
      <c r="B538" t="s" s="247">
        <f>IF(AND(_xlfn.XLOOKUP(H538,H$107:H317,G$107:G317,0)=G538,_xlfn.XLOOKUP("TempoBet",K538:K540,L538:L540,0)&gt;0),"X",IF(OR(C538="W",C539="W",C540="W",C538="1/2W",C539="1/2W",C540="1/2W",C538="1/2L",C539="1/2L",C540="1/2L"),"OK",IF(OR(C538="L",C539="L",C540="L"),"LOSS",IF(OR(C538="X",C539="X",C540="X"),"Anulado"," "))))</f>
        <v>50</v>
      </c>
      <c r="C538" t="s" s="248">
        <v>56</v>
      </c>
      <c r="D538" t="s" s="303">
        <f>IF(G538="","",$D535)</f>
        <v>396</v>
      </c>
      <c r="E538" t="s" s="250">
        <v>121</v>
      </c>
      <c r="F538" t="s" s="251"/>
      <c r="G538" s="252">
        <v>44952.395833333336</v>
      </c>
      <c r="H538" t="s" s="253">
        <v>410</v>
      </c>
      <c r="I538" t="s" s="254">
        <v>54</v>
      </c>
      <c r="J538" s="255">
        <v>2.5</v>
      </c>
      <c r="K538" t="s" s="256">
        <v>44</v>
      </c>
      <c r="L538" s="257">
        <v>1.68</v>
      </c>
      <c r="M538" s="258"/>
      <c r="N538" s="259">
        <v>0</v>
      </c>
      <c r="O538" s="260">
        <f>IF(OR(AE538="",AE539=""),"",ROUND(IF(L540&gt;0,IF(M538&gt;0,M538,IF(M539&gt;0,ROUND((M539*AE538)/AE539,IF(N538=0,2,IF(N538=0.1,1,0))),ROUND((M540*AE538)/AE540,IF(N538=0,2,IF(N538=0.1,1,0))))),IF(M538&gt;0,M538,ROUND((M539*AE538)/AE539,IF(N538=0,2,IF(N538=0.1,1,0))))),2))</f>
        <v>12.82</v>
      </c>
      <c r="P538" s="261">
        <f>IF(OR(L538="",O538=""),"",IF($C538="1/2W",O538/2+O538/2*L538,IF($C538="1/2L",O538/2,IF(I538="Lay",(O538*(L538/(L538-1))-O538)*(1-_xlfn.XLOOKUP(K538,'Janeiro 2023 - Valor Real'!A3:A15,'Janeiro 2023 - Valor Real'!C3:C15,0))+O538,(O538*L538-O538)*(1-_xlfn.XLOOKUP(K538,'Janeiro 2023 - Valor Real'!A3:A15,'Janeiro 2023 - Valor Real'!C3:C15,0))+O538))))</f>
        <v>21.5376</v>
      </c>
      <c r="Q538" s="262">
        <f>IF(K538="","",IF(_xlfn.XLOOKUP(K538,K$107:K317,DJ$107:DJ317,0,,-1)=DJ538,_xlfn.XLOOKUP(K538,K$107:K317,Q$107:Q317,1,,-1)+1,1))</f>
        <v>1</v>
      </c>
      <c r="R538" s="263">
        <f>IF(K538="","",_xlfn.XLOOKUP(K538,K$107:K317,R$107:R317,0,,-1)+IF($C538=" ",1,0))</f>
        <v>0</v>
      </c>
      <c r="S538" s="264">
        <f>IF($B538="Anulado",0,ROUND(IF(OR($B538="LOSS",$B538="OK"),IF(OR($C538="W",$C538="1/2W",$C538="1/2L"),P538-O538,IF($C538="L",-O538,0))+IF(OR($C539="W",$C539="1/2W",$C539="1/2L"),P539-O539,IF($C539="L",-O539,0))+IF(OR($C540="W",$C540="1/2W",$C540="1/2L"),P540-O540,IF($C540="L",-O540,0)),IF(AND(OR($C538="W",$C538="1/2W",$C538="1/2L"),C539="W"),P538+P539-SUM(O538:O540)+_xlfn.XLOOKUP("X",C538:C540,O538:O540,0),IF(AND(C538=TRUE,C540="W"),P538+P540-SUM(O538:O540),IF(AND(C539="W",C540="W"),P539+P540-SUM(O538:O540)+_xlfn.XLOOKUP("X",C538:C540,O538:O540,0),IF(L540&gt;0,IF(OR($C538="W",$C538="1/2W",$C538="1/2L"),P538-SUM(O538:O540)+_xlfn.XLOOKUP("X",C538:C540,O538:O540,0),IF(OR($C538="W",$C538="1/2W",$C538="1/2L"),P539-SUM(O538:O540)+_xlfn.XLOOKUP("X",C538:C540,O538:O540,0),IF(OR($C538="W",$C538="1/2W",$C538="1/2L"),P540-SUM(O538:O540)+_xlfn.XLOOKUP("X",C538:C540,O538:O540,0),IF(SUM(P538:P540)/3-SUM(O538:O540)+_xlfn.XLOOKUP("X",C538:C540,O538:O540,0)&gt;0,SUM(P538:P540)/3-SUM(O538:O540)+_xlfn.XLOOKUP("X",C538:C540,O538:O540,0),LARGE(P538:P540,1)-SUM(O538:O540))))),IF(OR($C538="W",$C538="1/2W",$C538="1/2L"),P538-SUM(O538:O539)+_xlfn.XLOOKUP("X",C538:C540,O538:O540,0),IF(OR($C538="W",$C538="1/2W",$C538="1/2L"),P539-SUM(O538:O539)+_xlfn.XLOOKUP("X",C538:C540,O538:O540,0),SUM(P538:P539)/2-SUM(O538:O539)+_xlfn.XLOOKUP("X",C538:C540,O538:O540,0)))))))),2))</f>
        <v>1.54</v>
      </c>
      <c r="T538" s="265">
        <f>IF(S538=0,0,S538/SUM(O538:O540))</f>
        <v>0.077</v>
      </c>
      <c r="U538" s="266">
        <f>IF($D538=$D535,IF(OR($B538="LOSS",$B538="OK",$B538="Anulada"),S538,0)+U535,IF(OR($B538="LOSS",$B538="OK",$B538="Anulada"),S538,0))</f>
        <v>20.22</v>
      </c>
      <c r="V538" s="266">
        <f>IF($D538="",0,IF($D538=$D535,IF($B538=" ",IF(I540="",IF(OR(AND(I538="DNB1",I539="DNB2"),AND(OR(I538="DNB1",I538="DNB2"),J539=0),AND(OR(I539="DNB1",I539="DNB2"),J538=0),AND(I538="DNB2",I539="DNB1"),AND(IF(J538=0,(J538+1)/ROUND(J538+1,0),J538/ROUND(J538,0))=1,IF(J539=0,(J539+1)/ROUND(IF(J539="",0,J539)+1,0),IF(J539="",0,J539)/ROUND(IF(J539="",1,J539),0))=1,OR(J538&lt;&gt;""),J539&lt;&gt;"")),0,IF(S538&lt;0,IF(I540="",SMALL(P538:P539,1)-SUM(O538:O539),0),SMALL(P538:P539,1)-SUM(O538:O539))),IF(S538&lt;0,IF(I540="",SMALL(P538:P540,1)-SUM(O538:O540),0),LARGE(P538:P540,1)-SUM(O538:O540))),S538)+V535,IF(I540="",IF(OR(AND(I538="DNB1",I539="DNB2"),AND(OR(I538="DNB1",I538="DNB2"),J539=0),AND(OR(I539="DNB1",I539="DNB2"),J538=0),AND(I538="DNB2",I539="DNB1"),AND(IF(J538=0,(J538+1)/ROUND(J538+1,0),J538/ROUND(J538,0))=1,IF(J539=0,(IF(J539="",0,J539)+1)/ROUND(IF(J539="",0,J539)+1,0),IF(J539="",0,J539)/ROUND(IF(J539="",0,J539)+1,0))=1,OR(J538&lt;&gt;""),J539&lt;&gt;"")),0,IF(S538&lt;0,IF(I540="",SMALL(P538:P539,1)-SUM(O538:O539),0),SMALL(P538:P540,1)-SUM(O538:O540))),IF(S538&lt;0,IF(I540="",SMALL(P538:P540,1)-SUM(O538:O540),0),LARGE(P538:P540,1)-SUM(O538:O540)))))</f>
        <v>20.22</v>
      </c>
      <c r="W538" s="266">
        <f>IF($D538=$D535,IF(S538&lt;0,IF(I540="",S538,0),S538)+W535,S538)</f>
        <v>20.22</v>
      </c>
      <c r="X538" t="s" s="267">
        <f>IF(OR(SUM(R538:R540)=0,V538=W538),ROUND(IF(W538=0,0,W538/Y538)*100,2)&amp;"%",ROUND(IF(V538=0,0,V538/Y538)*100,2)&amp;"% a "&amp;ROUND(IF(W538=0,0,W538/Y538)*100,2)&amp;"%")</f>
        <v>411</v>
      </c>
      <c r="Y538" s="268">
        <f>IF($D538=$D535,Y535+SUM(O538:O540),SUM(O538:O540))</f>
        <v>468.4</v>
      </c>
      <c r="Z538" s="266">
        <f>IF($B538=" ",SUM(O538:O540),0)+Z535</f>
        <v>0</v>
      </c>
      <c r="AA538" s="266">
        <f>IF(G538="","",IF($B538="Anulado",LARGE(P538:P540,1)-SUM(O538:O540)+AA535,AA535))</f>
        <v>24.9665076923077</v>
      </c>
      <c r="AB538" s="266">
        <f>IF($D538="","",AB535+S538)</f>
        <v>359.46</v>
      </c>
      <c r="AC538" s="269">
        <f>IF($D538="","",IF($B538=" ",IF(DAY(G538)=DAY(TODAY()),1+AC535,0+AC535),0+AC535))</f>
        <v>0</v>
      </c>
      <c r="AD538" s="270">
        <f>(1-_xlfn.XLOOKUP(K536,'Janeiro 2023 - Valor Real'!A3:A15,'Janeiro 2023 - Valor Real'!C3:C15,0))+1</f>
        <v>2</v>
      </c>
      <c r="AE538" s="271">
        <f>IF(L538="","",IF(L540&gt;0,(SUM(((L538-1)*(1-_xlfn.XLOOKUP(K538,'Janeiro 2023 - Valor Real'!A3:A15,'Janeiro 2023 - Valor Real'!C3:C15,0))+1),((L539-1)*(1-_xlfn.XLOOKUP(K539,'Janeiro 2023 - Valor Real'!A3:A15,'Janeiro 2023 - Valor Real'!C3:C15,0))+1),((L540-1)*(1-_xlfn.XLOOKUP(K540,'Janeiro 2023 - Valor Real'!A3:A15,'Janeiro 2023 - Valor Real'!C3:C15,0))+1))/((L538-1)*(1-_xlfn.XLOOKUP(K538,'Janeiro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Real'!C3:C15,0))+1))/((L538-1)*(1-_xlfn.XLOOKUP(K538,'Janeiro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Real'!C3:C15,0))+1))/((L539-1)*(1-_xlfn.XLOOKUP(K539,'Janeiro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Real'!C3:C15,0))+1))/((L540-1)*(1-_xlfn.XLOOKUP(K540,'Janeiro 2023 - Valor Real'!A3:A15,'Janeiro 2023 - Valor Real'!C3:C15,0))+1)),IF(I538="Lay",IF(I539="Lay",((L539/(L539-1)-1)*(1-_xlfn.XLOOKUP(K539,'Janeiro 2023 - Valor Real'!A3:A15,'Janeiro 2023 - Valor Real'!C3:C15,0))+1)/(((L539/(L539-1)-1)*(1-_xlfn.XLOOKUP(K539,'Janeiro 2023 - Valor Real'!A3:A15,'Janeiro 2023 - Valor Real'!C3:C15,0))+1)+((L538/(L538-1)-1)*(1-_xlfn.XLOOKUP(K538,'Janeiro 2023 - Valor Real'!A3:A15,'Janeiro 2023 - Valor Real'!C3:C15,0))+1)),((L539-1)*(1-_xlfn.XLOOKUP(K539,'Janeiro 2023 - Valor Real'!A3:A15,'Janeiro 2023 - Valor Real'!C3:C15,0))+1)/(((L539-1)*(1-_xlfn.XLOOKUP(K539,'Janeiro 2023 - Valor Real'!A3:A15,'Janeiro 2023 - Valor Real'!C3:C15,0))+1)+((L538/(L538-1)-1)*(1-_xlfn.XLOOKUP(K538,'Janeiro 2023 - Valor Real'!A3:A15,'Janeiro 2023 - Valor Real'!C3:C15,0))+1))),IF(I539="Lay",(((L539/(L539-1)-1)*(1-_xlfn.XLOOKUP(K539,'Janeiro 2023 - Valor Real'!A3:A15,'Janeiro 2023 - Valor Real'!C3:C15,0))+1))/(((L538-1)*(1-_xlfn.XLOOKUP(K538,'Janeiro 2023 - Valor Real'!A3:A15,'Janeiro 2023 - Valor Real'!C3:C15,0))+1)+((L539/(L539-1)-1)*(1-_xlfn.XLOOKUP(K539,'Janeiro 2023 - Valor Real'!A3:A15,'Janeiro 2023 - Valor Real'!C3:C15,0))+1)),((L539-1)*(1-_xlfn.XLOOKUP(K539,'Janeiro 2023 - Valor Real'!A3:A15,'Janeiro 2023 - Valor Real'!C3:C15,0))+1)/(((L539-1)*(1-_xlfn.XLOOKUP(K539,'Janeiro 2023 - Valor Real'!A3:A15,'Janeiro 2023 - Valor Real'!C3:C15,0))+1)+((L538-1)*(1-_xlfn.XLOOKUP(K538,'Janeiro 2023 - Valor Real'!A3:A15,'Janeiro 2023 - Valor Real'!C3:C15,0))+1))))))</f>
        <v>0.641025641025641</v>
      </c>
      <c r="AF538" s="132">
        <f>IF($K538=AF$3,ROUND(IF(OR($C538="W",$C538="1/2W",$C538="1/2L"),$P538-$O538,IF($C538="X",0,-$O538)),2),0)</f>
        <v>0</v>
      </c>
      <c r="AG538" s="133">
        <f>IF($K538=AG$3,ROUND(IF(OR($C538="W",$C538="1/2W",$C538="1/2L"),$P538-$O538,IF($C538="X",0,-$O538)),2),0)</f>
        <v>0</v>
      </c>
      <c r="AH538" s="133">
        <f>IF($K538=AH$3,ROUND(IF(OR($C538="W",$C538="1/2W",$C538="1/2L"),$P538-$O538,IF($C538="X",0,-$O538)),2),0)</f>
        <v>0</v>
      </c>
      <c r="AI538" s="133">
        <f>IF($K538=AI$3,ROUND(IF(OR($C538="W",$C538="1/2W",$C538="1/2L"),$P538-$O538,IF($C538="X",0,-$O538)),2),0)</f>
        <v>0</v>
      </c>
      <c r="AJ538" s="133">
        <f>IF($K538=AJ$3,ROUND(IF(OR($C538="W",$C538="1/2W",$C538="1/2L"),$P538-$O538,IF($C538="X",0,-$O538)),2),0)</f>
        <v>0</v>
      </c>
      <c r="AK538" s="133">
        <f>IF($K538=AK$3,ROUND(IF(OR($C538="W",$C538="1/2W",$C538="1/2L"),$P538-$O538,IF($C538="X",0,-$O538)),2),0)</f>
        <v>0</v>
      </c>
      <c r="AL538" s="133">
        <f>IF($K538=AL$3,ROUND(IF(OR($C538="W",$C538="1/2W",$C538="1/2L"),$P538-$O538,IF($C538="X",0,-$O538)),2),0)</f>
        <v>0</v>
      </c>
      <c r="AM538" s="133">
        <f>IF($K538=AM$3,ROUND(IF(OR($C538="W",$C538="1/2W",$C538="1/2L"),$P538-$O538,IF($C538="X",0,-$O538)),2),0)</f>
        <v>8.720000000000001</v>
      </c>
      <c r="AN538" s="133">
        <f>IF($K538=AN$3,ROUND(IF(OR($C538="W",$C538="1/2W",$C538="1/2L"),$P538-$O538,IF($C538="X",0,-$O538)),2),0)</f>
        <v>0</v>
      </c>
      <c r="AO538" s="133">
        <f>IF($K538=AO$3,ROUND(IF(OR($C538="W",$C538="1/2W",$C538="1/2L"),$P538-$O538,IF($C538="X",0,-$O538)),2),0)</f>
        <v>0</v>
      </c>
      <c r="AP538" s="133">
        <f>IF($K538=AP$3,ROUND(IF(OR($C538="W",$C538="1/2W",$C538="1/2L"),$P538-$O538,IF($C538="X",0,-$O538)),2),0)</f>
        <v>0</v>
      </c>
      <c r="AQ538" s="133">
        <f>IF($K538=AQ$3,ROUND(IF(OR($C538="W",$C538="1/2W",$C538="1/2L"),$P538-$O538,IF($C538="X",0,-$O538)),2),0)</f>
        <v>0</v>
      </c>
      <c r="AR538" s="134">
        <f>IF($K538=AR$3,ROUND(IF(OR($C538="W",$C538="1/2W",$C538="1/2L"),$P538-$O538,IF($C538="X",0,-$O538)),2),0)</f>
        <v>0</v>
      </c>
      <c r="AS538" s="132">
        <f>IF(AND($B538=" ",$K538=AS$3),$O538,0)</f>
        <v>0</v>
      </c>
      <c r="AT538" s="133">
        <f>IF(AND($B538=" ",$K538=AT$3),$O538,0)</f>
        <v>0</v>
      </c>
      <c r="AU538" s="133">
        <f>IF(AND($B538=" ",$K538=AU$3),$O538,0)</f>
        <v>0</v>
      </c>
      <c r="AV538" s="133">
        <f>IF(AND($B538=" ",$K538=AV$3),$O538,0)</f>
        <v>0</v>
      </c>
      <c r="AW538" s="133">
        <f>IF(AND($B538=" ",$K538=AW$3),$O538,0)</f>
        <v>0</v>
      </c>
      <c r="AX538" s="133">
        <f>IF(AND($B538=" ",$K538=AX$3),$O538,0)</f>
        <v>0</v>
      </c>
      <c r="AY538" s="135">
        <f>IF(AND($B538=" ",$K538=AY$3),$O538,0)</f>
        <v>0</v>
      </c>
      <c r="AZ538" s="136">
        <f>IF(AND($B538=" ",$K538=AZ$3),$O538,0)</f>
        <v>0</v>
      </c>
      <c r="BA538" s="136">
        <f>IF(AND($B538=" ",$K538=BA$3),$O538,0)</f>
        <v>0</v>
      </c>
      <c r="BB538" s="136">
        <f>IF(AND($B538=" ",$K538=BB$3),$O538,0)</f>
        <v>0</v>
      </c>
      <c r="BC538" s="137">
        <f>IF(AND($B538=" ",$K538=BC$3),$O538,0)</f>
        <v>0</v>
      </c>
      <c r="BD538" s="133">
        <f>IF(AND($B538=" ",$K538=BD$3),$O538,0)</f>
        <v>0</v>
      </c>
      <c r="BE538" s="134">
        <f>IF(AND($B538=" ",$K538=BE$3),$O538,0)</f>
        <v>0</v>
      </c>
      <c r="BF538" s="132">
        <f>IF($K538=BF$3,IF($C538="X",0,$O538),0)</f>
        <v>0</v>
      </c>
      <c r="BG538" s="133">
        <f>IF($K538=BG$3,IF($C538="X",0,$O538),0)</f>
        <v>0</v>
      </c>
      <c r="BH538" s="133">
        <f>IF($K538=BH$3,IF($C538="X",0,$O538),0)</f>
        <v>0</v>
      </c>
      <c r="BI538" s="133">
        <f>IF($K538=BI$3,IF($C538="X",0,$O538),0)</f>
        <v>0</v>
      </c>
      <c r="BJ538" s="133">
        <f>IF($K538=BJ$3,IF($C538="X",0,$O538),0)</f>
        <v>0</v>
      </c>
      <c r="BK538" s="133">
        <f>IF($K538=BK$3,IF($C538="X",0,$O538),0)</f>
        <v>0</v>
      </c>
      <c r="BL538" s="133">
        <f>IF($K538=BL$3,IF($C538="X",0,$O538),0)</f>
        <v>0</v>
      </c>
      <c r="BM538" s="135">
        <f>IF($K538=BM$3,IF($C538="X",0,$O538),0)</f>
        <v>12.82</v>
      </c>
      <c r="BN538" s="136">
        <f>IF($K538=BN$3,IF($C538="X",0,$O538),0)</f>
        <v>0</v>
      </c>
      <c r="BO538" s="136">
        <f>IF($K538=BO$3,IF($C538="X",0,$O538),0)</f>
        <v>0</v>
      </c>
      <c r="BP538" s="136">
        <f>IF($K538=BP$3,IF($C538="X",0,$O538),0)</f>
        <v>0</v>
      </c>
      <c r="BQ538" s="137">
        <f>IF($K538=BQ$3,IF($C538="X",0,$O538),0)</f>
        <v>0</v>
      </c>
      <c r="BR538" s="134">
        <f>IF($K538=BR$3,IF($C538="X",0,$O538),0)</f>
        <v>0</v>
      </c>
      <c r="BS538" s="170">
        <f>IF($B538="LOSS",IF(AND($K538=BS$3,$C538="L"),-$O538,0)+IF(AND($K539=BS$3,$C539="L"),-$O539,0)+IF(AND($K540=BS$3,$C540="L"),-$O540,0),IF(OR(AND($K538=BS$3,OR($C538="W",$C538="1/2W")),AND($K539=BS$3,OR($C539="W",$C539="1/2W")),AND($K540=BS$3,OR($C540="W",$C540="1/2W"))),$S538,0))</f>
        <v>0</v>
      </c>
      <c r="BT538" s="272">
        <f>IF($B538="LOSS",IF(AND($K538=BT$3,$C538="L"),-$O538,0)+IF(AND($K539=BT$3,$C539="L"),-$O539,0)+IF(AND($K539=BT$3,$C540="L"),-$O540,0),IF(OR(AND($K539=BT$3,OR($C538="W",$C538="1/2W")),AND($K539=BT$3,OR($C539="W",$C539="1/2W")),AND($K539=BT$3,OR($C540="W",$C540="1/2W"))),$S538,0))</f>
        <v>1.54</v>
      </c>
      <c r="BU538" s="136">
        <f>IF($B538="LOSS",IF(AND($K538=BU$3,$C538="L"),-$O538,0)+IF(AND($K539=BU$3,$C539="L"),-$O539,0)+IF(AND($K539=BU$3,$C540="L"),-$O540,0),IF(OR(AND($K539=BU$3,OR($C538="W",$C538="1/2W")),AND($K539=BU$3,OR($C539="W",$C539="1/2W")),AND($K539=BU$3,OR($C540="W",$C540="1/2W"))),$S538,0))</f>
        <v>0</v>
      </c>
      <c r="BV538" s="136">
        <f>IF($B538="LOSS",IF(AND($K538=BV$3,$C538="L"),-$O538,0)+IF(AND($K539=BV$3,$C539="L"),-$O539,0)+IF(AND($K540=BV$3,$C540="L"),-$O540,0),IF(OR(AND($K538=BV$3,OR($C538="W",$C538="1/2W")),AND($K539=BV$3,OR($C539="W",$C539="1/2W")),AND($K540=BV$3,OR($C540="W",$C540="1/2W"))),$S538,0))</f>
        <v>0</v>
      </c>
      <c r="BW538" s="136">
        <f>IF($B538="LOSS",IF(AND($K538=BW$3,$C538="L"),-$O538,0)+IF(AND($K539=BW$3,$C539="L"),-$O539,0)+IF(AND($K540=BW$3,$C540="L"),-$O540,0),IF(OR(AND($K538=BW$3,OR($C538="W",$C538="1/2W")),AND($K539=BW$3,OR($C539="W",$C539="1/2W")),AND($K540=BW$3,OR($C540="W",$C540="1/2W"))),$S538,0))</f>
        <v>0</v>
      </c>
      <c r="BX538" s="136">
        <f>IF($B538="LOSS",IF(AND($K538=BX$3,$C538="L"),-$O538,0)+IF(AND($K539=BX$3,$C539="L"),-$O539,0)+IF(AND($K540=BX$3,$C540="L"),-$O540,0),IF(OR(AND($K538=BX$3,OR($C538="W",$C538="1/2W")),AND($K539=BX$3,OR($C539="W",$C539="1/2W")),AND($K540=BX$3,OR($C540="W",$C540="1/2W"))),$S538,0))</f>
        <v>0</v>
      </c>
      <c r="BY538" s="136">
        <f>IF($B538="LOSS",IF(AND($K538=BY$3,$C538="L"),-$O538,0)+IF(AND($K539=BY$3,$C539="L"),-$O539,0)+IF(AND($K540=BY$3,$C540="L"),-$O540,0),IF(OR(AND($K538=BY$3,OR($C538="W",$C538="1/2W")),AND($K539=BY$3,OR($C539="W",$C539="1/2W")),AND($K540=BY$3,OR($C540="W",$C540="1/2W"))),$S538,0))</f>
        <v>0</v>
      </c>
      <c r="BZ538" s="136">
        <f>IF($B538="LOSS",IF(AND($K538=BZ$3,$C538="L"),-$O538,0)+IF(AND($K539=BZ$3,$C539="L"),-$O539,0)+IF(AND($K540=BZ$3,$C540="L"),-$O540,0),IF(OR(AND($K538=BZ$3,OR($C538="W",$C538="1/2W")),AND($K539=BZ$3,OR($C539="W",$C539="1/2W")),AND($K540=BZ$3,OR($C540="W",$C540="1/2W"))),$S538,0))</f>
        <v>1.54</v>
      </c>
      <c r="CA538" s="136">
        <f>IF($B538="LOSS",IF(AND($K538=CA$3,$C538="L"),-$O538,0)+IF(AND($K539=CA$3,$C539="L"),-$O539,0)+IF(AND($K540=CA$3,$C540="L"),-$O540,0),IF(OR(AND($K538=CA$3,OR($C538="W",$C538="1/2W")),AND($K539=CA$3,OR($C539="W",$C539="1/2W")),AND($K540=CA$3,OR($C540="W",$C540="1/2W"))),$S538,0))</f>
        <v>0</v>
      </c>
      <c r="CB538" s="136">
        <f>IF($B538="LOSS",IF(AND($K538=CB$3,$C538="L"),-$O538,0)+IF(AND($K539=CB$3,$C539="L"),-$O539,0)+IF(AND($K540=CB$3,$C540="L"),-$O540,0),IF(OR(AND($K538=CB$3,OR($C538="W",$C538="1/2W")),AND($K539=CB$3,OR($C539="W",$C539="1/2W")),AND($K540=CB$3,OR($C540="W",$C540="1/2W"))),$S538,0))</f>
        <v>0</v>
      </c>
      <c r="CC538" s="136">
        <f>IF($B538="LOSS",IF(AND($K538=CC$3,$C538="L"),-$O538,0)+IF(AND($K539=CC$3,$C539="L"),-$O539,0)+IF(AND($K540=CC$3,$C540="L"),-$O540,0),IF(OR(AND($K538=CC$3,OR($C538="W",$C538="1/2W")),AND($K539=CC$3,OR($C539="W",$C539="1/2W")),AND($K540=CC$3,OR($C540="W",$C540="1/2W"))),$S538,0))</f>
        <v>0</v>
      </c>
      <c r="CD538" s="137">
        <f>IF($B538="LOSS",IF(AND($K538=CD$3,$C538="L"),-$O538,0)+IF(AND($K539=CD$3,$C539="L"),-$O539,0)+IF(AND($K540=CD$3,$C540="L"),-$O540,0),IF(OR(AND($K538=CD$3,OR($C538="W",$C538="1/2W")),AND($K539=CD$3,OR($C539="W",$C539="1/2W")),AND($K540=CD$3,OR($C540="W",$C540="1/2W"))),$S538,0))</f>
        <v>0</v>
      </c>
      <c r="CE538" s="134">
        <f>IF($B538="LOSS",IF(AND($K538=CE$3,$C538="L"),-$O538,0)+IF(AND($K539=CE$3,$C539="L"),-$O539,0)+IF(AND($K540=CE$3,$C540="L"),-$O540,0),IF(OR(AND($K538=CE$3,OR($C538="W",$C538="1/2W")),AND($K539=CE$3,OR($C539="W",$C539="1/2W")),AND($K540=CE$3,OR($C540="W",$C540="1/2W"))),$S538,0))</f>
        <v>0</v>
      </c>
      <c r="CF538" s="273">
        <f>IF(CF$3=$K538,IF($C538="W",1,IF($C538="1/2W",0.5,0)),0)</f>
        <v>0</v>
      </c>
      <c r="CG538" s="274">
        <f>IF(CF$3=$K538,IF($C538="L",1,IF($C538="1/2L",0.5,0)),0)</f>
        <v>0</v>
      </c>
      <c r="CH538" s="274">
        <f>IF(CH$3=$K538,IF($C538="W",1,IF($C538="1/2W",0.5,0)),0)</f>
        <v>0</v>
      </c>
      <c r="CI538" s="274">
        <f>IF(CH$3=$K538,IF($C538="L",1,IF($C538="1/2L",0.5,0)),0)</f>
        <v>0</v>
      </c>
      <c r="CJ538" s="274">
        <f>IF(CJ$3=$K538,IF($C538="W",1,IF($C538="1/2W",0.5,0)),0)</f>
        <v>0</v>
      </c>
      <c r="CK538" s="274">
        <f>IF(CJ$3=$K538,IF($C538="L",1,IF($C538="1/2L",0.5,0)),0)</f>
        <v>0</v>
      </c>
      <c r="CL538" s="274">
        <f>IF(CL$3=$K538,IF($C538="W",1,IF($C538="1/2W",0.5,0)),0)</f>
        <v>0</v>
      </c>
      <c r="CM538" s="274">
        <f>IF(CL$3=$K538,IF($C538="L",1,IF($C538="1/2L",0.5,0)),0)</f>
        <v>0</v>
      </c>
      <c r="CN538" s="274">
        <f>IF(CN$3=$K538,IF($C538="W",1,IF($C538="1/2W",0.5,0)),0)</f>
        <v>0</v>
      </c>
      <c r="CO538" s="274">
        <f>IF(CN$3=$K538,IF($C538="L",1,IF($C538="1/2L",0.5,0)),0)</f>
        <v>0</v>
      </c>
      <c r="CP538" s="274">
        <f>IF(CP$3=$K538,IF($C538="W",1,IF($C538="1/2W",0.5,0)),0)</f>
        <v>0</v>
      </c>
      <c r="CQ538" s="274">
        <f>IF(CP$3=$K538,IF($C538="L",1,IF($C538="1/2L",0.5,0)),0)</f>
        <v>0</v>
      </c>
      <c r="CR538" s="274">
        <f>IF(CR$3=$K538,IF($C538="W",1,IF($C538="1/2W",0.5,0)),0)</f>
        <v>0</v>
      </c>
      <c r="CS538" s="274">
        <f>IF(CR$3=$K538,IF($C538="L",1,IF($C538="1/2L",0.5,0)),0)</f>
        <v>0</v>
      </c>
      <c r="CT538" s="145">
        <f>IF(CT$3=$K538,IF($C538="W",1,IF($C538="1/2W",0.5,0)),0)</f>
        <v>1</v>
      </c>
      <c r="CU538" s="146">
        <f>IF(CT$3=$K538,IF($C538="L",1,IF($C538="1/2L",0.5,0)),0)</f>
        <v>0</v>
      </c>
      <c r="CV538" s="146">
        <f>IF(CV$3=$K538,IF($C538="W",1,IF($C538="1/2W",0.5,0)),0)</f>
        <v>0</v>
      </c>
      <c r="CW538" s="146">
        <f>IF(CV$3=$K538,IF($C538="L",1,IF($C538="1/2L",0.5,0)),0)</f>
        <v>0</v>
      </c>
      <c r="CX538" s="146">
        <f>IF(CX$3=$K538,IF($C538="W",1,IF($C538="1/2W",0.5,0)),0)</f>
        <v>0</v>
      </c>
      <c r="CY538" s="146">
        <f>IF(CX$3=$K538,IF($C538="L",1,IF($C538="1/2L",0.5,0)),0)</f>
        <v>0</v>
      </c>
      <c r="CZ538" s="146">
        <f>IF(CZ$3=$K538,IF($C538="W",1,IF($C538="1/2W",0.5,0)),0)</f>
        <v>0</v>
      </c>
      <c r="DA538" s="146">
        <f>IF(CZ$3=$K538,IF($C538="L",1,IF($C538="1/2L",0.5,0)),0)</f>
        <v>0</v>
      </c>
      <c r="DB538" s="146">
        <f>IF(DB$3=$K538,IF($C538="W",1,IF($C538="1/2W",0.5,0)),0)</f>
        <v>0</v>
      </c>
      <c r="DC538" s="146">
        <f>IF(DB$3=$K538,IF($C538="L",1,IF($C538="1/2L",0.5,0)),0)</f>
        <v>0</v>
      </c>
      <c r="DD538" s="146">
        <f>IF(DD$3=$K538,IF($C538="W",1,IF($C538="1/2W",0.5,0)),0)</f>
        <v>0</v>
      </c>
      <c r="DE538" s="147">
        <f>IF(DD$3=$K538,IF($C538="L",1,IF($C538="1/2L",0.5,0)),0)</f>
        <v>0</v>
      </c>
      <c r="DF538" s="143">
        <f>IF(AND(L538&lt;DF$3,$C538="W"),1+DF537,DF537)</f>
        <v>16</v>
      </c>
      <c r="DG538" s="133">
        <f>IF(DF538&gt;DF537,L538+DG537,DG537)</f>
        <v>21.158</v>
      </c>
      <c r="DH538" s="146">
        <f>IF(AND(L538&gt;DH$3,$C538="W"),1+DH537,0+DH537)</f>
        <v>14</v>
      </c>
      <c r="DI538" s="133">
        <f>IF(DH538&gt;DH537,L538+DI537,DI537)</f>
        <v>77.43000000000001</v>
      </c>
      <c r="DJ538" t="s" s="304">
        <f>IF($D538="","",$D538)</f>
        <v>396</v>
      </c>
      <c r="DK538" s="146">
        <f>IF(AND($B538=" ",$D538&lt;&gt;""),1,0)</f>
        <v>0</v>
      </c>
    </row>
    <row r="539" ht="14.55" customHeight="1">
      <c r="A539" s="107"/>
      <c r="B539" s="108"/>
      <c r="C539" t="s" s="109">
        <v>51</v>
      </c>
      <c r="D539" s="110"/>
      <c r="E539" s="111"/>
      <c r="F539" s="113"/>
      <c r="G539" s="252"/>
      <c r="H539" s="114"/>
      <c r="I539" t="s" s="275">
        <v>139</v>
      </c>
      <c r="J539" s="276">
        <f>IF(OR(I538="TO",I538="TU",I538="TO1",I538="TU1",I538="TO2",I538="TU2"),J538,IF(OR(I538="AH1",I538="AH2"),IF(OR(I539="AH1",I539="AH2"),-J538,IF(OR(I539="EH1",I539="EH2"),-J538+0.5,"")),IF(OR(I538="EH1",I538="EH2"),IF(OR(I539="AH1",I539="AH2"),-J538+0.5,IF(OR(I539="EH1",I539="EH2"),-J538+1,"")),IF(AND(OR(I538="DNB1",I538="DNB2"),OR(I539="AH1",I539="AH2")),0,IF(AND(I538="Not ScoreBoth",OR(I539="TO1",I539="TO2")),0.5,"")))))</f>
        <v>-2</v>
      </c>
      <c r="K539" t="s" s="117">
        <v>38</v>
      </c>
      <c r="L539" s="277">
        <v>3</v>
      </c>
      <c r="M539" s="278">
        <v>7.18</v>
      </c>
      <c r="N539" s="120"/>
      <c r="O539" s="121">
        <f>IF(OR(AE538="",AE539=""),"",ROUND(IF(L540&gt;0,IF(M539&gt;0,M539,IF(M538&gt;0,IF(N538=TRUE,ROUND((M538*AE539)/AE538,0),(M538*AE539)/AE538),IF(M539&gt;0,ROUND(M539,IF(N538=0,2,IF(N538=0.1,1,0))),IF(M540&gt;0,ROUND(O540*AE539/AE540,IF(N538=0,2,IF(N538=0.1,1,0))),0)))),IF(M539&gt;0,M539,ROUND((M538*AE539)/AE538,IF(N538=0,2,IF(N538=0.1,1,0))))),2))</f>
        <v>7.18</v>
      </c>
      <c r="P539" s="122">
        <f>IF(OR(L539="",O539=""),"",IF($C539="1/2W",O539/2+O539/2*L539,IF($C539="1/2L",O539/2,IF(I539="Lay",((O539*(L539/(L539-1)))-O539)*(1-_xlfn.XLOOKUP(K539,'Janeiro 2023 - Valor Real'!A3:A15,'Janeiro 2023 - Valor Real'!C3:C15,0))+O539,(O539*L539-O539)*(1-_xlfn.XLOOKUP(K539,'Janeiro 2023 - Valor Real'!A3:A15,'Janeiro 2023 - Valor Real'!C3:C15,0))+O539))))</f>
        <v>21.54</v>
      </c>
      <c r="Q539" s="279">
        <f>IF(K539="","",IF(_xlfn.XLOOKUP(K539,K$120:K318,DJ$120:DJ318,0,,-1)=DJ539,_xlfn.XLOOKUP(K539,K$120:K318,Q$120:Q318,1,,-1)+1,1))</f>
        <v>1</v>
      </c>
      <c r="R539" s="280">
        <f>IF(K539="","",_xlfn.XLOOKUP(K539,K$120:K318,R$120:R318,0,,-1)+IF($C539=" ",1,0))</f>
        <v>0</v>
      </c>
      <c r="S539" s="125"/>
      <c r="T539" s="126"/>
      <c r="U539" s="126"/>
      <c r="V539" s="224"/>
      <c r="W539" s="126"/>
      <c r="X539" s="127"/>
      <c r="Y539" s="128"/>
      <c r="Z539" s="129"/>
      <c r="AA539" s="129"/>
      <c r="AB539" s="129"/>
      <c r="AC539" s="129"/>
      <c r="AD539" s="130"/>
      <c r="AE539" s="131">
        <f>IF(L539="","",IF(L540&gt;0,(SUM(((L538-1)*(1-_xlfn.XLOOKUP(K538,'Janeiro 2023 - Valor Real'!A3:A15,'Janeiro 2023 - Valor Real'!C3:C15,0))+1),((L539-1)*(1-_xlfn.XLOOKUP(K539,'Janeiro 2023 - Valor Real'!A3:A15,'Janeiro 2023 - Valor Real'!C3:C15,0))+1),((L540-1)*(1-_xlfn.XLOOKUP(K540,'Janeiro 2023 - Valor Real'!A3:A15,'Janeiro 2023 - Valor Real'!C3:C15,0))+1))/((L539-1)*(1-_xlfn.XLOOKUP(K539,'Janeiro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Real'!C3:C15,0))+1))/((L538-1)*(1-_xlfn.XLOOKUP(K538,'Janeiro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Real'!C3:C15,0))+1))/((L539-1)*(1-_xlfn.XLOOKUP(K539,'Janeiro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Real'!C3:C15,0))+1))/((L540-1)*(1-_xlfn.XLOOKUP(K540,'Janeiro 2023 - Valor Real'!A3:A15,'Janeiro 2023 - Valor Real'!C3:C15,0))+1)),IF(I539="Lay",IF(I538="Lay",((L538/(L538-1)-1)*(1-_xlfn.XLOOKUP(K538,'Janeiro 2023 - Valor Real'!A3:A15,'Janeiro 2023 - Valor Real'!C3:C15,0))+1)/(((L538/(L538-1)-1)*(1-_xlfn.XLOOKUP(K538,'Janeiro 2023 - Valor Real'!A3:A15,'Janeiro 2023 - Valor Real'!C3:C15,0))+1)+((L539/(L539-1)-1)*(1-_xlfn.XLOOKUP(K539,'Janeiro 2023 - Valor Real'!A3:A15,'Janeiro 2023 - Valor Real'!C3:C15,0))+1)),((L538-1)*(1-_xlfn.XLOOKUP(K538,'Janeiro 2023 - Valor Real'!A3:A15,'Janeiro 2023 - Valor Real'!C3:C15,0))+1)/(((L538-1)*(1-_xlfn.XLOOKUP(K538,'Janeiro 2023 - Valor Real'!A3:A15,'Janeiro 2023 - Valor Real'!C3:C15,0))+1)+((L539/(L539-1)-1)*(1-_xlfn.XLOOKUP(K539,'Janeiro 2023 - Valor Real'!A3:A15,'Janeiro 2023 - Valor Real'!C3:C15,0))+1))),IF(I538="Lay",((L538/(L538-1)-1)*(1-_xlfn.XLOOKUP(K538,'Janeiro 2023 - Valor Real'!A3:A15,'Janeiro 2023 - Valor Real'!C3:C15,0))+1)/((((L538/(L538-1)-1)*(1-_xlfn.XLOOKUP(K538,'Janeiro 2023 - Valor Real'!A3:A15,'Janeiro 2023 - Valor Real'!C3:C15,0))+1))+((L539-1)*(1-_xlfn.XLOOKUP(K539,'Janeiro 2023 - Valor Real'!A3:A15,'Janeiro 2023 - Valor Real'!C3:C15,0))+1)),((L538-1)*(1-_xlfn.XLOOKUP(K538,'Janeiro 2023 - Valor Real'!A3:A15,'Janeiro 2023 - Valor Real'!C3:C15,0))+1)/(((L538-1)*(1-_xlfn.XLOOKUP(K538,'Janeiro 2023 - Valor Real'!A3:A15,'Janeiro 2023 - Valor Real'!C3:C15,0))+1)+((L539-1)*(1-_xlfn.XLOOKUP(K539,'Janeiro 2023 - Valor Real'!A3:A15,'Janeiro 2023 - Valor Real'!C3:C15,0))+1))))))</f>
        <v>0.358974358974359</v>
      </c>
      <c r="AF539" s="132">
        <f>IF($K539=AF$3,ROUND(IF(OR($C539="W",$C539="1/2W",$C539="1/2L"),$P539-$O539,IF($C539="X",0,-$O539)),2),0)</f>
        <v>0</v>
      </c>
      <c r="AG539" s="133">
        <f>IF($K539=AG$3,ROUND(IF(OR($C539="W",$C539="1/2W",$C539="1/2L"),$P539-$O539,IF($C539="X",0,-$O539)),2),0)</f>
        <v>-7.18</v>
      </c>
      <c r="AH539" s="133">
        <f>IF($K539=AH$3,ROUND(IF(OR($C539="W",$C539="1/2W",$C539="1/2L"),$P539-$O539,IF($C539="X",0,-$O539)),2),0)</f>
        <v>0</v>
      </c>
      <c r="AI539" s="133">
        <f>IF($K539=AI$3,ROUND(IF(OR($C539="W",$C539="1/2W",$C539="1/2L"),$P539-$O539,IF($C539="X",0,-$O539)),2),0)</f>
        <v>0</v>
      </c>
      <c r="AJ539" s="133">
        <f>IF($K539=AJ$3,ROUND(IF(OR($C539="W",$C539="1/2W",$C539="1/2L"),$P539-$O539,IF($C539="X",0,-$O539)),2),0)</f>
        <v>0</v>
      </c>
      <c r="AK539" s="133">
        <f>IF($K539=AK$3,ROUND(IF(OR($C539="W",$C539="1/2W",$C539="1/2L"),$P539-$O539,IF($C539="X",0,-$O539)),2),0)</f>
        <v>0</v>
      </c>
      <c r="AL539" s="133">
        <f>IF($K539=AL$3,ROUND(IF(OR($C539="W",$C539="1/2W",$C539="1/2L"),$P539-$O539,IF($C539="X",0,-$O539)),2),0)</f>
        <v>0</v>
      </c>
      <c r="AM539" s="133">
        <f>IF($K539=AM$3,ROUND(IF(OR($C539="W",$C539="1/2W",$C539="1/2L"),$P539-$O539,IF($C539="X",0,-$O539)),2),0)</f>
        <v>0</v>
      </c>
      <c r="AN539" s="133">
        <f>IF($K539=AN$3,ROUND(IF(OR($C539="W",$C539="1/2W",$C539="1/2L"),$P539-$O539,IF($C539="X",0,-$O539)),2),0)</f>
        <v>0</v>
      </c>
      <c r="AO539" s="133">
        <f>IF($K539=AO$3,ROUND(IF(OR($C539="W",$C539="1/2W",$C539="1/2L"),$P539-$O539,IF($C539="X",0,-$O539)),2),0)</f>
        <v>0</v>
      </c>
      <c r="AP539" s="133">
        <f>IF($K539=AP$3,ROUND(IF(OR($C539="W",$C539="1/2W",$C539="1/2L"),$P539-$O539,IF($C539="X",0,-$O539)),2),0)</f>
        <v>0</v>
      </c>
      <c r="AQ539" s="133">
        <f>IF($K539=AQ$3,ROUND(IF(OR($C539="W",$C539="1/2W",$C539="1/2L"),$P539-$O539,IF($C539="X",0,-$O539)),2),0)</f>
        <v>0</v>
      </c>
      <c r="AR539" s="134">
        <f>IF($K539=AR$3,ROUND(IF(OR($C539="W",$C539="1/2W",$C539="1/2L"),$P539-$O539,IF($C539="X",0,-$O539)),2),0)</f>
        <v>0</v>
      </c>
      <c r="AS539" s="132">
        <f>IF(AND($B538=" ",$K539=AS$3),$O539,0)</f>
        <v>0</v>
      </c>
      <c r="AT539" s="133">
        <f>IF(AND($B538=" ",K539=AT$3),$O539,0)</f>
        <v>0</v>
      </c>
      <c r="AU539" s="133">
        <f>IF(AND($B538=" ",$K539=AU$3),$O539,0)</f>
        <v>0</v>
      </c>
      <c r="AV539" s="133">
        <f>IF(AND($B538=" ",$K539=AV$3),$O539,0)</f>
        <v>0</v>
      </c>
      <c r="AW539" s="133">
        <f>IF(AND($B538=" ",$K539=AW$3),$O539,0)</f>
        <v>0</v>
      </c>
      <c r="AX539" s="133">
        <f>IF(AND($B538=" ",$K539=AX$3),$O539,0)</f>
        <v>0</v>
      </c>
      <c r="AY539" s="135">
        <f>IF(AND($B538=" ",$K539=AY$3),$O539,0)</f>
        <v>0</v>
      </c>
      <c r="AZ539" s="136">
        <f>IF(AND($B538=" ",$K539=AZ$3),$O539,0)</f>
        <v>0</v>
      </c>
      <c r="BA539" s="136">
        <f>IF(AND($B538=" ",$K539=BA$3),$O539,0)</f>
        <v>0</v>
      </c>
      <c r="BB539" s="136">
        <f>IF(AND($B538=" ",$K539=BB$3),$O539,0)</f>
        <v>0</v>
      </c>
      <c r="BC539" s="137">
        <f>IF(AND($B538=" ",$K539=BC$3),$O539,0)</f>
        <v>0</v>
      </c>
      <c r="BD539" s="133">
        <f>IF(AND($B538=" ",$K539=BD$3),$O539,0)</f>
        <v>0</v>
      </c>
      <c r="BE539" s="134">
        <f>IF(AND($B538=" ",$K539=BE$3),$O539,0)</f>
        <v>0</v>
      </c>
      <c r="BF539" s="132">
        <f>IF($K539=BF$3,IF($C539="X",0,$O539),0)</f>
        <v>0</v>
      </c>
      <c r="BG539" s="281">
        <f>IF($K539=BG$3,IF($C539="X",0,$O539),0)</f>
        <v>7.18</v>
      </c>
      <c r="BH539" s="133">
        <f>IF($K539=BH$3,IF($C539="X",0,$O539),0)</f>
        <v>0</v>
      </c>
      <c r="BI539" s="133">
        <f>IF($K539=BI$3,IF($C539="X",0,$O539),0)</f>
        <v>0</v>
      </c>
      <c r="BJ539" s="133">
        <f>IF($K539=BJ$3,IF($C539="X",0,$O539),0)</f>
        <v>0</v>
      </c>
      <c r="BK539" s="133">
        <f>IF($K539=BK$3,IF($C539="X",0,$O539),0)</f>
        <v>0</v>
      </c>
      <c r="BL539" s="133">
        <f>IF($K539=BL$3,IF($C539="X",0,$O539),0)</f>
        <v>0</v>
      </c>
      <c r="BM539" s="135">
        <f>IF($K539=BM$3,IF($C539="X",0,$O539),0)</f>
        <v>0</v>
      </c>
      <c r="BN539" s="136">
        <f>IF($K539=BN$3,IF($C539="X",0,$O539),0)</f>
        <v>0</v>
      </c>
      <c r="BO539" s="136">
        <f>IF($K539=BO$3,IF($C539="X",0,$O539),0)</f>
        <v>0</v>
      </c>
      <c r="BP539" s="136">
        <f>IF($K539=BP$3,IF($C539="X",0,$O539),0)</f>
        <v>0</v>
      </c>
      <c r="BQ539" s="137">
        <f>IF($K539=BQ$3,IF($C539="X",0,$O539),0)</f>
        <v>0</v>
      </c>
      <c r="BR539" s="134">
        <f>IF($K539=BR$3,IF($C539="X",0,$O539),0)</f>
        <v>0</v>
      </c>
      <c r="BS539" s="282"/>
      <c r="BT539" s="283"/>
      <c r="BU539" s="140"/>
      <c r="BV539" s="283"/>
      <c r="BW539" s="140"/>
      <c r="BX539" s="140"/>
      <c r="BY539" s="140"/>
      <c r="BZ539" s="283"/>
      <c r="CA539" s="140"/>
      <c r="CB539" s="140"/>
      <c r="CC539" s="140"/>
      <c r="CD539" s="141"/>
      <c r="CE539" s="142"/>
      <c r="CF539" s="284">
        <f>IF(CF$3=$K539,IF($C539="W",1,IF($C539="1/2W",0.5,0)),0)</f>
        <v>0</v>
      </c>
      <c r="CG539" s="285">
        <f>IF(CF$3=$K539,IF($C539="L",1,IF($C539="1/2L",0.5,0)),0)</f>
        <v>0</v>
      </c>
      <c r="CH539" s="285">
        <f>IF(CH$3=$K539,IF($C539="W",1,IF($C539="1/2W",0.5,0)),0)</f>
        <v>0</v>
      </c>
      <c r="CI539" s="285">
        <f>IF(CH$3=$K539,IF($C539="L",1,IF($C539="1/2L",0.5,0)),0)</f>
        <v>1</v>
      </c>
      <c r="CJ539" s="285">
        <f>IF(CJ$3=$K539,IF($C539="W",1,IF($C539="1/2W",0.5,0)),0)</f>
        <v>0</v>
      </c>
      <c r="CK539" s="285">
        <f>IF(CJ$3=$K539,IF($C539="L",1,IF($C539="1/2L",0.5,0)),0)</f>
        <v>0</v>
      </c>
      <c r="CL539" s="285">
        <f>IF(CL$3=$K539,IF($C539="W",1,IF($C539="1/2W",0.5,0)),0)</f>
        <v>0</v>
      </c>
      <c r="CM539" s="285">
        <f>IF(CL$3=$K539,IF($C539="L",1,IF($C539="1/2L",0.5,0)),0)</f>
        <v>0</v>
      </c>
      <c r="CN539" s="285">
        <f>IF(CN$3=$K539,IF($C539="W",1,IF($C539="1/2W",0.5,0)),0)</f>
        <v>0</v>
      </c>
      <c r="CO539" s="285">
        <f>IF(CN$3=$K539,IF($C539="L",1,IF($C539="1/2L",0.5,0)),0)</f>
        <v>0</v>
      </c>
      <c r="CP539" s="285">
        <f>IF(CP$3=$K539,IF($C539="W",1,IF($C539="1/2W",0.5,0)),0)</f>
        <v>0</v>
      </c>
      <c r="CQ539" s="285">
        <f>IF(CP$3=$K539,IF($C539="L",1,IF($C539="1/2L",0.5,0)),0)</f>
        <v>0</v>
      </c>
      <c r="CR539" s="285">
        <f>IF(CR$3=$K539,IF($C539="W",1,IF($C539="1/2W",0.5,0)),0)</f>
        <v>0</v>
      </c>
      <c r="CS539" s="285">
        <f>IF(CR$3=$K539,IF($C539="L",1,IF($C539="1/2L",0.5,0)),0)</f>
        <v>0</v>
      </c>
      <c r="CT539" s="145">
        <f>IF(CT$3=$K539,IF($C539="W",1,IF($C539="1/2W",0.5,0)),0)</f>
        <v>0</v>
      </c>
      <c r="CU539" s="146">
        <f>IF(CT$3=$K539,IF($C539="L",1,IF($C539="1/2L",0.5,0)),0)</f>
        <v>0</v>
      </c>
      <c r="CV539" s="146">
        <f>IF(CV$3=$K539,IF($C539="W",1,IF($C539="1/2W",0.5,0)),0)</f>
        <v>0</v>
      </c>
      <c r="CW539" s="146">
        <f>IF(CV$3=$K539,IF($C539="L",1,IF($C539="1/2L",0.5,0)),0)</f>
        <v>0</v>
      </c>
      <c r="CX539" s="146">
        <f>IF(CX$3=$K539,IF($C539="W",1,IF($C539="1/2W",0.5,0)),0)</f>
        <v>0</v>
      </c>
      <c r="CY539" s="146">
        <f>IF(CX$3=$K539,IF($C539="L",1,IF($C539="1/2L",0.5,0)),0)</f>
        <v>0</v>
      </c>
      <c r="CZ539" s="146">
        <f>IF(CZ$3=$K539,IF($C539="W",1,IF($C539="1/2W",0.5,0)),0)</f>
        <v>0</v>
      </c>
      <c r="DA539" s="146">
        <f>IF(CZ$3=$K539,IF($C539="L",1,IF($C539="1/2L",0.5,0)),0)</f>
        <v>0</v>
      </c>
      <c r="DB539" s="146">
        <f>IF(DB$3=$K539,IF($C539="W",1,IF($C539="1/2W",0.5,0)),0)</f>
        <v>0</v>
      </c>
      <c r="DC539" s="146">
        <f>IF(DB$3=$K539,IF($C539="L",1,IF($C539="1/2L",0.5,0)),0)</f>
        <v>0</v>
      </c>
      <c r="DD539" s="146">
        <f>IF(DD$3=$K539,IF($C539="W",1,IF($C539="1/2W",0.5,0)),0)</f>
        <v>0</v>
      </c>
      <c r="DE539" s="147">
        <f>IF(DD$3=$K539,IF($C539="L",1,IF($C539="1/2L",0.5,0)),0)</f>
        <v>0</v>
      </c>
      <c r="DF539" s="143">
        <f>IF(AND(L539&lt;DF$3,$C539="W"),1+DF538,DF538)</f>
        <v>16</v>
      </c>
      <c r="DG539" s="133">
        <f>IF(DF539&gt;DF538,L539+DG538,DG538)</f>
        <v>21.158</v>
      </c>
      <c r="DH539" s="146">
        <f>IF(AND(L539&gt;DH$3,$C539="W"),1+DH538,0+DH538)</f>
        <v>14</v>
      </c>
      <c r="DI539" s="133">
        <f>IF(DH539&gt;DH538,L539+DI538,DI538)</f>
        <v>77.43000000000001</v>
      </c>
      <c r="DJ539" t="s" s="304">
        <f>IF($D538="","",$D538)</f>
        <v>396</v>
      </c>
      <c r="DK539" s="286"/>
    </row>
    <row r="540" ht="14.55" customHeight="1">
      <c r="A540" s="149"/>
      <c r="B540" s="150"/>
      <c r="C540" t="s" s="151">
        <v>58</v>
      </c>
      <c r="D540" s="152"/>
      <c r="E540" s="153"/>
      <c r="F540" s="155"/>
      <c r="G540" s="252"/>
      <c r="H540" s="156"/>
      <c r="I540" s="287"/>
      <c r="J540" s="288"/>
      <c r="K540" s="156"/>
      <c r="L540" s="289"/>
      <c r="M540" s="290"/>
      <c r="N540" s="161"/>
      <c r="O540" t="s" s="162">
        <f>IF(OR(AE538="",AE539=""),"",IF(L540&gt;0,ROUND(IF(M540&gt;0,M540,IF(M538&gt;0,ROUND((M538*AE540)/AE538,IF(N538=0,2,IF(N538=0.1,1,0))),IF(M539&gt;0,ROUND((M539*AE540)/AE539,IF(N538=0,2,IF(N538=0.1,1,0))),IF(M540&gt;0,M540,0)))),2),""))</f>
      </c>
      <c r="P540" t="s" s="163">
        <f>IF(I539="Lay",O539*(L539/(L539-1))-O539,IF(I538="Lay",O538*(L538/(L538-1))-O538,IF(OR(L540="",O540=""),"",IF($C540="1/2W",O540/2+O540/2*L540,IF($C540="1/2L",O540/2,(O540*L540-O540)*(1-_xlfn.XLOOKUP(K540,'Janeiro 2023 - Valor Real'!A3:A15,'Janeiro 2023 - Valor Real'!C3:C15,0))+O540)))))</f>
      </c>
      <c r="Q540" t="s" s="154">
        <f>IF(K540="","",IF(_xlfn.XLOOKUP(K540,K$121:K319,DJ$121:DJ319,0,,-1)=DJ540,_xlfn.XLOOKUP(K540,K$121:K319,Q$121:Q319,1,,-1)+1,1))</f>
      </c>
      <c r="R540" t="s" s="163">
        <f>IF(K540="","",_xlfn.XLOOKUP(K540,K$121:K319,R$121:R319,0,,-1)+IF($C540=" ",1,0))</f>
      </c>
      <c r="S540" s="166"/>
      <c r="T540" s="155"/>
      <c r="U540" s="155"/>
      <c r="V540" s="166"/>
      <c r="W540" s="155"/>
      <c r="X540" s="167"/>
      <c r="Y540" s="128"/>
      <c r="Z540" s="129"/>
      <c r="AA540" s="129"/>
      <c r="AB540" s="129"/>
      <c r="AC540" s="129"/>
      <c r="AD540" s="168"/>
      <c r="AE540" t="s" s="169">
        <f>IF(L540="","",(SUM(((L538-1)*(1-_xlfn.XLOOKUP(K538,'Janeiro 2023 - Valor Real'!A3:A15,'Janeiro 2023 - Valor Real'!C3:C15,0))+1),((L539-1)*(1-_xlfn.XLOOKUP(K539,'Janeiro 2023 - Valor Real'!A3:A15,'Janeiro 2023 - Valor Real'!C3:C15,0))+1),((L540-1)*(1-_xlfn.XLOOKUP(K540,'Janeiro 2023 - Valor Real'!A3:A15,'Janeiro 2023 - Valor Real'!C3:C15,0))+1))/((L540-1)*(1-_xlfn.XLOOKUP(K540,'Janeiro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Real'!C3:C15,0))+1))/((L538-1)*(1-_xlfn.XLOOKUP(K538,'Janeiro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Real'!C3:C15,0))+1))/((L539-1)*(1-_xlfn.XLOOKUP(K539,'Janeiro 2023 - Valor Real'!A3:A15,'Janeiro 2023 - Valor Real'!C3:C15,0))+1)+SUM(((L538-1)*(1-_xlfn.XLOOKUP(K538,'Janeiro 2023 - Valor Real'!A3:A15,'Janeiro 2023 - Valor Real'!C3:C15,0))+1),((L539-1)*(1-_xlfn.XLOOKUP(K539,'Janeiro 2023 - Valor Real'!A3:A15,'Janeiro 2023 - Valor Real'!C3:C15,0))+1),((L540-1)*(1-_xlfn.XLOOKUP(K540,'Janeiro 2023 - Valor Real'!A3:A15,'Janeiro 2023 - Valor Real'!C3:C15,0))+1))/((L540-1)*(1-_xlfn.XLOOKUP(K540,'Janeiro 2023 - Valor Real'!A3:A15,'Janeiro 2023 - Valor Real'!C3:C15,0))+1)))</f>
      </c>
      <c r="AF540" s="132">
        <f>IF($K540=AF$3,ROUND(IF(OR($C540="W",$C540="1/2W",$C540="1/2L"),$P540-$O540,IF($C540="X",0,-$O540)),2),0)</f>
        <v>0</v>
      </c>
      <c r="AG540" s="133">
        <f>IF($K540=AG$3,ROUND(IF(OR($C540="W",$C540="1/2W",$C540="1/2L"),$P540-$O540,IF($C540="X",0,-$O540)),2),0)</f>
        <v>0</v>
      </c>
      <c r="AH540" s="133">
        <f>IF($K540=AH$3,ROUND(IF(OR($C540="W",$C540="1/2W",$C540="1/2L"),$P540-$O540,IF($C540="X",0,-$O540)),2),0)</f>
        <v>0</v>
      </c>
      <c r="AI540" s="133">
        <f>IF($K540=AI$3,ROUND(IF(OR($C540="W",$C540="1/2W",$C540="1/2L"),$P540-$O540,IF($C540="X",0,-$O540)),2),0)</f>
        <v>0</v>
      </c>
      <c r="AJ540" s="133">
        <f>IF($K540=AJ$3,ROUND(IF(OR($C540="W",$C540="1/2W",$C540="1/2L"),$P540-$O540,IF($C540="X",0,-$O540)),2),0)</f>
        <v>0</v>
      </c>
      <c r="AK540" s="133">
        <f>IF($K540=AK$3,ROUND(IF(OR($C540="W",$C540="1/2W",$C540="1/2L"),$P540-$O540,IF($C540="X",0,-$O540)),2),0)</f>
        <v>0</v>
      </c>
      <c r="AL540" s="133">
        <f>IF($K540=AL$3,ROUND(IF(OR($C540="W",$C540="1/2W",$C540="1/2L"),$P540-$O540,IF($C540="X",0,-$O540)),2),0)</f>
        <v>0</v>
      </c>
      <c r="AM540" s="133">
        <f>IF($K540=AM$3,ROUND(IF(OR($C540="W",$C540="1/2W",$C540="1/2L"),$P540-$O540,IF($C540="X",0,-$O540)),2),0)</f>
        <v>0</v>
      </c>
      <c r="AN540" s="133">
        <f>IF($K540=AN$3,ROUND(IF(OR($C540="W",$C540="1/2W",$C540="1/2L"),$P540-$O540,IF($C540="X",0,-$O540)),2),0)</f>
        <v>0</v>
      </c>
      <c r="AO540" s="133">
        <f>IF($K540=AO$3,ROUND(IF(OR($C540="W",$C540="1/2W",$C540="1/2L"),$P540-$O540,IF($C540="X",0,-$O540)),2),0)</f>
        <v>0</v>
      </c>
      <c r="AP540" s="133">
        <f>IF($K540=AP$3,ROUND(IF(OR($C540="W",$C540="1/2W",$C540="1/2L"),$P540-$O540,IF($C540="X",0,-$O540)),2),0)</f>
        <v>0</v>
      </c>
      <c r="AQ540" s="133">
        <f>IF($K540=AQ$3,ROUND(IF(OR($C540="W",$C540="1/2W",$C540="1/2L"),$P540-$O540,IF($C540="X",0,-$O540)),2),0)</f>
        <v>0</v>
      </c>
      <c r="AR540" s="134">
        <f>IF($K540=AR$3,ROUND(IF(OR($C540="W",$C540="1/2W",$C540="1/2L"),$P540-$O540,IF($C540="X",0,-$O540)),2),0)</f>
        <v>0</v>
      </c>
      <c r="AS540" s="132">
        <f>IF(AND($B538=" ",$K540=AS$3),$O540,0)</f>
        <v>0</v>
      </c>
      <c r="AT540" s="133">
        <f>IF(AND($B538=" ",K540=AT$3),$O540,0)</f>
        <v>0</v>
      </c>
      <c r="AU540" s="133">
        <f>IF(AND($B538=" ",$K540=AU$3),$O540,0)</f>
        <v>0</v>
      </c>
      <c r="AV540" s="133">
        <f>IF(AND($B538=" ",$K540=AV$3),$O540,0)</f>
        <v>0</v>
      </c>
      <c r="AW540" s="133">
        <f>IF(AND($B538=" ",$K540=AW$3),$O540,0)</f>
        <v>0</v>
      </c>
      <c r="AX540" s="133">
        <f>IF(AND($B538=" ",$K540=AX$3),$O540,0)</f>
        <v>0</v>
      </c>
      <c r="AY540" s="135">
        <f>IF(AND($B538=" ",$K540=AY$3),$O540,0)</f>
        <v>0</v>
      </c>
      <c r="AZ540" s="136">
        <f>IF(AND($B538=" ",$K540=AZ$3),$O540,0)</f>
        <v>0</v>
      </c>
      <c r="BA540" s="136">
        <f>IF(AND($B538=" ",$K540=BA$3),$O540,0)</f>
        <v>0</v>
      </c>
      <c r="BB540" s="136">
        <f>IF(AND($B538=" ",$K540=BB$3),$O540,0)</f>
        <v>0</v>
      </c>
      <c r="BC540" s="137">
        <f>IF(AND($B538=" ",$K540=BC$3),$O540,0)</f>
        <v>0</v>
      </c>
      <c r="BD540" s="133">
        <f>IF(AND($B538=" ",$K540=BD$3),$O540,0)</f>
        <v>0</v>
      </c>
      <c r="BE540" s="134">
        <f>IF(AND($B538=" ",$K540=BE$3),$O540,0)</f>
        <v>0</v>
      </c>
      <c r="BF540" s="132">
        <f>IF($K540=BF$3,IF($C540="X",0,$O540),0)</f>
        <v>0</v>
      </c>
      <c r="BG540" s="281">
        <f>IF($K540=BG$3,IF($C540="X",0,$O540),0)</f>
        <v>0</v>
      </c>
      <c r="BH540" s="133">
        <f>IF($K540=BH$3,IF($C540="X",0,$O540),0)</f>
        <v>0</v>
      </c>
      <c r="BI540" s="133">
        <f>IF($K540=BI$3,IF($C540="X",0,$O540),0)</f>
        <v>0</v>
      </c>
      <c r="BJ540" s="133">
        <f>IF($K540=BJ$3,IF($C540="X",0,$O540),0)</f>
        <v>0</v>
      </c>
      <c r="BK540" s="133">
        <f>IF($K540=BK$3,IF($C540="X",0,$O540),0)</f>
        <v>0</v>
      </c>
      <c r="BL540" s="133">
        <f>IF($K540=BL$3,IF($C540="X",0,$O540),0)</f>
        <v>0</v>
      </c>
      <c r="BM540" s="135">
        <f>IF($K540=BM$3,IF($C540="X",0,$O540),0)</f>
        <v>0</v>
      </c>
      <c r="BN540" s="136">
        <f>IF($K540=BN$3,IF($C540="X",0,$O540),0)</f>
        <v>0</v>
      </c>
      <c r="BO540" s="136">
        <f>IF($K540=BO$3,IF($C540="X",0,$O540),0)</f>
        <v>0</v>
      </c>
      <c r="BP540" s="136">
        <f>IF($K540=BP$3,IF($C540="X",0,$O540),0)</f>
        <v>0</v>
      </c>
      <c r="BQ540" s="137">
        <f>IF($K540=BQ$3,IF($C540="X",0,$O540),0)</f>
        <v>0</v>
      </c>
      <c r="BR540" s="134">
        <f>IF($K540=BR$3,IF($C540="X",0,$O540),0)</f>
        <v>0</v>
      </c>
      <c r="BS540" s="282"/>
      <c r="BT540" s="283"/>
      <c r="BU540" s="140"/>
      <c r="BV540" s="283"/>
      <c r="BW540" s="140"/>
      <c r="BX540" s="140"/>
      <c r="BY540" s="140"/>
      <c r="BZ540" s="283"/>
      <c r="CA540" s="140"/>
      <c r="CB540" s="140"/>
      <c r="CC540" s="140"/>
      <c r="CD540" s="141"/>
      <c r="CE540" s="142"/>
      <c r="CF540" s="284">
        <f>IF(CF$3=$K540,IF($C540="W",1,IF($C540="1/2W",0.5,0)),0)</f>
        <v>0</v>
      </c>
      <c r="CG540" s="285">
        <f>IF(CF$3=$K540,IF($C540="L",1,IF($C540="1/2L",0.5,0)),0)</f>
        <v>0</v>
      </c>
      <c r="CH540" s="285">
        <f>IF(CH$3=$K540,IF($C540="W",1,IF($C540="1/2W",0.5,0)),0)</f>
        <v>0</v>
      </c>
      <c r="CI540" s="285">
        <f>IF(CH$3=$K540,IF($C540="L",1,IF($C540="1/2L",0.5,0)),0)</f>
        <v>0</v>
      </c>
      <c r="CJ540" s="285">
        <f>IF(CJ$3=$K540,IF($C540="W",1,IF($C540="1/2W",0.5,0)),0)</f>
        <v>0</v>
      </c>
      <c r="CK540" s="285">
        <f>IF(CJ$3=$K540,IF($C540="L",1,IF($C540="1/2L",0.5,0)),0)</f>
        <v>0</v>
      </c>
      <c r="CL540" s="285">
        <f>IF(CL$3=$K540,IF($C540="W",1,IF($C540="1/2W",0.5,0)),0)</f>
        <v>0</v>
      </c>
      <c r="CM540" s="285">
        <f>IF(CL$3=$K540,IF($C540="L",1,IF($C540="1/2L",0.5,0)),0)</f>
        <v>0</v>
      </c>
      <c r="CN540" s="285">
        <f>IF(CN$3=$K540,IF($C540="W",1,IF($C540="1/2W",0.5,0)),0)</f>
        <v>0</v>
      </c>
      <c r="CO540" s="285">
        <f>IF(CN$3=$K540,IF($C540="L",1,IF($C540="1/2L",0.5,0)),0)</f>
        <v>0</v>
      </c>
      <c r="CP540" s="285">
        <f>IF(CP$3=$K540,IF($C540="W",1,IF($C540="1/2W",0.5,0)),0)</f>
        <v>0</v>
      </c>
      <c r="CQ540" s="285">
        <f>IF(CP$3=$K540,IF($C540="L",1,IF($C540="1/2L",0.5,0)),0)</f>
        <v>0</v>
      </c>
      <c r="CR540" s="285">
        <f>IF(CR$3=$K540,IF($C540="W",1,IF($C540="1/2W",0.5,0)),0)</f>
        <v>0</v>
      </c>
      <c r="CS540" s="285">
        <f>IF(CR$3=$K540,IF($C540="L",1,IF($C540="1/2L",0.5,0)),0)</f>
        <v>0</v>
      </c>
      <c r="CT540" s="145">
        <f>IF(CT$3=$K540,IF($C540="W",1,IF($C540="1/2W",0.5,0)),0)</f>
        <v>0</v>
      </c>
      <c r="CU540" s="146">
        <f>IF(CT$3=$K540,IF($C540="L",1,IF($C540="1/2L",0.5,0)),0)</f>
        <v>0</v>
      </c>
      <c r="CV540" s="146">
        <f>IF(CV$3=$K540,IF($C540="W",1,IF($C540="1/2W",0.5,0)),0)</f>
        <v>0</v>
      </c>
      <c r="CW540" s="146">
        <f>IF(CV$3=$K540,IF($C540="L",1,IF($C540="1/2L",0.5,0)),0)</f>
        <v>0</v>
      </c>
      <c r="CX540" s="146">
        <f>IF(CX$3=$K540,IF($C540="W",1,IF($C540="1/2W",0.5,0)),0)</f>
        <v>0</v>
      </c>
      <c r="CY540" s="146">
        <f>IF(CX$3=$K540,IF($C540="L",1,IF($C540="1/2L",0.5,0)),0)</f>
        <v>0</v>
      </c>
      <c r="CZ540" s="146">
        <f>IF(CZ$3=$K540,IF($C540="W",1,IF($C540="1/2W",0.5,0)),0)</f>
        <v>0</v>
      </c>
      <c r="DA540" s="146">
        <f>IF(CZ$3=$K540,IF($C540="L",1,IF($C540="1/2L",0.5,0)),0)</f>
        <v>0</v>
      </c>
      <c r="DB540" s="146">
        <f>IF(DB$3=$K540,IF($C540="W",1,IF($C540="1/2W",0.5,0)),0)</f>
        <v>0</v>
      </c>
      <c r="DC540" s="146">
        <f>IF(DB$3=$K540,IF($C540="L",1,IF($C540="1/2L",0.5,0)),0)</f>
        <v>0</v>
      </c>
      <c r="DD540" s="146">
        <f>IF(DD$3=$K540,IF($C540="W",1,IF($C540="1/2W",0.5,0)),0)</f>
        <v>0</v>
      </c>
      <c r="DE540" s="147">
        <f>IF(DD$3=$K540,IF($C540="L",1,IF($C540="1/2L",0.5,0)),0)</f>
        <v>0</v>
      </c>
      <c r="DF540" s="143">
        <f>IF(AND(L540&lt;DF$3,$C540="W"),1+DF539,DF539)</f>
        <v>16</v>
      </c>
      <c r="DG540" s="133">
        <f>IF(DF540&gt;DF539,L540+DG539,DG539)</f>
        <v>21.158</v>
      </c>
      <c r="DH540" s="146">
        <f>IF(AND(L540&gt;DH$3,$C540="W"),1+DH539,0+DH539)</f>
        <v>14</v>
      </c>
      <c r="DI540" s="133">
        <f>IF(DH540&gt;DH539,L540+DI539,DI539)</f>
        <v>77.43000000000001</v>
      </c>
      <c r="DJ540" t="s" s="304">
        <f>IF($D538="","",$D538)</f>
        <v>396</v>
      </c>
      <c r="DK540" s="286"/>
    </row>
    <row r="541" ht="14.55" customHeight="1">
      <c r="A541" s="171">
        <f>$A538+1</f>
        <v>180</v>
      </c>
      <c r="B541" t="s" s="172">
        <f>IF(AND(_xlfn.XLOOKUP(H541,H$122:H314,G$122:G314,0)=G541,_xlfn.XLOOKUP("TempoBet",K541:K543,L541:L543,0)&gt;0),"X",IF(OR(C541="W",C542="W",C543="W",C541="1/2W",C542="1/2W",C543="1/2W",C541="1/2L",C542="1/2L",C543="1/2L"),"OK",IF(OR(C541="L",C542="L",C543="L"),"LOSS",IF(OR(C541="X",C542="X",C543="X"),"Anulado"," "))))</f>
        <v>50</v>
      </c>
      <c r="C541" t="s" s="173">
        <v>51</v>
      </c>
      <c r="D541" t="s" s="305">
        <f>IF(G541="","",$D538)</f>
        <v>396</v>
      </c>
      <c r="E541" t="s" s="175">
        <f>IF(G541=""," ","– "&amp;COUNTIF(D$4:D543,$D541))</f>
        <v>124</v>
      </c>
      <c r="F541" t="s" s="176"/>
      <c r="G541" s="177">
        <v>44952.395833333336</v>
      </c>
      <c r="H541" t="s" s="178">
        <v>410</v>
      </c>
      <c r="I541" t="s" s="179">
        <v>65</v>
      </c>
      <c r="J541" s="291">
        <v>3.5</v>
      </c>
      <c r="K541" t="s" s="181">
        <v>38</v>
      </c>
      <c r="L541" s="182">
        <v>3.2</v>
      </c>
      <c r="M541" s="183">
        <v>6.64</v>
      </c>
      <c r="N541" s="184">
        <v>0</v>
      </c>
      <c r="O541" s="185">
        <f>IF(OR(AE541="",AE542=""),"",ROUND(IF(L543&gt;0,IF(M541&gt;0,M541,IF(M542&gt;0,ROUND((M542*AE541)/AE542,IF(N541=0,2,IF(N541=0.1,1,0))),ROUND((M543*AE541)/AE543,IF(N541=0,2,IF(N541=0.1,1,0))))),IF(M541&gt;0,M541,ROUND((M542*AE541)/AE542,IF(N541=0,2,IF(N541=0.1,1,0))))),2))</f>
        <v>6.64</v>
      </c>
      <c r="P541" s="186">
        <f>IF(OR(L541="",O541=""),"",IF($C541="1/2W",O541/2+O541/2*L541,IF($C541="1/2L",O541/2,IF(I541="Lay",(O541*(L541/(L541-1))-O541)*(1-_xlfn.XLOOKUP(K541,'Janeiro 2023 - Valor Real'!A3:A15,'Janeiro 2023 - Valor Real'!C3:C15,0))+O541,(O541*L541-O541)*(1-_xlfn.XLOOKUP(K541,'Janeiro 2023 - Valor Real'!A3:A15,'Janeiro 2023 - Valor Real'!C3:C15,0))+O541))))</f>
        <v>21.248</v>
      </c>
      <c r="Q541" s="187">
        <f>IF(K541="","",IF(_xlfn.XLOOKUP(K541,K$122:K314,DJ$122:DJ314,0,,-1)=DJ541,_xlfn.XLOOKUP(K541,K$122:K314,Q$122:Q314,1,,-1)+1,1))</f>
        <v>1</v>
      </c>
      <c r="R541" s="188">
        <f>IF(K541="","",_xlfn.XLOOKUP(K541,K$122:K314,R$122:R314,0,,-1)+IF($C541=" ",1,0))</f>
        <v>0</v>
      </c>
      <c r="S541" s="189">
        <f>IF($B541="Anulado",0,ROUND(IF(OR($B541="LOSS",$B541="OK"),IF(OR($C541="W",$C541="1/2W",$C541="1/2L"),P541-O541,IF($C541="L",-O541,0))+IF(OR($C542="W",$C542="1/2W",$C542="1/2L"),P542-O542,IF($C542="L",-O542,0))+IF(OR($C543="W",$C543="1/2W",$C543="1/2L"),P543-O543,IF($C543="L",-O543,0)),IF(AND(OR($C541="W",$C541="1/2W",$C541="1/2L"),C542="W"),P541+P542-SUM(O541:O543)+_xlfn.XLOOKUP("X",C541:C543,O541:O543,0),IF(AND(C541=TRUE,C543="W"),P541+P543-SUM(O541:O543),IF(AND(C542="W",C543="W"),P542+P543-SUM(O541:O543)+_xlfn.XLOOKUP("X",C541:C543,O541:O543,0),IF(L543&gt;0,IF(OR($C541="W",$C541="1/2W",$C541="1/2L"),P541-SUM(O541:O543)+_xlfn.XLOOKUP("X",C541:C543,O541:O543,0),IF(OR($C541="W",$C541="1/2W",$C541="1/2L"),P542-SUM(O541:O543)+_xlfn.XLOOKUP("X",C541:C543,O541:O543,0),IF(OR($C541="W",$C541="1/2W",$C541="1/2L"),P543-SUM(O541:O543)+_xlfn.XLOOKUP("X",C541:C543,O541:O543,0),IF(SUM(P541:P543)/3-SUM(O541:O543)+_xlfn.XLOOKUP("X",C541:C543,O541:O543,0)&gt;0,SUM(P541:P543)/3-SUM(O541:O543)+_xlfn.XLOOKUP("X",C541:C543,O541:O543,0),LARGE(P541:P543,1)-SUM(O541:O543))))),IF(OR($C541="W",$C541="1/2W",$C541="1/2L"),P541-SUM(O541:O542)+_xlfn.XLOOKUP("X",C541:C543,O541:O543,0),IF(OR($C541="W",$C541="1/2W",$C541="1/2L"),P542-SUM(O541:O542)+_xlfn.XLOOKUP("X",C541:C543,O541:O543,0),SUM(P541:P542)/2-SUM(O541:O542)+_xlfn.XLOOKUP("X",C541:C543,O541:O543,0)))))))),2))</f>
        <v>1.26</v>
      </c>
      <c r="T541" s="190">
        <f>IF(S541=0,0,S541/SUM(O541:O543))</f>
        <v>0.063</v>
      </c>
      <c r="U541" s="191">
        <f>IF($D541=$D538,IF(OR($B541="LOSS",$B541="OK",$B541="Anulada"),S541,0)+U538,IF(OR($B541="LOSS",$B541="OK",$B541="Anulada"),S541,0))</f>
        <v>21.48</v>
      </c>
      <c r="V541" s="191">
        <f>IF($D541="",0,IF($D541=$D538,IF($B541=" ",IF(I543="",IF(OR(AND(I541="DNB1",I542="DNB2"),AND(OR(I541="DNB1",I541="DNB2"),J542=0),AND(OR(I542="DNB1",I542="DNB2"),J541=0),AND(I541="DNB2",I542="DNB1"),AND(IF(J541=0,(J541+1)/ROUND(J541+1,0),J541/ROUND(J541,0))=1,IF(J542=0,(J542+1)/ROUND(IF(J542="",0,J542)+1,0),IF(J542="",0,J542)/ROUND(IF(J542="",1,J542),0))=1,OR(J541&lt;&gt;""),J542&lt;&gt;"")),0,IF(S541&lt;0,IF(I543="",SMALL(P541:P542,1)-SUM(O541:O542),0),SMALL(P541:P542,1)-SUM(O541:O542))),IF(S541&lt;0,IF(I543="",SMALL(P541:P543,1)-SUM(O541:O543),0),LARGE(P541:P543,1)-SUM(O541:O543))),S541)+V538,IF(I543="",IF(OR(AND(I541="DNB1",I542="DNB2"),AND(OR(I541="DNB1",I541="DNB2"),J542=0),AND(OR(I542="DNB1",I542="DNB2"),J541=0),AND(I541="DNB2",I542="DNB1"),AND(IF(J541=0,(J541+1)/ROUND(J541+1,0),J541/ROUND(J541,0))=1,IF(J542=0,(IF(J542="",0,J542)+1)/ROUND(IF(J542="",0,J542)+1,0),IF(J542="",0,J542)/ROUND(IF(J542="",0,J542)+1,0))=1,OR(J541&lt;&gt;""),J542&lt;&gt;"")),0,IF(S541&lt;0,IF(I543="",SMALL(P541:P542,1)-SUM(O541:O542),0),SMALL(P541:P543,1)-SUM(O541:O543))),IF(S541&lt;0,IF(I543="",SMALL(P541:P543,1)-SUM(O541:O543),0),LARGE(P541:P543,1)-SUM(O541:O543)))))</f>
        <v>21.48</v>
      </c>
      <c r="W541" s="191">
        <f>IF($D541=$D538,IF(S541&lt;0,IF(I543="",S541,0),S541)+W538,S541)</f>
        <v>21.48</v>
      </c>
      <c r="X541" t="s" s="192">
        <f>IF(OR(SUM(R541:R543)=0,V541=W541),ROUND(IF(W541=0,0,W541/Y541)*100,2)&amp;"%",ROUND(IF(V541=0,0,V541/Y541)*100,2)&amp;"% a "&amp;ROUND(IF(W541=0,0,W541/Y541)*100,2)&amp;"%")</f>
        <v>412</v>
      </c>
      <c r="Y541" s="193">
        <f>IF($D541=$D538,Y538+SUM(O541:O543),SUM(O541:O543))</f>
        <v>488.4</v>
      </c>
      <c r="Z541" s="191">
        <f>IF($B541=" ",SUM(O541:O543),0)+Z538</f>
        <v>0</v>
      </c>
      <c r="AA541" s="191">
        <f>IF(G541="","",IF($B541="Anulado",LARGE(P541:P543,1)-SUM(O541:O543)+AA538,AA538))</f>
        <v>24.9665076923077</v>
      </c>
      <c r="AB541" s="191">
        <f>IF($D541="","",AB538+S541)</f>
        <v>360.72</v>
      </c>
      <c r="AC541" s="194">
        <f>IF($D541="","",IF($B541=" ",IF(DAY(G541)=DAY(TODAY()),1+AC538,0+AC538),0+AC538))</f>
        <v>0</v>
      </c>
      <c r="AD541" s="195">
        <f>(((L542/(L542-1)-1)*(1-_xlfn.XLOOKUP(K542,'Janeiro 2023 - Valor Real'!A3:A15,'Janeiro 2023 - Valor Real'!C3:C15,0))+1))/(((L541-1)*(1-_xlfn.XLOOKUP(K541,'Janeiro 2023 - Valor Real'!A3:A15,'Janeiro 2023 - Valor Real'!C3:C15,0))+1)+((L542/(L542-1)-1)*(1-_xlfn.XLOOKUP(K542,'Janeiro 2023 - Valor Real'!A3:A15,'Janeiro 2023 - Valor Real'!C3:C15,0))+1))</f>
        <v>0.456895066337373</v>
      </c>
      <c r="AE541" s="196">
        <f>IF(L541="","",IF(L543&gt;0,(SUM(((L541-1)*(1-_xlfn.XLOOKUP(K541,'Janeiro 2023 - Valor Real'!A3:A15,'Janeiro 2023 - Valor Real'!C3:C15,0))+1),((L542-1)*(1-_xlfn.XLOOKUP(K542,'Janeiro 2023 - Valor Real'!A3:A15,'Janeiro 2023 - Valor Real'!C3:C15,0))+1),((L543-1)*(1-_xlfn.XLOOKUP(K543,'Janeiro 2023 - Valor Real'!A3:A15,'Janeiro 2023 - Valor Real'!C3:C15,0))+1))/((L541-1)*(1-_xlfn.XLOOKUP(K541,'Janeiro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Real'!C3:C15,0))+1))/((L541-1)*(1-_xlfn.XLOOKUP(K541,'Janeiro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Real'!C3:C15,0))+1))/((L542-1)*(1-_xlfn.XLOOKUP(K542,'Janeiro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Real'!C3:C15,0))+1))/((L543-1)*(1-_xlfn.XLOOKUP(K543,'Janeiro 2023 - Valor Real'!A3:A15,'Janeiro 2023 - Valor Real'!C3:C15,0))+1)),IF(I541="Lay",IF(I542="Lay",((L542/(L542-1)-1)*(1-_xlfn.XLOOKUP(K542,'Janeiro 2023 - Valor Real'!A3:A15,'Janeiro 2023 - Valor Real'!C3:C15,0))+1)/(((L542/(L542-1)-1)*(1-_xlfn.XLOOKUP(K542,'Janeiro 2023 - Valor Real'!A3:A15,'Janeiro 2023 - Valor Real'!C3:C15,0))+1)+((L541/(L541-1)-1)*(1-_xlfn.XLOOKUP(K541,'Janeiro 2023 - Valor Real'!A3:A15,'Janeiro 2023 - Valor Real'!C3:C15,0))+1)),((L542-1)*(1-_xlfn.XLOOKUP(K542,'Janeiro 2023 - Valor Real'!A3:A15,'Janeiro 2023 - Valor Real'!C3:C15,0))+1)/(((L542-1)*(1-_xlfn.XLOOKUP(K542,'Janeiro 2023 - Valor Real'!A3:A15,'Janeiro 2023 - Valor Real'!C3:C15,0))+1)+((L541/(L541-1)-1)*(1-_xlfn.XLOOKUP(K541,'Janeiro 2023 - Valor Real'!A3:A15,'Janeiro 2023 - Valor Real'!C3:C15,0))+1))),IF(I542="Lay",(((L542/(L542-1)-1)*(1-_xlfn.XLOOKUP(K542,'Janeiro 2023 - Valor Real'!A3:A15,'Janeiro 2023 - Valor Real'!C3:C15,0))+1))/(((L541-1)*(1-_xlfn.XLOOKUP(K541,'Janeiro 2023 - Valor Real'!A3:A15,'Janeiro 2023 - Valor Real'!C3:C15,0))+1)+((L542/(L542-1)-1)*(1-_xlfn.XLOOKUP(K542,'Janeiro 2023 - Valor Real'!A3:A15,'Janeiro 2023 - Valor Real'!C3:C15,0))+1)),((L542-1)*(1-_xlfn.XLOOKUP(K542,'Janeiro 2023 - Valor Real'!A3:A15,'Janeiro 2023 - Valor Real'!C3:C15,0))+1)/(((L542-1)*(1-_xlfn.XLOOKUP(K542,'Janeiro 2023 - Valor Real'!A3:A15,'Janeiro 2023 - Valor Real'!C3:C15,0))+1)+((L541-1)*(1-_xlfn.XLOOKUP(K541,'Janeiro 2023 - Valor Real'!A3:A15,'Janeiro 2023 - Valor Real'!C3:C15,0))+1))))))</f>
        <v>0.332080985180547</v>
      </c>
      <c r="AF541" s="197">
        <f>IF($K541=AF$3,ROUND(IF(OR($C541="W",$C541="1/2W",$C541="1/2L"),$P541-$O541,IF($C541="X",0,-$O541)),2),0)</f>
        <v>0</v>
      </c>
      <c r="AG541" s="198">
        <f>IF($K541=AG$3,ROUND(IF(OR($C541="W",$C541="1/2W",$C541="1/2L"),$P541-$O541,IF($C541="X",0,-$O541)),2),0)</f>
        <v>-6.64</v>
      </c>
      <c r="AH541" s="198">
        <f>IF($K541=AH$3,ROUND(IF(OR($C541="W",$C541="1/2W",$C541="1/2L"),$P541-$O541,IF($C541="X",0,-$O541)),2),0)</f>
        <v>0</v>
      </c>
      <c r="AI541" s="198">
        <f>IF($K541=AI$3,ROUND(IF(OR($C541="W",$C541="1/2W",$C541="1/2L"),$P541-$O541,IF($C541="X",0,-$O541)),2),0)</f>
        <v>0</v>
      </c>
      <c r="AJ541" s="198">
        <f>IF($K541=AJ$3,ROUND(IF(OR($C541="W",$C541="1/2W",$C541="1/2L"),$P541-$O541,IF($C541="X",0,-$O541)),2),0)</f>
        <v>0</v>
      </c>
      <c r="AK541" s="198">
        <f>IF($K541=AK$3,ROUND(IF(OR($C541="W",$C541="1/2W",$C541="1/2L"),$P541-$O541,IF($C541="X",0,-$O541)),2),0)</f>
        <v>0</v>
      </c>
      <c r="AL541" s="198">
        <f>IF($K541=AL$3,ROUND(IF(OR($C541="W",$C541="1/2W",$C541="1/2L"),$P541-$O541,IF($C541="X",0,-$O541)),2),0)</f>
        <v>0</v>
      </c>
      <c r="AM541" s="198">
        <f>IF($K541=AM$3,ROUND(IF(OR($C541="W",$C541="1/2W",$C541="1/2L"),$P541-$O541,IF($C541="X",0,-$O541)),2),0)</f>
        <v>0</v>
      </c>
      <c r="AN541" s="198">
        <f>IF($K541=AN$3,ROUND(IF(OR($C541="W",$C541="1/2W",$C541="1/2L"),$P541-$O541,IF($C541="X",0,-$O541)),2),0)</f>
        <v>0</v>
      </c>
      <c r="AO541" s="198">
        <f>IF($K541=AO$3,ROUND(IF(OR($C541="W",$C541="1/2W",$C541="1/2L"),$P541-$O541,IF($C541="X",0,-$O541)),2),0)</f>
        <v>0</v>
      </c>
      <c r="AP541" s="198">
        <f>IF($K541=AP$3,ROUND(IF(OR($C541="W",$C541="1/2W",$C541="1/2L"),$P541-$O541,IF($C541="X",0,-$O541)),2),0)</f>
        <v>0</v>
      </c>
      <c r="AQ541" s="198">
        <f>IF($K541=AQ$3,ROUND(IF(OR($C541="W",$C541="1/2W",$C541="1/2L"),$P541-$O541,IF($C541="X",0,-$O541)),2),0)</f>
        <v>0</v>
      </c>
      <c r="AR541" s="199">
        <f>IF($K541=AR$3,ROUND(IF(OR($C541="W",$C541="1/2W",$C541="1/2L"),$P541-$O541,IF($C541="X",0,-$O541)),2),0)</f>
        <v>0</v>
      </c>
      <c r="AS541" s="197">
        <f>IF(AND($B541=" ",$K541=AS$3),$O541,0)</f>
        <v>0</v>
      </c>
      <c r="AT541" s="198">
        <f>IF(AND($B541=" ",$K541=AT$3),$O541,0)</f>
        <v>0</v>
      </c>
      <c r="AU541" s="198">
        <f>IF(AND($B541=" ",$K541=AU$3),$O541,0)</f>
        <v>0</v>
      </c>
      <c r="AV541" s="198">
        <f>IF(AND($B541=" ",$K541=AV$3),$O541,0)</f>
        <v>0</v>
      </c>
      <c r="AW541" s="198">
        <f>IF(AND($B541=" ",$K541=AW$3),$O541,0)</f>
        <v>0</v>
      </c>
      <c r="AX541" s="198">
        <f>IF(AND($B541=" ",$K541=AX$3),$O541,0)</f>
        <v>0</v>
      </c>
      <c r="AY541" s="200">
        <f>IF(AND($B541=" ",$K541=AY$3),$O541,0)</f>
        <v>0</v>
      </c>
      <c r="AZ541" s="201">
        <f>IF(AND($B541=" ",$K541=AZ$3),$O541,0)</f>
        <v>0</v>
      </c>
      <c r="BA541" s="201">
        <f>IF(AND($B541=" ",$K541=BA$3),$O541,0)</f>
        <v>0</v>
      </c>
      <c r="BB541" s="201">
        <f>IF(AND($B541=" ",$K541=BB$3),$O541,0)</f>
        <v>0</v>
      </c>
      <c r="BC541" s="202">
        <f>IF(AND($B541=" ",$K541=BC$3),$O541,0)</f>
        <v>0</v>
      </c>
      <c r="BD541" s="198">
        <f>IF(AND($B541=" ",$K541=BD$3),$O541,0)</f>
        <v>0</v>
      </c>
      <c r="BE541" s="199">
        <f>IF(AND($B541=" ",$K541=BE$3),$O541,0)</f>
        <v>0</v>
      </c>
      <c r="BF541" s="203">
        <f>IF($K541=BF$3,IF($C541="X",0,$O541),0)</f>
        <v>0</v>
      </c>
      <c r="BG541" s="198">
        <f>IF($K541=BG$3,IF($C541="X",0,$O541),0)</f>
        <v>6.64</v>
      </c>
      <c r="BH541" s="198">
        <f>IF($K541=BH$3,IF($C541="X",0,$O541),0)</f>
        <v>0</v>
      </c>
      <c r="BI541" s="198">
        <f>IF($K541=BI$3,IF($C541="X",0,$O541),0)</f>
        <v>0</v>
      </c>
      <c r="BJ541" s="198">
        <f>IF($K541=BJ$3,IF($C541="X",0,$O541),0)</f>
        <v>0</v>
      </c>
      <c r="BK541" s="198">
        <f>IF($K541=BK$3,IF($C541="X",0,$O541),0)</f>
        <v>0</v>
      </c>
      <c r="BL541" s="198">
        <f>IF($K541=BL$3,IF($C541="X",0,$O541),0)</f>
        <v>0</v>
      </c>
      <c r="BM541" s="200">
        <f>IF($K541=BM$3,IF($C541="X",0,$O541),0)</f>
        <v>0</v>
      </c>
      <c r="BN541" s="201">
        <f>IF($K541=BN$3,IF($C541="X",0,$O541),0)</f>
        <v>0</v>
      </c>
      <c r="BO541" s="201">
        <f>IF($K541=BO$3,IF($C541="X",0,$O541),0)</f>
        <v>0</v>
      </c>
      <c r="BP541" s="201">
        <f>IF($K541=BP$3,IF($C541="X",0,$O541),0)</f>
        <v>0</v>
      </c>
      <c r="BQ541" s="202">
        <f>IF($K541=BQ$3,IF($C541="X",0,$O541),0)</f>
        <v>0</v>
      </c>
      <c r="BR541" s="199">
        <f>IF($K541=BR$3,IF($C541="X",0,$O541),0)</f>
        <v>0</v>
      </c>
      <c r="BS541" s="204">
        <f>IF($B541="LOSS",IF(AND($K541=BS$3,$C541="L"),-$O541,0)+IF(AND($K542=BS$3,$C542="L"),-$O542,0)+IF(AND($K543=BS$3,$C543="L"),-$O543,0),IF(OR(AND($K541=BS$3,OR($C541="W",$C541="1/2W")),AND($K542=BS$3,OR($C542="W",$C542="1/2W")),AND($K543=BS$3,OR($C543="W",$C543="1/2W"))),$S541,0))</f>
        <v>0</v>
      </c>
      <c r="BT541" s="201">
        <f>IF($B541="LOSS",IF(AND($K541=BT$3,$C541="L"),-$O541,0)+IF(AND($K542=BT$3,$C542="L"),-$O542,0)+IF(AND($K542=BT$3,$C543="L"),-$O543,0),IF(OR(AND($K542=BT$3,OR($C541="W",$C541="1/2W")),AND($K542=BT$3,OR($C542="W",$C542="1/2W")),AND($K542=BT$3,OR($C543="W",$C543="1/2W"))),$S541,0))</f>
        <v>0</v>
      </c>
      <c r="BU541" s="201">
        <f>IF($B541="LOSS",IF(AND($K541=BU$3,$C541="L"),-$O541,0)+IF(AND($K542=BU$3,$C542="L"),-$O542,0)+IF(AND($K542=BU$3,$C543="L"),-$O543,0),IF(OR(AND($K542=BU$3,OR($C541="W",$C541="1/2W")),AND($K542=BU$3,OR($C542="W",$C542="1/2W")),AND($K542=BU$3,OR($C543="W",$C543="1/2W"))),$S541,0))</f>
        <v>0</v>
      </c>
      <c r="BV541" s="201">
        <f>IF($B541="LOSS",IF(AND($K541=BV$3,$C541="L"),-$O541,0)+IF(AND($K542=BV$3,$C542="L"),-$O542,0)+IF(AND($K543=BV$3,$C543="L"),-$O543,0),IF(OR(AND($K541=BV$3,OR($C541="W",$C541="1/2W")),AND($K542=BV$3,OR($C542="W",$C542="1/2W")),AND($K543=BV$3,OR($C543="W",$C543="1/2W"))),$S541,0))</f>
        <v>0</v>
      </c>
      <c r="BW541" s="201">
        <f>IF($B541="LOSS",IF(AND($K541=BW$3,$C541="L"),-$O541,0)+IF(AND($K542=BW$3,$C542="L"),-$O542,0)+IF(AND($K543=BW$3,$C543="L"),-$O543,0),IF(OR(AND($K541=BW$3,OR($C541="W",$C541="1/2W")),AND($K542=BW$3,OR($C542="W",$C542="1/2W")),AND($K543=BW$3,OR($C543="W",$C543="1/2W"))),$S541,0))</f>
        <v>0</v>
      </c>
      <c r="BX541" s="201">
        <f>IF($B541="LOSS",IF(AND($K541=BX$3,$C541="L"),-$O541,0)+IF(AND($K542=BX$3,$C542="L"),-$O542,0)+IF(AND($K543=BX$3,$C543="L"),-$O543,0),IF(OR(AND($K541=BX$3,OR($C541="W",$C541="1/2W")),AND($K542=BX$3,OR($C542="W",$C542="1/2W")),AND($K543=BX$3,OR($C543="W",$C543="1/2W"))),$S541,0))</f>
        <v>0</v>
      </c>
      <c r="BY541" s="201">
        <f>IF($B541="LOSS",IF(AND($K541=BY$3,$C541="L"),-$O541,0)+IF(AND($K542=BY$3,$C542="L"),-$O542,0)+IF(AND($K543=BY$3,$C543="L"),-$O543,0),IF(OR(AND($K541=BY$3,OR($C541="W",$C541="1/2W")),AND($K542=BY$3,OR($C542="W",$C542="1/2W")),AND($K543=BY$3,OR($C543="W",$C543="1/2W"))),$S541,0))</f>
        <v>0</v>
      </c>
      <c r="BZ541" s="205">
        <f>IF($B541="LOSS",IF(AND($K541=BZ$3,$C541="L"),-$O541,0)+IF(AND($K542=BZ$3,$C542="L"),-$O542,0)+IF(AND($K543=BZ$3,$C543="L"),-$O543,0),IF(OR(AND($K541=BZ$3,OR($C541="W",$C541="1/2W")),AND($K542=BZ$3,OR($C542="W",$C542="1/2W")),AND($K543=BZ$3,OR($C543="W",$C543="1/2W"))),$S541,0))</f>
        <v>1.26</v>
      </c>
      <c r="CA541" s="205">
        <f>IF($B541="LOSS",IF(AND($K541=CA$3,$C541="L"),-$O541,0)+IF(AND($K542=CA$3,$C542="L"),-$O542,0)+IF(AND($K543=CA$3,$C543="L"),-$O543,0),IF(OR(AND($K541=CA$3,OR($C541="W",$C541="1/2W")),AND($K542=CA$3,OR($C542="W",$C542="1/2W")),AND($K543=CA$3,OR($C543="W",$C543="1/2W"))),$S541,0))</f>
        <v>0</v>
      </c>
      <c r="CB541" s="205">
        <f>IF($B541="LOSS",IF(AND($K541=CB$3,$C541="L"),-$O541,0)+IF(AND($K542=CB$3,$C542="L"),-$O542,0)+IF(AND($K543=CB$3,$C543="L"),-$O543,0),IF(OR(AND($K541=CB$3,OR($C541="W",$C541="1/2W")),AND($K542=CB$3,OR($C542="W",$C542="1/2W")),AND($K543=CB$3,OR($C543="W",$C543="1/2W"))),$S541,0))</f>
        <v>0</v>
      </c>
      <c r="CC541" s="205">
        <f>IF($B541="LOSS",IF(AND($K541=CC$3,$C541="L"),-$O541,0)+IF(AND($K542=CC$3,$C542="L"),-$O542,0)+IF(AND($K543=CC$3,$C543="L"),-$O543,0),IF(OR(AND($K541=CC$3,OR($C541="W",$C541="1/2W")),AND($K542=CC$3,OR($C542="W",$C542="1/2W")),AND($K543=CC$3,OR($C543="W",$C543="1/2W"))),$S541,0))</f>
        <v>0</v>
      </c>
      <c r="CD541" s="202">
        <f>IF($B541="LOSS",IF(AND($K541=CD$3,$C541="L"),-$O541,0)+IF(AND($K542=CD$3,$C542="L"),-$O542,0)+IF(AND($K543=CD$3,$C543="L"),-$O543,0),IF(OR(AND($K541=CD$3,OR($C541="W",$C541="1/2W")),AND($K542=CD$3,OR($C542="W",$C542="1/2W")),AND($K543=CD$3,OR($C543="W",$C543="1/2W"))),$S541,0))</f>
        <v>0</v>
      </c>
      <c r="CE541" s="199">
        <f>IF($B541="LOSS",IF(AND($K541=CE$3,$C541="L"),-$O541,0)+IF(AND($K542=CE$3,$C542="L"),-$O542,0)+IF(AND($K543=CE$3,$C543="L"),-$O543,0),IF(OR(AND($K541=CE$3,OR($C541="W",$C541="1/2W")),AND($K542=CE$3,OR($C542="W",$C542="1/2W")),AND($K543=CE$3,OR($C543="W",$C543="1/2W"))),$S541,0))</f>
        <v>0</v>
      </c>
      <c r="CF541" s="206">
        <f>IF(CF$3=$K541,IF($C541="W",1,IF($C541="1/2W",0.5,0)),0)</f>
        <v>0</v>
      </c>
      <c r="CG541" s="207">
        <f>IF(CF$3=$K541,IF($C541="L",1,IF($C541="1/2L",0.5,0)),0)</f>
        <v>0</v>
      </c>
      <c r="CH541" s="207">
        <f>IF(CH$3=$K541,IF($C541="W",1,IF($C541="1/2W",0.5,0)),0)</f>
        <v>0</v>
      </c>
      <c r="CI541" s="207">
        <f>IF(CH$3=$K541,IF($C541="L",1,IF($C541="1/2L",0.5,0)),0)</f>
        <v>1</v>
      </c>
      <c r="CJ541" s="207">
        <f>IF(CJ$3=$K541,IF($C541="W",1,IF($C541="1/2W",0.5,0)),0)</f>
        <v>0</v>
      </c>
      <c r="CK541" s="207">
        <f>IF(CJ$3=$K541,IF($C541="L",1,IF($C541="1/2L",0.5,0)),0)</f>
        <v>0</v>
      </c>
      <c r="CL541" s="207">
        <f>IF(CL$3=$K541,IF($C541="W",1,IF($C541="1/2W",0.5,0)),0)</f>
        <v>0</v>
      </c>
      <c r="CM541" s="207">
        <f>IF(CL$3=$K541,IF($C541="L",1,IF($C541="1/2L",0.5,0)),0)</f>
        <v>0</v>
      </c>
      <c r="CN541" s="207">
        <f>IF(CN$3=$K541,IF($C541="W",1,IF($C541="1/2W",0.5,0)),0)</f>
        <v>0</v>
      </c>
      <c r="CO541" s="207">
        <f>IF(CN$3=$K541,IF($C541="L",1,IF($C541="1/2L",0.5,0)),0)</f>
        <v>0</v>
      </c>
      <c r="CP541" s="207">
        <f>IF(CP$3=$K541,IF($C541="W",1,IF($C541="1/2W",0.5,0)),0)</f>
        <v>0</v>
      </c>
      <c r="CQ541" s="207">
        <f>IF(CP$3=$K541,IF($C541="L",1,IF($C541="1/2L",0.5,0)),0)</f>
        <v>0</v>
      </c>
      <c r="CR541" s="207">
        <f>IF(CR$3=$K541,IF($C541="W",1,IF($C541="1/2W",0.5,0)),0)</f>
        <v>0</v>
      </c>
      <c r="CS541" s="207">
        <f>IF(CR$3=$K541,IF($C541="L",1,IF($C541="1/2L",0.5,0)),0)</f>
        <v>0</v>
      </c>
      <c r="CT541" s="208">
        <f>IF(CT$3=$K541,IF($C541="W",1,IF($C541="1/2W",0.5,0)),0)</f>
        <v>0</v>
      </c>
      <c r="CU541" s="209">
        <f>IF(CT$3=$K541,IF($C541="L",1,IF($C541="1/2L",0.5,0)),0)</f>
        <v>0</v>
      </c>
      <c r="CV541" s="209">
        <f>IF(CV$3=$K541,IF($C541="W",1,IF($C541="1/2W",0.5,0)),0)</f>
        <v>0</v>
      </c>
      <c r="CW541" s="209">
        <f>IF(CV$3=$K541,IF($C541="L",1,IF($C541="1/2L",0.5,0)),0)</f>
        <v>0</v>
      </c>
      <c r="CX541" s="209">
        <f>IF(CX$3=$K541,IF($C541="W",1,IF($C541="1/2W",0.5,0)),0)</f>
        <v>0</v>
      </c>
      <c r="CY541" s="209">
        <f>IF(CX$3=$K541,IF($C541="L",1,IF($C541="1/2L",0.5,0)),0)</f>
        <v>0</v>
      </c>
      <c r="CZ541" s="209">
        <f>IF(CZ$3=$K541,IF($C541="W",1,IF($C541="1/2W",0.5,0)),0)</f>
        <v>0</v>
      </c>
      <c r="DA541" s="209">
        <f>IF(CZ$3=$K541,IF($C541="L",1,IF($C541="1/2L",0.5,0)),0)</f>
        <v>0</v>
      </c>
      <c r="DB541" s="209">
        <f>IF(DB$3=$K541,IF($C541="W",1,IF($C541="1/2W",0.5,0)),0)</f>
        <v>0</v>
      </c>
      <c r="DC541" s="209">
        <f>IF(DB$3=$K541,IF($C541="L",1,IF($C541="1/2L",0.5,0)),0)</f>
        <v>0</v>
      </c>
      <c r="DD541" s="209">
        <f>IF(DD$3=$K541,IF($C541="W",1,IF($C541="1/2W",0.5,0)),0)</f>
        <v>0</v>
      </c>
      <c r="DE541" s="210">
        <f>IF(DD$3=$K541,IF($C541="L",1,IF($C541="1/2L",0.5,0)),0)</f>
        <v>0</v>
      </c>
      <c r="DF541" s="211">
        <f>IF(AND(L541&lt;DF$3,$C541="W"),1+DF540,DF540)</f>
        <v>16</v>
      </c>
      <c r="DG541" s="198">
        <f>IF(DF541&gt;DF540,L541+DG540,DG540)</f>
        <v>21.158</v>
      </c>
      <c r="DH541" s="209">
        <f>IF(AND(L541&gt;DH$3,$C541="W"),1+DH540,0+DH540)</f>
        <v>14</v>
      </c>
      <c r="DI541" s="198">
        <f>IF(DH541&gt;DH540,L541+DI540,DI540)</f>
        <v>77.43000000000001</v>
      </c>
      <c r="DJ541" t="s" s="306">
        <f>IF($D541="","",$D541)</f>
        <v>396</v>
      </c>
      <c r="DK541" s="209">
        <f>IF(AND($B541=" ",$D541&lt;&gt;""),1,0)</f>
        <v>0</v>
      </c>
    </row>
    <row r="542" ht="14.55" customHeight="1">
      <c r="A542" s="107"/>
      <c r="B542" s="108"/>
      <c r="C542" t="s" s="213">
        <v>56</v>
      </c>
      <c r="D542" s="110"/>
      <c r="E542" s="111"/>
      <c r="F542" s="113"/>
      <c r="G542" s="214"/>
      <c r="H542" s="114"/>
      <c r="I542" t="s" s="215">
        <v>67</v>
      </c>
      <c r="J542" s="296">
        <f>IF(OR(I541="TO",I541="TU",I541="TO1",I541="TU1",I541="TO2",I541="TU2"),J541,IF(OR(I541="AH1",I541="AH2"),IF(OR(I542="AH1",I542="AH2"),-J541,IF(OR(I542="EH1",I542="EH2"),-J541+0.5,"")),IF(OR(I541="EH1",I541="EH2"),IF(OR(I542="AH1",I542="AH2"),-J541+0.5,IF(OR(I542="EH1",I542="EH2"),-J541+1,"")),IF(AND(OR(I541="DNB1",I541="DNB2"),OR(I542="AH1",I542="AH2")),0,IF(AND(I541="Not ScoreBoth",OR(I542="TO1",I542="TO2")),0.5,"")))))</f>
        <v>3.5</v>
      </c>
      <c r="K542" t="s" s="217">
        <v>44</v>
      </c>
      <c r="L542" s="218">
        <v>1.591</v>
      </c>
      <c r="M542" s="219"/>
      <c r="N542" s="120"/>
      <c r="O542" s="220">
        <f>IF(OR(AE541="",AE542=""),"",ROUND(IF(L543&gt;0,IF(M542&gt;0,M542,IF(M541&gt;0,IF(N541=TRUE,ROUND((M541*AE542)/AE541,0),(M541*AE542)/AE541),IF(M542&gt;0,ROUND(M542,IF(N541=0,2,IF(N541=0.1,1,0))),IF(M543&gt;0,ROUND(O543*AE542/AE543,IF(N541=0,2,IF(N541=0.1,1,0))),0)))),IF(M542&gt;0,M542,ROUND((M541*AE542)/AE541,IF(N541=0,2,IF(N541=0.1,1,0))))),2))</f>
        <v>13.36</v>
      </c>
      <c r="P542" s="221">
        <f>IF(OR(L542="",O542=""),"",IF($C542="1/2W",O542/2+O542/2*L542,IF($C542="1/2L",O542/2,IF(I542="Lay",((O542*(L542/(L542-1)))-O542)*(1-_xlfn.XLOOKUP(K542,'Janeiro 2023 - Valor Real'!A3:A15,'Janeiro 2023 - Valor Real'!C3:C15,0))+O542,(O542*L542-O542)*(1-_xlfn.XLOOKUP(K542,'Janeiro 2023 - Valor Real'!A3:A15,'Janeiro 2023 - Valor Real'!C3:C15,0))+O542))))</f>
        <v>21.25576</v>
      </c>
      <c r="Q542" s="222">
        <f>IF(K542="","",IF(_xlfn.XLOOKUP(K542,K$123:K315,DJ$123:DJ315,0,,-1)=DJ542,_xlfn.XLOOKUP(K542,K$123:K315,Q$123:Q315,1,,-1)+1,1))</f>
        <v>1</v>
      </c>
      <c r="R542" s="223">
        <f>IF(K542="","",_xlfn.XLOOKUP(K542,K$123:K315,R$123:R315,0,,-1)+IF($C542=" ",1,0))</f>
        <v>0</v>
      </c>
      <c r="S542" s="125"/>
      <c r="T542" s="126"/>
      <c r="U542" s="126"/>
      <c r="V542" s="224"/>
      <c r="W542" s="126"/>
      <c r="X542" s="127"/>
      <c r="Y542" s="128"/>
      <c r="Z542" s="129"/>
      <c r="AA542" s="129"/>
      <c r="AB542" s="129"/>
      <c r="AC542" s="129"/>
      <c r="AD542" s="225">
        <f>(((L542/(L542-1)-1)*(1-_xlfn.XLOOKUP(K542,'Janeiro 2023 - Valor Real'!A3:A15,'Janeiro 2023 - Valor Real'!C3:C15,0))+1))</f>
        <v>2.69204737732657</v>
      </c>
      <c r="AE542" s="226">
        <f>IF(L542="","",IF(L543&gt;0,(SUM(((L541-1)*(1-_xlfn.XLOOKUP(K541,'Janeiro 2023 - Valor Real'!A3:A15,'Janeiro 2023 - Valor Real'!C3:C15,0))+1),((L542-1)*(1-_xlfn.XLOOKUP(K542,'Janeiro 2023 - Valor Real'!A3:A15,'Janeiro 2023 - Valor Real'!C3:C15,0))+1),((L543-1)*(1-_xlfn.XLOOKUP(K543,'Janeiro 2023 - Valor Real'!A3:A15,'Janeiro 2023 - Valor Real'!C3:C15,0))+1))/((L542-1)*(1-_xlfn.XLOOKUP(K542,'Janeiro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Real'!C3:C15,0))+1))/((L541-1)*(1-_xlfn.XLOOKUP(K541,'Janeiro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Real'!C3:C15,0))+1))/((L542-1)*(1-_xlfn.XLOOKUP(K542,'Janeiro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Real'!C3:C15,0))+1))/((L543-1)*(1-_xlfn.XLOOKUP(K543,'Janeiro 2023 - Valor Real'!A3:A15,'Janeiro 2023 - Valor Real'!C3:C15,0))+1)),IF(I542="Lay",IF(I541="Lay",((L541/(L541-1)-1)*(1-_xlfn.XLOOKUP(K541,'Janeiro 2023 - Valor Real'!A3:A15,'Janeiro 2023 - Valor Real'!C3:C15,0))+1)/(((L541/(L541-1)-1)*(1-_xlfn.XLOOKUP(K541,'Janeiro 2023 - Valor Real'!A3:A15,'Janeiro 2023 - Valor Real'!C3:C15,0))+1)+((L542/(L542-1)-1)*(1-_xlfn.XLOOKUP(K542,'Janeiro 2023 - Valor Real'!A3:A15,'Janeiro 2023 - Valor Real'!C3:C15,0))+1)),((L541-1)*(1-_xlfn.XLOOKUP(K541,'Janeiro 2023 - Valor Real'!A3:A15,'Janeiro 2023 - Valor Real'!C3:C15,0))+1)/(((L541-1)*(1-_xlfn.XLOOKUP(K541,'Janeiro 2023 - Valor Real'!A3:A15,'Janeiro 2023 - Valor Real'!C3:C15,0))+1)+((L542/(L542-1)-1)*(1-_xlfn.XLOOKUP(K542,'Janeiro 2023 - Valor Real'!A3:A15,'Janeiro 2023 - Valor Real'!C3:C15,0))+1))),IF(I541="Lay",((L541/(L541-1)-1)*(1-_xlfn.XLOOKUP(K541,'Janeiro 2023 - Valor Real'!A3:A15,'Janeiro 2023 - Valor Real'!C3:C15,0))+1)/((((L541/(L541-1)-1)*(1-_xlfn.XLOOKUP(K541,'Janeiro 2023 - Valor Real'!A3:A15,'Janeiro 2023 - Valor Real'!C3:C15,0))+1))+((L542-1)*(1-_xlfn.XLOOKUP(K542,'Janeiro 2023 - Valor Real'!A3:A15,'Janeiro 2023 - Valor Real'!C3:C15,0))+1)),((L541-1)*(1-_xlfn.XLOOKUP(K541,'Janeiro 2023 - Valor Real'!A3:A15,'Janeiro 2023 - Valor Real'!C3:C15,0))+1)/(((L541-1)*(1-_xlfn.XLOOKUP(K541,'Janeiro 2023 - Valor Real'!A3:A15,'Janeiro 2023 - Valor Real'!C3:C15,0))+1)+((L542-1)*(1-_xlfn.XLOOKUP(K542,'Janeiro 2023 - Valor Real'!A3:A15,'Janeiro 2023 - Valor Real'!C3:C15,0))+1))))))</f>
        <v>0.667919014819453</v>
      </c>
      <c r="AF542" s="197">
        <f>IF($K542=AF$3,ROUND(IF(OR($C542="W",$C542="1/2W",$C542="1/2L"),$P542-$O542,IF($C542="X",0,-$O542)),2),0)</f>
        <v>0</v>
      </c>
      <c r="AG542" s="198">
        <f>IF($K542=AG$3,ROUND(IF(OR($C542="W",$C542="1/2W",$C542="1/2L"),$P542-$O542,IF($C542="X",0,-$O542)),2),0)</f>
        <v>0</v>
      </c>
      <c r="AH542" s="198">
        <f>IF($K542=AH$3,ROUND(IF(OR($C542="W",$C542="1/2W",$C542="1/2L"),$P542-$O542,IF($C542="X",0,-$O542)),2),0)</f>
        <v>0</v>
      </c>
      <c r="AI542" s="198">
        <f>IF($K542=AI$3,ROUND(IF(OR($C542="W",$C542="1/2W",$C542="1/2L"),$P542-$O542,IF($C542="X",0,-$O542)),2),0)</f>
        <v>0</v>
      </c>
      <c r="AJ542" s="198">
        <f>IF($K542=AJ$3,ROUND(IF(OR($C542="W",$C542="1/2W",$C542="1/2L"),$P542-$O542,IF($C542="X",0,-$O542)),2),0)</f>
        <v>0</v>
      </c>
      <c r="AK542" s="198">
        <f>IF($K542=AK$3,ROUND(IF(OR($C542="W",$C542="1/2W",$C542="1/2L"),$P542-$O542,IF($C542="X",0,-$O542)),2),0)</f>
        <v>0</v>
      </c>
      <c r="AL542" s="198">
        <f>IF($K542=AL$3,ROUND(IF(OR($C542="W",$C542="1/2W",$C542="1/2L"),$P542-$O542,IF($C542="X",0,-$O542)),2),0)</f>
        <v>0</v>
      </c>
      <c r="AM542" s="198">
        <f>IF($K542=AM$3,ROUND(IF(OR($C542="W",$C542="1/2W",$C542="1/2L"),$P542-$O542,IF($C542="X",0,-$O542)),2),0)</f>
        <v>7.9</v>
      </c>
      <c r="AN542" s="198">
        <f>IF($K542=AN$3,ROUND(IF(OR($C542="W",$C542="1/2W",$C542="1/2L"),$P542-$O542,IF($C542="X",0,-$O542)),2),0)</f>
        <v>0</v>
      </c>
      <c r="AO542" s="198">
        <f>IF($K542=AO$3,ROUND(IF(OR($C542="W",$C542="1/2W",$C542="1/2L"),$P542-$O542,IF($C542="X",0,-$O542)),2),0)</f>
        <v>0</v>
      </c>
      <c r="AP542" s="198">
        <f>IF($K542=AP$3,ROUND(IF(OR($C542="W",$C542="1/2W",$C542="1/2L"),$P542-$O542,IF($C542="X",0,-$O542)),2),0)</f>
        <v>0</v>
      </c>
      <c r="AQ542" s="198">
        <f>IF($K542=AQ$3,ROUND(IF(OR($C542="W",$C542="1/2W",$C542="1/2L"),$P542-$O542,IF($C542="X",0,-$O542)),2),0)</f>
        <v>0</v>
      </c>
      <c r="AR542" s="199">
        <f>IF($K542=AR$3,ROUND(IF(OR($C542="W",$C542="1/2W",$C542="1/2L"),$P542-$O542,IF($C542="X",0,-$O542)),2),0)</f>
        <v>0</v>
      </c>
      <c r="AS542" s="197">
        <f>IF(AND($B541=" ",$K542=AS$3),$O542,0)</f>
        <v>0</v>
      </c>
      <c r="AT542" s="198">
        <f>IF(AND($B541=" ",K542=AT$3),$O542,0)</f>
        <v>0</v>
      </c>
      <c r="AU542" s="198">
        <f>IF(AND($B541=" ",$K542=AU$3),$O542,0)</f>
        <v>0</v>
      </c>
      <c r="AV542" s="198">
        <f>IF(AND($B541=" ",$K542=AV$3),$O542,0)</f>
        <v>0</v>
      </c>
      <c r="AW542" s="198">
        <f>IF(AND($B541=" ",$K542=AW$3),$O542,0)</f>
        <v>0</v>
      </c>
      <c r="AX542" s="198">
        <f>IF(AND($B541=" ",$K542=AX$3),$O542,0)</f>
        <v>0</v>
      </c>
      <c r="AY542" s="200">
        <f>IF(AND($B541=" ",$K542=AY$3),$O542,0)</f>
        <v>0</v>
      </c>
      <c r="AZ542" s="201">
        <f>IF(AND($B541=" ",$K542=AZ$3),$O542,0)</f>
        <v>0</v>
      </c>
      <c r="BA542" s="201">
        <f>IF(AND($B541=" ",$K542=BA$3),$O542,0)</f>
        <v>0</v>
      </c>
      <c r="BB542" s="201">
        <f>IF(AND($B541=" ",$K542=BB$3),$O542,0)</f>
        <v>0</v>
      </c>
      <c r="BC542" s="202">
        <f>IF(AND($B541=" ",$K542=BC$3),$O542,0)</f>
        <v>0</v>
      </c>
      <c r="BD542" s="198">
        <f>IF(AND($B541=" ",$K542=BD$3),$O542,0)</f>
        <v>0</v>
      </c>
      <c r="BE542" s="199">
        <f>IF(AND($B541=" ",$K542=BE$3),$O542,0)</f>
        <v>0</v>
      </c>
      <c r="BF542" s="197">
        <f>IF($K542=BF$3,IF($C542="X",0,$O542),0)</f>
        <v>0</v>
      </c>
      <c r="BG542" s="198">
        <f>IF($K542=BG$3,IF($C542="X",0,$O542),0)</f>
        <v>0</v>
      </c>
      <c r="BH542" s="198">
        <f>IF($K542=BH$3,IF($C542="X",0,$O542),0)</f>
        <v>0</v>
      </c>
      <c r="BI542" s="198">
        <f>IF($K542=BI$3,IF($C542="X",0,$O542),0)</f>
        <v>0</v>
      </c>
      <c r="BJ542" s="198">
        <f>IF($K542=BJ$3,IF($C542="X",0,$O542),0)</f>
        <v>0</v>
      </c>
      <c r="BK542" s="198">
        <f>IF($K542=BK$3,IF($C542="X",0,$O542),0)</f>
        <v>0</v>
      </c>
      <c r="BL542" s="198">
        <f>IF($K542=BL$3,IF($C542="X",0,$O542),0)</f>
        <v>0</v>
      </c>
      <c r="BM542" s="227">
        <f>IF($K542=BM$3,IF($C542="X",0,$O542),0)</f>
        <v>13.36</v>
      </c>
      <c r="BN542" s="205">
        <f>IF($K542=BN$3,IF($C542="X",0,$O542),0)</f>
        <v>0</v>
      </c>
      <c r="BO542" s="205">
        <f>IF($K542=BO$3,IF($C542="X",0,$O542),0)</f>
        <v>0</v>
      </c>
      <c r="BP542" s="205">
        <f>IF($K542=BP$3,IF($C542="X",0,$O542),0)</f>
        <v>0</v>
      </c>
      <c r="BQ542" s="202">
        <f>IF($K542=BQ$3,IF($C542="X",0,$O542),0)</f>
        <v>0</v>
      </c>
      <c r="BR542" s="199">
        <f>IF($K542=BR$3,IF($C542="X",0,$O542),0)</f>
        <v>0</v>
      </c>
      <c r="BS542" s="228"/>
      <c r="BT542" s="229"/>
      <c r="BU542" s="140"/>
      <c r="BV542" s="229"/>
      <c r="BW542" s="140"/>
      <c r="BX542" s="140"/>
      <c r="BY542" s="140"/>
      <c r="BZ542" s="229"/>
      <c r="CA542" s="140"/>
      <c r="CB542" s="140"/>
      <c r="CC542" s="140"/>
      <c r="CD542" s="141"/>
      <c r="CE542" s="142"/>
      <c r="CF542" s="230">
        <f>IF(CF$3=$K542,IF($C542="W",1,IF($C542="1/2W",0.5,0)),0)</f>
        <v>0</v>
      </c>
      <c r="CG542" s="231">
        <f>IF(CF$3=$K542,IF($C542="L",1,IF($C542="1/2L",0.5,0)),0)</f>
        <v>0</v>
      </c>
      <c r="CH542" s="231">
        <f>IF(CH$3=$K542,IF($C542="W",1,IF($C542="1/2W",0.5,0)),0)</f>
        <v>0</v>
      </c>
      <c r="CI542" s="231">
        <f>IF(CH$3=$K542,IF($C542="L",1,IF($C542="1/2L",0.5,0)),0)</f>
        <v>0</v>
      </c>
      <c r="CJ542" s="231">
        <f>IF(CJ$3=$K542,IF($C542="W",1,IF($C542="1/2W",0.5,0)),0)</f>
        <v>0</v>
      </c>
      <c r="CK542" s="231">
        <f>IF(CJ$3=$K542,IF($C542="L",1,IF($C542="1/2L",0.5,0)),0)</f>
        <v>0</v>
      </c>
      <c r="CL542" s="231">
        <f>IF(CL$3=$K542,IF($C542="W",1,IF($C542="1/2W",0.5,0)),0)</f>
        <v>0</v>
      </c>
      <c r="CM542" s="231">
        <f>IF(CL$3=$K542,IF($C542="L",1,IF($C542="1/2L",0.5,0)),0)</f>
        <v>0</v>
      </c>
      <c r="CN542" s="231">
        <f>IF(CN$3=$K542,IF($C542="W",1,IF($C542="1/2W",0.5,0)),0)</f>
        <v>0</v>
      </c>
      <c r="CO542" s="231">
        <f>IF(CN$3=$K542,IF($C542="L",1,IF($C542="1/2L",0.5,0)),0)</f>
        <v>0</v>
      </c>
      <c r="CP542" s="231">
        <f>IF(CP$3=$K542,IF($C542="W",1,IF($C542="1/2W",0.5,0)),0)</f>
        <v>0</v>
      </c>
      <c r="CQ542" s="231">
        <f>IF(CP$3=$K542,IF($C542="L",1,IF($C542="1/2L",0.5,0)),0)</f>
        <v>0</v>
      </c>
      <c r="CR542" s="231">
        <f>IF(CR$3=$K542,IF($C542="W",1,IF($C542="1/2W",0.5,0)),0)</f>
        <v>0</v>
      </c>
      <c r="CS542" s="231">
        <f>IF(CR$3=$K542,IF($C542="L",1,IF($C542="1/2L",0.5,0)),0)</f>
        <v>0</v>
      </c>
      <c r="CT542" s="208">
        <f>IF(CT$3=$K542,IF($C542="W",1,IF($C542="1/2W",0.5,0)),0)</f>
        <v>1</v>
      </c>
      <c r="CU542" s="209">
        <f>IF(CT$3=$K542,IF($C542="L",1,IF($C542="1/2L",0.5,0)),0)</f>
        <v>0</v>
      </c>
      <c r="CV542" s="209">
        <f>IF(CV$3=$K542,IF($C542="W",1,IF($C542="1/2W",0.5,0)),0)</f>
        <v>0</v>
      </c>
      <c r="CW542" s="209">
        <f>IF(CV$3=$K542,IF($C542="L",1,IF($C542="1/2L",0.5,0)),0)</f>
        <v>0</v>
      </c>
      <c r="CX542" s="209">
        <f>IF(CX$3=$K542,IF($C542="W",1,IF($C542="1/2W",0.5,0)),0)</f>
        <v>0</v>
      </c>
      <c r="CY542" s="209">
        <f>IF(CX$3=$K542,IF($C542="L",1,IF($C542="1/2L",0.5,0)),0)</f>
        <v>0</v>
      </c>
      <c r="CZ542" s="209">
        <f>IF(CZ$3=$K542,IF($C542="W",1,IF($C542="1/2W",0.5,0)),0)</f>
        <v>0</v>
      </c>
      <c r="DA542" s="209">
        <f>IF(CZ$3=$K542,IF($C542="L",1,IF($C542="1/2L",0.5,0)),0)</f>
        <v>0</v>
      </c>
      <c r="DB542" s="209">
        <f>IF(DB$3=$K542,IF($C542="W",1,IF($C542="1/2W",0.5,0)),0)</f>
        <v>0</v>
      </c>
      <c r="DC542" s="209">
        <f>IF(DB$3=$K542,IF($C542="L",1,IF($C542="1/2L",0.5,0)),0)</f>
        <v>0</v>
      </c>
      <c r="DD542" s="209">
        <f>IF(DD$3=$K542,IF($C542="W",1,IF($C542="1/2W",0.5,0)),0)</f>
        <v>0</v>
      </c>
      <c r="DE542" s="210">
        <f>IF(DD$3=$K542,IF($C542="L",1,IF($C542="1/2L",0.5,0)),0)</f>
        <v>0</v>
      </c>
      <c r="DF542" s="211">
        <f>IF(AND(L542&lt;DF$3,$C542="W"),1+DF541,DF541)</f>
        <v>16</v>
      </c>
      <c r="DG542" s="198">
        <f>IF(DF542&gt;DF541,L542+DG541,DG541)</f>
        <v>21.158</v>
      </c>
      <c r="DH542" s="209">
        <f>IF(AND(L542&gt;DH$3,$C542="W"),1+DH541,0+DH541)</f>
        <v>14</v>
      </c>
      <c r="DI542" s="198">
        <f>IF(DH542&gt;DH541,L542+DI541,DI541)</f>
        <v>77.43000000000001</v>
      </c>
      <c r="DJ542" t="s" s="306">
        <f>IF($D541="","",$D541)</f>
        <v>396</v>
      </c>
      <c r="DK542" s="232"/>
    </row>
    <row r="543" ht="14.55" customHeight="1">
      <c r="A543" s="149"/>
      <c r="B543" s="150"/>
      <c r="C543" t="s" s="233">
        <v>58</v>
      </c>
      <c r="D543" s="152"/>
      <c r="E543" s="153"/>
      <c r="F543" s="155"/>
      <c r="G543" s="234"/>
      <c r="H543" s="156"/>
      <c r="I543" s="235"/>
      <c r="J543" s="236"/>
      <c r="K543" s="237"/>
      <c r="L543" s="238"/>
      <c r="M543" s="239"/>
      <c r="N543" s="161"/>
      <c r="O543" t="s" s="240">
        <f>IF(OR(AE541="",AE542=""),"",IF(L543&gt;0,ROUND(IF(M543&gt;0,M543,IF(M541&gt;0,ROUND((M541*AE543)/AE541,IF(N541=0,2,IF(N541=0.1,1,0))),IF(M542&gt;0,ROUND((M542*AE543)/AE542,IF(N541=0,2,IF(N541=0.1,1,0))),IF(M543&gt;0,M543,0)))),2),""))</f>
      </c>
      <c r="P543" t="s" s="241">
        <f>IF(I542="Lay",O542*(L542/(L542-1))-O542,IF(I541="Lay",O541*(L541/(L541-1))-O541,IF(OR(L543="",O543=""),"",IF($C543="1/2W",O543/2+O543/2*L543,IF($C543="1/2L",O543/2,(O543*L543-O543)*(1-_xlfn.XLOOKUP(K543,'Janeiro 2023 - Valor Real'!A3:A15,'Janeiro 2023 - Valor Real'!C3:C15,0))+O543)))))</f>
      </c>
      <c r="Q543" t="s" s="242">
        <f>IF(K543="","",IF(_xlfn.XLOOKUP(K543,K$124:K316,DJ$124:DJ316,0,,-1)=DJ543,_xlfn.XLOOKUP(K543,K$124:K316,Q$124:Q316,1,,-1)+1,1))</f>
      </c>
      <c r="R543" t="s" s="243">
        <f>IF(K543="","",_xlfn.XLOOKUP(K543,K$124:K316,R$124:R316,0,,-1)+IF($C543=" ",1,0))</f>
      </c>
      <c r="S543" s="166"/>
      <c r="T543" s="155"/>
      <c r="U543" s="155"/>
      <c r="V543" s="166"/>
      <c r="W543" s="155"/>
      <c r="X543" s="167"/>
      <c r="Y543" s="128"/>
      <c r="Z543" s="129"/>
      <c r="AA543" s="129"/>
      <c r="AB543" s="129"/>
      <c r="AC543" s="129"/>
      <c r="AD543" s="244">
        <f>((L542/(L542-1)-1))</f>
        <v>1.69204737732657</v>
      </c>
      <c r="AE543" t="s" s="245">
        <f>IF(L543="","",(SUM(((L541-1)*(1-_xlfn.XLOOKUP(K541,'Janeiro 2023 - Valor Real'!A3:A15,'Janeiro 2023 - Valor Real'!C3:C15,0))+1),((L542-1)*(1-_xlfn.XLOOKUP(K542,'Janeiro 2023 - Valor Real'!A3:A15,'Janeiro 2023 - Valor Real'!C3:C15,0))+1),((L543-1)*(1-_xlfn.XLOOKUP(K543,'Janeiro 2023 - Valor Real'!A3:A15,'Janeiro 2023 - Valor Real'!C3:C15,0))+1))/((L543-1)*(1-_xlfn.XLOOKUP(K543,'Janeiro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Real'!C3:C15,0))+1))/((L541-1)*(1-_xlfn.XLOOKUP(K541,'Janeiro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Real'!C3:C15,0))+1))/((L542-1)*(1-_xlfn.XLOOKUP(K542,'Janeiro 2023 - Valor Real'!A3:A15,'Janeiro 2023 - Valor Real'!C3:C15,0))+1)+SUM(((L541-1)*(1-_xlfn.XLOOKUP(K541,'Janeiro 2023 - Valor Real'!A3:A15,'Janeiro 2023 - Valor Real'!C3:C15,0))+1),((L542-1)*(1-_xlfn.XLOOKUP(K542,'Janeiro 2023 - Valor Real'!A3:A15,'Janeiro 2023 - Valor Real'!C3:C15,0))+1),((L543-1)*(1-_xlfn.XLOOKUP(K543,'Janeiro 2023 - Valor Real'!A3:A15,'Janeiro 2023 - Valor Real'!C3:C15,0))+1))/((L543-1)*(1-_xlfn.XLOOKUP(K543,'Janeiro 2023 - Valor Real'!A3:A15,'Janeiro 2023 - Valor Real'!C3:C15,0))+1)))</f>
      </c>
      <c r="AF543" s="197">
        <f>IF($K543=AF$3,ROUND(IF(OR($C543="W",$C543="1/2W",$C543="1/2L"),$P543-$O543,IF($C543="X",0,-$O543)),2),0)</f>
        <v>0</v>
      </c>
      <c r="AG543" s="198">
        <f>IF($K543=AG$3,ROUND(IF(OR($C543="W",$C543="1/2W",$C543="1/2L"),$P543-$O543,IF($C543="X",0,-$O543)),2),0)</f>
        <v>0</v>
      </c>
      <c r="AH543" s="198">
        <f>IF($K543=AH$3,ROUND(IF(OR($C543="W",$C543="1/2W",$C543="1/2L"),$P543-$O543,IF($C543="X",0,-$O543)),2),0)</f>
        <v>0</v>
      </c>
      <c r="AI543" s="198">
        <f>IF($K543=AI$3,ROUND(IF(OR($C543="W",$C543="1/2W",$C543="1/2L"),$P543-$O543,IF($C543="X",0,-$O543)),2),0)</f>
        <v>0</v>
      </c>
      <c r="AJ543" s="198">
        <f>IF($K543=AJ$3,ROUND(IF(OR($C543="W",$C543="1/2W",$C543="1/2L"),$P543-$O543,IF($C543="X",0,-$O543)),2),0)</f>
        <v>0</v>
      </c>
      <c r="AK543" s="198">
        <f>IF($K543=AK$3,ROUND(IF(OR($C543="W",$C543="1/2W",$C543="1/2L"),$P543-$O543,IF($C543="X",0,-$O543)),2),0)</f>
        <v>0</v>
      </c>
      <c r="AL543" s="198">
        <f>IF($K543=AL$3,ROUND(IF(OR($C543="W",$C543="1/2W",$C543="1/2L"),$P543-$O543,IF($C543="X",0,-$O543)),2),0)</f>
        <v>0</v>
      </c>
      <c r="AM543" s="198">
        <f>IF($K543=AM$3,ROUND(IF(OR($C543="W",$C543="1/2W",$C543="1/2L"),$P543-$O543,IF($C543="X",0,-$O543)),2),0)</f>
        <v>0</v>
      </c>
      <c r="AN543" s="198">
        <f>IF($K543=AN$3,ROUND(IF(OR($C543="W",$C543="1/2W",$C543="1/2L"),$P543-$O543,IF($C543="X",0,-$O543)),2),0)</f>
        <v>0</v>
      </c>
      <c r="AO543" s="198">
        <f>IF($K543=AO$3,ROUND(IF(OR($C543="W",$C543="1/2W",$C543="1/2L"),$P543-$O543,IF($C543="X",0,-$O543)),2),0)</f>
        <v>0</v>
      </c>
      <c r="AP543" s="198">
        <f>IF($K543=AP$3,ROUND(IF(OR($C543="W",$C543="1/2W",$C543="1/2L"),$P543-$O543,IF($C543="X",0,-$O543)),2),0)</f>
        <v>0</v>
      </c>
      <c r="AQ543" s="198">
        <f>IF($K543=AQ$3,ROUND(IF(OR($C543="W",$C543="1/2W",$C543="1/2L"),$P543-$O543,IF($C543="X",0,-$O543)),2),0)</f>
        <v>0</v>
      </c>
      <c r="AR543" s="199">
        <f>IF($K543=AR$3,ROUND(IF(OR($C543="W",$C543="1/2W",$C543="1/2L"),$P543-$O543,IF($C543="X",0,-$O543)),2),0)</f>
        <v>0</v>
      </c>
      <c r="AS543" s="197">
        <f>IF(AND($B541=" ",$K543=AS$3),$O543,0)</f>
        <v>0</v>
      </c>
      <c r="AT543" s="198">
        <f>IF(AND($B541=" ",K543=AT$3),$O543,0)</f>
        <v>0</v>
      </c>
      <c r="AU543" s="198">
        <f>IF(AND($B541=" ",$K543=AU$3),$O543,0)</f>
        <v>0</v>
      </c>
      <c r="AV543" s="198">
        <f>IF(AND($B541=" ",$K543=AV$3),$O543,0)</f>
        <v>0</v>
      </c>
      <c r="AW543" s="198">
        <f>IF(AND($B541=" ",$K543=AW$3),$O543,0)</f>
        <v>0</v>
      </c>
      <c r="AX543" s="198">
        <f>IF(AND($B541=" ",$K543=AX$3),$O543,0)</f>
        <v>0</v>
      </c>
      <c r="AY543" s="200">
        <f>IF(AND($B541=" ",$K543=AY$3),$O543,0)</f>
        <v>0</v>
      </c>
      <c r="AZ543" s="201">
        <f>IF(AND($B541=" ",$K543=AZ$3),$O543,0)</f>
        <v>0</v>
      </c>
      <c r="BA543" s="201">
        <f>IF(AND($B541=" ",$K543=BA$3),$O543,0)</f>
        <v>0</v>
      </c>
      <c r="BB543" s="201">
        <f>IF(AND($B541=" ",$K543=BB$3),$O543,0)</f>
        <v>0</v>
      </c>
      <c r="BC543" s="202">
        <f>IF(AND($B541=" ",$K543=BC$3),$O543,0)</f>
        <v>0</v>
      </c>
      <c r="BD543" s="198">
        <f>IF(AND($B541=" ",$K543=BD$3),$O543,0)</f>
        <v>0</v>
      </c>
      <c r="BE543" s="199">
        <f>IF(AND($B541=" ",$K543=BE$3),$O543,0)</f>
        <v>0</v>
      </c>
      <c r="BF543" s="197">
        <f>IF($K543=BF$3,IF($C543="X",0,$O543),0)</f>
        <v>0</v>
      </c>
      <c r="BG543" s="198">
        <f>IF($K543=BG$3,IF($C543="X",0,$O543),0)</f>
        <v>0</v>
      </c>
      <c r="BH543" s="198">
        <f>IF($K543=BH$3,IF($C543="X",0,$O543),0)</f>
        <v>0</v>
      </c>
      <c r="BI543" s="198">
        <f>IF($K543=BI$3,IF($C543="X",0,$O543),0)</f>
        <v>0</v>
      </c>
      <c r="BJ543" s="198">
        <f>IF($K543=BJ$3,IF($C543="X",0,$O543),0)</f>
        <v>0</v>
      </c>
      <c r="BK543" s="198">
        <f>IF($K543=BK$3,IF($C543="X",0,$O543),0)</f>
        <v>0</v>
      </c>
      <c r="BL543" s="198">
        <f>IF($K543=BL$3,IF($C543="X",0,$O543),0)</f>
        <v>0</v>
      </c>
      <c r="BM543" s="200">
        <f>IF($K543=BM$3,IF($C543="X",0,$O543),0)</f>
        <v>0</v>
      </c>
      <c r="BN543" s="201">
        <f>IF($K543=BN$3,IF($C543="X",0,$O543),0)</f>
        <v>0</v>
      </c>
      <c r="BO543" s="201">
        <f>IF($K543=BO$3,IF($C543="X",0,$O543),0)</f>
        <v>0</v>
      </c>
      <c r="BP543" s="201">
        <f>IF($K543=BP$3,IF($C543="X",0,$O543),0)</f>
        <v>0</v>
      </c>
      <c r="BQ543" s="202">
        <f>IF($K543=BQ$3,IF($C543="X",0,$O543),0)</f>
        <v>0</v>
      </c>
      <c r="BR543" s="199">
        <f>IF($K543=BR$3,IF($C543="X",0,$O543),0)</f>
        <v>0</v>
      </c>
      <c r="BS543" s="228"/>
      <c r="BT543" s="229"/>
      <c r="BU543" s="140"/>
      <c r="BV543" s="229"/>
      <c r="BW543" s="140"/>
      <c r="BX543" s="140"/>
      <c r="BY543" s="140"/>
      <c r="BZ543" s="229"/>
      <c r="CA543" s="140"/>
      <c r="CB543" s="140"/>
      <c r="CC543" s="140"/>
      <c r="CD543" s="141"/>
      <c r="CE543" s="142"/>
      <c r="CF543" s="230">
        <f>IF(CF$3=$K543,IF($C543="W",1,IF($C543="1/2W",0.5,0)),0)</f>
        <v>0</v>
      </c>
      <c r="CG543" s="231">
        <f>IF(CF$3=$K543,IF($C543="L",1,IF($C543="1/2L",0.5,0)),0)</f>
        <v>0</v>
      </c>
      <c r="CH543" s="231">
        <f>IF(CH$3=$K543,IF($C543="W",1,IF($C543="1/2W",0.5,0)),0)</f>
        <v>0</v>
      </c>
      <c r="CI543" s="231">
        <f>IF(CH$3=$K543,IF($C543="L",1,IF($C543="1/2L",0.5,0)),0)</f>
        <v>0</v>
      </c>
      <c r="CJ543" s="231">
        <f>IF(CJ$3=$K543,IF($C543="W",1,IF($C543="1/2W",0.5,0)),0)</f>
        <v>0</v>
      </c>
      <c r="CK543" s="231">
        <f>IF(CJ$3=$K543,IF($C543="L",1,IF($C543="1/2L",0.5,0)),0)</f>
        <v>0</v>
      </c>
      <c r="CL543" s="231">
        <f>IF(CL$3=$K543,IF($C543="W",1,IF($C543="1/2W",0.5,0)),0)</f>
        <v>0</v>
      </c>
      <c r="CM543" s="231">
        <f>IF(CL$3=$K543,IF($C543="L",1,IF($C543="1/2L",0.5,0)),0)</f>
        <v>0</v>
      </c>
      <c r="CN543" s="231">
        <f>IF(CN$3=$K543,IF($C543="W",1,IF($C543="1/2W",0.5,0)),0)</f>
        <v>0</v>
      </c>
      <c r="CO543" s="231">
        <f>IF(CN$3=$K543,IF($C543="L",1,IF($C543="1/2L",0.5,0)),0)</f>
        <v>0</v>
      </c>
      <c r="CP543" s="231">
        <f>IF(CP$3=$K543,IF($C543="W",1,IF($C543="1/2W",0.5,0)),0)</f>
        <v>0</v>
      </c>
      <c r="CQ543" s="231">
        <f>IF(CP$3=$K543,IF($C543="L",1,IF($C543="1/2L",0.5,0)),0)</f>
        <v>0</v>
      </c>
      <c r="CR543" s="231">
        <f>IF(CR$3=$K543,IF($C543="W",1,IF($C543="1/2W",0.5,0)),0)</f>
        <v>0</v>
      </c>
      <c r="CS543" s="231">
        <f>IF(CR$3=$K543,IF($C543="L",1,IF($C543="1/2L",0.5,0)),0)</f>
        <v>0</v>
      </c>
      <c r="CT543" s="208">
        <f>IF(CT$3=$K543,IF($C543="W",1,IF($C543="1/2W",0.5,0)),0)</f>
        <v>0</v>
      </c>
      <c r="CU543" s="209">
        <f>IF(CT$3=$K543,IF($C543="L",1,IF($C543="1/2L",0.5,0)),0)</f>
        <v>0</v>
      </c>
      <c r="CV543" s="209">
        <f>IF(CV$3=$K543,IF($C543="W",1,IF($C543="1/2W",0.5,0)),0)</f>
        <v>0</v>
      </c>
      <c r="CW543" s="209">
        <f>IF(CV$3=$K543,IF($C543="L",1,IF($C543="1/2L",0.5,0)),0)</f>
        <v>0</v>
      </c>
      <c r="CX543" s="209">
        <f>IF(CX$3=$K543,IF($C543="W",1,IF($C543="1/2W",0.5,0)),0)</f>
        <v>0</v>
      </c>
      <c r="CY543" s="209">
        <f>IF(CX$3=$K543,IF($C543="L",1,IF($C543="1/2L",0.5,0)),0)</f>
        <v>0</v>
      </c>
      <c r="CZ543" s="209">
        <f>IF(CZ$3=$K543,IF($C543="W",1,IF($C543="1/2W",0.5,0)),0)</f>
        <v>0</v>
      </c>
      <c r="DA543" s="209">
        <f>IF(CZ$3=$K543,IF($C543="L",1,IF($C543="1/2L",0.5,0)),0)</f>
        <v>0</v>
      </c>
      <c r="DB543" s="209">
        <f>IF(DB$3=$K543,IF($C543="W",1,IF($C543="1/2W",0.5,0)),0)</f>
        <v>0</v>
      </c>
      <c r="DC543" s="209">
        <f>IF(DB$3=$K543,IF($C543="L",1,IF($C543="1/2L",0.5,0)),0)</f>
        <v>0</v>
      </c>
      <c r="DD543" s="209">
        <f>IF(DD$3=$K543,IF($C543="W",1,IF($C543="1/2W",0.5,0)),0)</f>
        <v>0</v>
      </c>
      <c r="DE543" s="210">
        <f>IF(DD$3=$K543,IF($C543="L",1,IF($C543="1/2L",0.5,0)),0)</f>
        <v>0</v>
      </c>
      <c r="DF543" s="211">
        <f>IF(AND(L543&lt;DF$3,$C543="W"),1+DF542,DF542)</f>
        <v>16</v>
      </c>
      <c r="DG543" s="198">
        <f>IF(DF543&gt;DF542,L543+DG542,DG542)</f>
        <v>21.158</v>
      </c>
      <c r="DH543" s="209">
        <f>IF(AND(L543&gt;DH$3,$C543="W"),1+DH542,0+DH542)</f>
        <v>14</v>
      </c>
      <c r="DI543" s="198">
        <f>IF(DH543&gt;DH542,L543+DI542,DI542)</f>
        <v>77.43000000000001</v>
      </c>
      <c r="DJ543" t="s" s="306">
        <f>IF($D541="","",$D541)</f>
        <v>396</v>
      </c>
      <c r="DK543" s="232"/>
    </row>
    <row r="544" ht="14.55" customHeight="1">
      <c r="A544" s="246">
        <f>$A541+1</f>
        <v>181</v>
      </c>
      <c r="B544" t="s" s="247">
        <f>IF(AND(_xlfn.XLOOKUP(H544,H$107:H323,G$107:G323,0)=G544,_xlfn.XLOOKUP("TempoBet",K544:K546,L544:L546,0)&gt;0),"X",IF(OR(C544="W",C545="W",C546="W",C544="1/2W",C545="1/2W",C546="1/2W",C544="1/2L",C545="1/2L",C546="1/2L"),"OK",IF(OR(C544="L",C545="L",C546="L"),"LOSS",IF(OR(C544="X",C545="X",C546="X"),"Anulado"," "))))</f>
        <v>50</v>
      </c>
      <c r="C544" t="s" s="248">
        <v>51</v>
      </c>
      <c r="D544" t="s" s="303">
        <f>IF(G544="","",$D541)</f>
        <v>396</v>
      </c>
      <c r="E544" t="s" s="250">
        <v>127</v>
      </c>
      <c r="F544" t="s" s="251"/>
      <c r="G544" s="252">
        <v>44952.395833333336</v>
      </c>
      <c r="H544" t="s" s="253">
        <v>410</v>
      </c>
      <c r="I544" t="s" s="254">
        <v>65</v>
      </c>
      <c r="J544" s="255">
        <v>4</v>
      </c>
      <c r="K544" t="s" s="256">
        <v>48</v>
      </c>
      <c r="L544" s="257">
        <v>2.2</v>
      </c>
      <c r="M544" s="258">
        <v>19.82</v>
      </c>
      <c r="N544" s="259">
        <v>0</v>
      </c>
      <c r="O544" s="260">
        <f>IF(OR(AE544="",AE545=""),"",ROUND(IF(L546&gt;0,IF(M544&gt;0,M544,IF(M545&gt;0,ROUND((M545*AE544)/AE545,IF(N544=0,2,IF(N544=0.1,1,0))),ROUND((M546*AE544)/AE546,IF(N544=0,2,IF(N544=0.1,1,0))))),IF(M544&gt;0,M544,ROUND((M545*AE544)/AE545,IF(N544=0,2,IF(N544=0.1,1,0))))),2))</f>
        <v>19.82</v>
      </c>
      <c r="P544" s="261">
        <f>IF(OR(L544="",O544=""),"",IF($C544="1/2W",O544/2+O544/2*L544,IF($C544="1/2L",O544/2,IF(I544="Lay",(O544*(L544/(L544-1))-O544)*(1-_xlfn.XLOOKUP(K544,'Janeiro 2023 - Valor Real'!A3:A15,'Janeiro 2023 - Valor Real'!C3:C15,0))+O544,(O544*L544-O544)*(1-_xlfn.XLOOKUP(K544,'Janeiro 2023 - Valor Real'!A3:A15,'Janeiro 2023 - Valor Real'!C3:C15,0))+O544))))</f>
        <v>43.604</v>
      </c>
      <c r="Q544" s="262">
        <f>IF(K544="","",IF(_xlfn.XLOOKUP(K544,K$107:K323,DJ$107:DJ323,0,,-1)=DJ544,_xlfn.XLOOKUP(K544,K$107:K323,Q$107:Q323,1,,-1)+1,1))</f>
        <v>1</v>
      </c>
      <c r="R544" s="263">
        <f>IF(K544="","",_xlfn.XLOOKUP(K544,K$107:K323,R$107:R323,0,,-1)+IF($C544=" ",1,0))</f>
        <v>0</v>
      </c>
      <c r="S544" s="264">
        <f>IF($B544="Anulado",0,ROUND(IF(OR($B544="LOSS",$B544="OK"),IF(OR($C544="W",$C544="1/2W",$C544="1/2L"),P544-O544,IF($C544="L",-O544,0))+IF(OR($C545="W",$C545="1/2W",$C545="1/2L"),P545-O545,IF($C545="L",-O545,0))+IF(OR($C546="W",$C546="1/2W",$C546="1/2L"),P546-O546,IF($C546="L",-O546,0)),IF(AND(OR($C544="W",$C544="1/2W",$C544="1/2L"),C545="W"),P544+P545-SUM(O544:O546)+_xlfn.XLOOKUP("X",C544:C546,O544:O546,0),IF(AND(C544=TRUE,C546="W"),P544+P546-SUM(O544:O546),IF(AND(C545="W",C546="W"),P545+P546-SUM(O544:O546)+_xlfn.XLOOKUP("X",C544:C546,O544:O546,0),IF(L546&gt;0,IF(OR($C544="W",$C544="1/2W",$C544="1/2L"),P544-SUM(O544:O546)+_xlfn.XLOOKUP("X",C544:C546,O544:O546,0),IF(OR($C544="W",$C544="1/2W",$C544="1/2L"),P545-SUM(O544:O546)+_xlfn.XLOOKUP("X",C544:C546,O544:O546,0),IF(OR($C544="W",$C544="1/2W",$C544="1/2L"),P546-SUM(O544:O546)+_xlfn.XLOOKUP("X",C544:C546,O544:O546,0),IF(SUM(P544:P546)/3-SUM(O544:O546)+_xlfn.XLOOKUP("X",C544:C546,O544:O546,0)&gt;0,SUM(P544:P546)/3-SUM(O544:O546)+_xlfn.XLOOKUP("X",C544:C546,O544:O546,0),LARGE(P544:P546,1)-SUM(O544:O546))))),IF(OR($C544="W",$C544="1/2W",$C544="1/2L"),P544-SUM(O544:O545)+_xlfn.XLOOKUP("X",C544:C546,O544:O546,0),IF(OR($C544="W",$C544="1/2W",$C544="1/2L"),P545-SUM(O544:O545)+_xlfn.XLOOKUP("X",C544:C546,O544:O546,0),SUM(P544:P545)/2-SUM(O544:O545)+_xlfn.XLOOKUP("X",C544:C546,O544:O546,0)))))))),2))</f>
        <v>1.76</v>
      </c>
      <c r="T544" s="265">
        <f>IF(S544=0,0,S544/SUM(O544:O546))</f>
        <v>0.0420650095602294</v>
      </c>
      <c r="U544" s="266">
        <f>IF($D544=$D541,IF(OR($B544="LOSS",$B544="OK",$B544="Anulada"),S544,0)+U541,IF(OR($B544="LOSS",$B544="OK",$B544="Anulada"),S544,0))</f>
        <v>23.24</v>
      </c>
      <c r="V544" s="266">
        <f>IF($D544="",0,IF($D544=$D541,IF($B544=" ",IF(I546="",IF(OR(AND(I544="DNB1",I545="DNB2"),AND(OR(I544="DNB1",I544="DNB2"),J545=0),AND(OR(I545="DNB1",I545="DNB2"),J544=0),AND(I544="DNB2",I545="DNB1"),AND(IF(J544=0,(J544+1)/ROUND(J544+1,0),J544/ROUND(J544,0))=1,IF(J545=0,(J545+1)/ROUND(IF(J545="",0,J545)+1,0),IF(J545="",0,J545)/ROUND(IF(J545="",1,J545),0))=1,OR(J544&lt;&gt;""),J545&lt;&gt;"")),0,IF(S544&lt;0,IF(I546="",SMALL(P544:P545,1)-SUM(O544:O545),0),SMALL(P544:P545,1)-SUM(O544:O545))),IF(S544&lt;0,IF(I546="",SMALL(P544:P546,1)-SUM(O544:O546),0),LARGE(P544:P546,1)-SUM(O544:O546))),S544)+V541,IF(I546="",IF(OR(AND(I544="DNB1",I545="DNB2"),AND(OR(I544="DNB1",I544="DNB2"),J545=0),AND(OR(I545="DNB1",I545="DNB2"),J544=0),AND(I544="DNB2",I545="DNB1"),AND(IF(J544=0,(J544+1)/ROUND(J544+1,0),J544/ROUND(J544,0))=1,IF(J545=0,(IF(J545="",0,J545)+1)/ROUND(IF(J545="",0,J545)+1,0),IF(J545="",0,J545)/ROUND(IF(J545="",0,J545)+1,0))=1,OR(J544&lt;&gt;""),J545&lt;&gt;"")),0,IF(S544&lt;0,IF(I546="",SMALL(P544:P545,1)-SUM(O544:O545),0),SMALL(P544:P546,1)-SUM(O544:O546))),IF(S544&lt;0,IF(I546="",SMALL(P544:P546,1)-SUM(O544:O546),0),LARGE(P544:P546,1)-SUM(O544:O546)))))</f>
        <v>23.24</v>
      </c>
      <c r="W544" s="266">
        <f>IF($D544=$D541,IF(S544&lt;0,IF(I546="",S544,0),S544)+W541,S544)</f>
        <v>23.24</v>
      </c>
      <c r="X544" t="s" s="267">
        <f>IF(OR(SUM(R544:R546)=0,V544=W544),ROUND(IF(W544=0,0,W544/Y544)*100,2)&amp;"%",ROUND(IF(V544=0,0,V544/Y544)*100,2)&amp;"% a "&amp;ROUND(IF(W544=0,0,W544/Y544)*100,2)&amp;"%")</f>
        <v>413</v>
      </c>
      <c r="Y544" s="268">
        <f>IF($D544=$D541,Y541+SUM(O544:O546),SUM(O544:O546))</f>
        <v>530.24</v>
      </c>
      <c r="Z544" s="266">
        <f>IF($B544=" ",SUM(O544:O546),0)+Z541</f>
        <v>0</v>
      </c>
      <c r="AA544" s="266">
        <f>IF(G544="","",IF($B544="Anulado",LARGE(P544:P546,1)-SUM(O544:O546)+AA541,AA541))</f>
        <v>24.9665076923077</v>
      </c>
      <c r="AB544" s="266">
        <f>IF($D544="","",AB541+S544)</f>
        <v>362.48</v>
      </c>
      <c r="AC544" s="269">
        <f>IF($D544="","",IF($B544=" ",IF(DAY(G544)=DAY(TODAY()),1+AC541,0+AC541),0+AC541))</f>
        <v>0</v>
      </c>
      <c r="AD544" s="270">
        <f>(1-_xlfn.XLOOKUP(K542,'Janeiro 2023 - Valor Real'!A3:A15,'Janeiro 2023 - Valor Real'!C3:C15,0))+1</f>
        <v>2</v>
      </c>
      <c r="AE544" s="271">
        <f>IF(L544="","",IF(L546&gt;0,(SUM(((L544-1)*(1-_xlfn.XLOOKUP(K544,'Janeiro 2023 - Valor Real'!A3:A15,'Janeiro 2023 - Valor Real'!C3:C15,0))+1),((L545-1)*(1-_xlfn.XLOOKUP(K545,'Janeiro 2023 - Valor Real'!A3:A15,'Janeiro 2023 - Valor Real'!C3:C15,0))+1),((L546-1)*(1-_xlfn.XLOOKUP(K546,'Janeiro 2023 - Valor Real'!A3:A15,'Janeiro 2023 - Valor Real'!C3:C15,0))+1))/((L544-1)*(1-_xlfn.XLOOKUP(K544,'Janeiro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Real'!C3:C15,0))+1))/((L544-1)*(1-_xlfn.XLOOKUP(K544,'Janeiro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Real'!C3:C15,0))+1))/((L545-1)*(1-_xlfn.XLOOKUP(K545,'Janeiro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Real'!C3:C15,0))+1))/((L546-1)*(1-_xlfn.XLOOKUP(K546,'Janeiro 2023 - Valor Real'!A3:A15,'Janeiro 2023 - Valor Real'!C3:C15,0))+1)),IF(I544="Lay",IF(I545="Lay",((L545/(L545-1)-1)*(1-_xlfn.XLOOKUP(K545,'Janeiro 2023 - Valor Real'!A3:A15,'Janeiro 2023 - Valor Real'!C3:C15,0))+1)/(((L545/(L545-1)-1)*(1-_xlfn.XLOOKUP(K545,'Janeiro 2023 - Valor Real'!A3:A15,'Janeiro 2023 - Valor Real'!C3:C15,0))+1)+((L544/(L544-1)-1)*(1-_xlfn.XLOOKUP(K544,'Janeiro 2023 - Valor Real'!A3:A15,'Janeiro 2023 - Valor Real'!C3:C15,0))+1)),((L545-1)*(1-_xlfn.XLOOKUP(K545,'Janeiro 2023 - Valor Real'!A3:A15,'Janeiro 2023 - Valor Real'!C3:C15,0))+1)/(((L545-1)*(1-_xlfn.XLOOKUP(K545,'Janeiro 2023 - Valor Real'!A3:A15,'Janeiro 2023 - Valor Real'!C3:C15,0))+1)+((L544/(L544-1)-1)*(1-_xlfn.XLOOKUP(K544,'Janeiro 2023 - Valor Real'!A3:A15,'Janeiro 2023 - Valor Real'!C3:C15,0))+1))),IF(I545="Lay",(((L545/(L545-1)-1)*(1-_xlfn.XLOOKUP(K545,'Janeiro 2023 - Valor Real'!A3:A15,'Janeiro 2023 - Valor Real'!C3:C15,0))+1))/(((L544-1)*(1-_xlfn.XLOOKUP(K544,'Janeiro 2023 - Valor Real'!A3:A15,'Janeiro 2023 - Valor Real'!C3:C15,0))+1)+((L545/(L545-1)-1)*(1-_xlfn.XLOOKUP(K545,'Janeiro 2023 - Valor Real'!A3:A15,'Janeiro 2023 - Valor Real'!C3:C15,0))+1)),((L545-1)*(1-_xlfn.XLOOKUP(K545,'Janeiro 2023 - Valor Real'!A3:A15,'Janeiro 2023 - Valor Real'!C3:C15,0))+1)/(((L545-1)*(1-_xlfn.XLOOKUP(K545,'Janeiro 2023 - Valor Real'!A3:A15,'Janeiro 2023 - Valor Real'!C3:C15,0))+1)+((L544-1)*(1-_xlfn.XLOOKUP(K544,'Janeiro 2023 - Valor Real'!A3:A15,'Janeiro 2023 - Valor Real'!C3:C15,0))+1))))))</f>
        <v>0.473684210526316</v>
      </c>
      <c r="AF544" s="132">
        <f>IF($K544=AF$3,ROUND(IF(OR($C544="W",$C544="1/2W",$C544="1/2L"),$P544-$O544,IF($C544="X",0,-$O544)),2),0)</f>
        <v>0</v>
      </c>
      <c r="AG544" s="133">
        <f>IF($K544=AG$3,ROUND(IF(OR($C544="W",$C544="1/2W",$C544="1/2L"),$P544-$O544,IF($C544="X",0,-$O544)),2),0)</f>
        <v>0</v>
      </c>
      <c r="AH544" s="133">
        <f>IF($K544=AH$3,ROUND(IF(OR($C544="W",$C544="1/2W",$C544="1/2L"),$P544-$O544,IF($C544="X",0,-$O544)),2),0)</f>
        <v>0</v>
      </c>
      <c r="AI544" s="133">
        <f>IF($K544=AI$3,ROUND(IF(OR($C544="W",$C544="1/2W",$C544="1/2L"),$P544-$O544,IF($C544="X",0,-$O544)),2),0)</f>
        <v>0</v>
      </c>
      <c r="AJ544" s="133">
        <f>IF($K544=AJ$3,ROUND(IF(OR($C544="W",$C544="1/2W",$C544="1/2L"),$P544-$O544,IF($C544="X",0,-$O544)),2),0)</f>
        <v>0</v>
      </c>
      <c r="AK544" s="133">
        <f>IF($K544=AK$3,ROUND(IF(OR($C544="W",$C544="1/2W",$C544="1/2L"),$P544-$O544,IF($C544="X",0,-$O544)),2),0)</f>
        <v>0</v>
      </c>
      <c r="AL544" s="133">
        <f>IF($K544=AL$3,ROUND(IF(OR($C544="W",$C544="1/2W",$C544="1/2L"),$P544-$O544,IF($C544="X",0,-$O544)),2),0)</f>
        <v>0</v>
      </c>
      <c r="AM544" s="133">
        <f>IF($K544=AM$3,ROUND(IF(OR($C544="W",$C544="1/2W",$C544="1/2L"),$P544-$O544,IF($C544="X",0,-$O544)),2),0)</f>
        <v>0</v>
      </c>
      <c r="AN544" s="133">
        <f>IF($K544=AN$3,ROUND(IF(OR($C544="W",$C544="1/2W",$C544="1/2L"),$P544-$O544,IF($C544="X",0,-$O544)),2),0)</f>
        <v>0</v>
      </c>
      <c r="AO544" s="133">
        <f>IF($K544=AO$3,ROUND(IF(OR($C544="W",$C544="1/2W",$C544="1/2L"),$P544-$O544,IF($C544="X",0,-$O544)),2),0)</f>
        <v>0</v>
      </c>
      <c r="AP544" s="133">
        <f>IF($K544=AP$3,ROUND(IF(OR($C544="W",$C544="1/2W",$C544="1/2L"),$P544-$O544,IF($C544="X",0,-$O544)),2),0)</f>
        <v>0</v>
      </c>
      <c r="AQ544" s="133">
        <f>IF($K544=AQ$3,ROUND(IF(OR($C544="W",$C544="1/2W",$C544="1/2L"),$P544-$O544,IF($C544="X",0,-$O544)),2),0)</f>
        <v>-19.82</v>
      </c>
      <c r="AR544" s="134">
        <f>IF($K544=AR$3,ROUND(IF(OR($C544="W",$C544="1/2W",$C544="1/2L"),$P544-$O544,IF($C544="X",0,-$O544)),2),0)</f>
        <v>0</v>
      </c>
      <c r="AS544" s="132">
        <f>IF(AND($B544=" ",$K544=AS$3),$O544,0)</f>
        <v>0</v>
      </c>
      <c r="AT544" s="133">
        <f>IF(AND($B544=" ",$K544=AT$3),$O544,0)</f>
        <v>0</v>
      </c>
      <c r="AU544" s="133">
        <f>IF(AND($B544=" ",$K544=AU$3),$O544,0)</f>
        <v>0</v>
      </c>
      <c r="AV544" s="133">
        <f>IF(AND($B544=" ",$K544=AV$3),$O544,0)</f>
        <v>0</v>
      </c>
      <c r="AW544" s="133">
        <f>IF(AND($B544=" ",$K544=AW$3),$O544,0)</f>
        <v>0</v>
      </c>
      <c r="AX544" s="133">
        <f>IF(AND($B544=" ",$K544=AX$3),$O544,0)</f>
        <v>0</v>
      </c>
      <c r="AY544" s="135">
        <f>IF(AND($B544=" ",$K544=AY$3),$O544,0)</f>
        <v>0</v>
      </c>
      <c r="AZ544" s="136">
        <f>IF(AND($B544=" ",$K544=AZ$3),$O544,0)</f>
        <v>0</v>
      </c>
      <c r="BA544" s="136">
        <f>IF(AND($B544=" ",$K544=BA$3),$O544,0)</f>
        <v>0</v>
      </c>
      <c r="BB544" s="136">
        <f>IF(AND($B544=" ",$K544=BB$3),$O544,0)</f>
        <v>0</v>
      </c>
      <c r="BC544" s="137">
        <f>IF(AND($B544=" ",$K544=BC$3),$O544,0)</f>
        <v>0</v>
      </c>
      <c r="BD544" s="133">
        <f>IF(AND($B544=" ",$K544=BD$3),$O544,0)</f>
        <v>0</v>
      </c>
      <c r="BE544" s="134">
        <f>IF(AND($B544=" ",$K544=BE$3),$O544,0)</f>
        <v>0</v>
      </c>
      <c r="BF544" s="132">
        <f>IF($K544=BF$3,IF($C544="X",0,$O544),0)</f>
        <v>0</v>
      </c>
      <c r="BG544" s="133">
        <f>IF($K544=BG$3,IF($C544="X",0,$O544),0)</f>
        <v>0</v>
      </c>
      <c r="BH544" s="133">
        <f>IF($K544=BH$3,IF($C544="X",0,$O544),0)</f>
        <v>0</v>
      </c>
      <c r="BI544" s="133">
        <f>IF($K544=BI$3,IF($C544="X",0,$O544),0)</f>
        <v>0</v>
      </c>
      <c r="BJ544" s="133">
        <f>IF($K544=BJ$3,IF($C544="X",0,$O544),0)</f>
        <v>0</v>
      </c>
      <c r="BK544" s="133">
        <f>IF($K544=BK$3,IF($C544="X",0,$O544),0)</f>
        <v>0</v>
      </c>
      <c r="BL544" s="133">
        <f>IF($K544=BL$3,IF($C544="X",0,$O544),0)</f>
        <v>0</v>
      </c>
      <c r="BM544" s="135">
        <f>IF($K544=BM$3,IF($C544="X",0,$O544),0)</f>
        <v>0</v>
      </c>
      <c r="BN544" s="136">
        <f>IF($K544=BN$3,IF($C544="X",0,$O544),0)</f>
        <v>0</v>
      </c>
      <c r="BO544" s="136">
        <f>IF($K544=BO$3,IF($C544="X",0,$O544),0)</f>
        <v>0</v>
      </c>
      <c r="BP544" s="136">
        <f>IF($K544=BP$3,IF($C544="X",0,$O544),0)</f>
        <v>0</v>
      </c>
      <c r="BQ544" s="137">
        <f>IF($K544=BQ$3,IF($C544="X",0,$O544),0)</f>
        <v>19.82</v>
      </c>
      <c r="BR544" s="134">
        <f>IF($K544=BR$3,IF($C544="X",0,$O544),0)</f>
        <v>0</v>
      </c>
      <c r="BS544" s="170">
        <f>IF($B544="LOSS",IF(AND($K544=BS$3,$C544="L"),-$O544,0)+IF(AND($K545=BS$3,$C545="L"),-$O545,0)+IF(AND($K546=BS$3,$C546="L"),-$O546,0),IF(OR(AND($K544=BS$3,OR($C544="W",$C544="1/2W")),AND($K545=BS$3,OR($C545="W",$C545="1/2W")),AND($K546=BS$3,OR($C546="W",$C546="1/2W"))),$S544,0))</f>
        <v>0</v>
      </c>
      <c r="BT544" s="272">
        <f>IF($B544="LOSS",IF(AND($K544=BT$3,$C544="L"),-$O544,0)+IF(AND($K545=BT$3,$C545="L"),-$O545,0)+IF(AND($K545=BT$3,$C546="L"),-$O546,0),IF(OR(AND($K545=BT$3,OR($C544="W",$C544="1/2W")),AND($K545=BT$3,OR($C545="W",$C545="1/2W")),AND($K545=BT$3,OR($C546="W",$C546="1/2W"))),$S544,0))</f>
        <v>0</v>
      </c>
      <c r="BU544" s="136">
        <f>IF($B544="LOSS",IF(AND($K544=BU$3,$C544="L"),-$O544,0)+IF(AND($K545=BU$3,$C545="L"),-$O545,0)+IF(AND($K545=BU$3,$C546="L"),-$O546,0),IF(OR(AND($K545=BU$3,OR($C544="W",$C544="1/2W")),AND($K545=BU$3,OR($C545="W",$C545="1/2W")),AND($K545=BU$3,OR($C546="W",$C546="1/2W"))),$S544,0))</f>
        <v>0</v>
      </c>
      <c r="BV544" s="136">
        <f>IF($B544="LOSS",IF(AND($K544=BV$3,$C544="L"),-$O544,0)+IF(AND($K545=BV$3,$C545="L"),-$O545,0)+IF(AND($K546=BV$3,$C546="L"),-$O546,0),IF(OR(AND($K544=BV$3,OR($C544="W",$C544="1/2W")),AND($K545=BV$3,OR($C545="W",$C545="1/2W")),AND($K546=BV$3,OR($C546="W",$C546="1/2W"))),$S544,0))</f>
        <v>0</v>
      </c>
      <c r="BW544" s="136">
        <f>IF($B544="LOSS",IF(AND($K544=BW$3,$C544="L"),-$O544,0)+IF(AND($K545=BW$3,$C545="L"),-$O545,0)+IF(AND($K546=BW$3,$C546="L"),-$O546,0),IF(OR(AND($K544=BW$3,OR($C544="W",$C544="1/2W")),AND($K545=BW$3,OR($C545="W",$C545="1/2W")),AND($K546=BW$3,OR($C546="W",$C546="1/2W"))),$S544,0))</f>
        <v>0</v>
      </c>
      <c r="BX544" s="136">
        <f>IF($B544="LOSS",IF(AND($K544=BX$3,$C544="L"),-$O544,0)+IF(AND($K545=BX$3,$C545="L"),-$O545,0)+IF(AND($K546=BX$3,$C546="L"),-$O546,0),IF(OR(AND($K544=BX$3,OR($C544="W",$C544="1/2W")),AND($K545=BX$3,OR($C545="W",$C545="1/2W")),AND($K546=BX$3,OR($C546="W",$C546="1/2W"))),$S544,0))</f>
        <v>0</v>
      </c>
      <c r="BY544" s="136">
        <f>IF($B544="LOSS",IF(AND($K544=BY$3,$C544="L"),-$O544,0)+IF(AND($K545=BY$3,$C545="L"),-$O545,0)+IF(AND($K546=BY$3,$C546="L"),-$O546,0),IF(OR(AND($K544=BY$3,OR($C544="W",$C544="1/2W")),AND($K545=BY$3,OR($C545="W",$C545="1/2W")),AND($K546=BY$3,OR($C546="W",$C546="1/2W"))),$S544,0))</f>
        <v>0</v>
      </c>
      <c r="BZ544" s="136">
        <f>IF($B544="LOSS",IF(AND($K544=BZ$3,$C544="L"),-$O544,0)+IF(AND($K545=BZ$3,$C545="L"),-$O545,0)+IF(AND($K546=BZ$3,$C546="L"),-$O546,0),IF(OR(AND($K544=BZ$3,OR($C544="W",$C544="1/2W")),AND($K545=BZ$3,OR($C545="W",$C545="1/2W")),AND($K546=BZ$3,OR($C546="W",$C546="1/2W"))),$S544,0))</f>
        <v>1.76</v>
      </c>
      <c r="CA544" s="136">
        <f>IF($B544="LOSS",IF(AND($K544=CA$3,$C544="L"),-$O544,0)+IF(AND($K545=CA$3,$C545="L"),-$O545,0)+IF(AND($K546=CA$3,$C546="L"),-$O546,0),IF(OR(AND($K544=CA$3,OR($C544="W",$C544="1/2W")),AND($K545=CA$3,OR($C545="W",$C545="1/2W")),AND($K546=CA$3,OR($C546="W",$C546="1/2W"))),$S544,0))</f>
        <v>0</v>
      </c>
      <c r="CB544" s="136">
        <f>IF($B544="LOSS",IF(AND($K544=CB$3,$C544="L"),-$O544,0)+IF(AND($K545=CB$3,$C545="L"),-$O545,0)+IF(AND($K546=CB$3,$C546="L"),-$O546,0),IF(OR(AND($K544=CB$3,OR($C544="W",$C544="1/2W")),AND($K545=CB$3,OR($C545="W",$C545="1/2W")),AND($K546=CB$3,OR($C546="W",$C546="1/2W"))),$S544,0))</f>
        <v>0</v>
      </c>
      <c r="CC544" s="136">
        <f>IF($B544="LOSS",IF(AND($K544=CC$3,$C544="L"),-$O544,0)+IF(AND($K545=CC$3,$C545="L"),-$O545,0)+IF(AND($K546=CC$3,$C546="L"),-$O546,0),IF(OR(AND($K544=CC$3,OR($C544="W",$C544="1/2W")),AND($K545=CC$3,OR($C545="W",$C545="1/2W")),AND($K546=CC$3,OR($C546="W",$C546="1/2W"))),$S544,0))</f>
        <v>0</v>
      </c>
      <c r="CD544" s="137">
        <f>IF($B544="LOSS",IF(AND($K544=CD$3,$C544="L"),-$O544,0)+IF(AND($K545=CD$3,$C545="L"),-$O545,0)+IF(AND($K546=CD$3,$C546="L"),-$O546,0),IF(OR(AND($K544=CD$3,OR($C544="W",$C544="1/2W")),AND($K545=CD$3,OR($C545="W",$C545="1/2W")),AND($K546=CD$3,OR($C546="W",$C546="1/2W"))),$S544,0))</f>
        <v>0</v>
      </c>
      <c r="CE544" s="134">
        <f>IF($B544="LOSS",IF(AND($K544=CE$3,$C544="L"),-$O544,0)+IF(AND($K545=CE$3,$C545="L"),-$O545,0)+IF(AND($K546=CE$3,$C546="L"),-$O546,0),IF(OR(AND($K544=CE$3,OR($C544="W",$C544="1/2W")),AND($K545=CE$3,OR($C545="W",$C545="1/2W")),AND($K546=CE$3,OR($C546="W",$C546="1/2W"))),$S544,0))</f>
        <v>0</v>
      </c>
      <c r="CF544" s="273">
        <f>IF(CF$3=$K544,IF($C544="W",1,IF($C544="1/2W",0.5,0)),0)</f>
        <v>0</v>
      </c>
      <c r="CG544" s="274">
        <f>IF(CF$3=$K544,IF($C544="L",1,IF($C544="1/2L",0.5,0)),0)</f>
        <v>0</v>
      </c>
      <c r="CH544" s="274">
        <f>IF(CH$3=$K544,IF($C544="W",1,IF($C544="1/2W",0.5,0)),0)</f>
        <v>0</v>
      </c>
      <c r="CI544" s="274">
        <f>IF(CH$3=$K544,IF($C544="L",1,IF($C544="1/2L",0.5,0)),0)</f>
        <v>0</v>
      </c>
      <c r="CJ544" s="274">
        <f>IF(CJ$3=$K544,IF($C544="W",1,IF($C544="1/2W",0.5,0)),0)</f>
        <v>0</v>
      </c>
      <c r="CK544" s="274">
        <f>IF(CJ$3=$K544,IF($C544="L",1,IF($C544="1/2L",0.5,0)),0)</f>
        <v>0</v>
      </c>
      <c r="CL544" s="274">
        <f>IF(CL$3=$K544,IF($C544="W",1,IF($C544="1/2W",0.5,0)),0)</f>
        <v>0</v>
      </c>
      <c r="CM544" s="274">
        <f>IF(CL$3=$K544,IF($C544="L",1,IF($C544="1/2L",0.5,0)),0)</f>
        <v>0</v>
      </c>
      <c r="CN544" s="274">
        <f>IF(CN$3=$K544,IF($C544="W",1,IF($C544="1/2W",0.5,0)),0)</f>
        <v>0</v>
      </c>
      <c r="CO544" s="274">
        <f>IF(CN$3=$K544,IF($C544="L",1,IF($C544="1/2L",0.5,0)),0)</f>
        <v>0</v>
      </c>
      <c r="CP544" s="274">
        <f>IF(CP$3=$K544,IF($C544="W",1,IF($C544="1/2W",0.5,0)),0)</f>
        <v>0</v>
      </c>
      <c r="CQ544" s="274">
        <f>IF(CP$3=$K544,IF($C544="L",1,IF($C544="1/2L",0.5,0)),0)</f>
        <v>0</v>
      </c>
      <c r="CR544" s="274">
        <f>IF(CR$3=$K544,IF($C544="W",1,IF($C544="1/2W",0.5,0)),0)</f>
        <v>0</v>
      </c>
      <c r="CS544" s="274">
        <f>IF(CR$3=$K544,IF($C544="L",1,IF($C544="1/2L",0.5,0)),0)</f>
        <v>0</v>
      </c>
      <c r="CT544" s="145">
        <f>IF(CT$3=$K544,IF($C544="W",1,IF($C544="1/2W",0.5,0)),0)</f>
        <v>0</v>
      </c>
      <c r="CU544" s="146">
        <f>IF(CT$3=$K544,IF($C544="L",1,IF($C544="1/2L",0.5,0)),0)</f>
        <v>0</v>
      </c>
      <c r="CV544" s="146">
        <f>IF(CV$3=$K544,IF($C544="W",1,IF($C544="1/2W",0.5,0)),0)</f>
        <v>0</v>
      </c>
      <c r="CW544" s="146">
        <f>IF(CV$3=$K544,IF($C544="L",1,IF($C544="1/2L",0.5,0)),0)</f>
        <v>0</v>
      </c>
      <c r="CX544" s="146">
        <f>IF(CX$3=$K544,IF($C544="W",1,IF($C544="1/2W",0.5,0)),0)</f>
        <v>0</v>
      </c>
      <c r="CY544" s="146">
        <f>IF(CX$3=$K544,IF($C544="L",1,IF($C544="1/2L",0.5,0)),0)</f>
        <v>0</v>
      </c>
      <c r="CZ544" s="146">
        <f>IF(CZ$3=$K544,IF($C544="W",1,IF($C544="1/2W",0.5,0)),0)</f>
        <v>0</v>
      </c>
      <c r="DA544" s="146">
        <f>IF(CZ$3=$K544,IF($C544="L",1,IF($C544="1/2L",0.5,0)),0)</f>
        <v>0</v>
      </c>
      <c r="DB544" s="146">
        <f>IF(DB$3=$K544,IF($C544="W",1,IF($C544="1/2W",0.5,0)),0)</f>
        <v>0</v>
      </c>
      <c r="DC544" s="146">
        <f>IF(DB$3=$K544,IF($C544="L",1,IF($C544="1/2L",0.5,0)),0)</f>
        <v>1</v>
      </c>
      <c r="DD544" s="146">
        <f>IF(DD$3=$K544,IF($C544="W",1,IF($C544="1/2W",0.5,0)),0)</f>
        <v>0</v>
      </c>
      <c r="DE544" s="147">
        <f>IF(DD$3=$K544,IF($C544="L",1,IF($C544="1/2L",0.5,0)),0)</f>
        <v>0</v>
      </c>
      <c r="DF544" s="143">
        <f>IF(AND(L544&lt;DF$3,$C544="W"),1+DF543,DF543)</f>
        <v>16</v>
      </c>
      <c r="DG544" s="133">
        <f>IF(DF544&gt;DF543,L544+DG543,DG543)</f>
        <v>21.158</v>
      </c>
      <c r="DH544" s="146">
        <f>IF(AND(L544&gt;DH$3,$C544="W"),1+DH543,0+DH543)</f>
        <v>14</v>
      </c>
      <c r="DI544" s="133">
        <f>IF(DH544&gt;DH543,L544+DI543,DI543)</f>
        <v>77.43000000000001</v>
      </c>
      <c r="DJ544" t="s" s="304">
        <f>IF($D544="","",$D544)</f>
        <v>396</v>
      </c>
      <c r="DK544" s="146">
        <f>IF(AND($B544=" ",$D544&lt;&gt;""),1,0)</f>
        <v>0</v>
      </c>
    </row>
    <row r="545" ht="14.55" customHeight="1">
      <c r="A545" s="107"/>
      <c r="B545" s="108"/>
      <c r="C545" t="s" s="109">
        <v>56</v>
      </c>
      <c r="D545" s="110"/>
      <c r="E545" s="111"/>
      <c r="F545" s="113"/>
      <c r="G545" s="252"/>
      <c r="H545" s="114"/>
      <c r="I545" t="s" s="275">
        <v>67</v>
      </c>
      <c r="J545" s="276">
        <f>IF(OR(I544="TO",I544="TU",I544="TO1",I544="TU1",I544="TO2",I544="TU2"),J544,IF(OR(I544="AH1",I544="AH2"),IF(OR(I545="AH1",I545="AH2"),-J544,IF(OR(I545="EH1",I545="EH2"),-J544+0.5,"")),IF(OR(I544="EH1",I544="EH2"),IF(OR(I545="AH1",I545="AH2"),-J544+0.5,IF(OR(I545="EH1",I545="EH2"),-J544+1,"")),IF(AND(OR(I544="DNB1",I544="DNB2"),OR(I545="AH1",I545="AH2")),0,IF(AND(I544="Not ScoreBoth",OR(I545="TO1",I545="TO2")),0.5,"")))))</f>
        <v>4</v>
      </c>
      <c r="K545" t="s" s="117">
        <v>44</v>
      </c>
      <c r="L545" s="277">
        <v>1.98</v>
      </c>
      <c r="M545" s="278"/>
      <c r="N545" s="120"/>
      <c r="O545" s="121">
        <f>IF(OR(AE544="",AE545=""),"",ROUND(IF(L546&gt;0,IF(M545&gt;0,M545,IF(M544&gt;0,IF(N544=TRUE,ROUND((M544*AE545)/AE544,0),(M544*AE545)/AE544),IF(M545&gt;0,ROUND(M545,IF(N544=0,2,IF(N544=0.1,1,0))),IF(M546&gt;0,ROUND(O546*AE545/AE546,IF(N544=0,2,IF(N544=0.1,1,0))),0)))),IF(M545&gt;0,M545,ROUND((M544*AE545)/AE544,IF(N544=0,2,IF(N544=0.1,1,0))))),2))</f>
        <v>22.02</v>
      </c>
      <c r="P545" s="122">
        <f>IF(OR(L545="",O545=""),"",IF($C545="1/2W",O545/2+O545/2*L545,IF($C545="1/2L",O545/2,IF(I545="Lay",((O545*(L545/(L545-1)))-O545)*(1-_xlfn.XLOOKUP(K545,'Janeiro 2023 - Valor Real'!A3:A15,'Janeiro 2023 - Valor Real'!C3:C15,0))+O545,(O545*L545-O545)*(1-_xlfn.XLOOKUP(K545,'Janeiro 2023 - Valor Real'!A3:A15,'Janeiro 2023 - Valor Real'!C3:C15,0))+O545))))</f>
        <v>43.5996</v>
      </c>
      <c r="Q545" s="279">
        <f>IF(K545="","",IF(_xlfn.XLOOKUP(K545,K$120:K324,DJ$120:DJ324,0,,-1)=DJ545,_xlfn.XLOOKUP(K545,K$120:K324,Q$120:Q324,1,,-1)+1,1))</f>
        <v>1</v>
      </c>
      <c r="R545" s="280">
        <f>IF(K545="","",_xlfn.XLOOKUP(K545,K$120:K324,R$120:R324,0,,-1)+IF($C545=" ",1,0))</f>
        <v>0</v>
      </c>
      <c r="S545" s="125"/>
      <c r="T545" s="126"/>
      <c r="U545" s="126"/>
      <c r="V545" s="224"/>
      <c r="W545" s="126"/>
      <c r="X545" s="127"/>
      <c r="Y545" s="128"/>
      <c r="Z545" s="129"/>
      <c r="AA545" s="129"/>
      <c r="AB545" s="129"/>
      <c r="AC545" s="129"/>
      <c r="AD545" s="130"/>
      <c r="AE545" s="131">
        <f>IF(L545="","",IF(L546&gt;0,(SUM(((L544-1)*(1-_xlfn.XLOOKUP(K544,'Janeiro 2023 - Valor Real'!A3:A15,'Janeiro 2023 - Valor Real'!C3:C15,0))+1),((L545-1)*(1-_xlfn.XLOOKUP(K545,'Janeiro 2023 - Valor Real'!A3:A15,'Janeiro 2023 - Valor Real'!C3:C15,0))+1),((L546-1)*(1-_xlfn.XLOOKUP(K546,'Janeiro 2023 - Valor Real'!A3:A15,'Janeiro 2023 - Valor Real'!C3:C15,0))+1))/((L545-1)*(1-_xlfn.XLOOKUP(K545,'Janeiro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Real'!C3:C15,0))+1))/((L544-1)*(1-_xlfn.XLOOKUP(K544,'Janeiro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Real'!C3:C15,0))+1))/((L545-1)*(1-_xlfn.XLOOKUP(K545,'Janeiro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Real'!C3:C15,0))+1))/((L546-1)*(1-_xlfn.XLOOKUP(K546,'Janeiro 2023 - Valor Real'!A3:A15,'Janeiro 2023 - Valor Real'!C3:C15,0))+1)),IF(I545="Lay",IF(I544="Lay",((L544/(L544-1)-1)*(1-_xlfn.XLOOKUP(K544,'Janeiro 2023 - Valor Real'!A3:A15,'Janeiro 2023 - Valor Real'!C3:C15,0))+1)/(((L544/(L544-1)-1)*(1-_xlfn.XLOOKUP(K544,'Janeiro 2023 - Valor Real'!A3:A15,'Janeiro 2023 - Valor Real'!C3:C15,0))+1)+((L545/(L545-1)-1)*(1-_xlfn.XLOOKUP(K545,'Janeiro 2023 - Valor Real'!A3:A15,'Janeiro 2023 - Valor Real'!C3:C15,0))+1)),((L544-1)*(1-_xlfn.XLOOKUP(K544,'Janeiro 2023 - Valor Real'!A3:A15,'Janeiro 2023 - Valor Real'!C3:C15,0))+1)/(((L544-1)*(1-_xlfn.XLOOKUP(K544,'Janeiro 2023 - Valor Real'!A3:A15,'Janeiro 2023 - Valor Real'!C3:C15,0))+1)+((L545/(L545-1)-1)*(1-_xlfn.XLOOKUP(K545,'Janeiro 2023 - Valor Real'!A3:A15,'Janeiro 2023 - Valor Real'!C3:C15,0))+1))),IF(I544="Lay",((L544/(L544-1)-1)*(1-_xlfn.XLOOKUP(K544,'Janeiro 2023 - Valor Real'!A3:A15,'Janeiro 2023 - Valor Real'!C3:C15,0))+1)/((((L544/(L544-1)-1)*(1-_xlfn.XLOOKUP(K544,'Janeiro 2023 - Valor Real'!A3:A15,'Janeiro 2023 - Valor Real'!C3:C15,0))+1))+((L545-1)*(1-_xlfn.XLOOKUP(K545,'Janeiro 2023 - Valor Real'!A3:A15,'Janeiro 2023 - Valor Real'!C3:C15,0))+1)),((L544-1)*(1-_xlfn.XLOOKUP(K544,'Janeiro 2023 - Valor Real'!A3:A15,'Janeiro 2023 - Valor Real'!C3:C15,0))+1)/(((L544-1)*(1-_xlfn.XLOOKUP(K544,'Janeiro 2023 - Valor Real'!A3:A15,'Janeiro 2023 - Valor Real'!C3:C15,0))+1)+((L545-1)*(1-_xlfn.XLOOKUP(K545,'Janeiro 2023 - Valor Real'!A3:A15,'Janeiro 2023 - Valor Real'!C3:C15,0))+1))))))</f>
        <v>0.526315789473684</v>
      </c>
      <c r="AF545" s="132">
        <f>IF($K545=AF$3,ROUND(IF(OR($C545="W",$C545="1/2W",$C545="1/2L"),$P545-$O545,IF($C545="X",0,-$O545)),2),0)</f>
        <v>0</v>
      </c>
      <c r="AG545" s="133">
        <f>IF($K545=AG$3,ROUND(IF(OR($C545="W",$C545="1/2W",$C545="1/2L"),$P545-$O545,IF($C545="X",0,-$O545)),2),0)</f>
        <v>0</v>
      </c>
      <c r="AH545" s="133">
        <f>IF($K545=AH$3,ROUND(IF(OR($C545="W",$C545="1/2W",$C545="1/2L"),$P545-$O545,IF($C545="X",0,-$O545)),2),0)</f>
        <v>0</v>
      </c>
      <c r="AI545" s="133">
        <f>IF($K545=AI$3,ROUND(IF(OR($C545="W",$C545="1/2W",$C545="1/2L"),$P545-$O545,IF($C545="X",0,-$O545)),2),0)</f>
        <v>0</v>
      </c>
      <c r="AJ545" s="133">
        <f>IF($K545=AJ$3,ROUND(IF(OR($C545="W",$C545="1/2W",$C545="1/2L"),$P545-$O545,IF($C545="X",0,-$O545)),2),0)</f>
        <v>0</v>
      </c>
      <c r="AK545" s="133">
        <f>IF($K545=AK$3,ROUND(IF(OR($C545="W",$C545="1/2W",$C545="1/2L"),$P545-$O545,IF($C545="X",0,-$O545)),2),0)</f>
        <v>0</v>
      </c>
      <c r="AL545" s="133">
        <f>IF($K545=AL$3,ROUND(IF(OR($C545="W",$C545="1/2W",$C545="1/2L"),$P545-$O545,IF($C545="X",0,-$O545)),2),0)</f>
        <v>0</v>
      </c>
      <c r="AM545" s="133">
        <f>IF($K545=AM$3,ROUND(IF(OR($C545="W",$C545="1/2W",$C545="1/2L"),$P545-$O545,IF($C545="X",0,-$O545)),2),0)</f>
        <v>21.58</v>
      </c>
      <c r="AN545" s="133">
        <f>IF($K545=AN$3,ROUND(IF(OR($C545="W",$C545="1/2W",$C545="1/2L"),$P545-$O545,IF($C545="X",0,-$O545)),2),0)</f>
        <v>0</v>
      </c>
      <c r="AO545" s="133">
        <f>IF($K545=AO$3,ROUND(IF(OR($C545="W",$C545="1/2W",$C545="1/2L"),$P545-$O545,IF($C545="X",0,-$O545)),2),0)</f>
        <v>0</v>
      </c>
      <c r="AP545" s="133">
        <f>IF($K545=AP$3,ROUND(IF(OR($C545="W",$C545="1/2W",$C545="1/2L"),$P545-$O545,IF($C545="X",0,-$O545)),2),0)</f>
        <v>0</v>
      </c>
      <c r="AQ545" s="133">
        <f>IF($K545=AQ$3,ROUND(IF(OR($C545="W",$C545="1/2W",$C545="1/2L"),$P545-$O545,IF($C545="X",0,-$O545)),2),0)</f>
        <v>0</v>
      </c>
      <c r="AR545" s="134">
        <f>IF($K545=AR$3,ROUND(IF(OR($C545="W",$C545="1/2W",$C545="1/2L"),$P545-$O545,IF($C545="X",0,-$O545)),2),0)</f>
        <v>0</v>
      </c>
      <c r="AS545" s="132">
        <f>IF(AND($B544=" ",$K545=AS$3),$O545,0)</f>
        <v>0</v>
      </c>
      <c r="AT545" s="133">
        <f>IF(AND($B544=" ",K545=AT$3),$O545,0)</f>
        <v>0</v>
      </c>
      <c r="AU545" s="133">
        <f>IF(AND($B544=" ",$K545=AU$3),$O545,0)</f>
        <v>0</v>
      </c>
      <c r="AV545" s="133">
        <f>IF(AND($B544=" ",$K545=AV$3),$O545,0)</f>
        <v>0</v>
      </c>
      <c r="AW545" s="133">
        <f>IF(AND($B544=" ",$K545=AW$3),$O545,0)</f>
        <v>0</v>
      </c>
      <c r="AX545" s="133">
        <f>IF(AND($B544=" ",$K545=AX$3),$O545,0)</f>
        <v>0</v>
      </c>
      <c r="AY545" s="135">
        <f>IF(AND($B544=" ",$K545=AY$3),$O545,0)</f>
        <v>0</v>
      </c>
      <c r="AZ545" s="136">
        <f>IF(AND($B544=" ",$K545=AZ$3),$O545,0)</f>
        <v>0</v>
      </c>
      <c r="BA545" s="136">
        <f>IF(AND($B544=" ",$K545=BA$3),$O545,0)</f>
        <v>0</v>
      </c>
      <c r="BB545" s="136">
        <f>IF(AND($B544=" ",$K545=BB$3),$O545,0)</f>
        <v>0</v>
      </c>
      <c r="BC545" s="137">
        <f>IF(AND($B544=" ",$K545=BC$3),$O545,0)</f>
        <v>0</v>
      </c>
      <c r="BD545" s="133">
        <f>IF(AND($B544=" ",$K545=BD$3),$O545,0)</f>
        <v>0</v>
      </c>
      <c r="BE545" s="134">
        <f>IF(AND($B544=" ",$K545=BE$3),$O545,0)</f>
        <v>0</v>
      </c>
      <c r="BF545" s="132">
        <f>IF($K545=BF$3,IF($C545="X",0,$O545),0)</f>
        <v>0</v>
      </c>
      <c r="BG545" s="281">
        <f>IF($K545=BG$3,IF($C545="X",0,$O545),0)</f>
        <v>0</v>
      </c>
      <c r="BH545" s="133">
        <f>IF($K545=BH$3,IF($C545="X",0,$O545),0)</f>
        <v>0</v>
      </c>
      <c r="BI545" s="133">
        <f>IF($K545=BI$3,IF($C545="X",0,$O545),0)</f>
        <v>0</v>
      </c>
      <c r="BJ545" s="133">
        <f>IF($K545=BJ$3,IF($C545="X",0,$O545),0)</f>
        <v>0</v>
      </c>
      <c r="BK545" s="133">
        <f>IF($K545=BK$3,IF($C545="X",0,$O545),0)</f>
        <v>0</v>
      </c>
      <c r="BL545" s="133">
        <f>IF($K545=BL$3,IF($C545="X",0,$O545),0)</f>
        <v>0</v>
      </c>
      <c r="BM545" s="135">
        <f>IF($K545=BM$3,IF($C545="X",0,$O545),0)</f>
        <v>22.02</v>
      </c>
      <c r="BN545" s="136">
        <f>IF($K545=BN$3,IF($C545="X",0,$O545),0)</f>
        <v>0</v>
      </c>
      <c r="BO545" s="136">
        <f>IF($K545=BO$3,IF($C545="X",0,$O545),0)</f>
        <v>0</v>
      </c>
      <c r="BP545" s="136">
        <f>IF($K545=BP$3,IF($C545="X",0,$O545),0)</f>
        <v>0</v>
      </c>
      <c r="BQ545" s="137">
        <f>IF($K545=BQ$3,IF($C545="X",0,$O545),0)</f>
        <v>0</v>
      </c>
      <c r="BR545" s="134">
        <f>IF($K545=BR$3,IF($C545="X",0,$O545),0)</f>
        <v>0</v>
      </c>
      <c r="BS545" s="282"/>
      <c r="BT545" s="283"/>
      <c r="BU545" s="140"/>
      <c r="BV545" s="283"/>
      <c r="BW545" s="140"/>
      <c r="BX545" s="140"/>
      <c r="BY545" s="140"/>
      <c r="BZ545" s="283"/>
      <c r="CA545" s="140"/>
      <c r="CB545" s="140"/>
      <c r="CC545" s="140"/>
      <c r="CD545" s="141"/>
      <c r="CE545" s="142"/>
      <c r="CF545" s="284">
        <f>IF(CF$3=$K545,IF($C545="W",1,IF($C545="1/2W",0.5,0)),0)</f>
        <v>0</v>
      </c>
      <c r="CG545" s="285">
        <f>IF(CF$3=$K545,IF($C545="L",1,IF($C545="1/2L",0.5,0)),0)</f>
        <v>0</v>
      </c>
      <c r="CH545" s="285">
        <f>IF(CH$3=$K545,IF($C545="W",1,IF($C545="1/2W",0.5,0)),0)</f>
        <v>0</v>
      </c>
      <c r="CI545" s="285">
        <f>IF(CH$3=$K545,IF($C545="L",1,IF($C545="1/2L",0.5,0)),0)</f>
        <v>0</v>
      </c>
      <c r="CJ545" s="285">
        <f>IF(CJ$3=$K545,IF($C545="W",1,IF($C545="1/2W",0.5,0)),0)</f>
        <v>0</v>
      </c>
      <c r="CK545" s="285">
        <f>IF(CJ$3=$K545,IF($C545="L",1,IF($C545="1/2L",0.5,0)),0)</f>
        <v>0</v>
      </c>
      <c r="CL545" s="285">
        <f>IF(CL$3=$K545,IF($C545="W",1,IF($C545="1/2W",0.5,0)),0)</f>
        <v>0</v>
      </c>
      <c r="CM545" s="285">
        <f>IF(CL$3=$K545,IF($C545="L",1,IF($C545="1/2L",0.5,0)),0)</f>
        <v>0</v>
      </c>
      <c r="CN545" s="285">
        <f>IF(CN$3=$K545,IF($C545="W",1,IF($C545="1/2W",0.5,0)),0)</f>
        <v>0</v>
      </c>
      <c r="CO545" s="285">
        <f>IF(CN$3=$K545,IF($C545="L",1,IF($C545="1/2L",0.5,0)),0)</f>
        <v>0</v>
      </c>
      <c r="CP545" s="285">
        <f>IF(CP$3=$K545,IF($C545="W",1,IF($C545="1/2W",0.5,0)),0)</f>
        <v>0</v>
      </c>
      <c r="CQ545" s="285">
        <f>IF(CP$3=$K545,IF($C545="L",1,IF($C545="1/2L",0.5,0)),0)</f>
        <v>0</v>
      </c>
      <c r="CR545" s="285">
        <f>IF(CR$3=$K545,IF($C545="W",1,IF($C545="1/2W",0.5,0)),0)</f>
        <v>0</v>
      </c>
      <c r="CS545" s="285">
        <f>IF(CR$3=$K545,IF($C545="L",1,IF($C545="1/2L",0.5,0)),0)</f>
        <v>0</v>
      </c>
      <c r="CT545" s="145">
        <f>IF(CT$3=$K545,IF($C545="W",1,IF($C545="1/2W",0.5,0)),0)</f>
        <v>1</v>
      </c>
      <c r="CU545" s="146">
        <f>IF(CT$3=$K545,IF($C545="L",1,IF($C545="1/2L",0.5,0)),0)</f>
        <v>0</v>
      </c>
      <c r="CV545" s="146">
        <f>IF(CV$3=$K545,IF($C545="W",1,IF($C545="1/2W",0.5,0)),0)</f>
        <v>0</v>
      </c>
      <c r="CW545" s="146">
        <f>IF(CV$3=$K545,IF($C545="L",1,IF($C545="1/2L",0.5,0)),0)</f>
        <v>0</v>
      </c>
      <c r="CX545" s="146">
        <f>IF(CX$3=$K545,IF($C545="W",1,IF($C545="1/2W",0.5,0)),0)</f>
        <v>0</v>
      </c>
      <c r="CY545" s="146">
        <f>IF(CX$3=$K545,IF($C545="L",1,IF($C545="1/2L",0.5,0)),0)</f>
        <v>0</v>
      </c>
      <c r="CZ545" s="146">
        <f>IF(CZ$3=$K545,IF($C545="W",1,IF($C545="1/2W",0.5,0)),0)</f>
        <v>0</v>
      </c>
      <c r="DA545" s="146">
        <f>IF(CZ$3=$K545,IF($C545="L",1,IF($C545="1/2L",0.5,0)),0)</f>
        <v>0</v>
      </c>
      <c r="DB545" s="146">
        <f>IF(DB$3=$K545,IF($C545="W",1,IF($C545="1/2W",0.5,0)),0)</f>
        <v>0</v>
      </c>
      <c r="DC545" s="146">
        <f>IF(DB$3=$K545,IF($C545="L",1,IF($C545="1/2L",0.5,0)),0)</f>
        <v>0</v>
      </c>
      <c r="DD545" s="146">
        <f>IF(DD$3=$K545,IF($C545="W",1,IF($C545="1/2W",0.5,0)),0)</f>
        <v>0</v>
      </c>
      <c r="DE545" s="147">
        <f>IF(DD$3=$K545,IF($C545="L",1,IF($C545="1/2L",0.5,0)),0)</f>
        <v>0</v>
      </c>
      <c r="DF545" s="143">
        <f>IF(AND(L545&lt;DF$3,$C545="W"),1+DF544,DF544)</f>
        <v>16</v>
      </c>
      <c r="DG545" s="133">
        <f>IF(DF545&gt;DF544,L545+DG544,DG544)</f>
        <v>21.158</v>
      </c>
      <c r="DH545" s="146">
        <f>IF(AND(L545&gt;DH$3,$C545="W"),1+DH544,0+DH544)</f>
        <v>14</v>
      </c>
      <c r="DI545" s="133">
        <f>IF(DH545&gt;DH544,L545+DI544,DI544)</f>
        <v>77.43000000000001</v>
      </c>
      <c r="DJ545" t="s" s="304">
        <f>IF($D544="","",$D544)</f>
        <v>396</v>
      </c>
      <c r="DK545" s="286"/>
    </row>
    <row r="546" ht="14.55" customHeight="1">
      <c r="A546" s="149"/>
      <c r="B546" s="150"/>
      <c r="C546" t="s" s="151">
        <v>58</v>
      </c>
      <c r="D546" s="152"/>
      <c r="E546" s="153"/>
      <c r="F546" s="155"/>
      <c r="G546" s="252"/>
      <c r="H546" s="156"/>
      <c r="I546" s="287"/>
      <c r="J546" s="288"/>
      <c r="K546" s="156"/>
      <c r="L546" s="289"/>
      <c r="M546" s="290"/>
      <c r="N546" s="161"/>
      <c r="O546" t="s" s="162">
        <f>IF(OR(AE544="",AE545=""),"",IF(L546&gt;0,ROUND(IF(M546&gt;0,M546,IF(M544&gt;0,ROUND((M544*AE546)/AE544,IF(N544=0,2,IF(N544=0.1,1,0))),IF(M545&gt;0,ROUND((M545*AE546)/AE545,IF(N544=0,2,IF(N544=0.1,1,0))),IF(M546&gt;0,M546,0)))),2),""))</f>
      </c>
      <c r="P546" t="s" s="163">
        <f>IF(I545="Lay",O545*(L545/(L545-1))-O545,IF(I544="Lay",O544*(L544/(L544-1))-O544,IF(OR(L546="",O546=""),"",IF($C546="1/2W",O546/2+O546/2*L546,IF($C546="1/2L",O546/2,(O546*L546-O546)*(1-_xlfn.XLOOKUP(K546,'Janeiro 2023 - Valor Real'!A3:A15,'Janeiro 2023 - Valor Real'!C3:C15,0))+O546)))))</f>
      </c>
      <c r="Q546" t="s" s="154">
        <f>IF(K546="","",IF(_xlfn.XLOOKUP(K546,K$121:K325,DJ$121:DJ325,0,,-1)=DJ546,_xlfn.XLOOKUP(K546,K$121:K325,Q$121:Q325,1,,-1)+1,1))</f>
      </c>
      <c r="R546" t="s" s="163">
        <f>IF(K546="","",_xlfn.XLOOKUP(K546,K$121:K325,R$121:R325,0,,-1)+IF($C546=" ",1,0))</f>
      </c>
      <c r="S546" s="166"/>
      <c r="T546" s="155"/>
      <c r="U546" s="155"/>
      <c r="V546" s="166"/>
      <c r="W546" s="155"/>
      <c r="X546" s="167"/>
      <c r="Y546" s="128"/>
      <c r="Z546" s="129"/>
      <c r="AA546" s="129"/>
      <c r="AB546" s="129"/>
      <c r="AC546" s="129"/>
      <c r="AD546" s="168"/>
      <c r="AE546" t="s" s="169">
        <f>IF(L546="","",(SUM(((L544-1)*(1-_xlfn.XLOOKUP(K544,'Janeiro 2023 - Valor Real'!A3:A15,'Janeiro 2023 - Valor Real'!C3:C15,0))+1),((L545-1)*(1-_xlfn.XLOOKUP(K545,'Janeiro 2023 - Valor Real'!A3:A15,'Janeiro 2023 - Valor Real'!C3:C15,0))+1),((L546-1)*(1-_xlfn.XLOOKUP(K546,'Janeiro 2023 - Valor Real'!A3:A15,'Janeiro 2023 - Valor Real'!C3:C15,0))+1))/((L546-1)*(1-_xlfn.XLOOKUP(K546,'Janeiro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Real'!C3:C15,0))+1))/((L544-1)*(1-_xlfn.XLOOKUP(K544,'Janeiro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Real'!C3:C15,0))+1))/((L545-1)*(1-_xlfn.XLOOKUP(K545,'Janeiro 2023 - Valor Real'!A3:A15,'Janeiro 2023 - Valor Real'!C3:C15,0))+1)+SUM(((L544-1)*(1-_xlfn.XLOOKUP(K544,'Janeiro 2023 - Valor Real'!A3:A15,'Janeiro 2023 - Valor Real'!C3:C15,0))+1),((L545-1)*(1-_xlfn.XLOOKUP(K545,'Janeiro 2023 - Valor Real'!A3:A15,'Janeiro 2023 - Valor Real'!C3:C15,0))+1),((L546-1)*(1-_xlfn.XLOOKUP(K546,'Janeiro 2023 - Valor Real'!A3:A15,'Janeiro 2023 - Valor Real'!C3:C15,0))+1))/((L546-1)*(1-_xlfn.XLOOKUP(K546,'Janeiro 2023 - Valor Real'!A3:A15,'Janeiro 2023 - Valor Real'!C3:C15,0))+1)))</f>
      </c>
      <c r="AF546" s="132">
        <f>IF($K546=AF$3,ROUND(IF(OR($C546="W",$C546="1/2W",$C546="1/2L"),$P546-$O546,IF($C546="X",0,-$O546)),2),0)</f>
        <v>0</v>
      </c>
      <c r="AG546" s="133">
        <f>IF($K546=AG$3,ROUND(IF(OR($C546="W",$C546="1/2W",$C546="1/2L"),$P546-$O546,IF($C546="X",0,-$O546)),2),0)</f>
        <v>0</v>
      </c>
      <c r="AH546" s="133">
        <f>IF($K546=AH$3,ROUND(IF(OR($C546="W",$C546="1/2W",$C546="1/2L"),$P546-$O546,IF($C546="X",0,-$O546)),2),0)</f>
        <v>0</v>
      </c>
      <c r="AI546" s="133">
        <f>IF($K546=AI$3,ROUND(IF(OR($C546="W",$C546="1/2W",$C546="1/2L"),$P546-$O546,IF($C546="X",0,-$O546)),2),0)</f>
        <v>0</v>
      </c>
      <c r="AJ546" s="133">
        <f>IF($K546=AJ$3,ROUND(IF(OR($C546="W",$C546="1/2W",$C546="1/2L"),$P546-$O546,IF($C546="X",0,-$O546)),2),0)</f>
        <v>0</v>
      </c>
      <c r="AK546" s="133">
        <f>IF($K546=AK$3,ROUND(IF(OR($C546="W",$C546="1/2W",$C546="1/2L"),$P546-$O546,IF($C546="X",0,-$O546)),2),0)</f>
        <v>0</v>
      </c>
      <c r="AL546" s="133">
        <f>IF($K546=AL$3,ROUND(IF(OR($C546="W",$C546="1/2W",$C546="1/2L"),$P546-$O546,IF($C546="X",0,-$O546)),2),0)</f>
        <v>0</v>
      </c>
      <c r="AM546" s="133">
        <f>IF($K546=AM$3,ROUND(IF(OR($C546="W",$C546="1/2W",$C546="1/2L"),$P546-$O546,IF($C546="X",0,-$O546)),2),0)</f>
        <v>0</v>
      </c>
      <c r="AN546" s="133">
        <f>IF($K546=AN$3,ROUND(IF(OR($C546="W",$C546="1/2W",$C546="1/2L"),$P546-$O546,IF($C546="X",0,-$O546)),2),0)</f>
        <v>0</v>
      </c>
      <c r="AO546" s="133">
        <f>IF($K546=AO$3,ROUND(IF(OR($C546="W",$C546="1/2W",$C546="1/2L"),$P546-$O546,IF($C546="X",0,-$O546)),2),0)</f>
        <v>0</v>
      </c>
      <c r="AP546" s="133">
        <f>IF($K546=AP$3,ROUND(IF(OR($C546="W",$C546="1/2W",$C546="1/2L"),$P546-$O546,IF($C546="X",0,-$O546)),2),0)</f>
        <v>0</v>
      </c>
      <c r="AQ546" s="133">
        <f>IF($K546=AQ$3,ROUND(IF(OR($C546="W",$C546="1/2W",$C546="1/2L"),$P546-$O546,IF($C546="X",0,-$O546)),2),0)</f>
        <v>0</v>
      </c>
      <c r="AR546" s="134">
        <f>IF($K546=AR$3,ROUND(IF(OR($C546="W",$C546="1/2W",$C546="1/2L"),$P546-$O546,IF($C546="X",0,-$O546)),2),0)</f>
        <v>0</v>
      </c>
      <c r="AS546" s="132">
        <f>IF(AND($B544=" ",$K546=AS$3),$O546,0)</f>
        <v>0</v>
      </c>
      <c r="AT546" s="133">
        <f>IF(AND($B544=" ",K546=AT$3),$O546,0)</f>
        <v>0</v>
      </c>
      <c r="AU546" s="133">
        <f>IF(AND($B544=" ",$K546=AU$3),$O546,0)</f>
        <v>0</v>
      </c>
      <c r="AV546" s="133">
        <f>IF(AND($B544=" ",$K546=AV$3),$O546,0)</f>
        <v>0</v>
      </c>
      <c r="AW546" s="133">
        <f>IF(AND($B544=" ",$K546=AW$3),$O546,0)</f>
        <v>0</v>
      </c>
      <c r="AX546" s="133">
        <f>IF(AND($B544=" ",$K546=AX$3),$O546,0)</f>
        <v>0</v>
      </c>
      <c r="AY546" s="135">
        <f>IF(AND($B544=" ",$K546=AY$3),$O546,0)</f>
        <v>0</v>
      </c>
      <c r="AZ546" s="136">
        <f>IF(AND($B544=" ",$K546=AZ$3),$O546,0)</f>
        <v>0</v>
      </c>
      <c r="BA546" s="136">
        <f>IF(AND($B544=" ",$K546=BA$3),$O546,0)</f>
        <v>0</v>
      </c>
      <c r="BB546" s="136">
        <f>IF(AND($B544=" ",$K546=BB$3),$O546,0)</f>
        <v>0</v>
      </c>
      <c r="BC546" s="137">
        <f>IF(AND($B544=" ",$K546=BC$3),$O546,0)</f>
        <v>0</v>
      </c>
      <c r="BD546" s="133">
        <f>IF(AND($B544=" ",$K546=BD$3),$O546,0)</f>
        <v>0</v>
      </c>
      <c r="BE546" s="134">
        <f>IF(AND($B544=" ",$K546=BE$3),$O546,0)</f>
        <v>0</v>
      </c>
      <c r="BF546" s="132">
        <f>IF($K546=BF$3,IF($C546="X",0,$O546),0)</f>
        <v>0</v>
      </c>
      <c r="BG546" s="281">
        <f>IF($K546=BG$3,IF($C546="X",0,$O546),0)</f>
        <v>0</v>
      </c>
      <c r="BH546" s="133">
        <f>IF($K546=BH$3,IF($C546="X",0,$O546),0)</f>
        <v>0</v>
      </c>
      <c r="BI546" s="133">
        <f>IF($K546=BI$3,IF($C546="X",0,$O546),0)</f>
        <v>0</v>
      </c>
      <c r="BJ546" s="133">
        <f>IF($K546=BJ$3,IF($C546="X",0,$O546),0)</f>
        <v>0</v>
      </c>
      <c r="BK546" s="133">
        <f>IF($K546=BK$3,IF($C546="X",0,$O546),0)</f>
        <v>0</v>
      </c>
      <c r="BL546" s="133">
        <f>IF($K546=BL$3,IF($C546="X",0,$O546),0)</f>
        <v>0</v>
      </c>
      <c r="BM546" s="135">
        <f>IF($K546=BM$3,IF($C546="X",0,$O546),0)</f>
        <v>0</v>
      </c>
      <c r="BN546" s="136">
        <f>IF($K546=BN$3,IF($C546="X",0,$O546),0)</f>
        <v>0</v>
      </c>
      <c r="BO546" s="136">
        <f>IF($K546=BO$3,IF($C546="X",0,$O546),0)</f>
        <v>0</v>
      </c>
      <c r="BP546" s="136">
        <f>IF($K546=BP$3,IF($C546="X",0,$O546),0)</f>
        <v>0</v>
      </c>
      <c r="BQ546" s="137">
        <f>IF($K546=BQ$3,IF($C546="X",0,$O546),0)</f>
        <v>0</v>
      </c>
      <c r="BR546" s="134">
        <f>IF($K546=BR$3,IF($C546="X",0,$O546),0)</f>
        <v>0</v>
      </c>
      <c r="BS546" s="282"/>
      <c r="BT546" s="283"/>
      <c r="BU546" s="140"/>
      <c r="BV546" s="283"/>
      <c r="BW546" s="140"/>
      <c r="BX546" s="140"/>
      <c r="BY546" s="140"/>
      <c r="BZ546" s="283"/>
      <c r="CA546" s="140"/>
      <c r="CB546" s="140"/>
      <c r="CC546" s="140"/>
      <c r="CD546" s="141"/>
      <c r="CE546" s="142"/>
      <c r="CF546" s="284">
        <f>IF(CF$3=$K546,IF($C546="W",1,IF($C546="1/2W",0.5,0)),0)</f>
        <v>0</v>
      </c>
      <c r="CG546" s="285">
        <f>IF(CF$3=$K546,IF($C546="L",1,IF($C546="1/2L",0.5,0)),0)</f>
        <v>0</v>
      </c>
      <c r="CH546" s="285">
        <f>IF(CH$3=$K546,IF($C546="W",1,IF($C546="1/2W",0.5,0)),0)</f>
        <v>0</v>
      </c>
      <c r="CI546" s="285">
        <f>IF(CH$3=$K546,IF($C546="L",1,IF($C546="1/2L",0.5,0)),0)</f>
        <v>0</v>
      </c>
      <c r="CJ546" s="285">
        <f>IF(CJ$3=$K546,IF($C546="W",1,IF($C546="1/2W",0.5,0)),0)</f>
        <v>0</v>
      </c>
      <c r="CK546" s="285">
        <f>IF(CJ$3=$K546,IF($C546="L",1,IF($C546="1/2L",0.5,0)),0)</f>
        <v>0</v>
      </c>
      <c r="CL546" s="285">
        <f>IF(CL$3=$K546,IF($C546="W",1,IF($C546="1/2W",0.5,0)),0)</f>
        <v>0</v>
      </c>
      <c r="CM546" s="285">
        <f>IF(CL$3=$K546,IF($C546="L",1,IF($C546="1/2L",0.5,0)),0)</f>
        <v>0</v>
      </c>
      <c r="CN546" s="285">
        <f>IF(CN$3=$K546,IF($C546="W",1,IF($C546="1/2W",0.5,0)),0)</f>
        <v>0</v>
      </c>
      <c r="CO546" s="285">
        <f>IF(CN$3=$K546,IF($C546="L",1,IF($C546="1/2L",0.5,0)),0)</f>
        <v>0</v>
      </c>
      <c r="CP546" s="285">
        <f>IF(CP$3=$K546,IF($C546="W",1,IF($C546="1/2W",0.5,0)),0)</f>
        <v>0</v>
      </c>
      <c r="CQ546" s="285">
        <f>IF(CP$3=$K546,IF($C546="L",1,IF($C546="1/2L",0.5,0)),0)</f>
        <v>0</v>
      </c>
      <c r="CR546" s="285">
        <f>IF(CR$3=$K546,IF($C546="W",1,IF($C546="1/2W",0.5,0)),0)</f>
        <v>0</v>
      </c>
      <c r="CS546" s="285">
        <f>IF(CR$3=$K546,IF($C546="L",1,IF($C546="1/2L",0.5,0)),0)</f>
        <v>0</v>
      </c>
      <c r="CT546" s="145">
        <f>IF(CT$3=$K546,IF($C546="W",1,IF($C546="1/2W",0.5,0)),0)</f>
        <v>0</v>
      </c>
      <c r="CU546" s="146">
        <f>IF(CT$3=$K546,IF($C546="L",1,IF($C546="1/2L",0.5,0)),0)</f>
        <v>0</v>
      </c>
      <c r="CV546" s="146">
        <f>IF(CV$3=$K546,IF($C546="W",1,IF($C546="1/2W",0.5,0)),0)</f>
        <v>0</v>
      </c>
      <c r="CW546" s="146">
        <f>IF(CV$3=$K546,IF($C546="L",1,IF($C546="1/2L",0.5,0)),0)</f>
        <v>0</v>
      </c>
      <c r="CX546" s="146">
        <f>IF(CX$3=$K546,IF($C546="W",1,IF($C546="1/2W",0.5,0)),0)</f>
        <v>0</v>
      </c>
      <c r="CY546" s="146">
        <f>IF(CX$3=$K546,IF($C546="L",1,IF($C546="1/2L",0.5,0)),0)</f>
        <v>0</v>
      </c>
      <c r="CZ546" s="146">
        <f>IF(CZ$3=$K546,IF($C546="W",1,IF($C546="1/2W",0.5,0)),0)</f>
        <v>0</v>
      </c>
      <c r="DA546" s="146">
        <f>IF(CZ$3=$K546,IF($C546="L",1,IF($C546="1/2L",0.5,0)),0)</f>
        <v>0</v>
      </c>
      <c r="DB546" s="146">
        <f>IF(DB$3=$K546,IF($C546="W",1,IF($C546="1/2W",0.5,0)),0)</f>
        <v>0</v>
      </c>
      <c r="DC546" s="146">
        <f>IF(DB$3=$K546,IF($C546="L",1,IF($C546="1/2L",0.5,0)),0)</f>
        <v>0</v>
      </c>
      <c r="DD546" s="146">
        <f>IF(DD$3=$K546,IF($C546="W",1,IF($C546="1/2W",0.5,0)),0)</f>
        <v>0</v>
      </c>
      <c r="DE546" s="147">
        <f>IF(DD$3=$K546,IF($C546="L",1,IF($C546="1/2L",0.5,0)),0)</f>
        <v>0</v>
      </c>
      <c r="DF546" s="143">
        <f>IF(AND(L546&lt;DF$3,$C546="W"),1+DF545,DF545)</f>
        <v>16</v>
      </c>
      <c r="DG546" s="133">
        <f>IF(DF546&gt;DF545,L546+DG545,DG545)</f>
        <v>21.158</v>
      </c>
      <c r="DH546" s="146">
        <f>IF(AND(L546&gt;DH$3,$C546="W"),1+DH545,0+DH545)</f>
        <v>14</v>
      </c>
      <c r="DI546" s="133">
        <f>IF(DH546&gt;DH545,L546+DI545,DI545)</f>
        <v>77.43000000000001</v>
      </c>
      <c r="DJ546" t="s" s="304">
        <f>IF($D544="","",$D544)</f>
        <v>396</v>
      </c>
      <c r="DK546" s="286"/>
    </row>
    <row r="547" ht="14.55" customHeight="1">
      <c r="A547" s="171">
        <f>$A544+1</f>
        <v>182</v>
      </c>
      <c r="B547" t="s" s="172">
        <f>IF(AND(_xlfn.XLOOKUP(H547,H$122:H320,G$122:G320,0)=G547,_xlfn.XLOOKUP("TempoBet",K547:K549,L547:L549,0)&gt;0),"X",IF(OR(C547="W",C548="W",C549="W",C547="1/2W",C548="1/2W",C549="1/2W",C547="1/2L",C548="1/2L",C549="1/2L"),"OK",IF(OR(C547="L",C548="L",C549="L"),"LOSS",IF(OR(C547="X",C548="X",C549="X"),"Anulado"," "))))</f>
        <v>50</v>
      </c>
      <c r="C547" t="s" s="173">
        <v>56</v>
      </c>
      <c r="D547" t="s" s="305">
        <f>IF(G547="","",$D544)</f>
        <v>396</v>
      </c>
      <c r="E547" t="s" s="175">
        <f>IF(G547=""," ","– "&amp;COUNTIF(D$4:D549,$D547))</f>
        <v>130</v>
      </c>
      <c r="F547" t="s" s="176"/>
      <c r="G547" s="177">
        <v>44954.416666666664</v>
      </c>
      <c r="H547" t="s" s="178">
        <v>414</v>
      </c>
      <c r="I547" t="s" s="179">
        <v>140</v>
      </c>
      <c r="J547" s="291">
        <v>-1</v>
      </c>
      <c r="K547" t="s" s="181">
        <v>48</v>
      </c>
      <c r="L547" s="182">
        <v>3.83</v>
      </c>
      <c r="M547" s="183">
        <v>4.9</v>
      </c>
      <c r="N547" s="184">
        <v>0</v>
      </c>
      <c r="O547" s="185">
        <f>IF(OR(AE547="",AE548=""),"",ROUND(IF(L549&gt;0,IF(M547&gt;0,M547,IF(M548&gt;0,ROUND((M548*AE547)/AE548,IF(N547=0,2,IF(N547=0.1,1,0))),ROUND((M549*AE547)/AE549,IF(N547=0,2,IF(N547=0.1,1,0))))),IF(M547&gt;0,M547,ROUND((M548*AE547)/AE548,IF(N547=0,2,IF(N547=0.1,1,0))))),2))</f>
        <v>4.9</v>
      </c>
      <c r="P547" s="186">
        <f>IF(OR(L547="",O547=""),"",IF($C547="1/2W",O547/2+O547/2*L547,IF($C547="1/2L",O547/2,IF(I547="Lay",(O547*(L547/(L547-1))-O547)*(1-_xlfn.XLOOKUP(K547,'Janeiro 2023 - Valor Real'!A3:A15,'Janeiro 2023 - Valor Real'!C3:C15,0))+O547,(O547*L547-O547)*(1-_xlfn.XLOOKUP(K547,'Janeiro 2023 - Valor Real'!A3:A15,'Janeiro 2023 - Valor Real'!C3:C15,0))+O547))))</f>
        <v>18.767</v>
      </c>
      <c r="Q547" s="187">
        <f>IF(K547="","",IF(_xlfn.XLOOKUP(K547,K$122:K320,DJ$122:DJ320,0,,-1)=DJ547,_xlfn.XLOOKUP(K547,K$122:K320,Q$122:Q320,1,,-1)+1,1))</f>
        <v>1</v>
      </c>
      <c r="R547" s="188">
        <f>IF(K547="","",_xlfn.XLOOKUP(K547,K$122:K320,R$122:R320,0,,-1)+IF($C547=" ",1,0))</f>
        <v>0</v>
      </c>
      <c r="S547" s="189">
        <f>IF($B547="Anulado",0,ROUND(IF(OR($B547="LOSS",$B547="OK"),IF(OR($C547="W",$C547="1/2W",$C547="1/2L"),P547-O547,IF($C547="L",-O547,0))+IF(OR($C548="W",$C548="1/2W",$C548="1/2L"),P548-O548,IF($C548="L",-O548,0))+IF(OR($C549="W",$C549="1/2W",$C549="1/2L"),P549-O549,IF($C549="L",-O549,0)),IF(AND(OR($C547="W",$C547="1/2W",$C547="1/2L"),C548="W"),P547+P548-SUM(O547:O549)+_xlfn.XLOOKUP("X",C547:C549,O547:O549,0),IF(AND(C547=TRUE,C549="W"),P547+P549-SUM(O547:O549),IF(AND(C548="W",C549="W"),P548+P549-SUM(O547:O549)+_xlfn.XLOOKUP("X",C547:C549,O547:O549,0),IF(L549&gt;0,IF(OR($C547="W",$C547="1/2W",$C547="1/2L"),P547-SUM(O547:O549)+_xlfn.XLOOKUP("X",C547:C549,O547:O549,0),IF(OR($C547="W",$C547="1/2W",$C547="1/2L"),P548-SUM(O547:O549)+_xlfn.XLOOKUP("X",C547:C549,O547:O549,0),IF(OR($C547="W",$C547="1/2W",$C547="1/2L"),P549-SUM(O547:O549)+_xlfn.XLOOKUP("X",C547:C549,O547:O549,0),IF(SUM(P547:P549)/3-SUM(O547:O549)+_xlfn.XLOOKUP("X",C547:C549,O547:O549,0)&gt;0,SUM(P547:P549)/3-SUM(O547:O549)+_xlfn.XLOOKUP("X",C547:C549,O547:O549,0),LARGE(P547:P549,1)-SUM(O547:O549))))),IF(OR($C547="W",$C547="1/2W",$C547="1/2L"),P547-SUM(O547:O548)+_xlfn.XLOOKUP("X",C547:C549,O547:O549,0),IF(OR($C547="W",$C547="1/2W",$C547="1/2L"),P548-SUM(O547:O548)+_xlfn.XLOOKUP("X",C547:C549,O547:O549,0),SUM(P547:P548)/2-SUM(O547:O548)+_xlfn.XLOOKUP("X",C547:C549,O547:O549,0)))))))),2))</f>
        <v>11.18</v>
      </c>
      <c r="T547" s="190">
        <f>IF(S547=0,0,S547/SUM(O547:O549))</f>
        <v>0.136125654450262</v>
      </c>
      <c r="U547" s="191">
        <f>IF($D547=$D544,IF(OR($B547="LOSS",$B547="OK",$B547="Anulada"),S547,0)+U544,IF(OR($B547="LOSS",$B547="OK",$B547="Anulada"),S547,0))</f>
        <v>34.42</v>
      </c>
      <c r="V547" s="191">
        <f>IF($D547="",0,IF($D547=$D544,IF($B547=" ",IF(I549="",IF(OR(AND(I547="DNB1",I548="DNB2"),AND(OR(I547="DNB1",I547="DNB2"),J548=0),AND(OR(I548="DNB1",I548="DNB2"),J547=0),AND(I547="DNB2",I548="DNB1"),AND(IF(J547=0,(J547+1)/ROUND(J547+1,0),J547/ROUND(J547,0))=1,IF(J548=0,(J548+1)/ROUND(IF(J548="",0,J548)+1,0),IF(J548="",0,J548)/ROUND(IF(J548="",1,J548),0))=1,OR(J547&lt;&gt;""),J548&lt;&gt;"")),0,IF(S547&lt;0,IF(I549="",SMALL(P547:P548,1)-SUM(O547:O548),0),SMALL(P547:P548,1)-SUM(O547:O548))),IF(S547&lt;0,IF(I549="",SMALL(P547:P549,1)-SUM(O547:O549),0),LARGE(P547:P549,1)-SUM(O547:O549))),S547)+V544,IF(I549="",IF(OR(AND(I547="DNB1",I548="DNB2"),AND(OR(I547="DNB1",I547="DNB2"),J548=0),AND(OR(I548="DNB1",I548="DNB2"),J547=0),AND(I547="DNB2",I548="DNB1"),AND(IF(J547=0,(J547+1)/ROUND(J547+1,0),J547/ROUND(J547,0))=1,IF(J548=0,(IF(J548="",0,J548)+1)/ROUND(IF(J548="",0,J548)+1,0),IF(J548="",0,J548)/ROUND(IF(J548="",0,J548)+1,0))=1,OR(J547&lt;&gt;""),J548&lt;&gt;"")),0,IF(S547&lt;0,IF(I549="",SMALL(P547:P548,1)-SUM(O547:O548),0),SMALL(P547:P549,1)-SUM(O547:O549))),IF(S547&lt;0,IF(I549="",SMALL(P547:P549,1)-SUM(O547:O549),0),LARGE(P547:P549,1)-SUM(O547:O549)))))</f>
        <v>34.42</v>
      </c>
      <c r="W547" s="191">
        <f>IF($D547=$D544,IF(S547&lt;0,IF(I549="",S547,0),S547)+W544,S547)</f>
        <v>34.42</v>
      </c>
      <c r="X547" t="s" s="192">
        <f>IF(OR(SUM(R547:R549)=0,V547=W547),ROUND(IF(W547=0,0,W547/Y547)*100,2)&amp;"%",ROUND(IF(V547=0,0,V547/Y547)*100,2)&amp;"% a "&amp;ROUND(IF(W547=0,0,W547/Y547)*100,2)&amp;"%")</f>
        <v>415</v>
      </c>
      <c r="Y547" s="193">
        <f>IF($D547=$D544,Y544+SUM(O547:O549),SUM(O547:O549))</f>
        <v>612.37</v>
      </c>
      <c r="Z547" s="191">
        <f>IF($B547=" ",SUM(O547:O549),0)+Z544</f>
        <v>0</v>
      </c>
      <c r="AA547" s="191">
        <f>IF(G547="","",IF($B547="Anulado",LARGE(P547:P549,1)-SUM(O547:O549)+AA544,AA544))</f>
        <v>24.9665076923077</v>
      </c>
      <c r="AB547" s="191">
        <f>IF($D547="","",AB544+S547)</f>
        <v>373.66</v>
      </c>
      <c r="AC547" s="194">
        <f>IF($D547="","",IF($B547=" ",IF(DAY(G547)=DAY(TODAY()),1+AC544,0+AC544),0+AC544))</f>
        <v>0</v>
      </c>
      <c r="AD547" s="195">
        <f>(((L548/(L548-1)-1)*(1-_xlfn.XLOOKUP(K548,'Janeiro 2023 - Valor Real'!A3:A15,'Janeiro 2023 - Valor Real'!C3:C15,0))+1))/(((L547-1)*(1-_xlfn.XLOOKUP(K547,'Janeiro 2023 - Valor Real'!A3:A15,'Janeiro 2023 - Valor Real'!C3:C15,0))+1)+((L548/(L548-1)-1)*(1-_xlfn.XLOOKUP(K548,'Janeiro 2023 - Valor Real'!A3:A15,'Janeiro 2023 - Valor Real'!C3:C15,0))+1))</f>
        <v>0.354011825107038</v>
      </c>
      <c r="AE547" s="196">
        <f>IF(L547="","",IF(L549&gt;0,(SUM(((L547-1)*(1-_xlfn.XLOOKUP(K547,'Janeiro 2023 - Valor Real'!A3:A15,'Janeiro 2023 - Valor Real'!C3:C15,0))+1),((L548-1)*(1-_xlfn.XLOOKUP(K548,'Janeiro 2023 - Valor Real'!A3:A15,'Janeiro 2023 - Valor Real'!C3:C15,0))+1),((L549-1)*(1-_xlfn.XLOOKUP(K549,'Janeiro 2023 - Valor Real'!A3:A15,'Janeiro 2023 - Valor Real'!C3:C15,0))+1))/((L547-1)*(1-_xlfn.XLOOKUP(K547,'Janeiro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Real'!C3:C15,0))+1))/((L547-1)*(1-_xlfn.XLOOKUP(K547,'Janeiro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Real'!C3:C15,0))+1))/((L548-1)*(1-_xlfn.XLOOKUP(K548,'Janeiro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Real'!C3:C15,0))+1))/((L549-1)*(1-_xlfn.XLOOKUP(K549,'Janeiro 2023 - Valor Real'!A3:A15,'Janeiro 2023 - Valor Real'!C3:C15,0))+1)),IF(I547="Lay",IF(I548="Lay",((L548/(L548-1)-1)*(1-_xlfn.XLOOKUP(K548,'Janeiro 2023 - Valor Real'!A3:A15,'Janeiro 2023 - Valor Real'!C3:C15,0))+1)/(((L548/(L548-1)-1)*(1-_xlfn.XLOOKUP(K548,'Janeiro 2023 - Valor Real'!A3:A15,'Janeiro 2023 - Valor Real'!C3:C15,0))+1)+((L547/(L547-1)-1)*(1-_xlfn.XLOOKUP(K547,'Janeiro 2023 - Valor Real'!A3:A15,'Janeiro 2023 - Valor Real'!C3:C15,0))+1)),((L548-1)*(1-_xlfn.XLOOKUP(K548,'Janeiro 2023 - Valor Real'!A3:A15,'Janeiro 2023 - Valor Real'!C3:C15,0))+1)/(((L548-1)*(1-_xlfn.XLOOKUP(K548,'Janeiro 2023 - Valor Real'!A3:A15,'Janeiro 2023 - Valor Real'!C3:C15,0))+1)+((L547/(L547-1)-1)*(1-_xlfn.XLOOKUP(K547,'Janeiro 2023 - Valor Real'!A3:A15,'Janeiro 2023 - Valor Real'!C3:C15,0))+1))),IF(I548="Lay",(((L548/(L548-1)-1)*(1-_xlfn.XLOOKUP(K548,'Janeiro 2023 - Valor Real'!A3:A15,'Janeiro 2023 - Valor Real'!C3:C15,0))+1))/(((L547-1)*(1-_xlfn.XLOOKUP(K547,'Janeiro 2023 - Valor Real'!A3:A15,'Janeiro 2023 - Valor Real'!C3:C15,0))+1)+((L548/(L548-1)-1)*(1-_xlfn.XLOOKUP(K548,'Janeiro 2023 - Valor Real'!A3:A15,'Janeiro 2023 - Valor Real'!C3:C15,0))+1)),((L548-1)*(1-_xlfn.XLOOKUP(K548,'Janeiro 2023 - Valor Real'!A3:A15,'Janeiro 2023 - Valor Real'!C3:C15,0))+1)/(((L548-1)*(1-_xlfn.XLOOKUP(K548,'Janeiro 2023 - Valor Real'!A3:A15,'Janeiro 2023 - Valor Real'!C3:C15,0))+1)+((L547-1)*(1-_xlfn.XLOOKUP(K547,'Janeiro 2023 - Valor Real'!A3:A15,'Janeiro 2023 - Valor Real'!C3:C15,0))+1))))))</f>
        <v>0.201315566383618</v>
      </c>
      <c r="AF547" s="197">
        <f>IF($K547=AF$3,ROUND(IF(OR($C547="W",$C547="1/2W",$C547="1/2L"),$P547-$O547,IF($C547="X",0,-$O547)),2),0)</f>
        <v>0</v>
      </c>
      <c r="AG547" s="198">
        <f>IF($K547=AG$3,ROUND(IF(OR($C547="W",$C547="1/2W",$C547="1/2L"),$P547-$O547,IF($C547="X",0,-$O547)),2),0)</f>
        <v>0</v>
      </c>
      <c r="AH547" s="198">
        <f>IF($K547=AH$3,ROUND(IF(OR($C547="W",$C547="1/2W",$C547="1/2L"),$P547-$O547,IF($C547="X",0,-$O547)),2),0)</f>
        <v>0</v>
      </c>
      <c r="AI547" s="198">
        <f>IF($K547=AI$3,ROUND(IF(OR($C547="W",$C547="1/2W",$C547="1/2L"),$P547-$O547,IF($C547="X",0,-$O547)),2),0)</f>
        <v>0</v>
      </c>
      <c r="AJ547" s="198">
        <f>IF($K547=AJ$3,ROUND(IF(OR($C547="W",$C547="1/2W",$C547="1/2L"),$P547-$O547,IF($C547="X",0,-$O547)),2),0)</f>
        <v>0</v>
      </c>
      <c r="AK547" s="198">
        <f>IF($K547=AK$3,ROUND(IF(OR($C547="W",$C547="1/2W",$C547="1/2L"),$P547-$O547,IF($C547="X",0,-$O547)),2),0)</f>
        <v>0</v>
      </c>
      <c r="AL547" s="198">
        <f>IF($K547=AL$3,ROUND(IF(OR($C547="W",$C547="1/2W",$C547="1/2L"),$P547-$O547,IF($C547="X",0,-$O547)),2),0)</f>
        <v>0</v>
      </c>
      <c r="AM547" s="198">
        <f>IF($K547=AM$3,ROUND(IF(OR($C547="W",$C547="1/2W",$C547="1/2L"),$P547-$O547,IF($C547="X",0,-$O547)),2),0)</f>
        <v>0</v>
      </c>
      <c r="AN547" s="198">
        <f>IF($K547=AN$3,ROUND(IF(OR($C547="W",$C547="1/2W",$C547="1/2L"),$P547-$O547,IF($C547="X",0,-$O547)),2),0)</f>
        <v>0</v>
      </c>
      <c r="AO547" s="198">
        <f>IF($K547=AO$3,ROUND(IF(OR($C547="W",$C547="1/2W",$C547="1/2L"),$P547-$O547,IF($C547="X",0,-$O547)),2),0)</f>
        <v>0</v>
      </c>
      <c r="AP547" s="198">
        <f>IF($K547=AP$3,ROUND(IF(OR($C547="W",$C547="1/2W",$C547="1/2L"),$P547-$O547,IF($C547="X",0,-$O547)),2),0)</f>
        <v>0</v>
      </c>
      <c r="AQ547" s="198">
        <f>IF($K547=AQ$3,ROUND(IF(OR($C547="W",$C547="1/2W",$C547="1/2L"),$P547-$O547,IF($C547="X",0,-$O547)),2),0)</f>
        <v>13.87</v>
      </c>
      <c r="AR547" s="199">
        <f>IF($K547=AR$3,ROUND(IF(OR($C547="W",$C547="1/2W",$C547="1/2L"),$P547-$O547,IF($C547="X",0,-$O547)),2),0)</f>
        <v>0</v>
      </c>
      <c r="AS547" s="197">
        <f>IF(AND($B547=" ",$K547=AS$3),$O547,0)</f>
        <v>0</v>
      </c>
      <c r="AT547" s="198">
        <f>IF(AND($B547=" ",$K547=AT$3),$O547,0)</f>
        <v>0</v>
      </c>
      <c r="AU547" s="198">
        <f>IF(AND($B547=" ",$K547=AU$3),$O547,0)</f>
        <v>0</v>
      </c>
      <c r="AV547" s="198">
        <f>IF(AND($B547=" ",$K547=AV$3),$O547,0)</f>
        <v>0</v>
      </c>
      <c r="AW547" s="198">
        <f>IF(AND($B547=" ",$K547=AW$3),$O547,0)</f>
        <v>0</v>
      </c>
      <c r="AX547" s="198">
        <f>IF(AND($B547=" ",$K547=AX$3),$O547,0)</f>
        <v>0</v>
      </c>
      <c r="AY547" s="200">
        <f>IF(AND($B547=" ",$K547=AY$3),$O547,0)</f>
        <v>0</v>
      </c>
      <c r="AZ547" s="201">
        <f>IF(AND($B547=" ",$K547=AZ$3),$O547,0)</f>
        <v>0</v>
      </c>
      <c r="BA547" s="201">
        <f>IF(AND($B547=" ",$K547=BA$3),$O547,0)</f>
        <v>0</v>
      </c>
      <c r="BB547" s="201">
        <f>IF(AND($B547=" ",$K547=BB$3),$O547,0)</f>
        <v>0</v>
      </c>
      <c r="BC547" s="202">
        <f>IF(AND($B547=" ",$K547=BC$3),$O547,0)</f>
        <v>0</v>
      </c>
      <c r="BD547" s="198">
        <f>IF(AND($B547=" ",$K547=BD$3),$O547,0)</f>
        <v>0</v>
      </c>
      <c r="BE547" s="199">
        <f>IF(AND($B547=" ",$K547=BE$3),$O547,0)</f>
        <v>0</v>
      </c>
      <c r="BF547" s="203">
        <f>IF($K547=BF$3,IF($C547="X",0,$O547),0)</f>
        <v>0</v>
      </c>
      <c r="BG547" s="198">
        <f>IF($K547=BG$3,IF($C547="X",0,$O547),0)</f>
        <v>0</v>
      </c>
      <c r="BH547" s="198">
        <f>IF($K547=BH$3,IF($C547="X",0,$O547),0)</f>
        <v>0</v>
      </c>
      <c r="BI547" s="198">
        <f>IF($K547=BI$3,IF($C547="X",0,$O547),0)</f>
        <v>0</v>
      </c>
      <c r="BJ547" s="198">
        <f>IF($K547=BJ$3,IF($C547="X",0,$O547),0)</f>
        <v>0</v>
      </c>
      <c r="BK547" s="198">
        <f>IF($K547=BK$3,IF($C547="X",0,$O547),0)</f>
        <v>0</v>
      </c>
      <c r="BL547" s="198">
        <f>IF($K547=BL$3,IF($C547="X",0,$O547),0)</f>
        <v>0</v>
      </c>
      <c r="BM547" s="200">
        <f>IF($K547=BM$3,IF($C547="X",0,$O547),0)</f>
        <v>0</v>
      </c>
      <c r="BN547" s="201">
        <f>IF($K547=BN$3,IF($C547="X",0,$O547),0)</f>
        <v>0</v>
      </c>
      <c r="BO547" s="201">
        <f>IF($K547=BO$3,IF($C547="X",0,$O547),0)</f>
        <v>0</v>
      </c>
      <c r="BP547" s="201">
        <f>IF($K547=BP$3,IF($C547="X",0,$O547),0)</f>
        <v>0</v>
      </c>
      <c r="BQ547" s="202">
        <f>IF($K547=BQ$3,IF($C547="X",0,$O547),0)</f>
        <v>4.9</v>
      </c>
      <c r="BR547" s="199">
        <f>IF($K547=BR$3,IF($C547="X",0,$O547),0)</f>
        <v>0</v>
      </c>
      <c r="BS547" s="204">
        <f>IF($B547="LOSS",IF(AND($K547=BS$3,$C547="L"),-$O547,0)+IF(AND($K548=BS$3,$C548="L"),-$O548,0)+IF(AND($K549=BS$3,$C549="L"),-$O549,0),IF(OR(AND($K547=BS$3,OR($C547="W",$C547="1/2W")),AND($K548=BS$3,OR($C548="W",$C548="1/2W")),AND($K549=BS$3,OR($C549="W",$C549="1/2W"))),$S547,0))</f>
        <v>0</v>
      </c>
      <c r="BT547" s="201">
        <f>IF($B547="LOSS",IF(AND($K547=BT$3,$C547="L"),-$O547,0)+IF(AND($K548=BT$3,$C548="L"),-$O548,0)+IF(AND($K548=BT$3,$C549="L"),-$O549,0),IF(OR(AND($K548=BT$3,OR($C547="W",$C547="1/2W")),AND($K548=BT$3,OR($C548="W",$C548="1/2W")),AND($K548=BT$3,OR($C549="W",$C549="1/2W"))),$S547,0))</f>
        <v>0</v>
      </c>
      <c r="BU547" s="201">
        <f>IF($B547="LOSS",IF(AND($K547=BU$3,$C547="L"),-$O547,0)+IF(AND($K548=BU$3,$C548="L"),-$O548,0)+IF(AND($K548=BU$3,$C549="L"),-$O549,0),IF(OR(AND($K548=BU$3,OR($C547="W",$C547="1/2W")),AND($K548=BU$3,OR($C548="W",$C548="1/2W")),AND($K548=BU$3,OR($C549="W",$C549="1/2W"))),$S547,0))</f>
        <v>0</v>
      </c>
      <c r="BV547" s="201">
        <f>IF($B547="LOSS",IF(AND($K547=BV$3,$C547="L"),-$O547,0)+IF(AND($K548=BV$3,$C548="L"),-$O548,0)+IF(AND($K549=BV$3,$C549="L"),-$O549,0),IF(OR(AND($K547=BV$3,OR($C547="W",$C547="1/2W")),AND($K548=BV$3,OR($C548="W",$C548="1/2W")),AND($K549=BV$3,OR($C549="W",$C549="1/2W"))),$S547,0))</f>
        <v>0</v>
      </c>
      <c r="BW547" s="201">
        <f>IF($B547="LOSS",IF(AND($K547=BW$3,$C547="L"),-$O547,0)+IF(AND($K548=BW$3,$C548="L"),-$O548,0)+IF(AND($K549=BW$3,$C549="L"),-$O549,0),IF(OR(AND($K547=BW$3,OR($C547="W",$C547="1/2W")),AND($K548=BW$3,OR($C548="W",$C548="1/2W")),AND($K549=BW$3,OR($C549="W",$C549="1/2W"))),$S547,0))</f>
        <v>0</v>
      </c>
      <c r="BX547" s="201">
        <f>IF($B547="LOSS",IF(AND($K547=BX$3,$C547="L"),-$O547,0)+IF(AND($K548=BX$3,$C548="L"),-$O548,0)+IF(AND($K549=BX$3,$C549="L"),-$O549,0),IF(OR(AND($K547=BX$3,OR($C547="W",$C547="1/2W")),AND($K548=BX$3,OR($C548="W",$C548="1/2W")),AND($K549=BX$3,OR($C549="W",$C549="1/2W"))),$S547,0))</f>
        <v>0</v>
      </c>
      <c r="BY547" s="201">
        <f>IF($B547="LOSS",IF(AND($K547=BY$3,$C547="L"),-$O547,0)+IF(AND($K548=BY$3,$C548="L"),-$O548,0)+IF(AND($K549=BY$3,$C549="L"),-$O549,0),IF(OR(AND($K547=BY$3,OR($C547="W",$C547="1/2W")),AND($K548=BY$3,OR($C548="W",$C548="1/2W")),AND($K549=BY$3,OR($C549="W",$C549="1/2W"))),$S547,0))</f>
        <v>0</v>
      </c>
      <c r="BZ547" s="205">
        <f>IF($B547="LOSS",IF(AND($K547=BZ$3,$C547="L"),-$O547,0)+IF(AND($K548=BZ$3,$C548="L"),-$O548,0)+IF(AND($K549=BZ$3,$C549="L"),-$O549,0),IF(OR(AND($K547=BZ$3,OR($C547="W",$C547="1/2W")),AND($K548=BZ$3,OR($C548="W",$C548="1/2W")),AND($K549=BZ$3,OR($C549="W",$C549="1/2W"))),$S547,0))</f>
        <v>0</v>
      </c>
      <c r="CA547" s="205">
        <f>IF($B547="LOSS",IF(AND($K547=CA$3,$C547="L"),-$O547,0)+IF(AND($K548=CA$3,$C548="L"),-$O548,0)+IF(AND($K549=CA$3,$C549="L"),-$O549,0),IF(OR(AND($K547=CA$3,OR($C547="W",$C547="1/2W")),AND($K548=CA$3,OR($C548="W",$C548="1/2W")),AND($K549=CA$3,OR($C549="W",$C549="1/2W"))),$S547,0))</f>
        <v>0</v>
      </c>
      <c r="CB547" s="205">
        <f>IF($B547="LOSS",IF(AND($K547=CB$3,$C547="L"),-$O547,0)+IF(AND($K548=CB$3,$C548="L"),-$O548,0)+IF(AND($K549=CB$3,$C549="L"),-$O549,0),IF(OR(AND($K547=CB$3,OR($C547="W",$C547="1/2W")),AND($K548=CB$3,OR($C548="W",$C548="1/2W")),AND($K549=CB$3,OR($C549="W",$C549="1/2W"))),$S547,0))</f>
        <v>0</v>
      </c>
      <c r="CC547" s="205">
        <f>IF($B547="LOSS",IF(AND($K547=CC$3,$C547="L"),-$O547,0)+IF(AND($K548=CC$3,$C548="L"),-$O548,0)+IF(AND($K549=CC$3,$C549="L"),-$O549,0),IF(OR(AND($K547=CC$3,OR($C547="W",$C547="1/2W")),AND($K548=CC$3,OR($C548="W",$C548="1/2W")),AND($K549=CC$3,OR($C549="W",$C549="1/2W"))),$S547,0))</f>
        <v>0</v>
      </c>
      <c r="CD547" s="202">
        <f>IF($B547="LOSS",IF(AND($K547=CD$3,$C547="L"),-$O547,0)+IF(AND($K548=CD$3,$C548="L"),-$O548,0)+IF(AND($K549=CD$3,$C549="L"),-$O549,0),IF(OR(AND($K547=CD$3,OR($C547="W",$C547="1/2W")),AND($K548=CD$3,OR($C548="W",$C548="1/2W")),AND($K549=CD$3,OR($C549="W",$C549="1/2W"))),$S547,0))</f>
        <v>11.18</v>
      </c>
      <c r="CE547" s="199">
        <f>IF($B547="LOSS",IF(AND($K547=CE$3,$C547="L"),-$O547,0)+IF(AND($K548=CE$3,$C548="L"),-$O548,0)+IF(AND($K549=CE$3,$C549="L"),-$O549,0),IF(OR(AND($K547=CE$3,OR($C547="W",$C547="1/2W")),AND($K548=CE$3,OR($C548="W",$C548="1/2W")),AND($K549=CE$3,OR($C549="W",$C549="1/2W"))),$S547,0))</f>
        <v>0</v>
      </c>
      <c r="CF547" s="206">
        <f>IF(CF$3=$K547,IF($C547="W",1,IF($C547="1/2W",0.5,0)),0)</f>
        <v>0</v>
      </c>
      <c r="CG547" s="207">
        <f>IF(CF$3=$K547,IF($C547="L",1,IF($C547="1/2L",0.5,0)),0)</f>
        <v>0</v>
      </c>
      <c r="CH547" s="207">
        <f>IF(CH$3=$K547,IF($C547="W",1,IF($C547="1/2W",0.5,0)),0)</f>
        <v>0</v>
      </c>
      <c r="CI547" s="207">
        <f>IF(CH$3=$K547,IF($C547="L",1,IF($C547="1/2L",0.5,0)),0)</f>
        <v>0</v>
      </c>
      <c r="CJ547" s="207">
        <f>IF(CJ$3=$K547,IF($C547="W",1,IF($C547="1/2W",0.5,0)),0)</f>
        <v>0</v>
      </c>
      <c r="CK547" s="207">
        <f>IF(CJ$3=$K547,IF($C547="L",1,IF($C547="1/2L",0.5,0)),0)</f>
        <v>0</v>
      </c>
      <c r="CL547" s="207">
        <f>IF(CL$3=$K547,IF($C547="W",1,IF($C547="1/2W",0.5,0)),0)</f>
        <v>0</v>
      </c>
      <c r="CM547" s="207">
        <f>IF(CL$3=$K547,IF($C547="L",1,IF($C547="1/2L",0.5,0)),0)</f>
        <v>0</v>
      </c>
      <c r="CN547" s="207">
        <f>IF(CN$3=$K547,IF($C547="W",1,IF($C547="1/2W",0.5,0)),0)</f>
        <v>0</v>
      </c>
      <c r="CO547" s="207">
        <f>IF(CN$3=$K547,IF($C547="L",1,IF($C547="1/2L",0.5,0)),0)</f>
        <v>0</v>
      </c>
      <c r="CP547" s="207">
        <f>IF(CP$3=$K547,IF($C547="W",1,IF($C547="1/2W",0.5,0)),0)</f>
        <v>0</v>
      </c>
      <c r="CQ547" s="207">
        <f>IF(CP$3=$K547,IF($C547="L",1,IF($C547="1/2L",0.5,0)),0)</f>
        <v>0</v>
      </c>
      <c r="CR547" s="207">
        <f>IF(CR$3=$K547,IF($C547="W",1,IF($C547="1/2W",0.5,0)),0)</f>
        <v>0</v>
      </c>
      <c r="CS547" s="207">
        <f>IF(CR$3=$K547,IF($C547="L",1,IF($C547="1/2L",0.5,0)),0)</f>
        <v>0</v>
      </c>
      <c r="CT547" s="208">
        <f>IF(CT$3=$K547,IF($C547="W",1,IF($C547="1/2W",0.5,0)),0)</f>
        <v>0</v>
      </c>
      <c r="CU547" s="209">
        <f>IF(CT$3=$K547,IF($C547="L",1,IF($C547="1/2L",0.5,0)),0)</f>
        <v>0</v>
      </c>
      <c r="CV547" s="209">
        <f>IF(CV$3=$K547,IF($C547="W",1,IF($C547="1/2W",0.5,0)),0)</f>
        <v>0</v>
      </c>
      <c r="CW547" s="209">
        <f>IF(CV$3=$K547,IF($C547="L",1,IF($C547="1/2L",0.5,0)),0)</f>
        <v>0</v>
      </c>
      <c r="CX547" s="209">
        <f>IF(CX$3=$K547,IF($C547="W",1,IF($C547="1/2W",0.5,0)),0)</f>
        <v>0</v>
      </c>
      <c r="CY547" s="209">
        <f>IF(CX$3=$K547,IF($C547="L",1,IF($C547="1/2L",0.5,0)),0)</f>
        <v>0</v>
      </c>
      <c r="CZ547" s="209">
        <f>IF(CZ$3=$K547,IF($C547="W",1,IF($C547="1/2W",0.5,0)),0)</f>
        <v>0</v>
      </c>
      <c r="DA547" s="209">
        <f>IF(CZ$3=$K547,IF($C547="L",1,IF($C547="1/2L",0.5,0)),0)</f>
        <v>0</v>
      </c>
      <c r="DB547" s="209">
        <f>IF(DB$3=$K547,IF($C547="W",1,IF($C547="1/2W",0.5,0)),0)</f>
        <v>1</v>
      </c>
      <c r="DC547" s="209">
        <f>IF(DB$3=$K547,IF($C547="L",1,IF($C547="1/2L",0.5,0)),0)</f>
        <v>0</v>
      </c>
      <c r="DD547" s="209">
        <f>IF(DD$3=$K547,IF($C547="W",1,IF($C547="1/2W",0.5,0)),0)</f>
        <v>0</v>
      </c>
      <c r="DE547" s="210">
        <f>IF(DD$3=$K547,IF($C547="L",1,IF($C547="1/2L",0.5,0)),0)</f>
        <v>0</v>
      </c>
      <c r="DF547" s="211">
        <f>IF(AND(L547&lt;DF$3,$C547="W"),1+DF546,DF546)</f>
        <v>16</v>
      </c>
      <c r="DG547" s="198">
        <f>IF(DF547&gt;DF546,L547+DG546,DG546)</f>
        <v>21.158</v>
      </c>
      <c r="DH547" s="209">
        <f>IF(AND(L547&gt;DH$3,$C547="W"),1+DH546,0+DH546)</f>
        <v>15</v>
      </c>
      <c r="DI547" s="198">
        <f>IF(DH547&gt;DH546,L547+DI546,DI546)</f>
        <v>81.26000000000001</v>
      </c>
      <c r="DJ547" t="s" s="306">
        <f>IF($D547="","",$D547)</f>
        <v>396</v>
      </c>
      <c r="DK547" s="209">
        <f>IF(AND($B547=" ",$D547&lt;&gt;""),1,0)</f>
        <v>0</v>
      </c>
    </row>
    <row r="548" ht="14.55" customHeight="1">
      <c r="A548" s="107"/>
      <c r="B548" s="108"/>
      <c r="C548" t="s" s="213">
        <v>56</v>
      </c>
      <c r="D548" s="110"/>
      <c r="E548" s="111"/>
      <c r="F548" s="113"/>
      <c r="G548" s="214"/>
      <c r="H548" s="114"/>
      <c r="I548" s="299">
        <v>1</v>
      </c>
      <c r="J548" t="s" s="216">
        <f>IF(OR(I547="TO",I547="TU",I547="TO1",I547="TU1",I547="TO2",I547="TU2"),J547,IF(OR(I547="AH1",I547="AH2"),IF(OR(I548="AH1",I548="AH2"),-J547,IF(OR(I548="EH1",I548="EH2"),-J547+0.5,"")),IF(OR(I547="EH1",I547="EH2"),IF(OR(I548="AH1",I548="AH2"),-J547+0.5,IF(OR(I548="EH1",I548="EH2"),-J547+1,"")),IF(AND(OR(I547="DNB1",I547="DNB2"),OR(I548="AH1",I548="AH2")),0,IF(AND(I547="Not ScoreBoth",OR(I548="TO1",I548="TO2")),0.5,"")))))</f>
      </c>
      <c r="K548" t="s" s="217">
        <v>48</v>
      </c>
      <c r="L548" s="218">
        <v>1.91</v>
      </c>
      <c r="M548" s="219">
        <v>39.03</v>
      </c>
      <c r="N548" s="120"/>
      <c r="O548" s="220">
        <f>IF(OR(AE547="",AE548=""),"",ROUND(IF(L549&gt;0,IF(M548&gt;0,M548,IF(M547&gt;0,IF(N547=TRUE,ROUND((M547*AE548)/AE547,0),(M547*AE548)/AE547),IF(M548&gt;0,ROUND(M548,IF(N547=0,2,IF(N547=0.1,1,0))),IF(M549&gt;0,ROUND(O549*AE548/AE549,IF(N547=0,2,IF(N547=0.1,1,0))),0)))),IF(M548&gt;0,M548,ROUND((M547*AE548)/AE547,IF(N547=0,2,IF(N547=0.1,1,0))))),2))</f>
        <v>39.03</v>
      </c>
      <c r="P548" s="221">
        <f>IF(OR(L548="",O548=""),"",IF($C548="1/2W",O548/2+O548/2*L548,IF($C548="1/2L",O548/2,IF(I548="Lay",((O548*(L548/(L548-1)))-O548)*(1-_xlfn.XLOOKUP(K548,'Janeiro 2023 - Valor Real'!A3:A15,'Janeiro 2023 - Valor Real'!C3:C15,0))+O548,(O548*L548-O548)*(1-_xlfn.XLOOKUP(K548,'Janeiro 2023 - Valor Real'!A3:A15,'Janeiro 2023 - Valor Real'!C3:C15,0))+O548))))</f>
        <v>74.54730000000001</v>
      </c>
      <c r="Q548" s="222">
        <f>IF(K548="","",IF(_xlfn.XLOOKUP(K548,K$123:K321,DJ$123:DJ321,0,,-1)=DJ548,_xlfn.XLOOKUP(K548,K$123:K321,Q$123:Q321,1,,-1)+1,1))</f>
        <v>1</v>
      </c>
      <c r="R548" s="223">
        <f>IF(K548="","",_xlfn.XLOOKUP(K548,K$123:K321,R$123:R321,0,,-1)+IF($C548=" ",1,0))</f>
        <v>0</v>
      </c>
      <c r="S548" s="125"/>
      <c r="T548" s="126"/>
      <c r="U548" s="126"/>
      <c r="V548" s="224"/>
      <c r="W548" s="126"/>
      <c r="X548" s="127"/>
      <c r="Y548" s="128"/>
      <c r="Z548" s="129"/>
      <c r="AA548" s="129"/>
      <c r="AB548" s="129"/>
      <c r="AC548" s="129"/>
      <c r="AD548" s="225">
        <f>(((L548/(L548-1)-1)*(1-_xlfn.XLOOKUP(K548,'Janeiro 2023 - Valor Real'!A3:A15,'Janeiro 2023 - Valor Real'!C3:C15,0))+1))</f>
        <v>2.0989010989011</v>
      </c>
      <c r="AE548" s="226">
        <f>IF(L548="","",IF(L549&gt;0,(SUM(((L547-1)*(1-_xlfn.XLOOKUP(K547,'Janeiro 2023 - Valor Real'!A3:A15,'Janeiro 2023 - Valor Real'!C3:C15,0))+1),((L548-1)*(1-_xlfn.XLOOKUP(K548,'Janeiro 2023 - Valor Real'!A3:A15,'Janeiro 2023 - Valor Real'!C3:C15,0))+1),((L549-1)*(1-_xlfn.XLOOKUP(K549,'Janeiro 2023 - Valor Real'!A3:A15,'Janeiro 2023 - Valor Real'!C3:C15,0))+1))/((L548-1)*(1-_xlfn.XLOOKUP(K548,'Janeiro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Real'!C3:C15,0))+1))/((L547-1)*(1-_xlfn.XLOOKUP(K547,'Janeiro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Real'!C3:C15,0))+1))/((L548-1)*(1-_xlfn.XLOOKUP(K548,'Janeiro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Real'!C3:C15,0))+1))/((L549-1)*(1-_xlfn.XLOOKUP(K549,'Janeiro 2023 - Valor Real'!A3:A15,'Janeiro 2023 - Valor Real'!C3:C15,0))+1)),IF(I548="Lay",IF(I547="Lay",((L547/(L547-1)-1)*(1-_xlfn.XLOOKUP(K547,'Janeiro 2023 - Valor Real'!A3:A15,'Janeiro 2023 - Valor Real'!C3:C15,0))+1)/(((L547/(L547-1)-1)*(1-_xlfn.XLOOKUP(K547,'Janeiro 2023 - Valor Real'!A3:A15,'Janeiro 2023 - Valor Real'!C3:C15,0))+1)+((L548/(L548-1)-1)*(1-_xlfn.XLOOKUP(K548,'Janeiro 2023 - Valor Real'!A3:A15,'Janeiro 2023 - Valor Real'!C3:C15,0))+1)),((L547-1)*(1-_xlfn.XLOOKUP(K547,'Janeiro 2023 - Valor Real'!A3:A15,'Janeiro 2023 - Valor Real'!C3:C15,0))+1)/(((L547-1)*(1-_xlfn.XLOOKUP(K547,'Janeiro 2023 - Valor Real'!A3:A15,'Janeiro 2023 - Valor Real'!C3:C15,0))+1)+((L548/(L548-1)-1)*(1-_xlfn.XLOOKUP(K548,'Janeiro 2023 - Valor Real'!A3:A15,'Janeiro 2023 - Valor Real'!C3:C15,0))+1))),IF(I547="Lay",((L547/(L547-1)-1)*(1-_xlfn.XLOOKUP(K547,'Janeiro 2023 - Valor Real'!A3:A15,'Janeiro 2023 - Valor Real'!C3:C15,0))+1)/((((L547/(L547-1)-1)*(1-_xlfn.XLOOKUP(K547,'Janeiro 2023 - Valor Real'!A3:A15,'Janeiro 2023 - Valor Real'!C3:C15,0))+1))+((L548-1)*(1-_xlfn.XLOOKUP(K548,'Janeiro 2023 - Valor Real'!A3:A15,'Janeiro 2023 - Valor Real'!C3:C15,0))+1)),((L547-1)*(1-_xlfn.XLOOKUP(K547,'Janeiro 2023 - Valor Real'!A3:A15,'Janeiro 2023 - Valor Real'!C3:C15,0))+1)/(((L547-1)*(1-_xlfn.XLOOKUP(K547,'Janeiro 2023 - Valor Real'!A3:A15,'Janeiro 2023 - Valor Real'!C3:C15,0))+1)+((L548-1)*(1-_xlfn.XLOOKUP(K548,'Janeiro 2023 - Valor Real'!A3:A15,'Janeiro 2023 - Valor Real'!C3:C15,0))+1))))))</f>
        <v>0.403685140968197</v>
      </c>
      <c r="AF548" s="197">
        <f>IF($K548=AF$3,ROUND(IF(OR($C548="W",$C548="1/2W",$C548="1/2L"),$P548-$O548,IF($C548="X",0,-$O548)),2),0)</f>
        <v>0</v>
      </c>
      <c r="AG548" s="198">
        <f>IF($K548=AG$3,ROUND(IF(OR($C548="W",$C548="1/2W",$C548="1/2L"),$P548-$O548,IF($C548="X",0,-$O548)),2),0)</f>
        <v>0</v>
      </c>
      <c r="AH548" s="198">
        <f>IF($K548=AH$3,ROUND(IF(OR($C548="W",$C548="1/2W",$C548="1/2L"),$P548-$O548,IF($C548="X",0,-$O548)),2),0)</f>
        <v>0</v>
      </c>
      <c r="AI548" s="198">
        <f>IF($K548=AI$3,ROUND(IF(OR($C548="W",$C548="1/2W",$C548="1/2L"),$P548-$O548,IF($C548="X",0,-$O548)),2),0)</f>
        <v>0</v>
      </c>
      <c r="AJ548" s="198">
        <f>IF($K548=AJ$3,ROUND(IF(OR($C548="W",$C548="1/2W",$C548="1/2L"),$P548-$O548,IF($C548="X",0,-$O548)),2),0)</f>
        <v>0</v>
      </c>
      <c r="AK548" s="198">
        <f>IF($K548=AK$3,ROUND(IF(OR($C548="W",$C548="1/2W",$C548="1/2L"),$P548-$O548,IF($C548="X",0,-$O548)),2),0)</f>
        <v>0</v>
      </c>
      <c r="AL548" s="198">
        <f>IF($K548=AL$3,ROUND(IF(OR($C548="W",$C548="1/2W",$C548="1/2L"),$P548-$O548,IF($C548="X",0,-$O548)),2),0)</f>
        <v>0</v>
      </c>
      <c r="AM548" s="198">
        <f>IF($K548=AM$3,ROUND(IF(OR($C548="W",$C548="1/2W",$C548="1/2L"),$P548-$O548,IF($C548="X",0,-$O548)),2),0)</f>
        <v>0</v>
      </c>
      <c r="AN548" s="198">
        <f>IF($K548=AN$3,ROUND(IF(OR($C548="W",$C548="1/2W",$C548="1/2L"),$P548-$O548,IF($C548="X",0,-$O548)),2),0)</f>
        <v>0</v>
      </c>
      <c r="AO548" s="198">
        <f>IF($K548=AO$3,ROUND(IF(OR($C548="W",$C548="1/2W",$C548="1/2L"),$P548-$O548,IF($C548="X",0,-$O548)),2),0)</f>
        <v>0</v>
      </c>
      <c r="AP548" s="198">
        <f>IF($K548=AP$3,ROUND(IF(OR($C548="W",$C548="1/2W",$C548="1/2L"),$P548-$O548,IF($C548="X",0,-$O548)),2),0)</f>
        <v>0</v>
      </c>
      <c r="AQ548" s="198">
        <f>IF($K548=AQ$3,ROUND(IF(OR($C548="W",$C548="1/2W",$C548="1/2L"),$P548-$O548,IF($C548="X",0,-$O548)),2),0)</f>
        <v>35.52</v>
      </c>
      <c r="AR548" s="199">
        <f>IF($K548=AR$3,ROUND(IF(OR($C548="W",$C548="1/2W",$C548="1/2L"),$P548-$O548,IF($C548="X",0,-$O548)),2),0)</f>
        <v>0</v>
      </c>
      <c r="AS548" s="197">
        <f>IF(AND($B547=" ",$K548=AS$3),$O548,0)</f>
        <v>0</v>
      </c>
      <c r="AT548" s="198">
        <f>IF(AND($B547=" ",K548=AT$3),$O548,0)</f>
        <v>0</v>
      </c>
      <c r="AU548" s="198">
        <f>IF(AND($B547=" ",$K548=AU$3),$O548,0)</f>
        <v>0</v>
      </c>
      <c r="AV548" s="198">
        <f>IF(AND($B547=" ",$K548=AV$3),$O548,0)</f>
        <v>0</v>
      </c>
      <c r="AW548" s="198">
        <f>IF(AND($B547=" ",$K548=AW$3),$O548,0)</f>
        <v>0</v>
      </c>
      <c r="AX548" s="198">
        <f>IF(AND($B547=" ",$K548=AX$3),$O548,0)</f>
        <v>0</v>
      </c>
      <c r="AY548" s="200">
        <f>IF(AND($B547=" ",$K548=AY$3),$O548,0)</f>
        <v>0</v>
      </c>
      <c r="AZ548" s="201">
        <f>IF(AND($B547=" ",$K548=AZ$3),$O548,0)</f>
        <v>0</v>
      </c>
      <c r="BA548" s="201">
        <f>IF(AND($B547=" ",$K548=BA$3),$O548,0)</f>
        <v>0</v>
      </c>
      <c r="BB548" s="201">
        <f>IF(AND($B547=" ",$K548=BB$3),$O548,0)</f>
        <v>0</v>
      </c>
      <c r="BC548" s="202">
        <f>IF(AND($B547=" ",$K548=BC$3),$O548,0)</f>
        <v>0</v>
      </c>
      <c r="BD548" s="198">
        <f>IF(AND($B547=" ",$K548=BD$3),$O548,0)</f>
        <v>0</v>
      </c>
      <c r="BE548" s="199">
        <f>IF(AND($B547=" ",$K548=BE$3),$O548,0)</f>
        <v>0</v>
      </c>
      <c r="BF548" s="197">
        <f>IF($K548=BF$3,IF($C548="X",0,$O548),0)</f>
        <v>0</v>
      </c>
      <c r="BG548" s="198">
        <f>IF($K548=BG$3,IF($C548="X",0,$O548),0)</f>
        <v>0</v>
      </c>
      <c r="BH548" s="198">
        <f>IF($K548=BH$3,IF($C548="X",0,$O548),0)</f>
        <v>0</v>
      </c>
      <c r="BI548" s="198">
        <f>IF($K548=BI$3,IF($C548="X",0,$O548),0)</f>
        <v>0</v>
      </c>
      <c r="BJ548" s="198">
        <f>IF($K548=BJ$3,IF($C548="X",0,$O548),0)</f>
        <v>0</v>
      </c>
      <c r="BK548" s="198">
        <f>IF($K548=BK$3,IF($C548="X",0,$O548),0)</f>
        <v>0</v>
      </c>
      <c r="BL548" s="198">
        <f>IF($K548=BL$3,IF($C548="X",0,$O548),0)</f>
        <v>0</v>
      </c>
      <c r="BM548" s="227">
        <f>IF($K548=BM$3,IF($C548="X",0,$O548),0)</f>
        <v>0</v>
      </c>
      <c r="BN548" s="205">
        <f>IF($K548=BN$3,IF($C548="X",0,$O548),0)</f>
        <v>0</v>
      </c>
      <c r="BO548" s="205">
        <f>IF($K548=BO$3,IF($C548="X",0,$O548),0)</f>
        <v>0</v>
      </c>
      <c r="BP548" s="205">
        <f>IF($K548=BP$3,IF($C548="X",0,$O548),0)</f>
        <v>0</v>
      </c>
      <c r="BQ548" s="202">
        <f>IF($K548=BQ$3,IF($C548="X",0,$O548),0)</f>
        <v>39.03</v>
      </c>
      <c r="BR548" s="199">
        <f>IF($K548=BR$3,IF($C548="X",0,$O548),0)</f>
        <v>0</v>
      </c>
      <c r="BS548" s="228"/>
      <c r="BT548" s="229"/>
      <c r="BU548" s="140"/>
      <c r="BV548" s="229"/>
      <c r="BW548" s="140"/>
      <c r="BX548" s="140"/>
      <c r="BY548" s="140"/>
      <c r="BZ548" s="229"/>
      <c r="CA548" s="140"/>
      <c r="CB548" s="140"/>
      <c r="CC548" s="140"/>
      <c r="CD548" s="141"/>
      <c r="CE548" s="142"/>
      <c r="CF548" s="230">
        <f>IF(CF$3=$K548,IF($C548="W",1,IF($C548="1/2W",0.5,0)),0)</f>
        <v>0</v>
      </c>
      <c r="CG548" s="231">
        <f>IF(CF$3=$K548,IF($C548="L",1,IF($C548="1/2L",0.5,0)),0)</f>
        <v>0</v>
      </c>
      <c r="CH548" s="231">
        <f>IF(CH$3=$K548,IF($C548="W",1,IF($C548="1/2W",0.5,0)),0)</f>
        <v>0</v>
      </c>
      <c r="CI548" s="231">
        <f>IF(CH$3=$K548,IF($C548="L",1,IF($C548="1/2L",0.5,0)),0)</f>
        <v>0</v>
      </c>
      <c r="CJ548" s="231">
        <f>IF(CJ$3=$K548,IF($C548="W",1,IF($C548="1/2W",0.5,0)),0)</f>
        <v>0</v>
      </c>
      <c r="CK548" s="231">
        <f>IF(CJ$3=$K548,IF($C548="L",1,IF($C548="1/2L",0.5,0)),0)</f>
        <v>0</v>
      </c>
      <c r="CL548" s="231">
        <f>IF(CL$3=$K548,IF($C548="W",1,IF($C548="1/2W",0.5,0)),0)</f>
        <v>0</v>
      </c>
      <c r="CM548" s="231">
        <f>IF(CL$3=$K548,IF($C548="L",1,IF($C548="1/2L",0.5,0)),0)</f>
        <v>0</v>
      </c>
      <c r="CN548" s="231">
        <f>IF(CN$3=$K548,IF($C548="W",1,IF($C548="1/2W",0.5,0)),0)</f>
        <v>0</v>
      </c>
      <c r="CO548" s="231">
        <f>IF(CN$3=$K548,IF($C548="L",1,IF($C548="1/2L",0.5,0)),0)</f>
        <v>0</v>
      </c>
      <c r="CP548" s="231">
        <f>IF(CP$3=$K548,IF($C548="W",1,IF($C548="1/2W",0.5,0)),0)</f>
        <v>0</v>
      </c>
      <c r="CQ548" s="231">
        <f>IF(CP$3=$K548,IF($C548="L",1,IF($C548="1/2L",0.5,0)),0)</f>
        <v>0</v>
      </c>
      <c r="CR548" s="231">
        <f>IF(CR$3=$K548,IF($C548="W",1,IF($C548="1/2W",0.5,0)),0)</f>
        <v>0</v>
      </c>
      <c r="CS548" s="231">
        <f>IF(CR$3=$K548,IF($C548="L",1,IF($C548="1/2L",0.5,0)),0)</f>
        <v>0</v>
      </c>
      <c r="CT548" s="208">
        <f>IF(CT$3=$K548,IF($C548="W",1,IF($C548="1/2W",0.5,0)),0)</f>
        <v>0</v>
      </c>
      <c r="CU548" s="209">
        <f>IF(CT$3=$K548,IF($C548="L",1,IF($C548="1/2L",0.5,0)),0)</f>
        <v>0</v>
      </c>
      <c r="CV548" s="209">
        <f>IF(CV$3=$K548,IF($C548="W",1,IF($C548="1/2W",0.5,0)),0)</f>
        <v>0</v>
      </c>
      <c r="CW548" s="209">
        <f>IF(CV$3=$K548,IF($C548="L",1,IF($C548="1/2L",0.5,0)),0)</f>
        <v>0</v>
      </c>
      <c r="CX548" s="209">
        <f>IF(CX$3=$K548,IF($C548="W",1,IF($C548="1/2W",0.5,0)),0)</f>
        <v>0</v>
      </c>
      <c r="CY548" s="209">
        <f>IF(CX$3=$K548,IF($C548="L",1,IF($C548="1/2L",0.5,0)),0)</f>
        <v>0</v>
      </c>
      <c r="CZ548" s="209">
        <f>IF(CZ$3=$K548,IF($C548="W",1,IF($C548="1/2W",0.5,0)),0)</f>
        <v>0</v>
      </c>
      <c r="DA548" s="209">
        <f>IF(CZ$3=$K548,IF($C548="L",1,IF($C548="1/2L",0.5,0)),0)</f>
        <v>0</v>
      </c>
      <c r="DB548" s="209">
        <f>IF(DB$3=$K548,IF($C548="W",1,IF($C548="1/2W",0.5,0)),0)</f>
        <v>1</v>
      </c>
      <c r="DC548" s="209">
        <f>IF(DB$3=$K548,IF($C548="L",1,IF($C548="1/2L",0.5,0)),0)</f>
        <v>0</v>
      </c>
      <c r="DD548" s="209">
        <f>IF(DD$3=$K548,IF($C548="W",1,IF($C548="1/2W",0.5,0)),0)</f>
        <v>0</v>
      </c>
      <c r="DE548" s="210">
        <f>IF(DD$3=$K548,IF($C548="L",1,IF($C548="1/2L",0.5,0)),0)</f>
        <v>0</v>
      </c>
      <c r="DF548" s="211">
        <f>IF(AND(L548&lt;DF$3,$C548="W"),1+DF547,DF547)</f>
        <v>16</v>
      </c>
      <c r="DG548" s="198">
        <f>IF(DF548&gt;DF547,L548+DG547,DG547)</f>
        <v>21.158</v>
      </c>
      <c r="DH548" s="209">
        <f>IF(AND(L548&gt;DH$3,$C548="W"),1+DH547,0+DH547)</f>
        <v>15</v>
      </c>
      <c r="DI548" s="198">
        <f>IF(DH548&gt;DH547,L548+DI547,DI547)</f>
        <v>81.26000000000001</v>
      </c>
      <c r="DJ548" t="s" s="306">
        <f>IF($D547="","",$D547)</f>
        <v>396</v>
      </c>
      <c r="DK548" s="232"/>
    </row>
    <row r="549" ht="14.55" customHeight="1">
      <c r="A549" s="149"/>
      <c r="B549" s="150"/>
      <c r="C549" t="s" s="233">
        <v>51</v>
      </c>
      <c r="D549" s="152"/>
      <c r="E549" s="153"/>
      <c r="F549" s="155"/>
      <c r="G549" s="234"/>
      <c r="H549" s="156"/>
      <c r="I549" t="s" s="349">
        <v>57</v>
      </c>
      <c r="J549" s="350">
        <v>0.75</v>
      </c>
      <c r="K549" t="s" s="351">
        <v>44</v>
      </c>
      <c r="L549" s="352">
        <v>1.952</v>
      </c>
      <c r="M549" s="239">
        <v>38.2</v>
      </c>
      <c r="N549" s="161"/>
      <c r="O549" s="335">
        <f>IF(OR(AE547="",AE548=""),"",IF(L549&gt;0,ROUND(IF(M549&gt;0,M549,IF(M547&gt;0,ROUND((M547*AE549)/AE547,IF(N547=0,2,IF(N547=0.1,1,0))),IF(M548&gt;0,ROUND((M548*AE549)/AE548,IF(N547=0,2,IF(N547=0.1,1,0))),IF(M549&gt;0,M549,0)))),2),""))</f>
        <v>38.2</v>
      </c>
      <c r="P549" s="309">
        <f>IF(I548="Lay",O548*(L548/(L548-1))-O548,IF(I547="Lay",O547*(L547/(L547-1))-O547,IF(OR(L549="",O549=""),"",IF($C549="1/2W",O549/2+O549/2*L549,IF($C549="1/2L",O549/2,(O549*L549-O549)*(1-_xlfn.XLOOKUP(K549,'Janeiro 2023 - Valor Real'!A3:A15,'Janeiro 2023 - Valor Real'!C3:C15,0))+O549)))))</f>
        <v>74.5664</v>
      </c>
      <c r="Q549" s="336">
        <f>IF(K549="","",IF(_xlfn.XLOOKUP(K549,K$124:K322,DJ$124:DJ322,0,,-1)=DJ549,_xlfn.XLOOKUP(K549,K$124:K322,Q$124:Q322,1,,-1)+1,1))</f>
        <v>1</v>
      </c>
      <c r="R549" s="337">
        <f>IF(K549="","",_xlfn.XLOOKUP(K549,K$124:K322,R$124:R322,0,,-1)+IF($C549=" ",1,0))</f>
        <v>0</v>
      </c>
      <c r="S549" s="166"/>
      <c r="T549" s="155"/>
      <c r="U549" s="155"/>
      <c r="V549" s="166"/>
      <c r="W549" s="155"/>
      <c r="X549" s="167"/>
      <c r="Y549" s="128"/>
      <c r="Z549" s="129"/>
      <c r="AA549" s="129"/>
      <c r="AB549" s="129"/>
      <c r="AC549" s="129"/>
      <c r="AD549" s="244">
        <f>((L548/(L548-1)-1))</f>
        <v>1.0989010989011</v>
      </c>
      <c r="AE549" s="338">
        <f>IF(L549="","",(SUM(((L547-1)*(1-_xlfn.XLOOKUP(K547,'Janeiro 2023 - Valor Real'!A3:A15,'Janeiro 2023 - Valor Real'!C3:C15,0))+1),((L548-1)*(1-_xlfn.XLOOKUP(K548,'Janeiro 2023 - Valor Real'!A3:A15,'Janeiro 2023 - Valor Real'!C3:C15,0))+1),((L549-1)*(1-_xlfn.XLOOKUP(K549,'Janeiro 2023 - Valor Real'!A3:A15,'Janeiro 2023 - Valor Real'!C3:C15,0))+1))/((L549-1)*(1-_xlfn.XLOOKUP(K549,'Janeiro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Real'!C3:C15,0))+1))/((L547-1)*(1-_xlfn.XLOOKUP(K547,'Janeiro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Real'!C3:C15,0))+1))/((L548-1)*(1-_xlfn.XLOOKUP(K548,'Janeiro 2023 - Valor Real'!A3:A15,'Janeiro 2023 - Valor Real'!C3:C15,0))+1)+SUM(((L547-1)*(1-_xlfn.XLOOKUP(K547,'Janeiro 2023 - Valor Real'!A3:A15,'Janeiro 2023 - Valor Real'!C3:C15,0))+1),((L548-1)*(1-_xlfn.XLOOKUP(K548,'Janeiro 2023 - Valor Real'!A3:A15,'Janeiro 2023 - Valor Real'!C3:C15,0))+1),((L549-1)*(1-_xlfn.XLOOKUP(K549,'Janeiro 2023 - Valor Real'!A3:A15,'Janeiro 2023 - Valor Real'!C3:C15,0))+1))/((L549-1)*(1-_xlfn.XLOOKUP(K549,'Janeiro 2023 - Valor Real'!A3:A15,'Janeiro 2023 - Valor Real'!C3:C15,0))+1)))</f>
        <v>0.394999292648185</v>
      </c>
      <c r="AF549" s="197">
        <f>IF($K549=AF$3,ROUND(IF(OR($C549="W",$C549="1/2W",$C549="1/2L"),$P549-$O549,IF($C549="X",0,-$O549)),2),0)</f>
        <v>0</v>
      </c>
      <c r="AG549" s="198">
        <f>IF($K549=AG$3,ROUND(IF(OR($C549="W",$C549="1/2W",$C549="1/2L"),$P549-$O549,IF($C549="X",0,-$O549)),2),0)</f>
        <v>0</v>
      </c>
      <c r="AH549" s="198">
        <f>IF($K549=AH$3,ROUND(IF(OR($C549="W",$C549="1/2W",$C549="1/2L"),$P549-$O549,IF($C549="X",0,-$O549)),2),0)</f>
        <v>0</v>
      </c>
      <c r="AI549" s="198">
        <f>IF($K549=AI$3,ROUND(IF(OR($C549="W",$C549="1/2W",$C549="1/2L"),$P549-$O549,IF($C549="X",0,-$O549)),2),0)</f>
        <v>0</v>
      </c>
      <c r="AJ549" s="198">
        <f>IF($K549=AJ$3,ROUND(IF(OR($C549="W",$C549="1/2W",$C549="1/2L"),$P549-$O549,IF($C549="X",0,-$O549)),2),0)</f>
        <v>0</v>
      </c>
      <c r="AK549" s="198">
        <f>IF($K549=AK$3,ROUND(IF(OR($C549="W",$C549="1/2W",$C549="1/2L"),$P549-$O549,IF($C549="X",0,-$O549)),2),0)</f>
        <v>0</v>
      </c>
      <c r="AL549" s="198">
        <f>IF($K549=AL$3,ROUND(IF(OR($C549="W",$C549="1/2W",$C549="1/2L"),$P549-$O549,IF($C549="X",0,-$O549)),2),0)</f>
        <v>0</v>
      </c>
      <c r="AM549" s="198">
        <f>IF($K549=AM$3,ROUND(IF(OR($C549="W",$C549="1/2W",$C549="1/2L"),$P549-$O549,IF($C549="X",0,-$O549)),2),0)</f>
        <v>-38.2</v>
      </c>
      <c r="AN549" s="198">
        <f>IF($K549=AN$3,ROUND(IF(OR($C549="W",$C549="1/2W",$C549="1/2L"),$P549-$O549,IF($C549="X",0,-$O549)),2),0)</f>
        <v>0</v>
      </c>
      <c r="AO549" s="198">
        <f>IF($K549=AO$3,ROUND(IF(OR($C549="W",$C549="1/2W",$C549="1/2L"),$P549-$O549,IF($C549="X",0,-$O549)),2),0)</f>
        <v>0</v>
      </c>
      <c r="AP549" s="198">
        <f>IF($K549=AP$3,ROUND(IF(OR($C549="W",$C549="1/2W",$C549="1/2L"),$P549-$O549,IF($C549="X",0,-$O549)),2),0)</f>
        <v>0</v>
      </c>
      <c r="AQ549" s="198">
        <f>IF($K549=AQ$3,ROUND(IF(OR($C549="W",$C549="1/2W",$C549="1/2L"),$P549-$O549,IF($C549="X",0,-$O549)),2),0)</f>
        <v>0</v>
      </c>
      <c r="AR549" s="199">
        <f>IF($K549=AR$3,ROUND(IF(OR($C549="W",$C549="1/2W",$C549="1/2L"),$P549-$O549,IF($C549="X",0,-$O549)),2),0)</f>
        <v>0</v>
      </c>
      <c r="AS549" s="197">
        <f>IF(AND($B547=" ",$K549=AS$3),$O549,0)</f>
        <v>0</v>
      </c>
      <c r="AT549" s="198">
        <f>IF(AND($B547=" ",K549=AT$3),$O549,0)</f>
        <v>0</v>
      </c>
      <c r="AU549" s="198">
        <f>IF(AND($B547=" ",$K549=AU$3),$O549,0)</f>
        <v>0</v>
      </c>
      <c r="AV549" s="198">
        <f>IF(AND($B547=" ",$K549=AV$3),$O549,0)</f>
        <v>0</v>
      </c>
      <c r="AW549" s="198">
        <f>IF(AND($B547=" ",$K549=AW$3),$O549,0)</f>
        <v>0</v>
      </c>
      <c r="AX549" s="198">
        <f>IF(AND($B547=" ",$K549=AX$3),$O549,0)</f>
        <v>0</v>
      </c>
      <c r="AY549" s="200">
        <f>IF(AND($B547=" ",$K549=AY$3),$O549,0)</f>
        <v>0</v>
      </c>
      <c r="AZ549" s="201">
        <f>IF(AND($B547=" ",$K549=AZ$3),$O549,0)</f>
        <v>0</v>
      </c>
      <c r="BA549" s="201">
        <f>IF(AND($B547=" ",$K549=BA$3),$O549,0)</f>
        <v>0</v>
      </c>
      <c r="BB549" s="201">
        <f>IF(AND($B547=" ",$K549=BB$3),$O549,0)</f>
        <v>0</v>
      </c>
      <c r="BC549" s="202">
        <f>IF(AND($B547=" ",$K549=BC$3),$O549,0)</f>
        <v>0</v>
      </c>
      <c r="BD549" s="198">
        <f>IF(AND($B547=" ",$K549=BD$3),$O549,0)</f>
        <v>0</v>
      </c>
      <c r="BE549" s="199">
        <f>IF(AND($B547=" ",$K549=BE$3),$O549,0)</f>
        <v>0</v>
      </c>
      <c r="BF549" s="197">
        <f>IF($K549=BF$3,IF($C549="X",0,$O549),0)</f>
        <v>0</v>
      </c>
      <c r="BG549" s="198">
        <f>IF($K549=BG$3,IF($C549="X",0,$O549),0)</f>
        <v>0</v>
      </c>
      <c r="BH549" s="198">
        <f>IF($K549=BH$3,IF($C549="X",0,$O549),0)</f>
        <v>0</v>
      </c>
      <c r="BI549" s="198">
        <f>IF($K549=BI$3,IF($C549="X",0,$O549),0)</f>
        <v>0</v>
      </c>
      <c r="BJ549" s="198">
        <f>IF($K549=BJ$3,IF($C549="X",0,$O549),0)</f>
        <v>0</v>
      </c>
      <c r="BK549" s="198">
        <f>IF($K549=BK$3,IF($C549="X",0,$O549),0)</f>
        <v>0</v>
      </c>
      <c r="BL549" s="198">
        <f>IF($K549=BL$3,IF($C549="X",0,$O549),0)</f>
        <v>0</v>
      </c>
      <c r="BM549" s="200">
        <f>IF($K549=BM$3,IF($C549="X",0,$O549),0)</f>
        <v>38.2</v>
      </c>
      <c r="BN549" s="201">
        <f>IF($K549=BN$3,IF($C549="X",0,$O549),0)</f>
        <v>0</v>
      </c>
      <c r="BO549" s="201">
        <f>IF($K549=BO$3,IF($C549="X",0,$O549),0)</f>
        <v>0</v>
      </c>
      <c r="BP549" s="201">
        <f>IF($K549=BP$3,IF($C549="X",0,$O549),0)</f>
        <v>0</v>
      </c>
      <c r="BQ549" s="202">
        <f>IF($K549=BQ$3,IF($C549="X",0,$O549),0)</f>
        <v>0</v>
      </c>
      <c r="BR549" s="199">
        <f>IF($K549=BR$3,IF($C549="X",0,$O549),0)</f>
        <v>0</v>
      </c>
      <c r="BS549" s="228"/>
      <c r="BT549" s="229"/>
      <c r="BU549" s="140"/>
      <c r="BV549" s="229"/>
      <c r="BW549" s="140"/>
      <c r="BX549" s="140"/>
      <c r="BY549" s="140"/>
      <c r="BZ549" s="229"/>
      <c r="CA549" s="140"/>
      <c r="CB549" s="140"/>
      <c r="CC549" s="140"/>
      <c r="CD549" s="141"/>
      <c r="CE549" s="142"/>
      <c r="CF549" s="230">
        <f>IF(CF$3=$K549,IF($C549="W",1,IF($C549="1/2W",0.5,0)),0)</f>
        <v>0</v>
      </c>
      <c r="CG549" s="231">
        <f>IF(CF$3=$K549,IF($C549="L",1,IF($C549="1/2L",0.5,0)),0)</f>
        <v>0</v>
      </c>
      <c r="CH549" s="231">
        <f>IF(CH$3=$K549,IF($C549="W",1,IF($C549="1/2W",0.5,0)),0)</f>
        <v>0</v>
      </c>
      <c r="CI549" s="231">
        <f>IF(CH$3=$K549,IF($C549="L",1,IF($C549="1/2L",0.5,0)),0)</f>
        <v>0</v>
      </c>
      <c r="CJ549" s="231">
        <f>IF(CJ$3=$K549,IF($C549="W",1,IF($C549="1/2W",0.5,0)),0)</f>
        <v>0</v>
      </c>
      <c r="CK549" s="231">
        <f>IF(CJ$3=$K549,IF($C549="L",1,IF($C549="1/2L",0.5,0)),0)</f>
        <v>0</v>
      </c>
      <c r="CL549" s="231">
        <f>IF(CL$3=$K549,IF($C549="W",1,IF($C549="1/2W",0.5,0)),0)</f>
        <v>0</v>
      </c>
      <c r="CM549" s="231">
        <f>IF(CL$3=$K549,IF($C549="L",1,IF($C549="1/2L",0.5,0)),0)</f>
        <v>0</v>
      </c>
      <c r="CN549" s="231">
        <f>IF(CN$3=$K549,IF($C549="W",1,IF($C549="1/2W",0.5,0)),0)</f>
        <v>0</v>
      </c>
      <c r="CO549" s="231">
        <f>IF(CN$3=$K549,IF($C549="L",1,IF($C549="1/2L",0.5,0)),0)</f>
        <v>0</v>
      </c>
      <c r="CP549" s="231">
        <f>IF(CP$3=$K549,IF($C549="W",1,IF($C549="1/2W",0.5,0)),0)</f>
        <v>0</v>
      </c>
      <c r="CQ549" s="231">
        <f>IF(CP$3=$K549,IF($C549="L",1,IF($C549="1/2L",0.5,0)),0)</f>
        <v>0</v>
      </c>
      <c r="CR549" s="231">
        <f>IF(CR$3=$K549,IF($C549="W",1,IF($C549="1/2W",0.5,0)),0)</f>
        <v>0</v>
      </c>
      <c r="CS549" s="231">
        <f>IF(CR$3=$K549,IF($C549="L",1,IF($C549="1/2L",0.5,0)),0)</f>
        <v>0</v>
      </c>
      <c r="CT549" s="208">
        <f>IF(CT$3=$K549,IF($C549="W",1,IF($C549="1/2W",0.5,0)),0)</f>
        <v>0</v>
      </c>
      <c r="CU549" s="209">
        <f>IF(CT$3=$K549,IF($C549="L",1,IF($C549="1/2L",0.5,0)),0)</f>
        <v>1</v>
      </c>
      <c r="CV549" s="209">
        <f>IF(CV$3=$K549,IF($C549="W",1,IF($C549="1/2W",0.5,0)),0)</f>
        <v>0</v>
      </c>
      <c r="CW549" s="209">
        <f>IF(CV$3=$K549,IF($C549="L",1,IF($C549="1/2L",0.5,0)),0)</f>
        <v>0</v>
      </c>
      <c r="CX549" s="209">
        <f>IF(CX$3=$K549,IF($C549="W",1,IF($C549="1/2W",0.5,0)),0)</f>
        <v>0</v>
      </c>
      <c r="CY549" s="209">
        <f>IF(CX$3=$K549,IF($C549="L",1,IF($C549="1/2L",0.5,0)),0)</f>
        <v>0</v>
      </c>
      <c r="CZ549" s="209">
        <f>IF(CZ$3=$K549,IF($C549="W",1,IF($C549="1/2W",0.5,0)),0)</f>
        <v>0</v>
      </c>
      <c r="DA549" s="209">
        <f>IF(CZ$3=$K549,IF($C549="L",1,IF($C549="1/2L",0.5,0)),0)</f>
        <v>0</v>
      </c>
      <c r="DB549" s="209">
        <f>IF(DB$3=$K549,IF($C549="W",1,IF($C549="1/2W",0.5,0)),0)</f>
        <v>0</v>
      </c>
      <c r="DC549" s="209">
        <f>IF(DB$3=$K549,IF($C549="L",1,IF($C549="1/2L",0.5,0)),0)</f>
        <v>0</v>
      </c>
      <c r="DD549" s="209">
        <f>IF(DD$3=$K549,IF($C549="W",1,IF($C549="1/2W",0.5,0)),0)</f>
        <v>0</v>
      </c>
      <c r="DE549" s="210">
        <f>IF(DD$3=$K549,IF($C549="L",1,IF($C549="1/2L",0.5,0)),0)</f>
        <v>0</v>
      </c>
      <c r="DF549" s="211">
        <f>IF(AND(L549&lt;DF$3,$C549="W"),1+DF548,DF548)</f>
        <v>16</v>
      </c>
      <c r="DG549" s="198">
        <f>IF(DF549&gt;DF548,L549+DG548,DG548)</f>
        <v>21.158</v>
      </c>
      <c r="DH549" s="209">
        <f>IF(AND(L549&gt;DH$3,$C549="W"),1+DH548,0+DH548)</f>
        <v>15</v>
      </c>
      <c r="DI549" s="198">
        <f>IF(DH549&gt;DH548,L549+DI548,DI548)</f>
        <v>81.26000000000001</v>
      </c>
      <c r="DJ549" t="s" s="306">
        <f>IF($D547="","",$D547)</f>
        <v>396</v>
      </c>
      <c r="DK549" s="232"/>
    </row>
    <row r="550" ht="14.55" customHeight="1">
      <c r="A550" s="246">
        <f>$A547+1</f>
        <v>183</v>
      </c>
      <c r="B550" t="s" s="247">
        <f>IF(AND(_xlfn.XLOOKUP(H550,H$107:H329,G$107:G329,0)=G550,_xlfn.XLOOKUP("TempoBet",K550:K552,L550:L552,0)&gt;0),"X",IF(OR(C550="W",C551="W",C552="W",C550="1/2W",C551="1/2W",C552="1/2W",C550="1/2L",C551="1/2L",C552="1/2L"),"OK",IF(OR(C550="L",C551="L",C552="L"),"LOSS",IF(OR(C550="X",C551="X",C552="X"),"Anulado"," "))))</f>
        <v>50</v>
      </c>
      <c r="C550" t="s" s="248">
        <v>56</v>
      </c>
      <c r="D550" t="s" s="303">
        <f>IF(G550="","",$D547)</f>
        <v>396</v>
      </c>
      <c r="E550" t="s" s="250">
        <v>133</v>
      </c>
      <c r="F550" t="s" s="251">
        <f>IF(G550="","",IF(OR(AND($C550&lt;&gt;" ",$C551=" "),AND($C551&lt;&gt;" ",$C550=" "),AND(L552&gt;0,OR(AND($C552&lt;&gt;" ",OR($C550=" ",$C551=" ")),AND($C552=" ",OR($C550&lt;&gt;" ",$C551&lt;&gt;" "))))),IF(SUM(F$4:F549)=0,1,LARGE(F$4:F549,1)+1),IF(MONTH(G550)=MONTH(TODAY()),IF(AND(DAY(G550)&lt;DAY(TODAY()),$B550=" "),IF(SUM(F$4:F549)=0,1,LARGE(F$4:F549,1)+1),IF($B550=" ",IF(AND(DAY(G550)=DAY(TODAY()),HOUR(G550)&lt;=HOUR(NOW())+1),IF(AND(HOUR(G550)+2&lt;=HOUR(NOW()),DAY(G550)&lt;=DAY(TODAY()),MINUTE(G550)&lt;=MINUTE(NOW())),IF(SUM(F$4:F549)=0,1,LARGE(F$4:F549,1)+1),IF(OR(MINUTE(G550)&lt;=MINUTE(NOW()),HOUR(G550)&lt;=HOUR(NOW())),"!!!","")),""),"")),"")))</f>
      </c>
      <c r="G550" s="252">
        <v>44953.583333333336</v>
      </c>
      <c r="H550" t="s" s="253">
        <v>416</v>
      </c>
      <c r="I550" s="292">
        <v>1</v>
      </c>
      <c r="J550" s="293"/>
      <c r="K550" t="s" s="256">
        <v>48</v>
      </c>
      <c r="L550" s="257">
        <v>1.51</v>
      </c>
      <c r="M550" s="258">
        <v>9.050000000000001</v>
      </c>
      <c r="N550" s="259">
        <v>0</v>
      </c>
      <c r="O550" s="260">
        <f>IF(OR(AE550="",AE551=""),"",ROUND(IF(L552&gt;0,IF(M550&gt;0,M550,IF(M551&gt;0,ROUND((M551*AE550)/AE551,IF(N550=0,2,IF(N550=0.1,1,0))),ROUND((M552*AE550)/AE552,IF(N550=0,2,IF(N550=0.1,1,0))))),IF(M550&gt;0,M550,ROUND((M551*AE550)/AE551,IF(N550=0,2,IF(N550=0.1,1,0))))),2))</f>
        <v>9.050000000000001</v>
      </c>
      <c r="P550" s="261">
        <f>IF(OR(L550="",O550=""),"",IF($C550="1/2W",O550/2+O550/2*L550,IF($C550="1/2L",O550/2,IF(I550="Lay",(O550*(L550/(L550-1))-O550)*(1-_xlfn.XLOOKUP(K550,'Janeiro 2023 - Valor Real'!A3:A15,'Janeiro 2023 - Valor Real'!C3:C15,0))+O550,(O550*L550-O550)*(1-_xlfn.XLOOKUP(K550,'Janeiro 2023 - Valor Real'!A3:A15,'Janeiro 2023 - Valor Real'!C3:C15,0))+O550))))</f>
        <v>13.6655</v>
      </c>
      <c r="Q550" s="262">
        <f>IF(K550="","",IF(_xlfn.XLOOKUP(K550,K$107:K329,DJ$107:DJ329,0,,-1)=DJ550,_xlfn.XLOOKUP(K550,K$107:K329,Q$107:Q329,1,,-1)+1,1))</f>
        <v>1</v>
      </c>
      <c r="R550" s="263">
        <f>IF(K550="","",_xlfn.XLOOKUP(K550,K$107:K329,R$107:R329,0,,-1)+IF($C550=" ",1,0))</f>
        <v>0</v>
      </c>
      <c r="S550" s="264">
        <f>IF($B550="Anulado",0,ROUND(IF(OR($B550="LOSS",$B550="OK"),IF(OR($C550="W",$C550="1/2W",$C550="1/2L"),P550-O550,IF($C550="L",-O550,0))+IF(OR($C551="W",$C551="1/2W",$C551="1/2L"),P551-O551,IF($C551="L",-O551,0))+IF(OR($C552="W",$C552="1/2W",$C552="1/2L"),P552-O552,IF($C552="L",-O552,0)),IF(AND(OR($C550="W",$C550="1/2W",$C550="1/2L"),C551="W"),P550+P551-SUM(O550:O552)+_xlfn.XLOOKUP("X",C550:C552,O550:O552,0),IF(AND(C550=TRUE,C552="W"),P550+P552-SUM(O550:O552),IF(AND(C551="W",C552="W"),P551+P552-SUM(O550:O552)+_xlfn.XLOOKUP("X",C550:C552,O550:O552,0),IF(L552&gt;0,IF(OR($C550="W",$C550="1/2W",$C550="1/2L"),P550-SUM(O550:O552)+_xlfn.XLOOKUP("X",C550:C552,O550:O552,0),IF(OR($C550="W",$C550="1/2W",$C550="1/2L"),P551-SUM(O550:O552)+_xlfn.XLOOKUP("X",C550:C552,O550:O552,0),IF(OR($C550="W",$C550="1/2W",$C550="1/2L"),P552-SUM(O550:O552)+_xlfn.XLOOKUP("X",C550:C552,O550:O552,0),IF(SUM(P550:P552)/3-SUM(O550:O552)+_xlfn.XLOOKUP("X",C550:C552,O550:O552,0)&gt;0,SUM(P550:P552)/3-SUM(O550:O552)+_xlfn.XLOOKUP("X",C550:C552,O550:O552,0),LARGE(P550:P552,1)-SUM(O550:O552))))),IF(OR($C550="W",$C550="1/2W",$C550="1/2L"),P550-SUM(O550:O551)+_xlfn.XLOOKUP("X",C550:C552,O550:O552,0),IF(OR($C550="W",$C550="1/2W",$C550="1/2L"),P551-SUM(O550:O551)+_xlfn.XLOOKUP("X",C550:C552,O550:O552,0),SUM(P550:P551)/2-SUM(O550:O551)+_xlfn.XLOOKUP("X",C550:C552,O550:O552,0)))))))),2))</f>
        <v>1.18</v>
      </c>
      <c r="T550" s="265">
        <f>IF(S550=0,0,S550/SUM(O550:O552))</f>
        <v>0.0944755804643715</v>
      </c>
      <c r="U550" s="266">
        <f>IF($D550=$D547,IF(OR($B550="LOSS",$B550="OK",$B550="Anulada"),S550,0)+U547,IF(OR($B550="LOSS",$B550="OK",$B550="Anulada"),S550,0))</f>
        <v>35.6</v>
      </c>
      <c r="V550" s="266">
        <f>IF($D550="",0,IF($D550=$D547,IF($B550=" ",IF(I552="",IF(OR(AND(I550="DNB1",I551="DNB2"),AND(OR(I550="DNB1",I550="DNB2"),J551=0),AND(OR(I551="DNB1",I551="DNB2"),J550=0),AND(I550="DNB2",I551="DNB1"),AND(IF(J550=0,(J550+1)/ROUND(J550+1,0),J550/ROUND(J550,0))=1,IF(J551=0,(J551+1)/ROUND(IF(J551="",0,J551)+1,0),IF(J551="",0,J551)/ROUND(IF(J551="",1,J551),0))=1,OR(J550&lt;&gt;""),J551&lt;&gt;"")),0,IF(S550&lt;0,IF(I552="",SMALL(P550:P551,1)-SUM(O550:O551),0),SMALL(P550:P551,1)-SUM(O550:O551))),IF(S550&lt;0,IF(I552="",SMALL(P550:P552,1)-SUM(O550:O552),0),LARGE(P550:P552,1)-SUM(O550:O552))),S550)+V547,IF(I552="",IF(OR(AND(I550="DNB1",I551="DNB2"),AND(OR(I550="DNB1",I550="DNB2"),J551=0),AND(OR(I551="DNB1",I551="DNB2"),J550=0),AND(I550="DNB2",I551="DNB1"),AND(IF(J550=0,(J550+1)/ROUND(J550+1,0),J550/ROUND(J550,0))=1,IF(J551=0,(IF(J551="",0,J551)+1)/ROUND(IF(J551="",0,J551)+1,0),IF(J551="",0,J551)/ROUND(IF(J551="",0,J551)+1,0))=1,OR(J550&lt;&gt;""),J551&lt;&gt;"")),0,IF(S550&lt;0,IF(I552="",SMALL(P550:P551,1)-SUM(O550:O551),0),SMALL(P550:P552,1)-SUM(O550:O552))),IF(S550&lt;0,IF(I552="",SMALL(P550:P552,1)-SUM(O550:O552),0),LARGE(P550:P552,1)-SUM(O550:O552)))))</f>
        <v>35.6</v>
      </c>
      <c r="W550" s="266">
        <f>IF($D550=$D547,IF(S550&lt;0,IF(I552="",S550,0),S550)+W547,S550)</f>
        <v>35.6</v>
      </c>
      <c r="X550" t="s" s="267">
        <f>IF(OR(SUM(R550:R552)=0,V550=W550),ROUND(IF(W550=0,0,W550/Y550)*100,2)&amp;"%",ROUND(IF(V550=0,0,V550/Y550)*100,2)&amp;"% a "&amp;ROUND(IF(W550=0,0,W550/Y550)*100,2)&amp;"%")</f>
        <v>378</v>
      </c>
      <c r="Y550" s="268">
        <f>IF($D550=$D547,Y547+SUM(O550:O552),SUM(O550:O552))</f>
        <v>624.86</v>
      </c>
      <c r="Z550" s="266">
        <f>IF($B550=" ",SUM(O550:O552),0)+Z547</f>
        <v>0</v>
      </c>
      <c r="AA550" s="266">
        <f>IF(G550="","",IF($B550="Anulado",LARGE(P550:P552,1)-SUM(O550:O552)+AA547,AA547))</f>
        <v>24.9665076923077</v>
      </c>
      <c r="AB550" s="266">
        <f>IF($D550="","",AB547+S550)</f>
        <v>374.84</v>
      </c>
      <c r="AC550" s="269">
        <f>IF($D550="","",IF($B550=" ",IF(DAY(G550)=DAY(TODAY()),1+AC547,0+AC547),0+AC547))</f>
        <v>0</v>
      </c>
      <c r="AD550" s="270">
        <f>(1-_xlfn.XLOOKUP(K548,'Janeiro 2023 - Valor Real'!A3:A15,'Janeiro 2023 - Valor Real'!C3:C15,0))+1</f>
        <v>2</v>
      </c>
      <c r="AE550" s="271">
        <f>IF(L550="","",IF(L552&gt;0,(SUM(((L550-1)*(1-_xlfn.XLOOKUP(K550,'Janeiro 2023 - Valor Real'!A3:A15,'Janeiro 2023 - Valor Real'!C3:C15,0))+1),((L551-1)*(1-_xlfn.XLOOKUP(K551,'Janeiro 2023 - Valor Real'!A3:A15,'Janeiro 2023 - Valor Real'!C3:C15,0))+1),((L552-1)*(1-_xlfn.XLOOKUP(K552,'Janeiro 2023 - Valor Real'!A3:A15,'Janeiro 2023 - Valor Real'!C3:C15,0))+1))/((L550-1)*(1-_xlfn.XLOOKUP(K550,'Janeiro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Real'!C3:C15,0))+1))/((L550-1)*(1-_xlfn.XLOOKUP(K550,'Janeiro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Real'!C3:C15,0))+1))/((L551-1)*(1-_xlfn.XLOOKUP(K551,'Janeiro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Real'!C3:C15,0))+1))/((L552-1)*(1-_xlfn.XLOOKUP(K552,'Janeiro 2023 - Valor Real'!A3:A15,'Janeiro 2023 - Valor Real'!C3:C15,0))+1)),IF(I550="Lay",IF(I551="Lay",((L551/(L551-1)-1)*(1-_xlfn.XLOOKUP(K551,'Janeiro 2023 - Valor Real'!A3:A15,'Janeiro 2023 - Valor Real'!C3:C15,0))+1)/(((L551/(L551-1)-1)*(1-_xlfn.XLOOKUP(K551,'Janeiro 2023 - Valor Real'!A3:A15,'Janeiro 2023 - Valor Real'!C3:C15,0))+1)+((L550/(L550-1)-1)*(1-_xlfn.XLOOKUP(K550,'Janeiro 2023 - Valor Real'!A3:A15,'Janeiro 2023 - Valor Real'!C3:C15,0))+1)),((L551-1)*(1-_xlfn.XLOOKUP(K551,'Janeiro 2023 - Valor Real'!A3:A15,'Janeiro 2023 - Valor Real'!C3:C15,0))+1)/(((L551-1)*(1-_xlfn.XLOOKUP(K551,'Janeiro 2023 - Valor Real'!A3:A15,'Janeiro 2023 - Valor Real'!C3:C15,0))+1)+((L550/(L550-1)-1)*(1-_xlfn.XLOOKUP(K550,'Janeiro 2023 - Valor Real'!A3:A15,'Janeiro 2023 - Valor Real'!C3:C15,0))+1))),IF(I551="Lay",(((L551/(L551-1)-1)*(1-_xlfn.XLOOKUP(K551,'Janeiro 2023 - Valor Real'!A3:A15,'Janeiro 2023 - Valor Real'!C3:C15,0))+1))/(((L550-1)*(1-_xlfn.XLOOKUP(K550,'Janeiro 2023 - Valor Real'!A3:A15,'Janeiro 2023 - Valor Real'!C3:C15,0))+1)+((L551/(L551-1)-1)*(1-_xlfn.XLOOKUP(K551,'Janeiro 2023 - Valor Real'!A3:A15,'Janeiro 2023 - Valor Real'!C3:C15,0))+1)),((L551-1)*(1-_xlfn.XLOOKUP(K551,'Janeiro 2023 - Valor Real'!A3:A15,'Janeiro 2023 - Valor Real'!C3:C15,0))+1)/(((L551-1)*(1-_xlfn.XLOOKUP(K551,'Janeiro 2023 - Valor Real'!A3:A15,'Janeiro 2023 - Valor Real'!C3:C15,0))+1)+((L550-1)*(1-_xlfn.XLOOKUP(K550,'Janeiro 2023 - Valor Real'!A3:A15,'Janeiro 2023 - Valor Real'!C3:C15,0))+1))))))</f>
        <v>0.724078290354417</v>
      </c>
      <c r="AF550" s="132">
        <f>IF($K550=AF$3,ROUND(IF(OR($C550="W",$C550="1/2W",$C550="1/2L"),$P550-$O550,IF($C550="X",0,-$O550)),2),0)</f>
        <v>0</v>
      </c>
      <c r="AG550" s="133">
        <f>IF($K550=AG$3,ROUND(IF(OR($C550="W",$C550="1/2W",$C550="1/2L"),$P550-$O550,IF($C550="X",0,-$O550)),2),0)</f>
        <v>0</v>
      </c>
      <c r="AH550" s="133">
        <f>IF($K550=AH$3,ROUND(IF(OR($C550="W",$C550="1/2W",$C550="1/2L"),$P550-$O550,IF($C550="X",0,-$O550)),2),0)</f>
        <v>0</v>
      </c>
      <c r="AI550" s="133">
        <f>IF($K550=AI$3,ROUND(IF(OR($C550="W",$C550="1/2W",$C550="1/2L"),$P550-$O550,IF($C550="X",0,-$O550)),2),0)</f>
        <v>0</v>
      </c>
      <c r="AJ550" s="133">
        <f>IF($K550=AJ$3,ROUND(IF(OR($C550="W",$C550="1/2W",$C550="1/2L"),$P550-$O550,IF($C550="X",0,-$O550)),2),0)</f>
        <v>0</v>
      </c>
      <c r="AK550" s="133">
        <f>IF($K550=AK$3,ROUND(IF(OR($C550="W",$C550="1/2W",$C550="1/2L"),$P550-$O550,IF($C550="X",0,-$O550)),2),0)</f>
        <v>0</v>
      </c>
      <c r="AL550" s="133">
        <f>IF($K550=AL$3,ROUND(IF(OR($C550="W",$C550="1/2W",$C550="1/2L"),$P550-$O550,IF($C550="X",0,-$O550)),2),0)</f>
        <v>0</v>
      </c>
      <c r="AM550" s="133">
        <f>IF($K550=AM$3,ROUND(IF(OR($C550="W",$C550="1/2W",$C550="1/2L"),$P550-$O550,IF($C550="X",0,-$O550)),2),0)</f>
        <v>0</v>
      </c>
      <c r="AN550" s="133">
        <f>IF($K550=AN$3,ROUND(IF(OR($C550="W",$C550="1/2W",$C550="1/2L"),$P550-$O550,IF($C550="X",0,-$O550)),2),0)</f>
        <v>0</v>
      </c>
      <c r="AO550" s="133">
        <f>IF($K550=AO$3,ROUND(IF(OR($C550="W",$C550="1/2W",$C550="1/2L"),$P550-$O550,IF($C550="X",0,-$O550)),2),0)</f>
        <v>0</v>
      </c>
      <c r="AP550" s="133">
        <f>IF($K550=AP$3,ROUND(IF(OR($C550="W",$C550="1/2W",$C550="1/2L"),$P550-$O550,IF($C550="X",0,-$O550)),2),0)</f>
        <v>0</v>
      </c>
      <c r="AQ550" s="133">
        <f>IF($K550=AQ$3,ROUND(IF(OR($C550="W",$C550="1/2W",$C550="1/2L"),$P550-$O550,IF($C550="X",0,-$O550)),2),0)</f>
        <v>4.62</v>
      </c>
      <c r="AR550" s="134">
        <f>IF($K550=AR$3,ROUND(IF(OR($C550="W",$C550="1/2W",$C550="1/2L"),$P550-$O550,IF($C550="X",0,-$O550)),2),0)</f>
        <v>0</v>
      </c>
      <c r="AS550" s="132">
        <f>IF(AND($B550=" ",$K550=AS$3),$O550,0)</f>
        <v>0</v>
      </c>
      <c r="AT550" s="133">
        <f>IF(AND($B550=" ",$K550=AT$3),$O550,0)</f>
        <v>0</v>
      </c>
      <c r="AU550" s="133">
        <f>IF(AND($B550=" ",$K550=AU$3),$O550,0)</f>
        <v>0</v>
      </c>
      <c r="AV550" s="133">
        <f>IF(AND($B550=" ",$K550=AV$3),$O550,0)</f>
        <v>0</v>
      </c>
      <c r="AW550" s="133">
        <f>IF(AND($B550=" ",$K550=AW$3),$O550,0)</f>
        <v>0</v>
      </c>
      <c r="AX550" s="133">
        <f>IF(AND($B550=" ",$K550=AX$3),$O550,0)</f>
        <v>0</v>
      </c>
      <c r="AY550" s="135">
        <f>IF(AND($B550=" ",$K550=AY$3),$O550,0)</f>
        <v>0</v>
      </c>
      <c r="AZ550" s="136">
        <f>IF(AND($B550=" ",$K550=AZ$3),$O550,0)</f>
        <v>0</v>
      </c>
      <c r="BA550" s="136">
        <f>IF(AND($B550=" ",$K550=BA$3),$O550,0)</f>
        <v>0</v>
      </c>
      <c r="BB550" s="136">
        <f>IF(AND($B550=" ",$K550=BB$3),$O550,0)</f>
        <v>0</v>
      </c>
      <c r="BC550" s="137">
        <f>IF(AND($B550=" ",$K550=BC$3),$O550,0)</f>
        <v>0</v>
      </c>
      <c r="BD550" s="133">
        <f>IF(AND($B550=" ",$K550=BD$3),$O550,0)</f>
        <v>0</v>
      </c>
      <c r="BE550" s="134">
        <f>IF(AND($B550=" ",$K550=BE$3),$O550,0)</f>
        <v>0</v>
      </c>
      <c r="BF550" s="132">
        <f>IF($K550=BF$3,IF($C550="X",0,$O550),0)</f>
        <v>0</v>
      </c>
      <c r="BG550" s="133">
        <f>IF($K550=BG$3,IF($C550="X",0,$O550),0)</f>
        <v>0</v>
      </c>
      <c r="BH550" s="133">
        <f>IF($K550=BH$3,IF($C550="X",0,$O550),0)</f>
        <v>0</v>
      </c>
      <c r="BI550" s="133">
        <f>IF($K550=BI$3,IF($C550="X",0,$O550),0)</f>
        <v>0</v>
      </c>
      <c r="BJ550" s="133">
        <f>IF($K550=BJ$3,IF($C550="X",0,$O550),0)</f>
        <v>0</v>
      </c>
      <c r="BK550" s="133">
        <f>IF($K550=BK$3,IF($C550="X",0,$O550),0)</f>
        <v>0</v>
      </c>
      <c r="BL550" s="133">
        <f>IF($K550=BL$3,IF($C550="X",0,$O550),0)</f>
        <v>0</v>
      </c>
      <c r="BM550" s="135">
        <f>IF($K550=BM$3,IF($C550="X",0,$O550),0)</f>
        <v>0</v>
      </c>
      <c r="BN550" s="136">
        <f>IF($K550=BN$3,IF($C550="X",0,$O550),0)</f>
        <v>0</v>
      </c>
      <c r="BO550" s="136">
        <f>IF($K550=BO$3,IF($C550="X",0,$O550),0)</f>
        <v>0</v>
      </c>
      <c r="BP550" s="136">
        <f>IF($K550=BP$3,IF($C550="X",0,$O550),0)</f>
        <v>0</v>
      </c>
      <c r="BQ550" s="137">
        <f>IF($K550=BQ$3,IF($C550="X",0,$O550),0)</f>
        <v>9.050000000000001</v>
      </c>
      <c r="BR550" s="134">
        <f>IF($K550=BR$3,IF($C550="X",0,$O550),0)</f>
        <v>0</v>
      </c>
      <c r="BS550" s="170">
        <f>IF($B550="LOSS",IF(AND($K550=BS$3,$C550="L"),-$O550,0)+IF(AND($K551=BS$3,$C551="L"),-$O551,0)+IF(AND($K552=BS$3,$C552="L"),-$O552,0),IF(OR(AND($K550=BS$3,OR($C550="W",$C550="1/2W")),AND($K551=BS$3,OR($C551="W",$C551="1/2W")),AND($K552=BS$3,OR($C552="W",$C552="1/2W"))),$S550,0))</f>
        <v>0</v>
      </c>
      <c r="BT550" s="272">
        <f>IF($B550="LOSS",IF(AND($K550=BT$3,$C550="L"),-$O550,0)+IF(AND($K551=BT$3,$C551="L"),-$O551,0)+IF(AND($K551=BT$3,$C552="L"),-$O552,0),IF(OR(AND($K551=BT$3,OR($C550="W",$C550="1/2W")),AND($K551=BT$3,OR($C551="W",$C551="1/2W")),AND($K551=BT$3,OR($C552="W",$C552="1/2W"))),$S550,0))</f>
        <v>0</v>
      </c>
      <c r="BU550" s="136">
        <f>IF($B550="LOSS",IF(AND($K550=BU$3,$C550="L"),-$O550,0)+IF(AND($K551=BU$3,$C551="L"),-$O551,0)+IF(AND($K551=BU$3,$C552="L"),-$O552,0),IF(OR(AND($K551=BU$3,OR($C550="W",$C550="1/2W")),AND($K551=BU$3,OR($C551="W",$C551="1/2W")),AND($K551=BU$3,OR($C552="W",$C552="1/2W"))),$S550,0))</f>
        <v>0</v>
      </c>
      <c r="BV550" s="136">
        <f>IF($B550="LOSS",IF(AND($K550=BV$3,$C550="L"),-$O550,0)+IF(AND($K551=BV$3,$C551="L"),-$O551,0)+IF(AND($K552=BV$3,$C552="L"),-$O552,0),IF(OR(AND($K550=BV$3,OR($C550="W",$C550="1/2W")),AND($K551=BV$3,OR($C551="W",$C551="1/2W")),AND($K552=BV$3,OR($C552="W",$C552="1/2W"))),$S550,0))</f>
        <v>0</v>
      </c>
      <c r="BW550" s="136">
        <f>IF($B550="LOSS",IF(AND($K550=BW$3,$C550="L"),-$O550,0)+IF(AND($K551=BW$3,$C551="L"),-$O551,0)+IF(AND($K552=BW$3,$C552="L"),-$O552,0),IF(OR(AND($K550=BW$3,OR($C550="W",$C550="1/2W")),AND($K551=BW$3,OR($C551="W",$C551="1/2W")),AND($K552=BW$3,OR($C552="W",$C552="1/2W"))),$S550,0))</f>
        <v>0</v>
      </c>
      <c r="BX550" s="136">
        <f>IF($B550="LOSS",IF(AND($K550=BX$3,$C550="L"),-$O550,0)+IF(AND($K551=BX$3,$C551="L"),-$O551,0)+IF(AND($K552=BX$3,$C552="L"),-$O552,0),IF(OR(AND($K550=BX$3,OR($C550="W",$C550="1/2W")),AND($K551=BX$3,OR($C551="W",$C551="1/2W")),AND($K552=BX$3,OR($C552="W",$C552="1/2W"))),$S550,0))</f>
        <v>0</v>
      </c>
      <c r="BY550" s="136">
        <f>IF($B550="LOSS",IF(AND($K550=BY$3,$C550="L"),-$O550,0)+IF(AND($K551=BY$3,$C551="L"),-$O551,0)+IF(AND($K552=BY$3,$C552="L"),-$O552,0),IF(OR(AND($K550=BY$3,OR($C550="W",$C550="1/2W")),AND($K551=BY$3,OR($C551="W",$C551="1/2W")),AND($K552=BY$3,OR($C552="W",$C552="1/2W"))),$S550,0))</f>
        <v>0</v>
      </c>
      <c r="BZ550" s="136">
        <f>IF($B550="LOSS",IF(AND($K550=BZ$3,$C550="L"),-$O550,0)+IF(AND($K551=BZ$3,$C551="L"),-$O551,0)+IF(AND($K552=BZ$3,$C552="L"),-$O552,0),IF(OR(AND($K550=BZ$3,OR($C550="W",$C550="1/2W")),AND($K551=BZ$3,OR($C551="W",$C551="1/2W")),AND($K552=BZ$3,OR($C552="W",$C552="1/2W"))),$S550,0))</f>
        <v>0</v>
      </c>
      <c r="CA550" s="136">
        <f>IF($B550="LOSS",IF(AND($K550=CA$3,$C550="L"),-$O550,0)+IF(AND($K551=CA$3,$C551="L"),-$O551,0)+IF(AND($K552=CA$3,$C552="L"),-$O552,0),IF(OR(AND($K550=CA$3,OR($C550="W",$C550="1/2W")),AND($K551=CA$3,OR($C551="W",$C551="1/2W")),AND($K552=CA$3,OR($C552="W",$C552="1/2W"))),$S550,0))</f>
        <v>0</v>
      </c>
      <c r="CB550" s="136">
        <f>IF($B550="LOSS",IF(AND($K550=CB$3,$C550="L"),-$O550,0)+IF(AND($K551=CB$3,$C551="L"),-$O551,0)+IF(AND($K552=CB$3,$C552="L"),-$O552,0),IF(OR(AND($K550=CB$3,OR($C550="W",$C550="1/2W")),AND($K551=CB$3,OR($C551="W",$C551="1/2W")),AND($K552=CB$3,OR($C552="W",$C552="1/2W"))),$S550,0))</f>
        <v>0</v>
      </c>
      <c r="CC550" s="136">
        <f>IF($B550="LOSS",IF(AND($K550=CC$3,$C550="L"),-$O550,0)+IF(AND($K551=CC$3,$C551="L"),-$O551,0)+IF(AND($K552=CC$3,$C552="L"),-$O552,0),IF(OR(AND($K550=CC$3,OR($C550="W",$C550="1/2W")),AND($K551=CC$3,OR($C551="W",$C551="1/2W")),AND($K552=CC$3,OR($C552="W",$C552="1/2W"))),$S550,0))</f>
        <v>0</v>
      </c>
      <c r="CD550" s="137">
        <f>IF($B550="LOSS",IF(AND($K550=CD$3,$C550="L"),-$O550,0)+IF(AND($K551=CD$3,$C551="L"),-$O551,0)+IF(AND($K552=CD$3,$C552="L"),-$O552,0),IF(OR(AND($K550=CD$3,OR($C550="W",$C550="1/2W")),AND($K551=CD$3,OR($C551="W",$C551="1/2W")),AND($K552=CD$3,OR($C552="W",$C552="1/2W"))),$S550,0))</f>
        <v>1.18</v>
      </c>
      <c r="CE550" s="134">
        <f>IF($B550="LOSS",IF(AND($K550=CE$3,$C550="L"),-$O550,0)+IF(AND($K551=CE$3,$C551="L"),-$O551,0)+IF(AND($K552=CE$3,$C552="L"),-$O552,0),IF(OR(AND($K550=CE$3,OR($C550="W",$C550="1/2W")),AND($K551=CE$3,OR($C551="W",$C551="1/2W")),AND($K552=CE$3,OR($C552="W",$C552="1/2W"))),$S550,0))</f>
        <v>0</v>
      </c>
      <c r="CF550" s="273">
        <f>IF(CF$3=$K550,IF($C550="W",1,IF($C550="1/2W",0.5,0)),0)</f>
        <v>0</v>
      </c>
      <c r="CG550" s="274">
        <f>IF(CF$3=$K550,IF($C550="L",1,IF($C550="1/2L",0.5,0)),0)</f>
        <v>0</v>
      </c>
      <c r="CH550" s="274">
        <f>IF(CH$3=$K550,IF($C550="W",1,IF($C550="1/2W",0.5,0)),0)</f>
        <v>0</v>
      </c>
      <c r="CI550" s="274">
        <f>IF(CH$3=$K550,IF($C550="L",1,IF($C550="1/2L",0.5,0)),0)</f>
        <v>0</v>
      </c>
      <c r="CJ550" s="274">
        <f>IF(CJ$3=$K550,IF($C550="W",1,IF($C550="1/2W",0.5,0)),0)</f>
        <v>0</v>
      </c>
      <c r="CK550" s="274">
        <f>IF(CJ$3=$K550,IF($C550="L",1,IF($C550="1/2L",0.5,0)),0)</f>
        <v>0</v>
      </c>
      <c r="CL550" s="274">
        <f>IF(CL$3=$K550,IF($C550="W",1,IF($C550="1/2W",0.5,0)),0)</f>
        <v>0</v>
      </c>
      <c r="CM550" s="274">
        <f>IF(CL$3=$K550,IF($C550="L",1,IF($C550="1/2L",0.5,0)),0)</f>
        <v>0</v>
      </c>
      <c r="CN550" s="274">
        <f>IF(CN$3=$K550,IF($C550="W",1,IF($C550="1/2W",0.5,0)),0)</f>
        <v>0</v>
      </c>
      <c r="CO550" s="274">
        <f>IF(CN$3=$K550,IF($C550="L",1,IF($C550="1/2L",0.5,0)),0)</f>
        <v>0</v>
      </c>
      <c r="CP550" s="274">
        <f>IF(CP$3=$K550,IF($C550="W",1,IF($C550="1/2W",0.5,0)),0)</f>
        <v>0</v>
      </c>
      <c r="CQ550" s="274">
        <f>IF(CP$3=$K550,IF($C550="L",1,IF($C550="1/2L",0.5,0)),0)</f>
        <v>0</v>
      </c>
      <c r="CR550" s="274">
        <f>IF(CR$3=$K550,IF($C550="W",1,IF($C550="1/2W",0.5,0)),0)</f>
        <v>0</v>
      </c>
      <c r="CS550" s="274">
        <f>IF(CR$3=$K550,IF($C550="L",1,IF($C550="1/2L",0.5,0)),0)</f>
        <v>0</v>
      </c>
      <c r="CT550" s="145">
        <f>IF(CT$3=$K550,IF($C550="W",1,IF($C550="1/2W",0.5,0)),0)</f>
        <v>0</v>
      </c>
      <c r="CU550" s="146">
        <f>IF(CT$3=$K550,IF($C550="L",1,IF($C550="1/2L",0.5,0)),0)</f>
        <v>0</v>
      </c>
      <c r="CV550" s="146">
        <f>IF(CV$3=$K550,IF($C550="W",1,IF($C550="1/2W",0.5,0)),0)</f>
        <v>0</v>
      </c>
      <c r="CW550" s="146">
        <f>IF(CV$3=$K550,IF($C550="L",1,IF($C550="1/2L",0.5,0)),0)</f>
        <v>0</v>
      </c>
      <c r="CX550" s="146">
        <f>IF(CX$3=$K550,IF($C550="W",1,IF($C550="1/2W",0.5,0)),0)</f>
        <v>0</v>
      </c>
      <c r="CY550" s="146">
        <f>IF(CX$3=$K550,IF($C550="L",1,IF($C550="1/2L",0.5,0)),0)</f>
        <v>0</v>
      </c>
      <c r="CZ550" s="146">
        <f>IF(CZ$3=$K550,IF($C550="W",1,IF($C550="1/2W",0.5,0)),0)</f>
        <v>0</v>
      </c>
      <c r="DA550" s="146">
        <f>IF(CZ$3=$K550,IF($C550="L",1,IF($C550="1/2L",0.5,0)),0)</f>
        <v>0</v>
      </c>
      <c r="DB550" s="146">
        <f>IF(DB$3=$K550,IF($C550="W",1,IF($C550="1/2W",0.5,0)),0)</f>
        <v>1</v>
      </c>
      <c r="DC550" s="146">
        <f>IF(DB$3=$K550,IF($C550="L",1,IF($C550="1/2L",0.5,0)),0)</f>
        <v>0</v>
      </c>
      <c r="DD550" s="146">
        <f>IF(DD$3=$K550,IF($C550="W",1,IF($C550="1/2W",0.5,0)),0)</f>
        <v>0</v>
      </c>
      <c r="DE550" s="147">
        <f>IF(DD$3=$K550,IF($C550="L",1,IF($C550="1/2L",0.5,0)),0)</f>
        <v>0</v>
      </c>
      <c r="DF550" s="143">
        <f>IF(AND(L550&lt;DF$3,$C550="W"),1+DF549,DF549)</f>
        <v>16</v>
      </c>
      <c r="DG550" s="133">
        <f>IF(DF550&gt;DF549,L550+DG549,DG549)</f>
        <v>21.158</v>
      </c>
      <c r="DH550" s="146">
        <f>IF(AND(L550&gt;DH$3,$C550="W"),1+DH549,0+DH549)</f>
        <v>15</v>
      </c>
      <c r="DI550" s="133">
        <f>IF(DH550&gt;DH549,L550+DI549,DI549)</f>
        <v>81.26000000000001</v>
      </c>
      <c r="DJ550" t="s" s="304">
        <f>IF($D550="","",$D550)</f>
        <v>396</v>
      </c>
      <c r="DK550" s="146">
        <f>IF(AND($B550=" ",$D550&lt;&gt;""),1,0)</f>
        <v>0</v>
      </c>
    </row>
    <row r="551" ht="14.55" customHeight="1">
      <c r="A551" s="107"/>
      <c r="B551" s="108"/>
      <c r="C551" t="s" s="109">
        <v>51</v>
      </c>
      <c r="D551" s="110"/>
      <c r="E551" s="111"/>
      <c r="F551" s="113"/>
      <c r="G551" s="252"/>
      <c r="H551" s="114"/>
      <c r="I551" t="s" s="275">
        <v>114</v>
      </c>
      <c r="J551" t="s" s="295">
        <f>IF(OR(I550="TO",I550="TU",I550="TO1",I550="TU1",I550="TO2",I550="TU2"),J550,IF(OR(I550="AH1",I550="AH2"),IF(OR(I551="AH1",I551="AH2"),-J550,IF(OR(I551="EH1",I551="EH2"),-J550+0.5,"")),IF(OR(I550="EH1",I550="EH2"),IF(OR(I551="AH1",I551="AH2"),-J550+0.5,IF(OR(I551="EH1",I551="EH2"),-J550+1,"")),IF(AND(OR(I550="DNB1",I550="DNB2"),OR(I551="AH1",I551="AH2")),0,IF(AND(I550="Not ScoreBoth",OR(I551="TO1",I551="TO2")),0.5,"")))))</f>
      </c>
      <c r="K551" t="s" s="117">
        <v>48</v>
      </c>
      <c r="L551" s="277">
        <v>13</v>
      </c>
      <c r="M551" s="278">
        <v>1.05</v>
      </c>
      <c r="N551" s="120"/>
      <c r="O551" s="121">
        <f>IF(OR(AE550="",AE551=""),"",ROUND(IF(L552&gt;0,IF(M551&gt;0,M551,IF(M550&gt;0,IF(N550=TRUE,ROUND((M550*AE551)/AE550,0),(M550*AE551)/AE550),IF(M551&gt;0,ROUND(M551,IF(N550=0,2,IF(N550=0.1,1,0))),IF(M552&gt;0,ROUND(O552*AE551/AE552,IF(N550=0,2,IF(N550=0.1,1,0))),0)))),IF(M551&gt;0,M551,ROUND((M550*AE551)/AE550,IF(N550=0,2,IF(N550=0.1,1,0))))),2))</f>
        <v>1.05</v>
      </c>
      <c r="P551" s="122">
        <f>IF(OR(L551="",O551=""),"",IF($C551="1/2W",O551/2+O551/2*L551,IF($C551="1/2L",O551/2,IF(I551="Lay",((O551*(L551/(L551-1)))-O551)*(1-_xlfn.XLOOKUP(K551,'Janeiro 2023 - Valor Real'!A3:A15,'Janeiro 2023 - Valor Real'!C3:C15,0))+O551,(O551*L551-O551)*(1-_xlfn.XLOOKUP(K551,'Janeiro 2023 - Valor Real'!A3:A15,'Janeiro 2023 - Valor Real'!C3:C15,0))+O551))))</f>
        <v>13.65</v>
      </c>
      <c r="Q551" s="279">
        <f>IF(K551="","",IF(_xlfn.XLOOKUP(K551,K$120:K330,DJ$120:DJ330,0,,-1)=DJ551,_xlfn.XLOOKUP(K551,K$120:K330,Q$120:Q330,1,,-1)+1,1))</f>
        <v>1</v>
      </c>
      <c r="R551" s="280">
        <f>IF(K551="","",_xlfn.XLOOKUP(K551,K$120:K330,R$120:R330,0,,-1)+IF($C551=" ",1,0))</f>
        <v>0</v>
      </c>
      <c r="S551" s="125"/>
      <c r="T551" s="126"/>
      <c r="U551" s="126"/>
      <c r="V551" s="224"/>
      <c r="W551" s="126"/>
      <c r="X551" s="127"/>
      <c r="Y551" s="128"/>
      <c r="Z551" s="129"/>
      <c r="AA551" s="129"/>
      <c r="AB551" s="129"/>
      <c r="AC551" s="129"/>
      <c r="AD551" s="130"/>
      <c r="AE551" s="131">
        <f>IF(L551="","",IF(L552&gt;0,(SUM(((L550-1)*(1-_xlfn.XLOOKUP(K550,'Janeiro 2023 - Valor Real'!A3:A15,'Janeiro 2023 - Valor Real'!C3:C15,0))+1),((L551-1)*(1-_xlfn.XLOOKUP(K551,'Janeiro 2023 - Valor Real'!A3:A15,'Janeiro 2023 - Valor Real'!C3:C15,0))+1),((L552-1)*(1-_xlfn.XLOOKUP(K552,'Janeiro 2023 - Valor Real'!A3:A15,'Janeiro 2023 - Valor Real'!C3:C15,0))+1))/((L551-1)*(1-_xlfn.XLOOKUP(K551,'Janeiro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Real'!C3:C15,0))+1))/((L550-1)*(1-_xlfn.XLOOKUP(K550,'Janeiro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Real'!C3:C15,0))+1))/((L551-1)*(1-_xlfn.XLOOKUP(K551,'Janeiro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Real'!C3:C15,0))+1))/((L552-1)*(1-_xlfn.XLOOKUP(K552,'Janeiro 2023 - Valor Real'!A3:A15,'Janeiro 2023 - Valor Real'!C3:C15,0))+1)),IF(I551="Lay",IF(I550="Lay",((L550/(L550-1)-1)*(1-_xlfn.XLOOKUP(K550,'Janeiro 2023 - Valor Real'!A3:A15,'Janeiro 2023 - Valor Real'!C3:C15,0))+1)/(((L550/(L550-1)-1)*(1-_xlfn.XLOOKUP(K550,'Janeiro 2023 - Valor Real'!A3:A15,'Janeiro 2023 - Valor Real'!C3:C15,0))+1)+((L551/(L551-1)-1)*(1-_xlfn.XLOOKUP(K551,'Janeiro 2023 - Valor Real'!A3:A15,'Janeiro 2023 - Valor Real'!C3:C15,0))+1)),((L550-1)*(1-_xlfn.XLOOKUP(K550,'Janeiro 2023 - Valor Real'!A3:A15,'Janeiro 2023 - Valor Real'!C3:C15,0))+1)/(((L550-1)*(1-_xlfn.XLOOKUP(K550,'Janeiro 2023 - Valor Real'!A3:A15,'Janeiro 2023 - Valor Real'!C3:C15,0))+1)+((L551/(L551-1)-1)*(1-_xlfn.XLOOKUP(K551,'Janeiro 2023 - Valor Real'!A3:A15,'Janeiro 2023 - Valor Real'!C3:C15,0))+1))),IF(I550="Lay",((L550/(L550-1)-1)*(1-_xlfn.XLOOKUP(K550,'Janeiro 2023 - Valor Real'!A3:A15,'Janeiro 2023 - Valor Real'!C3:C15,0))+1)/((((L550/(L550-1)-1)*(1-_xlfn.XLOOKUP(K550,'Janeiro 2023 - Valor Real'!A3:A15,'Janeiro 2023 - Valor Real'!C3:C15,0))+1))+((L551-1)*(1-_xlfn.XLOOKUP(K551,'Janeiro 2023 - Valor Real'!A3:A15,'Janeiro 2023 - Valor Real'!C3:C15,0))+1)),((L550-1)*(1-_xlfn.XLOOKUP(K550,'Janeiro 2023 - Valor Real'!A3:A15,'Janeiro 2023 - Valor Real'!C3:C15,0))+1)/(((L550-1)*(1-_xlfn.XLOOKUP(K550,'Janeiro 2023 - Valor Real'!A3:A15,'Janeiro 2023 - Valor Real'!C3:C15,0))+1)+((L551-1)*(1-_xlfn.XLOOKUP(K551,'Janeiro 2023 - Valor Real'!A3:A15,'Janeiro 2023 - Valor Real'!C3:C15,0))+1))))))</f>
        <v>0.0841044783411669</v>
      </c>
      <c r="AF551" s="132">
        <f>IF($K551=AF$3,ROUND(IF(OR($C551="W",$C551="1/2W",$C551="1/2L"),$P551-$O551,IF($C551="X",0,-$O551)),2),0)</f>
        <v>0</v>
      </c>
      <c r="AG551" s="133">
        <f>IF($K551=AG$3,ROUND(IF(OR($C551="W",$C551="1/2W",$C551="1/2L"),$P551-$O551,IF($C551="X",0,-$O551)),2),0)</f>
        <v>0</v>
      </c>
      <c r="AH551" s="133">
        <f>IF($K551=AH$3,ROUND(IF(OR($C551="W",$C551="1/2W",$C551="1/2L"),$P551-$O551,IF($C551="X",0,-$O551)),2),0)</f>
        <v>0</v>
      </c>
      <c r="AI551" s="133">
        <f>IF($K551=AI$3,ROUND(IF(OR($C551="W",$C551="1/2W",$C551="1/2L"),$P551-$O551,IF($C551="X",0,-$O551)),2),0)</f>
        <v>0</v>
      </c>
      <c r="AJ551" s="133">
        <f>IF($K551=AJ$3,ROUND(IF(OR($C551="W",$C551="1/2W",$C551="1/2L"),$P551-$O551,IF($C551="X",0,-$O551)),2),0)</f>
        <v>0</v>
      </c>
      <c r="AK551" s="133">
        <f>IF($K551=AK$3,ROUND(IF(OR($C551="W",$C551="1/2W",$C551="1/2L"),$P551-$O551,IF($C551="X",0,-$O551)),2),0)</f>
        <v>0</v>
      </c>
      <c r="AL551" s="133">
        <f>IF($K551=AL$3,ROUND(IF(OR($C551="W",$C551="1/2W",$C551="1/2L"),$P551-$O551,IF($C551="X",0,-$O551)),2),0)</f>
        <v>0</v>
      </c>
      <c r="AM551" s="133">
        <f>IF($K551=AM$3,ROUND(IF(OR($C551="W",$C551="1/2W",$C551="1/2L"),$P551-$O551,IF($C551="X",0,-$O551)),2),0)</f>
        <v>0</v>
      </c>
      <c r="AN551" s="133">
        <f>IF($K551=AN$3,ROUND(IF(OR($C551="W",$C551="1/2W",$C551="1/2L"),$P551-$O551,IF($C551="X",0,-$O551)),2),0)</f>
        <v>0</v>
      </c>
      <c r="AO551" s="133">
        <f>IF($K551=AO$3,ROUND(IF(OR($C551="W",$C551="1/2W",$C551="1/2L"),$P551-$O551,IF($C551="X",0,-$O551)),2),0)</f>
        <v>0</v>
      </c>
      <c r="AP551" s="133">
        <f>IF($K551=AP$3,ROUND(IF(OR($C551="W",$C551="1/2W",$C551="1/2L"),$P551-$O551,IF($C551="X",0,-$O551)),2),0)</f>
        <v>0</v>
      </c>
      <c r="AQ551" s="133">
        <f>IF($K551=AQ$3,ROUND(IF(OR($C551="W",$C551="1/2W",$C551="1/2L"),$P551-$O551,IF($C551="X",0,-$O551)),2),0)</f>
        <v>-1.05</v>
      </c>
      <c r="AR551" s="134">
        <f>IF($K551=AR$3,ROUND(IF(OR($C551="W",$C551="1/2W",$C551="1/2L"),$P551-$O551,IF($C551="X",0,-$O551)),2),0)</f>
        <v>0</v>
      </c>
      <c r="AS551" s="132">
        <f>IF(AND($B550=" ",$K551=AS$3),$O551,0)</f>
        <v>0</v>
      </c>
      <c r="AT551" s="133">
        <f>IF(AND($B550=" ",K551=AT$3),$O551,0)</f>
        <v>0</v>
      </c>
      <c r="AU551" s="133">
        <f>IF(AND($B550=" ",$K551=AU$3),$O551,0)</f>
        <v>0</v>
      </c>
      <c r="AV551" s="133">
        <f>IF(AND($B550=" ",$K551=AV$3),$O551,0)</f>
        <v>0</v>
      </c>
      <c r="AW551" s="133">
        <f>IF(AND($B550=" ",$K551=AW$3),$O551,0)</f>
        <v>0</v>
      </c>
      <c r="AX551" s="133">
        <f>IF(AND($B550=" ",$K551=AX$3),$O551,0)</f>
        <v>0</v>
      </c>
      <c r="AY551" s="135">
        <f>IF(AND($B550=" ",$K551=AY$3),$O551,0)</f>
        <v>0</v>
      </c>
      <c r="AZ551" s="136">
        <f>IF(AND($B550=" ",$K551=AZ$3),$O551,0)</f>
        <v>0</v>
      </c>
      <c r="BA551" s="136">
        <f>IF(AND($B550=" ",$K551=BA$3),$O551,0)</f>
        <v>0</v>
      </c>
      <c r="BB551" s="136">
        <f>IF(AND($B550=" ",$K551=BB$3),$O551,0)</f>
        <v>0</v>
      </c>
      <c r="BC551" s="137">
        <f>IF(AND($B550=" ",$K551=BC$3),$O551,0)</f>
        <v>0</v>
      </c>
      <c r="BD551" s="133">
        <f>IF(AND($B550=" ",$K551=BD$3),$O551,0)</f>
        <v>0</v>
      </c>
      <c r="BE551" s="134">
        <f>IF(AND($B550=" ",$K551=BE$3),$O551,0)</f>
        <v>0</v>
      </c>
      <c r="BF551" s="132">
        <f>IF($K551=BF$3,IF($C551="X",0,$O551),0)</f>
        <v>0</v>
      </c>
      <c r="BG551" s="281">
        <f>IF($K551=BG$3,IF($C551="X",0,$O551),0)</f>
        <v>0</v>
      </c>
      <c r="BH551" s="133">
        <f>IF($K551=BH$3,IF($C551="X",0,$O551),0)</f>
        <v>0</v>
      </c>
      <c r="BI551" s="133">
        <f>IF($K551=BI$3,IF($C551="X",0,$O551),0)</f>
        <v>0</v>
      </c>
      <c r="BJ551" s="133">
        <f>IF($K551=BJ$3,IF($C551="X",0,$O551),0)</f>
        <v>0</v>
      </c>
      <c r="BK551" s="133">
        <f>IF($K551=BK$3,IF($C551="X",0,$O551),0)</f>
        <v>0</v>
      </c>
      <c r="BL551" s="133">
        <f>IF($K551=BL$3,IF($C551="X",0,$O551),0)</f>
        <v>0</v>
      </c>
      <c r="BM551" s="135">
        <f>IF($K551=BM$3,IF($C551="X",0,$O551),0)</f>
        <v>0</v>
      </c>
      <c r="BN551" s="136">
        <f>IF($K551=BN$3,IF($C551="X",0,$O551),0)</f>
        <v>0</v>
      </c>
      <c r="BO551" s="136">
        <f>IF($K551=BO$3,IF($C551="X",0,$O551),0)</f>
        <v>0</v>
      </c>
      <c r="BP551" s="136">
        <f>IF($K551=BP$3,IF($C551="X",0,$O551),0)</f>
        <v>0</v>
      </c>
      <c r="BQ551" s="137">
        <f>IF($K551=BQ$3,IF($C551="X",0,$O551),0)</f>
        <v>1.05</v>
      </c>
      <c r="BR551" s="134">
        <f>IF($K551=BR$3,IF($C551="X",0,$O551),0)</f>
        <v>0</v>
      </c>
      <c r="BS551" s="282"/>
      <c r="BT551" s="283"/>
      <c r="BU551" s="140"/>
      <c r="BV551" s="283"/>
      <c r="BW551" s="140"/>
      <c r="BX551" s="140"/>
      <c r="BY551" s="140"/>
      <c r="BZ551" s="283"/>
      <c r="CA551" s="140"/>
      <c r="CB551" s="140"/>
      <c r="CC551" s="140"/>
      <c r="CD551" s="141"/>
      <c r="CE551" s="142"/>
      <c r="CF551" s="284">
        <f>IF(CF$3=$K551,IF($C551="W",1,IF($C551="1/2W",0.5,0)),0)</f>
        <v>0</v>
      </c>
      <c r="CG551" s="285">
        <f>IF(CF$3=$K551,IF($C551="L",1,IF($C551="1/2L",0.5,0)),0)</f>
        <v>0</v>
      </c>
      <c r="CH551" s="285">
        <f>IF(CH$3=$K551,IF($C551="W",1,IF($C551="1/2W",0.5,0)),0)</f>
        <v>0</v>
      </c>
      <c r="CI551" s="285">
        <f>IF(CH$3=$K551,IF($C551="L",1,IF($C551="1/2L",0.5,0)),0)</f>
        <v>0</v>
      </c>
      <c r="CJ551" s="285">
        <f>IF(CJ$3=$K551,IF($C551="W",1,IF($C551="1/2W",0.5,0)),0)</f>
        <v>0</v>
      </c>
      <c r="CK551" s="285">
        <f>IF(CJ$3=$K551,IF($C551="L",1,IF($C551="1/2L",0.5,0)),0)</f>
        <v>0</v>
      </c>
      <c r="CL551" s="285">
        <f>IF(CL$3=$K551,IF($C551="W",1,IF($C551="1/2W",0.5,0)),0)</f>
        <v>0</v>
      </c>
      <c r="CM551" s="285">
        <f>IF(CL$3=$K551,IF($C551="L",1,IF($C551="1/2L",0.5,0)),0)</f>
        <v>0</v>
      </c>
      <c r="CN551" s="285">
        <f>IF(CN$3=$K551,IF($C551="W",1,IF($C551="1/2W",0.5,0)),0)</f>
        <v>0</v>
      </c>
      <c r="CO551" s="285">
        <f>IF(CN$3=$K551,IF($C551="L",1,IF($C551="1/2L",0.5,0)),0)</f>
        <v>0</v>
      </c>
      <c r="CP551" s="285">
        <f>IF(CP$3=$K551,IF($C551="W",1,IF($C551="1/2W",0.5,0)),0)</f>
        <v>0</v>
      </c>
      <c r="CQ551" s="285">
        <f>IF(CP$3=$K551,IF($C551="L",1,IF($C551="1/2L",0.5,0)),0)</f>
        <v>0</v>
      </c>
      <c r="CR551" s="285">
        <f>IF(CR$3=$K551,IF($C551="W",1,IF($C551="1/2W",0.5,0)),0)</f>
        <v>0</v>
      </c>
      <c r="CS551" s="285">
        <f>IF(CR$3=$K551,IF($C551="L",1,IF($C551="1/2L",0.5,0)),0)</f>
        <v>0</v>
      </c>
      <c r="CT551" s="145">
        <f>IF(CT$3=$K551,IF($C551="W",1,IF($C551="1/2W",0.5,0)),0)</f>
        <v>0</v>
      </c>
      <c r="CU551" s="146">
        <f>IF(CT$3=$K551,IF($C551="L",1,IF($C551="1/2L",0.5,0)),0)</f>
        <v>0</v>
      </c>
      <c r="CV551" s="146">
        <f>IF(CV$3=$K551,IF($C551="W",1,IF($C551="1/2W",0.5,0)),0)</f>
        <v>0</v>
      </c>
      <c r="CW551" s="146">
        <f>IF(CV$3=$K551,IF($C551="L",1,IF($C551="1/2L",0.5,0)),0)</f>
        <v>0</v>
      </c>
      <c r="CX551" s="146">
        <f>IF(CX$3=$K551,IF($C551="W",1,IF($C551="1/2W",0.5,0)),0)</f>
        <v>0</v>
      </c>
      <c r="CY551" s="146">
        <f>IF(CX$3=$K551,IF($C551="L",1,IF($C551="1/2L",0.5,0)),0)</f>
        <v>0</v>
      </c>
      <c r="CZ551" s="146">
        <f>IF(CZ$3=$K551,IF($C551="W",1,IF($C551="1/2W",0.5,0)),0)</f>
        <v>0</v>
      </c>
      <c r="DA551" s="146">
        <f>IF(CZ$3=$K551,IF($C551="L",1,IF($C551="1/2L",0.5,0)),0)</f>
        <v>0</v>
      </c>
      <c r="DB551" s="146">
        <f>IF(DB$3=$K551,IF($C551="W",1,IF($C551="1/2W",0.5,0)),0)</f>
        <v>0</v>
      </c>
      <c r="DC551" s="146">
        <f>IF(DB$3=$K551,IF($C551="L",1,IF($C551="1/2L",0.5,0)),0)</f>
        <v>1</v>
      </c>
      <c r="DD551" s="146">
        <f>IF(DD$3=$K551,IF($C551="W",1,IF($C551="1/2W",0.5,0)),0)</f>
        <v>0</v>
      </c>
      <c r="DE551" s="147">
        <f>IF(DD$3=$K551,IF($C551="L",1,IF($C551="1/2L",0.5,0)),0)</f>
        <v>0</v>
      </c>
      <c r="DF551" s="143">
        <f>IF(AND(L551&lt;DF$3,$C551="W"),1+DF550,DF550)</f>
        <v>16</v>
      </c>
      <c r="DG551" s="133">
        <f>IF(DF551&gt;DF550,L551+DG550,DG550)</f>
        <v>21.158</v>
      </c>
      <c r="DH551" s="146">
        <f>IF(AND(L551&gt;DH$3,$C551="W"),1+DH550,0+DH550)</f>
        <v>15</v>
      </c>
      <c r="DI551" s="133">
        <f>IF(DH551&gt;DH550,L551+DI550,DI550)</f>
        <v>81.26000000000001</v>
      </c>
      <c r="DJ551" t="s" s="304">
        <f>IF($D550="","",$D550)</f>
        <v>396</v>
      </c>
      <c r="DK551" s="286"/>
    </row>
    <row r="552" ht="14.55" customHeight="1">
      <c r="A552" s="149"/>
      <c r="B552" s="150"/>
      <c r="C552" t="s" s="151">
        <v>51</v>
      </c>
      <c r="D552" s="152"/>
      <c r="E552" s="153"/>
      <c r="F552" s="155"/>
      <c r="G552" s="252"/>
      <c r="H552" s="156"/>
      <c r="I552" s="353">
        <v>2</v>
      </c>
      <c r="J552" s="288"/>
      <c r="K552" t="s" s="341">
        <v>41</v>
      </c>
      <c r="L552" s="342">
        <v>5.7</v>
      </c>
      <c r="M552" s="290">
        <v>2.39</v>
      </c>
      <c r="N552" s="161"/>
      <c r="O552" s="343">
        <f>IF(OR(AE550="",AE551=""),"",IF(L552&gt;0,ROUND(IF(M552&gt;0,M552,IF(M550&gt;0,ROUND((M550*AE552)/AE550,IF(N550=0,2,IF(N550=0.1,1,0))),IF(M551&gt;0,ROUND((M551*AE552)/AE551,IF(N550=0,2,IF(N550=0.1,1,0))),IF(M552&gt;0,M552,0)))),2),""))</f>
        <v>2.39</v>
      </c>
      <c r="P552" s="297">
        <f>IF(I551="Lay",O551*(L551/(L551-1))-O551,IF(I550="Lay",O550*(L550/(L550-1))-O550,IF(OR(L552="",O552=""),"",IF($C552="1/2W",O552/2+O552/2*L552,IF($C552="1/2L",O552/2,(O552*L552-O552)*(1-_xlfn.XLOOKUP(K552,'Janeiro 2023 - Valor Real'!A3:A15,'Janeiro 2023 - Valor Real'!C3:C15,0))+O552)))))</f>
        <v>13.623</v>
      </c>
      <c r="Q552" s="344">
        <f>IF(K552="","",IF(_xlfn.XLOOKUP(K552,K$121:K331,DJ$121:DJ331,0,,-1)=DJ552,_xlfn.XLOOKUP(K552,K$121:K331,Q$121:Q331,1,,-1)+1,1))</f>
        <v>1</v>
      </c>
      <c r="R552" s="345">
        <f>IF(K552="","",_xlfn.XLOOKUP(K552,K$121:K331,R$121:R331,0,,-1)+IF($C552=" ",1,0))</f>
        <v>0</v>
      </c>
      <c r="S552" s="166"/>
      <c r="T552" s="155"/>
      <c r="U552" s="155"/>
      <c r="V552" s="166"/>
      <c r="W552" s="155"/>
      <c r="X552" s="167"/>
      <c r="Y552" s="128"/>
      <c r="Z552" s="129"/>
      <c r="AA552" s="129"/>
      <c r="AB552" s="129"/>
      <c r="AC552" s="129"/>
      <c r="AD552" s="168"/>
      <c r="AE552" s="346">
        <f>IF(L552="","",(SUM(((L550-1)*(1-_xlfn.XLOOKUP(K550,'Janeiro 2023 - Valor Real'!A3:A15,'Janeiro 2023 - Valor Real'!C3:C15,0))+1),((L551-1)*(1-_xlfn.XLOOKUP(K551,'Janeiro 2023 - Valor Real'!A3:A15,'Janeiro 2023 - Valor Real'!C3:C15,0))+1),((L552-1)*(1-_xlfn.XLOOKUP(K552,'Janeiro 2023 - Valor Real'!A3:A15,'Janeiro 2023 - Valor Real'!C3:C15,0))+1))/((L552-1)*(1-_xlfn.XLOOKUP(K552,'Janeiro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Real'!C3:C15,0))+1))/((L550-1)*(1-_xlfn.XLOOKUP(K550,'Janeiro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Real'!C3:C15,0))+1))/((L551-1)*(1-_xlfn.XLOOKUP(K551,'Janeiro 2023 - Valor Real'!A3:A15,'Janeiro 2023 - Valor Real'!C3:C15,0))+1)+SUM(((L550-1)*(1-_xlfn.XLOOKUP(K550,'Janeiro 2023 - Valor Real'!A3:A15,'Janeiro 2023 - Valor Real'!C3:C15,0))+1),((L551-1)*(1-_xlfn.XLOOKUP(K551,'Janeiro 2023 - Valor Real'!A3:A15,'Janeiro 2023 - Valor Real'!C3:C15,0))+1),((L552-1)*(1-_xlfn.XLOOKUP(K552,'Janeiro 2023 - Valor Real'!A3:A15,'Janeiro 2023 - Valor Real'!C3:C15,0))+1))/((L552-1)*(1-_xlfn.XLOOKUP(K552,'Janeiro 2023 - Valor Real'!A3:A15,'Janeiro 2023 - Valor Real'!C3:C15,0))+1)))</f>
        <v>0.191817231304416</v>
      </c>
      <c r="AF552" s="132">
        <f>IF($K552=AF$3,ROUND(IF(OR($C552="W",$C552="1/2W",$C552="1/2L"),$P552-$O552,IF($C552="X",0,-$O552)),2),0)</f>
        <v>0</v>
      </c>
      <c r="AG552" s="133">
        <f>IF($K552=AG$3,ROUND(IF(OR($C552="W",$C552="1/2W",$C552="1/2L"),$P552-$O552,IF($C552="X",0,-$O552)),2),0)</f>
        <v>0</v>
      </c>
      <c r="AH552" s="133">
        <f>IF($K552=AH$3,ROUND(IF(OR($C552="W",$C552="1/2W",$C552="1/2L"),$P552-$O552,IF($C552="X",0,-$O552)),2),0)</f>
        <v>0</v>
      </c>
      <c r="AI552" s="133">
        <f>IF($K552=AI$3,ROUND(IF(OR($C552="W",$C552="1/2W",$C552="1/2L"),$P552-$O552,IF($C552="X",0,-$O552)),2),0)</f>
        <v>0</v>
      </c>
      <c r="AJ552" s="133">
        <f>IF($K552=AJ$3,ROUND(IF(OR($C552="W",$C552="1/2W",$C552="1/2L"),$P552-$O552,IF($C552="X",0,-$O552)),2),0)</f>
        <v>-2.39</v>
      </c>
      <c r="AK552" s="133">
        <f>IF($K552=AK$3,ROUND(IF(OR($C552="W",$C552="1/2W",$C552="1/2L"),$P552-$O552,IF($C552="X",0,-$O552)),2),0)</f>
        <v>0</v>
      </c>
      <c r="AL552" s="133">
        <f>IF($K552=AL$3,ROUND(IF(OR($C552="W",$C552="1/2W",$C552="1/2L"),$P552-$O552,IF($C552="X",0,-$O552)),2),0)</f>
        <v>0</v>
      </c>
      <c r="AM552" s="133">
        <f>IF($K552=AM$3,ROUND(IF(OR($C552="W",$C552="1/2W",$C552="1/2L"),$P552-$O552,IF($C552="X",0,-$O552)),2),0)</f>
        <v>0</v>
      </c>
      <c r="AN552" s="133">
        <f>IF($K552=AN$3,ROUND(IF(OR($C552="W",$C552="1/2W",$C552="1/2L"),$P552-$O552,IF($C552="X",0,-$O552)),2),0)</f>
        <v>0</v>
      </c>
      <c r="AO552" s="133">
        <f>IF($K552=AO$3,ROUND(IF(OR($C552="W",$C552="1/2W",$C552="1/2L"),$P552-$O552,IF($C552="X",0,-$O552)),2),0)</f>
        <v>0</v>
      </c>
      <c r="AP552" s="133">
        <f>IF($K552=AP$3,ROUND(IF(OR($C552="W",$C552="1/2W",$C552="1/2L"),$P552-$O552,IF($C552="X",0,-$O552)),2),0)</f>
        <v>0</v>
      </c>
      <c r="AQ552" s="133">
        <f>IF($K552=AQ$3,ROUND(IF(OR($C552="W",$C552="1/2W",$C552="1/2L"),$P552-$O552,IF($C552="X",0,-$O552)),2),0)</f>
        <v>0</v>
      </c>
      <c r="AR552" s="134">
        <f>IF($K552=AR$3,ROUND(IF(OR($C552="W",$C552="1/2W",$C552="1/2L"),$P552-$O552,IF($C552="X",0,-$O552)),2),0)</f>
        <v>0</v>
      </c>
      <c r="AS552" s="132">
        <f>IF(AND($B550=" ",$K552=AS$3),$O552,0)</f>
        <v>0</v>
      </c>
      <c r="AT552" s="133">
        <f>IF(AND($B550=" ",K552=AT$3),$O552,0)</f>
        <v>0</v>
      </c>
      <c r="AU552" s="133">
        <f>IF(AND($B550=" ",$K552=AU$3),$O552,0)</f>
        <v>0</v>
      </c>
      <c r="AV552" s="133">
        <f>IF(AND($B550=" ",$K552=AV$3),$O552,0)</f>
        <v>0</v>
      </c>
      <c r="AW552" s="133">
        <f>IF(AND($B550=" ",$K552=AW$3),$O552,0)</f>
        <v>0</v>
      </c>
      <c r="AX552" s="133">
        <f>IF(AND($B550=" ",$K552=AX$3),$O552,0)</f>
        <v>0</v>
      </c>
      <c r="AY552" s="135">
        <f>IF(AND($B550=" ",$K552=AY$3),$O552,0)</f>
        <v>0</v>
      </c>
      <c r="AZ552" s="136">
        <f>IF(AND($B550=" ",$K552=AZ$3),$O552,0)</f>
        <v>0</v>
      </c>
      <c r="BA552" s="136">
        <f>IF(AND($B550=" ",$K552=BA$3),$O552,0)</f>
        <v>0</v>
      </c>
      <c r="BB552" s="136">
        <f>IF(AND($B550=" ",$K552=BB$3),$O552,0)</f>
        <v>0</v>
      </c>
      <c r="BC552" s="137">
        <f>IF(AND($B550=" ",$K552=BC$3),$O552,0)</f>
        <v>0</v>
      </c>
      <c r="BD552" s="133">
        <f>IF(AND($B550=" ",$K552=BD$3),$O552,0)</f>
        <v>0</v>
      </c>
      <c r="BE552" s="134">
        <f>IF(AND($B550=" ",$K552=BE$3),$O552,0)</f>
        <v>0</v>
      </c>
      <c r="BF552" s="132">
        <f>IF($K552=BF$3,IF($C552="X",0,$O552),0)</f>
        <v>0</v>
      </c>
      <c r="BG552" s="281">
        <f>IF($K552=BG$3,IF($C552="X",0,$O552),0)</f>
        <v>0</v>
      </c>
      <c r="BH552" s="133">
        <f>IF($K552=BH$3,IF($C552="X",0,$O552),0)</f>
        <v>0</v>
      </c>
      <c r="BI552" s="133">
        <f>IF($K552=BI$3,IF($C552="X",0,$O552),0)</f>
        <v>0</v>
      </c>
      <c r="BJ552" s="133">
        <f>IF($K552=BJ$3,IF($C552="X",0,$O552),0)</f>
        <v>2.39</v>
      </c>
      <c r="BK552" s="133">
        <f>IF($K552=BK$3,IF($C552="X",0,$O552),0)</f>
        <v>0</v>
      </c>
      <c r="BL552" s="133">
        <f>IF($K552=BL$3,IF($C552="X",0,$O552),0)</f>
        <v>0</v>
      </c>
      <c r="BM552" s="135">
        <f>IF($K552=BM$3,IF($C552="X",0,$O552),0)</f>
        <v>0</v>
      </c>
      <c r="BN552" s="136">
        <f>IF($K552=BN$3,IF($C552="X",0,$O552),0)</f>
        <v>0</v>
      </c>
      <c r="BO552" s="136">
        <f>IF($K552=BO$3,IF($C552="X",0,$O552),0)</f>
        <v>0</v>
      </c>
      <c r="BP552" s="136">
        <f>IF($K552=BP$3,IF($C552="X",0,$O552),0)</f>
        <v>0</v>
      </c>
      <c r="BQ552" s="137">
        <f>IF($K552=BQ$3,IF($C552="X",0,$O552),0)</f>
        <v>0</v>
      </c>
      <c r="BR552" s="134">
        <f>IF($K552=BR$3,IF($C552="X",0,$O552),0)</f>
        <v>0</v>
      </c>
      <c r="BS552" s="282"/>
      <c r="BT552" s="283"/>
      <c r="BU552" s="140"/>
      <c r="BV552" s="283"/>
      <c r="BW552" s="140"/>
      <c r="BX552" s="140"/>
      <c r="BY552" s="140"/>
      <c r="BZ552" s="283"/>
      <c r="CA552" s="140"/>
      <c r="CB552" s="140"/>
      <c r="CC552" s="140"/>
      <c r="CD552" s="141"/>
      <c r="CE552" s="142"/>
      <c r="CF552" s="284">
        <f>IF(CF$3=$K552,IF($C552="W",1,IF($C552="1/2W",0.5,0)),0)</f>
        <v>0</v>
      </c>
      <c r="CG552" s="285">
        <f>IF(CF$3=$K552,IF($C552="L",1,IF($C552="1/2L",0.5,0)),0)</f>
        <v>0</v>
      </c>
      <c r="CH552" s="285">
        <f>IF(CH$3=$K552,IF($C552="W",1,IF($C552="1/2W",0.5,0)),0)</f>
        <v>0</v>
      </c>
      <c r="CI552" s="285">
        <f>IF(CH$3=$K552,IF($C552="L",1,IF($C552="1/2L",0.5,0)),0)</f>
        <v>0</v>
      </c>
      <c r="CJ552" s="285">
        <f>IF(CJ$3=$K552,IF($C552="W",1,IF($C552="1/2W",0.5,0)),0)</f>
        <v>0</v>
      </c>
      <c r="CK552" s="285">
        <f>IF(CJ$3=$K552,IF($C552="L",1,IF($C552="1/2L",0.5,0)),0)</f>
        <v>0</v>
      </c>
      <c r="CL552" s="285">
        <f>IF(CL$3=$K552,IF($C552="W",1,IF($C552="1/2W",0.5,0)),0)</f>
        <v>0</v>
      </c>
      <c r="CM552" s="285">
        <f>IF(CL$3=$K552,IF($C552="L",1,IF($C552="1/2L",0.5,0)),0)</f>
        <v>0</v>
      </c>
      <c r="CN552" s="285">
        <f>IF(CN$3=$K552,IF($C552="W",1,IF($C552="1/2W",0.5,0)),0)</f>
        <v>0</v>
      </c>
      <c r="CO552" s="285">
        <f>IF(CN$3=$K552,IF($C552="L",1,IF($C552="1/2L",0.5,0)),0)</f>
        <v>1</v>
      </c>
      <c r="CP552" s="285">
        <f>IF(CP$3=$K552,IF($C552="W",1,IF($C552="1/2W",0.5,0)),0)</f>
        <v>0</v>
      </c>
      <c r="CQ552" s="285">
        <f>IF(CP$3=$K552,IF($C552="L",1,IF($C552="1/2L",0.5,0)),0)</f>
        <v>0</v>
      </c>
      <c r="CR552" s="285">
        <f>IF(CR$3=$K552,IF($C552="W",1,IF($C552="1/2W",0.5,0)),0)</f>
        <v>0</v>
      </c>
      <c r="CS552" s="285">
        <f>IF(CR$3=$K552,IF($C552="L",1,IF($C552="1/2L",0.5,0)),0)</f>
        <v>0</v>
      </c>
      <c r="CT552" s="145">
        <f>IF(CT$3=$K552,IF($C552="W",1,IF($C552="1/2W",0.5,0)),0)</f>
        <v>0</v>
      </c>
      <c r="CU552" s="146">
        <f>IF(CT$3=$K552,IF($C552="L",1,IF($C552="1/2L",0.5,0)),0)</f>
        <v>0</v>
      </c>
      <c r="CV552" s="146">
        <f>IF(CV$3=$K552,IF($C552="W",1,IF($C552="1/2W",0.5,0)),0)</f>
        <v>0</v>
      </c>
      <c r="CW552" s="146">
        <f>IF(CV$3=$K552,IF($C552="L",1,IF($C552="1/2L",0.5,0)),0)</f>
        <v>0</v>
      </c>
      <c r="CX552" s="146">
        <f>IF(CX$3=$K552,IF($C552="W",1,IF($C552="1/2W",0.5,0)),0)</f>
        <v>0</v>
      </c>
      <c r="CY552" s="146">
        <f>IF(CX$3=$K552,IF($C552="L",1,IF($C552="1/2L",0.5,0)),0)</f>
        <v>0</v>
      </c>
      <c r="CZ552" s="146">
        <f>IF(CZ$3=$K552,IF($C552="W",1,IF($C552="1/2W",0.5,0)),0)</f>
        <v>0</v>
      </c>
      <c r="DA552" s="146">
        <f>IF(CZ$3=$K552,IF($C552="L",1,IF($C552="1/2L",0.5,0)),0)</f>
        <v>0</v>
      </c>
      <c r="DB552" s="146">
        <f>IF(DB$3=$K552,IF($C552="W",1,IF($C552="1/2W",0.5,0)),0)</f>
        <v>0</v>
      </c>
      <c r="DC552" s="146">
        <f>IF(DB$3=$K552,IF($C552="L",1,IF($C552="1/2L",0.5,0)),0)</f>
        <v>0</v>
      </c>
      <c r="DD552" s="146">
        <f>IF(DD$3=$K552,IF($C552="W",1,IF($C552="1/2W",0.5,0)),0)</f>
        <v>0</v>
      </c>
      <c r="DE552" s="147">
        <f>IF(DD$3=$K552,IF($C552="L",1,IF($C552="1/2L",0.5,0)),0)</f>
        <v>0</v>
      </c>
      <c r="DF552" s="143">
        <f>IF(AND(L552&lt;DF$3,$C552="W"),1+DF551,DF551)</f>
        <v>16</v>
      </c>
      <c r="DG552" s="133">
        <f>IF(DF552&gt;DF551,L552+DG551,DG551)</f>
        <v>21.158</v>
      </c>
      <c r="DH552" s="146">
        <f>IF(AND(L552&gt;DH$3,$C552="W"),1+DH551,0+DH551)</f>
        <v>15</v>
      </c>
      <c r="DI552" s="133">
        <f>IF(DH552&gt;DH551,L552+DI551,DI551)</f>
        <v>81.26000000000001</v>
      </c>
      <c r="DJ552" t="s" s="304">
        <f>IF($D550="","",$D550)</f>
        <v>396</v>
      </c>
      <c r="DK552" s="286"/>
    </row>
    <row r="553" ht="14.55" customHeight="1">
      <c r="A553" s="171">
        <f>$A550+1</f>
        <v>184</v>
      </c>
      <c r="B553" t="s" s="172">
        <f>IF(AND(_xlfn.XLOOKUP(H553,H$122:H326,G$122:G326,0)=G553,_xlfn.XLOOKUP("TempoBet",K553:K555,L553:L555,0)&gt;0),"X",IF(OR(C553="W",C554="W",C555="W",C553="1/2W",C554="1/2W",C555="1/2W",C553="1/2L",C554="1/2L",C555="1/2L"),"OK",IF(OR(C553="L",C554="L",C555="L"),"LOSS",IF(OR(C553="X",C554="X",C555="X"),"Anulado"," "))))</f>
        <v>50</v>
      </c>
      <c r="C553" t="s" s="173">
        <v>56</v>
      </c>
      <c r="D553" t="s" s="305">
        <f>IF(G553="","",$D550)</f>
        <v>396</v>
      </c>
      <c r="E553" t="s" s="175">
        <f>IF(G553=""," ","– "&amp;COUNTIF(D$4:D555,$D553))</f>
        <v>135</v>
      </c>
      <c r="F553" t="s" s="176">
        <f>IF(G553="","",IF(OR(AND($C553&lt;&gt;" ",$C554=" "),AND($C554&lt;&gt;" ",$C553=" "),AND(L555&gt;0,OR(AND($C555&lt;&gt;" ",OR($C553=" ",$C554=" ")),AND($C555=" ",OR($C553&lt;&gt;" ",$C554&lt;&gt;" "))))),IF(SUM(F$4:F552)=0,1,LARGE(F$4:F552,1)+1),IF(MONTH(G553)=MONTH(TODAY()),IF(AND(DAY(G553)&lt;DAY(TODAY()),$B553=" "),IF(SUM(F$4:F552)=0,1,LARGE(F$4:F552,1)+1),IF($B553=" ",IF(AND(DAY(G553)=DAY(TODAY()),HOUR(G553)&lt;=HOUR(NOW())+1),IF(AND(HOUR(G553)+2&lt;=HOUR(NOW()),DAY(G553)&lt;=DAY(TODAY()),MINUTE(G553)&lt;=MINUTE(NOW())),IF(SUM(F$4:F552)=0,1,LARGE(F$4:F552,1)+1),IF(OR(MINUTE(G553)&lt;=MINUTE(NOW()),HOUR(G553)&lt;=HOUR(NOW())),"!!!","")),""),"")),"")))</f>
      </c>
      <c r="G553" s="177">
        <v>44953.458333333336</v>
      </c>
      <c r="H553" t="s" s="178">
        <v>417</v>
      </c>
      <c r="I553" t="s" s="179">
        <v>54</v>
      </c>
      <c r="J553" s="291">
        <v>1.5</v>
      </c>
      <c r="K553" t="s" s="181">
        <v>40</v>
      </c>
      <c r="L553" s="182">
        <v>2.45</v>
      </c>
      <c r="M553" s="183">
        <v>5.59</v>
      </c>
      <c r="N553" s="184">
        <v>0.1</v>
      </c>
      <c r="O553" s="185">
        <f>IF(OR(AE553="",AE554=""),"",ROUND(IF(L555&gt;0,IF(M553&gt;0,M553,IF(M554&gt;0,ROUND((M554*AE553)/AE554,IF(N553=0,2,IF(N553=0.1,1,0))),ROUND((M555*AE553)/AE555,IF(N553=0,2,IF(N553=0.1,1,0))))),IF(M553&gt;0,M553,ROUND((M554*AE553)/AE554,IF(N553=0,2,IF(N553=0.1,1,0))))),2))</f>
        <v>5.59</v>
      </c>
      <c r="P553" s="186">
        <f>IF(OR(L553="",O553=""),"",IF($C553="1/2W",O553/2+O553/2*L553,IF($C553="1/2L",O553/2,IF(I553="Lay",(O553*(L553/(L553-1))-O553)*(1-_xlfn.XLOOKUP(K553,'Janeiro 2023 - Valor Real'!A3:A15,'Janeiro 2023 - Valor Real'!C3:C15,0))+O553,(O553*L553-O553)*(1-_xlfn.XLOOKUP(K553,'Janeiro 2023 - Valor Real'!A3:A15,'Janeiro 2023 - Valor Real'!C3:C15,0))+O553))))</f>
        <v>13.6955</v>
      </c>
      <c r="Q553" s="187">
        <f>IF(K553="","",IF(_xlfn.XLOOKUP(K553,K$122:K326,DJ$122:DJ326,0,,-1)=DJ553,_xlfn.XLOOKUP(K553,K$122:K326,Q$122:Q326,1,,-1)+1,1))</f>
        <v>1</v>
      </c>
      <c r="R553" s="188">
        <f>IF(K553="","",_xlfn.XLOOKUP(K553,K$122:K326,R$122:R326,0,,-1)+IF($C553=" ",1,0))</f>
        <v>0</v>
      </c>
      <c r="S553" s="189">
        <f>IF($B553="Anulado",0,ROUND(IF(OR($B553="LOSS",$B553="OK"),IF(OR($C553="W",$C553="1/2W",$C553="1/2L"),P553-O553,IF($C553="L",-O553,0))+IF(OR($C554="W",$C554="1/2W",$C554="1/2L"),P554-O554,IF($C554="L",-O554,0))+IF(OR($C555="W",$C555="1/2W",$C555="1/2L"),P555-O555,IF($C555="L",-O555,0)),IF(AND(OR($C553="W",$C553="1/2W",$C553="1/2L"),C554="W"),P553+P554-SUM(O553:O555)+_xlfn.XLOOKUP("X",C553:C555,O553:O555,0),IF(AND(C553=TRUE,C555="W"),P553+P555-SUM(O553:O555),IF(AND(C554="W",C555="W"),P554+P555-SUM(O553:O555)+_xlfn.XLOOKUP("X",C553:C555,O553:O555,0),IF(L555&gt;0,IF(OR($C553="W",$C553="1/2W",$C553="1/2L"),P553-SUM(O553:O555)+_xlfn.XLOOKUP("X",C553:C555,O553:O555,0),IF(OR($C553="W",$C553="1/2W",$C553="1/2L"),P554-SUM(O553:O555)+_xlfn.XLOOKUP("X",C553:C555,O553:O555,0),IF(OR($C553="W",$C553="1/2W",$C553="1/2L"),P555-SUM(O553:O555)+_xlfn.XLOOKUP("X",C553:C555,O553:O555,0),IF(SUM(P553:P555)/3-SUM(O553:O555)+_xlfn.XLOOKUP("X",C553:C555,O553:O555,0)&gt;0,SUM(P553:P555)/3-SUM(O553:O555)+_xlfn.XLOOKUP("X",C553:C555,O553:O555,0),LARGE(P553:P555,1)-SUM(O553:O555))))),IF(OR($C553="W",$C553="1/2W",$C553="1/2L"),P553-SUM(O553:O554)+_xlfn.XLOOKUP("X",C553:C555,O553:O555,0),IF(OR($C553="W",$C553="1/2W",$C553="1/2L"),P554-SUM(O553:O554)+_xlfn.XLOOKUP("X",C553:C555,O553:O555,0),SUM(P553:P554)/2-SUM(O553:O554)+_xlfn.XLOOKUP("X",C553:C555,O553:O555,0)))))))),2))</f>
        <v>0.51</v>
      </c>
      <c r="T553" s="190">
        <f>IF(S553=0,0,S553/SUM(O553:O555))</f>
        <v>0.0386656557998484</v>
      </c>
      <c r="U553" s="191">
        <f>IF($D553=$D550,IF(OR($B553="LOSS",$B553="OK",$B553="Anulada"),S553,0)+U550,IF(OR($B553="LOSS",$B553="OK",$B553="Anulada"),S553,0))</f>
        <v>36.11</v>
      </c>
      <c r="V553" s="191">
        <f>IF($D553="",0,IF($D553=$D550,IF($B553=" ",IF(I555="",IF(OR(AND(I553="DNB1",I554="DNB2"),AND(OR(I553="DNB1",I553="DNB2"),J554=0),AND(OR(I554="DNB1",I554="DNB2"),J553=0),AND(I553="DNB2",I554="DNB1"),AND(IF(J553=0,(J553+1)/ROUND(J553+1,0),J553/ROUND(J553,0))=1,IF(J554=0,(J554+1)/ROUND(IF(J554="",0,J554)+1,0),IF(J554="",0,J554)/ROUND(IF(J554="",1,J554),0))=1,OR(J553&lt;&gt;""),J554&lt;&gt;"")),0,IF(S553&lt;0,IF(I555="",SMALL(P553:P554,1)-SUM(O553:O554),0),SMALL(P553:P554,1)-SUM(O553:O554))),IF(S553&lt;0,IF(I555="",SMALL(P553:P555,1)-SUM(O553:O555),0),LARGE(P553:P555,1)-SUM(O553:O555))),S553)+V550,IF(I555="",IF(OR(AND(I553="DNB1",I554="DNB2"),AND(OR(I553="DNB1",I553="DNB2"),J554=0),AND(OR(I554="DNB1",I554="DNB2"),J553=0),AND(I553="DNB2",I554="DNB1"),AND(IF(J553=0,(J553+1)/ROUND(J553+1,0),J553/ROUND(J553,0))=1,IF(J554=0,(IF(J554="",0,J554)+1)/ROUND(IF(J554="",0,J554)+1,0),IF(J554="",0,J554)/ROUND(IF(J554="",0,J554)+1,0))=1,OR(J553&lt;&gt;""),J554&lt;&gt;"")),0,IF(S553&lt;0,IF(I555="",SMALL(P553:P554,1)-SUM(O553:O554),0),SMALL(P553:P555,1)-SUM(O553:O555))),IF(S553&lt;0,IF(I555="",SMALL(P553:P555,1)-SUM(O553:O555),0),LARGE(P553:P555,1)-SUM(O553:O555)))))</f>
        <v>36.11</v>
      </c>
      <c r="W553" s="191">
        <f>IF($D553=$D550,IF(S553&lt;0,IF(I555="",S553,0),S553)+W550,S553)</f>
        <v>36.11</v>
      </c>
      <c r="X553" t="s" s="192">
        <f>IF(OR(SUM(R553:R555)=0,V553=W553),ROUND(IF(W553=0,0,W553/Y553)*100,2)&amp;"%",ROUND(IF(V553=0,0,V553/Y553)*100,2)&amp;"% a "&amp;ROUND(IF(W553=0,0,W553/Y553)*100,2)&amp;"%")</f>
        <v>418</v>
      </c>
      <c r="Y553" s="193">
        <f>IF($D553=$D550,Y550+SUM(O553:O555),SUM(O553:O555))</f>
        <v>638.05</v>
      </c>
      <c r="Z553" s="191">
        <f>IF($B553=" ",SUM(O553:O555),0)+Z550</f>
        <v>0</v>
      </c>
      <c r="AA553" s="191">
        <f>IF(G553="","",IF($B553="Anulado",LARGE(P553:P555,1)-SUM(O553:O555)+AA550,AA550))</f>
        <v>24.9665076923077</v>
      </c>
      <c r="AB553" s="191">
        <f>IF($D553="","",AB550+S553)</f>
        <v>375.35</v>
      </c>
      <c r="AC553" s="194">
        <f>IF($D553="","",IF($B553=" ",IF(DAY(G553)=DAY(TODAY()),1+AC550,0+AC550),0+AC550))</f>
        <v>0</v>
      </c>
      <c r="AD553" s="195">
        <f>(((L554/(L554-1)-1)*(1-_xlfn.XLOOKUP(K554,'Janeiro 2023 - Valor Real'!A3:A15,'Janeiro 2023 - Valor Real'!C3:C15,0))+1))/(((L553-1)*(1-_xlfn.XLOOKUP(K553,'Janeiro 2023 - Valor Real'!A3:A15,'Janeiro 2023 - Valor Real'!C3:C15,0))+1)+((L554/(L554-1)-1)*(1-_xlfn.XLOOKUP(K554,'Janeiro 2023 - Valor Real'!A3:A15,'Janeiro 2023 - Valor Real'!C3:C15,0))+1))</f>
        <v>0.478723404255319</v>
      </c>
      <c r="AE553" s="196">
        <f>IF(L553="","",IF(L555&gt;0,(SUM(((L553-1)*(1-_xlfn.XLOOKUP(K553,'Janeiro 2023 - Valor Real'!A3:A15,'Janeiro 2023 - Valor Real'!C3:C15,0))+1),((L554-1)*(1-_xlfn.XLOOKUP(K554,'Janeiro 2023 - Valor Real'!A3:A15,'Janeiro 2023 - Valor Real'!C3:C15,0))+1),((L555-1)*(1-_xlfn.XLOOKUP(K555,'Janeiro 2023 - Valor Real'!A3:A15,'Janeiro 2023 - Valor Real'!C3:C15,0))+1))/((L553-1)*(1-_xlfn.XLOOKUP(K553,'Janeiro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Real'!C3:C15,0))+1))/((L553-1)*(1-_xlfn.XLOOKUP(K553,'Janeiro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Real'!C3:C15,0))+1))/((L554-1)*(1-_xlfn.XLOOKUP(K554,'Janeiro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Real'!C3:C15,0))+1))/((L555-1)*(1-_xlfn.XLOOKUP(K555,'Janeiro 2023 - Valor Real'!A3:A15,'Janeiro 2023 - Valor Real'!C3:C15,0))+1)),IF(I553="Lay",IF(I554="Lay",((L554/(L554-1)-1)*(1-_xlfn.XLOOKUP(K554,'Janeiro 2023 - Valor Real'!A3:A15,'Janeiro 2023 - Valor Real'!C3:C15,0))+1)/(((L554/(L554-1)-1)*(1-_xlfn.XLOOKUP(K554,'Janeiro 2023 - Valor Real'!A3:A15,'Janeiro 2023 - Valor Real'!C3:C15,0))+1)+((L553/(L553-1)-1)*(1-_xlfn.XLOOKUP(K553,'Janeiro 2023 - Valor Real'!A3:A15,'Janeiro 2023 - Valor Real'!C3:C15,0))+1)),((L554-1)*(1-_xlfn.XLOOKUP(K554,'Janeiro 2023 - Valor Real'!A3:A15,'Janeiro 2023 - Valor Real'!C3:C15,0))+1)/(((L554-1)*(1-_xlfn.XLOOKUP(K554,'Janeiro 2023 - Valor Real'!A3:A15,'Janeiro 2023 - Valor Real'!C3:C15,0))+1)+((L553/(L553-1)-1)*(1-_xlfn.XLOOKUP(K553,'Janeiro 2023 - Valor Real'!A3:A15,'Janeiro 2023 - Valor Real'!C3:C15,0))+1))),IF(I554="Lay",(((L554/(L554-1)-1)*(1-_xlfn.XLOOKUP(K554,'Janeiro 2023 - Valor Real'!A3:A15,'Janeiro 2023 - Valor Real'!C3:C15,0))+1))/(((L553-1)*(1-_xlfn.XLOOKUP(K553,'Janeiro 2023 - Valor Real'!A3:A15,'Janeiro 2023 - Valor Real'!C3:C15,0))+1)+((L554/(L554-1)-1)*(1-_xlfn.XLOOKUP(K554,'Janeiro 2023 - Valor Real'!A3:A15,'Janeiro 2023 - Valor Real'!C3:C15,0))+1)),((L554-1)*(1-_xlfn.XLOOKUP(K554,'Janeiro 2023 - Valor Real'!A3:A15,'Janeiro 2023 - Valor Real'!C3:C15,0))+1)/(((L554-1)*(1-_xlfn.XLOOKUP(K554,'Janeiro 2023 - Valor Real'!A3:A15,'Janeiro 2023 - Valor Real'!C3:C15,0))+1)+((L553-1)*(1-_xlfn.XLOOKUP(K553,'Janeiro 2023 - Valor Real'!A3:A15,'Janeiro 2023 - Valor Real'!C3:C15,0))+1))))))</f>
        <v>0.423529411764706</v>
      </c>
      <c r="AF553" s="197">
        <f>IF($K553=AF$3,ROUND(IF(OR($C553="W",$C553="1/2W",$C553="1/2L"),$P553-$O553,IF($C553="X",0,-$O553)),2),0)</f>
        <v>0</v>
      </c>
      <c r="AG553" s="198">
        <f>IF($K553=AG$3,ROUND(IF(OR($C553="W",$C553="1/2W",$C553="1/2L"),$P553-$O553,IF($C553="X",0,-$O553)),2),0)</f>
        <v>0</v>
      </c>
      <c r="AH553" s="198">
        <f>IF($K553=AH$3,ROUND(IF(OR($C553="W",$C553="1/2W",$C553="1/2L"),$P553-$O553,IF($C553="X",0,-$O553)),2),0)</f>
        <v>0</v>
      </c>
      <c r="AI553" s="198">
        <f>IF($K553=AI$3,ROUND(IF(OR($C553="W",$C553="1/2W",$C553="1/2L"),$P553-$O553,IF($C553="X",0,-$O553)),2),0)</f>
        <v>8.109999999999999</v>
      </c>
      <c r="AJ553" s="198">
        <f>IF($K553=AJ$3,ROUND(IF(OR($C553="W",$C553="1/2W",$C553="1/2L"),$P553-$O553,IF($C553="X",0,-$O553)),2),0)</f>
        <v>0</v>
      </c>
      <c r="AK553" s="198">
        <f>IF($K553=AK$3,ROUND(IF(OR($C553="W",$C553="1/2W",$C553="1/2L"),$P553-$O553,IF($C553="X",0,-$O553)),2),0)</f>
        <v>0</v>
      </c>
      <c r="AL553" s="198">
        <f>IF($K553=AL$3,ROUND(IF(OR($C553="W",$C553="1/2W",$C553="1/2L"),$P553-$O553,IF($C553="X",0,-$O553)),2),0)</f>
        <v>0</v>
      </c>
      <c r="AM553" s="198">
        <f>IF($K553=AM$3,ROUND(IF(OR($C553="W",$C553="1/2W",$C553="1/2L"),$P553-$O553,IF($C553="X",0,-$O553)),2),0)</f>
        <v>0</v>
      </c>
      <c r="AN553" s="198">
        <f>IF($K553=AN$3,ROUND(IF(OR($C553="W",$C553="1/2W",$C553="1/2L"),$P553-$O553,IF($C553="X",0,-$O553)),2),0)</f>
        <v>0</v>
      </c>
      <c r="AO553" s="198">
        <f>IF($K553=AO$3,ROUND(IF(OR($C553="W",$C553="1/2W",$C553="1/2L"),$P553-$O553,IF($C553="X",0,-$O553)),2),0)</f>
        <v>0</v>
      </c>
      <c r="AP553" s="198">
        <f>IF($K553=AP$3,ROUND(IF(OR($C553="W",$C553="1/2W",$C553="1/2L"),$P553-$O553,IF($C553="X",0,-$O553)),2),0)</f>
        <v>0</v>
      </c>
      <c r="AQ553" s="198">
        <f>IF($K553=AQ$3,ROUND(IF(OR($C553="W",$C553="1/2W",$C553="1/2L"),$P553-$O553,IF($C553="X",0,-$O553)),2),0)</f>
        <v>0</v>
      </c>
      <c r="AR553" s="199">
        <f>IF($K553=AR$3,ROUND(IF(OR($C553="W",$C553="1/2W",$C553="1/2L"),$P553-$O553,IF($C553="X",0,-$O553)),2),0)</f>
        <v>0</v>
      </c>
      <c r="AS553" s="197">
        <f>IF(AND($B553=" ",$K553=AS$3),$O553,0)</f>
        <v>0</v>
      </c>
      <c r="AT553" s="198">
        <f>IF(AND($B553=" ",$K553=AT$3),$O553,0)</f>
        <v>0</v>
      </c>
      <c r="AU553" s="198">
        <f>IF(AND($B553=" ",$K553=AU$3),$O553,0)</f>
        <v>0</v>
      </c>
      <c r="AV553" s="198">
        <f>IF(AND($B553=" ",$K553=AV$3),$O553,0)</f>
        <v>0</v>
      </c>
      <c r="AW553" s="198">
        <f>IF(AND($B553=" ",$K553=AW$3),$O553,0)</f>
        <v>0</v>
      </c>
      <c r="AX553" s="198">
        <f>IF(AND($B553=" ",$K553=AX$3),$O553,0)</f>
        <v>0</v>
      </c>
      <c r="AY553" s="200">
        <f>IF(AND($B553=" ",$K553=AY$3),$O553,0)</f>
        <v>0</v>
      </c>
      <c r="AZ553" s="201">
        <f>IF(AND($B553=" ",$K553=AZ$3),$O553,0)</f>
        <v>0</v>
      </c>
      <c r="BA553" s="201">
        <f>IF(AND($B553=" ",$K553=BA$3),$O553,0)</f>
        <v>0</v>
      </c>
      <c r="BB553" s="201">
        <f>IF(AND($B553=" ",$K553=BB$3),$O553,0)</f>
        <v>0</v>
      </c>
      <c r="BC553" s="202">
        <f>IF(AND($B553=" ",$K553=BC$3),$O553,0)</f>
        <v>0</v>
      </c>
      <c r="BD553" s="198">
        <f>IF(AND($B553=" ",$K553=BD$3),$O553,0)</f>
        <v>0</v>
      </c>
      <c r="BE553" s="199">
        <f>IF(AND($B553=" ",$K553=BE$3),$O553,0)</f>
        <v>0</v>
      </c>
      <c r="BF553" s="203">
        <f>IF($K553=BF$3,IF($C553="X",0,$O553),0)</f>
        <v>0</v>
      </c>
      <c r="BG553" s="198">
        <f>IF($K553=BG$3,IF($C553="X",0,$O553),0)</f>
        <v>0</v>
      </c>
      <c r="BH553" s="198">
        <f>IF($K553=BH$3,IF($C553="X",0,$O553),0)</f>
        <v>0</v>
      </c>
      <c r="BI553" s="198">
        <f>IF($K553=BI$3,IF($C553="X",0,$O553),0)</f>
        <v>5.59</v>
      </c>
      <c r="BJ553" s="198">
        <f>IF($K553=BJ$3,IF($C553="X",0,$O553),0)</f>
        <v>0</v>
      </c>
      <c r="BK553" s="198">
        <f>IF($K553=BK$3,IF($C553="X",0,$O553),0)</f>
        <v>0</v>
      </c>
      <c r="BL553" s="198">
        <f>IF($K553=BL$3,IF($C553="X",0,$O553),0)</f>
        <v>0</v>
      </c>
      <c r="BM553" s="200">
        <f>IF($K553=BM$3,IF($C553="X",0,$O553),0)</f>
        <v>0</v>
      </c>
      <c r="BN553" s="201">
        <f>IF($K553=BN$3,IF($C553="X",0,$O553),0)</f>
        <v>0</v>
      </c>
      <c r="BO553" s="201">
        <f>IF($K553=BO$3,IF($C553="X",0,$O553),0)</f>
        <v>0</v>
      </c>
      <c r="BP553" s="201">
        <f>IF($K553=BP$3,IF($C553="X",0,$O553),0)</f>
        <v>0</v>
      </c>
      <c r="BQ553" s="202">
        <f>IF($K553=BQ$3,IF($C553="X",0,$O553),0)</f>
        <v>0</v>
      </c>
      <c r="BR553" s="199">
        <f>IF($K553=BR$3,IF($C553="X",0,$O553),0)</f>
        <v>0</v>
      </c>
      <c r="BS553" s="204">
        <f>IF($B553="LOSS",IF(AND($K553=BS$3,$C553="L"),-$O553,0)+IF(AND($K554=BS$3,$C554="L"),-$O554,0)+IF(AND($K555=BS$3,$C555="L"),-$O555,0),IF(OR(AND($K553=BS$3,OR($C553="W",$C553="1/2W")),AND($K554=BS$3,OR($C554="W",$C554="1/2W")),AND($K555=BS$3,OR($C555="W",$C555="1/2W"))),$S553,0))</f>
        <v>0</v>
      </c>
      <c r="BT553" s="201">
        <f>IF($B553="LOSS",IF(AND($K553=BT$3,$C553="L"),-$O553,0)+IF(AND($K554=BT$3,$C554="L"),-$O554,0)+IF(AND($K554=BT$3,$C555="L"),-$O555,0),IF(OR(AND($K554=BT$3,OR($C553="W",$C553="1/2W")),AND($K554=BT$3,OR($C554="W",$C554="1/2W")),AND($K554=BT$3,OR($C555="W",$C555="1/2W"))),$S553,0))</f>
        <v>0</v>
      </c>
      <c r="BU553" s="201">
        <f>IF($B553="LOSS",IF(AND($K553=BU$3,$C553="L"),-$O553,0)+IF(AND($K554=BU$3,$C554="L"),-$O554,0)+IF(AND($K554=BU$3,$C555="L"),-$O555,0),IF(OR(AND($K554=BU$3,OR($C553="W",$C553="1/2W")),AND($K554=BU$3,OR($C554="W",$C554="1/2W")),AND($K554=BU$3,OR($C555="W",$C555="1/2W"))),$S553,0))</f>
        <v>0</v>
      </c>
      <c r="BV553" s="201">
        <f>IF($B553="LOSS",IF(AND($K553=BV$3,$C553="L"),-$O553,0)+IF(AND($K554=BV$3,$C554="L"),-$O554,0)+IF(AND($K555=BV$3,$C555="L"),-$O555,0),IF(OR(AND($K553=BV$3,OR($C553="W",$C553="1/2W")),AND($K554=BV$3,OR($C554="W",$C554="1/2W")),AND($K555=BV$3,OR($C555="W",$C555="1/2W"))),$S553,0))</f>
        <v>0.51</v>
      </c>
      <c r="BW553" s="201">
        <f>IF($B553="LOSS",IF(AND($K553=BW$3,$C553="L"),-$O553,0)+IF(AND($K554=BW$3,$C554="L"),-$O554,0)+IF(AND($K555=BW$3,$C555="L"),-$O555,0),IF(OR(AND($K553=BW$3,OR($C553="W",$C553="1/2W")),AND($K554=BW$3,OR($C554="W",$C554="1/2W")),AND($K555=BW$3,OR($C555="W",$C555="1/2W"))),$S553,0))</f>
        <v>0</v>
      </c>
      <c r="BX553" s="201">
        <f>IF($B553="LOSS",IF(AND($K553=BX$3,$C553="L"),-$O553,0)+IF(AND($K554=BX$3,$C554="L"),-$O554,0)+IF(AND($K555=BX$3,$C555="L"),-$O555,0),IF(OR(AND($K553=BX$3,OR($C553="W",$C553="1/2W")),AND($K554=BX$3,OR($C554="W",$C554="1/2W")),AND($K555=BX$3,OR($C555="W",$C555="1/2W"))),$S553,0))</f>
        <v>0</v>
      </c>
      <c r="BY553" s="201">
        <f>IF($B553="LOSS",IF(AND($K553=BY$3,$C553="L"),-$O553,0)+IF(AND($K554=BY$3,$C554="L"),-$O554,0)+IF(AND($K555=BY$3,$C555="L"),-$O555,0),IF(OR(AND($K553=BY$3,OR($C553="W",$C553="1/2W")),AND($K554=BY$3,OR($C554="W",$C554="1/2W")),AND($K555=BY$3,OR($C555="W",$C555="1/2W"))),$S553,0))</f>
        <v>0</v>
      </c>
      <c r="BZ553" s="205">
        <f>IF($B553="LOSS",IF(AND($K553=BZ$3,$C553="L"),-$O553,0)+IF(AND($K554=BZ$3,$C554="L"),-$O554,0)+IF(AND($K555=BZ$3,$C555="L"),-$O555,0),IF(OR(AND($K553=BZ$3,OR($C553="W",$C553="1/2W")),AND($K554=BZ$3,OR($C554="W",$C554="1/2W")),AND($K555=BZ$3,OR($C555="W",$C555="1/2W"))),$S553,0))</f>
        <v>0</v>
      </c>
      <c r="CA553" s="205">
        <f>IF($B553="LOSS",IF(AND($K553=CA$3,$C553="L"),-$O553,0)+IF(AND($K554=CA$3,$C554="L"),-$O554,0)+IF(AND($K555=CA$3,$C555="L"),-$O555,0),IF(OR(AND($K553=CA$3,OR($C553="W",$C553="1/2W")),AND($K554=CA$3,OR($C554="W",$C554="1/2W")),AND($K555=CA$3,OR($C555="W",$C555="1/2W"))),$S553,0))</f>
        <v>0</v>
      </c>
      <c r="CB553" s="205">
        <f>IF($B553="LOSS",IF(AND($K553=CB$3,$C553="L"),-$O553,0)+IF(AND($K554=CB$3,$C554="L"),-$O554,0)+IF(AND($K555=CB$3,$C555="L"),-$O555,0),IF(OR(AND($K553=CB$3,OR($C553="W",$C553="1/2W")),AND($K554=CB$3,OR($C554="W",$C554="1/2W")),AND($K555=CB$3,OR($C555="W",$C555="1/2W"))),$S553,0))</f>
        <v>0</v>
      </c>
      <c r="CC553" s="205">
        <f>IF($B553="LOSS",IF(AND($K553=CC$3,$C553="L"),-$O553,0)+IF(AND($K554=CC$3,$C554="L"),-$O554,0)+IF(AND($K555=CC$3,$C555="L"),-$O555,0),IF(OR(AND($K553=CC$3,OR($C553="W",$C553="1/2W")),AND($K554=CC$3,OR($C554="W",$C554="1/2W")),AND($K555=CC$3,OR($C555="W",$C555="1/2W"))),$S553,0))</f>
        <v>0</v>
      </c>
      <c r="CD553" s="202">
        <f>IF($B553="LOSS",IF(AND($K553=CD$3,$C553="L"),-$O553,0)+IF(AND($K554=CD$3,$C554="L"),-$O554,0)+IF(AND($K555=CD$3,$C555="L"),-$O555,0),IF(OR(AND($K553=CD$3,OR($C553="W",$C553="1/2W")),AND($K554=CD$3,OR($C554="W",$C554="1/2W")),AND($K555=CD$3,OR($C555="W",$C555="1/2W"))),$S553,0))</f>
        <v>0</v>
      </c>
      <c r="CE553" s="199">
        <f>IF($B553="LOSS",IF(AND($K553=CE$3,$C553="L"),-$O553,0)+IF(AND($K554=CE$3,$C554="L"),-$O554,0)+IF(AND($K555=CE$3,$C555="L"),-$O555,0),IF(OR(AND($K553=CE$3,OR($C553="W",$C553="1/2W")),AND($K554=CE$3,OR($C554="W",$C554="1/2W")),AND($K555=CE$3,OR($C555="W",$C555="1/2W"))),$S553,0))</f>
        <v>0</v>
      </c>
      <c r="CF553" s="206">
        <f>IF(CF$3=$K553,IF($C553="W",1,IF($C553="1/2W",0.5,0)),0)</f>
        <v>0</v>
      </c>
      <c r="CG553" s="207">
        <f>IF(CF$3=$K553,IF($C553="L",1,IF($C553="1/2L",0.5,0)),0)</f>
        <v>0</v>
      </c>
      <c r="CH553" s="207">
        <f>IF(CH$3=$K553,IF($C553="W",1,IF($C553="1/2W",0.5,0)),0)</f>
        <v>0</v>
      </c>
      <c r="CI553" s="207">
        <f>IF(CH$3=$K553,IF($C553="L",1,IF($C553="1/2L",0.5,0)),0)</f>
        <v>0</v>
      </c>
      <c r="CJ553" s="207">
        <f>IF(CJ$3=$K553,IF($C553="W",1,IF($C553="1/2W",0.5,0)),0)</f>
        <v>0</v>
      </c>
      <c r="CK553" s="207">
        <f>IF(CJ$3=$K553,IF($C553="L",1,IF($C553="1/2L",0.5,0)),0)</f>
        <v>0</v>
      </c>
      <c r="CL553" s="207">
        <f>IF(CL$3=$K553,IF($C553="W",1,IF($C553="1/2W",0.5,0)),0)</f>
        <v>1</v>
      </c>
      <c r="CM553" s="207">
        <f>IF(CL$3=$K553,IF($C553="L",1,IF($C553="1/2L",0.5,0)),0)</f>
        <v>0</v>
      </c>
      <c r="CN553" s="207">
        <f>IF(CN$3=$K553,IF($C553="W",1,IF($C553="1/2W",0.5,0)),0)</f>
        <v>0</v>
      </c>
      <c r="CO553" s="207">
        <f>IF(CN$3=$K553,IF($C553="L",1,IF($C553="1/2L",0.5,0)),0)</f>
        <v>0</v>
      </c>
      <c r="CP553" s="207">
        <f>IF(CP$3=$K553,IF($C553="W",1,IF($C553="1/2W",0.5,0)),0)</f>
        <v>0</v>
      </c>
      <c r="CQ553" s="207">
        <f>IF(CP$3=$K553,IF($C553="L",1,IF($C553="1/2L",0.5,0)),0)</f>
        <v>0</v>
      </c>
      <c r="CR553" s="207">
        <f>IF(CR$3=$K553,IF($C553="W",1,IF($C553="1/2W",0.5,0)),0)</f>
        <v>0</v>
      </c>
      <c r="CS553" s="207">
        <f>IF(CR$3=$K553,IF($C553="L",1,IF($C553="1/2L",0.5,0)),0)</f>
        <v>0</v>
      </c>
      <c r="CT553" s="208">
        <f>IF(CT$3=$K553,IF($C553="W",1,IF($C553="1/2W",0.5,0)),0)</f>
        <v>0</v>
      </c>
      <c r="CU553" s="209">
        <f>IF(CT$3=$K553,IF($C553="L",1,IF($C553="1/2L",0.5,0)),0)</f>
        <v>0</v>
      </c>
      <c r="CV553" s="209">
        <f>IF(CV$3=$K553,IF($C553="W",1,IF($C553="1/2W",0.5,0)),0)</f>
        <v>0</v>
      </c>
      <c r="CW553" s="209">
        <f>IF(CV$3=$K553,IF($C553="L",1,IF($C553="1/2L",0.5,0)),0)</f>
        <v>0</v>
      </c>
      <c r="CX553" s="209">
        <f>IF(CX$3=$K553,IF($C553="W",1,IF($C553="1/2W",0.5,0)),0)</f>
        <v>0</v>
      </c>
      <c r="CY553" s="209">
        <f>IF(CX$3=$K553,IF($C553="L",1,IF($C553="1/2L",0.5,0)),0)</f>
        <v>0</v>
      </c>
      <c r="CZ553" s="209">
        <f>IF(CZ$3=$K553,IF($C553="W",1,IF($C553="1/2W",0.5,0)),0)</f>
        <v>0</v>
      </c>
      <c r="DA553" s="209">
        <f>IF(CZ$3=$K553,IF($C553="L",1,IF($C553="1/2L",0.5,0)),0)</f>
        <v>0</v>
      </c>
      <c r="DB553" s="209">
        <f>IF(DB$3=$K553,IF($C553="W",1,IF($C553="1/2W",0.5,0)),0)</f>
        <v>0</v>
      </c>
      <c r="DC553" s="209">
        <f>IF(DB$3=$K553,IF($C553="L",1,IF($C553="1/2L",0.5,0)),0)</f>
        <v>0</v>
      </c>
      <c r="DD553" s="209">
        <f>IF(DD$3=$K553,IF($C553="W",1,IF($C553="1/2W",0.5,0)),0)</f>
        <v>0</v>
      </c>
      <c r="DE553" s="210">
        <f>IF(DD$3=$K553,IF($C553="L",1,IF($C553="1/2L",0.5,0)),0)</f>
        <v>0</v>
      </c>
      <c r="DF553" s="211">
        <f>IF(AND(L553&lt;DF$3,$C553="W"),1+DF552,DF552)</f>
        <v>16</v>
      </c>
      <c r="DG553" s="198">
        <f>IF(DF553&gt;DF552,L553+DG552,DG552)</f>
        <v>21.158</v>
      </c>
      <c r="DH553" s="209">
        <f>IF(AND(L553&gt;DH$3,$C553="W"),1+DH552,0+DH552)</f>
        <v>15</v>
      </c>
      <c r="DI553" s="198">
        <f>IF(DH553&gt;DH552,L553+DI552,DI552)</f>
        <v>81.26000000000001</v>
      </c>
      <c r="DJ553" t="s" s="306">
        <f>IF($D553="","",$D553)</f>
        <v>396</v>
      </c>
      <c r="DK553" s="209">
        <f>IF(AND($B553=" ",$D553&lt;&gt;""),1,0)</f>
        <v>0</v>
      </c>
    </row>
    <row r="554" ht="14.55" customHeight="1">
      <c r="A554" s="107"/>
      <c r="B554" s="108"/>
      <c r="C554" t="s" s="213">
        <v>51</v>
      </c>
      <c r="D554" s="110"/>
      <c r="E554" s="111"/>
      <c r="F554" s="113"/>
      <c r="G554" s="214"/>
      <c r="H554" s="114"/>
      <c r="I554" t="s" s="215">
        <v>57</v>
      </c>
      <c r="J554" s="296">
        <f>IF(OR(I553="TO",I553="TU",I553="TO1",I553="TU1",I553="TO2",I553="TU2"),J553,IF(OR(I553="AH1",I553="AH2"),IF(OR(I554="AH1",I554="AH2"),-J553,IF(OR(I554="EH1",I554="EH2"),-J553+0.5,"")),IF(OR(I553="EH1",I553="EH2"),IF(OR(I554="AH1",I554="AH2"),-J553+0.5,IF(OR(I554="EH1",I554="EH2"),-J553+1,"")),IF(AND(OR(I553="DNB1",I553="DNB2"),OR(I554="AH1",I554="AH2")),0,IF(AND(I553="Not ScoreBoth",OR(I554="TO1",I554="TO2")),0.5,"")))))</f>
        <v>-1.5</v>
      </c>
      <c r="K554" t="s" s="217">
        <v>37</v>
      </c>
      <c r="L554" s="218">
        <v>1.8</v>
      </c>
      <c r="M554" s="219"/>
      <c r="N554" s="120"/>
      <c r="O554" s="220">
        <f>IF(OR(AE553="",AE554=""),"",ROUND(IF(L555&gt;0,IF(M554&gt;0,M554,IF(M553&gt;0,IF(N553=TRUE,ROUND((M553*AE554)/AE553,0),(M553*AE554)/AE553),IF(M554&gt;0,ROUND(M554,IF(N553=0,2,IF(N553=0.1,1,0))),IF(M555&gt;0,ROUND(O555*AE554/AE555,IF(N553=0,2,IF(N553=0.1,1,0))),0)))),IF(M554&gt;0,M554,ROUND((M553*AE554)/AE553,IF(N553=0,2,IF(N553=0.1,1,0))))),2))</f>
        <v>7.6</v>
      </c>
      <c r="P554" s="221">
        <f>IF(OR(L554="",O554=""),"",IF($C554="1/2W",O554/2+O554/2*L554,IF($C554="1/2L",O554/2,IF(I554="Lay",((O554*(L554/(L554-1)))-O554)*(1-_xlfn.XLOOKUP(K554,'Janeiro 2023 - Valor Real'!A3:A15,'Janeiro 2023 - Valor Real'!C3:C15,0))+O554,(O554*L554-O554)*(1-_xlfn.XLOOKUP(K554,'Janeiro 2023 - Valor Real'!A3:A15,'Janeiro 2023 - Valor Real'!C3:C15,0))+O554))))</f>
        <v>13.68</v>
      </c>
      <c r="Q554" s="222">
        <f>IF(K554="","",IF(_xlfn.XLOOKUP(K554,K$123:K327,DJ$123:DJ327,0,,-1)=DJ554,_xlfn.XLOOKUP(K554,K$123:K327,Q$123:Q327,1,,-1)+1,1))</f>
        <v>1</v>
      </c>
      <c r="R554" s="223">
        <f>IF(K554="","",_xlfn.XLOOKUP(K554,K$123:K327,R$123:R327,0,,-1)+IF($C554=" ",1,0))</f>
        <v>0</v>
      </c>
      <c r="S554" s="125"/>
      <c r="T554" s="126"/>
      <c r="U554" s="126"/>
      <c r="V554" s="224"/>
      <c r="W554" s="126"/>
      <c r="X554" s="127"/>
      <c r="Y554" s="128"/>
      <c r="Z554" s="129"/>
      <c r="AA554" s="129"/>
      <c r="AB554" s="129"/>
      <c r="AC554" s="129"/>
      <c r="AD554" s="225">
        <f>(((L554/(L554-1)-1)*(1-_xlfn.XLOOKUP(K554,'Janeiro 2023 - Valor Real'!A3:A15,'Janeiro 2023 - Valor Real'!C3:C15,0))+1))</f>
        <v>2.25</v>
      </c>
      <c r="AE554" s="226">
        <f>IF(L554="","",IF(L555&gt;0,(SUM(((L553-1)*(1-_xlfn.XLOOKUP(K553,'Janeiro 2023 - Valor Real'!A3:A15,'Janeiro 2023 - Valor Real'!C3:C15,0))+1),((L554-1)*(1-_xlfn.XLOOKUP(K554,'Janeiro 2023 - Valor Real'!A3:A15,'Janeiro 2023 - Valor Real'!C3:C15,0))+1),((L555-1)*(1-_xlfn.XLOOKUP(K555,'Janeiro 2023 - Valor Real'!A3:A15,'Janeiro 2023 - Valor Real'!C3:C15,0))+1))/((L554-1)*(1-_xlfn.XLOOKUP(K554,'Janeiro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Real'!C3:C15,0))+1))/((L553-1)*(1-_xlfn.XLOOKUP(K553,'Janeiro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Real'!C3:C15,0))+1))/((L554-1)*(1-_xlfn.XLOOKUP(K554,'Janeiro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Real'!C3:C15,0))+1))/((L555-1)*(1-_xlfn.XLOOKUP(K555,'Janeiro 2023 - Valor Real'!A3:A15,'Janeiro 2023 - Valor Real'!C3:C15,0))+1)),IF(I554="Lay",IF(I553="Lay",((L553/(L553-1)-1)*(1-_xlfn.XLOOKUP(K553,'Janeiro 2023 - Valor Real'!A3:A15,'Janeiro 2023 - Valor Real'!C3:C15,0))+1)/(((L553/(L553-1)-1)*(1-_xlfn.XLOOKUP(K553,'Janeiro 2023 - Valor Real'!A3:A15,'Janeiro 2023 - Valor Real'!C3:C15,0))+1)+((L554/(L554-1)-1)*(1-_xlfn.XLOOKUP(K554,'Janeiro 2023 - Valor Real'!A3:A15,'Janeiro 2023 - Valor Real'!C3:C15,0))+1)),((L553-1)*(1-_xlfn.XLOOKUP(K553,'Janeiro 2023 - Valor Real'!A3:A15,'Janeiro 2023 - Valor Real'!C3:C15,0))+1)/(((L553-1)*(1-_xlfn.XLOOKUP(K553,'Janeiro 2023 - Valor Real'!A3:A15,'Janeiro 2023 - Valor Real'!C3:C15,0))+1)+((L554/(L554-1)-1)*(1-_xlfn.XLOOKUP(K554,'Janeiro 2023 - Valor Real'!A3:A15,'Janeiro 2023 - Valor Real'!C3:C15,0))+1))),IF(I553="Lay",((L553/(L553-1)-1)*(1-_xlfn.XLOOKUP(K553,'Janeiro 2023 - Valor Real'!A3:A15,'Janeiro 2023 - Valor Real'!C3:C15,0))+1)/((((L553/(L553-1)-1)*(1-_xlfn.XLOOKUP(K553,'Janeiro 2023 - Valor Real'!A3:A15,'Janeiro 2023 - Valor Real'!C3:C15,0))+1))+((L554-1)*(1-_xlfn.XLOOKUP(K554,'Janeiro 2023 - Valor Real'!A3:A15,'Janeiro 2023 - Valor Real'!C3:C15,0))+1)),((L553-1)*(1-_xlfn.XLOOKUP(K553,'Janeiro 2023 - Valor Real'!A3:A15,'Janeiro 2023 - Valor Real'!C3:C15,0))+1)/(((L553-1)*(1-_xlfn.XLOOKUP(K553,'Janeiro 2023 - Valor Real'!A3:A15,'Janeiro 2023 - Valor Real'!C3:C15,0))+1)+((L554-1)*(1-_xlfn.XLOOKUP(K554,'Janeiro 2023 - Valor Real'!A3:A15,'Janeiro 2023 - Valor Real'!C3:C15,0))+1))))))</f>
        <v>0.576470588235294</v>
      </c>
      <c r="AF554" s="197">
        <f>IF($K554=AF$3,ROUND(IF(OR($C554="W",$C554="1/2W",$C554="1/2L"),$P554-$O554,IF($C554="X",0,-$O554)),2),0)</f>
        <v>-7.6</v>
      </c>
      <c r="AG554" s="198">
        <f>IF($K554=AG$3,ROUND(IF(OR($C554="W",$C554="1/2W",$C554="1/2L"),$P554-$O554,IF($C554="X",0,-$O554)),2),0)</f>
        <v>0</v>
      </c>
      <c r="AH554" s="198">
        <f>IF($K554=AH$3,ROUND(IF(OR($C554="W",$C554="1/2W",$C554="1/2L"),$P554-$O554,IF($C554="X",0,-$O554)),2),0)</f>
        <v>0</v>
      </c>
      <c r="AI554" s="198">
        <f>IF($K554=AI$3,ROUND(IF(OR($C554="W",$C554="1/2W",$C554="1/2L"),$P554-$O554,IF($C554="X",0,-$O554)),2),0)</f>
        <v>0</v>
      </c>
      <c r="AJ554" s="198">
        <f>IF($K554=AJ$3,ROUND(IF(OR($C554="W",$C554="1/2W",$C554="1/2L"),$P554-$O554,IF($C554="X",0,-$O554)),2),0)</f>
        <v>0</v>
      </c>
      <c r="AK554" s="198">
        <f>IF($K554=AK$3,ROUND(IF(OR($C554="W",$C554="1/2W",$C554="1/2L"),$P554-$O554,IF($C554="X",0,-$O554)),2),0)</f>
        <v>0</v>
      </c>
      <c r="AL554" s="198">
        <f>IF($K554=AL$3,ROUND(IF(OR($C554="W",$C554="1/2W",$C554="1/2L"),$P554-$O554,IF($C554="X",0,-$O554)),2),0)</f>
        <v>0</v>
      </c>
      <c r="AM554" s="198">
        <f>IF($K554=AM$3,ROUND(IF(OR($C554="W",$C554="1/2W",$C554="1/2L"),$P554-$O554,IF($C554="X",0,-$O554)),2),0)</f>
        <v>0</v>
      </c>
      <c r="AN554" s="198">
        <f>IF($K554=AN$3,ROUND(IF(OR($C554="W",$C554="1/2W",$C554="1/2L"),$P554-$O554,IF($C554="X",0,-$O554)),2),0)</f>
        <v>0</v>
      </c>
      <c r="AO554" s="198">
        <f>IF($K554=AO$3,ROUND(IF(OR($C554="W",$C554="1/2W",$C554="1/2L"),$P554-$O554,IF($C554="X",0,-$O554)),2),0)</f>
        <v>0</v>
      </c>
      <c r="AP554" s="198">
        <f>IF($K554=AP$3,ROUND(IF(OR($C554="W",$C554="1/2W",$C554="1/2L"),$P554-$O554,IF($C554="X",0,-$O554)),2),0)</f>
        <v>0</v>
      </c>
      <c r="AQ554" s="198">
        <f>IF($K554=AQ$3,ROUND(IF(OR($C554="W",$C554="1/2W",$C554="1/2L"),$P554-$O554,IF($C554="X",0,-$O554)),2),0)</f>
        <v>0</v>
      </c>
      <c r="AR554" s="199">
        <f>IF($K554=AR$3,ROUND(IF(OR($C554="W",$C554="1/2W",$C554="1/2L"),$P554-$O554,IF($C554="X",0,-$O554)),2),0)</f>
        <v>0</v>
      </c>
      <c r="AS554" s="197">
        <f>IF(AND($B553=" ",$K554=AS$3),$O554,0)</f>
        <v>0</v>
      </c>
      <c r="AT554" s="198">
        <f>IF(AND($B553=" ",K554=AT$3),$O554,0)</f>
        <v>0</v>
      </c>
      <c r="AU554" s="198">
        <f>IF(AND($B553=" ",$K554=AU$3),$O554,0)</f>
        <v>0</v>
      </c>
      <c r="AV554" s="198">
        <f>IF(AND($B553=" ",$K554=AV$3),$O554,0)</f>
        <v>0</v>
      </c>
      <c r="AW554" s="198">
        <f>IF(AND($B553=" ",$K554=AW$3),$O554,0)</f>
        <v>0</v>
      </c>
      <c r="AX554" s="198">
        <f>IF(AND($B553=" ",$K554=AX$3),$O554,0)</f>
        <v>0</v>
      </c>
      <c r="AY554" s="200">
        <f>IF(AND($B553=" ",$K554=AY$3),$O554,0)</f>
        <v>0</v>
      </c>
      <c r="AZ554" s="201">
        <f>IF(AND($B553=" ",$K554=AZ$3),$O554,0)</f>
        <v>0</v>
      </c>
      <c r="BA554" s="201">
        <f>IF(AND($B553=" ",$K554=BA$3),$O554,0)</f>
        <v>0</v>
      </c>
      <c r="BB554" s="201">
        <f>IF(AND($B553=" ",$K554=BB$3),$O554,0)</f>
        <v>0</v>
      </c>
      <c r="BC554" s="202">
        <f>IF(AND($B553=" ",$K554=BC$3),$O554,0)</f>
        <v>0</v>
      </c>
      <c r="BD554" s="198">
        <f>IF(AND($B553=" ",$K554=BD$3),$O554,0)</f>
        <v>0</v>
      </c>
      <c r="BE554" s="199">
        <f>IF(AND($B553=" ",$K554=BE$3),$O554,0)</f>
        <v>0</v>
      </c>
      <c r="BF554" s="197">
        <f>IF($K554=BF$3,IF($C554="X",0,$O554),0)</f>
        <v>7.6</v>
      </c>
      <c r="BG554" s="198">
        <f>IF($K554=BG$3,IF($C554="X",0,$O554),0)</f>
        <v>0</v>
      </c>
      <c r="BH554" s="198">
        <f>IF($K554=BH$3,IF($C554="X",0,$O554),0)</f>
        <v>0</v>
      </c>
      <c r="BI554" s="198">
        <f>IF($K554=BI$3,IF($C554="X",0,$O554),0)</f>
        <v>0</v>
      </c>
      <c r="BJ554" s="198">
        <f>IF($K554=BJ$3,IF($C554="X",0,$O554),0)</f>
        <v>0</v>
      </c>
      <c r="BK554" s="198">
        <f>IF($K554=BK$3,IF($C554="X",0,$O554),0)</f>
        <v>0</v>
      </c>
      <c r="BL554" s="198">
        <f>IF($K554=BL$3,IF($C554="X",0,$O554),0)</f>
        <v>0</v>
      </c>
      <c r="BM554" s="227">
        <f>IF($K554=BM$3,IF($C554="X",0,$O554),0)</f>
        <v>0</v>
      </c>
      <c r="BN554" s="205">
        <f>IF($K554=BN$3,IF($C554="X",0,$O554),0)</f>
        <v>0</v>
      </c>
      <c r="BO554" s="205">
        <f>IF($K554=BO$3,IF($C554="X",0,$O554),0)</f>
        <v>0</v>
      </c>
      <c r="BP554" s="205">
        <f>IF($K554=BP$3,IF($C554="X",0,$O554),0)</f>
        <v>0</v>
      </c>
      <c r="BQ554" s="202">
        <f>IF($K554=BQ$3,IF($C554="X",0,$O554),0)</f>
        <v>0</v>
      </c>
      <c r="BR554" s="199">
        <f>IF($K554=BR$3,IF($C554="X",0,$O554),0)</f>
        <v>0</v>
      </c>
      <c r="BS554" s="228"/>
      <c r="BT554" s="229"/>
      <c r="BU554" s="140"/>
      <c r="BV554" s="229"/>
      <c r="BW554" s="140"/>
      <c r="BX554" s="140"/>
      <c r="BY554" s="140"/>
      <c r="BZ554" s="229"/>
      <c r="CA554" s="140"/>
      <c r="CB554" s="140"/>
      <c r="CC554" s="140"/>
      <c r="CD554" s="141"/>
      <c r="CE554" s="142"/>
      <c r="CF554" s="230">
        <f>IF(CF$3=$K554,IF($C554="W",1,IF($C554="1/2W",0.5,0)),0)</f>
        <v>0</v>
      </c>
      <c r="CG554" s="231">
        <f>IF(CF$3=$K554,IF($C554="L",1,IF($C554="1/2L",0.5,0)),0)</f>
        <v>1</v>
      </c>
      <c r="CH554" s="231">
        <f>IF(CH$3=$K554,IF($C554="W",1,IF($C554="1/2W",0.5,0)),0)</f>
        <v>0</v>
      </c>
      <c r="CI554" s="231">
        <f>IF(CH$3=$K554,IF($C554="L",1,IF($C554="1/2L",0.5,0)),0)</f>
        <v>0</v>
      </c>
      <c r="CJ554" s="231">
        <f>IF(CJ$3=$K554,IF($C554="W",1,IF($C554="1/2W",0.5,0)),0)</f>
        <v>0</v>
      </c>
      <c r="CK554" s="231">
        <f>IF(CJ$3=$K554,IF($C554="L",1,IF($C554="1/2L",0.5,0)),0)</f>
        <v>0</v>
      </c>
      <c r="CL554" s="231">
        <f>IF(CL$3=$K554,IF($C554="W",1,IF($C554="1/2W",0.5,0)),0)</f>
        <v>0</v>
      </c>
      <c r="CM554" s="231">
        <f>IF(CL$3=$K554,IF($C554="L",1,IF($C554="1/2L",0.5,0)),0)</f>
        <v>0</v>
      </c>
      <c r="CN554" s="231">
        <f>IF(CN$3=$K554,IF($C554="W",1,IF($C554="1/2W",0.5,0)),0)</f>
        <v>0</v>
      </c>
      <c r="CO554" s="231">
        <f>IF(CN$3=$K554,IF($C554="L",1,IF($C554="1/2L",0.5,0)),0)</f>
        <v>0</v>
      </c>
      <c r="CP554" s="231">
        <f>IF(CP$3=$K554,IF($C554="W",1,IF($C554="1/2W",0.5,0)),0)</f>
        <v>0</v>
      </c>
      <c r="CQ554" s="231">
        <f>IF(CP$3=$K554,IF($C554="L",1,IF($C554="1/2L",0.5,0)),0)</f>
        <v>0</v>
      </c>
      <c r="CR554" s="231">
        <f>IF(CR$3=$K554,IF($C554="W",1,IF($C554="1/2W",0.5,0)),0)</f>
        <v>0</v>
      </c>
      <c r="CS554" s="231">
        <f>IF(CR$3=$K554,IF($C554="L",1,IF($C554="1/2L",0.5,0)),0)</f>
        <v>0</v>
      </c>
      <c r="CT554" s="208">
        <f>IF(CT$3=$K554,IF($C554="W",1,IF($C554="1/2W",0.5,0)),0)</f>
        <v>0</v>
      </c>
      <c r="CU554" s="209">
        <f>IF(CT$3=$K554,IF($C554="L",1,IF($C554="1/2L",0.5,0)),0)</f>
        <v>0</v>
      </c>
      <c r="CV554" s="209">
        <f>IF(CV$3=$K554,IF($C554="W",1,IF($C554="1/2W",0.5,0)),0)</f>
        <v>0</v>
      </c>
      <c r="CW554" s="209">
        <f>IF(CV$3=$K554,IF($C554="L",1,IF($C554="1/2L",0.5,0)),0)</f>
        <v>0</v>
      </c>
      <c r="CX554" s="209">
        <f>IF(CX$3=$K554,IF($C554="W",1,IF($C554="1/2W",0.5,0)),0)</f>
        <v>0</v>
      </c>
      <c r="CY554" s="209">
        <f>IF(CX$3=$K554,IF($C554="L",1,IF($C554="1/2L",0.5,0)),0)</f>
        <v>0</v>
      </c>
      <c r="CZ554" s="209">
        <f>IF(CZ$3=$K554,IF($C554="W",1,IF($C554="1/2W",0.5,0)),0)</f>
        <v>0</v>
      </c>
      <c r="DA554" s="209">
        <f>IF(CZ$3=$K554,IF($C554="L",1,IF($C554="1/2L",0.5,0)),0)</f>
        <v>0</v>
      </c>
      <c r="DB554" s="209">
        <f>IF(DB$3=$K554,IF($C554="W",1,IF($C554="1/2W",0.5,0)),0)</f>
        <v>0</v>
      </c>
      <c r="DC554" s="209">
        <f>IF(DB$3=$K554,IF($C554="L",1,IF($C554="1/2L",0.5,0)),0)</f>
        <v>0</v>
      </c>
      <c r="DD554" s="209">
        <f>IF(DD$3=$K554,IF($C554="W",1,IF($C554="1/2W",0.5,0)),0)</f>
        <v>0</v>
      </c>
      <c r="DE554" s="210">
        <f>IF(DD$3=$K554,IF($C554="L",1,IF($C554="1/2L",0.5,0)),0)</f>
        <v>0</v>
      </c>
      <c r="DF554" s="211">
        <f>IF(AND(L554&lt;DF$3,$C554="W"),1+DF553,DF553)</f>
        <v>16</v>
      </c>
      <c r="DG554" s="198">
        <f>IF(DF554&gt;DF553,L554+DG553,DG553)</f>
        <v>21.158</v>
      </c>
      <c r="DH554" s="209">
        <f>IF(AND(L554&gt;DH$3,$C554="W"),1+DH553,0+DH553)</f>
        <v>15</v>
      </c>
      <c r="DI554" s="198">
        <f>IF(DH554&gt;DH553,L554+DI553,DI553)</f>
        <v>81.26000000000001</v>
      </c>
      <c r="DJ554" t="s" s="306">
        <f>IF($D553="","",$D553)</f>
        <v>396</v>
      </c>
      <c r="DK554" s="232"/>
    </row>
    <row r="555" ht="14.55" customHeight="1">
      <c r="A555" s="149"/>
      <c r="B555" s="150"/>
      <c r="C555" t="s" s="233">
        <v>58</v>
      </c>
      <c r="D555" s="152"/>
      <c r="E555" s="153"/>
      <c r="F555" s="155"/>
      <c r="G555" s="234"/>
      <c r="H555" s="156"/>
      <c r="I555" s="235"/>
      <c r="J555" s="236"/>
      <c r="K555" s="237"/>
      <c r="L555" s="238"/>
      <c r="M555" s="239"/>
      <c r="N555" s="161"/>
      <c r="O555" t="s" s="240">
        <f>IF(OR(AE553="",AE554=""),"",IF(L555&gt;0,ROUND(IF(M555&gt;0,M555,IF(M553&gt;0,ROUND((M553*AE555)/AE553,IF(N553=0,2,IF(N553=0.1,1,0))),IF(M554&gt;0,ROUND((M554*AE555)/AE554,IF(N553=0,2,IF(N553=0.1,1,0))),IF(M555&gt;0,M555,0)))),2),""))</f>
      </c>
      <c r="P555" t="s" s="241">
        <f>IF(I554="Lay",O554*(L554/(L554-1))-O554,IF(I553="Lay",O553*(L553/(L553-1))-O553,IF(OR(L555="",O555=""),"",IF($C555="1/2W",O555/2+O555/2*L555,IF($C555="1/2L",O555/2,(O555*L555-O555)*(1-_xlfn.XLOOKUP(K555,'Janeiro 2023 - Valor Real'!A3:A15,'Janeiro 2023 - Valor Real'!C3:C15,0))+O555)))))</f>
      </c>
      <c r="Q555" t="s" s="242">
        <f>IF(K555="","",IF(_xlfn.XLOOKUP(K555,K$124:K328,DJ$124:DJ328,0,,-1)=DJ555,_xlfn.XLOOKUP(K555,K$124:K328,Q$124:Q328,1,,-1)+1,1))</f>
      </c>
      <c r="R555" t="s" s="243">
        <f>IF(K555="","",_xlfn.XLOOKUP(K555,K$124:K328,R$124:R328,0,,-1)+IF($C555=" ",1,0))</f>
      </c>
      <c r="S555" s="166"/>
      <c r="T555" s="155"/>
      <c r="U555" s="155"/>
      <c r="V555" s="166"/>
      <c r="W555" s="155"/>
      <c r="X555" s="167"/>
      <c r="Y555" s="128"/>
      <c r="Z555" s="129"/>
      <c r="AA555" s="129"/>
      <c r="AB555" s="129"/>
      <c r="AC555" s="129"/>
      <c r="AD555" s="244">
        <f>((L554/(L554-1)-1))</f>
        <v>1.25</v>
      </c>
      <c r="AE555" t="s" s="245">
        <f>IF(L555="","",(SUM(((L553-1)*(1-_xlfn.XLOOKUP(K553,'Janeiro 2023 - Valor Real'!A3:A15,'Janeiro 2023 - Valor Real'!C3:C15,0))+1),((L554-1)*(1-_xlfn.XLOOKUP(K554,'Janeiro 2023 - Valor Real'!A3:A15,'Janeiro 2023 - Valor Real'!C3:C15,0))+1),((L555-1)*(1-_xlfn.XLOOKUP(K555,'Janeiro 2023 - Valor Real'!A3:A15,'Janeiro 2023 - Valor Real'!C3:C15,0))+1))/((L555-1)*(1-_xlfn.XLOOKUP(K555,'Janeiro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Real'!C3:C15,0))+1))/((L553-1)*(1-_xlfn.XLOOKUP(K553,'Janeiro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Real'!C3:C15,0))+1))/((L554-1)*(1-_xlfn.XLOOKUP(K554,'Janeiro 2023 - Valor Real'!A3:A15,'Janeiro 2023 - Valor Real'!C3:C15,0))+1)+SUM(((L553-1)*(1-_xlfn.XLOOKUP(K553,'Janeiro 2023 - Valor Real'!A3:A15,'Janeiro 2023 - Valor Real'!C3:C15,0))+1),((L554-1)*(1-_xlfn.XLOOKUP(K554,'Janeiro 2023 - Valor Real'!A3:A15,'Janeiro 2023 - Valor Real'!C3:C15,0))+1),((L555-1)*(1-_xlfn.XLOOKUP(K555,'Janeiro 2023 - Valor Real'!A3:A15,'Janeiro 2023 - Valor Real'!C3:C15,0))+1))/((L555-1)*(1-_xlfn.XLOOKUP(K555,'Janeiro 2023 - Valor Real'!A3:A15,'Janeiro 2023 - Valor Real'!C3:C15,0))+1)))</f>
      </c>
      <c r="AF555" s="197">
        <f>IF($K555=AF$3,ROUND(IF(OR($C555="W",$C555="1/2W",$C555="1/2L"),$P555-$O555,IF($C555="X",0,-$O555)),2),0)</f>
        <v>0</v>
      </c>
      <c r="AG555" s="198">
        <f>IF($K555=AG$3,ROUND(IF(OR($C555="W",$C555="1/2W",$C555="1/2L"),$P555-$O555,IF($C555="X",0,-$O555)),2),0)</f>
        <v>0</v>
      </c>
      <c r="AH555" s="198">
        <f>IF($K555=AH$3,ROUND(IF(OR($C555="W",$C555="1/2W",$C555="1/2L"),$P555-$O555,IF($C555="X",0,-$O555)),2),0)</f>
        <v>0</v>
      </c>
      <c r="AI555" s="198">
        <f>IF($K555=AI$3,ROUND(IF(OR($C555="W",$C555="1/2W",$C555="1/2L"),$P555-$O555,IF($C555="X",0,-$O555)),2),0)</f>
        <v>0</v>
      </c>
      <c r="AJ555" s="198">
        <f>IF($K555=AJ$3,ROUND(IF(OR($C555="W",$C555="1/2W",$C555="1/2L"),$P555-$O555,IF($C555="X",0,-$O555)),2),0)</f>
        <v>0</v>
      </c>
      <c r="AK555" s="198">
        <f>IF($K555=AK$3,ROUND(IF(OR($C555="W",$C555="1/2W",$C555="1/2L"),$P555-$O555,IF($C555="X",0,-$O555)),2),0)</f>
        <v>0</v>
      </c>
      <c r="AL555" s="198">
        <f>IF($K555=AL$3,ROUND(IF(OR($C555="W",$C555="1/2W",$C555="1/2L"),$P555-$O555,IF($C555="X",0,-$O555)),2),0)</f>
        <v>0</v>
      </c>
      <c r="AM555" s="198">
        <f>IF($K555=AM$3,ROUND(IF(OR($C555="W",$C555="1/2W",$C555="1/2L"),$P555-$O555,IF($C555="X",0,-$O555)),2),0)</f>
        <v>0</v>
      </c>
      <c r="AN555" s="198">
        <f>IF($K555=AN$3,ROUND(IF(OR($C555="W",$C555="1/2W",$C555="1/2L"),$P555-$O555,IF($C555="X",0,-$O555)),2),0)</f>
        <v>0</v>
      </c>
      <c r="AO555" s="198">
        <f>IF($K555=AO$3,ROUND(IF(OR($C555="W",$C555="1/2W",$C555="1/2L"),$P555-$O555,IF($C555="X",0,-$O555)),2),0)</f>
        <v>0</v>
      </c>
      <c r="AP555" s="198">
        <f>IF($K555=AP$3,ROUND(IF(OR($C555="W",$C555="1/2W",$C555="1/2L"),$P555-$O555,IF($C555="X",0,-$O555)),2),0)</f>
        <v>0</v>
      </c>
      <c r="AQ555" s="198">
        <f>IF($K555=AQ$3,ROUND(IF(OR($C555="W",$C555="1/2W",$C555="1/2L"),$P555-$O555,IF($C555="X",0,-$O555)),2),0)</f>
        <v>0</v>
      </c>
      <c r="AR555" s="199">
        <f>IF($K555=AR$3,ROUND(IF(OR($C555="W",$C555="1/2W",$C555="1/2L"),$P555-$O555,IF($C555="X",0,-$O555)),2),0)</f>
        <v>0</v>
      </c>
      <c r="AS555" s="197">
        <f>IF(AND($B553=" ",$K555=AS$3),$O555,0)</f>
        <v>0</v>
      </c>
      <c r="AT555" s="198">
        <f>IF(AND($B553=" ",K555=AT$3),$O555,0)</f>
        <v>0</v>
      </c>
      <c r="AU555" s="198">
        <f>IF(AND($B553=" ",$K555=AU$3),$O555,0)</f>
        <v>0</v>
      </c>
      <c r="AV555" s="198">
        <f>IF(AND($B553=" ",$K555=AV$3),$O555,0)</f>
        <v>0</v>
      </c>
      <c r="AW555" s="198">
        <f>IF(AND($B553=" ",$K555=AW$3),$O555,0)</f>
        <v>0</v>
      </c>
      <c r="AX555" s="198">
        <f>IF(AND($B553=" ",$K555=AX$3),$O555,0)</f>
        <v>0</v>
      </c>
      <c r="AY555" s="200">
        <f>IF(AND($B553=" ",$K555=AY$3),$O555,0)</f>
        <v>0</v>
      </c>
      <c r="AZ555" s="201">
        <f>IF(AND($B553=" ",$K555=AZ$3),$O555,0)</f>
        <v>0</v>
      </c>
      <c r="BA555" s="201">
        <f>IF(AND($B553=" ",$K555=BA$3),$O555,0)</f>
        <v>0</v>
      </c>
      <c r="BB555" s="201">
        <f>IF(AND($B553=" ",$K555=BB$3),$O555,0)</f>
        <v>0</v>
      </c>
      <c r="BC555" s="202">
        <f>IF(AND($B553=" ",$K555=BC$3),$O555,0)</f>
        <v>0</v>
      </c>
      <c r="BD555" s="198">
        <f>IF(AND($B553=" ",$K555=BD$3),$O555,0)</f>
        <v>0</v>
      </c>
      <c r="BE555" s="199">
        <f>IF(AND($B553=" ",$K555=BE$3),$O555,0)</f>
        <v>0</v>
      </c>
      <c r="BF555" s="197">
        <f>IF($K555=BF$3,IF($C555="X",0,$O555),0)</f>
        <v>0</v>
      </c>
      <c r="BG555" s="198">
        <f>IF($K555=BG$3,IF($C555="X",0,$O555),0)</f>
        <v>0</v>
      </c>
      <c r="BH555" s="198">
        <f>IF($K555=BH$3,IF($C555="X",0,$O555),0)</f>
        <v>0</v>
      </c>
      <c r="BI555" s="198">
        <f>IF($K555=BI$3,IF($C555="X",0,$O555),0)</f>
        <v>0</v>
      </c>
      <c r="BJ555" s="198">
        <f>IF($K555=BJ$3,IF($C555="X",0,$O555),0)</f>
        <v>0</v>
      </c>
      <c r="BK555" s="198">
        <f>IF($K555=BK$3,IF($C555="X",0,$O555),0)</f>
        <v>0</v>
      </c>
      <c r="BL555" s="198">
        <f>IF($K555=BL$3,IF($C555="X",0,$O555),0)</f>
        <v>0</v>
      </c>
      <c r="BM555" s="200">
        <f>IF($K555=BM$3,IF($C555="X",0,$O555),0)</f>
        <v>0</v>
      </c>
      <c r="BN555" s="201">
        <f>IF($K555=BN$3,IF($C555="X",0,$O555),0)</f>
        <v>0</v>
      </c>
      <c r="BO555" s="201">
        <f>IF($K555=BO$3,IF($C555="X",0,$O555),0)</f>
        <v>0</v>
      </c>
      <c r="BP555" s="201">
        <f>IF($K555=BP$3,IF($C555="X",0,$O555),0)</f>
        <v>0</v>
      </c>
      <c r="BQ555" s="202">
        <f>IF($K555=BQ$3,IF($C555="X",0,$O555),0)</f>
        <v>0</v>
      </c>
      <c r="BR555" s="199">
        <f>IF($K555=BR$3,IF($C555="X",0,$O555),0)</f>
        <v>0</v>
      </c>
      <c r="BS555" s="228"/>
      <c r="BT555" s="229"/>
      <c r="BU555" s="140"/>
      <c r="BV555" s="229"/>
      <c r="BW555" s="140"/>
      <c r="BX555" s="140"/>
      <c r="BY555" s="140"/>
      <c r="BZ555" s="229"/>
      <c r="CA555" s="140"/>
      <c r="CB555" s="140"/>
      <c r="CC555" s="140"/>
      <c r="CD555" s="141"/>
      <c r="CE555" s="142"/>
      <c r="CF555" s="230">
        <f>IF(CF$3=$K555,IF($C555="W",1,IF($C555="1/2W",0.5,0)),0)</f>
        <v>0</v>
      </c>
      <c r="CG555" s="231">
        <f>IF(CF$3=$K555,IF($C555="L",1,IF($C555="1/2L",0.5,0)),0)</f>
        <v>0</v>
      </c>
      <c r="CH555" s="231">
        <f>IF(CH$3=$K555,IF($C555="W",1,IF($C555="1/2W",0.5,0)),0)</f>
        <v>0</v>
      </c>
      <c r="CI555" s="231">
        <f>IF(CH$3=$K555,IF($C555="L",1,IF($C555="1/2L",0.5,0)),0)</f>
        <v>0</v>
      </c>
      <c r="CJ555" s="231">
        <f>IF(CJ$3=$K555,IF($C555="W",1,IF($C555="1/2W",0.5,0)),0)</f>
        <v>0</v>
      </c>
      <c r="CK555" s="231">
        <f>IF(CJ$3=$K555,IF($C555="L",1,IF($C555="1/2L",0.5,0)),0)</f>
        <v>0</v>
      </c>
      <c r="CL555" s="231">
        <f>IF(CL$3=$K555,IF($C555="W",1,IF($C555="1/2W",0.5,0)),0)</f>
        <v>0</v>
      </c>
      <c r="CM555" s="231">
        <f>IF(CL$3=$K555,IF($C555="L",1,IF($C555="1/2L",0.5,0)),0)</f>
        <v>0</v>
      </c>
      <c r="CN555" s="231">
        <f>IF(CN$3=$K555,IF($C555="W",1,IF($C555="1/2W",0.5,0)),0)</f>
        <v>0</v>
      </c>
      <c r="CO555" s="231">
        <f>IF(CN$3=$K555,IF($C555="L",1,IF($C555="1/2L",0.5,0)),0)</f>
        <v>0</v>
      </c>
      <c r="CP555" s="231">
        <f>IF(CP$3=$K555,IF($C555="W",1,IF($C555="1/2W",0.5,0)),0)</f>
        <v>0</v>
      </c>
      <c r="CQ555" s="231">
        <f>IF(CP$3=$K555,IF($C555="L",1,IF($C555="1/2L",0.5,0)),0)</f>
        <v>0</v>
      </c>
      <c r="CR555" s="231">
        <f>IF(CR$3=$K555,IF($C555="W",1,IF($C555="1/2W",0.5,0)),0)</f>
        <v>0</v>
      </c>
      <c r="CS555" s="231">
        <f>IF(CR$3=$K555,IF($C555="L",1,IF($C555="1/2L",0.5,0)),0)</f>
        <v>0</v>
      </c>
      <c r="CT555" s="208">
        <f>IF(CT$3=$K555,IF($C555="W",1,IF($C555="1/2W",0.5,0)),0)</f>
        <v>0</v>
      </c>
      <c r="CU555" s="209">
        <f>IF(CT$3=$K555,IF($C555="L",1,IF($C555="1/2L",0.5,0)),0)</f>
        <v>0</v>
      </c>
      <c r="CV555" s="209">
        <f>IF(CV$3=$K555,IF($C555="W",1,IF($C555="1/2W",0.5,0)),0)</f>
        <v>0</v>
      </c>
      <c r="CW555" s="209">
        <f>IF(CV$3=$K555,IF($C555="L",1,IF($C555="1/2L",0.5,0)),0)</f>
        <v>0</v>
      </c>
      <c r="CX555" s="209">
        <f>IF(CX$3=$K555,IF($C555="W",1,IF($C555="1/2W",0.5,0)),0)</f>
        <v>0</v>
      </c>
      <c r="CY555" s="209">
        <f>IF(CX$3=$K555,IF($C555="L",1,IF($C555="1/2L",0.5,0)),0)</f>
        <v>0</v>
      </c>
      <c r="CZ555" s="209">
        <f>IF(CZ$3=$K555,IF($C555="W",1,IF($C555="1/2W",0.5,0)),0)</f>
        <v>0</v>
      </c>
      <c r="DA555" s="209">
        <f>IF(CZ$3=$K555,IF($C555="L",1,IF($C555="1/2L",0.5,0)),0)</f>
        <v>0</v>
      </c>
      <c r="DB555" s="209">
        <f>IF(DB$3=$K555,IF($C555="W",1,IF($C555="1/2W",0.5,0)),0)</f>
        <v>0</v>
      </c>
      <c r="DC555" s="209">
        <f>IF(DB$3=$K555,IF($C555="L",1,IF($C555="1/2L",0.5,0)),0)</f>
        <v>0</v>
      </c>
      <c r="DD555" s="209">
        <f>IF(DD$3=$K555,IF($C555="W",1,IF($C555="1/2W",0.5,0)),0)</f>
        <v>0</v>
      </c>
      <c r="DE555" s="210">
        <f>IF(DD$3=$K555,IF($C555="L",1,IF($C555="1/2L",0.5,0)),0)</f>
        <v>0</v>
      </c>
      <c r="DF555" s="211">
        <f>IF(AND(L555&lt;DF$3,$C555="W"),1+DF554,DF554)</f>
        <v>16</v>
      </c>
      <c r="DG555" s="198">
        <f>IF(DF555&gt;DF554,L555+DG554,DG554)</f>
        <v>21.158</v>
      </c>
      <c r="DH555" s="209">
        <f>IF(AND(L555&gt;DH$3,$C555="W"),1+DH554,0+DH554)</f>
        <v>15</v>
      </c>
      <c r="DI555" s="198">
        <f>IF(DH555&gt;DH554,L555+DI554,DI554)</f>
        <v>81.26000000000001</v>
      </c>
      <c r="DJ555" t="s" s="306">
        <f>IF($D553="","",$D553)</f>
        <v>396</v>
      </c>
      <c r="DK555" s="232"/>
    </row>
    <row r="556" ht="14.55" customHeight="1">
      <c r="A556" s="246">
        <f>$A553+1</f>
        <v>185</v>
      </c>
      <c r="B556" t="s" s="247">
        <f>IF(AND(_xlfn.XLOOKUP(H556,H$107:H335,G$107:G335,0)=G556,_xlfn.XLOOKUP("TempoBet",K556:K558,L556:L558,0)&gt;0),"X",IF(OR(C556="W",C557="W",C558="W",C556="1/2W",C557="1/2W",C558="1/2W",C556="1/2L",C557="1/2L",C558="1/2L"),"OK",IF(OR(C556="L",C557="L",C558="L"),"LOSS",IF(OR(C556="X",C557="X",C558="X"),"Anulado"," "))))</f>
        <v>50</v>
      </c>
      <c r="C556" t="s" s="248">
        <v>51</v>
      </c>
      <c r="D556" t="s" s="303">
        <f>IF(G556="","",$D553)</f>
        <v>396</v>
      </c>
      <c r="E556" t="s" s="250">
        <v>93</v>
      </c>
      <c r="F556" t="s" s="251">
        <f>IF(G556="","",IF(OR(AND($C556&lt;&gt;" ",$C557=" "),AND($C557&lt;&gt;" ",$C556=" "),AND(L558&gt;0,OR(AND($C558&lt;&gt;" ",OR($C556=" ",$C557=" ")),AND($C558=" ",OR($C556&lt;&gt;" ",$C557&lt;&gt;" "))))),IF(SUM(F$4:F555)=0,1,LARGE(F$4:F555,1)+1),IF(MONTH(G556)=MONTH(TODAY()),IF(AND(DAY(G556)&lt;DAY(TODAY()),$B556=" "),IF(SUM(F$4:F555)=0,1,LARGE(F$4:F555,1)+1),IF($B556=" ",IF(AND(DAY(G556)=DAY(TODAY()),HOUR(G556)&lt;=HOUR(NOW())+1),IF(AND(HOUR(G556)+2&lt;=HOUR(NOW()),DAY(G556)&lt;=DAY(TODAY()),MINUTE(G556)&lt;=MINUTE(NOW())),IF(SUM(F$4:F555)=0,1,LARGE(F$4:F555,1)+1),IF(OR(MINUTE(G556)&lt;=MINUTE(NOW()),HOUR(G556)&lt;=HOUR(NOW())),"!!!","")),""),"")),"")))</f>
      </c>
      <c r="G556" s="252">
        <v>44953.708333333336</v>
      </c>
      <c r="H556" t="s" s="253">
        <v>419</v>
      </c>
      <c r="I556" t="s" s="254">
        <v>65</v>
      </c>
      <c r="J556" s="255">
        <v>54.5</v>
      </c>
      <c r="K556" t="s" s="256">
        <v>37</v>
      </c>
      <c r="L556" s="257">
        <v>2.5</v>
      </c>
      <c r="M556" s="258">
        <v>9.33</v>
      </c>
      <c r="N556" s="259">
        <v>1</v>
      </c>
      <c r="O556" s="260">
        <f>IF(OR(AE556="",AE557=""),"",ROUND(IF(L558&gt;0,IF(M556&gt;0,M556,IF(M557&gt;0,ROUND((M557*AE556)/AE557,IF(N556=0,2,IF(N556=0.1,1,0))),ROUND((M558*AE556)/AE558,IF(N556=0,2,IF(N556=0.1,1,0))))),IF(M556&gt;0,M556,ROUND((M557*AE556)/AE557,IF(N556=0,2,IF(N556=0.1,1,0))))),2))</f>
        <v>9.33</v>
      </c>
      <c r="P556" s="261">
        <f>IF(OR(L556="",O556=""),"",IF($C556="1/2W",O556/2+O556/2*L556,IF($C556="1/2L",O556/2,IF(I556="Lay",(O556*(L556/(L556-1))-O556)*(1-_xlfn.XLOOKUP(K556,'Janeiro 2023 - Valor Real'!A3:A15,'Janeiro 2023 - Valor Real'!C3:C15,0))+O556,(O556*L556-O556)*(1-_xlfn.XLOOKUP(K556,'Janeiro 2023 - Valor Real'!A3:A15,'Janeiro 2023 - Valor Real'!C3:C15,0))+O556))))</f>
        <v>23.325</v>
      </c>
      <c r="Q556" s="262">
        <f>IF(K556="","",IF(_xlfn.XLOOKUP(K556,K$107:K335,DJ$107:DJ335,0,,-1)=DJ556,_xlfn.XLOOKUP(K556,K$107:K335,Q$107:Q335,1,,-1)+1,1))</f>
        <v>1</v>
      </c>
      <c r="R556" s="263">
        <f>IF(K556="","",_xlfn.XLOOKUP(K556,K$107:K335,R$107:R335,0,,-1)+IF($C556=" ",1,0))</f>
        <v>0</v>
      </c>
      <c r="S556" s="264">
        <f>IF($B556="Anulado",0,ROUND(IF(OR($B556="LOSS",$B556="OK"),IF(OR($C556="W",$C556="1/2W",$C556="1/2L"),P556-O556,IF($C556="L",-O556,0))+IF(OR($C557="W",$C557="1/2W",$C557="1/2L"),P557-O557,IF($C557="L",-O557,0))+IF(OR($C558="W",$C558="1/2W",$C558="1/2L"),P558-O558,IF($C558="L",-O558,0)),IF(AND(OR($C556="W",$C556="1/2W",$C556="1/2L"),C557="W"),P556+P557-SUM(O556:O558)+_xlfn.XLOOKUP("X",C556:C558,O556:O558,0),IF(AND(C556=TRUE,C558="W"),P556+P558-SUM(O556:O558),IF(AND(C557="W",C558="W"),P557+P558-SUM(O556:O558)+_xlfn.XLOOKUP("X",C556:C558,O556:O558,0),IF(L558&gt;0,IF(OR($C556="W",$C556="1/2W",$C556="1/2L"),P556-SUM(O556:O558)+_xlfn.XLOOKUP("X",C556:C558,O556:O558,0),IF(OR($C556="W",$C556="1/2W",$C556="1/2L"),P557-SUM(O556:O558)+_xlfn.XLOOKUP("X",C556:C558,O556:O558,0),IF(OR($C556="W",$C556="1/2W",$C556="1/2L"),P558-SUM(O556:O558)+_xlfn.XLOOKUP("X",C556:C558,O556:O558,0),IF(SUM(P556:P558)/3-SUM(O556:O558)+_xlfn.XLOOKUP("X",C556:C558,O556:O558,0)&gt;0,SUM(P556:P558)/3-SUM(O556:O558)+_xlfn.XLOOKUP("X",C556:C558,O556:O558,0),LARGE(P556:P558,1)-SUM(O556:O558))))),IF(OR($C556="W",$C556="1/2W",$C556="1/2L"),P556-SUM(O556:O557)+_xlfn.XLOOKUP("X",C556:C558,O556:O558,0),IF(OR($C556="W",$C556="1/2W",$C556="1/2L"),P557-SUM(O556:O557)+_xlfn.XLOOKUP("X",C556:C558,O556:O558,0),SUM(P556:P557)/2-SUM(O556:O557)+_xlfn.XLOOKUP("X",C556:C558,O556:O558,0)))))))),2))</f>
        <v>1.07</v>
      </c>
      <c r="T556" s="265">
        <f>IF(S556=0,0,S556/SUM(O556:O558))</f>
        <v>0.0479175996417376</v>
      </c>
      <c r="U556" s="266">
        <f>IF($D556=$D553,IF(OR($B556="LOSS",$B556="OK",$B556="Anulada"),S556,0)+U553,IF(OR($B556="LOSS",$B556="OK",$B556="Anulada"),S556,0))</f>
        <v>37.18</v>
      </c>
      <c r="V556" s="266">
        <f>IF($D556="",0,IF($D556=$D553,IF($B556=" ",IF(I558="",IF(OR(AND(I556="DNB1",I557="DNB2"),AND(OR(I556="DNB1",I556="DNB2"),J557=0),AND(OR(I557="DNB1",I557="DNB2"),J556=0),AND(I556="DNB2",I557="DNB1"),AND(IF(J556=0,(J556+1)/ROUND(J556+1,0),J556/ROUND(J556,0))=1,IF(J557=0,(J557+1)/ROUND(IF(J557="",0,J557)+1,0),IF(J557="",0,J557)/ROUND(IF(J557="",1,J557),0))=1,OR(J556&lt;&gt;""),J557&lt;&gt;"")),0,IF(S556&lt;0,IF(I558="",SMALL(P556:P557,1)-SUM(O556:O557),0),SMALL(P556:P557,1)-SUM(O556:O557))),IF(S556&lt;0,IF(I558="",SMALL(P556:P558,1)-SUM(O556:O558),0),LARGE(P556:P558,1)-SUM(O556:O558))),S556)+V553,IF(I558="",IF(OR(AND(I556="DNB1",I557="DNB2"),AND(OR(I556="DNB1",I556="DNB2"),J557=0),AND(OR(I557="DNB1",I557="DNB2"),J556=0),AND(I556="DNB2",I557="DNB1"),AND(IF(J556=0,(J556+1)/ROUND(J556+1,0),J556/ROUND(J556,0))=1,IF(J557=0,(IF(J557="",0,J557)+1)/ROUND(IF(J557="",0,J557)+1,0),IF(J557="",0,J557)/ROUND(IF(J557="",0,J557)+1,0))=1,OR(J556&lt;&gt;""),J557&lt;&gt;"")),0,IF(S556&lt;0,IF(I558="",SMALL(P556:P557,1)-SUM(O556:O557),0),SMALL(P556:P558,1)-SUM(O556:O558))),IF(S556&lt;0,IF(I558="",SMALL(P556:P558,1)-SUM(O556:O558),0),LARGE(P556:P558,1)-SUM(O556:O558)))))</f>
        <v>37.18</v>
      </c>
      <c r="W556" s="266">
        <f>IF($D556=$D553,IF(S556&lt;0,IF(I558="",S556,0),S556)+W553,S556)</f>
        <v>37.18</v>
      </c>
      <c r="X556" t="s" s="267">
        <f>IF(OR(SUM(R556:R558)=0,V556=W556),ROUND(IF(W556=0,0,W556/Y556)*100,2)&amp;"%",ROUND(IF(V556=0,0,V556/Y556)*100,2)&amp;"% a "&amp;ROUND(IF(W556=0,0,W556/Y556)*100,2)&amp;"%")</f>
        <v>384</v>
      </c>
      <c r="Y556" s="268">
        <f>IF($D556=$D553,Y553+SUM(O556:O558),SUM(O556:O558))</f>
        <v>660.38</v>
      </c>
      <c r="Z556" s="266">
        <f>IF($B556=" ",SUM(O556:O558),0)+Z553</f>
        <v>0</v>
      </c>
      <c r="AA556" s="266">
        <f>IF(G556="","",IF($B556="Anulado",LARGE(P556:P558,1)-SUM(O556:O558)+AA553,AA553))</f>
        <v>24.9665076923077</v>
      </c>
      <c r="AB556" s="266">
        <f>IF($D556="","",AB553+S556)</f>
        <v>376.42</v>
      </c>
      <c r="AC556" s="269">
        <f>IF($D556="","",IF($B556=" ",IF(DAY(G556)=DAY(TODAY()),1+AC553,0+AC553),0+AC553))</f>
        <v>0</v>
      </c>
      <c r="AD556" s="270">
        <f>(1-_xlfn.XLOOKUP(K554,'Janeiro 2023 - Valor Real'!A3:A15,'Janeiro 2023 - Valor Real'!C3:C15,0))+1</f>
        <v>2</v>
      </c>
      <c r="AE556" s="271">
        <f>IF(L556="","",IF(L558&gt;0,(SUM(((L556-1)*(1-_xlfn.XLOOKUP(K556,'Janeiro 2023 - Valor Real'!A3:A15,'Janeiro 2023 - Valor Real'!C3:C15,0))+1),((L557-1)*(1-_xlfn.XLOOKUP(K557,'Janeiro 2023 - Valor Real'!A3:A15,'Janeiro 2023 - Valor Real'!C3:C15,0))+1),((L558-1)*(1-_xlfn.XLOOKUP(K558,'Janeiro 2023 - Valor Real'!A3:A15,'Janeiro 2023 - Valor Real'!C3:C15,0))+1))/((L556-1)*(1-_xlfn.XLOOKUP(K556,'Janeiro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Real'!C3:C15,0))+1))/((L556-1)*(1-_xlfn.XLOOKUP(K556,'Janeiro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Real'!C3:C15,0))+1))/((L557-1)*(1-_xlfn.XLOOKUP(K557,'Janeiro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Real'!C3:C15,0))+1))/((L558-1)*(1-_xlfn.XLOOKUP(K558,'Janeiro 2023 - Valor Real'!A3:A15,'Janeiro 2023 - Valor Real'!C3:C15,0))+1)),IF(I556="Lay",IF(I557="Lay",((L557/(L557-1)-1)*(1-_xlfn.XLOOKUP(K557,'Janeiro 2023 - Valor Real'!A3:A15,'Janeiro 2023 - Valor Real'!C3:C15,0))+1)/(((L557/(L557-1)-1)*(1-_xlfn.XLOOKUP(K557,'Janeiro 2023 - Valor Real'!A3:A15,'Janeiro 2023 - Valor Real'!C3:C15,0))+1)+((L556/(L556-1)-1)*(1-_xlfn.XLOOKUP(K556,'Janeiro 2023 - Valor Real'!A3:A15,'Janeiro 2023 - Valor Real'!C3:C15,0))+1)),((L557-1)*(1-_xlfn.XLOOKUP(K557,'Janeiro 2023 - Valor Real'!A3:A15,'Janeiro 2023 - Valor Real'!C3:C15,0))+1)/(((L557-1)*(1-_xlfn.XLOOKUP(K557,'Janeiro 2023 - Valor Real'!A3:A15,'Janeiro 2023 - Valor Real'!C3:C15,0))+1)+((L556/(L556-1)-1)*(1-_xlfn.XLOOKUP(K556,'Janeiro 2023 - Valor Real'!A3:A15,'Janeiro 2023 - Valor Real'!C3:C15,0))+1))),IF(I557="Lay",(((L557/(L557-1)-1)*(1-_xlfn.XLOOKUP(K557,'Janeiro 2023 - Valor Real'!A3:A15,'Janeiro 2023 - Valor Real'!C3:C15,0))+1))/(((L556-1)*(1-_xlfn.XLOOKUP(K556,'Janeiro 2023 - Valor Real'!A3:A15,'Janeiro 2023 - Valor Real'!C3:C15,0))+1)+((L557/(L557-1)-1)*(1-_xlfn.XLOOKUP(K557,'Janeiro 2023 - Valor Real'!A3:A15,'Janeiro 2023 - Valor Real'!C3:C15,0))+1)),((L557-1)*(1-_xlfn.XLOOKUP(K557,'Janeiro 2023 - Valor Real'!A3:A15,'Janeiro 2023 - Valor Real'!C3:C15,0))+1)/(((L557-1)*(1-_xlfn.XLOOKUP(K557,'Janeiro 2023 - Valor Real'!A3:A15,'Janeiro 2023 - Valor Real'!C3:C15,0))+1)+((L556-1)*(1-_xlfn.XLOOKUP(K556,'Janeiro 2023 - Valor Real'!A3:A15,'Janeiro 2023 - Valor Real'!C3:C15,0))+1))))))</f>
        <v>0.418604651162791</v>
      </c>
      <c r="AF556" s="132">
        <f>IF($K556=AF$3,ROUND(IF(OR($C556="W",$C556="1/2W",$C556="1/2L"),$P556-$O556,IF($C556="X",0,-$O556)),2),0)</f>
        <v>-9.33</v>
      </c>
      <c r="AG556" s="133">
        <f>IF($K556=AG$3,ROUND(IF(OR($C556="W",$C556="1/2W",$C556="1/2L"),$P556-$O556,IF($C556="X",0,-$O556)),2),0)</f>
        <v>0</v>
      </c>
      <c r="AH556" s="133">
        <f>IF($K556=AH$3,ROUND(IF(OR($C556="W",$C556="1/2W",$C556="1/2L"),$P556-$O556,IF($C556="X",0,-$O556)),2),0)</f>
        <v>0</v>
      </c>
      <c r="AI556" s="133">
        <f>IF($K556=AI$3,ROUND(IF(OR($C556="W",$C556="1/2W",$C556="1/2L"),$P556-$O556,IF($C556="X",0,-$O556)),2),0)</f>
        <v>0</v>
      </c>
      <c r="AJ556" s="133">
        <f>IF($K556=AJ$3,ROUND(IF(OR($C556="W",$C556="1/2W",$C556="1/2L"),$P556-$O556,IF($C556="X",0,-$O556)),2),0)</f>
        <v>0</v>
      </c>
      <c r="AK556" s="133">
        <f>IF($K556=AK$3,ROUND(IF(OR($C556="W",$C556="1/2W",$C556="1/2L"),$P556-$O556,IF($C556="X",0,-$O556)),2),0)</f>
        <v>0</v>
      </c>
      <c r="AL556" s="133">
        <f>IF($K556=AL$3,ROUND(IF(OR($C556="W",$C556="1/2W",$C556="1/2L"),$P556-$O556,IF($C556="X",0,-$O556)),2),0)</f>
        <v>0</v>
      </c>
      <c r="AM556" s="133">
        <f>IF($K556=AM$3,ROUND(IF(OR($C556="W",$C556="1/2W",$C556="1/2L"),$P556-$O556,IF($C556="X",0,-$O556)),2),0)</f>
        <v>0</v>
      </c>
      <c r="AN556" s="133">
        <f>IF($K556=AN$3,ROUND(IF(OR($C556="W",$C556="1/2W",$C556="1/2L"),$P556-$O556,IF($C556="X",0,-$O556)),2),0)</f>
        <v>0</v>
      </c>
      <c r="AO556" s="133">
        <f>IF($K556=AO$3,ROUND(IF(OR($C556="W",$C556="1/2W",$C556="1/2L"),$P556-$O556,IF($C556="X",0,-$O556)),2),0)</f>
        <v>0</v>
      </c>
      <c r="AP556" s="133">
        <f>IF($K556=AP$3,ROUND(IF(OR($C556="W",$C556="1/2W",$C556="1/2L"),$P556-$O556,IF($C556="X",0,-$O556)),2),0)</f>
        <v>0</v>
      </c>
      <c r="AQ556" s="133">
        <f>IF($K556=AQ$3,ROUND(IF(OR($C556="W",$C556="1/2W",$C556="1/2L"),$P556-$O556,IF($C556="X",0,-$O556)),2),0)</f>
        <v>0</v>
      </c>
      <c r="AR556" s="134">
        <f>IF($K556=AR$3,ROUND(IF(OR($C556="W",$C556="1/2W",$C556="1/2L"),$P556-$O556,IF($C556="X",0,-$O556)),2),0)</f>
        <v>0</v>
      </c>
      <c r="AS556" s="132">
        <f>IF(AND($B556=" ",$K556=AS$3),$O556,0)</f>
        <v>0</v>
      </c>
      <c r="AT556" s="133">
        <f>IF(AND($B556=" ",$K556=AT$3),$O556,0)</f>
        <v>0</v>
      </c>
      <c r="AU556" s="133">
        <f>IF(AND($B556=" ",$K556=AU$3),$O556,0)</f>
        <v>0</v>
      </c>
      <c r="AV556" s="133">
        <f>IF(AND($B556=" ",$K556=AV$3),$O556,0)</f>
        <v>0</v>
      </c>
      <c r="AW556" s="133">
        <f>IF(AND($B556=" ",$K556=AW$3),$O556,0)</f>
        <v>0</v>
      </c>
      <c r="AX556" s="133">
        <f>IF(AND($B556=" ",$K556=AX$3),$O556,0)</f>
        <v>0</v>
      </c>
      <c r="AY556" s="135">
        <f>IF(AND($B556=" ",$K556=AY$3),$O556,0)</f>
        <v>0</v>
      </c>
      <c r="AZ556" s="136">
        <f>IF(AND($B556=" ",$K556=AZ$3),$O556,0)</f>
        <v>0</v>
      </c>
      <c r="BA556" s="136">
        <f>IF(AND($B556=" ",$K556=BA$3),$O556,0)</f>
        <v>0</v>
      </c>
      <c r="BB556" s="136">
        <f>IF(AND($B556=" ",$K556=BB$3),$O556,0)</f>
        <v>0</v>
      </c>
      <c r="BC556" s="137">
        <f>IF(AND($B556=" ",$K556=BC$3),$O556,0)</f>
        <v>0</v>
      </c>
      <c r="BD556" s="133">
        <f>IF(AND($B556=" ",$K556=BD$3),$O556,0)</f>
        <v>0</v>
      </c>
      <c r="BE556" s="134">
        <f>IF(AND($B556=" ",$K556=BE$3),$O556,0)</f>
        <v>0</v>
      </c>
      <c r="BF556" s="132">
        <f>IF($K556=BF$3,IF($C556="X",0,$O556),0)</f>
        <v>9.33</v>
      </c>
      <c r="BG556" s="133">
        <f>IF($K556=BG$3,IF($C556="X",0,$O556),0)</f>
        <v>0</v>
      </c>
      <c r="BH556" s="133">
        <f>IF($K556=BH$3,IF($C556="X",0,$O556),0)</f>
        <v>0</v>
      </c>
      <c r="BI556" s="133">
        <f>IF($K556=BI$3,IF($C556="X",0,$O556),0)</f>
        <v>0</v>
      </c>
      <c r="BJ556" s="133">
        <f>IF($K556=BJ$3,IF($C556="X",0,$O556),0)</f>
        <v>0</v>
      </c>
      <c r="BK556" s="133">
        <f>IF($K556=BK$3,IF($C556="X",0,$O556),0)</f>
        <v>0</v>
      </c>
      <c r="BL556" s="133">
        <f>IF($K556=BL$3,IF($C556="X",0,$O556),0)</f>
        <v>0</v>
      </c>
      <c r="BM556" s="135">
        <f>IF($K556=BM$3,IF($C556="X",0,$O556),0)</f>
        <v>0</v>
      </c>
      <c r="BN556" s="136">
        <f>IF($K556=BN$3,IF($C556="X",0,$O556),0)</f>
        <v>0</v>
      </c>
      <c r="BO556" s="136">
        <f>IF($K556=BO$3,IF($C556="X",0,$O556),0)</f>
        <v>0</v>
      </c>
      <c r="BP556" s="136">
        <f>IF($K556=BP$3,IF($C556="X",0,$O556),0)</f>
        <v>0</v>
      </c>
      <c r="BQ556" s="137">
        <f>IF($K556=BQ$3,IF($C556="X",0,$O556),0)</f>
        <v>0</v>
      </c>
      <c r="BR556" s="134">
        <f>IF($K556=BR$3,IF($C556="X",0,$O556),0)</f>
        <v>0</v>
      </c>
      <c r="BS556" s="170">
        <f>IF($B556="LOSS",IF(AND($K556=BS$3,$C556="L"),-$O556,0)+IF(AND($K557=BS$3,$C557="L"),-$O557,0)+IF(AND($K558=BS$3,$C558="L"),-$O558,0),IF(OR(AND($K556=BS$3,OR($C556="W",$C556="1/2W")),AND($K557=BS$3,OR($C557="W",$C557="1/2W")),AND($K558=BS$3,OR($C558="W",$C558="1/2W"))),$S556,0))</f>
        <v>0</v>
      </c>
      <c r="BT556" s="272">
        <f>IF($B556="LOSS",IF(AND($K556=BT$3,$C556="L"),-$O556,0)+IF(AND($K557=BT$3,$C557="L"),-$O557,0)+IF(AND($K557=BT$3,$C558="L"),-$O558,0),IF(OR(AND($K557=BT$3,OR($C556="W",$C556="1/2W")),AND($K557=BT$3,OR($C557="W",$C557="1/2W")),AND($K557=BT$3,OR($C558="W",$C558="1/2W"))),$S556,0))</f>
        <v>0</v>
      </c>
      <c r="BU556" s="136">
        <f>IF($B556="LOSS",IF(AND($K556=BU$3,$C556="L"),-$O556,0)+IF(AND($K557=BU$3,$C557="L"),-$O557,0)+IF(AND($K557=BU$3,$C558="L"),-$O558,0),IF(OR(AND($K557=BU$3,OR($C556="W",$C556="1/2W")),AND($K557=BU$3,OR($C557="W",$C557="1/2W")),AND($K557=BU$3,OR($C558="W",$C558="1/2W"))),$S556,0))</f>
        <v>0</v>
      </c>
      <c r="BV556" s="136">
        <f>IF($B556="LOSS",IF(AND($K556=BV$3,$C556="L"),-$O556,0)+IF(AND($K557=BV$3,$C557="L"),-$O557,0)+IF(AND($K558=BV$3,$C558="L"),-$O558,0),IF(OR(AND($K556=BV$3,OR($C556="W",$C556="1/2W")),AND($K557=BV$3,OR($C557="W",$C557="1/2W")),AND($K558=BV$3,OR($C558="W",$C558="1/2W"))),$S556,0))</f>
        <v>0</v>
      </c>
      <c r="BW556" s="136">
        <f>IF($B556="LOSS",IF(AND($K556=BW$3,$C556="L"),-$O556,0)+IF(AND($K557=BW$3,$C557="L"),-$O557,0)+IF(AND($K558=BW$3,$C558="L"),-$O558,0),IF(OR(AND($K556=BW$3,OR($C556="W",$C556="1/2W")),AND($K557=BW$3,OR($C557="W",$C557="1/2W")),AND($K558=BW$3,OR($C558="W",$C558="1/2W"))),$S556,0))</f>
        <v>1.07</v>
      </c>
      <c r="BX556" s="136">
        <f>IF($B556="LOSS",IF(AND($K556=BX$3,$C556="L"),-$O556,0)+IF(AND($K557=BX$3,$C557="L"),-$O557,0)+IF(AND($K558=BX$3,$C558="L"),-$O558,0),IF(OR(AND($K556=BX$3,OR($C556="W",$C556="1/2W")),AND($K557=BX$3,OR($C557="W",$C557="1/2W")),AND($K558=BX$3,OR($C558="W",$C558="1/2W"))),$S556,0))</f>
        <v>0</v>
      </c>
      <c r="BY556" s="136">
        <f>IF($B556="LOSS",IF(AND($K556=BY$3,$C556="L"),-$O556,0)+IF(AND($K557=BY$3,$C557="L"),-$O557,0)+IF(AND($K558=BY$3,$C558="L"),-$O558,0),IF(OR(AND($K556=BY$3,OR($C556="W",$C556="1/2W")),AND($K557=BY$3,OR($C557="W",$C557="1/2W")),AND($K558=BY$3,OR($C558="W",$C558="1/2W"))),$S556,0))</f>
        <v>0</v>
      </c>
      <c r="BZ556" s="136">
        <f>IF($B556="LOSS",IF(AND($K556=BZ$3,$C556="L"),-$O556,0)+IF(AND($K557=BZ$3,$C557="L"),-$O557,0)+IF(AND($K558=BZ$3,$C558="L"),-$O558,0),IF(OR(AND($K556=BZ$3,OR($C556="W",$C556="1/2W")),AND($K557=BZ$3,OR($C557="W",$C557="1/2W")),AND($K558=BZ$3,OR($C558="W",$C558="1/2W"))),$S556,0))</f>
        <v>0</v>
      </c>
      <c r="CA556" s="136">
        <f>IF($B556="LOSS",IF(AND($K556=CA$3,$C556="L"),-$O556,0)+IF(AND($K557=CA$3,$C557="L"),-$O557,0)+IF(AND($K558=CA$3,$C558="L"),-$O558,0),IF(OR(AND($K556=CA$3,OR($C556="W",$C556="1/2W")),AND($K557=CA$3,OR($C557="W",$C557="1/2W")),AND($K558=CA$3,OR($C558="W",$C558="1/2W"))),$S556,0))</f>
        <v>0</v>
      </c>
      <c r="CB556" s="136">
        <f>IF($B556="LOSS",IF(AND($K556=CB$3,$C556="L"),-$O556,0)+IF(AND($K557=CB$3,$C557="L"),-$O557,0)+IF(AND($K558=CB$3,$C558="L"),-$O558,0),IF(OR(AND($K556=CB$3,OR($C556="W",$C556="1/2W")),AND($K557=CB$3,OR($C557="W",$C557="1/2W")),AND($K558=CB$3,OR($C558="W",$C558="1/2W"))),$S556,0))</f>
        <v>0</v>
      </c>
      <c r="CC556" s="136">
        <f>IF($B556="LOSS",IF(AND($K556=CC$3,$C556="L"),-$O556,0)+IF(AND($K557=CC$3,$C557="L"),-$O557,0)+IF(AND($K558=CC$3,$C558="L"),-$O558,0),IF(OR(AND($K556=CC$3,OR($C556="W",$C556="1/2W")),AND($K557=CC$3,OR($C557="W",$C557="1/2W")),AND($K558=CC$3,OR($C558="W",$C558="1/2W"))),$S556,0))</f>
        <v>0</v>
      </c>
      <c r="CD556" s="137">
        <f>IF($B556="LOSS",IF(AND($K556=CD$3,$C556="L"),-$O556,0)+IF(AND($K557=CD$3,$C557="L"),-$O557,0)+IF(AND($K558=CD$3,$C558="L"),-$O558,0),IF(OR(AND($K556=CD$3,OR($C556="W",$C556="1/2W")),AND($K557=CD$3,OR($C557="W",$C557="1/2W")),AND($K558=CD$3,OR($C558="W",$C558="1/2W"))),$S556,0))</f>
        <v>0</v>
      </c>
      <c r="CE556" s="134">
        <f>IF($B556="LOSS",IF(AND($K556=CE$3,$C556="L"),-$O556,0)+IF(AND($K557=CE$3,$C557="L"),-$O557,0)+IF(AND($K558=CE$3,$C558="L"),-$O558,0),IF(OR(AND($K556=CE$3,OR($C556="W",$C556="1/2W")),AND($K557=CE$3,OR($C557="W",$C557="1/2W")),AND($K558=CE$3,OR($C558="W",$C558="1/2W"))),$S556,0))</f>
        <v>0</v>
      </c>
      <c r="CF556" s="273">
        <f>IF(CF$3=$K556,IF($C556="W",1,IF($C556="1/2W",0.5,0)),0)</f>
        <v>0</v>
      </c>
      <c r="CG556" s="274">
        <f>IF(CF$3=$K556,IF($C556="L",1,IF($C556="1/2L",0.5,0)),0)</f>
        <v>1</v>
      </c>
      <c r="CH556" s="274">
        <f>IF(CH$3=$K556,IF($C556="W",1,IF($C556="1/2W",0.5,0)),0)</f>
        <v>0</v>
      </c>
      <c r="CI556" s="274">
        <f>IF(CH$3=$K556,IF($C556="L",1,IF($C556="1/2L",0.5,0)),0)</f>
        <v>0</v>
      </c>
      <c r="CJ556" s="274">
        <f>IF(CJ$3=$K556,IF($C556="W",1,IF($C556="1/2W",0.5,0)),0)</f>
        <v>0</v>
      </c>
      <c r="CK556" s="274">
        <f>IF(CJ$3=$K556,IF($C556="L",1,IF($C556="1/2L",0.5,0)),0)</f>
        <v>0</v>
      </c>
      <c r="CL556" s="274">
        <f>IF(CL$3=$K556,IF($C556="W",1,IF($C556="1/2W",0.5,0)),0)</f>
        <v>0</v>
      </c>
      <c r="CM556" s="274">
        <f>IF(CL$3=$K556,IF($C556="L",1,IF($C556="1/2L",0.5,0)),0)</f>
        <v>0</v>
      </c>
      <c r="CN556" s="274">
        <f>IF(CN$3=$K556,IF($C556="W",1,IF($C556="1/2W",0.5,0)),0)</f>
        <v>0</v>
      </c>
      <c r="CO556" s="274">
        <f>IF(CN$3=$K556,IF($C556="L",1,IF($C556="1/2L",0.5,0)),0)</f>
        <v>0</v>
      </c>
      <c r="CP556" s="274">
        <f>IF(CP$3=$K556,IF($C556="W",1,IF($C556="1/2W",0.5,0)),0)</f>
        <v>0</v>
      </c>
      <c r="CQ556" s="274">
        <f>IF(CP$3=$K556,IF($C556="L",1,IF($C556="1/2L",0.5,0)),0)</f>
        <v>0</v>
      </c>
      <c r="CR556" s="274">
        <f>IF(CR$3=$K556,IF($C556="W",1,IF($C556="1/2W",0.5,0)),0)</f>
        <v>0</v>
      </c>
      <c r="CS556" s="274">
        <f>IF(CR$3=$K556,IF($C556="L",1,IF($C556="1/2L",0.5,0)),0)</f>
        <v>0</v>
      </c>
      <c r="CT556" s="145">
        <f>IF(CT$3=$K556,IF($C556="W",1,IF($C556="1/2W",0.5,0)),0)</f>
        <v>0</v>
      </c>
      <c r="CU556" s="146">
        <f>IF(CT$3=$K556,IF($C556="L",1,IF($C556="1/2L",0.5,0)),0)</f>
        <v>0</v>
      </c>
      <c r="CV556" s="146">
        <f>IF(CV$3=$K556,IF($C556="W",1,IF($C556="1/2W",0.5,0)),0)</f>
        <v>0</v>
      </c>
      <c r="CW556" s="146">
        <f>IF(CV$3=$K556,IF($C556="L",1,IF($C556="1/2L",0.5,0)),0)</f>
        <v>0</v>
      </c>
      <c r="CX556" s="146">
        <f>IF(CX$3=$K556,IF($C556="W",1,IF($C556="1/2W",0.5,0)),0)</f>
        <v>0</v>
      </c>
      <c r="CY556" s="146">
        <f>IF(CX$3=$K556,IF($C556="L",1,IF($C556="1/2L",0.5,0)),0)</f>
        <v>0</v>
      </c>
      <c r="CZ556" s="146">
        <f>IF(CZ$3=$K556,IF($C556="W",1,IF($C556="1/2W",0.5,0)),0)</f>
        <v>0</v>
      </c>
      <c r="DA556" s="146">
        <f>IF(CZ$3=$K556,IF($C556="L",1,IF($C556="1/2L",0.5,0)),0)</f>
        <v>0</v>
      </c>
      <c r="DB556" s="146">
        <f>IF(DB$3=$K556,IF($C556="W",1,IF($C556="1/2W",0.5,0)),0)</f>
        <v>0</v>
      </c>
      <c r="DC556" s="146">
        <f>IF(DB$3=$K556,IF($C556="L",1,IF($C556="1/2L",0.5,0)),0)</f>
        <v>0</v>
      </c>
      <c r="DD556" s="146">
        <f>IF(DD$3=$K556,IF($C556="W",1,IF($C556="1/2W",0.5,0)),0)</f>
        <v>0</v>
      </c>
      <c r="DE556" s="147">
        <f>IF(DD$3=$K556,IF($C556="L",1,IF($C556="1/2L",0.5,0)),0)</f>
        <v>0</v>
      </c>
      <c r="DF556" s="143">
        <f>IF(AND(L556&lt;DF$3,$C556="W"),1+DF555,DF555)</f>
        <v>16</v>
      </c>
      <c r="DG556" s="133">
        <f>IF(DF556&gt;DF555,L556+DG555,DG555)</f>
        <v>21.158</v>
      </c>
      <c r="DH556" s="146">
        <f>IF(AND(L556&gt;DH$3,$C556="W"),1+DH555,0+DH555)</f>
        <v>15</v>
      </c>
      <c r="DI556" s="133">
        <f>IF(DH556&gt;DH555,L556+DI555,DI555)</f>
        <v>81.26000000000001</v>
      </c>
      <c r="DJ556" t="s" s="304">
        <f>IF($D556="","",$D556)</f>
        <v>396</v>
      </c>
      <c r="DK556" s="146">
        <f>IF(AND($B556=" ",$D556&lt;&gt;""),1,0)</f>
        <v>0</v>
      </c>
    </row>
    <row r="557" ht="14.55" customHeight="1">
      <c r="A557" s="107"/>
      <c r="B557" s="108"/>
      <c r="C557" t="s" s="109">
        <v>56</v>
      </c>
      <c r="D557" s="110"/>
      <c r="E557" s="111"/>
      <c r="F557" s="113"/>
      <c r="G557" s="252"/>
      <c r="H557" s="114"/>
      <c r="I557" t="s" s="275">
        <v>67</v>
      </c>
      <c r="J557" s="276">
        <f>IF(OR(I556="TO",I556="TU",I556="TO1",I556="TU1",I556="TO2",I556="TU2"),J556,IF(OR(I556="AH1",I556="AH2"),IF(OR(I557="AH1",I557="AH2"),-J556,IF(OR(I557="EH1",I557="EH2"),-J556+0.5,"")),IF(OR(I556="EH1",I556="EH2"),IF(OR(I557="AH1",I557="AH2"),-J556+0.5,IF(OR(I557="EH1",I557="EH2"),-J556+1,"")),IF(AND(OR(I556="DNB1",I556="DNB2"),OR(I557="AH1",I557="AH2")),0,IF(AND(I556="Not ScoreBoth",OR(I557="TO1",I557="TO2")),0.5,"")))))</f>
        <v>54.5</v>
      </c>
      <c r="K557" t="s" s="117">
        <v>41</v>
      </c>
      <c r="L557" s="277">
        <v>1.8</v>
      </c>
      <c r="M557" s="278"/>
      <c r="N557" s="120"/>
      <c r="O557" s="121">
        <f>IF(OR(AE556="",AE557=""),"",ROUND(IF(L558&gt;0,IF(M557&gt;0,M557,IF(M556&gt;0,IF(N556=TRUE,ROUND((M556*AE557)/AE556,0),(M556*AE557)/AE556),IF(M557&gt;0,ROUND(M557,IF(N556=0,2,IF(N556=0.1,1,0))),IF(M558&gt;0,ROUND(O558*AE557/AE558,IF(N556=0,2,IF(N556=0.1,1,0))),0)))),IF(M557&gt;0,M557,ROUND((M556*AE557)/AE556,IF(N556=0,2,IF(N556=0.1,1,0))))),2))</f>
        <v>13</v>
      </c>
      <c r="P557" s="122">
        <f>IF(OR(L557="",O557=""),"",IF($C557="1/2W",O557/2+O557/2*L557,IF($C557="1/2L",O557/2,IF(I557="Lay",((O557*(L557/(L557-1)))-O557)*(1-_xlfn.XLOOKUP(K557,'Janeiro 2023 - Valor Real'!A3:A15,'Janeiro 2023 - Valor Real'!C3:C15,0))+O557,(O557*L557-O557)*(1-_xlfn.XLOOKUP(K557,'Janeiro 2023 - Valor Real'!A3:A15,'Janeiro 2023 - Valor Real'!C3:C15,0))+O557))))</f>
        <v>23.4</v>
      </c>
      <c r="Q557" s="279">
        <f>IF(K557="","",IF(_xlfn.XLOOKUP(K557,K$120:K336,DJ$120:DJ336,0,,-1)=DJ557,_xlfn.XLOOKUP(K557,K$120:K336,Q$120:Q336,1,,-1)+1,1))</f>
        <v>1</v>
      </c>
      <c r="R557" s="280">
        <f>IF(K557="","",_xlfn.XLOOKUP(K557,K$120:K336,R$120:R336,0,,-1)+IF($C557=" ",1,0))</f>
        <v>0</v>
      </c>
      <c r="S557" s="125"/>
      <c r="T557" s="126"/>
      <c r="U557" s="126"/>
      <c r="V557" s="224"/>
      <c r="W557" s="126"/>
      <c r="X557" s="127"/>
      <c r="Y557" s="128"/>
      <c r="Z557" s="129"/>
      <c r="AA557" s="129"/>
      <c r="AB557" s="129"/>
      <c r="AC557" s="129"/>
      <c r="AD557" s="130"/>
      <c r="AE557" s="131">
        <f>IF(L557="","",IF(L558&gt;0,(SUM(((L556-1)*(1-_xlfn.XLOOKUP(K556,'Janeiro 2023 - Valor Real'!A3:A15,'Janeiro 2023 - Valor Real'!C3:C15,0))+1),((L557-1)*(1-_xlfn.XLOOKUP(K557,'Janeiro 2023 - Valor Real'!A3:A15,'Janeiro 2023 - Valor Real'!C3:C15,0))+1),((L558-1)*(1-_xlfn.XLOOKUP(K558,'Janeiro 2023 - Valor Real'!A3:A15,'Janeiro 2023 - Valor Real'!C3:C15,0))+1))/((L557-1)*(1-_xlfn.XLOOKUP(K557,'Janeiro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Real'!C3:C15,0))+1))/((L556-1)*(1-_xlfn.XLOOKUP(K556,'Janeiro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Real'!C3:C15,0))+1))/((L557-1)*(1-_xlfn.XLOOKUP(K557,'Janeiro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Real'!C3:C15,0))+1))/((L558-1)*(1-_xlfn.XLOOKUP(K558,'Janeiro 2023 - Valor Real'!A3:A15,'Janeiro 2023 - Valor Real'!C3:C15,0))+1)),IF(I557="Lay",IF(I556="Lay",((L556/(L556-1)-1)*(1-_xlfn.XLOOKUP(K556,'Janeiro 2023 - Valor Real'!A3:A15,'Janeiro 2023 - Valor Real'!C3:C15,0))+1)/(((L556/(L556-1)-1)*(1-_xlfn.XLOOKUP(K556,'Janeiro 2023 - Valor Real'!A3:A15,'Janeiro 2023 - Valor Real'!C3:C15,0))+1)+((L557/(L557-1)-1)*(1-_xlfn.XLOOKUP(K557,'Janeiro 2023 - Valor Real'!A3:A15,'Janeiro 2023 - Valor Real'!C3:C15,0))+1)),((L556-1)*(1-_xlfn.XLOOKUP(K556,'Janeiro 2023 - Valor Real'!A3:A15,'Janeiro 2023 - Valor Real'!C3:C15,0))+1)/(((L556-1)*(1-_xlfn.XLOOKUP(K556,'Janeiro 2023 - Valor Real'!A3:A15,'Janeiro 2023 - Valor Real'!C3:C15,0))+1)+((L557/(L557-1)-1)*(1-_xlfn.XLOOKUP(K557,'Janeiro 2023 - Valor Real'!A3:A15,'Janeiro 2023 - Valor Real'!C3:C15,0))+1))),IF(I556="Lay",((L556/(L556-1)-1)*(1-_xlfn.XLOOKUP(K556,'Janeiro 2023 - Valor Real'!A3:A15,'Janeiro 2023 - Valor Real'!C3:C15,0))+1)/((((L556/(L556-1)-1)*(1-_xlfn.XLOOKUP(K556,'Janeiro 2023 - Valor Real'!A3:A15,'Janeiro 2023 - Valor Real'!C3:C15,0))+1))+((L557-1)*(1-_xlfn.XLOOKUP(K557,'Janeiro 2023 - Valor Real'!A3:A15,'Janeiro 2023 - Valor Real'!C3:C15,0))+1)),((L556-1)*(1-_xlfn.XLOOKUP(K556,'Janeiro 2023 - Valor Real'!A3:A15,'Janeiro 2023 - Valor Real'!C3:C15,0))+1)/(((L556-1)*(1-_xlfn.XLOOKUP(K556,'Janeiro 2023 - Valor Real'!A3:A15,'Janeiro 2023 - Valor Real'!C3:C15,0))+1)+((L557-1)*(1-_xlfn.XLOOKUP(K557,'Janeiro 2023 - Valor Real'!A3:A15,'Janeiro 2023 - Valor Real'!C3:C15,0))+1))))))</f>
        <v>0.581395348837209</v>
      </c>
      <c r="AF557" s="132">
        <f>IF($K557=AF$3,ROUND(IF(OR($C557="W",$C557="1/2W",$C557="1/2L"),$P557-$O557,IF($C557="X",0,-$O557)),2),0)</f>
        <v>0</v>
      </c>
      <c r="AG557" s="133">
        <f>IF($K557=AG$3,ROUND(IF(OR($C557="W",$C557="1/2W",$C557="1/2L"),$P557-$O557,IF($C557="X",0,-$O557)),2),0)</f>
        <v>0</v>
      </c>
      <c r="AH557" s="133">
        <f>IF($K557=AH$3,ROUND(IF(OR($C557="W",$C557="1/2W",$C557="1/2L"),$P557-$O557,IF($C557="X",0,-$O557)),2),0)</f>
        <v>0</v>
      </c>
      <c r="AI557" s="133">
        <f>IF($K557=AI$3,ROUND(IF(OR($C557="W",$C557="1/2W",$C557="1/2L"),$P557-$O557,IF($C557="X",0,-$O557)),2),0)</f>
        <v>0</v>
      </c>
      <c r="AJ557" s="133">
        <f>IF($K557=AJ$3,ROUND(IF(OR($C557="W",$C557="1/2W",$C557="1/2L"),$P557-$O557,IF($C557="X",0,-$O557)),2),0)</f>
        <v>10.4</v>
      </c>
      <c r="AK557" s="133">
        <f>IF($K557=AK$3,ROUND(IF(OR($C557="W",$C557="1/2W",$C557="1/2L"),$P557-$O557,IF($C557="X",0,-$O557)),2),0)</f>
        <v>0</v>
      </c>
      <c r="AL557" s="133">
        <f>IF($K557=AL$3,ROUND(IF(OR($C557="W",$C557="1/2W",$C557="1/2L"),$P557-$O557,IF($C557="X",0,-$O557)),2),0)</f>
        <v>0</v>
      </c>
      <c r="AM557" s="133">
        <f>IF($K557=AM$3,ROUND(IF(OR($C557="W",$C557="1/2W",$C557="1/2L"),$P557-$O557,IF($C557="X",0,-$O557)),2),0)</f>
        <v>0</v>
      </c>
      <c r="AN557" s="133">
        <f>IF($K557=AN$3,ROUND(IF(OR($C557="W",$C557="1/2W",$C557="1/2L"),$P557-$O557,IF($C557="X",0,-$O557)),2),0)</f>
        <v>0</v>
      </c>
      <c r="AO557" s="133">
        <f>IF($K557=AO$3,ROUND(IF(OR($C557="W",$C557="1/2W",$C557="1/2L"),$P557-$O557,IF($C557="X",0,-$O557)),2),0)</f>
        <v>0</v>
      </c>
      <c r="AP557" s="133">
        <f>IF($K557=AP$3,ROUND(IF(OR($C557="W",$C557="1/2W",$C557="1/2L"),$P557-$O557,IF($C557="X",0,-$O557)),2),0)</f>
        <v>0</v>
      </c>
      <c r="AQ557" s="133">
        <f>IF($K557=AQ$3,ROUND(IF(OR($C557="W",$C557="1/2W",$C557="1/2L"),$P557-$O557,IF($C557="X",0,-$O557)),2),0)</f>
        <v>0</v>
      </c>
      <c r="AR557" s="134">
        <f>IF($K557=AR$3,ROUND(IF(OR($C557="W",$C557="1/2W",$C557="1/2L"),$P557-$O557,IF($C557="X",0,-$O557)),2),0)</f>
        <v>0</v>
      </c>
      <c r="AS557" s="132">
        <f>IF(AND($B556=" ",$K557=AS$3),$O557,0)</f>
        <v>0</v>
      </c>
      <c r="AT557" s="133">
        <f>IF(AND($B556=" ",K557=AT$3),$O557,0)</f>
        <v>0</v>
      </c>
      <c r="AU557" s="133">
        <f>IF(AND($B556=" ",$K557=AU$3),$O557,0)</f>
        <v>0</v>
      </c>
      <c r="AV557" s="133">
        <f>IF(AND($B556=" ",$K557=AV$3),$O557,0)</f>
        <v>0</v>
      </c>
      <c r="AW557" s="133">
        <f>IF(AND($B556=" ",$K557=AW$3),$O557,0)</f>
        <v>0</v>
      </c>
      <c r="AX557" s="133">
        <f>IF(AND($B556=" ",$K557=AX$3),$O557,0)</f>
        <v>0</v>
      </c>
      <c r="AY557" s="135">
        <f>IF(AND($B556=" ",$K557=AY$3),$O557,0)</f>
        <v>0</v>
      </c>
      <c r="AZ557" s="136">
        <f>IF(AND($B556=" ",$K557=AZ$3),$O557,0)</f>
        <v>0</v>
      </c>
      <c r="BA557" s="136">
        <f>IF(AND($B556=" ",$K557=BA$3),$O557,0)</f>
        <v>0</v>
      </c>
      <c r="BB557" s="136">
        <f>IF(AND($B556=" ",$K557=BB$3),$O557,0)</f>
        <v>0</v>
      </c>
      <c r="BC557" s="137">
        <f>IF(AND($B556=" ",$K557=BC$3),$O557,0)</f>
        <v>0</v>
      </c>
      <c r="BD557" s="133">
        <f>IF(AND($B556=" ",$K557=BD$3),$O557,0)</f>
        <v>0</v>
      </c>
      <c r="BE557" s="134">
        <f>IF(AND($B556=" ",$K557=BE$3),$O557,0)</f>
        <v>0</v>
      </c>
      <c r="BF557" s="132">
        <f>IF($K557=BF$3,IF($C557="X",0,$O557),0)</f>
        <v>0</v>
      </c>
      <c r="BG557" s="281">
        <f>IF($K557=BG$3,IF($C557="X",0,$O557),0)</f>
        <v>0</v>
      </c>
      <c r="BH557" s="133">
        <f>IF($K557=BH$3,IF($C557="X",0,$O557),0)</f>
        <v>0</v>
      </c>
      <c r="BI557" s="133">
        <f>IF($K557=BI$3,IF($C557="X",0,$O557),0)</f>
        <v>0</v>
      </c>
      <c r="BJ557" s="133">
        <f>IF($K557=BJ$3,IF($C557="X",0,$O557),0)</f>
        <v>13</v>
      </c>
      <c r="BK557" s="133">
        <f>IF($K557=BK$3,IF($C557="X",0,$O557),0)</f>
        <v>0</v>
      </c>
      <c r="BL557" s="133">
        <f>IF($K557=BL$3,IF($C557="X",0,$O557),0)</f>
        <v>0</v>
      </c>
      <c r="BM557" s="135">
        <f>IF($K557=BM$3,IF($C557="X",0,$O557),0)</f>
        <v>0</v>
      </c>
      <c r="BN557" s="136">
        <f>IF($K557=BN$3,IF($C557="X",0,$O557),0)</f>
        <v>0</v>
      </c>
      <c r="BO557" s="136">
        <f>IF($K557=BO$3,IF($C557="X",0,$O557),0)</f>
        <v>0</v>
      </c>
      <c r="BP557" s="136">
        <f>IF($K557=BP$3,IF($C557="X",0,$O557),0)</f>
        <v>0</v>
      </c>
      <c r="BQ557" s="137">
        <f>IF($K557=BQ$3,IF($C557="X",0,$O557),0)</f>
        <v>0</v>
      </c>
      <c r="BR557" s="134">
        <f>IF($K557=BR$3,IF($C557="X",0,$O557),0)</f>
        <v>0</v>
      </c>
      <c r="BS557" s="282"/>
      <c r="BT557" s="283"/>
      <c r="BU557" s="140"/>
      <c r="BV557" s="283"/>
      <c r="BW557" s="140"/>
      <c r="BX557" s="140"/>
      <c r="BY557" s="140"/>
      <c r="BZ557" s="283"/>
      <c r="CA557" s="140"/>
      <c r="CB557" s="140"/>
      <c r="CC557" s="140"/>
      <c r="CD557" s="141"/>
      <c r="CE557" s="142"/>
      <c r="CF557" s="284">
        <f>IF(CF$3=$K557,IF($C557="W",1,IF($C557="1/2W",0.5,0)),0)</f>
        <v>0</v>
      </c>
      <c r="CG557" s="285">
        <f>IF(CF$3=$K557,IF($C557="L",1,IF($C557="1/2L",0.5,0)),0)</f>
        <v>0</v>
      </c>
      <c r="CH557" s="285">
        <f>IF(CH$3=$K557,IF($C557="W",1,IF($C557="1/2W",0.5,0)),0)</f>
        <v>0</v>
      </c>
      <c r="CI557" s="285">
        <f>IF(CH$3=$K557,IF($C557="L",1,IF($C557="1/2L",0.5,0)),0)</f>
        <v>0</v>
      </c>
      <c r="CJ557" s="285">
        <f>IF(CJ$3=$K557,IF($C557="W",1,IF($C557="1/2W",0.5,0)),0)</f>
        <v>0</v>
      </c>
      <c r="CK557" s="285">
        <f>IF(CJ$3=$K557,IF($C557="L",1,IF($C557="1/2L",0.5,0)),0)</f>
        <v>0</v>
      </c>
      <c r="CL557" s="285">
        <f>IF(CL$3=$K557,IF($C557="W",1,IF($C557="1/2W",0.5,0)),0)</f>
        <v>0</v>
      </c>
      <c r="CM557" s="285">
        <f>IF(CL$3=$K557,IF($C557="L",1,IF($C557="1/2L",0.5,0)),0)</f>
        <v>0</v>
      </c>
      <c r="CN557" s="285">
        <f>IF(CN$3=$K557,IF($C557="W",1,IF($C557="1/2W",0.5,0)),0)</f>
        <v>1</v>
      </c>
      <c r="CO557" s="285">
        <f>IF(CN$3=$K557,IF($C557="L",1,IF($C557="1/2L",0.5,0)),0)</f>
        <v>0</v>
      </c>
      <c r="CP557" s="285">
        <f>IF(CP$3=$K557,IF($C557="W",1,IF($C557="1/2W",0.5,0)),0)</f>
        <v>0</v>
      </c>
      <c r="CQ557" s="285">
        <f>IF(CP$3=$K557,IF($C557="L",1,IF($C557="1/2L",0.5,0)),0)</f>
        <v>0</v>
      </c>
      <c r="CR557" s="285">
        <f>IF(CR$3=$K557,IF($C557="W",1,IF($C557="1/2W",0.5,0)),0)</f>
        <v>0</v>
      </c>
      <c r="CS557" s="285">
        <f>IF(CR$3=$K557,IF($C557="L",1,IF($C557="1/2L",0.5,0)),0)</f>
        <v>0</v>
      </c>
      <c r="CT557" s="145">
        <f>IF(CT$3=$K557,IF($C557="W",1,IF($C557="1/2W",0.5,0)),0)</f>
        <v>0</v>
      </c>
      <c r="CU557" s="146">
        <f>IF(CT$3=$K557,IF($C557="L",1,IF($C557="1/2L",0.5,0)),0)</f>
        <v>0</v>
      </c>
      <c r="CV557" s="146">
        <f>IF(CV$3=$K557,IF($C557="W",1,IF($C557="1/2W",0.5,0)),0)</f>
        <v>0</v>
      </c>
      <c r="CW557" s="146">
        <f>IF(CV$3=$K557,IF($C557="L",1,IF($C557="1/2L",0.5,0)),0)</f>
        <v>0</v>
      </c>
      <c r="CX557" s="146">
        <f>IF(CX$3=$K557,IF($C557="W",1,IF($C557="1/2W",0.5,0)),0)</f>
        <v>0</v>
      </c>
      <c r="CY557" s="146">
        <f>IF(CX$3=$K557,IF($C557="L",1,IF($C557="1/2L",0.5,0)),0)</f>
        <v>0</v>
      </c>
      <c r="CZ557" s="146">
        <f>IF(CZ$3=$K557,IF($C557="W",1,IF($C557="1/2W",0.5,0)),0)</f>
        <v>0</v>
      </c>
      <c r="DA557" s="146">
        <f>IF(CZ$3=$K557,IF($C557="L",1,IF($C557="1/2L",0.5,0)),0)</f>
        <v>0</v>
      </c>
      <c r="DB557" s="146">
        <f>IF(DB$3=$K557,IF($C557="W",1,IF($C557="1/2W",0.5,0)),0)</f>
        <v>0</v>
      </c>
      <c r="DC557" s="146">
        <f>IF(DB$3=$K557,IF($C557="L",1,IF($C557="1/2L",0.5,0)),0)</f>
        <v>0</v>
      </c>
      <c r="DD557" s="146">
        <f>IF(DD$3=$K557,IF($C557="W",1,IF($C557="1/2W",0.5,0)),0)</f>
        <v>0</v>
      </c>
      <c r="DE557" s="147">
        <f>IF(DD$3=$K557,IF($C557="L",1,IF($C557="1/2L",0.5,0)),0)</f>
        <v>0</v>
      </c>
      <c r="DF557" s="143">
        <f>IF(AND(L557&lt;DF$3,$C557="W"),1+DF556,DF556)</f>
        <v>16</v>
      </c>
      <c r="DG557" s="133">
        <f>IF(DF557&gt;DF556,L557+DG556,DG556)</f>
        <v>21.158</v>
      </c>
      <c r="DH557" s="146">
        <f>IF(AND(L557&gt;DH$3,$C557="W"),1+DH556,0+DH556)</f>
        <v>15</v>
      </c>
      <c r="DI557" s="133">
        <f>IF(DH557&gt;DH556,L557+DI556,DI556)</f>
        <v>81.26000000000001</v>
      </c>
      <c r="DJ557" t="s" s="304">
        <f>IF($D556="","",$D556)</f>
        <v>396</v>
      </c>
      <c r="DK557" s="286"/>
    </row>
    <row r="558" ht="14.55" customHeight="1">
      <c r="A558" s="149"/>
      <c r="B558" s="150"/>
      <c r="C558" t="s" s="151">
        <v>58</v>
      </c>
      <c r="D558" s="152"/>
      <c r="E558" s="153"/>
      <c r="F558" s="155"/>
      <c r="G558" s="252"/>
      <c r="H558" s="156"/>
      <c r="I558" s="287"/>
      <c r="J558" s="288"/>
      <c r="K558" s="156"/>
      <c r="L558" s="289"/>
      <c r="M558" s="290"/>
      <c r="N558" s="161"/>
      <c r="O558" t="s" s="162">
        <f>IF(OR(AE556="",AE557=""),"",IF(L558&gt;0,ROUND(IF(M558&gt;0,M558,IF(M556&gt;0,ROUND((M556*AE558)/AE556,IF(N556=0,2,IF(N556=0.1,1,0))),IF(M557&gt;0,ROUND((M557*AE558)/AE557,IF(N556=0,2,IF(N556=0.1,1,0))),IF(M558&gt;0,M558,0)))),2),""))</f>
      </c>
      <c r="P558" t="s" s="163">
        <f>IF(I557="Lay",O557*(L557/(L557-1))-O557,IF(I556="Lay",O556*(L556/(L556-1))-O556,IF(OR(L558="",O558=""),"",IF($C558="1/2W",O558/2+O558/2*L558,IF($C558="1/2L",O558/2,(O558*L558-O558)*(1-_xlfn.XLOOKUP(K558,'Janeiro 2023 - Valor Real'!A3:A15,'Janeiro 2023 - Valor Real'!C3:C15,0))+O558)))))</f>
      </c>
      <c r="Q558" t="s" s="154">
        <f>IF(K558="","",IF(_xlfn.XLOOKUP(K558,K$121:K337,DJ$121:DJ337,0,,-1)=DJ558,_xlfn.XLOOKUP(K558,K$121:K337,Q$121:Q337,1,,-1)+1,1))</f>
      </c>
      <c r="R558" t="s" s="163">
        <f>IF(K558="","",_xlfn.XLOOKUP(K558,K$121:K337,R$121:R337,0,,-1)+IF($C558=" ",1,0))</f>
      </c>
      <c r="S558" s="166"/>
      <c r="T558" s="155"/>
      <c r="U558" s="155"/>
      <c r="V558" s="166"/>
      <c r="W558" s="155"/>
      <c r="X558" s="167"/>
      <c r="Y558" s="128"/>
      <c r="Z558" s="129"/>
      <c r="AA558" s="129"/>
      <c r="AB558" s="129"/>
      <c r="AC558" s="129"/>
      <c r="AD558" s="168"/>
      <c r="AE558" t="s" s="169">
        <f>IF(L558="","",(SUM(((L556-1)*(1-_xlfn.XLOOKUP(K556,'Janeiro 2023 - Valor Real'!A3:A15,'Janeiro 2023 - Valor Real'!C3:C15,0))+1),((L557-1)*(1-_xlfn.XLOOKUP(K557,'Janeiro 2023 - Valor Real'!A3:A15,'Janeiro 2023 - Valor Real'!C3:C15,0))+1),((L558-1)*(1-_xlfn.XLOOKUP(K558,'Janeiro 2023 - Valor Real'!A3:A15,'Janeiro 2023 - Valor Real'!C3:C15,0))+1))/((L558-1)*(1-_xlfn.XLOOKUP(K558,'Janeiro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Real'!C3:C15,0))+1))/((L556-1)*(1-_xlfn.XLOOKUP(K556,'Janeiro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Real'!C3:C15,0))+1))/((L557-1)*(1-_xlfn.XLOOKUP(K557,'Janeiro 2023 - Valor Real'!A3:A15,'Janeiro 2023 - Valor Real'!C3:C15,0))+1)+SUM(((L556-1)*(1-_xlfn.XLOOKUP(K556,'Janeiro 2023 - Valor Real'!A3:A15,'Janeiro 2023 - Valor Real'!C3:C15,0))+1),((L557-1)*(1-_xlfn.XLOOKUP(K557,'Janeiro 2023 - Valor Real'!A3:A15,'Janeiro 2023 - Valor Real'!C3:C15,0))+1),((L558-1)*(1-_xlfn.XLOOKUP(K558,'Janeiro 2023 - Valor Real'!A3:A15,'Janeiro 2023 - Valor Real'!C3:C15,0))+1))/((L558-1)*(1-_xlfn.XLOOKUP(K558,'Janeiro 2023 - Valor Real'!A3:A15,'Janeiro 2023 - Valor Real'!C3:C15,0))+1)))</f>
      </c>
      <c r="AF558" s="132">
        <f>IF($K558=AF$3,ROUND(IF(OR($C558="W",$C558="1/2W",$C558="1/2L"),$P558-$O558,IF($C558="X",0,-$O558)),2),0)</f>
        <v>0</v>
      </c>
      <c r="AG558" s="133">
        <f>IF($K558=AG$3,ROUND(IF(OR($C558="W",$C558="1/2W",$C558="1/2L"),$P558-$O558,IF($C558="X",0,-$O558)),2),0)</f>
        <v>0</v>
      </c>
      <c r="AH558" s="133">
        <f>IF($K558=AH$3,ROUND(IF(OR($C558="W",$C558="1/2W",$C558="1/2L"),$P558-$O558,IF($C558="X",0,-$O558)),2),0)</f>
        <v>0</v>
      </c>
      <c r="AI558" s="133">
        <f>IF($K558=AI$3,ROUND(IF(OR($C558="W",$C558="1/2W",$C558="1/2L"),$P558-$O558,IF($C558="X",0,-$O558)),2),0)</f>
        <v>0</v>
      </c>
      <c r="AJ558" s="133">
        <f>IF($K558=AJ$3,ROUND(IF(OR($C558="W",$C558="1/2W",$C558="1/2L"),$P558-$O558,IF($C558="X",0,-$O558)),2),0)</f>
        <v>0</v>
      </c>
      <c r="AK558" s="133">
        <f>IF($K558=AK$3,ROUND(IF(OR($C558="W",$C558="1/2W",$C558="1/2L"),$P558-$O558,IF($C558="X",0,-$O558)),2),0)</f>
        <v>0</v>
      </c>
      <c r="AL558" s="133">
        <f>IF($K558=AL$3,ROUND(IF(OR($C558="W",$C558="1/2W",$C558="1/2L"),$P558-$O558,IF($C558="X",0,-$O558)),2),0)</f>
        <v>0</v>
      </c>
      <c r="AM558" s="133">
        <f>IF($K558=AM$3,ROUND(IF(OR($C558="W",$C558="1/2W",$C558="1/2L"),$P558-$O558,IF($C558="X",0,-$O558)),2),0)</f>
        <v>0</v>
      </c>
      <c r="AN558" s="133">
        <f>IF($K558=AN$3,ROUND(IF(OR($C558="W",$C558="1/2W",$C558="1/2L"),$P558-$O558,IF($C558="X",0,-$O558)),2),0)</f>
        <v>0</v>
      </c>
      <c r="AO558" s="133">
        <f>IF($K558=AO$3,ROUND(IF(OR($C558="W",$C558="1/2W",$C558="1/2L"),$P558-$O558,IF($C558="X",0,-$O558)),2),0)</f>
        <v>0</v>
      </c>
      <c r="AP558" s="133">
        <f>IF($K558=AP$3,ROUND(IF(OR($C558="W",$C558="1/2W",$C558="1/2L"),$P558-$O558,IF($C558="X",0,-$O558)),2),0)</f>
        <v>0</v>
      </c>
      <c r="AQ558" s="133">
        <f>IF($K558=AQ$3,ROUND(IF(OR($C558="W",$C558="1/2W",$C558="1/2L"),$P558-$O558,IF($C558="X",0,-$O558)),2),0)</f>
        <v>0</v>
      </c>
      <c r="AR558" s="134">
        <f>IF($K558=AR$3,ROUND(IF(OR($C558="W",$C558="1/2W",$C558="1/2L"),$P558-$O558,IF($C558="X",0,-$O558)),2),0)</f>
        <v>0</v>
      </c>
      <c r="AS558" s="132">
        <f>IF(AND($B556=" ",$K558=AS$3),$O558,0)</f>
        <v>0</v>
      </c>
      <c r="AT558" s="133">
        <f>IF(AND($B556=" ",K558=AT$3),$O558,0)</f>
        <v>0</v>
      </c>
      <c r="AU558" s="133">
        <f>IF(AND($B556=" ",$K558=AU$3),$O558,0)</f>
        <v>0</v>
      </c>
      <c r="AV558" s="133">
        <f>IF(AND($B556=" ",$K558=AV$3),$O558,0)</f>
        <v>0</v>
      </c>
      <c r="AW558" s="133">
        <f>IF(AND($B556=" ",$K558=AW$3),$O558,0)</f>
        <v>0</v>
      </c>
      <c r="AX558" s="133">
        <f>IF(AND($B556=" ",$K558=AX$3),$O558,0)</f>
        <v>0</v>
      </c>
      <c r="AY558" s="135">
        <f>IF(AND($B556=" ",$K558=AY$3),$O558,0)</f>
        <v>0</v>
      </c>
      <c r="AZ558" s="136">
        <f>IF(AND($B556=" ",$K558=AZ$3),$O558,0)</f>
        <v>0</v>
      </c>
      <c r="BA558" s="136">
        <f>IF(AND($B556=" ",$K558=BA$3),$O558,0)</f>
        <v>0</v>
      </c>
      <c r="BB558" s="136">
        <f>IF(AND($B556=" ",$K558=BB$3),$O558,0)</f>
        <v>0</v>
      </c>
      <c r="BC558" s="137">
        <f>IF(AND($B556=" ",$K558=BC$3),$O558,0)</f>
        <v>0</v>
      </c>
      <c r="BD558" s="133">
        <f>IF(AND($B556=" ",$K558=BD$3),$O558,0)</f>
        <v>0</v>
      </c>
      <c r="BE558" s="134">
        <f>IF(AND($B556=" ",$K558=BE$3),$O558,0)</f>
        <v>0</v>
      </c>
      <c r="BF558" s="132">
        <f>IF($K558=BF$3,IF($C558="X",0,$O558),0)</f>
        <v>0</v>
      </c>
      <c r="BG558" s="281">
        <f>IF($K558=BG$3,IF($C558="X",0,$O558),0)</f>
        <v>0</v>
      </c>
      <c r="BH558" s="133">
        <f>IF($K558=BH$3,IF($C558="X",0,$O558),0)</f>
        <v>0</v>
      </c>
      <c r="BI558" s="133">
        <f>IF($K558=BI$3,IF($C558="X",0,$O558),0)</f>
        <v>0</v>
      </c>
      <c r="BJ558" s="133">
        <f>IF($K558=BJ$3,IF($C558="X",0,$O558),0)</f>
        <v>0</v>
      </c>
      <c r="BK558" s="133">
        <f>IF($K558=BK$3,IF($C558="X",0,$O558),0)</f>
        <v>0</v>
      </c>
      <c r="BL558" s="133">
        <f>IF($K558=BL$3,IF($C558="X",0,$O558),0)</f>
        <v>0</v>
      </c>
      <c r="BM558" s="135">
        <f>IF($K558=BM$3,IF($C558="X",0,$O558),0)</f>
        <v>0</v>
      </c>
      <c r="BN558" s="136">
        <f>IF($K558=BN$3,IF($C558="X",0,$O558),0)</f>
        <v>0</v>
      </c>
      <c r="BO558" s="136">
        <f>IF($K558=BO$3,IF($C558="X",0,$O558),0)</f>
        <v>0</v>
      </c>
      <c r="BP558" s="136">
        <f>IF($K558=BP$3,IF($C558="X",0,$O558),0)</f>
        <v>0</v>
      </c>
      <c r="BQ558" s="137">
        <f>IF($K558=BQ$3,IF($C558="X",0,$O558),0)</f>
        <v>0</v>
      </c>
      <c r="BR558" s="134">
        <f>IF($K558=BR$3,IF($C558="X",0,$O558),0)</f>
        <v>0</v>
      </c>
      <c r="BS558" s="282"/>
      <c r="BT558" s="283"/>
      <c r="BU558" s="140"/>
      <c r="BV558" s="283"/>
      <c r="BW558" s="140"/>
      <c r="BX558" s="140"/>
      <c r="BY558" s="140"/>
      <c r="BZ558" s="283"/>
      <c r="CA558" s="140"/>
      <c r="CB558" s="140"/>
      <c r="CC558" s="140"/>
      <c r="CD558" s="141"/>
      <c r="CE558" s="142"/>
      <c r="CF558" s="284">
        <f>IF(CF$3=$K558,IF($C558="W",1,IF($C558="1/2W",0.5,0)),0)</f>
        <v>0</v>
      </c>
      <c r="CG558" s="285">
        <f>IF(CF$3=$K558,IF($C558="L",1,IF($C558="1/2L",0.5,0)),0)</f>
        <v>0</v>
      </c>
      <c r="CH558" s="285">
        <f>IF(CH$3=$K558,IF($C558="W",1,IF($C558="1/2W",0.5,0)),0)</f>
        <v>0</v>
      </c>
      <c r="CI558" s="285">
        <f>IF(CH$3=$K558,IF($C558="L",1,IF($C558="1/2L",0.5,0)),0)</f>
        <v>0</v>
      </c>
      <c r="CJ558" s="285">
        <f>IF(CJ$3=$K558,IF($C558="W",1,IF($C558="1/2W",0.5,0)),0)</f>
        <v>0</v>
      </c>
      <c r="CK558" s="285">
        <f>IF(CJ$3=$K558,IF($C558="L",1,IF($C558="1/2L",0.5,0)),0)</f>
        <v>0</v>
      </c>
      <c r="CL558" s="285">
        <f>IF(CL$3=$K558,IF($C558="W",1,IF($C558="1/2W",0.5,0)),0)</f>
        <v>0</v>
      </c>
      <c r="CM558" s="285">
        <f>IF(CL$3=$K558,IF($C558="L",1,IF($C558="1/2L",0.5,0)),0)</f>
        <v>0</v>
      </c>
      <c r="CN558" s="285">
        <f>IF(CN$3=$K558,IF($C558="W",1,IF($C558="1/2W",0.5,0)),0)</f>
        <v>0</v>
      </c>
      <c r="CO558" s="285">
        <f>IF(CN$3=$K558,IF($C558="L",1,IF($C558="1/2L",0.5,0)),0)</f>
        <v>0</v>
      </c>
      <c r="CP558" s="285">
        <f>IF(CP$3=$K558,IF($C558="W",1,IF($C558="1/2W",0.5,0)),0)</f>
        <v>0</v>
      </c>
      <c r="CQ558" s="285">
        <f>IF(CP$3=$K558,IF($C558="L",1,IF($C558="1/2L",0.5,0)),0)</f>
        <v>0</v>
      </c>
      <c r="CR558" s="285">
        <f>IF(CR$3=$K558,IF($C558="W",1,IF($C558="1/2W",0.5,0)),0)</f>
        <v>0</v>
      </c>
      <c r="CS558" s="285">
        <f>IF(CR$3=$K558,IF($C558="L",1,IF($C558="1/2L",0.5,0)),0)</f>
        <v>0</v>
      </c>
      <c r="CT558" s="145">
        <f>IF(CT$3=$K558,IF($C558="W",1,IF($C558="1/2W",0.5,0)),0)</f>
        <v>0</v>
      </c>
      <c r="CU558" s="146">
        <f>IF(CT$3=$K558,IF($C558="L",1,IF($C558="1/2L",0.5,0)),0)</f>
        <v>0</v>
      </c>
      <c r="CV558" s="146">
        <f>IF(CV$3=$K558,IF($C558="W",1,IF($C558="1/2W",0.5,0)),0)</f>
        <v>0</v>
      </c>
      <c r="CW558" s="146">
        <f>IF(CV$3=$K558,IF($C558="L",1,IF($C558="1/2L",0.5,0)),0)</f>
        <v>0</v>
      </c>
      <c r="CX558" s="146">
        <f>IF(CX$3=$K558,IF($C558="W",1,IF($C558="1/2W",0.5,0)),0)</f>
        <v>0</v>
      </c>
      <c r="CY558" s="146">
        <f>IF(CX$3=$K558,IF($C558="L",1,IF($C558="1/2L",0.5,0)),0)</f>
        <v>0</v>
      </c>
      <c r="CZ558" s="146">
        <f>IF(CZ$3=$K558,IF($C558="W",1,IF($C558="1/2W",0.5,0)),0)</f>
        <v>0</v>
      </c>
      <c r="DA558" s="146">
        <f>IF(CZ$3=$K558,IF($C558="L",1,IF($C558="1/2L",0.5,0)),0)</f>
        <v>0</v>
      </c>
      <c r="DB558" s="146">
        <f>IF(DB$3=$K558,IF($C558="W",1,IF($C558="1/2W",0.5,0)),0)</f>
        <v>0</v>
      </c>
      <c r="DC558" s="146">
        <f>IF(DB$3=$K558,IF($C558="L",1,IF($C558="1/2L",0.5,0)),0)</f>
        <v>0</v>
      </c>
      <c r="DD558" s="146">
        <f>IF(DD$3=$K558,IF($C558="W",1,IF($C558="1/2W",0.5,0)),0)</f>
        <v>0</v>
      </c>
      <c r="DE558" s="147">
        <f>IF(DD$3=$K558,IF($C558="L",1,IF($C558="1/2L",0.5,0)),0)</f>
        <v>0</v>
      </c>
      <c r="DF558" s="143">
        <f>IF(AND(L558&lt;DF$3,$C558="W"),1+DF557,DF557)</f>
        <v>16</v>
      </c>
      <c r="DG558" s="133">
        <f>IF(DF558&gt;DF557,L558+DG557,DG557)</f>
        <v>21.158</v>
      </c>
      <c r="DH558" s="146">
        <f>IF(AND(L558&gt;DH$3,$C558="W"),1+DH557,0+DH557)</f>
        <v>15</v>
      </c>
      <c r="DI558" s="133">
        <f>IF(DH558&gt;DH557,L558+DI557,DI557)</f>
        <v>81.26000000000001</v>
      </c>
      <c r="DJ558" t="s" s="304">
        <f>IF($D556="","",$D556)</f>
        <v>396</v>
      </c>
      <c r="DK558" s="286"/>
    </row>
    <row r="559" ht="14.55" customHeight="1">
      <c r="A559" s="171">
        <f>$A556+1</f>
        <v>186</v>
      </c>
      <c r="B559" t="s" s="172">
        <f>IF(AND(_xlfn.XLOOKUP(H559,H$122:H332,G$122:G332,0)=G559,_xlfn.XLOOKUP("TempoBet",K559:K561,L559:L561,0)&gt;0),"X",IF(OR(C559="W",C560="W",C561="W",C559="1/2W",C560="1/2W",C561="1/2W",C559="1/2L",C560="1/2L",C561="1/2L"),"OK",IF(OR(C559="L",C560="L",C561="L"),"LOSS",IF(OR(C559="X",C560="X",C561="X"),"Anulado"," "))))</f>
        <v>50</v>
      </c>
      <c r="C559" t="s" s="173">
        <v>51</v>
      </c>
      <c r="D559" t="s" s="305">
        <f>IF(G559="","",$D556)</f>
        <v>396</v>
      </c>
      <c r="E559" t="s" s="175">
        <f>IF(G559=""," ","– "&amp;COUNTIF(D$4:D561,$D559))</f>
        <v>96</v>
      </c>
      <c r="F559" t="s" s="176">
        <f>IF(G559="","",IF(OR(AND($C559&lt;&gt;" ",$C560=" "),AND($C560&lt;&gt;" ",$C559=" "),AND(L561&gt;0,OR(AND($C561&lt;&gt;" ",OR($C559=" ",$C560=" ")),AND($C561=" ",OR($C559&lt;&gt;" ",$C560&lt;&gt;" "))))),IF(SUM(F$4:F558)=0,1,LARGE(F$4:F558,1)+1),IF(MONTH(G559)=MONTH(TODAY()),IF(AND(DAY(G559)&lt;DAY(TODAY()),$B559=" "),IF(SUM(F$4:F558)=0,1,LARGE(F$4:F558,1)+1),IF($B559=" ",IF(AND(DAY(G559)=DAY(TODAY()),HOUR(G559)&lt;=HOUR(NOW())+1),IF(AND(HOUR(G559)+2&lt;=HOUR(NOW()),DAY(G559)&lt;=DAY(TODAY()),MINUTE(G559)&lt;=MINUTE(NOW())),IF(SUM(F$4:F558)=0,1,LARGE(F$4:F558,1)+1),IF(OR(MINUTE(G559)&lt;=MINUTE(NOW()),HOUR(G559)&lt;=HOUR(NOW())),"!!!","")),""),"")),"")))</f>
      </c>
      <c r="G559" s="177">
        <v>44952.71875</v>
      </c>
      <c r="H559" t="s" s="178">
        <v>420</v>
      </c>
      <c r="I559" t="s" s="179">
        <v>65</v>
      </c>
      <c r="J559" s="291">
        <v>3</v>
      </c>
      <c r="K559" t="s" s="181">
        <v>41</v>
      </c>
      <c r="L559" s="182">
        <v>2.11</v>
      </c>
      <c r="M559" s="183">
        <v>10.14</v>
      </c>
      <c r="N559" s="184">
        <v>0</v>
      </c>
      <c r="O559" s="185">
        <f>IF(OR(AE559="",AE560=""),"",ROUND(IF(L561&gt;0,IF(M559&gt;0,M559,IF(M560&gt;0,ROUND((M560*AE559)/AE560,IF(N559=0,2,IF(N559=0.1,1,0))),ROUND((M561*AE559)/AE561,IF(N559=0,2,IF(N559=0.1,1,0))))),IF(M559&gt;0,M559,ROUND((M560*AE559)/AE560,IF(N559=0,2,IF(N559=0.1,1,0))))),2))</f>
        <v>10.14</v>
      </c>
      <c r="P559" s="186">
        <f>IF(OR(L559="",O559=""),"",IF($C559="1/2W",O559/2+O559/2*L559,IF($C559="1/2L",O559/2,IF(I559="Lay",(O559*(L559/(L559-1))-O559)*(1-_xlfn.XLOOKUP(K559,'Janeiro 2023 - Valor Real'!A3:A15,'Janeiro 2023 - Valor Real'!C3:C15,0))+O559,(O559*L559-O559)*(1-_xlfn.XLOOKUP(K559,'Janeiro 2023 - Valor Real'!A3:A15,'Janeiro 2023 - Valor Real'!C3:C15,0))+O559))))</f>
        <v>21.3954</v>
      </c>
      <c r="Q559" s="187">
        <f>IF(K559="","",IF(_xlfn.XLOOKUP(K559,K$122:K332,DJ$122:DJ332,0,,-1)=DJ559,_xlfn.XLOOKUP(K559,K$122:K332,Q$122:Q332,1,,-1)+1,1))</f>
        <v>1</v>
      </c>
      <c r="R559" s="188">
        <f>IF(K559="","",_xlfn.XLOOKUP(K559,K$122:K332,R$122:R332,0,,-1)+IF($C559=" ",1,0))</f>
        <v>0</v>
      </c>
      <c r="S559" s="189">
        <f>IF($B559="Anulado",0,ROUND(IF(OR($B559="LOSS",$B559="OK"),IF(OR($C559="W",$C559="1/2W",$C559="1/2L"),P559-O559,IF($C559="L",-O559,0))+IF(OR($C560="W",$C560="1/2W",$C560="1/2L"),P560-O560,IF($C560="L",-O560,0))+IF(OR($C561="W",$C561="1/2W",$C561="1/2L"),P561-O561,IF($C561="L",-O561,0)),IF(AND(OR($C559="W",$C559="1/2W",$C559="1/2L"),C560="W"),P559+P560-SUM(O559:O561)+_xlfn.XLOOKUP("X",C559:C561,O559:O561,0),IF(AND(C559=TRUE,C561="W"),P559+P561-SUM(O559:O561),IF(AND(C560="W",C561="W"),P560+P561-SUM(O559:O561)+_xlfn.XLOOKUP("X",C559:C561,O559:O561,0),IF(L561&gt;0,IF(OR($C559="W",$C559="1/2W",$C559="1/2L"),P559-SUM(O559:O561)+_xlfn.XLOOKUP("X",C559:C561,O559:O561,0),IF(OR($C559="W",$C559="1/2W",$C559="1/2L"),P560-SUM(O559:O561)+_xlfn.XLOOKUP("X",C559:C561,O559:O561,0),IF(OR($C559="W",$C559="1/2W",$C559="1/2L"),P561-SUM(O559:O561)+_xlfn.XLOOKUP("X",C559:C561,O559:O561,0),IF(SUM(P559:P561)/3-SUM(O559:O561)+_xlfn.XLOOKUP("X",C559:C561,O559:O561,0)&gt;0,SUM(P559:P561)/3-SUM(O559:O561)+_xlfn.XLOOKUP("X",C559:C561,O559:O561,0),LARGE(P559:P561,1)-SUM(O559:O561))))),IF(OR($C559="W",$C559="1/2W",$C559="1/2L"),P559-SUM(O559:O560)+_xlfn.XLOOKUP("X",C559:C561,O559:O561,0),IF(OR($C559="W",$C559="1/2W",$C559="1/2L"),P560-SUM(O559:O560)+_xlfn.XLOOKUP("X",C559:C561,O559:O561,0),SUM(P559:P560)/2-SUM(O559:O560)+_xlfn.XLOOKUP("X",C559:C561,O559:O561,0)))))))),2))</f>
        <v>1.03</v>
      </c>
      <c r="T559" s="190">
        <f>IF(S559=0,0,S559/SUM(O559:O561))</f>
        <v>0.0507639231148349</v>
      </c>
      <c r="U559" s="191">
        <f>IF($D559=$D556,IF(OR($B559="LOSS",$B559="OK",$B559="Anulada"),S559,0)+U556,IF(OR($B559="LOSS",$B559="OK",$B559="Anulada"),S559,0))</f>
        <v>38.21</v>
      </c>
      <c r="V559" s="191">
        <f>IF($D559="",0,IF($D559=$D556,IF($B559=" ",IF(I561="",IF(OR(AND(I559="DNB1",I560="DNB2"),AND(OR(I559="DNB1",I559="DNB2"),J560=0),AND(OR(I560="DNB1",I560="DNB2"),J559=0),AND(I559="DNB2",I560="DNB1"),AND(IF(J559=0,(J559+1)/ROUND(J559+1,0),J559/ROUND(J559,0))=1,IF(J560=0,(J560+1)/ROUND(IF(J560="",0,J560)+1,0),IF(J560="",0,J560)/ROUND(IF(J560="",1,J560),0))=1,OR(J559&lt;&gt;""),J560&lt;&gt;"")),0,IF(S559&lt;0,IF(I561="",SMALL(P559:P560,1)-SUM(O559:O560),0),SMALL(P559:P560,1)-SUM(O559:O560))),IF(S559&lt;0,IF(I561="",SMALL(P559:P561,1)-SUM(O559:O561),0),LARGE(P559:P561,1)-SUM(O559:O561))),S559)+V556,IF(I561="",IF(OR(AND(I559="DNB1",I560="DNB2"),AND(OR(I559="DNB1",I559="DNB2"),J560=0),AND(OR(I560="DNB1",I560="DNB2"),J559=0),AND(I559="DNB2",I560="DNB1"),AND(IF(J559=0,(J559+1)/ROUND(J559+1,0),J559/ROUND(J559,0))=1,IF(J560=0,(IF(J560="",0,J560)+1)/ROUND(IF(J560="",0,J560)+1,0),IF(J560="",0,J560)/ROUND(IF(J560="",0,J560)+1,0))=1,OR(J559&lt;&gt;""),J560&lt;&gt;"")),0,IF(S559&lt;0,IF(I561="",SMALL(P559:P560,1)-SUM(O559:O560),0),SMALL(P559:P561,1)-SUM(O559:O561))),IF(S559&lt;0,IF(I561="",SMALL(P559:P561,1)-SUM(O559:O561),0),LARGE(P559:P561,1)-SUM(O559:O561)))))</f>
        <v>38.21</v>
      </c>
      <c r="W559" s="191">
        <f>IF($D559=$D556,IF(S559&lt;0,IF(I561="",S559,0),S559)+W556,S559)</f>
        <v>38.21</v>
      </c>
      <c r="X559" t="s" s="192">
        <f>IF(OR(SUM(R559:R561)=0,V559=W559),ROUND(IF(W559=0,0,W559/Y559)*100,2)&amp;"%",ROUND(IF(V559=0,0,V559/Y559)*100,2)&amp;"% a "&amp;ROUND(IF(W559=0,0,W559/Y559)*100,2)&amp;"%")</f>
        <v>421</v>
      </c>
      <c r="Y559" s="193">
        <f>IF($D559=$D556,Y556+SUM(O559:O561),SUM(O559:O561))</f>
        <v>680.67</v>
      </c>
      <c r="Z559" s="191">
        <f>IF($B559=" ",SUM(O559:O561),0)+Z556</f>
        <v>0</v>
      </c>
      <c r="AA559" s="191">
        <f>IF(G559="","",IF($B559="Anulado",LARGE(P559:P561,1)-SUM(O559:O561)+AA556,AA556))</f>
        <v>24.9665076923077</v>
      </c>
      <c r="AB559" s="191">
        <f>IF($D559="","",AB556+S559)</f>
        <v>377.45</v>
      </c>
      <c r="AC559" s="194">
        <f>IF($D559="","",IF($B559=" ",IF(DAY(G559)=DAY(TODAY()),1+AC556,0+AC556),0+AC556))</f>
        <v>0</v>
      </c>
      <c r="AD559" s="195">
        <f>(((L560/(L560-1)-1)*(1-_xlfn.XLOOKUP(K560,'Janeiro 2023 - Valor Real'!A3:A15,'Janeiro 2023 - Valor Real'!C3:C15,0))+1))/(((L559-1)*(1-_xlfn.XLOOKUP(K559,'Janeiro 2023 - Valor Real'!A3:A15,'Janeiro 2023 - Valor Real'!C3:C15,0))+1)+((L560/(L560-1)-1)*(1-_xlfn.XLOOKUP(K560,'Janeiro 2023 - Valor Real'!A3:A15,'Janeiro 2023 - Valor Real'!C3:C15,0))+1))</f>
        <v>0.475005654829224</v>
      </c>
      <c r="AE559" s="196">
        <f>IF(L559="","",IF(L561&gt;0,(SUM(((L559-1)*(1-_xlfn.XLOOKUP(K559,'Janeiro 2023 - Valor Real'!A3:A15,'Janeiro 2023 - Valor Real'!C3:C15,0))+1),((L560-1)*(1-_xlfn.XLOOKUP(K560,'Janeiro 2023 - Valor Real'!A3:A15,'Janeiro 2023 - Valor Real'!C3:C15,0))+1),((L561-1)*(1-_xlfn.XLOOKUP(K561,'Janeiro 2023 - Valor Real'!A3:A15,'Janeiro 2023 - Valor Real'!C3:C15,0))+1))/((L559-1)*(1-_xlfn.XLOOKUP(K559,'Janeiro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Real'!C3:C15,0))+1))/((L559-1)*(1-_xlfn.XLOOKUP(K559,'Janeiro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Real'!C3:C15,0))+1))/((L560-1)*(1-_xlfn.XLOOKUP(K560,'Janeiro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Real'!C3:C15,0))+1))/((L561-1)*(1-_xlfn.XLOOKUP(K561,'Janeiro 2023 - Valor Real'!A3:A15,'Janeiro 2023 - Valor Real'!C3:C15,0))+1)),IF(I559="Lay",IF(I560="Lay",((L560/(L560-1)-1)*(1-_xlfn.XLOOKUP(K560,'Janeiro 2023 - Valor Real'!A3:A15,'Janeiro 2023 - Valor Real'!C3:C15,0))+1)/(((L560/(L560-1)-1)*(1-_xlfn.XLOOKUP(K560,'Janeiro 2023 - Valor Real'!A3:A15,'Janeiro 2023 - Valor Real'!C3:C15,0))+1)+((L559/(L559-1)-1)*(1-_xlfn.XLOOKUP(K559,'Janeiro 2023 - Valor Real'!A3:A15,'Janeiro 2023 - Valor Real'!C3:C15,0))+1)),((L560-1)*(1-_xlfn.XLOOKUP(K560,'Janeiro 2023 - Valor Real'!A3:A15,'Janeiro 2023 - Valor Real'!C3:C15,0))+1)/(((L560-1)*(1-_xlfn.XLOOKUP(K560,'Janeiro 2023 - Valor Real'!A3:A15,'Janeiro 2023 - Valor Real'!C3:C15,0))+1)+((L559/(L559-1)-1)*(1-_xlfn.XLOOKUP(K559,'Janeiro 2023 - Valor Real'!A3:A15,'Janeiro 2023 - Valor Real'!C3:C15,0))+1))),IF(I560="Lay",(((L560/(L560-1)-1)*(1-_xlfn.XLOOKUP(K560,'Janeiro 2023 - Valor Real'!A3:A15,'Janeiro 2023 - Valor Real'!C3:C15,0))+1))/(((L559-1)*(1-_xlfn.XLOOKUP(K559,'Janeiro 2023 - Valor Real'!A3:A15,'Janeiro 2023 - Valor Real'!C3:C15,0))+1)+((L560/(L560-1)-1)*(1-_xlfn.XLOOKUP(K560,'Janeiro 2023 - Valor Real'!A3:A15,'Janeiro 2023 - Valor Real'!C3:C15,0))+1)),((L560-1)*(1-_xlfn.XLOOKUP(K560,'Janeiro 2023 - Valor Real'!A3:A15,'Janeiro 2023 - Valor Real'!C3:C15,0))+1)/(((L560-1)*(1-_xlfn.XLOOKUP(K560,'Janeiro 2023 - Valor Real'!A3:A15,'Janeiro 2023 - Valor Real'!C3:C15,0))+1)+((L559-1)*(1-_xlfn.XLOOKUP(K559,'Janeiro 2023 - Valor Real'!A3:A15,'Janeiro 2023 - Valor Real'!C3:C15,0))+1))))))</f>
        <v>0.498812351543943</v>
      </c>
      <c r="AF559" s="197">
        <f>IF($K559=AF$3,ROUND(IF(OR($C559="W",$C559="1/2W",$C559="1/2L"),$P559-$O559,IF($C559="X",0,-$O559)),2),0)</f>
        <v>0</v>
      </c>
      <c r="AG559" s="198">
        <f>IF($K559=AG$3,ROUND(IF(OR($C559="W",$C559="1/2W",$C559="1/2L"),$P559-$O559,IF($C559="X",0,-$O559)),2),0)</f>
        <v>0</v>
      </c>
      <c r="AH559" s="198">
        <f>IF($K559=AH$3,ROUND(IF(OR($C559="W",$C559="1/2W",$C559="1/2L"),$P559-$O559,IF($C559="X",0,-$O559)),2),0)</f>
        <v>0</v>
      </c>
      <c r="AI559" s="198">
        <f>IF($K559=AI$3,ROUND(IF(OR($C559="W",$C559="1/2W",$C559="1/2L"),$P559-$O559,IF($C559="X",0,-$O559)),2),0)</f>
        <v>0</v>
      </c>
      <c r="AJ559" s="198">
        <f>IF($K559=AJ$3,ROUND(IF(OR($C559="W",$C559="1/2W",$C559="1/2L"),$P559-$O559,IF($C559="X",0,-$O559)),2),0)</f>
        <v>-10.14</v>
      </c>
      <c r="AK559" s="198">
        <f>IF($K559=AK$3,ROUND(IF(OR($C559="W",$C559="1/2W",$C559="1/2L"),$P559-$O559,IF($C559="X",0,-$O559)),2),0)</f>
        <v>0</v>
      </c>
      <c r="AL559" s="198">
        <f>IF($K559=AL$3,ROUND(IF(OR($C559="W",$C559="1/2W",$C559="1/2L"),$P559-$O559,IF($C559="X",0,-$O559)),2),0)</f>
        <v>0</v>
      </c>
      <c r="AM559" s="198">
        <f>IF($K559=AM$3,ROUND(IF(OR($C559="W",$C559="1/2W",$C559="1/2L"),$P559-$O559,IF($C559="X",0,-$O559)),2),0)</f>
        <v>0</v>
      </c>
      <c r="AN559" s="198">
        <f>IF($K559=AN$3,ROUND(IF(OR($C559="W",$C559="1/2W",$C559="1/2L"),$P559-$O559,IF($C559="X",0,-$O559)),2),0)</f>
        <v>0</v>
      </c>
      <c r="AO559" s="198">
        <f>IF($K559=AO$3,ROUND(IF(OR($C559="W",$C559="1/2W",$C559="1/2L"),$P559-$O559,IF($C559="X",0,-$O559)),2),0)</f>
        <v>0</v>
      </c>
      <c r="AP559" s="198">
        <f>IF($K559=AP$3,ROUND(IF(OR($C559="W",$C559="1/2W",$C559="1/2L"),$P559-$O559,IF($C559="X",0,-$O559)),2),0)</f>
        <v>0</v>
      </c>
      <c r="AQ559" s="198">
        <f>IF($K559=AQ$3,ROUND(IF(OR($C559="W",$C559="1/2W",$C559="1/2L"),$P559-$O559,IF($C559="X",0,-$O559)),2),0)</f>
        <v>0</v>
      </c>
      <c r="AR559" s="199">
        <f>IF($K559=AR$3,ROUND(IF(OR($C559="W",$C559="1/2W",$C559="1/2L"),$P559-$O559,IF($C559="X",0,-$O559)),2),0)</f>
        <v>0</v>
      </c>
      <c r="AS559" s="197">
        <f>IF(AND($B559=" ",$K559=AS$3),$O559,0)</f>
        <v>0</v>
      </c>
      <c r="AT559" s="198">
        <f>IF(AND($B559=" ",$K559=AT$3),$O559,0)</f>
        <v>0</v>
      </c>
      <c r="AU559" s="198">
        <f>IF(AND($B559=" ",$K559=AU$3),$O559,0)</f>
        <v>0</v>
      </c>
      <c r="AV559" s="198">
        <f>IF(AND($B559=" ",$K559=AV$3),$O559,0)</f>
        <v>0</v>
      </c>
      <c r="AW559" s="198">
        <f>IF(AND($B559=" ",$K559=AW$3),$O559,0)</f>
        <v>0</v>
      </c>
      <c r="AX559" s="198">
        <f>IF(AND($B559=" ",$K559=AX$3),$O559,0)</f>
        <v>0</v>
      </c>
      <c r="AY559" s="200">
        <f>IF(AND($B559=" ",$K559=AY$3),$O559,0)</f>
        <v>0</v>
      </c>
      <c r="AZ559" s="201">
        <f>IF(AND($B559=" ",$K559=AZ$3),$O559,0)</f>
        <v>0</v>
      </c>
      <c r="BA559" s="201">
        <f>IF(AND($B559=" ",$K559=BA$3),$O559,0)</f>
        <v>0</v>
      </c>
      <c r="BB559" s="201">
        <f>IF(AND($B559=" ",$K559=BB$3),$O559,0)</f>
        <v>0</v>
      </c>
      <c r="BC559" s="202">
        <f>IF(AND($B559=" ",$K559=BC$3),$O559,0)</f>
        <v>0</v>
      </c>
      <c r="BD559" s="198">
        <f>IF(AND($B559=" ",$K559=BD$3),$O559,0)</f>
        <v>0</v>
      </c>
      <c r="BE559" s="199">
        <f>IF(AND($B559=" ",$K559=BE$3),$O559,0)</f>
        <v>0</v>
      </c>
      <c r="BF559" s="203">
        <f>IF($K559=BF$3,IF($C559="X",0,$O559),0)</f>
        <v>0</v>
      </c>
      <c r="BG559" s="198">
        <f>IF($K559=BG$3,IF($C559="X",0,$O559),0)</f>
        <v>0</v>
      </c>
      <c r="BH559" s="198">
        <f>IF($K559=BH$3,IF($C559="X",0,$O559),0)</f>
        <v>0</v>
      </c>
      <c r="BI559" s="198">
        <f>IF($K559=BI$3,IF($C559="X",0,$O559),0)</f>
        <v>0</v>
      </c>
      <c r="BJ559" s="198">
        <f>IF($K559=BJ$3,IF($C559="X",0,$O559),0)</f>
        <v>10.14</v>
      </c>
      <c r="BK559" s="198">
        <f>IF($K559=BK$3,IF($C559="X",0,$O559),0)</f>
        <v>0</v>
      </c>
      <c r="BL559" s="198">
        <f>IF($K559=BL$3,IF($C559="X",0,$O559),0)</f>
        <v>0</v>
      </c>
      <c r="BM559" s="200">
        <f>IF($K559=BM$3,IF($C559="X",0,$O559),0)</f>
        <v>0</v>
      </c>
      <c r="BN559" s="201">
        <f>IF($K559=BN$3,IF($C559="X",0,$O559),0)</f>
        <v>0</v>
      </c>
      <c r="BO559" s="201">
        <f>IF($K559=BO$3,IF($C559="X",0,$O559),0)</f>
        <v>0</v>
      </c>
      <c r="BP559" s="201">
        <f>IF($K559=BP$3,IF($C559="X",0,$O559),0)</f>
        <v>0</v>
      </c>
      <c r="BQ559" s="202">
        <f>IF($K559=BQ$3,IF($C559="X",0,$O559),0)</f>
        <v>0</v>
      </c>
      <c r="BR559" s="199">
        <f>IF($K559=BR$3,IF($C559="X",0,$O559),0)</f>
        <v>0</v>
      </c>
      <c r="BS559" s="204">
        <f>IF($B559="LOSS",IF(AND($K559=BS$3,$C559="L"),-$O559,0)+IF(AND($K560=BS$3,$C560="L"),-$O560,0)+IF(AND($K561=BS$3,$C561="L"),-$O561,0),IF(OR(AND($K559=BS$3,OR($C559="W",$C559="1/2W")),AND($K560=BS$3,OR($C560="W",$C560="1/2W")),AND($K561=BS$3,OR($C561="W",$C561="1/2W"))),$S559,0))</f>
        <v>0</v>
      </c>
      <c r="BT559" s="201">
        <f>IF($B559="LOSS",IF(AND($K559=BT$3,$C559="L"),-$O559,0)+IF(AND($K560=BT$3,$C560="L"),-$O560,0)+IF(AND($K560=BT$3,$C561="L"),-$O561,0),IF(OR(AND($K560=BT$3,OR($C559="W",$C559="1/2W")),AND($K560=BT$3,OR($C560="W",$C560="1/2W")),AND($K560=BT$3,OR($C561="W",$C561="1/2W"))),$S559,0))</f>
        <v>0</v>
      </c>
      <c r="BU559" s="201">
        <f>IF($B559="LOSS",IF(AND($K559=BU$3,$C559="L"),-$O559,0)+IF(AND($K560=BU$3,$C560="L"),-$O560,0)+IF(AND($K560=BU$3,$C561="L"),-$O561,0),IF(OR(AND($K560=BU$3,OR($C559="W",$C559="1/2W")),AND($K560=BU$3,OR($C560="W",$C560="1/2W")),AND($K560=BU$3,OR($C561="W",$C561="1/2W"))),$S559,0))</f>
        <v>0</v>
      </c>
      <c r="BV559" s="201">
        <f>IF($B559="LOSS",IF(AND($K559=BV$3,$C559="L"),-$O559,0)+IF(AND($K560=BV$3,$C560="L"),-$O560,0)+IF(AND($K561=BV$3,$C561="L"),-$O561,0),IF(OR(AND($K559=BV$3,OR($C559="W",$C559="1/2W")),AND($K560=BV$3,OR($C560="W",$C560="1/2W")),AND($K561=BV$3,OR($C561="W",$C561="1/2W"))),$S559,0))</f>
        <v>0</v>
      </c>
      <c r="BW559" s="201">
        <f>IF($B559="LOSS",IF(AND($K559=BW$3,$C559="L"),-$O559,0)+IF(AND($K560=BW$3,$C560="L"),-$O560,0)+IF(AND($K561=BW$3,$C561="L"),-$O561,0),IF(OR(AND($K559=BW$3,OR($C559="W",$C559="1/2W")),AND($K560=BW$3,OR($C560="W",$C560="1/2W")),AND($K561=BW$3,OR($C561="W",$C561="1/2W"))),$S559,0))</f>
        <v>0</v>
      </c>
      <c r="BX559" s="201">
        <f>IF($B559="LOSS",IF(AND($K559=BX$3,$C559="L"),-$O559,0)+IF(AND($K560=BX$3,$C560="L"),-$O560,0)+IF(AND($K561=BX$3,$C561="L"),-$O561,0),IF(OR(AND($K559=BX$3,OR($C559="W",$C559="1/2W")),AND($K560=BX$3,OR($C560="W",$C560="1/2W")),AND($K561=BX$3,OR($C561="W",$C561="1/2W"))),$S559,0))</f>
        <v>0</v>
      </c>
      <c r="BY559" s="201">
        <f>IF($B559="LOSS",IF(AND($K559=BY$3,$C559="L"),-$O559,0)+IF(AND($K560=BY$3,$C560="L"),-$O560,0)+IF(AND($K561=BY$3,$C561="L"),-$O561,0),IF(OR(AND($K559=BY$3,OR($C559="W",$C559="1/2W")),AND($K560=BY$3,OR($C560="W",$C560="1/2W")),AND($K561=BY$3,OR($C561="W",$C561="1/2W"))),$S559,0))</f>
        <v>0</v>
      </c>
      <c r="BZ559" s="205">
        <f>IF($B559="LOSS",IF(AND($K559=BZ$3,$C559="L"),-$O559,0)+IF(AND($K560=BZ$3,$C560="L"),-$O560,0)+IF(AND($K561=BZ$3,$C561="L"),-$O561,0),IF(OR(AND($K559=BZ$3,OR($C559="W",$C559="1/2W")),AND($K560=BZ$3,OR($C560="W",$C560="1/2W")),AND($K561=BZ$3,OR($C561="W",$C561="1/2W"))),$S559,0))</f>
        <v>0</v>
      </c>
      <c r="CA559" s="205">
        <f>IF($B559="LOSS",IF(AND($K559=CA$3,$C559="L"),-$O559,0)+IF(AND($K560=CA$3,$C560="L"),-$O560,0)+IF(AND($K561=CA$3,$C561="L"),-$O561,0),IF(OR(AND($K559=CA$3,OR($C559="W",$C559="1/2W")),AND($K560=CA$3,OR($C560="W",$C560="1/2W")),AND($K561=CA$3,OR($C561="W",$C561="1/2W"))),$S559,0))</f>
        <v>0</v>
      </c>
      <c r="CB559" s="205">
        <f>IF($B559="LOSS",IF(AND($K559=CB$3,$C559="L"),-$O559,0)+IF(AND($K560=CB$3,$C560="L"),-$O560,0)+IF(AND($K561=CB$3,$C561="L"),-$O561,0),IF(OR(AND($K559=CB$3,OR($C559="W",$C559="1/2W")),AND($K560=CB$3,OR($C560="W",$C560="1/2W")),AND($K561=CB$3,OR($C561="W",$C561="1/2W"))),$S559,0))</f>
        <v>0</v>
      </c>
      <c r="CC559" s="205">
        <f>IF($B559="LOSS",IF(AND($K559=CC$3,$C559="L"),-$O559,0)+IF(AND($K560=CC$3,$C560="L"),-$O560,0)+IF(AND($K561=CC$3,$C561="L"),-$O561,0),IF(OR(AND($K559=CC$3,OR($C559="W",$C559="1/2W")),AND($K560=CC$3,OR($C560="W",$C560="1/2W")),AND($K561=CC$3,OR($C561="W",$C561="1/2W"))),$S559,0))</f>
        <v>0</v>
      </c>
      <c r="CD559" s="202">
        <f>IF($B559="LOSS",IF(AND($K559=CD$3,$C559="L"),-$O559,0)+IF(AND($K560=CD$3,$C560="L"),-$O560,0)+IF(AND($K561=CD$3,$C561="L"),-$O561,0),IF(OR(AND($K559=CD$3,OR($C559="W",$C559="1/2W")),AND($K560=CD$3,OR($C560="W",$C560="1/2W")),AND($K561=CD$3,OR($C561="W",$C561="1/2W"))),$S559,0))</f>
        <v>1.03</v>
      </c>
      <c r="CE559" s="199">
        <f>IF($B559="LOSS",IF(AND($K559=CE$3,$C559="L"),-$O559,0)+IF(AND($K560=CE$3,$C560="L"),-$O560,0)+IF(AND($K561=CE$3,$C561="L"),-$O561,0),IF(OR(AND($K559=CE$3,OR($C559="W",$C559="1/2W")),AND($K560=CE$3,OR($C560="W",$C560="1/2W")),AND($K561=CE$3,OR($C561="W",$C561="1/2W"))),$S559,0))</f>
        <v>0</v>
      </c>
      <c r="CF559" s="206">
        <f>IF(CF$3=$K559,IF($C559="W",1,IF($C559="1/2W",0.5,0)),0)</f>
        <v>0</v>
      </c>
      <c r="CG559" s="207">
        <f>IF(CF$3=$K559,IF($C559="L",1,IF($C559="1/2L",0.5,0)),0)</f>
        <v>0</v>
      </c>
      <c r="CH559" s="207">
        <f>IF(CH$3=$K559,IF($C559="W",1,IF($C559="1/2W",0.5,0)),0)</f>
        <v>0</v>
      </c>
      <c r="CI559" s="207">
        <f>IF(CH$3=$K559,IF($C559="L",1,IF($C559="1/2L",0.5,0)),0)</f>
        <v>0</v>
      </c>
      <c r="CJ559" s="207">
        <f>IF(CJ$3=$K559,IF($C559="W",1,IF($C559="1/2W",0.5,0)),0)</f>
        <v>0</v>
      </c>
      <c r="CK559" s="207">
        <f>IF(CJ$3=$K559,IF($C559="L",1,IF($C559="1/2L",0.5,0)),0)</f>
        <v>0</v>
      </c>
      <c r="CL559" s="207">
        <f>IF(CL$3=$K559,IF($C559="W",1,IF($C559="1/2W",0.5,0)),0)</f>
        <v>0</v>
      </c>
      <c r="CM559" s="207">
        <f>IF(CL$3=$K559,IF($C559="L",1,IF($C559="1/2L",0.5,0)),0)</f>
        <v>0</v>
      </c>
      <c r="CN559" s="207">
        <f>IF(CN$3=$K559,IF($C559="W",1,IF($C559="1/2W",0.5,0)),0)</f>
        <v>0</v>
      </c>
      <c r="CO559" s="207">
        <f>IF(CN$3=$K559,IF($C559="L",1,IF($C559="1/2L",0.5,0)),0)</f>
        <v>1</v>
      </c>
      <c r="CP559" s="207">
        <f>IF(CP$3=$K559,IF($C559="W",1,IF($C559="1/2W",0.5,0)),0)</f>
        <v>0</v>
      </c>
      <c r="CQ559" s="207">
        <f>IF(CP$3=$K559,IF($C559="L",1,IF($C559="1/2L",0.5,0)),0)</f>
        <v>0</v>
      </c>
      <c r="CR559" s="207">
        <f>IF(CR$3=$K559,IF($C559="W",1,IF($C559="1/2W",0.5,0)),0)</f>
        <v>0</v>
      </c>
      <c r="CS559" s="207">
        <f>IF(CR$3=$K559,IF($C559="L",1,IF($C559="1/2L",0.5,0)),0)</f>
        <v>0</v>
      </c>
      <c r="CT559" s="208">
        <f>IF(CT$3=$K559,IF($C559="W",1,IF($C559="1/2W",0.5,0)),0)</f>
        <v>0</v>
      </c>
      <c r="CU559" s="209">
        <f>IF(CT$3=$K559,IF($C559="L",1,IF($C559="1/2L",0.5,0)),0)</f>
        <v>0</v>
      </c>
      <c r="CV559" s="209">
        <f>IF(CV$3=$K559,IF($C559="W",1,IF($C559="1/2W",0.5,0)),0)</f>
        <v>0</v>
      </c>
      <c r="CW559" s="209">
        <f>IF(CV$3=$K559,IF($C559="L",1,IF($C559="1/2L",0.5,0)),0)</f>
        <v>0</v>
      </c>
      <c r="CX559" s="209">
        <f>IF(CX$3=$K559,IF($C559="W",1,IF($C559="1/2W",0.5,0)),0)</f>
        <v>0</v>
      </c>
      <c r="CY559" s="209">
        <f>IF(CX$3=$K559,IF($C559="L",1,IF($C559="1/2L",0.5,0)),0)</f>
        <v>0</v>
      </c>
      <c r="CZ559" s="209">
        <f>IF(CZ$3=$K559,IF($C559="W",1,IF($C559="1/2W",0.5,0)),0)</f>
        <v>0</v>
      </c>
      <c r="DA559" s="209">
        <f>IF(CZ$3=$K559,IF($C559="L",1,IF($C559="1/2L",0.5,0)),0)</f>
        <v>0</v>
      </c>
      <c r="DB559" s="209">
        <f>IF(DB$3=$K559,IF($C559="W",1,IF($C559="1/2W",0.5,0)),0)</f>
        <v>0</v>
      </c>
      <c r="DC559" s="209">
        <f>IF(DB$3=$K559,IF($C559="L",1,IF($C559="1/2L",0.5,0)),0)</f>
        <v>0</v>
      </c>
      <c r="DD559" s="209">
        <f>IF(DD$3=$K559,IF($C559="W",1,IF($C559="1/2W",0.5,0)),0)</f>
        <v>0</v>
      </c>
      <c r="DE559" s="210">
        <f>IF(DD$3=$K559,IF($C559="L",1,IF($C559="1/2L",0.5,0)),0)</f>
        <v>0</v>
      </c>
      <c r="DF559" s="211">
        <f>IF(AND(L559&lt;DF$3,$C559="W"),1+DF558,DF558)</f>
        <v>16</v>
      </c>
      <c r="DG559" s="198">
        <f>IF(DF559&gt;DF558,L559+DG558,DG558)</f>
        <v>21.158</v>
      </c>
      <c r="DH559" s="209">
        <f>IF(AND(L559&gt;DH$3,$C559="W"),1+DH558,0+DH558)</f>
        <v>15</v>
      </c>
      <c r="DI559" s="198">
        <f>IF(DH559&gt;DH558,L559+DI558,DI558)</f>
        <v>81.26000000000001</v>
      </c>
      <c r="DJ559" t="s" s="306">
        <f>IF($D559="","",$D559)</f>
        <v>396</v>
      </c>
      <c r="DK559" s="209">
        <f>IF(AND($B559=" ",$D559&lt;&gt;""),1,0)</f>
        <v>0</v>
      </c>
    </row>
    <row r="560" ht="14.55" customHeight="1">
      <c r="A560" s="107"/>
      <c r="B560" s="108"/>
      <c r="C560" t="s" s="213">
        <v>56</v>
      </c>
      <c r="D560" s="110"/>
      <c r="E560" s="111"/>
      <c r="F560" s="113"/>
      <c r="G560" s="214"/>
      <c r="H560" s="114"/>
      <c r="I560" t="s" s="215">
        <v>67</v>
      </c>
      <c r="J560" s="296">
        <f>IF(OR(I559="TO",I559="TU",I559="TO1",I559="TU1",I559="TO2",I559="TU2"),J559,IF(OR(I559="AH1",I559="AH2"),IF(OR(I560="AH1",I560="AH2"),-J559,IF(OR(I560="EH1",I560="EH2"),-J559+0.5,"")),IF(OR(I559="EH1",I559="EH2"),IF(OR(I560="AH1",I560="AH2"),-J559+0.5,IF(OR(I560="EH1",I560="EH2"),-J559+1,"")),IF(AND(OR(I559="DNB1",I559="DNB2"),OR(I560="AH1",I560="AH2")),0,IF(AND(I559="Not ScoreBoth",OR(I560="TO1",I560="TO2")),0.5,"")))))</f>
        <v>3</v>
      </c>
      <c r="K560" t="s" s="217">
        <v>48</v>
      </c>
      <c r="L560" s="218">
        <v>2.1</v>
      </c>
      <c r="M560" s="219">
        <v>10.15</v>
      </c>
      <c r="N560" s="120"/>
      <c r="O560" s="220">
        <f>IF(OR(AE559="",AE560=""),"",ROUND(IF(L561&gt;0,IF(M560&gt;0,M560,IF(M559&gt;0,IF(N559=TRUE,ROUND((M559*AE560)/AE559,0),(M559*AE560)/AE559),IF(M560&gt;0,ROUND(M560,IF(N559=0,2,IF(N559=0.1,1,0))),IF(M561&gt;0,ROUND(O561*AE560/AE561,IF(N559=0,2,IF(N559=0.1,1,0))),0)))),IF(M560&gt;0,M560,ROUND((M559*AE560)/AE559,IF(N559=0,2,IF(N559=0.1,1,0))))),2))</f>
        <v>10.15</v>
      </c>
      <c r="P560" s="221">
        <f>IF(OR(L560="",O560=""),"",IF($C560="1/2W",O560/2+O560/2*L560,IF($C560="1/2L",O560/2,IF(I560="Lay",((O560*(L560/(L560-1)))-O560)*(1-_xlfn.XLOOKUP(K560,'Janeiro 2023 - Valor Real'!A3:A15,'Janeiro 2023 - Valor Real'!C3:C15,0))+O560,(O560*L560-O560)*(1-_xlfn.XLOOKUP(K560,'Janeiro 2023 - Valor Real'!A3:A15,'Janeiro 2023 - Valor Real'!C3:C15,0))+O560))))</f>
        <v>21.315</v>
      </c>
      <c r="Q560" s="222">
        <f>IF(K560="","",IF(_xlfn.XLOOKUP(K560,K$123:K333,DJ$123:DJ333,0,,-1)=DJ560,_xlfn.XLOOKUP(K560,K$123:K333,Q$123:Q333,1,,-1)+1,1))</f>
        <v>1</v>
      </c>
      <c r="R560" s="223">
        <f>IF(K560="","",_xlfn.XLOOKUP(K560,K$123:K333,R$123:R333,0,,-1)+IF($C560=" ",1,0))</f>
        <v>0</v>
      </c>
      <c r="S560" s="125"/>
      <c r="T560" s="126"/>
      <c r="U560" s="126"/>
      <c r="V560" s="224"/>
      <c r="W560" s="126"/>
      <c r="X560" s="127"/>
      <c r="Y560" s="128"/>
      <c r="Z560" s="129"/>
      <c r="AA560" s="129"/>
      <c r="AB560" s="129"/>
      <c r="AC560" s="129"/>
      <c r="AD560" s="225">
        <f>(((L560/(L560-1)-1)*(1-_xlfn.XLOOKUP(K560,'Janeiro 2023 - Valor Real'!A3:A15,'Janeiro 2023 - Valor Real'!C3:C15,0))+1))</f>
        <v>1.90909090909091</v>
      </c>
      <c r="AE560" s="226">
        <f>IF(L560="","",IF(L561&gt;0,(SUM(((L559-1)*(1-_xlfn.XLOOKUP(K559,'Janeiro 2023 - Valor Real'!A3:A15,'Janeiro 2023 - Valor Real'!C3:C15,0))+1),((L560-1)*(1-_xlfn.XLOOKUP(K560,'Janeiro 2023 - Valor Real'!A3:A15,'Janeiro 2023 - Valor Real'!C3:C15,0))+1),((L561-1)*(1-_xlfn.XLOOKUP(K561,'Janeiro 2023 - Valor Real'!A3:A15,'Janeiro 2023 - Valor Real'!C3:C15,0))+1))/((L560-1)*(1-_xlfn.XLOOKUP(K560,'Janeiro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Real'!C3:C15,0))+1))/((L559-1)*(1-_xlfn.XLOOKUP(K559,'Janeiro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Real'!C3:C15,0))+1))/((L560-1)*(1-_xlfn.XLOOKUP(K560,'Janeiro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Real'!C3:C15,0))+1))/((L561-1)*(1-_xlfn.XLOOKUP(K561,'Janeiro 2023 - Valor Real'!A3:A15,'Janeiro 2023 - Valor Real'!C3:C15,0))+1)),IF(I560="Lay",IF(I559="Lay",((L559/(L559-1)-1)*(1-_xlfn.XLOOKUP(K559,'Janeiro 2023 - Valor Real'!A3:A15,'Janeiro 2023 - Valor Real'!C3:C15,0))+1)/(((L559/(L559-1)-1)*(1-_xlfn.XLOOKUP(K559,'Janeiro 2023 - Valor Real'!A3:A15,'Janeiro 2023 - Valor Real'!C3:C15,0))+1)+((L560/(L560-1)-1)*(1-_xlfn.XLOOKUP(K560,'Janeiro 2023 - Valor Real'!A3:A15,'Janeiro 2023 - Valor Real'!C3:C15,0))+1)),((L559-1)*(1-_xlfn.XLOOKUP(K559,'Janeiro 2023 - Valor Real'!A3:A15,'Janeiro 2023 - Valor Real'!C3:C15,0))+1)/(((L559-1)*(1-_xlfn.XLOOKUP(K559,'Janeiro 2023 - Valor Real'!A3:A15,'Janeiro 2023 - Valor Real'!C3:C15,0))+1)+((L560/(L560-1)-1)*(1-_xlfn.XLOOKUP(K560,'Janeiro 2023 - Valor Real'!A3:A15,'Janeiro 2023 - Valor Real'!C3:C15,0))+1))),IF(I559="Lay",((L559/(L559-1)-1)*(1-_xlfn.XLOOKUP(K559,'Janeiro 2023 - Valor Real'!A3:A15,'Janeiro 2023 - Valor Real'!C3:C15,0))+1)/((((L559/(L559-1)-1)*(1-_xlfn.XLOOKUP(K559,'Janeiro 2023 - Valor Real'!A3:A15,'Janeiro 2023 - Valor Real'!C3:C15,0))+1))+((L560-1)*(1-_xlfn.XLOOKUP(K560,'Janeiro 2023 - Valor Real'!A3:A15,'Janeiro 2023 - Valor Real'!C3:C15,0))+1)),((L559-1)*(1-_xlfn.XLOOKUP(K559,'Janeiro 2023 - Valor Real'!A3:A15,'Janeiro 2023 - Valor Real'!C3:C15,0))+1)/(((L559-1)*(1-_xlfn.XLOOKUP(K559,'Janeiro 2023 - Valor Real'!A3:A15,'Janeiro 2023 - Valor Real'!C3:C15,0))+1)+((L560-1)*(1-_xlfn.XLOOKUP(K560,'Janeiro 2023 - Valor Real'!A3:A15,'Janeiro 2023 - Valor Real'!C3:C15,0))+1))))))</f>
        <v>0.501187648456057</v>
      </c>
      <c r="AF560" s="197">
        <f>IF($K560=AF$3,ROUND(IF(OR($C560="W",$C560="1/2W",$C560="1/2L"),$P560-$O560,IF($C560="X",0,-$O560)),2),0)</f>
        <v>0</v>
      </c>
      <c r="AG560" s="198">
        <f>IF($K560=AG$3,ROUND(IF(OR($C560="W",$C560="1/2W",$C560="1/2L"),$P560-$O560,IF($C560="X",0,-$O560)),2),0)</f>
        <v>0</v>
      </c>
      <c r="AH560" s="198">
        <f>IF($K560=AH$3,ROUND(IF(OR($C560="W",$C560="1/2W",$C560="1/2L"),$P560-$O560,IF($C560="X",0,-$O560)),2),0)</f>
        <v>0</v>
      </c>
      <c r="AI560" s="198">
        <f>IF($K560=AI$3,ROUND(IF(OR($C560="W",$C560="1/2W",$C560="1/2L"),$P560-$O560,IF($C560="X",0,-$O560)),2),0)</f>
        <v>0</v>
      </c>
      <c r="AJ560" s="198">
        <f>IF($K560=AJ$3,ROUND(IF(OR($C560="W",$C560="1/2W",$C560="1/2L"),$P560-$O560,IF($C560="X",0,-$O560)),2),0)</f>
        <v>0</v>
      </c>
      <c r="AK560" s="198">
        <f>IF($K560=AK$3,ROUND(IF(OR($C560="W",$C560="1/2W",$C560="1/2L"),$P560-$O560,IF($C560="X",0,-$O560)),2),0)</f>
        <v>0</v>
      </c>
      <c r="AL560" s="198">
        <f>IF($K560=AL$3,ROUND(IF(OR($C560="W",$C560="1/2W",$C560="1/2L"),$P560-$O560,IF($C560="X",0,-$O560)),2),0)</f>
        <v>0</v>
      </c>
      <c r="AM560" s="198">
        <f>IF($K560=AM$3,ROUND(IF(OR($C560="W",$C560="1/2W",$C560="1/2L"),$P560-$O560,IF($C560="X",0,-$O560)),2),0)</f>
        <v>0</v>
      </c>
      <c r="AN560" s="198">
        <f>IF($K560=AN$3,ROUND(IF(OR($C560="W",$C560="1/2W",$C560="1/2L"),$P560-$O560,IF($C560="X",0,-$O560)),2),0)</f>
        <v>0</v>
      </c>
      <c r="AO560" s="198">
        <f>IF($K560=AO$3,ROUND(IF(OR($C560="W",$C560="1/2W",$C560="1/2L"),$P560-$O560,IF($C560="X",0,-$O560)),2),0)</f>
        <v>0</v>
      </c>
      <c r="AP560" s="198">
        <f>IF($K560=AP$3,ROUND(IF(OR($C560="W",$C560="1/2W",$C560="1/2L"),$P560-$O560,IF($C560="X",0,-$O560)),2),0)</f>
        <v>0</v>
      </c>
      <c r="AQ560" s="198">
        <f>IF($K560=AQ$3,ROUND(IF(OR($C560="W",$C560="1/2W",$C560="1/2L"),$P560-$O560,IF($C560="X",0,-$O560)),2),0)</f>
        <v>11.17</v>
      </c>
      <c r="AR560" s="199">
        <f>IF($K560=AR$3,ROUND(IF(OR($C560="W",$C560="1/2W",$C560="1/2L"),$P560-$O560,IF($C560="X",0,-$O560)),2),0)</f>
        <v>0</v>
      </c>
      <c r="AS560" s="197">
        <f>IF(AND($B559=" ",$K560=AS$3),$O560,0)</f>
        <v>0</v>
      </c>
      <c r="AT560" s="198">
        <f>IF(AND($B559=" ",K560=AT$3),$O560,0)</f>
        <v>0</v>
      </c>
      <c r="AU560" s="198">
        <f>IF(AND($B559=" ",$K560=AU$3),$O560,0)</f>
        <v>0</v>
      </c>
      <c r="AV560" s="198">
        <f>IF(AND($B559=" ",$K560=AV$3),$O560,0)</f>
        <v>0</v>
      </c>
      <c r="AW560" s="198">
        <f>IF(AND($B559=" ",$K560=AW$3),$O560,0)</f>
        <v>0</v>
      </c>
      <c r="AX560" s="198">
        <f>IF(AND($B559=" ",$K560=AX$3),$O560,0)</f>
        <v>0</v>
      </c>
      <c r="AY560" s="200">
        <f>IF(AND($B559=" ",$K560=AY$3),$O560,0)</f>
        <v>0</v>
      </c>
      <c r="AZ560" s="201">
        <f>IF(AND($B559=" ",$K560=AZ$3),$O560,0)</f>
        <v>0</v>
      </c>
      <c r="BA560" s="201">
        <f>IF(AND($B559=" ",$K560=BA$3),$O560,0)</f>
        <v>0</v>
      </c>
      <c r="BB560" s="201">
        <f>IF(AND($B559=" ",$K560=BB$3),$O560,0)</f>
        <v>0</v>
      </c>
      <c r="BC560" s="202">
        <f>IF(AND($B559=" ",$K560=BC$3),$O560,0)</f>
        <v>0</v>
      </c>
      <c r="BD560" s="198">
        <f>IF(AND($B559=" ",$K560=BD$3),$O560,0)</f>
        <v>0</v>
      </c>
      <c r="BE560" s="199">
        <f>IF(AND($B559=" ",$K560=BE$3),$O560,0)</f>
        <v>0</v>
      </c>
      <c r="BF560" s="197">
        <f>IF($K560=BF$3,IF($C560="X",0,$O560),0)</f>
        <v>0</v>
      </c>
      <c r="BG560" s="198">
        <f>IF($K560=BG$3,IF($C560="X",0,$O560),0)</f>
        <v>0</v>
      </c>
      <c r="BH560" s="198">
        <f>IF($K560=BH$3,IF($C560="X",0,$O560),0)</f>
        <v>0</v>
      </c>
      <c r="BI560" s="198">
        <f>IF($K560=BI$3,IF($C560="X",0,$O560),0)</f>
        <v>0</v>
      </c>
      <c r="BJ560" s="198">
        <f>IF($K560=BJ$3,IF($C560="X",0,$O560),0)</f>
        <v>0</v>
      </c>
      <c r="BK560" s="198">
        <f>IF($K560=BK$3,IF($C560="X",0,$O560),0)</f>
        <v>0</v>
      </c>
      <c r="BL560" s="198">
        <f>IF($K560=BL$3,IF($C560="X",0,$O560),0)</f>
        <v>0</v>
      </c>
      <c r="BM560" s="227">
        <f>IF($K560=BM$3,IF($C560="X",0,$O560),0)</f>
        <v>0</v>
      </c>
      <c r="BN560" s="205">
        <f>IF($K560=BN$3,IF($C560="X",0,$O560),0)</f>
        <v>0</v>
      </c>
      <c r="BO560" s="205">
        <f>IF($K560=BO$3,IF($C560="X",0,$O560),0)</f>
        <v>0</v>
      </c>
      <c r="BP560" s="205">
        <f>IF($K560=BP$3,IF($C560="X",0,$O560),0)</f>
        <v>0</v>
      </c>
      <c r="BQ560" s="202">
        <f>IF($K560=BQ$3,IF($C560="X",0,$O560),0)</f>
        <v>10.15</v>
      </c>
      <c r="BR560" s="199">
        <f>IF($K560=BR$3,IF($C560="X",0,$O560),0)</f>
        <v>0</v>
      </c>
      <c r="BS560" s="228"/>
      <c r="BT560" s="229"/>
      <c r="BU560" s="140"/>
      <c r="BV560" s="229"/>
      <c r="BW560" s="140"/>
      <c r="BX560" s="140"/>
      <c r="BY560" s="140"/>
      <c r="BZ560" s="229"/>
      <c r="CA560" s="140"/>
      <c r="CB560" s="140"/>
      <c r="CC560" s="140"/>
      <c r="CD560" s="141"/>
      <c r="CE560" s="142"/>
      <c r="CF560" s="230">
        <f>IF(CF$3=$K560,IF($C560="W",1,IF($C560="1/2W",0.5,0)),0)</f>
        <v>0</v>
      </c>
      <c r="CG560" s="231">
        <f>IF(CF$3=$K560,IF($C560="L",1,IF($C560="1/2L",0.5,0)),0)</f>
        <v>0</v>
      </c>
      <c r="CH560" s="231">
        <f>IF(CH$3=$K560,IF($C560="W",1,IF($C560="1/2W",0.5,0)),0)</f>
        <v>0</v>
      </c>
      <c r="CI560" s="231">
        <f>IF(CH$3=$K560,IF($C560="L",1,IF($C560="1/2L",0.5,0)),0)</f>
        <v>0</v>
      </c>
      <c r="CJ560" s="231">
        <f>IF(CJ$3=$K560,IF($C560="W",1,IF($C560="1/2W",0.5,0)),0)</f>
        <v>0</v>
      </c>
      <c r="CK560" s="231">
        <f>IF(CJ$3=$K560,IF($C560="L",1,IF($C560="1/2L",0.5,0)),0)</f>
        <v>0</v>
      </c>
      <c r="CL560" s="231">
        <f>IF(CL$3=$K560,IF($C560="W",1,IF($C560="1/2W",0.5,0)),0)</f>
        <v>0</v>
      </c>
      <c r="CM560" s="231">
        <f>IF(CL$3=$K560,IF($C560="L",1,IF($C560="1/2L",0.5,0)),0)</f>
        <v>0</v>
      </c>
      <c r="CN560" s="231">
        <f>IF(CN$3=$K560,IF($C560="W",1,IF($C560="1/2W",0.5,0)),0)</f>
        <v>0</v>
      </c>
      <c r="CO560" s="231">
        <f>IF(CN$3=$K560,IF($C560="L",1,IF($C560="1/2L",0.5,0)),0)</f>
        <v>0</v>
      </c>
      <c r="CP560" s="231">
        <f>IF(CP$3=$K560,IF($C560="W",1,IF($C560="1/2W",0.5,0)),0)</f>
        <v>0</v>
      </c>
      <c r="CQ560" s="231">
        <f>IF(CP$3=$K560,IF($C560="L",1,IF($C560="1/2L",0.5,0)),0)</f>
        <v>0</v>
      </c>
      <c r="CR560" s="231">
        <f>IF(CR$3=$K560,IF($C560="W",1,IF($C560="1/2W",0.5,0)),0)</f>
        <v>0</v>
      </c>
      <c r="CS560" s="231">
        <f>IF(CR$3=$K560,IF($C560="L",1,IF($C560="1/2L",0.5,0)),0)</f>
        <v>0</v>
      </c>
      <c r="CT560" s="208">
        <f>IF(CT$3=$K560,IF($C560="W",1,IF($C560="1/2W",0.5,0)),0)</f>
        <v>0</v>
      </c>
      <c r="CU560" s="209">
        <f>IF(CT$3=$K560,IF($C560="L",1,IF($C560="1/2L",0.5,0)),0)</f>
        <v>0</v>
      </c>
      <c r="CV560" s="209">
        <f>IF(CV$3=$K560,IF($C560="W",1,IF($C560="1/2W",0.5,0)),0)</f>
        <v>0</v>
      </c>
      <c r="CW560" s="209">
        <f>IF(CV$3=$K560,IF($C560="L",1,IF($C560="1/2L",0.5,0)),0)</f>
        <v>0</v>
      </c>
      <c r="CX560" s="209">
        <f>IF(CX$3=$K560,IF($C560="W",1,IF($C560="1/2W",0.5,0)),0)</f>
        <v>0</v>
      </c>
      <c r="CY560" s="209">
        <f>IF(CX$3=$K560,IF($C560="L",1,IF($C560="1/2L",0.5,0)),0)</f>
        <v>0</v>
      </c>
      <c r="CZ560" s="209">
        <f>IF(CZ$3=$K560,IF($C560="W",1,IF($C560="1/2W",0.5,0)),0)</f>
        <v>0</v>
      </c>
      <c r="DA560" s="209">
        <f>IF(CZ$3=$K560,IF($C560="L",1,IF($C560="1/2L",0.5,0)),0)</f>
        <v>0</v>
      </c>
      <c r="DB560" s="209">
        <f>IF(DB$3=$K560,IF($C560="W",1,IF($C560="1/2W",0.5,0)),0)</f>
        <v>1</v>
      </c>
      <c r="DC560" s="209">
        <f>IF(DB$3=$K560,IF($C560="L",1,IF($C560="1/2L",0.5,0)),0)</f>
        <v>0</v>
      </c>
      <c r="DD560" s="209">
        <f>IF(DD$3=$K560,IF($C560="W",1,IF($C560="1/2W",0.5,0)),0)</f>
        <v>0</v>
      </c>
      <c r="DE560" s="210">
        <f>IF(DD$3=$K560,IF($C560="L",1,IF($C560="1/2L",0.5,0)),0)</f>
        <v>0</v>
      </c>
      <c r="DF560" s="211">
        <f>IF(AND(L560&lt;DF$3,$C560="W"),1+DF559,DF559)</f>
        <v>16</v>
      </c>
      <c r="DG560" s="198">
        <f>IF(DF560&gt;DF559,L560+DG559,DG559)</f>
        <v>21.158</v>
      </c>
      <c r="DH560" s="209">
        <f>IF(AND(L560&gt;DH$3,$C560="W"),1+DH559,0+DH559)</f>
        <v>15</v>
      </c>
      <c r="DI560" s="198">
        <f>IF(DH560&gt;DH559,L560+DI559,DI559)</f>
        <v>81.26000000000001</v>
      </c>
      <c r="DJ560" t="s" s="306">
        <f>IF($D559="","",$D559)</f>
        <v>396</v>
      </c>
      <c r="DK560" s="232"/>
    </row>
    <row r="561" ht="14.55" customHeight="1">
      <c r="A561" s="149"/>
      <c r="B561" s="150"/>
      <c r="C561" t="s" s="233">
        <v>58</v>
      </c>
      <c r="D561" s="152"/>
      <c r="E561" s="153"/>
      <c r="F561" s="155"/>
      <c r="G561" s="234"/>
      <c r="H561" s="156"/>
      <c r="I561" s="235"/>
      <c r="J561" s="236"/>
      <c r="K561" s="237"/>
      <c r="L561" s="238"/>
      <c r="M561" s="239"/>
      <c r="N561" s="161"/>
      <c r="O561" t="s" s="240">
        <f>IF(OR(AE559="",AE560=""),"",IF(L561&gt;0,ROUND(IF(M561&gt;0,M561,IF(M559&gt;0,ROUND((M559*AE561)/AE559,IF(N559=0,2,IF(N559=0.1,1,0))),IF(M560&gt;0,ROUND((M560*AE561)/AE560,IF(N559=0,2,IF(N559=0.1,1,0))),IF(M561&gt;0,M561,0)))),2),""))</f>
      </c>
      <c r="P561" t="s" s="241">
        <f>IF(I560="Lay",O560*(L560/(L560-1))-O560,IF(I559="Lay",O559*(L559/(L559-1))-O559,IF(OR(L561="",O561=""),"",IF($C561="1/2W",O561/2+O561/2*L561,IF($C561="1/2L",O561/2,(O561*L561-O561)*(1-_xlfn.XLOOKUP(K561,'Janeiro 2023 - Valor Real'!A3:A15,'Janeiro 2023 - Valor Real'!C3:C15,0))+O561)))))</f>
      </c>
      <c r="Q561" t="s" s="242">
        <f>IF(K561="","",IF(_xlfn.XLOOKUP(K561,K$124:K334,DJ$124:DJ334,0,,-1)=DJ561,_xlfn.XLOOKUP(K561,K$124:K334,Q$124:Q334,1,,-1)+1,1))</f>
      </c>
      <c r="R561" t="s" s="243">
        <f>IF(K561="","",_xlfn.XLOOKUP(K561,K$124:K334,R$124:R334,0,,-1)+IF($C561=" ",1,0))</f>
      </c>
      <c r="S561" s="166"/>
      <c r="T561" s="155"/>
      <c r="U561" s="155"/>
      <c r="V561" s="166"/>
      <c r="W561" s="155"/>
      <c r="X561" s="167"/>
      <c r="Y561" s="128"/>
      <c r="Z561" s="129"/>
      <c r="AA561" s="129"/>
      <c r="AB561" s="129"/>
      <c r="AC561" s="129"/>
      <c r="AD561" s="244">
        <f>((L560/(L560-1)-1))</f>
        <v>0.9090909090909089</v>
      </c>
      <c r="AE561" t="s" s="245">
        <f>IF(L561="","",(SUM(((L559-1)*(1-_xlfn.XLOOKUP(K559,'Janeiro 2023 - Valor Real'!A3:A15,'Janeiro 2023 - Valor Real'!C3:C15,0))+1),((L560-1)*(1-_xlfn.XLOOKUP(K560,'Janeiro 2023 - Valor Real'!A3:A15,'Janeiro 2023 - Valor Real'!C3:C15,0))+1),((L561-1)*(1-_xlfn.XLOOKUP(K561,'Janeiro 2023 - Valor Real'!A3:A15,'Janeiro 2023 - Valor Real'!C3:C15,0))+1))/((L561-1)*(1-_xlfn.XLOOKUP(K561,'Janeiro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Real'!C3:C15,0))+1))/((L559-1)*(1-_xlfn.XLOOKUP(K559,'Janeiro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Real'!C3:C15,0))+1))/((L560-1)*(1-_xlfn.XLOOKUP(K560,'Janeiro 2023 - Valor Real'!A3:A15,'Janeiro 2023 - Valor Real'!C3:C15,0))+1)+SUM(((L559-1)*(1-_xlfn.XLOOKUP(K559,'Janeiro 2023 - Valor Real'!A3:A15,'Janeiro 2023 - Valor Real'!C3:C15,0))+1),((L560-1)*(1-_xlfn.XLOOKUP(K560,'Janeiro 2023 - Valor Real'!A3:A15,'Janeiro 2023 - Valor Real'!C3:C15,0))+1),((L561-1)*(1-_xlfn.XLOOKUP(K561,'Janeiro 2023 - Valor Real'!A3:A15,'Janeiro 2023 - Valor Real'!C3:C15,0))+1))/((L561-1)*(1-_xlfn.XLOOKUP(K561,'Janeiro 2023 - Valor Real'!A3:A15,'Janeiro 2023 - Valor Real'!C3:C15,0))+1)))</f>
      </c>
      <c r="AF561" s="197">
        <f>IF($K561=AF$3,ROUND(IF(OR($C561="W",$C561="1/2W",$C561="1/2L"),$P561-$O561,IF($C561="X",0,-$O561)),2),0)</f>
        <v>0</v>
      </c>
      <c r="AG561" s="198">
        <f>IF($K561=AG$3,ROUND(IF(OR($C561="W",$C561="1/2W",$C561="1/2L"),$P561-$O561,IF($C561="X",0,-$O561)),2),0)</f>
        <v>0</v>
      </c>
      <c r="AH561" s="198">
        <f>IF($K561=AH$3,ROUND(IF(OR($C561="W",$C561="1/2W",$C561="1/2L"),$P561-$O561,IF($C561="X",0,-$O561)),2),0)</f>
        <v>0</v>
      </c>
      <c r="AI561" s="198">
        <f>IF($K561=AI$3,ROUND(IF(OR($C561="W",$C561="1/2W",$C561="1/2L"),$P561-$O561,IF($C561="X",0,-$O561)),2),0)</f>
        <v>0</v>
      </c>
      <c r="AJ561" s="198">
        <f>IF($K561=AJ$3,ROUND(IF(OR($C561="W",$C561="1/2W",$C561="1/2L"),$P561-$O561,IF($C561="X",0,-$O561)),2),0)</f>
        <v>0</v>
      </c>
      <c r="AK561" s="198">
        <f>IF($K561=AK$3,ROUND(IF(OR($C561="W",$C561="1/2W",$C561="1/2L"),$P561-$O561,IF($C561="X",0,-$O561)),2),0)</f>
        <v>0</v>
      </c>
      <c r="AL561" s="198">
        <f>IF($K561=AL$3,ROUND(IF(OR($C561="W",$C561="1/2W",$C561="1/2L"),$P561-$O561,IF($C561="X",0,-$O561)),2),0)</f>
        <v>0</v>
      </c>
      <c r="AM561" s="198">
        <f>IF($K561=AM$3,ROUND(IF(OR($C561="W",$C561="1/2W",$C561="1/2L"),$P561-$O561,IF($C561="X",0,-$O561)),2),0)</f>
        <v>0</v>
      </c>
      <c r="AN561" s="198">
        <f>IF($K561=AN$3,ROUND(IF(OR($C561="W",$C561="1/2W",$C561="1/2L"),$P561-$O561,IF($C561="X",0,-$O561)),2),0)</f>
        <v>0</v>
      </c>
      <c r="AO561" s="198">
        <f>IF($K561=AO$3,ROUND(IF(OR($C561="W",$C561="1/2W",$C561="1/2L"),$P561-$O561,IF($C561="X",0,-$O561)),2),0)</f>
        <v>0</v>
      </c>
      <c r="AP561" s="198">
        <f>IF($K561=AP$3,ROUND(IF(OR($C561="W",$C561="1/2W",$C561="1/2L"),$P561-$O561,IF($C561="X",0,-$O561)),2),0)</f>
        <v>0</v>
      </c>
      <c r="AQ561" s="198">
        <f>IF($K561=AQ$3,ROUND(IF(OR($C561="W",$C561="1/2W",$C561="1/2L"),$P561-$O561,IF($C561="X",0,-$O561)),2),0)</f>
        <v>0</v>
      </c>
      <c r="AR561" s="199">
        <f>IF($K561=AR$3,ROUND(IF(OR($C561="W",$C561="1/2W",$C561="1/2L"),$P561-$O561,IF($C561="X",0,-$O561)),2),0)</f>
        <v>0</v>
      </c>
      <c r="AS561" s="197">
        <f>IF(AND($B559=" ",$K561=AS$3),$O561,0)</f>
        <v>0</v>
      </c>
      <c r="AT561" s="198">
        <f>IF(AND($B559=" ",K561=AT$3),$O561,0)</f>
        <v>0</v>
      </c>
      <c r="AU561" s="198">
        <f>IF(AND($B559=" ",$K561=AU$3),$O561,0)</f>
        <v>0</v>
      </c>
      <c r="AV561" s="198">
        <f>IF(AND($B559=" ",$K561=AV$3),$O561,0)</f>
        <v>0</v>
      </c>
      <c r="AW561" s="198">
        <f>IF(AND($B559=" ",$K561=AW$3),$O561,0)</f>
        <v>0</v>
      </c>
      <c r="AX561" s="198">
        <f>IF(AND($B559=" ",$K561=AX$3),$O561,0)</f>
        <v>0</v>
      </c>
      <c r="AY561" s="200">
        <f>IF(AND($B559=" ",$K561=AY$3),$O561,0)</f>
        <v>0</v>
      </c>
      <c r="AZ561" s="201">
        <f>IF(AND($B559=" ",$K561=AZ$3),$O561,0)</f>
        <v>0</v>
      </c>
      <c r="BA561" s="201">
        <f>IF(AND($B559=" ",$K561=BA$3),$O561,0)</f>
        <v>0</v>
      </c>
      <c r="BB561" s="201">
        <f>IF(AND($B559=" ",$K561=BB$3),$O561,0)</f>
        <v>0</v>
      </c>
      <c r="BC561" s="202">
        <f>IF(AND($B559=" ",$K561=BC$3),$O561,0)</f>
        <v>0</v>
      </c>
      <c r="BD561" s="198">
        <f>IF(AND($B559=" ",$K561=BD$3),$O561,0)</f>
        <v>0</v>
      </c>
      <c r="BE561" s="199">
        <f>IF(AND($B559=" ",$K561=BE$3),$O561,0)</f>
        <v>0</v>
      </c>
      <c r="BF561" s="197">
        <f>IF($K561=BF$3,IF($C561="X",0,$O561),0)</f>
        <v>0</v>
      </c>
      <c r="BG561" s="198">
        <f>IF($K561=BG$3,IF($C561="X",0,$O561),0)</f>
        <v>0</v>
      </c>
      <c r="BH561" s="198">
        <f>IF($K561=BH$3,IF($C561="X",0,$O561),0)</f>
        <v>0</v>
      </c>
      <c r="BI561" s="198">
        <f>IF($K561=BI$3,IF($C561="X",0,$O561),0)</f>
        <v>0</v>
      </c>
      <c r="BJ561" s="198">
        <f>IF($K561=BJ$3,IF($C561="X",0,$O561),0)</f>
        <v>0</v>
      </c>
      <c r="BK561" s="198">
        <f>IF($K561=BK$3,IF($C561="X",0,$O561),0)</f>
        <v>0</v>
      </c>
      <c r="BL561" s="198">
        <f>IF($K561=BL$3,IF($C561="X",0,$O561),0)</f>
        <v>0</v>
      </c>
      <c r="BM561" s="200">
        <f>IF($K561=BM$3,IF($C561="X",0,$O561),0)</f>
        <v>0</v>
      </c>
      <c r="BN561" s="201">
        <f>IF($K561=BN$3,IF($C561="X",0,$O561),0)</f>
        <v>0</v>
      </c>
      <c r="BO561" s="201">
        <f>IF($K561=BO$3,IF($C561="X",0,$O561),0)</f>
        <v>0</v>
      </c>
      <c r="BP561" s="201">
        <f>IF($K561=BP$3,IF($C561="X",0,$O561),0)</f>
        <v>0</v>
      </c>
      <c r="BQ561" s="202">
        <f>IF($K561=BQ$3,IF($C561="X",0,$O561),0)</f>
        <v>0</v>
      </c>
      <c r="BR561" s="199">
        <f>IF($K561=BR$3,IF($C561="X",0,$O561),0)</f>
        <v>0</v>
      </c>
      <c r="BS561" s="228"/>
      <c r="BT561" s="229"/>
      <c r="BU561" s="140"/>
      <c r="BV561" s="229"/>
      <c r="BW561" s="140"/>
      <c r="BX561" s="140"/>
      <c r="BY561" s="140"/>
      <c r="BZ561" s="229"/>
      <c r="CA561" s="140"/>
      <c r="CB561" s="140"/>
      <c r="CC561" s="140"/>
      <c r="CD561" s="141"/>
      <c r="CE561" s="142"/>
      <c r="CF561" s="230">
        <f>IF(CF$3=$K561,IF($C561="W",1,IF($C561="1/2W",0.5,0)),0)</f>
        <v>0</v>
      </c>
      <c r="CG561" s="231">
        <f>IF(CF$3=$K561,IF($C561="L",1,IF($C561="1/2L",0.5,0)),0)</f>
        <v>0</v>
      </c>
      <c r="CH561" s="231">
        <f>IF(CH$3=$K561,IF($C561="W",1,IF($C561="1/2W",0.5,0)),0)</f>
        <v>0</v>
      </c>
      <c r="CI561" s="231">
        <f>IF(CH$3=$K561,IF($C561="L",1,IF($C561="1/2L",0.5,0)),0)</f>
        <v>0</v>
      </c>
      <c r="CJ561" s="231">
        <f>IF(CJ$3=$K561,IF($C561="W",1,IF($C561="1/2W",0.5,0)),0)</f>
        <v>0</v>
      </c>
      <c r="CK561" s="231">
        <f>IF(CJ$3=$K561,IF($C561="L",1,IF($C561="1/2L",0.5,0)),0)</f>
        <v>0</v>
      </c>
      <c r="CL561" s="231">
        <f>IF(CL$3=$K561,IF($C561="W",1,IF($C561="1/2W",0.5,0)),0)</f>
        <v>0</v>
      </c>
      <c r="CM561" s="231">
        <f>IF(CL$3=$K561,IF($C561="L",1,IF($C561="1/2L",0.5,0)),0)</f>
        <v>0</v>
      </c>
      <c r="CN561" s="231">
        <f>IF(CN$3=$K561,IF($C561="W",1,IF($C561="1/2W",0.5,0)),0)</f>
        <v>0</v>
      </c>
      <c r="CO561" s="231">
        <f>IF(CN$3=$K561,IF($C561="L",1,IF($C561="1/2L",0.5,0)),0)</f>
        <v>0</v>
      </c>
      <c r="CP561" s="231">
        <f>IF(CP$3=$K561,IF($C561="W",1,IF($C561="1/2W",0.5,0)),0)</f>
        <v>0</v>
      </c>
      <c r="CQ561" s="231">
        <f>IF(CP$3=$K561,IF($C561="L",1,IF($C561="1/2L",0.5,0)),0)</f>
        <v>0</v>
      </c>
      <c r="CR561" s="231">
        <f>IF(CR$3=$K561,IF($C561="W",1,IF($C561="1/2W",0.5,0)),0)</f>
        <v>0</v>
      </c>
      <c r="CS561" s="231">
        <f>IF(CR$3=$K561,IF($C561="L",1,IF($C561="1/2L",0.5,0)),0)</f>
        <v>0</v>
      </c>
      <c r="CT561" s="208">
        <f>IF(CT$3=$K561,IF($C561="W",1,IF($C561="1/2W",0.5,0)),0)</f>
        <v>0</v>
      </c>
      <c r="CU561" s="209">
        <f>IF(CT$3=$K561,IF($C561="L",1,IF($C561="1/2L",0.5,0)),0)</f>
        <v>0</v>
      </c>
      <c r="CV561" s="209">
        <f>IF(CV$3=$K561,IF($C561="W",1,IF($C561="1/2W",0.5,0)),0)</f>
        <v>0</v>
      </c>
      <c r="CW561" s="209">
        <f>IF(CV$3=$K561,IF($C561="L",1,IF($C561="1/2L",0.5,0)),0)</f>
        <v>0</v>
      </c>
      <c r="CX561" s="209">
        <f>IF(CX$3=$K561,IF($C561="W",1,IF($C561="1/2W",0.5,0)),0)</f>
        <v>0</v>
      </c>
      <c r="CY561" s="209">
        <f>IF(CX$3=$K561,IF($C561="L",1,IF($C561="1/2L",0.5,0)),0)</f>
        <v>0</v>
      </c>
      <c r="CZ561" s="209">
        <f>IF(CZ$3=$K561,IF($C561="W",1,IF($C561="1/2W",0.5,0)),0)</f>
        <v>0</v>
      </c>
      <c r="DA561" s="209">
        <f>IF(CZ$3=$K561,IF($C561="L",1,IF($C561="1/2L",0.5,0)),0)</f>
        <v>0</v>
      </c>
      <c r="DB561" s="209">
        <f>IF(DB$3=$K561,IF($C561="W",1,IF($C561="1/2W",0.5,0)),0)</f>
        <v>0</v>
      </c>
      <c r="DC561" s="209">
        <f>IF(DB$3=$K561,IF($C561="L",1,IF($C561="1/2L",0.5,0)),0)</f>
        <v>0</v>
      </c>
      <c r="DD561" s="209">
        <f>IF(DD$3=$K561,IF($C561="W",1,IF($C561="1/2W",0.5,0)),0)</f>
        <v>0</v>
      </c>
      <c r="DE561" s="210">
        <f>IF(DD$3=$K561,IF($C561="L",1,IF($C561="1/2L",0.5,0)),0)</f>
        <v>0</v>
      </c>
      <c r="DF561" s="211">
        <f>IF(AND(L561&lt;DF$3,$C561="W"),1+DF560,DF560)</f>
        <v>16</v>
      </c>
      <c r="DG561" s="198">
        <f>IF(DF561&gt;DF560,L561+DG560,DG560)</f>
        <v>21.158</v>
      </c>
      <c r="DH561" s="209">
        <f>IF(AND(L561&gt;DH$3,$C561="W"),1+DH560,0+DH560)</f>
        <v>15</v>
      </c>
      <c r="DI561" s="198">
        <f>IF(DH561&gt;DH560,L561+DI560,DI560)</f>
        <v>81.26000000000001</v>
      </c>
      <c r="DJ561" t="s" s="306">
        <f>IF($D559="","",$D559)</f>
        <v>396</v>
      </c>
      <c r="DK561" s="232"/>
    </row>
    <row r="562" ht="14.55" customHeight="1">
      <c r="A562" s="246">
        <f>$A559+1</f>
        <v>187</v>
      </c>
      <c r="B562" t="s" s="247">
        <f>IF(AND(_xlfn.XLOOKUP(H562,H$107:H341,G$107:G341,0)=G562,_xlfn.XLOOKUP("TempoBet",K562:K564,L562:L564,0)&gt;0),"X",IF(OR(C562="W",C563="W",C564="W",C562="1/2W",C563="1/2W",C564="1/2W",C562="1/2L",C563="1/2L",C564="1/2L"),"OK",IF(OR(C562="L",C563="L",C564="L"),"LOSS",IF(OR(C562="X",C563="X",C564="X"),"Anulado"," "))))</f>
        <v>50</v>
      </c>
      <c r="C562" t="s" s="248">
        <v>56</v>
      </c>
      <c r="D562" t="s" s="303">
        <f>IF(G562="","",$D559)</f>
        <v>396</v>
      </c>
      <c r="E562" t="s" s="250">
        <v>141</v>
      </c>
      <c r="F562" t="s" s="251">
        <f>IF(G562="","",IF(OR(AND($C562&lt;&gt;" ",$C563=" "),AND($C563&lt;&gt;" ",$C562=" "),AND(L564&gt;0,OR(AND($C564&lt;&gt;" ",OR($C562=" ",$C563=" ")),AND($C564=" ",OR($C562&lt;&gt;" ",$C563&lt;&gt;" "))))),IF(SUM(F$4:F561)=0,1,LARGE(F$4:F561,1)+1),IF(MONTH(G562)=MONTH(TODAY()),IF(AND(DAY(G562)&lt;DAY(TODAY()),$B562=" "),IF(SUM(F$4:F561)=0,1,LARGE(F$4:F561,1)+1),IF($B562=" ",IF(AND(DAY(G562)=DAY(TODAY()),HOUR(G562)&lt;=HOUR(NOW())+1),IF(AND(HOUR(G562)+2&lt;=HOUR(NOW()),DAY(G562)&lt;=DAY(TODAY()),MINUTE(G562)&lt;=MINUTE(NOW())),IF(SUM(F$4:F561)=0,1,LARGE(F$4:F561,1)+1),IF(OR(MINUTE(G562)&lt;=MINUTE(NOW()),HOUR(G562)&lt;=HOUR(NOW())),"!!!","")),""),"")),"")))</f>
      </c>
      <c r="G562" s="252">
        <v>44964.697916666664</v>
      </c>
      <c r="H562" t="s" s="253">
        <v>422</v>
      </c>
      <c r="I562" s="292">
        <v>2</v>
      </c>
      <c r="J562" s="293"/>
      <c r="K562" t="s" s="256">
        <v>41</v>
      </c>
      <c r="L562" s="257">
        <v>1.47</v>
      </c>
      <c r="M562" s="258">
        <v>143.62</v>
      </c>
      <c r="N562" s="259">
        <v>1</v>
      </c>
      <c r="O562" s="260">
        <f>IF(OR(AE562="",AE563=""),"",ROUND(IF(L564&gt;0,IF(M562&gt;0,M562,IF(M563&gt;0,ROUND((M563*AE562)/AE563,IF(N562=0,2,IF(N562=0.1,1,0))),ROUND((M564*AE562)/AE564,IF(N562=0,2,IF(N562=0.1,1,0))))),IF(M562&gt;0,M562,ROUND((M563*AE562)/AE563,IF(N562=0,2,IF(N562=0.1,1,0))))),2))</f>
        <v>143.62</v>
      </c>
      <c r="P562" s="261">
        <f>IF(OR(L562="",O562=""),"",IF($C562="1/2W",O562/2+O562/2*L562,IF($C562="1/2L",O562/2,IF(I562="Lay",(O562*(L562/(L562-1))-O562)*(1-_xlfn.XLOOKUP(K562,'Janeiro 2023 - Valor Real'!A3:A15,'Janeiro 2023 - Valor Real'!C3:C15,0))+O562,(O562*L562-O562)*(1-_xlfn.XLOOKUP(K562,'Janeiro 2023 - Valor Real'!A3:A15,'Janeiro 2023 - Valor Real'!C3:C15,0))+O562))))</f>
        <v>211.1214</v>
      </c>
      <c r="Q562" s="262">
        <f>IF(K562="","",IF(_xlfn.XLOOKUP(K562,K$107:K341,DJ$107:DJ341,0,,-1)=DJ562,_xlfn.XLOOKUP(K562,K$107:K341,Q$107:Q341,1,,-1)+1,1))</f>
        <v>1</v>
      </c>
      <c r="R562" s="263">
        <f>IF(K562="","",_xlfn.XLOOKUP(K562,K$107:K341,R$107:R341,0,,-1)+IF($C562=" ",1,0))</f>
        <v>0</v>
      </c>
      <c r="S562" s="264">
        <f>IF($B562="Anulado",0,ROUND(IF(OR($B562="LOSS",$B562="OK"),IF(OR($C562="W",$C562="1/2W",$C562="1/2L"),P562-O562,IF($C562="L",-O562,0))+IF(OR($C563="W",$C563="1/2W",$C563="1/2L"),P563-O563,IF($C563="L",-O563,0))+IF(OR($C564="W",$C564="1/2W",$C564="1/2L"),P564-O564,IF($C564="L",-O564,0)),IF(AND(OR($C562="W",$C562="1/2W",$C562="1/2L"),C563="W"),P562+P563-SUM(O562:O564)+_xlfn.XLOOKUP("X",C562:C564,O562:O564,0),IF(AND(C562=TRUE,C564="W"),P562+P564-SUM(O562:O564),IF(AND(C563="W",C564="W"),P563+P564-SUM(O562:O564)+_xlfn.XLOOKUP("X",C562:C564,O562:O564,0),IF(L564&gt;0,IF(OR($C562="W",$C562="1/2W",$C562="1/2L"),P562-SUM(O562:O564)+_xlfn.XLOOKUP("X",C562:C564,O562:O564,0),IF(OR($C562="W",$C562="1/2W",$C562="1/2L"),P563-SUM(O562:O564)+_xlfn.XLOOKUP("X",C562:C564,O562:O564,0),IF(OR($C562="W",$C562="1/2W",$C562="1/2L"),P564-SUM(O562:O564)+_xlfn.XLOOKUP("X",C562:C564,O562:O564,0),IF(SUM(P562:P564)/3-SUM(O562:O564)+_xlfn.XLOOKUP("X",C562:C564,O562:O564,0)&gt;0,SUM(P562:P564)/3-SUM(O562:O564)+_xlfn.XLOOKUP("X",C562:C564,O562:O564,0),LARGE(P562:P564,1)-SUM(O562:O564))))),IF(OR($C562="W",$C562="1/2W",$C562="1/2L"),P562-SUM(O562:O563)+_xlfn.XLOOKUP("X",C562:C564,O562:O564,0),IF(OR($C562="W",$C562="1/2W",$C562="1/2L"),P563-SUM(O562:O563)+_xlfn.XLOOKUP("X",C562:C564,O562:O564,0),SUM(P562:P563)/2-SUM(O562:O563)+_xlfn.XLOOKUP("X",C562:C564,O562:O564,0)))))))),2))</f>
        <v>7.5</v>
      </c>
      <c r="T562" s="265">
        <f>IF(S562=0,0,S562/SUM(O562:O564))</f>
        <v>0.0368333169629702</v>
      </c>
      <c r="U562" s="266">
        <f>IF($D562=$D559,IF(OR($B562="LOSS",$B562="OK",$B562="Anulada"),S562,0)+U559,IF(OR($B562="LOSS",$B562="OK",$B562="Anulada"),S562,0))</f>
        <v>45.71</v>
      </c>
      <c r="V562" s="266">
        <f>IF($D562="",0,IF($D562=$D559,IF($B562=" ",IF(I564="",IF(OR(AND(I562="DNB1",I563="DNB2"),AND(OR(I562="DNB1",I562="DNB2"),J563=0),AND(OR(I563="DNB1",I563="DNB2"),J562=0),AND(I562="DNB2",I563="DNB1"),AND(IF(J562=0,(J562+1)/ROUND(J562+1,0),J562/ROUND(J562,0))=1,IF(J563=0,(J563+1)/ROUND(IF(J563="",0,J563)+1,0),IF(J563="",0,J563)/ROUND(IF(J563="",1,J563),0))=1,OR(J562&lt;&gt;""),J563&lt;&gt;"")),0,IF(S562&lt;0,IF(I564="",SMALL(P562:P563,1)-SUM(O562:O563),0),SMALL(P562:P563,1)-SUM(O562:O563))),IF(S562&lt;0,IF(I564="",SMALL(P562:P564,1)-SUM(O562:O564),0),LARGE(P562:P564,1)-SUM(O562:O564))),S562)+V559,IF(I564="",IF(OR(AND(I562="DNB1",I563="DNB2"),AND(OR(I562="DNB1",I562="DNB2"),J563=0),AND(OR(I563="DNB1",I563="DNB2"),J562=0),AND(I562="DNB2",I563="DNB1"),AND(IF(J562=0,(J562+1)/ROUND(J562+1,0),J562/ROUND(J562,0))=1,IF(J563=0,(IF(J563="",0,J563)+1)/ROUND(IF(J563="",0,J563)+1,0),IF(J563="",0,J563)/ROUND(IF(J563="",0,J563)+1,0))=1,OR(J562&lt;&gt;""),J563&lt;&gt;"")),0,IF(S562&lt;0,IF(I564="",SMALL(P562:P563,1)-SUM(O562:O563),0),SMALL(P562:P564,1)-SUM(O562:O564))),IF(S562&lt;0,IF(I564="",SMALL(P562:P564,1)-SUM(O562:O564),0),LARGE(P562:P564,1)-SUM(O562:O564)))))</f>
        <v>45.71</v>
      </c>
      <c r="W562" s="266">
        <f>IF($D562=$D559,IF(S562&lt;0,IF(I564="",S562,0),S562)+W559,S562)</f>
        <v>45.71</v>
      </c>
      <c r="X562" t="s" s="267">
        <f>IF(OR(SUM(R562:R564)=0,V562=W562),ROUND(IF(W562=0,0,W562/Y562)*100,2)&amp;"%",ROUND(IF(V562=0,0,V562/Y562)*100,2)&amp;"% a "&amp;ROUND(IF(W562=0,0,W562/Y562)*100,2)&amp;"%")</f>
        <v>423</v>
      </c>
      <c r="Y562" s="268">
        <f>IF($D562=$D559,Y559+SUM(O562:O564),SUM(O562:O564))</f>
        <v>884.29</v>
      </c>
      <c r="Z562" s="266">
        <f>IF($B562=" ",SUM(O562:O564),0)+Z559</f>
        <v>0</v>
      </c>
      <c r="AA562" s="266">
        <f>IF(G562="","",IF($B562="Anulado",LARGE(P562:P564,1)-SUM(O562:O564)+AA559,AA559))</f>
        <v>24.9665076923077</v>
      </c>
      <c r="AB562" s="266">
        <f>IF($D562="","",AB559+S562)</f>
        <v>384.95</v>
      </c>
      <c r="AC562" s="269">
        <f>IF($D562="","",IF($B562=" ",IF(DAY(G562)=DAY(TODAY()),1+AC559,0+AC559),0+AC559))</f>
        <v>0</v>
      </c>
      <c r="AD562" s="270">
        <f>(1-_xlfn.XLOOKUP(K560,'Janeiro 2023 - Valor Real'!A3:A15,'Janeiro 2023 - Valor Real'!C3:C15,0))+1</f>
        <v>2</v>
      </c>
      <c r="AE562" s="271">
        <f>IF(L562="","",IF(L564&gt;0,(SUM(((L562-1)*(1-_xlfn.XLOOKUP(K562,'Janeiro 2023 - Valor Real'!A3:A15,'Janeiro 2023 - Valor Real'!C3:C15,0))+1),((L563-1)*(1-_xlfn.XLOOKUP(K563,'Janeiro 2023 - Valor Real'!A3:A15,'Janeiro 2023 - Valor Real'!C3:C15,0))+1),((L564-1)*(1-_xlfn.XLOOKUP(K564,'Janeiro 2023 - Valor Real'!A3:A15,'Janeiro 2023 - Valor Real'!C3:C15,0))+1))/((L562-1)*(1-_xlfn.XLOOKUP(K562,'Janeiro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Real'!C3:C15,0))+1))/((L562-1)*(1-_xlfn.XLOOKUP(K562,'Janeiro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Real'!C3:C15,0))+1))/((L563-1)*(1-_xlfn.XLOOKUP(K563,'Janeiro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Real'!C3:C15,0))+1))/((L564-1)*(1-_xlfn.XLOOKUP(K564,'Janeiro 2023 - Valor Real'!A3:A15,'Janeiro 2023 - Valor Real'!C3:C15,0))+1)),IF(I562="Lay",IF(I563="Lay",((L563/(L563-1)-1)*(1-_xlfn.XLOOKUP(K563,'Janeiro 2023 - Valor Real'!A3:A15,'Janeiro 2023 - Valor Real'!C3:C15,0))+1)/(((L563/(L563-1)-1)*(1-_xlfn.XLOOKUP(K563,'Janeiro 2023 - Valor Real'!A3:A15,'Janeiro 2023 - Valor Real'!C3:C15,0))+1)+((L562/(L562-1)-1)*(1-_xlfn.XLOOKUP(K562,'Janeiro 2023 - Valor Real'!A3:A15,'Janeiro 2023 - Valor Real'!C3:C15,0))+1)),((L563-1)*(1-_xlfn.XLOOKUP(K563,'Janeiro 2023 - Valor Real'!A3:A15,'Janeiro 2023 - Valor Real'!C3:C15,0))+1)/(((L563-1)*(1-_xlfn.XLOOKUP(K563,'Janeiro 2023 - Valor Real'!A3:A15,'Janeiro 2023 - Valor Real'!C3:C15,0))+1)+((L562/(L562-1)-1)*(1-_xlfn.XLOOKUP(K562,'Janeiro 2023 - Valor Real'!A3:A15,'Janeiro 2023 - Valor Real'!C3:C15,0))+1))),IF(I563="Lay",(((L563/(L563-1)-1)*(1-_xlfn.XLOOKUP(K563,'Janeiro 2023 - Valor Real'!A3:A15,'Janeiro 2023 - Valor Real'!C3:C15,0))+1))/(((L562-1)*(1-_xlfn.XLOOKUP(K562,'Janeiro 2023 - Valor Real'!A3:A15,'Janeiro 2023 - Valor Real'!C3:C15,0))+1)+((L563/(L563-1)-1)*(1-_xlfn.XLOOKUP(K563,'Janeiro 2023 - Valor Real'!A3:A15,'Janeiro 2023 - Valor Real'!C3:C15,0))+1)),((L563-1)*(1-_xlfn.XLOOKUP(K563,'Janeiro 2023 - Valor Real'!A3:A15,'Janeiro 2023 - Valor Real'!C3:C15,0))+1)/(((L563-1)*(1-_xlfn.XLOOKUP(K563,'Janeiro 2023 - Valor Real'!A3:A15,'Janeiro 2023 - Valor Real'!C3:C15,0))+1)+((L562-1)*(1-_xlfn.XLOOKUP(K562,'Janeiro 2023 - Valor Real'!A3:A15,'Janeiro 2023 - Valor Real'!C3:C15,0))+1))))))</f>
        <v>0.704225352112676</v>
      </c>
      <c r="AF562" s="132">
        <f>IF($K562=AF$3,ROUND(IF(OR($C562="W",$C562="1/2W",$C562="1/2L"),$P562-$O562,IF($C562="X",0,-$O562)),2),0)</f>
        <v>0</v>
      </c>
      <c r="AG562" s="133">
        <f>IF($K562=AG$3,ROUND(IF(OR($C562="W",$C562="1/2W",$C562="1/2L"),$P562-$O562,IF($C562="X",0,-$O562)),2),0)</f>
        <v>0</v>
      </c>
      <c r="AH562" s="133">
        <f>IF($K562=AH$3,ROUND(IF(OR($C562="W",$C562="1/2W",$C562="1/2L"),$P562-$O562,IF($C562="X",0,-$O562)),2),0)</f>
        <v>0</v>
      </c>
      <c r="AI562" s="133">
        <f>IF($K562=AI$3,ROUND(IF(OR($C562="W",$C562="1/2W",$C562="1/2L"),$P562-$O562,IF($C562="X",0,-$O562)),2),0)</f>
        <v>0</v>
      </c>
      <c r="AJ562" s="133">
        <f>IF($K562=AJ$3,ROUND(IF(OR($C562="W",$C562="1/2W",$C562="1/2L"),$P562-$O562,IF($C562="X",0,-$O562)),2),0)</f>
        <v>67.5</v>
      </c>
      <c r="AK562" s="133">
        <f>IF($K562=AK$3,ROUND(IF(OR($C562="W",$C562="1/2W",$C562="1/2L"),$P562-$O562,IF($C562="X",0,-$O562)),2),0)</f>
        <v>0</v>
      </c>
      <c r="AL562" s="133">
        <f>IF($K562=AL$3,ROUND(IF(OR($C562="W",$C562="1/2W",$C562="1/2L"),$P562-$O562,IF($C562="X",0,-$O562)),2),0)</f>
        <v>0</v>
      </c>
      <c r="AM562" s="133">
        <f>IF($K562=AM$3,ROUND(IF(OR($C562="W",$C562="1/2W",$C562="1/2L"),$P562-$O562,IF($C562="X",0,-$O562)),2),0)</f>
        <v>0</v>
      </c>
      <c r="AN562" s="133">
        <f>IF($K562=AN$3,ROUND(IF(OR($C562="W",$C562="1/2W",$C562="1/2L"),$P562-$O562,IF($C562="X",0,-$O562)),2),0)</f>
        <v>0</v>
      </c>
      <c r="AO562" s="133">
        <f>IF($K562=AO$3,ROUND(IF(OR($C562="W",$C562="1/2W",$C562="1/2L"),$P562-$O562,IF($C562="X",0,-$O562)),2),0)</f>
        <v>0</v>
      </c>
      <c r="AP562" s="133">
        <f>IF($K562=AP$3,ROUND(IF(OR($C562="W",$C562="1/2W",$C562="1/2L"),$P562-$O562,IF($C562="X",0,-$O562)),2),0)</f>
        <v>0</v>
      </c>
      <c r="AQ562" s="133">
        <f>IF($K562=AQ$3,ROUND(IF(OR($C562="W",$C562="1/2W",$C562="1/2L"),$P562-$O562,IF($C562="X",0,-$O562)),2),0)</f>
        <v>0</v>
      </c>
      <c r="AR562" s="134">
        <f>IF($K562=AR$3,ROUND(IF(OR($C562="W",$C562="1/2W",$C562="1/2L"),$P562-$O562,IF($C562="X",0,-$O562)),2),0)</f>
        <v>0</v>
      </c>
      <c r="AS562" s="132">
        <f>IF(AND($B562=" ",$K562=AS$3),$O562,0)</f>
        <v>0</v>
      </c>
      <c r="AT562" s="133">
        <f>IF(AND($B562=" ",$K562=AT$3),$O562,0)</f>
        <v>0</v>
      </c>
      <c r="AU562" s="133">
        <f>IF(AND($B562=" ",$K562=AU$3),$O562,0)</f>
        <v>0</v>
      </c>
      <c r="AV562" s="133">
        <f>IF(AND($B562=" ",$K562=AV$3),$O562,0)</f>
        <v>0</v>
      </c>
      <c r="AW562" s="133">
        <f>IF(AND($B562=" ",$K562=AW$3),$O562,0)</f>
        <v>0</v>
      </c>
      <c r="AX562" s="133">
        <f>IF(AND($B562=" ",$K562=AX$3),$O562,0)</f>
        <v>0</v>
      </c>
      <c r="AY562" s="135">
        <f>IF(AND($B562=" ",$K562=AY$3),$O562,0)</f>
        <v>0</v>
      </c>
      <c r="AZ562" s="136">
        <f>IF(AND($B562=" ",$K562=AZ$3),$O562,0)</f>
        <v>0</v>
      </c>
      <c r="BA562" s="136">
        <f>IF(AND($B562=" ",$K562=BA$3),$O562,0)</f>
        <v>0</v>
      </c>
      <c r="BB562" s="136">
        <f>IF(AND($B562=" ",$K562=BB$3),$O562,0)</f>
        <v>0</v>
      </c>
      <c r="BC562" s="137">
        <f>IF(AND($B562=" ",$K562=BC$3),$O562,0)</f>
        <v>0</v>
      </c>
      <c r="BD562" s="133">
        <f>IF(AND($B562=" ",$K562=BD$3),$O562,0)</f>
        <v>0</v>
      </c>
      <c r="BE562" s="134">
        <f>IF(AND($B562=" ",$K562=BE$3),$O562,0)</f>
        <v>0</v>
      </c>
      <c r="BF562" s="132">
        <f>IF($K562=BF$3,IF($C562="X",0,$O562),0)</f>
        <v>0</v>
      </c>
      <c r="BG562" s="133">
        <f>IF($K562=BG$3,IF($C562="X",0,$O562),0)</f>
        <v>0</v>
      </c>
      <c r="BH562" s="133">
        <f>IF($K562=BH$3,IF($C562="X",0,$O562),0)</f>
        <v>0</v>
      </c>
      <c r="BI562" s="133">
        <f>IF($K562=BI$3,IF($C562="X",0,$O562),0)</f>
        <v>0</v>
      </c>
      <c r="BJ562" s="133">
        <f>IF($K562=BJ$3,IF($C562="X",0,$O562),0)</f>
        <v>143.62</v>
      </c>
      <c r="BK562" s="133">
        <f>IF($K562=BK$3,IF($C562="X",0,$O562),0)</f>
        <v>0</v>
      </c>
      <c r="BL562" s="133">
        <f>IF($K562=BL$3,IF($C562="X",0,$O562),0)</f>
        <v>0</v>
      </c>
      <c r="BM562" s="135">
        <f>IF($K562=BM$3,IF($C562="X",0,$O562),0)</f>
        <v>0</v>
      </c>
      <c r="BN562" s="136">
        <f>IF($K562=BN$3,IF($C562="X",0,$O562),0)</f>
        <v>0</v>
      </c>
      <c r="BO562" s="136">
        <f>IF($K562=BO$3,IF($C562="X",0,$O562),0)</f>
        <v>0</v>
      </c>
      <c r="BP562" s="136">
        <f>IF($K562=BP$3,IF($C562="X",0,$O562),0)</f>
        <v>0</v>
      </c>
      <c r="BQ562" s="137">
        <f>IF($K562=BQ$3,IF($C562="X",0,$O562),0)</f>
        <v>0</v>
      </c>
      <c r="BR562" s="134">
        <f>IF($K562=BR$3,IF($C562="X",0,$O562),0)</f>
        <v>0</v>
      </c>
      <c r="BS562" s="170">
        <f>IF($B562="LOSS",IF(AND($K562=BS$3,$C562="L"),-$O562,0)+IF(AND($K563=BS$3,$C563="L"),-$O563,0)+IF(AND($K564=BS$3,$C564="L"),-$O564,0),IF(OR(AND($K562=BS$3,OR($C562="W",$C562="1/2W")),AND($K563=BS$3,OR($C563="W",$C563="1/2W")),AND($K564=BS$3,OR($C564="W",$C564="1/2W"))),$S562,0))</f>
        <v>0</v>
      </c>
      <c r="BT562" s="272">
        <f>IF($B562="LOSS",IF(AND($K562=BT$3,$C562="L"),-$O562,0)+IF(AND($K563=BT$3,$C563="L"),-$O563,0)+IF(AND($K563=BT$3,$C564="L"),-$O564,0),IF(OR(AND($K563=BT$3,OR($C562="W",$C562="1/2W")),AND($K563=BT$3,OR($C563="W",$C563="1/2W")),AND($K563=BT$3,OR($C564="W",$C564="1/2W"))),$S562,0))</f>
        <v>0</v>
      </c>
      <c r="BU562" s="136">
        <f>IF($B562="LOSS",IF(AND($K562=BU$3,$C562="L"),-$O562,0)+IF(AND($K563=BU$3,$C563="L"),-$O563,0)+IF(AND($K563=BU$3,$C564="L"),-$O564,0),IF(OR(AND($K563=BU$3,OR($C562="W",$C562="1/2W")),AND($K563=BU$3,OR($C563="W",$C563="1/2W")),AND($K563=BU$3,OR($C564="W",$C564="1/2W"))),$S562,0))</f>
        <v>0</v>
      </c>
      <c r="BV562" s="136">
        <f>IF($B562="LOSS",IF(AND($K562=BV$3,$C562="L"),-$O562,0)+IF(AND($K563=BV$3,$C563="L"),-$O563,0)+IF(AND($K564=BV$3,$C564="L"),-$O564,0),IF(OR(AND($K562=BV$3,OR($C562="W",$C562="1/2W")),AND($K563=BV$3,OR($C563="W",$C563="1/2W")),AND($K564=BV$3,OR($C564="W",$C564="1/2W"))),$S562,0))</f>
        <v>0</v>
      </c>
      <c r="BW562" s="136">
        <f>IF($B562="LOSS",IF(AND($K562=BW$3,$C562="L"),-$O562,0)+IF(AND($K563=BW$3,$C563="L"),-$O563,0)+IF(AND($K564=BW$3,$C564="L"),-$O564,0),IF(OR(AND($K562=BW$3,OR($C562="W",$C562="1/2W")),AND($K563=BW$3,OR($C563="W",$C563="1/2W")),AND($K564=BW$3,OR($C564="W",$C564="1/2W"))),$S562,0))</f>
        <v>7.5</v>
      </c>
      <c r="BX562" s="136">
        <f>IF($B562="LOSS",IF(AND($K562=BX$3,$C562="L"),-$O562,0)+IF(AND($K563=BX$3,$C563="L"),-$O563,0)+IF(AND($K564=BX$3,$C564="L"),-$O564,0),IF(OR(AND($K562=BX$3,OR($C562="W",$C562="1/2W")),AND($K563=BX$3,OR($C563="W",$C563="1/2W")),AND($K564=BX$3,OR($C564="W",$C564="1/2W"))),$S562,0))</f>
        <v>0</v>
      </c>
      <c r="BY562" s="136">
        <f>IF($B562="LOSS",IF(AND($K562=BY$3,$C562="L"),-$O562,0)+IF(AND($K563=BY$3,$C563="L"),-$O563,0)+IF(AND($K564=BY$3,$C564="L"),-$O564,0),IF(OR(AND($K562=BY$3,OR($C562="W",$C562="1/2W")),AND($K563=BY$3,OR($C563="W",$C563="1/2W")),AND($K564=BY$3,OR($C564="W",$C564="1/2W"))),$S562,0))</f>
        <v>0</v>
      </c>
      <c r="BZ562" s="136">
        <f>IF($B562="LOSS",IF(AND($K562=BZ$3,$C562="L"),-$O562,0)+IF(AND($K563=BZ$3,$C563="L"),-$O563,0)+IF(AND($K564=BZ$3,$C564="L"),-$O564,0),IF(OR(AND($K562=BZ$3,OR($C562="W",$C562="1/2W")),AND($K563=BZ$3,OR($C563="W",$C563="1/2W")),AND($K564=BZ$3,OR($C564="W",$C564="1/2W"))),$S562,0))</f>
        <v>0</v>
      </c>
      <c r="CA562" s="136">
        <f>IF($B562="LOSS",IF(AND($K562=CA$3,$C562="L"),-$O562,0)+IF(AND($K563=CA$3,$C563="L"),-$O563,0)+IF(AND($K564=CA$3,$C564="L"),-$O564,0),IF(OR(AND($K562=CA$3,OR($C562="W",$C562="1/2W")),AND($K563=CA$3,OR($C563="W",$C563="1/2W")),AND($K564=CA$3,OR($C564="W",$C564="1/2W"))),$S562,0))</f>
        <v>0</v>
      </c>
      <c r="CB562" s="136">
        <f>IF($B562="LOSS",IF(AND($K562=CB$3,$C562="L"),-$O562,0)+IF(AND($K563=CB$3,$C563="L"),-$O563,0)+IF(AND($K564=CB$3,$C564="L"),-$O564,0),IF(OR(AND($K562=CB$3,OR($C562="W",$C562="1/2W")),AND($K563=CB$3,OR($C563="W",$C563="1/2W")),AND($K564=CB$3,OR($C564="W",$C564="1/2W"))),$S562,0))</f>
        <v>0</v>
      </c>
      <c r="CC562" s="136">
        <f>IF($B562="LOSS",IF(AND($K562=CC$3,$C562="L"),-$O562,0)+IF(AND($K563=CC$3,$C563="L"),-$O563,0)+IF(AND($K564=CC$3,$C564="L"),-$O564,0),IF(OR(AND($K562=CC$3,OR($C562="W",$C562="1/2W")),AND($K563=CC$3,OR($C563="W",$C563="1/2W")),AND($K564=CC$3,OR($C564="W",$C564="1/2W"))),$S562,0))</f>
        <v>0</v>
      </c>
      <c r="CD562" s="137">
        <f>IF($B562="LOSS",IF(AND($K562=CD$3,$C562="L"),-$O562,0)+IF(AND($K563=CD$3,$C563="L"),-$O563,0)+IF(AND($K564=CD$3,$C564="L"),-$O564,0),IF(OR(AND($K562=CD$3,OR($C562="W",$C562="1/2W")),AND($K563=CD$3,OR($C563="W",$C563="1/2W")),AND($K564=CD$3,OR($C564="W",$C564="1/2W"))),$S562,0))</f>
        <v>0</v>
      </c>
      <c r="CE562" s="134">
        <f>IF($B562="LOSS",IF(AND($K562=CE$3,$C562="L"),-$O562,0)+IF(AND($K563=CE$3,$C563="L"),-$O563,0)+IF(AND($K564=CE$3,$C564="L"),-$O564,0),IF(OR(AND($K562=CE$3,OR($C562="W",$C562="1/2W")),AND($K563=CE$3,OR($C563="W",$C563="1/2W")),AND($K564=CE$3,OR($C564="W",$C564="1/2W"))),$S562,0))</f>
        <v>0</v>
      </c>
      <c r="CF562" s="273">
        <f>IF(CF$3=$K562,IF($C562="W",1,IF($C562="1/2W",0.5,0)),0)</f>
        <v>0</v>
      </c>
      <c r="CG562" s="274">
        <f>IF(CF$3=$K562,IF($C562="L",1,IF($C562="1/2L",0.5,0)),0)</f>
        <v>0</v>
      </c>
      <c r="CH562" s="274">
        <f>IF(CH$3=$K562,IF($C562="W",1,IF($C562="1/2W",0.5,0)),0)</f>
        <v>0</v>
      </c>
      <c r="CI562" s="274">
        <f>IF(CH$3=$K562,IF($C562="L",1,IF($C562="1/2L",0.5,0)),0)</f>
        <v>0</v>
      </c>
      <c r="CJ562" s="274">
        <f>IF(CJ$3=$K562,IF($C562="W",1,IF($C562="1/2W",0.5,0)),0)</f>
        <v>0</v>
      </c>
      <c r="CK562" s="274">
        <f>IF(CJ$3=$K562,IF($C562="L",1,IF($C562="1/2L",0.5,0)),0)</f>
        <v>0</v>
      </c>
      <c r="CL562" s="274">
        <f>IF(CL$3=$K562,IF($C562="W",1,IF($C562="1/2W",0.5,0)),0)</f>
        <v>0</v>
      </c>
      <c r="CM562" s="274">
        <f>IF(CL$3=$K562,IF($C562="L",1,IF($C562="1/2L",0.5,0)),0)</f>
        <v>0</v>
      </c>
      <c r="CN562" s="274">
        <f>IF(CN$3=$K562,IF($C562="W",1,IF($C562="1/2W",0.5,0)),0)</f>
        <v>1</v>
      </c>
      <c r="CO562" s="274">
        <f>IF(CN$3=$K562,IF($C562="L",1,IF($C562="1/2L",0.5,0)),0)</f>
        <v>0</v>
      </c>
      <c r="CP562" s="274">
        <f>IF(CP$3=$K562,IF($C562="W",1,IF($C562="1/2W",0.5,0)),0)</f>
        <v>0</v>
      </c>
      <c r="CQ562" s="274">
        <f>IF(CP$3=$K562,IF($C562="L",1,IF($C562="1/2L",0.5,0)),0)</f>
        <v>0</v>
      </c>
      <c r="CR562" s="274">
        <f>IF(CR$3=$K562,IF($C562="W",1,IF($C562="1/2W",0.5,0)),0)</f>
        <v>0</v>
      </c>
      <c r="CS562" s="274">
        <f>IF(CR$3=$K562,IF($C562="L",1,IF($C562="1/2L",0.5,0)),0)</f>
        <v>0</v>
      </c>
      <c r="CT562" s="145">
        <f>IF(CT$3=$K562,IF($C562="W",1,IF($C562="1/2W",0.5,0)),0)</f>
        <v>0</v>
      </c>
      <c r="CU562" s="146">
        <f>IF(CT$3=$K562,IF($C562="L",1,IF($C562="1/2L",0.5,0)),0)</f>
        <v>0</v>
      </c>
      <c r="CV562" s="146">
        <f>IF(CV$3=$K562,IF($C562="W",1,IF($C562="1/2W",0.5,0)),0)</f>
        <v>0</v>
      </c>
      <c r="CW562" s="146">
        <f>IF(CV$3=$K562,IF($C562="L",1,IF($C562="1/2L",0.5,0)),0)</f>
        <v>0</v>
      </c>
      <c r="CX562" s="146">
        <f>IF(CX$3=$K562,IF($C562="W",1,IF($C562="1/2W",0.5,0)),0)</f>
        <v>0</v>
      </c>
      <c r="CY562" s="146">
        <f>IF(CX$3=$K562,IF($C562="L",1,IF($C562="1/2L",0.5,0)),0)</f>
        <v>0</v>
      </c>
      <c r="CZ562" s="146">
        <f>IF(CZ$3=$K562,IF($C562="W",1,IF($C562="1/2W",0.5,0)),0)</f>
        <v>0</v>
      </c>
      <c r="DA562" s="146">
        <f>IF(CZ$3=$K562,IF($C562="L",1,IF($C562="1/2L",0.5,0)),0)</f>
        <v>0</v>
      </c>
      <c r="DB562" s="146">
        <f>IF(DB$3=$K562,IF($C562="W",1,IF($C562="1/2W",0.5,0)),0)</f>
        <v>0</v>
      </c>
      <c r="DC562" s="146">
        <f>IF(DB$3=$K562,IF($C562="L",1,IF($C562="1/2L",0.5,0)),0)</f>
        <v>0</v>
      </c>
      <c r="DD562" s="146">
        <f>IF(DD$3=$K562,IF($C562="W",1,IF($C562="1/2W",0.5,0)),0)</f>
        <v>0</v>
      </c>
      <c r="DE562" s="147">
        <f>IF(DD$3=$K562,IF($C562="L",1,IF($C562="1/2L",0.5,0)),0)</f>
        <v>0</v>
      </c>
      <c r="DF562" s="143">
        <f>IF(AND(L562&lt;DF$3,$C562="W"),1+DF561,DF561)</f>
        <v>17</v>
      </c>
      <c r="DG562" s="133">
        <f>IF(DF562&gt;DF561,L562+DG561,DG561)</f>
        <v>22.628</v>
      </c>
      <c r="DH562" s="146">
        <f>IF(AND(L562&gt;DH$3,$C562="W"),1+DH561,0+DH561)</f>
        <v>15</v>
      </c>
      <c r="DI562" s="133">
        <f>IF(DH562&gt;DH561,L562+DI561,DI561)</f>
        <v>81.26000000000001</v>
      </c>
      <c r="DJ562" t="s" s="304">
        <f>IF($D562="","",$D562)</f>
        <v>396</v>
      </c>
      <c r="DK562" s="146">
        <f>IF(AND($B562=" ",$D562&lt;&gt;""),1,0)</f>
        <v>0</v>
      </c>
    </row>
    <row r="563" ht="14.55" customHeight="1">
      <c r="A563" s="107"/>
      <c r="B563" s="108"/>
      <c r="C563" t="s" s="109">
        <v>51</v>
      </c>
      <c r="D563" s="110"/>
      <c r="E563" s="111"/>
      <c r="F563" s="113"/>
      <c r="G563" s="252"/>
      <c r="H563" s="114"/>
      <c r="I563" s="294">
        <v>1</v>
      </c>
      <c r="J563" t="s" s="295">
        <f>IF(OR(I562="TO",I562="TU",I562="TO1",I562="TU1",I562="TO2",I562="TU2"),J562,IF(OR(I562="AH1",I562="AH2"),IF(OR(I563="AH1",I563="AH2"),-J562,IF(OR(I563="EH1",I563="EH2"),-J562+0.5,"")),IF(OR(I562="EH1",I562="EH2"),IF(OR(I563="AH1",I563="AH2"),-J562+0.5,IF(OR(I563="EH1",I563="EH2"),-J562+1,"")),IF(AND(OR(I562="DNB1",I562="DNB2"),OR(I563="AH1",I563="AH2")),0,IF(AND(I562="Not ScoreBoth",OR(I563="TO1",I563="TO2")),0.5,"")))))</f>
      </c>
      <c r="K563" t="s" s="117">
        <v>37</v>
      </c>
      <c r="L563" s="277">
        <v>3.5</v>
      </c>
      <c r="M563" s="278"/>
      <c r="N563" s="120"/>
      <c r="O563" s="121">
        <f>IF(OR(AE562="",AE563=""),"",ROUND(IF(L564&gt;0,IF(M563&gt;0,M563,IF(M562&gt;0,IF(N562=TRUE,ROUND((M562*AE563)/AE562,0),(M562*AE563)/AE562),IF(M563&gt;0,ROUND(M563,IF(N562=0,2,IF(N562=0.1,1,0))),IF(M564&gt;0,ROUND(O564*AE563/AE564,IF(N562=0,2,IF(N562=0.1,1,0))),0)))),IF(M563&gt;0,M563,ROUND((M562*AE563)/AE562,IF(N562=0,2,IF(N562=0.1,1,0))))),2))</f>
        <v>60</v>
      </c>
      <c r="P563" s="122">
        <f>IF(OR(L563="",O563=""),"",IF($C563="1/2W",O563/2+O563/2*L563,IF($C563="1/2L",O563/2,IF(I563="Lay",((O563*(L563/(L563-1)))-O563)*(1-_xlfn.XLOOKUP(K563,'Janeiro 2023 - Valor Real'!A3:A15,'Janeiro 2023 - Valor Real'!C3:C15,0))+O563,(O563*L563-O563)*(1-_xlfn.XLOOKUP(K563,'Janeiro 2023 - Valor Real'!A3:A15,'Janeiro 2023 - Valor Real'!C3:C15,0))+O563))))</f>
        <v>210</v>
      </c>
      <c r="Q563" s="279">
        <f>IF(K563="","",IF(_xlfn.XLOOKUP(K563,K$120:K342,DJ$120:DJ342,0,,-1)=DJ563,_xlfn.XLOOKUP(K563,K$120:K342,Q$120:Q342,1,,-1)+1,1))</f>
        <v>1</v>
      </c>
      <c r="R563" s="280">
        <f>IF(K563="","",_xlfn.XLOOKUP(K563,K$120:K342,R$120:R342,0,,-1)+IF($C563=" ",1,0))</f>
        <v>0</v>
      </c>
      <c r="S563" s="125"/>
      <c r="T563" s="126"/>
      <c r="U563" s="126"/>
      <c r="V563" s="224"/>
      <c r="W563" s="126"/>
      <c r="X563" s="127"/>
      <c r="Y563" s="128"/>
      <c r="Z563" s="129"/>
      <c r="AA563" s="129"/>
      <c r="AB563" s="129"/>
      <c r="AC563" s="129"/>
      <c r="AD563" s="130"/>
      <c r="AE563" s="131">
        <f>IF(L563="","",IF(L564&gt;0,(SUM(((L562-1)*(1-_xlfn.XLOOKUP(K562,'Janeiro 2023 - Valor Real'!A3:A15,'Janeiro 2023 - Valor Real'!C3:C15,0))+1),((L563-1)*(1-_xlfn.XLOOKUP(K563,'Janeiro 2023 - Valor Real'!A3:A15,'Janeiro 2023 - Valor Real'!C3:C15,0))+1),((L564-1)*(1-_xlfn.XLOOKUP(K564,'Janeiro 2023 - Valor Real'!A3:A15,'Janeiro 2023 - Valor Real'!C3:C15,0))+1))/((L563-1)*(1-_xlfn.XLOOKUP(K563,'Janeiro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Real'!C3:C15,0))+1))/((L562-1)*(1-_xlfn.XLOOKUP(K562,'Janeiro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Real'!C3:C15,0))+1))/((L563-1)*(1-_xlfn.XLOOKUP(K563,'Janeiro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Real'!C3:C15,0))+1))/((L564-1)*(1-_xlfn.XLOOKUP(K564,'Janeiro 2023 - Valor Real'!A3:A15,'Janeiro 2023 - Valor Real'!C3:C15,0))+1)),IF(I563="Lay",IF(I562="Lay",((L562/(L562-1)-1)*(1-_xlfn.XLOOKUP(K562,'Janeiro 2023 - Valor Real'!A3:A15,'Janeiro 2023 - Valor Real'!C3:C15,0))+1)/(((L562/(L562-1)-1)*(1-_xlfn.XLOOKUP(K562,'Janeiro 2023 - Valor Real'!A3:A15,'Janeiro 2023 - Valor Real'!C3:C15,0))+1)+((L563/(L563-1)-1)*(1-_xlfn.XLOOKUP(K563,'Janeiro 2023 - Valor Real'!A3:A15,'Janeiro 2023 - Valor Real'!C3:C15,0))+1)),((L562-1)*(1-_xlfn.XLOOKUP(K562,'Janeiro 2023 - Valor Real'!A3:A15,'Janeiro 2023 - Valor Real'!C3:C15,0))+1)/(((L562-1)*(1-_xlfn.XLOOKUP(K562,'Janeiro 2023 - Valor Real'!A3:A15,'Janeiro 2023 - Valor Real'!C3:C15,0))+1)+((L563/(L563-1)-1)*(1-_xlfn.XLOOKUP(K563,'Janeiro 2023 - Valor Real'!A3:A15,'Janeiro 2023 - Valor Real'!C3:C15,0))+1))),IF(I562="Lay",((L562/(L562-1)-1)*(1-_xlfn.XLOOKUP(K562,'Janeiro 2023 - Valor Real'!A3:A15,'Janeiro 2023 - Valor Real'!C3:C15,0))+1)/((((L562/(L562-1)-1)*(1-_xlfn.XLOOKUP(K562,'Janeiro 2023 - Valor Real'!A3:A15,'Janeiro 2023 - Valor Real'!C3:C15,0))+1))+((L563-1)*(1-_xlfn.XLOOKUP(K563,'Janeiro 2023 - Valor Real'!A3:A15,'Janeiro 2023 - Valor Real'!C3:C15,0))+1)),((L562-1)*(1-_xlfn.XLOOKUP(K562,'Janeiro 2023 - Valor Real'!A3:A15,'Janeiro 2023 - Valor Real'!C3:C15,0))+1)/(((L562-1)*(1-_xlfn.XLOOKUP(K562,'Janeiro 2023 - Valor Real'!A3:A15,'Janeiro 2023 - Valor Real'!C3:C15,0))+1)+((L563-1)*(1-_xlfn.XLOOKUP(K563,'Janeiro 2023 - Valor Real'!A3:A15,'Janeiro 2023 - Valor Real'!C3:C15,0))+1))))))</f>
        <v>0.295774647887324</v>
      </c>
      <c r="AF563" s="132">
        <f>IF($K563=AF$3,ROUND(IF(OR($C563="W",$C563="1/2W",$C563="1/2L"),$P563-$O563,IF($C563="X",0,-$O563)),2),0)</f>
        <v>-60</v>
      </c>
      <c r="AG563" s="133">
        <f>IF($K563=AG$3,ROUND(IF(OR($C563="W",$C563="1/2W",$C563="1/2L"),$P563-$O563,IF($C563="X",0,-$O563)),2),0)</f>
        <v>0</v>
      </c>
      <c r="AH563" s="133">
        <f>IF($K563=AH$3,ROUND(IF(OR($C563="W",$C563="1/2W",$C563="1/2L"),$P563-$O563,IF($C563="X",0,-$O563)),2),0)</f>
        <v>0</v>
      </c>
      <c r="AI563" s="133">
        <f>IF($K563=AI$3,ROUND(IF(OR($C563="W",$C563="1/2W",$C563="1/2L"),$P563-$O563,IF($C563="X",0,-$O563)),2),0)</f>
        <v>0</v>
      </c>
      <c r="AJ563" s="133">
        <f>IF($K563=AJ$3,ROUND(IF(OR($C563="W",$C563="1/2W",$C563="1/2L"),$P563-$O563,IF($C563="X",0,-$O563)),2),0)</f>
        <v>0</v>
      </c>
      <c r="AK563" s="133">
        <f>IF($K563=AK$3,ROUND(IF(OR($C563="W",$C563="1/2W",$C563="1/2L"),$P563-$O563,IF($C563="X",0,-$O563)),2),0)</f>
        <v>0</v>
      </c>
      <c r="AL563" s="133">
        <f>IF($K563=AL$3,ROUND(IF(OR($C563="W",$C563="1/2W",$C563="1/2L"),$P563-$O563,IF($C563="X",0,-$O563)),2),0)</f>
        <v>0</v>
      </c>
      <c r="AM563" s="133">
        <f>IF($K563=AM$3,ROUND(IF(OR($C563="W",$C563="1/2W",$C563="1/2L"),$P563-$O563,IF($C563="X",0,-$O563)),2),0)</f>
        <v>0</v>
      </c>
      <c r="AN563" s="133">
        <f>IF($K563=AN$3,ROUND(IF(OR($C563="W",$C563="1/2W",$C563="1/2L"),$P563-$O563,IF($C563="X",0,-$O563)),2),0)</f>
        <v>0</v>
      </c>
      <c r="AO563" s="133">
        <f>IF($K563=AO$3,ROUND(IF(OR($C563="W",$C563="1/2W",$C563="1/2L"),$P563-$O563,IF($C563="X",0,-$O563)),2),0)</f>
        <v>0</v>
      </c>
      <c r="AP563" s="133">
        <f>IF($K563=AP$3,ROUND(IF(OR($C563="W",$C563="1/2W",$C563="1/2L"),$P563-$O563,IF($C563="X",0,-$O563)),2),0)</f>
        <v>0</v>
      </c>
      <c r="AQ563" s="133">
        <f>IF($K563=AQ$3,ROUND(IF(OR($C563="W",$C563="1/2W",$C563="1/2L"),$P563-$O563,IF($C563="X",0,-$O563)),2),0)</f>
        <v>0</v>
      </c>
      <c r="AR563" s="134">
        <f>IF($K563=AR$3,ROUND(IF(OR($C563="W",$C563="1/2W",$C563="1/2L"),$P563-$O563,IF($C563="X",0,-$O563)),2),0)</f>
        <v>0</v>
      </c>
      <c r="AS563" s="132">
        <f>IF(AND($B562=" ",$K563=AS$3),$O563,0)</f>
        <v>0</v>
      </c>
      <c r="AT563" s="133">
        <f>IF(AND($B562=" ",K563=AT$3),$O563,0)</f>
        <v>0</v>
      </c>
      <c r="AU563" s="133">
        <f>IF(AND($B562=" ",$K563=AU$3),$O563,0)</f>
        <v>0</v>
      </c>
      <c r="AV563" s="133">
        <f>IF(AND($B562=" ",$K563=AV$3),$O563,0)</f>
        <v>0</v>
      </c>
      <c r="AW563" s="133">
        <f>IF(AND($B562=" ",$K563=AW$3),$O563,0)</f>
        <v>0</v>
      </c>
      <c r="AX563" s="133">
        <f>IF(AND($B562=" ",$K563=AX$3),$O563,0)</f>
        <v>0</v>
      </c>
      <c r="AY563" s="135">
        <f>IF(AND($B562=" ",$K563=AY$3),$O563,0)</f>
        <v>0</v>
      </c>
      <c r="AZ563" s="136">
        <f>IF(AND($B562=" ",$K563=AZ$3),$O563,0)</f>
        <v>0</v>
      </c>
      <c r="BA563" s="136">
        <f>IF(AND($B562=" ",$K563=BA$3),$O563,0)</f>
        <v>0</v>
      </c>
      <c r="BB563" s="136">
        <f>IF(AND($B562=" ",$K563=BB$3),$O563,0)</f>
        <v>0</v>
      </c>
      <c r="BC563" s="137">
        <f>IF(AND($B562=" ",$K563=BC$3),$O563,0)</f>
        <v>0</v>
      </c>
      <c r="BD563" s="133">
        <f>IF(AND($B562=" ",$K563=BD$3),$O563,0)</f>
        <v>0</v>
      </c>
      <c r="BE563" s="134">
        <f>IF(AND($B562=" ",$K563=BE$3),$O563,0)</f>
        <v>0</v>
      </c>
      <c r="BF563" s="132">
        <f>IF($K563=BF$3,IF($C563="X",0,$O563),0)</f>
        <v>60</v>
      </c>
      <c r="BG563" s="281">
        <f>IF($K563=BG$3,IF($C563="X",0,$O563),0)</f>
        <v>0</v>
      </c>
      <c r="BH563" s="133">
        <f>IF($K563=BH$3,IF($C563="X",0,$O563),0)</f>
        <v>0</v>
      </c>
      <c r="BI563" s="133">
        <f>IF($K563=BI$3,IF($C563="X",0,$O563),0)</f>
        <v>0</v>
      </c>
      <c r="BJ563" s="133">
        <f>IF($K563=BJ$3,IF($C563="X",0,$O563),0)</f>
        <v>0</v>
      </c>
      <c r="BK563" s="133">
        <f>IF($K563=BK$3,IF($C563="X",0,$O563),0)</f>
        <v>0</v>
      </c>
      <c r="BL563" s="133">
        <f>IF($K563=BL$3,IF($C563="X",0,$O563),0)</f>
        <v>0</v>
      </c>
      <c r="BM563" s="135">
        <f>IF($K563=BM$3,IF($C563="X",0,$O563),0)</f>
        <v>0</v>
      </c>
      <c r="BN563" s="136">
        <f>IF($K563=BN$3,IF($C563="X",0,$O563),0)</f>
        <v>0</v>
      </c>
      <c r="BO563" s="136">
        <f>IF($K563=BO$3,IF($C563="X",0,$O563),0)</f>
        <v>0</v>
      </c>
      <c r="BP563" s="136">
        <f>IF($K563=BP$3,IF($C563="X",0,$O563),0)</f>
        <v>0</v>
      </c>
      <c r="BQ563" s="137">
        <f>IF($K563=BQ$3,IF($C563="X",0,$O563),0)</f>
        <v>0</v>
      </c>
      <c r="BR563" s="134">
        <f>IF($K563=BR$3,IF($C563="X",0,$O563),0)</f>
        <v>0</v>
      </c>
      <c r="BS563" s="282"/>
      <c r="BT563" s="283"/>
      <c r="BU563" s="140"/>
      <c r="BV563" s="283"/>
      <c r="BW563" s="140"/>
      <c r="BX563" s="140"/>
      <c r="BY563" s="140"/>
      <c r="BZ563" s="283"/>
      <c r="CA563" s="140"/>
      <c r="CB563" s="140"/>
      <c r="CC563" s="140"/>
      <c r="CD563" s="141"/>
      <c r="CE563" s="142"/>
      <c r="CF563" s="284">
        <f>IF(CF$3=$K563,IF($C563="W",1,IF($C563="1/2W",0.5,0)),0)</f>
        <v>0</v>
      </c>
      <c r="CG563" s="285">
        <f>IF(CF$3=$K563,IF($C563="L",1,IF($C563="1/2L",0.5,0)),0)</f>
        <v>1</v>
      </c>
      <c r="CH563" s="285">
        <f>IF(CH$3=$K563,IF($C563="W",1,IF($C563="1/2W",0.5,0)),0)</f>
        <v>0</v>
      </c>
      <c r="CI563" s="285">
        <f>IF(CH$3=$K563,IF($C563="L",1,IF($C563="1/2L",0.5,0)),0)</f>
        <v>0</v>
      </c>
      <c r="CJ563" s="285">
        <f>IF(CJ$3=$K563,IF($C563="W",1,IF($C563="1/2W",0.5,0)),0)</f>
        <v>0</v>
      </c>
      <c r="CK563" s="285">
        <f>IF(CJ$3=$K563,IF($C563="L",1,IF($C563="1/2L",0.5,0)),0)</f>
        <v>0</v>
      </c>
      <c r="CL563" s="285">
        <f>IF(CL$3=$K563,IF($C563="W",1,IF($C563="1/2W",0.5,0)),0)</f>
        <v>0</v>
      </c>
      <c r="CM563" s="285">
        <f>IF(CL$3=$K563,IF($C563="L",1,IF($C563="1/2L",0.5,0)),0)</f>
        <v>0</v>
      </c>
      <c r="CN563" s="285">
        <f>IF(CN$3=$K563,IF($C563="W",1,IF($C563="1/2W",0.5,0)),0)</f>
        <v>0</v>
      </c>
      <c r="CO563" s="285">
        <f>IF(CN$3=$K563,IF($C563="L",1,IF($C563="1/2L",0.5,0)),0)</f>
        <v>0</v>
      </c>
      <c r="CP563" s="285">
        <f>IF(CP$3=$K563,IF($C563="W",1,IF($C563="1/2W",0.5,0)),0)</f>
        <v>0</v>
      </c>
      <c r="CQ563" s="285">
        <f>IF(CP$3=$K563,IF($C563="L",1,IF($C563="1/2L",0.5,0)),0)</f>
        <v>0</v>
      </c>
      <c r="CR563" s="285">
        <f>IF(CR$3=$K563,IF($C563="W",1,IF($C563="1/2W",0.5,0)),0)</f>
        <v>0</v>
      </c>
      <c r="CS563" s="285">
        <f>IF(CR$3=$K563,IF($C563="L",1,IF($C563="1/2L",0.5,0)),0)</f>
        <v>0</v>
      </c>
      <c r="CT563" s="145">
        <f>IF(CT$3=$K563,IF($C563="W",1,IF($C563="1/2W",0.5,0)),0)</f>
        <v>0</v>
      </c>
      <c r="CU563" s="146">
        <f>IF(CT$3=$K563,IF($C563="L",1,IF($C563="1/2L",0.5,0)),0)</f>
        <v>0</v>
      </c>
      <c r="CV563" s="146">
        <f>IF(CV$3=$K563,IF($C563="W",1,IF($C563="1/2W",0.5,0)),0)</f>
        <v>0</v>
      </c>
      <c r="CW563" s="146">
        <f>IF(CV$3=$K563,IF($C563="L",1,IF($C563="1/2L",0.5,0)),0)</f>
        <v>0</v>
      </c>
      <c r="CX563" s="146">
        <f>IF(CX$3=$K563,IF($C563="W",1,IF($C563="1/2W",0.5,0)),0)</f>
        <v>0</v>
      </c>
      <c r="CY563" s="146">
        <f>IF(CX$3=$K563,IF($C563="L",1,IF($C563="1/2L",0.5,0)),0)</f>
        <v>0</v>
      </c>
      <c r="CZ563" s="146">
        <f>IF(CZ$3=$K563,IF($C563="W",1,IF($C563="1/2W",0.5,0)),0)</f>
        <v>0</v>
      </c>
      <c r="DA563" s="146">
        <f>IF(CZ$3=$K563,IF($C563="L",1,IF($C563="1/2L",0.5,0)),0)</f>
        <v>0</v>
      </c>
      <c r="DB563" s="146">
        <f>IF(DB$3=$K563,IF($C563="W",1,IF($C563="1/2W",0.5,0)),0)</f>
        <v>0</v>
      </c>
      <c r="DC563" s="146">
        <f>IF(DB$3=$K563,IF($C563="L",1,IF($C563="1/2L",0.5,0)),0)</f>
        <v>0</v>
      </c>
      <c r="DD563" s="146">
        <f>IF(DD$3=$K563,IF($C563="W",1,IF($C563="1/2W",0.5,0)),0)</f>
        <v>0</v>
      </c>
      <c r="DE563" s="147">
        <f>IF(DD$3=$K563,IF($C563="L",1,IF($C563="1/2L",0.5,0)),0)</f>
        <v>0</v>
      </c>
      <c r="DF563" s="143">
        <f>IF(AND(L563&lt;DF$3,$C563="W"),1+DF562,DF562)</f>
        <v>17</v>
      </c>
      <c r="DG563" s="133">
        <f>IF(DF563&gt;DF562,L563+DG562,DG562)</f>
        <v>22.628</v>
      </c>
      <c r="DH563" s="146">
        <f>IF(AND(L563&gt;DH$3,$C563="W"),1+DH562,0+DH562)</f>
        <v>15</v>
      </c>
      <c r="DI563" s="133">
        <f>IF(DH563&gt;DH562,L563+DI562,DI562)</f>
        <v>81.26000000000001</v>
      </c>
      <c r="DJ563" t="s" s="304">
        <f>IF($D562="","",$D562)</f>
        <v>396</v>
      </c>
      <c r="DK563" s="286"/>
    </row>
    <row r="564" ht="14.55" customHeight="1">
      <c r="A564" s="149"/>
      <c r="B564" s="150"/>
      <c r="C564" t="s" s="151">
        <v>58</v>
      </c>
      <c r="D564" s="152"/>
      <c r="E564" s="153"/>
      <c r="F564" s="155"/>
      <c r="G564" s="252"/>
      <c r="H564" s="156"/>
      <c r="I564" s="287"/>
      <c r="J564" s="288"/>
      <c r="K564" s="156"/>
      <c r="L564" s="289"/>
      <c r="M564" s="290"/>
      <c r="N564" s="161"/>
      <c r="O564" t="s" s="162">
        <f>IF(OR(AE562="",AE563=""),"",IF(L564&gt;0,ROUND(IF(M564&gt;0,M564,IF(M562&gt;0,ROUND((M562*AE564)/AE562,IF(N562=0,2,IF(N562=0.1,1,0))),IF(M563&gt;0,ROUND((M563*AE564)/AE563,IF(N562=0,2,IF(N562=0.1,1,0))),IF(M564&gt;0,M564,0)))),2),""))</f>
      </c>
      <c r="P564" t="s" s="163">
        <f>IF(I563="Lay",O563*(L563/(L563-1))-O563,IF(I562="Lay",O562*(L562/(L562-1))-O562,IF(OR(L564="",O564=""),"",IF($C564="1/2W",O564/2+O564/2*L564,IF($C564="1/2L",O564/2,(O564*L564-O564)*(1-_xlfn.XLOOKUP(K564,'Janeiro 2023 - Valor Real'!A3:A15,'Janeiro 2023 - Valor Real'!C3:C15,0))+O564)))))</f>
      </c>
      <c r="Q564" t="s" s="154">
        <f>IF(K564="","",IF(_xlfn.XLOOKUP(K564,K$121:K343,DJ$121:DJ343,0,,-1)=DJ564,_xlfn.XLOOKUP(K564,K$121:K343,Q$121:Q343,1,,-1)+1,1))</f>
      </c>
      <c r="R564" t="s" s="163">
        <f>IF(K564="","",_xlfn.XLOOKUP(K564,K$121:K343,R$121:R343,0,,-1)+IF($C564=" ",1,0))</f>
      </c>
      <c r="S564" s="166"/>
      <c r="T564" s="155"/>
      <c r="U564" s="155"/>
      <c r="V564" s="166"/>
      <c r="W564" s="155"/>
      <c r="X564" s="167"/>
      <c r="Y564" s="128"/>
      <c r="Z564" s="129"/>
      <c r="AA564" s="129"/>
      <c r="AB564" s="129"/>
      <c r="AC564" s="129"/>
      <c r="AD564" s="168"/>
      <c r="AE564" t="s" s="169">
        <f>IF(L564="","",(SUM(((L562-1)*(1-_xlfn.XLOOKUP(K562,'Janeiro 2023 - Valor Real'!A3:A15,'Janeiro 2023 - Valor Real'!C3:C15,0))+1),((L563-1)*(1-_xlfn.XLOOKUP(K563,'Janeiro 2023 - Valor Real'!A3:A15,'Janeiro 2023 - Valor Real'!C3:C15,0))+1),((L564-1)*(1-_xlfn.XLOOKUP(K564,'Janeiro 2023 - Valor Real'!A3:A15,'Janeiro 2023 - Valor Real'!C3:C15,0))+1))/((L564-1)*(1-_xlfn.XLOOKUP(K564,'Janeiro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Real'!C3:C15,0))+1))/((L562-1)*(1-_xlfn.XLOOKUP(K562,'Janeiro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Real'!C3:C15,0))+1))/((L563-1)*(1-_xlfn.XLOOKUP(K563,'Janeiro 2023 - Valor Real'!A3:A15,'Janeiro 2023 - Valor Real'!C3:C15,0))+1)+SUM(((L562-1)*(1-_xlfn.XLOOKUP(K562,'Janeiro 2023 - Valor Real'!A3:A15,'Janeiro 2023 - Valor Real'!C3:C15,0))+1),((L563-1)*(1-_xlfn.XLOOKUP(K563,'Janeiro 2023 - Valor Real'!A3:A15,'Janeiro 2023 - Valor Real'!C3:C15,0))+1),((L564-1)*(1-_xlfn.XLOOKUP(K564,'Janeiro 2023 - Valor Real'!A3:A15,'Janeiro 2023 - Valor Real'!C3:C15,0))+1))/((L564-1)*(1-_xlfn.XLOOKUP(K564,'Janeiro 2023 - Valor Real'!A3:A15,'Janeiro 2023 - Valor Real'!C3:C15,0))+1)))</f>
      </c>
      <c r="AF564" s="132">
        <f>IF($K564=AF$3,ROUND(IF(OR($C564="W",$C564="1/2W",$C564="1/2L"),$P564-$O564,IF($C564="X",0,-$O564)),2),0)</f>
        <v>0</v>
      </c>
      <c r="AG564" s="133">
        <f>IF($K564=AG$3,ROUND(IF(OR($C564="W",$C564="1/2W",$C564="1/2L"),$P564-$O564,IF($C564="X",0,-$O564)),2),0)</f>
        <v>0</v>
      </c>
      <c r="AH564" s="133">
        <f>IF($K564=AH$3,ROUND(IF(OR($C564="W",$C564="1/2W",$C564="1/2L"),$P564-$O564,IF($C564="X",0,-$O564)),2),0)</f>
        <v>0</v>
      </c>
      <c r="AI564" s="133">
        <f>IF($K564=AI$3,ROUND(IF(OR($C564="W",$C564="1/2W",$C564="1/2L"),$P564-$O564,IF($C564="X",0,-$O564)),2),0)</f>
        <v>0</v>
      </c>
      <c r="AJ564" s="133">
        <f>IF($K564=AJ$3,ROUND(IF(OR($C564="W",$C564="1/2W",$C564="1/2L"),$P564-$O564,IF($C564="X",0,-$O564)),2),0)</f>
        <v>0</v>
      </c>
      <c r="AK564" s="133">
        <f>IF($K564=AK$3,ROUND(IF(OR($C564="W",$C564="1/2W",$C564="1/2L"),$P564-$O564,IF($C564="X",0,-$O564)),2),0)</f>
        <v>0</v>
      </c>
      <c r="AL564" s="133">
        <f>IF($K564=AL$3,ROUND(IF(OR($C564="W",$C564="1/2W",$C564="1/2L"),$P564-$O564,IF($C564="X",0,-$O564)),2),0)</f>
        <v>0</v>
      </c>
      <c r="AM564" s="133">
        <f>IF($K564=AM$3,ROUND(IF(OR($C564="W",$C564="1/2W",$C564="1/2L"),$P564-$O564,IF($C564="X",0,-$O564)),2),0)</f>
        <v>0</v>
      </c>
      <c r="AN564" s="133">
        <f>IF($K564=AN$3,ROUND(IF(OR($C564="W",$C564="1/2W",$C564="1/2L"),$P564-$O564,IF($C564="X",0,-$O564)),2),0)</f>
        <v>0</v>
      </c>
      <c r="AO564" s="133">
        <f>IF($K564=AO$3,ROUND(IF(OR($C564="W",$C564="1/2W",$C564="1/2L"),$P564-$O564,IF($C564="X",0,-$O564)),2),0)</f>
        <v>0</v>
      </c>
      <c r="AP564" s="133">
        <f>IF($K564=AP$3,ROUND(IF(OR($C564="W",$C564="1/2W",$C564="1/2L"),$P564-$O564,IF($C564="X",0,-$O564)),2),0)</f>
        <v>0</v>
      </c>
      <c r="AQ564" s="133">
        <f>IF($K564=AQ$3,ROUND(IF(OR($C564="W",$C564="1/2W",$C564="1/2L"),$P564-$O564,IF($C564="X",0,-$O564)),2),0)</f>
        <v>0</v>
      </c>
      <c r="AR564" s="134">
        <f>IF($K564=AR$3,ROUND(IF(OR($C564="W",$C564="1/2W",$C564="1/2L"),$P564-$O564,IF($C564="X",0,-$O564)),2),0)</f>
        <v>0</v>
      </c>
      <c r="AS564" s="132">
        <f>IF(AND($B562=" ",$K564=AS$3),$O564,0)</f>
        <v>0</v>
      </c>
      <c r="AT564" s="133">
        <f>IF(AND($B562=" ",K564=AT$3),$O564,0)</f>
        <v>0</v>
      </c>
      <c r="AU564" s="133">
        <f>IF(AND($B562=" ",$K564=AU$3),$O564,0)</f>
        <v>0</v>
      </c>
      <c r="AV564" s="133">
        <f>IF(AND($B562=" ",$K564=AV$3),$O564,0)</f>
        <v>0</v>
      </c>
      <c r="AW564" s="133">
        <f>IF(AND($B562=" ",$K564=AW$3),$O564,0)</f>
        <v>0</v>
      </c>
      <c r="AX564" s="133">
        <f>IF(AND($B562=" ",$K564=AX$3),$O564,0)</f>
        <v>0</v>
      </c>
      <c r="AY564" s="135">
        <f>IF(AND($B562=" ",$K564=AY$3),$O564,0)</f>
        <v>0</v>
      </c>
      <c r="AZ564" s="136">
        <f>IF(AND($B562=" ",$K564=AZ$3),$O564,0)</f>
        <v>0</v>
      </c>
      <c r="BA564" s="136">
        <f>IF(AND($B562=" ",$K564=BA$3),$O564,0)</f>
        <v>0</v>
      </c>
      <c r="BB564" s="136">
        <f>IF(AND($B562=" ",$K564=BB$3),$O564,0)</f>
        <v>0</v>
      </c>
      <c r="BC564" s="137">
        <f>IF(AND($B562=" ",$K564=BC$3),$O564,0)</f>
        <v>0</v>
      </c>
      <c r="BD564" s="133">
        <f>IF(AND($B562=" ",$K564=BD$3),$O564,0)</f>
        <v>0</v>
      </c>
      <c r="BE564" s="134">
        <f>IF(AND($B562=" ",$K564=BE$3),$O564,0)</f>
        <v>0</v>
      </c>
      <c r="BF564" s="132">
        <f>IF($K564=BF$3,IF($C564="X",0,$O564),0)</f>
        <v>0</v>
      </c>
      <c r="BG564" s="281">
        <f>IF($K564=BG$3,IF($C564="X",0,$O564),0)</f>
        <v>0</v>
      </c>
      <c r="BH564" s="133">
        <f>IF($K564=BH$3,IF($C564="X",0,$O564),0)</f>
        <v>0</v>
      </c>
      <c r="BI564" s="133">
        <f>IF($K564=BI$3,IF($C564="X",0,$O564),0)</f>
        <v>0</v>
      </c>
      <c r="BJ564" s="133">
        <f>IF($K564=BJ$3,IF($C564="X",0,$O564),0)</f>
        <v>0</v>
      </c>
      <c r="BK564" s="133">
        <f>IF($K564=BK$3,IF($C564="X",0,$O564),0)</f>
        <v>0</v>
      </c>
      <c r="BL564" s="133">
        <f>IF($K564=BL$3,IF($C564="X",0,$O564),0)</f>
        <v>0</v>
      </c>
      <c r="BM564" s="135">
        <f>IF($K564=BM$3,IF($C564="X",0,$O564),0)</f>
        <v>0</v>
      </c>
      <c r="BN564" s="136">
        <f>IF($K564=BN$3,IF($C564="X",0,$O564),0)</f>
        <v>0</v>
      </c>
      <c r="BO564" s="136">
        <f>IF($K564=BO$3,IF($C564="X",0,$O564),0)</f>
        <v>0</v>
      </c>
      <c r="BP564" s="136">
        <f>IF($K564=BP$3,IF($C564="X",0,$O564),0)</f>
        <v>0</v>
      </c>
      <c r="BQ564" s="137">
        <f>IF($K564=BQ$3,IF($C564="X",0,$O564),0)</f>
        <v>0</v>
      </c>
      <c r="BR564" s="134">
        <f>IF($K564=BR$3,IF($C564="X",0,$O564),0)</f>
        <v>0</v>
      </c>
      <c r="BS564" s="282"/>
      <c r="BT564" s="283"/>
      <c r="BU564" s="140"/>
      <c r="BV564" s="283"/>
      <c r="BW564" s="140"/>
      <c r="BX564" s="140"/>
      <c r="BY564" s="140"/>
      <c r="BZ564" s="283"/>
      <c r="CA564" s="140"/>
      <c r="CB564" s="140"/>
      <c r="CC564" s="140"/>
      <c r="CD564" s="141"/>
      <c r="CE564" s="142"/>
      <c r="CF564" s="284">
        <f>IF(CF$3=$K564,IF($C564="W",1,IF($C564="1/2W",0.5,0)),0)</f>
        <v>0</v>
      </c>
      <c r="CG564" s="285">
        <f>IF(CF$3=$K564,IF($C564="L",1,IF($C564="1/2L",0.5,0)),0)</f>
        <v>0</v>
      </c>
      <c r="CH564" s="285">
        <f>IF(CH$3=$K564,IF($C564="W",1,IF($C564="1/2W",0.5,0)),0)</f>
        <v>0</v>
      </c>
      <c r="CI564" s="285">
        <f>IF(CH$3=$K564,IF($C564="L",1,IF($C564="1/2L",0.5,0)),0)</f>
        <v>0</v>
      </c>
      <c r="CJ564" s="285">
        <f>IF(CJ$3=$K564,IF($C564="W",1,IF($C564="1/2W",0.5,0)),0)</f>
        <v>0</v>
      </c>
      <c r="CK564" s="285">
        <f>IF(CJ$3=$K564,IF($C564="L",1,IF($C564="1/2L",0.5,0)),0)</f>
        <v>0</v>
      </c>
      <c r="CL564" s="285">
        <f>IF(CL$3=$K564,IF($C564="W",1,IF($C564="1/2W",0.5,0)),0)</f>
        <v>0</v>
      </c>
      <c r="CM564" s="285">
        <f>IF(CL$3=$K564,IF($C564="L",1,IF($C564="1/2L",0.5,0)),0)</f>
        <v>0</v>
      </c>
      <c r="CN564" s="285">
        <f>IF(CN$3=$K564,IF($C564="W",1,IF($C564="1/2W",0.5,0)),0)</f>
        <v>0</v>
      </c>
      <c r="CO564" s="285">
        <f>IF(CN$3=$K564,IF($C564="L",1,IF($C564="1/2L",0.5,0)),0)</f>
        <v>0</v>
      </c>
      <c r="CP564" s="285">
        <f>IF(CP$3=$K564,IF($C564="W",1,IF($C564="1/2W",0.5,0)),0)</f>
        <v>0</v>
      </c>
      <c r="CQ564" s="285">
        <f>IF(CP$3=$K564,IF($C564="L",1,IF($C564="1/2L",0.5,0)),0)</f>
        <v>0</v>
      </c>
      <c r="CR564" s="285">
        <f>IF(CR$3=$K564,IF($C564="W",1,IF($C564="1/2W",0.5,0)),0)</f>
        <v>0</v>
      </c>
      <c r="CS564" s="285">
        <f>IF(CR$3=$K564,IF($C564="L",1,IF($C564="1/2L",0.5,0)),0)</f>
        <v>0</v>
      </c>
      <c r="CT564" s="145">
        <f>IF(CT$3=$K564,IF($C564="W",1,IF($C564="1/2W",0.5,0)),0)</f>
        <v>0</v>
      </c>
      <c r="CU564" s="146">
        <f>IF(CT$3=$K564,IF($C564="L",1,IF($C564="1/2L",0.5,0)),0)</f>
        <v>0</v>
      </c>
      <c r="CV564" s="146">
        <f>IF(CV$3=$K564,IF($C564="W",1,IF($C564="1/2W",0.5,0)),0)</f>
        <v>0</v>
      </c>
      <c r="CW564" s="146">
        <f>IF(CV$3=$K564,IF($C564="L",1,IF($C564="1/2L",0.5,0)),0)</f>
        <v>0</v>
      </c>
      <c r="CX564" s="146">
        <f>IF(CX$3=$K564,IF($C564="W",1,IF($C564="1/2W",0.5,0)),0)</f>
        <v>0</v>
      </c>
      <c r="CY564" s="146">
        <f>IF(CX$3=$K564,IF($C564="L",1,IF($C564="1/2L",0.5,0)),0)</f>
        <v>0</v>
      </c>
      <c r="CZ564" s="146">
        <f>IF(CZ$3=$K564,IF($C564="W",1,IF($C564="1/2W",0.5,0)),0)</f>
        <v>0</v>
      </c>
      <c r="DA564" s="146">
        <f>IF(CZ$3=$K564,IF($C564="L",1,IF($C564="1/2L",0.5,0)),0)</f>
        <v>0</v>
      </c>
      <c r="DB564" s="146">
        <f>IF(DB$3=$K564,IF($C564="W",1,IF($C564="1/2W",0.5,0)),0)</f>
        <v>0</v>
      </c>
      <c r="DC564" s="146">
        <f>IF(DB$3=$K564,IF($C564="L",1,IF($C564="1/2L",0.5,0)),0)</f>
        <v>0</v>
      </c>
      <c r="DD564" s="146">
        <f>IF(DD$3=$K564,IF($C564="W",1,IF($C564="1/2W",0.5,0)),0)</f>
        <v>0</v>
      </c>
      <c r="DE564" s="147">
        <f>IF(DD$3=$K564,IF($C564="L",1,IF($C564="1/2L",0.5,0)),0)</f>
        <v>0</v>
      </c>
      <c r="DF564" s="143">
        <f>IF(AND(L564&lt;DF$3,$C564="W"),1+DF563,DF563)</f>
        <v>17</v>
      </c>
      <c r="DG564" s="133">
        <f>IF(DF564&gt;DF563,L564+DG563,DG563)</f>
        <v>22.628</v>
      </c>
      <c r="DH564" s="146">
        <f>IF(AND(L564&gt;DH$3,$C564="W"),1+DH563,0+DH563)</f>
        <v>15</v>
      </c>
      <c r="DI564" s="133">
        <f>IF(DH564&gt;DH563,L564+DI563,DI563)</f>
        <v>81.26000000000001</v>
      </c>
      <c r="DJ564" t="s" s="304">
        <f>IF($D562="","",$D562)</f>
        <v>396</v>
      </c>
      <c r="DK564" s="286"/>
    </row>
    <row r="565" ht="14.55" customHeight="1">
      <c r="A565" s="171">
        <f>$A562+1</f>
        <v>188</v>
      </c>
      <c r="B565" t="s" s="172">
        <f>IF(AND(_xlfn.XLOOKUP(H565,H$122:H338,G$122:G338,0)=G565,_xlfn.XLOOKUP("TempoBet",K565:K567,L565:L567,0)&gt;0),"X",IF(OR(C565="W",C566="W",C567="W",C565="1/2W",C566="1/2W",C567="1/2W",C565="1/2L",C566="1/2L",C567="1/2L"),"OK",IF(OR(C565="L",C566="L",C567="L"),"LOSS",IF(OR(C565="X",C566="X",C567="X"),"Anulado"," "))))</f>
        <v>50</v>
      </c>
      <c r="C565" t="s" s="173">
        <v>56</v>
      </c>
      <c r="D565" t="s" s="305">
        <f>IF(G565="","",$D562)</f>
        <v>396</v>
      </c>
      <c r="E565" t="s" s="175">
        <f>IF(G565=""," ","– "&amp;COUNTIF(D$4:D567,$D565))</f>
        <v>143</v>
      </c>
      <c r="F565" t="s" s="176">
        <f>IF(G565="","",IF(OR(AND($C565&lt;&gt;" ",$C566=" "),AND($C566&lt;&gt;" ",$C565=" "),AND(L567&gt;0,OR(AND($C567&lt;&gt;" ",OR($C565=" ",$C566=" ")),AND($C567=" ",OR($C565&lt;&gt;" ",$C566&lt;&gt;" "))))),IF(SUM(F$4:F564)=0,1,LARGE(F$4:F564,1)+1),IF(MONTH(G565)=MONTH(TODAY()),IF(AND(DAY(G565)&lt;DAY(TODAY()),$B565=" "),IF(SUM(F$4:F564)=0,1,LARGE(F$4:F564,1)+1),IF($B565=" ",IF(AND(DAY(G565)=DAY(TODAY()),HOUR(G565)&lt;=HOUR(NOW())+1),IF(AND(HOUR(G565)+2&lt;=HOUR(NOW()),DAY(G565)&lt;=DAY(TODAY()),MINUTE(G565)&lt;=MINUTE(NOW())),IF(SUM(F$4:F564)=0,1,LARGE(F$4:F564,1)+1),IF(OR(MINUTE(G565)&lt;=MINUTE(NOW()),HOUR(G565)&lt;=HOUR(NOW())),"!!!","")),""),"")),"")))</f>
      </c>
      <c r="G565" s="177">
        <v>44953.6875</v>
      </c>
      <c r="H565" t="s" s="178">
        <v>424</v>
      </c>
      <c r="I565" t="s" s="179">
        <v>81</v>
      </c>
      <c r="J565" s="180"/>
      <c r="K565" t="s" s="181">
        <v>38</v>
      </c>
      <c r="L565" s="182">
        <v>2.2</v>
      </c>
      <c r="M565" s="183">
        <v>4.81</v>
      </c>
      <c r="N565" s="184">
        <v>0</v>
      </c>
      <c r="O565" s="185">
        <f>IF(OR(AE565="",AE566=""),"",ROUND(IF(L567&gt;0,IF(M565&gt;0,M565,IF(M566&gt;0,ROUND((M566*AE565)/AE566,IF(N565=0,2,IF(N565=0.1,1,0))),ROUND((M567*AE565)/AE567,IF(N565=0,2,IF(N565=0.1,1,0))))),IF(M565&gt;0,M565,ROUND((M566*AE565)/AE566,IF(N565=0,2,IF(N565=0.1,1,0))))),2))</f>
        <v>4.81</v>
      </c>
      <c r="P565" s="186">
        <f>IF(OR(L565="",O565=""),"",IF($C565="1/2W",O565/2+O565/2*L565,IF($C565="1/2L",O565/2,IF(I565="Lay",(O565*(L565/(L565-1))-O565)*(1-_xlfn.XLOOKUP(K565,'Janeiro 2023 - Valor Real'!A3:A15,'Janeiro 2023 - Valor Real'!C3:C15,0))+O565,(O565*L565-O565)*(1-_xlfn.XLOOKUP(K565,'Janeiro 2023 - Valor Real'!A3:A15,'Janeiro 2023 - Valor Real'!C3:C15,0))+O565))))</f>
        <v>10.582</v>
      </c>
      <c r="Q565" s="187">
        <f>IF(K565="","",IF(_xlfn.XLOOKUP(K565,K$122:K338,DJ$122:DJ338,0,,-1)=DJ565,_xlfn.XLOOKUP(K565,K$122:K338,Q$122:Q338,1,,-1)+1,1))</f>
        <v>1</v>
      </c>
      <c r="R565" s="188">
        <f>IF(K565="","",_xlfn.XLOOKUP(K565,K$122:K338,R$122:R338,0,,-1)+IF($C565=" ",1,0))</f>
        <v>0</v>
      </c>
      <c r="S565" s="189">
        <f>IF($B565="Anulado",0,ROUND(IF(OR($B565="LOSS",$B565="OK"),IF(OR($C565="W",$C565="1/2W",$C565="1/2L"),P565-O565,IF($C565="L",-O565,0))+IF(OR($C566="W",$C566="1/2W",$C566="1/2L"),P566-O566,IF($C566="L",-O566,0))+IF(OR($C567="W",$C567="1/2W",$C567="1/2L"),P567-O567,IF($C567="L",-O567,0)),IF(AND(OR($C565="W",$C565="1/2W",$C565="1/2L"),C566="W"),P565+P566-SUM(O565:O567)+_xlfn.XLOOKUP("X",C565:C567,O565:O567,0),IF(AND(C565=TRUE,C567="W"),P565+P567-SUM(O565:O567),IF(AND(C566="W",C567="W"),P566+P567-SUM(O565:O567)+_xlfn.XLOOKUP("X",C565:C567,O565:O567,0),IF(L567&gt;0,IF(OR($C565="W",$C565="1/2W",$C565="1/2L"),P565-SUM(O565:O567)+_xlfn.XLOOKUP("X",C565:C567,O565:O567,0),IF(OR($C565="W",$C565="1/2W",$C565="1/2L"),P566-SUM(O565:O567)+_xlfn.XLOOKUP("X",C565:C567,O565:O567,0),IF(OR($C565="W",$C565="1/2W",$C565="1/2L"),P567-SUM(O565:O567)+_xlfn.XLOOKUP("X",C565:C567,O565:O567,0),IF(SUM(P565:P567)/3-SUM(O565:O567)+_xlfn.XLOOKUP("X",C565:C567,O565:O567,0)&gt;0,SUM(P565:P567)/3-SUM(O565:O567)+_xlfn.XLOOKUP("X",C565:C567,O565:O567,0),LARGE(P565:P567,1)-SUM(O565:O567))))),IF(OR($C565="W",$C565="1/2W",$C565="1/2L"),P565-SUM(O565:O566)+_xlfn.XLOOKUP("X",C565:C567,O565:O567,0),IF(OR($C565="W",$C565="1/2W",$C565="1/2L"),P566-SUM(O565:O566)+_xlfn.XLOOKUP("X",C565:C567,O565:O567,0),SUM(P565:P566)/2-SUM(O565:O566)+_xlfn.XLOOKUP("X",C565:C567,O565:O567,0)))))))),2))</f>
        <v>0.73</v>
      </c>
      <c r="T565" s="190">
        <f>IF(S565=0,0,S565/SUM(O565:O567))</f>
        <v>0.0741116751269036</v>
      </c>
      <c r="U565" s="191">
        <f>IF($D565=$D562,IF(OR($B565="LOSS",$B565="OK",$B565="Anulada"),S565,0)+U562,IF(OR($B565="LOSS",$B565="OK",$B565="Anulada"),S565,0))</f>
        <v>46.44</v>
      </c>
      <c r="V565" s="191">
        <f>IF($D565="",0,IF($D565=$D562,IF($B565=" ",IF(I567="",IF(OR(AND(I565="DNB1",I566="DNB2"),AND(OR(I565="DNB1",I565="DNB2"),J566=0),AND(OR(I566="DNB1",I566="DNB2"),J565=0),AND(I565="DNB2",I566="DNB1"),AND(IF(J565=0,(J565+1)/ROUND(J565+1,0),J565/ROUND(J565,0))=1,IF(J566=0,(J566+1)/ROUND(IF(J566="",0,J566)+1,0),IF(J566="",0,J566)/ROUND(IF(J566="",1,J566),0))=1,OR(J565&lt;&gt;""),J566&lt;&gt;"")),0,IF(S565&lt;0,IF(I567="",SMALL(P565:P566,1)-SUM(O565:O566),0),SMALL(P565:P566,1)-SUM(O565:O566))),IF(S565&lt;0,IF(I567="",SMALL(P565:P567,1)-SUM(O565:O567),0),LARGE(P565:P567,1)-SUM(O565:O567))),S565)+V562,IF(I567="",IF(OR(AND(I565="DNB1",I566="DNB2"),AND(OR(I565="DNB1",I565="DNB2"),J566=0),AND(OR(I566="DNB1",I566="DNB2"),J565=0),AND(I565="DNB2",I566="DNB1"),AND(IF(J565=0,(J565+1)/ROUND(J565+1,0),J565/ROUND(J565,0))=1,IF(J566=0,(IF(J566="",0,J566)+1)/ROUND(IF(J566="",0,J566)+1,0),IF(J566="",0,J566)/ROUND(IF(J566="",0,J566)+1,0))=1,OR(J565&lt;&gt;""),J566&lt;&gt;"")),0,IF(S565&lt;0,IF(I567="",SMALL(P565:P566,1)-SUM(O565:O566),0),SMALL(P565:P567,1)-SUM(O565:O567))),IF(S565&lt;0,IF(I567="",SMALL(P565:P567,1)-SUM(O565:O567),0),LARGE(P565:P567,1)-SUM(O565:O567)))))</f>
        <v>46.44</v>
      </c>
      <c r="W565" s="191">
        <f>IF($D565=$D562,IF(S565&lt;0,IF(I567="",S565,0),S565)+W562,S565)</f>
        <v>46.44</v>
      </c>
      <c r="X565" t="s" s="192">
        <f>IF(OR(SUM(R565:R567)=0,V565=W565),ROUND(IF(W565=0,0,W565/Y565)*100,2)&amp;"%",ROUND(IF(V565=0,0,V565/Y565)*100,2)&amp;"% a "&amp;ROUND(IF(W565=0,0,W565/Y565)*100,2)&amp;"%")</f>
        <v>425</v>
      </c>
      <c r="Y565" s="193">
        <f>IF($D565=$D562,Y562+SUM(O565:O567),SUM(O565:O567))</f>
        <v>894.14</v>
      </c>
      <c r="Z565" s="191">
        <f>IF($B565=" ",SUM(O565:O567),0)+Z562</f>
        <v>0</v>
      </c>
      <c r="AA565" s="191">
        <f>IF(G565="","",IF($B565="Anulado",LARGE(P565:P567,1)-SUM(O565:O567)+AA562,AA562))</f>
        <v>24.9665076923077</v>
      </c>
      <c r="AB565" s="191">
        <f>IF($D565="","",AB562+S565)</f>
        <v>385.68</v>
      </c>
      <c r="AC565" s="194">
        <f>IF($D565="","",IF($B565=" ",IF(DAY(G565)=DAY(TODAY()),1+AC562,0+AC562),0+AC562))</f>
        <v>0</v>
      </c>
      <c r="AD565" s="195">
        <f>(((L566/(L566-1)-1)*(1-_xlfn.XLOOKUP(K566,'Janeiro 2023 - Valor Real'!A3:A15,'Janeiro 2023 - Valor Real'!C3:C15,0))+1))/(((L565-1)*(1-_xlfn.XLOOKUP(K565,'Janeiro 2023 - Valor Real'!A3:A15,'Janeiro 2023 - Valor Real'!C3:C15,0))+1)+((L566/(L566-1)-1)*(1-_xlfn.XLOOKUP(K566,'Janeiro 2023 - Valor Real'!A3:A15,'Janeiro 2023 - Valor Real'!C3:C15,0))+1))</f>
        <v>0.488372093023256</v>
      </c>
      <c r="AE565" s="196">
        <f>IF(L565="","",IF(L567&gt;0,(SUM(((L565-1)*(1-_xlfn.XLOOKUP(K565,'Janeiro 2023 - Valor Real'!A3:A15,'Janeiro 2023 - Valor Real'!C3:C15,0))+1),((L566-1)*(1-_xlfn.XLOOKUP(K566,'Janeiro 2023 - Valor Real'!A3:A15,'Janeiro 2023 - Valor Real'!C3:C15,0))+1),((L567-1)*(1-_xlfn.XLOOKUP(K567,'Janeiro 2023 - Valor Real'!A3:A15,'Janeiro 2023 - Valor Real'!C3:C15,0))+1))/((L565-1)*(1-_xlfn.XLOOKUP(K565,'Janeiro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Real'!C3:C15,0))+1))/((L565-1)*(1-_xlfn.XLOOKUP(K565,'Janeiro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Real'!C3:C15,0))+1))/((L566-1)*(1-_xlfn.XLOOKUP(K566,'Janeiro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Real'!C3:C15,0))+1))/((L567-1)*(1-_xlfn.XLOOKUP(K567,'Janeiro 2023 - Valor Real'!A3:A15,'Janeiro 2023 - Valor Real'!C3:C15,0))+1)),IF(I565="Lay",IF(I566="Lay",((L566/(L566-1)-1)*(1-_xlfn.XLOOKUP(K566,'Janeiro 2023 - Valor Real'!A3:A15,'Janeiro 2023 - Valor Real'!C3:C15,0))+1)/(((L566/(L566-1)-1)*(1-_xlfn.XLOOKUP(K566,'Janeiro 2023 - Valor Real'!A3:A15,'Janeiro 2023 - Valor Real'!C3:C15,0))+1)+((L565/(L565-1)-1)*(1-_xlfn.XLOOKUP(K565,'Janeiro 2023 - Valor Real'!A3:A15,'Janeiro 2023 - Valor Real'!C3:C15,0))+1)),((L566-1)*(1-_xlfn.XLOOKUP(K566,'Janeiro 2023 - Valor Real'!A3:A15,'Janeiro 2023 - Valor Real'!C3:C15,0))+1)/(((L566-1)*(1-_xlfn.XLOOKUP(K566,'Janeiro 2023 - Valor Real'!A3:A15,'Janeiro 2023 - Valor Real'!C3:C15,0))+1)+((L565/(L565-1)-1)*(1-_xlfn.XLOOKUP(K565,'Janeiro 2023 - Valor Real'!A3:A15,'Janeiro 2023 - Valor Real'!C3:C15,0))+1))),IF(I566="Lay",(((L566/(L566-1)-1)*(1-_xlfn.XLOOKUP(K566,'Janeiro 2023 - Valor Real'!A3:A15,'Janeiro 2023 - Valor Real'!C3:C15,0))+1))/(((L565-1)*(1-_xlfn.XLOOKUP(K565,'Janeiro 2023 - Valor Real'!A3:A15,'Janeiro 2023 - Valor Real'!C3:C15,0))+1)+((L566/(L566-1)-1)*(1-_xlfn.XLOOKUP(K566,'Janeiro 2023 - Valor Real'!A3:A15,'Janeiro 2023 - Valor Real'!C3:C15,0))+1)),((L566-1)*(1-_xlfn.XLOOKUP(K566,'Janeiro 2023 - Valor Real'!A3:A15,'Janeiro 2023 - Valor Real'!C3:C15,0))+1)/(((L566-1)*(1-_xlfn.XLOOKUP(K566,'Janeiro 2023 - Valor Real'!A3:A15,'Janeiro 2023 - Valor Real'!C3:C15,0))+1)+((L565-1)*(1-_xlfn.XLOOKUP(K565,'Janeiro 2023 - Valor Real'!A3:A15,'Janeiro 2023 - Valor Real'!C3:C15,0))+1))))))</f>
        <v>0.488372093023256</v>
      </c>
      <c r="AF565" s="197">
        <f>IF($K565=AF$3,ROUND(IF(OR($C565="W",$C565="1/2W",$C565="1/2L"),$P565-$O565,IF($C565="X",0,-$O565)),2),0)</f>
        <v>0</v>
      </c>
      <c r="AG565" s="198">
        <f>IF($K565=AG$3,ROUND(IF(OR($C565="W",$C565="1/2W",$C565="1/2L"),$P565-$O565,IF($C565="X",0,-$O565)),2),0)</f>
        <v>5.77</v>
      </c>
      <c r="AH565" s="198">
        <f>IF($K565=AH$3,ROUND(IF(OR($C565="W",$C565="1/2W",$C565="1/2L"),$P565-$O565,IF($C565="X",0,-$O565)),2),0)</f>
        <v>0</v>
      </c>
      <c r="AI565" s="198">
        <f>IF($K565=AI$3,ROUND(IF(OR($C565="W",$C565="1/2W",$C565="1/2L"),$P565-$O565,IF($C565="X",0,-$O565)),2),0)</f>
        <v>0</v>
      </c>
      <c r="AJ565" s="198">
        <f>IF($K565=AJ$3,ROUND(IF(OR($C565="W",$C565="1/2W",$C565="1/2L"),$P565-$O565,IF($C565="X",0,-$O565)),2),0)</f>
        <v>0</v>
      </c>
      <c r="AK565" s="198">
        <f>IF($K565=AK$3,ROUND(IF(OR($C565="W",$C565="1/2W",$C565="1/2L"),$P565-$O565,IF($C565="X",0,-$O565)),2),0)</f>
        <v>0</v>
      </c>
      <c r="AL565" s="198">
        <f>IF($K565=AL$3,ROUND(IF(OR($C565="W",$C565="1/2W",$C565="1/2L"),$P565-$O565,IF($C565="X",0,-$O565)),2),0)</f>
        <v>0</v>
      </c>
      <c r="AM565" s="198">
        <f>IF($K565=AM$3,ROUND(IF(OR($C565="W",$C565="1/2W",$C565="1/2L"),$P565-$O565,IF($C565="X",0,-$O565)),2),0)</f>
        <v>0</v>
      </c>
      <c r="AN565" s="198">
        <f>IF($K565=AN$3,ROUND(IF(OR($C565="W",$C565="1/2W",$C565="1/2L"),$P565-$O565,IF($C565="X",0,-$O565)),2),0)</f>
        <v>0</v>
      </c>
      <c r="AO565" s="198">
        <f>IF($K565=AO$3,ROUND(IF(OR($C565="W",$C565="1/2W",$C565="1/2L"),$P565-$O565,IF($C565="X",0,-$O565)),2),0)</f>
        <v>0</v>
      </c>
      <c r="AP565" s="198">
        <f>IF($K565=AP$3,ROUND(IF(OR($C565="W",$C565="1/2W",$C565="1/2L"),$P565-$O565,IF($C565="X",0,-$O565)),2),0)</f>
        <v>0</v>
      </c>
      <c r="AQ565" s="198">
        <f>IF($K565=AQ$3,ROUND(IF(OR($C565="W",$C565="1/2W",$C565="1/2L"),$P565-$O565,IF($C565="X",0,-$O565)),2),0)</f>
        <v>0</v>
      </c>
      <c r="AR565" s="199">
        <f>IF($K565=AR$3,ROUND(IF(OR($C565="W",$C565="1/2W",$C565="1/2L"),$P565-$O565,IF($C565="X",0,-$O565)),2),0)</f>
        <v>0</v>
      </c>
      <c r="AS565" s="197">
        <f>IF(AND($B565=" ",$K565=AS$3),$O565,0)</f>
        <v>0</v>
      </c>
      <c r="AT565" s="198">
        <f>IF(AND($B565=" ",$K565=AT$3),$O565,0)</f>
        <v>0</v>
      </c>
      <c r="AU565" s="198">
        <f>IF(AND($B565=" ",$K565=AU$3),$O565,0)</f>
        <v>0</v>
      </c>
      <c r="AV565" s="198">
        <f>IF(AND($B565=" ",$K565=AV$3),$O565,0)</f>
        <v>0</v>
      </c>
      <c r="AW565" s="198">
        <f>IF(AND($B565=" ",$K565=AW$3),$O565,0)</f>
        <v>0</v>
      </c>
      <c r="AX565" s="198">
        <f>IF(AND($B565=" ",$K565=AX$3),$O565,0)</f>
        <v>0</v>
      </c>
      <c r="AY565" s="200">
        <f>IF(AND($B565=" ",$K565=AY$3),$O565,0)</f>
        <v>0</v>
      </c>
      <c r="AZ565" s="201">
        <f>IF(AND($B565=" ",$K565=AZ$3),$O565,0)</f>
        <v>0</v>
      </c>
      <c r="BA565" s="201">
        <f>IF(AND($B565=" ",$K565=BA$3),$O565,0)</f>
        <v>0</v>
      </c>
      <c r="BB565" s="201">
        <f>IF(AND($B565=" ",$K565=BB$3),$O565,0)</f>
        <v>0</v>
      </c>
      <c r="BC565" s="202">
        <f>IF(AND($B565=" ",$K565=BC$3),$O565,0)</f>
        <v>0</v>
      </c>
      <c r="BD565" s="198">
        <f>IF(AND($B565=" ",$K565=BD$3),$O565,0)</f>
        <v>0</v>
      </c>
      <c r="BE565" s="199">
        <f>IF(AND($B565=" ",$K565=BE$3),$O565,0)</f>
        <v>0</v>
      </c>
      <c r="BF565" s="203">
        <f>IF($K565=BF$3,IF($C565="X",0,$O565),0)</f>
        <v>0</v>
      </c>
      <c r="BG565" s="198">
        <f>IF($K565=BG$3,IF($C565="X",0,$O565),0)</f>
        <v>4.81</v>
      </c>
      <c r="BH565" s="198">
        <f>IF($K565=BH$3,IF($C565="X",0,$O565),0)</f>
        <v>0</v>
      </c>
      <c r="BI565" s="198">
        <f>IF($K565=BI$3,IF($C565="X",0,$O565),0)</f>
        <v>0</v>
      </c>
      <c r="BJ565" s="198">
        <f>IF($K565=BJ$3,IF($C565="X",0,$O565),0)</f>
        <v>0</v>
      </c>
      <c r="BK565" s="198">
        <f>IF($K565=BK$3,IF($C565="X",0,$O565),0)</f>
        <v>0</v>
      </c>
      <c r="BL565" s="198">
        <f>IF($K565=BL$3,IF($C565="X",0,$O565),0)</f>
        <v>0</v>
      </c>
      <c r="BM565" s="200">
        <f>IF($K565=BM$3,IF($C565="X",0,$O565),0)</f>
        <v>0</v>
      </c>
      <c r="BN565" s="201">
        <f>IF($K565=BN$3,IF($C565="X",0,$O565),0)</f>
        <v>0</v>
      </c>
      <c r="BO565" s="201">
        <f>IF($K565=BO$3,IF($C565="X",0,$O565),0)</f>
        <v>0</v>
      </c>
      <c r="BP565" s="201">
        <f>IF($K565=BP$3,IF($C565="X",0,$O565),0)</f>
        <v>0</v>
      </c>
      <c r="BQ565" s="202">
        <f>IF($K565=BQ$3,IF($C565="X",0,$O565),0)</f>
        <v>0</v>
      </c>
      <c r="BR565" s="199">
        <f>IF($K565=BR$3,IF($C565="X",0,$O565),0)</f>
        <v>0</v>
      </c>
      <c r="BS565" s="204">
        <f>IF($B565="LOSS",IF(AND($K565=BS$3,$C565="L"),-$O565,0)+IF(AND($K566=BS$3,$C566="L"),-$O566,0)+IF(AND($K567=BS$3,$C567="L"),-$O567,0),IF(OR(AND($K565=BS$3,OR($C565="W",$C565="1/2W")),AND($K566=BS$3,OR($C566="W",$C566="1/2W")),AND($K567=BS$3,OR($C567="W",$C567="1/2W"))),$S565,0))</f>
        <v>0</v>
      </c>
      <c r="BT565" s="201">
        <f>IF($B565="LOSS",IF(AND($K565=BT$3,$C565="L"),-$O565,0)+IF(AND($K566=BT$3,$C566="L"),-$O566,0)+IF(AND($K566=BT$3,$C567="L"),-$O567,0),IF(OR(AND($K566=BT$3,OR($C565="W",$C565="1/2W")),AND($K566=BT$3,OR($C566="W",$C566="1/2W")),AND($K566=BT$3,OR($C567="W",$C567="1/2W"))),$S565,0))</f>
        <v>0</v>
      </c>
      <c r="BU565" s="201">
        <f>IF($B565="LOSS",IF(AND($K565=BU$3,$C565="L"),-$O565,0)+IF(AND($K566=BU$3,$C566="L"),-$O566,0)+IF(AND($K566=BU$3,$C567="L"),-$O567,0),IF(OR(AND($K566=BU$3,OR($C565="W",$C565="1/2W")),AND($K566=BU$3,OR($C566="W",$C566="1/2W")),AND($K566=BU$3,OR($C567="W",$C567="1/2W"))),$S565,0))</f>
        <v>0.73</v>
      </c>
      <c r="BV565" s="201">
        <f>IF($B565="LOSS",IF(AND($K565=BV$3,$C565="L"),-$O565,0)+IF(AND($K566=BV$3,$C566="L"),-$O566,0)+IF(AND($K567=BV$3,$C567="L"),-$O567,0),IF(OR(AND($K565=BV$3,OR($C565="W",$C565="1/2W")),AND($K566=BV$3,OR($C566="W",$C566="1/2W")),AND($K567=BV$3,OR($C567="W",$C567="1/2W"))),$S565,0))</f>
        <v>0</v>
      </c>
      <c r="BW565" s="201">
        <f>IF($B565="LOSS",IF(AND($K565=BW$3,$C565="L"),-$O565,0)+IF(AND($K566=BW$3,$C566="L"),-$O566,0)+IF(AND($K567=BW$3,$C567="L"),-$O567,0),IF(OR(AND($K565=BW$3,OR($C565="W",$C565="1/2W")),AND($K566=BW$3,OR($C566="W",$C566="1/2W")),AND($K567=BW$3,OR($C567="W",$C567="1/2W"))),$S565,0))</f>
        <v>0</v>
      </c>
      <c r="BX565" s="201">
        <f>IF($B565="LOSS",IF(AND($K565=BX$3,$C565="L"),-$O565,0)+IF(AND($K566=BX$3,$C566="L"),-$O566,0)+IF(AND($K567=BX$3,$C567="L"),-$O567,0),IF(OR(AND($K565=BX$3,OR($C565="W",$C565="1/2W")),AND($K566=BX$3,OR($C566="W",$C566="1/2W")),AND($K567=BX$3,OR($C567="W",$C567="1/2W"))),$S565,0))</f>
        <v>0</v>
      </c>
      <c r="BY565" s="201">
        <f>IF($B565="LOSS",IF(AND($K565=BY$3,$C565="L"),-$O565,0)+IF(AND($K566=BY$3,$C566="L"),-$O566,0)+IF(AND($K567=BY$3,$C567="L"),-$O567,0),IF(OR(AND($K565=BY$3,OR($C565="W",$C565="1/2W")),AND($K566=BY$3,OR($C566="W",$C566="1/2W")),AND($K567=BY$3,OR($C567="W",$C567="1/2W"))),$S565,0))</f>
        <v>0</v>
      </c>
      <c r="BZ565" s="205">
        <f>IF($B565="LOSS",IF(AND($K565=BZ$3,$C565="L"),-$O565,0)+IF(AND($K566=BZ$3,$C566="L"),-$O566,0)+IF(AND($K567=BZ$3,$C567="L"),-$O567,0),IF(OR(AND($K565=BZ$3,OR($C565="W",$C565="1/2W")),AND($K566=BZ$3,OR($C566="W",$C566="1/2W")),AND($K567=BZ$3,OR($C567="W",$C567="1/2W"))),$S565,0))</f>
        <v>0</v>
      </c>
      <c r="CA565" s="205">
        <f>IF($B565="LOSS",IF(AND($K565=CA$3,$C565="L"),-$O565,0)+IF(AND($K566=CA$3,$C566="L"),-$O566,0)+IF(AND($K567=CA$3,$C567="L"),-$O567,0),IF(OR(AND($K565=CA$3,OR($C565="W",$C565="1/2W")),AND($K566=CA$3,OR($C566="W",$C566="1/2W")),AND($K567=CA$3,OR($C567="W",$C567="1/2W"))),$S565,0))</f>
        <v>0</v>
      </c>
      <c r="CB565" s="205">
        <f>IF($B565="LOSS",IF(AND($K565=CB$3,$C565="L"),-$O565,0)+IF(AND($K566=CB$3,$C566="L"),-$O566,0)+IF(AND($K567=CB$3,$C567="L"),-$O567,0),IF(OR(AND($K565=CB$3,OR($C565="W",$C565="1/2W")),AND($K566=CB$3,OR($C566="W",$C566="1/2W")),AND($K567=CB$3,OR($C567="W",$C567="1/2W"))),$S565,0))</f>
        <v>0</v>
      </c>
      <c r="CC565" s="205">
        <f>IF($B565="LOSS",IF(AND($K565=CC$3,$C565="L"),-$O565,0)+IF(AND($K566=CC$3,$C566="L"),-$O566,0)+IF(AND($K567=CC$3,$C567="L"),-$O567,0),IF(OR(AND($K565=CC$3,OR($C565="W",$C565="1/2W")),AND($K566=CC$3,OR($C566="W",$C566="1/2W")),AND($K567=CC$3,OR($C567="W",$C567="1/2W"))),$S565,0))</f>
        <v>0</v>
      </c>
      <c r="CD565" s="202">
        <f>IF($B565="LOSS",IF(AND($K565=CD$3,$C565="L"),-$O565,0)+IF(AND($K566=CD$3,$C566="L"),-$O566,0)+IF(AND($K567=CD$3,$C567="L"),-$O567,0),IF(OR(AND($K565=CD$3,OR($C565="W",$C565="1/2W")),AND($K566=CD$3,OR($C566="W",$C566="1/2W")),AND($K567=CD$3,OR($C567="W",$C567="1/2W"))),$S565,0))</f>
        <v>0</v>
      </c>
      <c r="CE565" s="199">
        <f>IF($B565="LOSS",IF(AND($K565=CE$3,$C565="L"),-$O565,0)+IF(AND($K566=CE$3,$C566="L"),-$O566,0)+IF(AND($K567=CE$3,$C567="L"),-$O567,0),IF(OR(AND($K565=CE$3,OR($C565="W",$C565="1/2W")),AND($K566=CE$3,OR($C566="W",$C566="1/2W")),AND($K567=CE$3,OR($C567="W",$C567="1/2W"))),$S565,0))</f>
        <v>0</v>
      </c>
      <c r="CF565" s="206">
        <f>IF(CF$3=$K565,IF($C565="W",1,IF($C565="1/2W",0.5,0)),0)</f>
        <v>0</v>
      </c>
      <c r="CG565" s="207">
        <f>IF(CF$3=$K565,IF($C565="L",1,IF($C565="1/2L",0.5,0)),0)</f>
        <v>0</v>
      </c>
      <c r="CH565" s="207">
        <f>IF(CH$3=$K565,IF($C565="W",1,IF($C565="1/2W",0.5,0)),0)</f>
        <v>1</v>
      </c>
      <c r="CI565" s="207">
        <f>IF(CH$3=$K565,IF($C565="L",1,IF($C565="1/2L",0.5,0)),0)</f>
        <v>0</v>
      </c>
      <c r="CJ565" s="207">
        <f>IF(CJ$3=$K565,IF($C565="W",1,IF($C565="1/2W",0.5,0)),0)</f>
        <v>0</v>
      </c>
      <c r="CK565" s="207">
        <f>IF(CJ$3=$K565,IF($C565="L",1,IF($C565="1/2L",0.5,0)),0)</f>
        <v>0</v>
      </c>
      <c r="CL565" s="207">
        <f>IF(CL$3=$K565,IF($C565="W",1,IF($C565="1/2W",0.5,0)),0)</f>
        <v>0</v>
      </c>
      <c r="CM565" s="207">
        <f>IF(CL$3=$K565,IF($C565="L",1,IF($C565="1/2L",0.5,0)),0)</f>
        <v>0</v>
      </c>
      <c r="CN565" s="207">
        <f>IF(CN$3=$K565,IF($C565="W",1,IF($C565="1/2W",0.5,0)),0)</f>
        <v>0</v>
      </c>
      <c r="CO565" s="207">
        <f>IF(CN$3=$K565,IF($C565="L",1,IF($C565="1/2L",0.5,0)),0)</f>
        <v>0</v>
      </c>
      <c r="CP565" s="207">
        <f>IF(CP$3=$K565,IF($C565="W",1,IF($C565="1/2W",0.5,0)),0)</f>
        <v>0</v>
      </c>
      <c r="CQ565" s="207">
        <f>IF(CP$3=$K565,IF($C565="L",1,IF($C565="1/2L",0.5,0)),0)</f>
        <v>0</v>
      </c>
      <c r="CR565" s="207">
        <f>IF(CR$3=$K565,IF($C565="W",1,IF($C565="1/2W",0.5,0)),0)</f>
        <v>0</v>
      </c>
      <c r="CS565" s="207">
        <f>IF(CR$3=$K565,IF($C565="L",1,IF($C565="1/2L",0.5,0)),0)</f>
        <v>0</v>
      </c>
      <c r="CT565" s="208">
        <f>IF(CT$3=$K565,IF($C565="W",1,IF($C565="1/2W",0.5,0)),0)</f>
        <v>0</v>
      </c>
      <c r="CU565" s="209">
        <f>IF(CT$3=$K565,IF($C565="L",1,IF($C565="1/2L",0.5,0)),0)</f>
        <v>0</v>
      </c>
      <c r="CV565" s="209">
        <f>IF(CV$3=$K565,IF($C565="W",1,IF($C565="1/2W",0.5,0)),0)</f>
        <v>0</v>
      </c>
      <c r="CW565" s="209">
        <f>IF(CV$3=$K565,IF($C565="L",1,IF($C565="1/2L",0.5,0)),0)</f>
        <v>0</v>
      </c>
      <c r="CX565" s="209">
        <f>IF(CX$3=$K565,IF($C565="W",1,IF($C565="1/2W",0.5,0)),0)</f>
        <v>0</v>
      </c>
      <c r="CY565" s="209">
        <f>IF(CX$3=$K565,IF($C565="L",1,IF($C565="1/2L",0.5,0)),0)</f>
        <v>0</v>
      </c>
      <c r="CZ565" s="209">
        <f>IF(CZ$3=$K565,IF($C565="W",1,IF($C565="1/2W",0.5,0)),0)</f>
        <v>0</v>
      </c>
      <c r="DA565" s="209">
        <f>IF(CZ$3=$K565,IF($C565="L",1,IF($C565="1/2L",0.5,0)),0)</f>
        <v>0</v>
      </c>
      <c r="DB565" s="209">
        <f>IF(DB$3=$K565,IF($C565="W",1,IF($C565="1/2W",0.5,0)),0)</f>
        <v>0</v>
      </c>
      <c r="DC565" s="209">
        <f>IF(DB$3=$K565,IF($C565="L",1,IF($C565="1/2L",0.5,0)),0)</f>
        <v>0</v>
      </c>
      <c r="DD565" s="209">
        <f>IF(DD$3=$K565,IF($C565="W",1,IF($C565="1/2W",0.5,0)),0)</f>
        <v>0</v>
      </c>
      <c r="DE565" s="210">
        <f>IF(DD$3=$K565,IF($C565="L",1,IF($C565="1/2L",0.5,0)),0)</f>
        <v>0</v>
      </c>
      <c r="DF565" s="211">
        <f>IF(AND(L565&lt;DF$3,$C565="W"),1+DF564,DF564)</f>
        <v>17</v>
      </c>
      <c r="DG565" s="198">
        <f>IF(DF565&gt;DF564,L565+DG564,DG564)</f>
        <v>22.628</v>
      </c>
      <c r="DH565" s="209">
        <f>IF(AND(L565&gt;DH$3,$C565="W"),1+DH564,0+DH564)</f>
        <v>15</v>
      </c>
      <c r="DI565" s="198">
        <f>IF(DH565&gt;DH564,L565+DI564,DI564)</f>
        <v>81.26000000000001</v>
      </c>
      <c r="DJ565" t="s" s="306">
        <f>IF($D565="","",$D565)</f>
        <v>396</v>
      </c>
      <c r="DK565" s="209">
        <f>IF(AND($B565=" ",$D565&lt;&gt;""),1,0)</f>
        <v>0</v>
      </c>
    </row>
    <row r="566" ht="14.55" customHeight="1">
      <c r="A566" s="107"/>
      <c r="B566" s="108"/>
      <c r="C566" t="s" s="213">
        <v>51</v>
      </c>
      <c r="D566" s="110"/>
      <c r="E566" s="111"/>
      <c r="F566" s="113"/>
      <c r="G566" s="214"/>
      <c r="H566" s="114"/>
      <c r="I566" t="s" s="215">
        <v>75</v>
      </c>
      <c r="J566" t="s" s="216">
        <f>IF(OR(I565="TO",I565="TU",I565="TO1",I565="TU1",I565="TO2",I565="TU2"),J565,IF(OR(I565="AH1",I565="AH2"),IF(OR(I566="AH1",I566="AH2"),-J565,IF(OR(I566="EH1",I566="EH2"),-J565+0.5,"")),IF(OR(I565="EH1",I565="EH2"),IF(OR(I566="AH1",I566="AH2"),-J565+0.5,IF(OR(I566="EH1",I566="EH2"),-J565+1,"")),IF(AND(OR(I565="DNB1",I565="DNB2"),OR(I566="AH1",I566="AH2")),0,IF(AND(I565="Not ScoreBoth",OR(I566="TO1",I566="TO2")),0.5,"")))))</f>
      </c>
      <c r="K566" t="s" s="217">
        <v>39</v>
      </c>
      <c r="L566" s="218">
        <v>1.85</v>
      </c>
      <c r="M566" s="219"/>
      <c r="N566" s="120"/>
      <c r="O566" s="220">
        <f>IF(OR(AE565="",AE566=""),"",ROUND(IF(L567&gt;0,IF(M566&gt;0,M566,IF(M565&gt;0,IF(N565=TRUE,ROUND((M565*AE566)/AE565,0),(M565*AE566)/AE565),IF(M566&gt;0,ROUND(M566,IF(N565=0,2,IF(N565=0.1,1,0))),IF(M567&gt;0,ROUND(O567*AE566/AE567,IF(N565=0,2,IF(N565=0.1,1,0))),0)))),IF(M566&gt;0,M566,ROUND((M565*AE566)/AE565,IF(N565=0,2,IF(N565=0.1,1,0))))),2))</f>
        <v>5.04</v>
      </c>
      <c r="P566" s="221">
        <f>IF(OR(L566="",O566=""),"",IF($C566="1/2W",O566/2+O566/2*L566,IF($C566="1/2L",O566/2,IF(I566="Lay",((O566*(L566/(L566-1)))-O566)*(1-_xlfn.XLOOKUP(K566,'Janeiro 2023 - Valor Real'!A3:A15,'Janeiro 2023 - Valor Real'!C3:C15,0))+O566,(O566*L566-O566)*(1-_xlfn.XLOOKUP(K566,'Janeiro 2023 - Valor Real'!A3:A15,'Janeiro 2023 - Valor Real'!C3:C15,0))+O566))))</f>
        <v>10.584</v>
      </c>
      <c r="Q566" s="222">
        <f>IF(K566="","",IF(_xlfn.XLOOKUP(K566,K$123:K339,DJ$123:DJ339,0,,-1)=DJ566,_xlfn.XLOOKUP(K566,K$123:K339,Q$123:Q339,1,,-1)+1,1))</f>
        <v>1</v>
      </c>
      <c r="R566" s="223">
        <f>IF(K566="","",_xlfn.XLOOKUP(K566,K$123:K339,R$123:R339,0,,-1)+IF($C566=" ",1,0))</f>
        <v>0</v>
      </c>
      <c r="S566" s="125"/>
      <c r="T566" s="126"/>
      <c r="U566" s="126"/>
      <c r="V566" s="224"/>
      <c r="W566" s="126"/>
      <c r="X566" s="127"/>
      <c r="Y566" s="128"/>
      <c r="Z566" s="129"/>
      <c r="AA566" s="129"/>
      <c r="AB566" s="129"/>
      <c r="AC566" s="129"/>
      <c r="AD566" s="225">
        <f>(((L566/(L566-1)-1)*(1-_xlfn.XLOOKUP(K566,'Janeiro 2023 - Valor Real'!A3:A15,'Janeiro 2023 - Valor Real'!C3:C15,0))+1))</f>
        <v>2.1</v>
      </c>
      <c r="AE566" s="226">
        <f>IF(L566="","",IF(L567&gt;0,(SUM(((L565-1)*(1-_xlfn.XLOOKUP(K565,'Janeiro 2023 - Valor Real'!A3:A15,'Janeiro 2023 - Valor Real'!C3:C15,0))+1),((L566-1)*(1-_xlfn.XLOOKUP(K566,'Janeiro 2023 - Valor Real'!A3:A15,'Janeiro 2023 - Valor Real'!C3:C15,0))+1),((L567-1)*(1-_xlfn.XLOOKUP(K567,'Janeiro 2023 - Valor Real'!A3:A15,'Janeiro 2023 - Valor Real'!C3:C15,0))+1))/((L566-1)*(1-_xlfn.XLOOKUP(K566,'Janeiro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Real'!C3:C15,0))+1))/((L565-1)*(1-_xlfn.XLOOKUP(K565,'Janeiro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Real'!C3:C15,0))+1))/((L566-1)*(1-_xlfn.XLOOKUP(K566,'Janeiro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Real'!C3:C15,0))+1))/((L567-1)*(1-_xlfn.XLOOKUP(K567,'Janeiro 2023 - Valor Real'!A3:A15,'Janeiro 2023 - Valor Real'!C3:C15,0))+1)),IF(I566="Lay",IF(I565="Lay",((L565/(L565-1)-1)*(1-_xlfn.XLOOKUP(K565,'Janeiro 2023 - Valor Real'!A3:A15,'Janeiro 2023 - Valor Real'!C3:C15,0))+1)/(((L565/(L565-1)-1)*(1-_xlfn.XLOOKUP(K565,'Janeiro 2023 - Valor Real'!A3:A15,'Janeiro 2023 - Valor Real'!C3:C15,0))+1)+((L566/(L566-1)-1)*(1-_xlfn.XLOOKUP(K566,'Janeiro 2023 - Valor Real'!A3:A15,'Janeiro 2023 - Valor Real'!C3:C15,0))+1)),((L565-1)*(1-_xlfn.XLOOKUP(K565,'Janeiro 2023 - Valor Real'!A3:A15,'Janeiro 2023 - Valor Real'!C3:C15,0))+1)/(((L565-1)*(1-_xlfn.XLOOKUP(K565,'Janeiro 2023 - Valor Real'!A3:A15,'Janeiro 2023 - Valor Real'!C3:C15,0))+1)+((L566/(L566-1)-1)*(1-_xlfn.XLOOKUP(K566,'Janeiro 2023 - Valor Real'!A3:A15,'Janeiro 2023 - Valor Real'!C3:C15,0))+1))),IF(I565="Lay",((L565/(L565-1)-1)*(1-_xlfn.XLOOKUP(K565,'Janeiro 2023 - Valor Real'!A3:A15,'Janeiro 2023 - Valor Real'!C3:C15,0))+1)/((((L565/(L565-1)-1)*(1-_xlfn.XLOOKUP(K565,'Janeiro 2023 - Valor Real'!A3:A15,'Janeiro 2023 - Valor Real'!C3:C15,0))+1))+((L566-1)*(1-_xlfn.XLOOKUP(K566,'Janeiro 2023 - Valor Real'!A3:A15,'Janeiro 2023 - Valor Real'!C3:C15,0))+1)),((L565-1)*(1-_xlfn.XLOOKUP(K565,'Janeiro 2023 - Valor Real'!A3:A15,'Janeiro 2023 - Valor Real'!C3:C15,0))+1)/(((L565-1)*(1-_xlfn.XLOOKUP(K565,'Janeiro 2023 - Valor Real'!A3:A15,'Janeiro 2023 - Valor Real'!C3:C15,0))+1)+((L566-1)*(1-_xlfn.XLOOKUP(K566,'Janeiro 2023 - Valor Real'!A3:A15,'Janeiro 2023 - Valor Real'!C3:C15,0))+1))))))</f>
        <v>0.511627906976744</v>
      </c>
      <c r="AF566" s="197">
        <f>IF($K566=AF$3,ROUND(IF(OR($C566="W",$C566="1/2W",$C566="1/2L"),$P566-$O566,IF($C566="X",0,-$O566)),2),0)</f>
        <v>0</v>
      </c>
      <c r="AG566" s="198">
        <f>IF($K566=AG$3,ROUND(IF(OR($C566="W",$C566="1/2W",$C566="1/2L"),$P566-$O566,IF($C566="X",0,-$O566)),2),0)</f>
        <v>0</v>
      </c>
      <c r="AH566" s="198">
        <f>IF($K566=AH$3,ROUND(IF(OR($C566="W",$C566="1/2W",$C566="1/2L"),$P566-$O566,IF($C566="X",0,-$O566)),2),0)</f>
        <v>-5.04</v>
      </c>
      <c r="AI566" s="198">
        <f>IF($K566=AI$3,ROUND(IF(OR($C566="W",$C566="1/2W",$C566="1/2L"),$P566-$O566,IF($C566="X",0,-$O566)),2),0)</f>
        <v>0</v>
      </c>
      <c r="AJ566" s="198">
        <f>IF($K566=AJ$3,ROUND(IF(OR($C566="W",$C566="1/2W",$C566="1/2L"),$P566-$O566,IF($C566="X",0,-$O566)),2),0)</f>
        <v>0</v>
      </c>
      <c r="AK566" s="198">
        <f>IF($K566=AK$3,ROUND(IF(OR($C566="W",$C566="1/2W",$C566="1/2L"),$P566-$O566,IF($C566="X",0,-$O566)),2),0)</f>
        <v>0</v>
      </c>
      <c r="AL566" s="198">
        <f>IF($K566=AL$3,ROUND(IF(OR($C566="W",$C566="1/2W",$C566="1/2L"),$P566-$O566,IF($C566="X",0,-$O566)),2),0)</f>
        <v>0</v>
      </c>
      <c r="AM566" s="198">
        <f>IF($K566=AM$3,ROUND(IF(OR($C566="W",$C566="1/2W",$C566="1/2L"),$P566-$O566,IF($C566="X",0,-$O566)),2),0)</f>
        <v>0</v>
      </c>
      <c r="AN566" s="198">
        <f>IF($K566=AN$3,ROUND(IF(OR($C566="W",$C566="1/2W",$C566="1/2L"),$P566-$O566,IF($C566="X",0,-$O566)),2),0)</f>
        <v>0</v>
      </c>
      <c r="AO566" s="198">
        <f>IF($K566=AO$3,ROUND(IF(OR($C566="W",$C566="1/2W",$C566="1/2L"),$P566-$O566,IF($C566="X",0,-$O566)),2),0)</f>
        <v>0</v>
      </c>
      <c r="AP566" s="198">
        <f>IF($K566=AP$3,ROUND(IF(OR($C566="W",$C566="1/2W",$C566="1/2L"),$P566-$O566,IF($C566="X",0,-$O566)),2),0)</f>
        <v>0</v>
      </c>
      <c r="AQ566" s="198">
        <f>IF($K566=AQ$3,ROUND(IF(OR($C566="W",$C566="1/2W",$C566="1/2L"),$P566-$O566,IF($C566="X",0,-$O566)),2),0)</f>
        <v>0</v>
      </c>
      <c r="AR566" s="199">
        <f>IF($K566=AR$3,ROUND(IF(OR($C566="W",$C566="1/2W",$C566="1/2L"),$P566-$O566,IF($C566="X",0,-$O566)),2),0)</f>
        <v>0</v>
      </c>
      <c r="AS566" s="197">
        <f>IF(AND($B565=" ",$K566=AS$3),$O566,0)</f>
        <v>0</v>
      </c>
      <c r="AT566" s="198">
        <f>IF(AND($B565=" ",K566=AT$3),$O566,0)</f>
        <v>0</v>
      </c>
      <c r="AU566" s="198">
        <f>IF(AND($B565=" ",$K566=AU$3),$O566,0)</f>
        <v>0</v>
      </c>
      <c r="AV566" s="198">
        <f>IF(AND($B565=" ",$K566=AV$3),$O566,0)</f>
        <v>0</v>
      </c>
      <c r="AW566" s="198">
        <f>IF(AND($B565=" ",$K566=AW$3),$O566,0)</f>
        <v>0</v>
      </c>
      <c r="AX566" s="198">
        <f>IF(AND($B565=" ",$K566=AX$3),$O566,0)</f>
        <v>0</v>
      </c>
      <c r="AY566" s="200">
        <f>IF(AND($B565=" ",$K566=AY$3),$O566,0)</f>
        <v>0</v>
      </c>
      <c r="AZ566" s="201">
        <f>IF(AND($B565=" ",$K566=AZ$3),$O566,0)</f>
        <v>0</v>
      </c>
      <c r="BA566" s="201">
        <f>IF(AND($B565=" ",$K566=BA$3),$O566,0)</f>
        <v>0</v>
      </c>
      <c r="BB566" s="201">
        <f>IF(AND($B565=" ",$K566=BB$3),$O566,0)</f>
        <v>0</v>
      </c>
      <c r="BC566" s="202">
        <f>IF(AND($B565=" ",$K566=BC$3),$O566,0)</f>
        <v>0</v>
      </c>
      <c r="BD566" s="198">
        <f>IF(AND($B565=" ",$K566=BD$3),$O566,0)</f>
        <v>0</v>
      </c>
      <c r="BE566" s="199">
        <f>IF(AND($B565=" ",$K566=BE$3),$O566,0)</f>
        <v>0</v>
      </c>
      <c r="BF566" s="197">
        <f>IF($K566=BF$3,IF($C566="X",0,$O566),0)</f>
        <v>0</v>
      </c>
      <c r="BG566" s="198">
        <f>IF($K566=BG$3,IF($C566="X",0,$O566),0)</f>
        <v>0</v>
      </c>
      <c r="BH566" s="198">
        <f>IF($K566=BH$3,IF($C566="X",0,$O566),0)</f>
        <v>5.04</v>
      </c>
      <c r="BI566" s="198">
        <f>IF($K566=BI$3,IF($C566="X",0,$O566),0)</f>
        <v>0</v>
      </c>
      <c r="BJ566" s="198">
        <f>IF($K566=BJ$3,IF($C566="X",0,$O566),0)</f>
        <v>0</v>
      </c>
      <c r="BK566" s="198">
        <f>IF($K566=BK$3,IF($C566="X",0,$O566),0)</f>
        <v>0</v>
      </c>
      <c r="BL566" s="198">
        <f>IF($K566=BL$3,IF($C566="X",0,$O566),0)</f>
        <v>0</v>
      </c>
      <c r="BM566" s="227">
        <f>IF($K566=BM$3,IF($C566="X",0,$O566),0)</f>
        <v>0</v>
      </c>
      <c r="BN566" s="205">
        <f>IF($K566=BN$3,IF($C566="X",0,$O566),0)</f>
        <v>0</v>
      </c>
      <c r="BO566" s="205">
        <f>IF($K566=BO$3,IF($C566="X",0,$O566),0)</f>
        <v>0</v>
      </c>
      <c r="BP566" s="205">
        <f>IF($K566=BP$3,IF($C566="X",0,$O566),0)</f>
        <v>0</v>
      </c>
      <c r="BQ566" s="202">
        <f>IF($K566=BQ$3,IF($C566="X",0,$O566),0)</f>
        <v>0</v>
      </c>
      <c r="BR566" s="199">
        <f>IF($K566=BR$3,IF($C566="X",0,$O566),0)</f>
        <v>0</v>
      </c>
      <c r="BS566" s="228"/>
      <c r="BT566" s="229"/>
      <c r="BU566" s="140"/>
      <c r="BV566" s="229"/>
      <c r="BW566" s="140"/>
      <c r="BX566" s="140"/>
      <c r="BY566" s="140"/>
      <c r="BZ566" s="229"/>
      <c r="CA566" s="140"/>
      <c r="CB566" s="140"/>
      <c r="CC566" s="140"/>
      <c r="CD566" s="141"/>
      <c r="CE566" s="142"/>
      <c r="CF566" s="230">
        <f>IF(CF$3=$K566,IF($C566="W",1,IF($C566="1/2W",0.5,0)),0)</f>
        <v>0</v>
      </c>
      <c r="CG566" s="231">
        <f>IF(CF$3=$K566,IF($C566="L",1,IF($C566="1/2L",0.5,0)),0)</f>
        <v>0</v>
      </c>
      <c r="CH566" s="231">
        <f>IF(CH$3=$K566,IF($C566="W",1,IF($C566="1/2W",0.5,0)),0)</f>
        <v>0</v>
      </c>
      <c r="CI566" s="231">
        <f>IF(CH$3=$K566,IF($C566="L",1,IF($C566="1/2L",0.5,0)),0)</f>
        <v>0</v>
      </c>
      <c r="CJ566" s="231">
        <f>IF(CJ$3=$K566,IF($C566="W",1,IF($C566="1/2W",0.5,0)),0)</f>
        <v>0</v>
      </c>
      <c r="CK566" s="231">
        <f>IF(CJ$3=$K566,IF($C566="L",1,IF($C566="1/2L",0.5,0)),0)</f>
        <v>1</v>
      </c>
      <c r="CL566" s="231">
        <f>IF(CL$3=$K566,IF($C566="W",1,IF($C566="1/2W",0.5,0)),0)</f>
        <v>0</v>
      </c>
      <c r="CM566" s="231">
        <f>IF(CL$3=$K566,IF($C566="L",1,IF($C566="1/2L",0.5,0)),0)</f>
        <v>0</v>
      </c>
      <c r="CN566" s="231">
        <f>IF(CN$3=$K566,IF($C566="W",1,IF($C566="1/2W",0.5,0)),0)</f>
        <v>0</v>
      </c>
      <c r="CO566" s="231">
        <f>IF(CN$3=$K566,IF($C566="L",1,IF($C566="1/2L",0.5,0)),0)</f>
        <v>0</v>
      </c>
      <c r="CP566" s="231">
        <f>IF(CP$3=$K566,IF($C566="W",1,IF($C566="1/2W",0.5,0)),0)</f>
        <v>0</v>
      </c>
      <c r="CQ566" s="231">
        <f>IF(CP$3=$K566,IF($C566="L",1,IF($C566="1/2L",0.5,0)),0)</f>
        <v>0</v>
      </c>
      <c r="CR566" s="231">
        <f>IF(CR$3=$K566,IF($C566="W",1,IF($C566="1/2W",0.5,0)),0)</f>
        <v>0</v>
      </c>
      <c r="CS566" s="231">
        <f>IF(CR$3=$K566,IF($C566="L",1,IF($C566="1/2L",0.5,0)),0)</f>
        <v>0</v>
      </c>
      <c r="CT566" s="208">
        <f>IF(CT$3=$K566,IF($C566="W",1,IF($C566="1/2W",0.5,0)),0)</f>
        <v>0</v>
      </c>
      <c r="CU566" s="209">
        <f>IF(CT$3=$K566,IF($C566="L",1,IF($C566="1/2L",0.5,0)),0)</f>
        <v>0</v>
      </c>
      <c r="CV566" s="209">
        <f>IF(CV$3=$K566,IF($C566="W",1,IF($C566="1/2W",0.5,0)),0)</f>
        <v>0</v>
      </c>
      <c r="CW566" s="209">
        <f>IF(CV$3=$K566,IF($C566="L",1,IF($C566="1/2L",0.5,0)),0)</f>
        <v>0</v>
      </c>
      <c r="CX566" s="209">
        <f>IF(CX$3=$K566,IF($C566="W",1,IF($C566="1/2W",0.5,0)),0)</f>
        <v>0</v>
      </c>
      <c r="CY566" s="209">
        <f>IF(CX$3=$K566,IF($C566="L",1,IF($C566="1/2L",0.5,0)),0)</f>
        <v>0</v>
      </c>
      <c r="CZ566" s="209">
        <f>IF(CZ$3=$K566,IF($C566="W",1,IF($C566="1/2W",0.5,0)),0)</f>
        <v>0</v>
      </c>
      <c r="DA566" s="209">
        <f>IF(CZ$3=$K566,IF($C566="L",1,IF($C566="1/2L",0.5,0)),0)</f>
        <v>0</v>
      </c>
      <c r="DB566" s="209">
        <f>IF(DB$3=$K566,IF($C566="W",1,IF($C566="1/2W",0.5,0)),0)</f>
        <v>0</v>
      </c>
      <c r="DC566" s="209">
        <f>IF(DB$3=$K566,IF($C566="L",1,IF($C566="1/2L",0.5,0)),0)</f>
        <v>0</v>
      </c>
      <c r="DD566" s="209">
        <f>IF(DD$3=$K566,IF($C566="W",1,IF($C566="1/2W",0.5,0)),0)</f>
        <v>0</v>
      </c>
      <c r="DE566" s="210">
        <f>IF(DD$3=$K566,IF($C566="L",1,IF($C566="1/2L",0.5,0)),0)</f>
        <v>0</v>
      </c>
      <c r="DF566" s="211">
        <f>IF(AND(L566&lt;DF$3,$C566="W"),1+DF565,DF565)</f>
        <v>17</v>
      </c>
      <c r="DG566" s="198">
        <f>IF(DF566&gt;DF565,L566+DG565,DG565)</f>
        <v>22.628</v>
      </c>
      <c r="DH566" s="209">
        <f>IF(AND(L566&gt;DH$3,$C566="W"),1+DH565,0+DH565)</f>
        <v>15</v>
      </c>
      <c r="DI566" s="198">
        <f>IF(DH566&gt;DH565,L566+DI565,DI565)</f>
        <v>81.26000000000001</v>
      </c>
      <c r="DJ566" t="s" s="306">
        <f>IF($D565="","",$D565)</f>
        <v>396</v>
      </c>
      <c r="DK566" s="232"/>
    </row>
    <row r="567" ht="14.55" customHeight="1">
      <c r="A567" s="149"/>
      <c r="B567" s="150"/>
      <c r="C567" t="s" s="233">
        <v>58</v>
      </c>
      <c r="D567" s="152"/>
      <c r="E567" s="153"/>
      <c r="F567" s="155"/>
      <c r="G567" s="234"/>
      <c r="H567" s="156"/>
      <c r="I567" s="235"/>
      <c r="J567" s="236"/>
      <c r="K567" s="237"/>
      <c r="L567" s="238"/>
      <c r="M567" s="239"/>
      <c r="N567" s="161"/>
      <c r="O567" t="s" s="240">
        <f>IF(OR(AE565="",AE566=""),"",IF(L567&gt;0,ROUND(IF(M567&gt;0,M567,IF(M565&gt;0,ROUND((M565*AE567)/AE565,IF(N565=0,2,IF(N565=0.1,1,0))),IF(M566&gt;0,ROUND((M566*AE567)/AE566,IF(N565=0,2,IF(N565=0.1,1,0))),IF(M567&gt;0,M567,0)))),2),""))</f>
      </c>
      <c r="P567" s="309">
        <f>IF(I566="Lay",O566*(L566/(L566-1))-O566,IF(I565="Lay",O565*(L565/(L565-1))-O565,IF(OR(L567="",O567=""),"",IF($C567="1/2W",O567/2+O567/2*L567,IF($C567="1/2L",O567/2,(O567*L567-O567)*(1-_xlfn.XLOOKUP(K567,'Janeiro 2023 - Valor Real'!A3:A15,'Janeiro 2023 - Valor Real'!C3:C15,0))+O567)))))</f>
        <v>5.92941176470588</v>
      </c>
      <c r="Q567" t="s" s="242">
        <f>IF(K567="","",IF(_xlfn.XLOOKUP(K567,K$124:K340,DJ$124:DJ340,0,,-1)=DJ567,_xlfn.XLOOKUP(K567,K$124:K340,Q$124:Q340,1,,-1)+1,1))</f>
      </c>
      <c r="R567" t="s" s="243">
        <f>IF(K567="","",_xlfn.XLOOKUP(K567,K$124:K340,R$124:R340,0,,-1)+IF($C567=" ",1,0))</f>
      </c>
      <c r="S567" s="166"/>
      <c r="T567" s="155"/>
      <c r="U567" s="155"/>
      <c r="V567" s="166"/>
      <c r="W567" s="155"/>
      <c r="X567" s="167"/>
      <c r="Y567" s="128"/>
      <c r="Z567" s="129"/>
      <c r="AA567" s="129"/>
      <c r="AB567" s="129"/>
      <c r="AC567" s="129"/>
      <c r="AD567" s="244">
        <f>((L566/(L566-1)-1))</f>
        <v>1.17647058823529</v>
      </c>
      <c r="AE567" t="s" s="245">
        <f>IF(L567="","",(SUM(((L565-1)*(1-_xlfn.XLOOKUP(K565,'Janeiro 2023 - Valor Real'!A3:A15,'Janeiro 2023 - Valor Real'!C3:C15,0))+1),((L566-1)*(1-_xlfn.XLOOKUP(K566,'Janeiro 2023 - Valor Real'!A3:A15,'Janeiro 2023 - Valor Real'!C3:C15,0))+1),((L567-1)*(1-_xlfn.XLOOKUP(K567,'Janeiro 2023 - Valor Real'!A3:A15,'Janeiro 2023 - Valor Real'!C3:C15,0))+1))/((L567-1)*(1-_xlfn.XLOOKUP(K567,'Janeiro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Real'!C3:C15,0))+1))/((L565-1)*(1-_xlfn.XLOOKUP(K565,'Janeiro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Real'!C3:C15,0))+1))/((L566-1)*(1-_xlfn.XLOOKUP(K566,'Janeiro 2023 - Valor Real'!A3:A15,'Janeiro 2023 - Valor Real'!C3:C15,0))+1)+SUM(((L565-1)*(1-_xlfn.XLOOKUP(K565,'Janeiro 2023 - Valor Real'!A3:A15,'Janeiro 2023 - Valor Real'!C3:C15,0))+1),((L566-1)*(1-_xlfn.XLOOKUP(K566,'Janeiro 2023 - Valor Real'!A3:A15,'Janeiro 2023 - Valor Real'!C3:C15,0))+1),((L567-1)*(1-_xlfn.XLOOKUP(K567,'Janeiro 2023 - Valor Real'!A3:A15,'Janeiro 2023 - Valor Real'!C3:C15,0))+1))/((L567-1)*(1-_xlfn.XLOOKUP(K567,'Janeiro 2023 - Valor Real'!A3:A15,'Janeiro 2023 - Valor Real'!C3:C15,0))+1)))</f>
      </c>
      <c r="AF567" s="197">
        <f>IF($K567=AF$3,ROUND(IF(OR($C567="W",$C567="1/2W",$C567="1/2L"),$P567-$O567,IF($C567="X",0,-$O567)),2),0)</f>
        <v>0</v>
      </c>
      <c r="AG567" s="198">
        <f>IF($K567=AG$3,ROUND(IF(OR($C567="W",$C567="1/2W",$C567="1/2L"),$P567-$O567,IF($C567="X",0,-$O567)),2),0)</f>
        <v>0</v>
      </c>
      <c r="AH567" s="198">
        <f>IF($K567=AH$3,ROUND(IF(OR($C567="W",$C567="1/2W",$C567="1/2L"),$P567-$O567,IF($C567="X",0,-$O567)),2),0)</f>
        <v>0</v>
      </c>
      <c r="AI567" s="198">
        <f>IF($K567=AI$3,ROUND(IF(OR($C567="W",$C567="1/2W",$C567="1/2L"),$P567-$O567,IF($C567="X",0,-$O567)),2),0)</f>
        <v>0</v>
      </c>
      <c r="AJ567" s="198">
        <f>IF($K567=AJ$3,ROUND(IF(OR($C567="W",$C567="1/2W",$C567="1/2L"),$P567-$O567,IF($C567="X",0,-$O567)),2),0)</f>
        <v>0</v>
      </c>
      <c r="AK567" s="198">
        <f>IF($K567=AK$3,ROUND(IF(OR($C567="W",$C567="1/2W",$C567="1/2L"),$P567-$O567,IF($C567="X",0,-$O567)),2),0)</f>
        <v>0</v>
      </c>
      <c r="AL567" s="198">
        <f>IF($K567=AL$3,ROUND(IF(OR($C567="W",$C567="1/2W",$C567="1/2L"),$P567-$O567,IF($C567="X",0,-$O567)),2),0)</f>
        <v>0</v>
      </c>
      <c r="AM567" s="198">
        <f>IF($K567=AM$3,ROUND(IF(OR($C567="W",$C567="1/2W",$C567="1/2L"),$P567-$O567,IF($C567="X",0,-$O567)),2),0)</f>
        <v>0</v>
      </c>
      <c r="AN567" s="198">
        <f>IF($K567=AN$3,ROUND(IF(OR($C567="W",$C567="1/2W",$C567="1/2L"),$P567-$O567,IF($C567="X",0,-$O567)),2),0)</f>
        <v>0</v>
      </c>
      <c r="AO567" s="198">
        <f>IF($K567=AO$3,ROUND(IF(OR($C567="W",$C567="1/2W",$C567="1/2L"),$P567-$O567,IF($C567="X",0,-$O567)),2),0)</f>
        <v>0</v>
      </c>
      <c r="AP567" s="198">
        <f>IF($K567=AP$3,ROUND(IF(OR($C567="W",$C567="1/2W",$C567="1/2L"),$P567-$O567,IF($C567="X",0,-$O567)),2),0)</f>
        <v>0</v>
      </c>
      <c r="AQ567" s="198">
        <f>IF($K567=AQ$3,ROUND(IF(OR($C567="W",$C567="1/2W",$C567="1/2L"),$P567-$O567,IF($C567="X",0,-$O567)),2),0)</f>
        <v>0</v>
      </c>
      <c r="AR567" s="199">
        <f>IF($K567=AR$3,ROUND(IF(OR($C567="W",$C567="1/2W",$C567="1/2L"),$P567-$O567,IF($C567="X",0,-$O567)),2),0)</f>
        <v>0</v>
      </c>
      <c r="AS567" s="197">
        <f>IF(AND($B565=" ",$K567=AS$3),$O567,0)</f>
        <v>0</v>
      </c>
      <c r="AT567" s="198">
        <f>IF(AND($B565=" ",K567=AT$3),$O567,0)</f>
        <v>0</v>
      </c>
      <c r="AU567" s="198">
        <f>IF(AND($B565=" ",$K567=AU$3),$O567,0)</f>
        <v>0</v>
      </c>
      <c r="AV567" s="198">
        <f>IF(AND($B565=" ",$K567=AV$3),$O567,0)</f>
        <v>0</v>
      </c>
      <c r="AW567" s="198">
        <f>IF(AND($B565=" ",$K567=AW$3),$O567,0)</f>
        <v>0</v>
      </c>
      <c r="AX567" s="198">
        <f>IF(AND($B565=" ",$K567=AX$3),$O567,0)</f>
        <v>0</v>
      </c>
      <c r="AY567" s="200">
        <f>IF(AND($B565=" ",$K567=AY$3),$O567,0)</f>
        <v>0</v>
      </c>
      <c r="AZ567" s="201">
        <f>IF(AND($B565=" ",$K567=AZ$3),$O567,0)</f>
        <v>0</v>
      </c>
      <c r="BA567" s="201">
        <f>IF(AND($B565=" ",$K567=BA$3),$O567,0)</f>
        <v>0</v>
      </c>
      <c r="BB567" s="201">
        <f>IF(AND($B565=" ",$K567=BB$3),$O567,0)</f>
        <v>0</v>
      </c>
      <c r="BC567" s="202">
        <f>IF(AND($B565=" ",$K567=BC$3),$O567,0)</f>
        <v>0</v>
      </c>
      <c r="BD567" s="198">
        <f>IF(AND($B565=" ",$K567=BD$3),$O567,0)</f>
        <v>0</v>
      </c>
      <c r="BE567" s="199">
        <f>IF(AND($B565=" ",$K567=BE$3),$O567,0)</f>
        <v>0</v>
      </c>
      <c r="BF567" s="197">
        <f>IF($K567=BF$3,IF($C567="X",0,$O567),0)</f>
        <v>0</v>
      </c>
      <c r="BG567" s="198">
        <f>IF($K567=BG$3,IF($C567="X",0,$O567),0)</f>
        <v>0</v>
      </c>
      <c r="BH567" s="198">
        <f>IF($K567=BH$3,IF($C567="X",0,$O567),0)</f>
        <v>0</v>
      </c>
      <c r="BI567" s="198">
        <f>IF($K567=BI$3,IF($C567="X",0,$O567),0)</f>
        <v>0</v>
      </c>
      <c r="BJ567" s="198">
        <f>IF($K567=BJ$3,IF($C567="X",0,$O567),0)</f>
        <v>0</v>
      </c>
      <c r="BK567" s="198">
        <f>IF($K567=BK$3,IF($C567="X",0,$O567),0)</f>
        <v>0</v>
      </c>
      <c r="BL567" s="198">
        <f>IF($K567=BL$3,IF($C567="X",0,$O567),0)</f>
        <v>0</v>
      </c>
      <c r="BM567" s="200">
        <f>IF($K567=BM$3,IF($C567="X",0,$O567),0)</f>
        <v>0</v>
      </c>
      <c r="BN567" s="201">
        <f>IF($K567=BN$3,IF($C567="X",0,$O567),0)</f>
        <v>0</v>
      </c>
      <c r="BO567" s="201">
        <f>IF($K567=BO$3,IF($C567="X",0,$O567),0)</f>
        <v>0</v>
      </c>
      <c r="BP567" s="201">
        <f>IF($K567=BP$3,IF($C567="X",0,$O567),0)</f>
        <v>0</v>
      </c>
      <c r="BQ567" s="202">
        <f>IF($K567=BQ$3,IF($C567="X",0,$O567),0)</f>
        <v>0</v>
      </c>
      <c r="BR567" s="199">
        <f>IF($K567=BR$3,IF($C567="X",0,$O567),0)</f>
        <v>0</v>
      </c>
      <c r="BS567" s="228"/>
      <c r="BT567" s="229"/>
      <c r="BU567" s="140"/>
      <c r="BV567" s="229"/>
      <c r="BW567" s="140"/>
      <c r="BX567" s="140"/>
      <c r="BY567" s="140"/>
      <c r="BZ567" s="229"/>
      <c r="CA567" s="140"/>
      <c r="CB567" s="140"/>
      <c r="CC567" s="140"/>
      <c r="CD567" s="141"/>
      <c r="CE567" s="142"/>
      <c r="CF567" s="230">
        <f>IF(CF$3=$K567,IF($C567="W",1,IF($C567="1/2W",0.5,0)),0)</f>
        <v>0</v>
      </c>
      <c r="CG567" s="231">
        <f>IF(CF$3=$K567,IF($C567="L",1,IF($C567="1/2L",0.5,0)),0)</f>
        <v>0</v>
      </c>
      <c r="CH567" s="231">
        <f>IF(CH$3=$K567,IF($C567="W",1,IF($C567="1/2W",0.5,0)),0)</f>
        <v>0</v>
      </c>
      <c r="CI567" s="231">
        <f>IF(CH$3=$K567,IF($C567="L",1,IF($C567="1/2L",0.5,0)),0)</f>
        <v>0</v>
      </c>
      <c r="CJ567" s="231">
        <f>IF(CJ$3=$K567,IF($C567="W",1,IF($C567="1/2W",0.5,0)),0)</f>
        <v>0</v>
      </c>
      <c r="CK567" s="231">
        <f>IF(CJ$3=$K567,IF($C567="L",1,IF($C567="1/2L",0.5,0)),0)</f>
        <v>0</v>
      </c>
      <c r="CL567" s="231">
        <f>IF(CL$3=$K567,IF($C567="W",1,IF($C567="1/2W",0.5,0)),0)</f>
        <v>0</v>
      </c>
      <c r="CM567" s="231">
        <f>IF(CL$3=$K567,IF($C567="L",1,IF($C567="1/2L",0.5,0)),0)</f>
        <v>0</v>
      </c>
      <c r="CN567" s="231">
        <f>IF(CN$3=$K567,IF($C567="W",1,IF($C567="1/2W",0.5,0)),0)</f>
        <v>0</v>
      </c>
      <c r="CO567" s="231">
        <f>IF(CN$3=$K567,IF($C567="L",1,IF($C567="1/2L",0.5,0)),0)</f>
        <v>0</v>
      </c>
      <c r="CP567" s="231">
        <f>IF(CP$3=$K567,IF($C567="W",1,IF($C567="1/2W",0.5,0)),0)</f>
        <v>0</v>
      </c>
      <c r="CQ567" s="231">
        <f>IF(CP$3=$K567,IF($C567="L",1,IF($C567="1/2L",0.5,0)),0)</f>
        <v>0</v>
      </c>
      <c r="CR567" s="231">
        <f>IF(CR$3=$K567,IF($C567="W",1,IF($C567="1/2W",0.5,0)),0)</f>
        <v>0</v>
      </c>
      <c r="CS567" s="231">
        <f>IF(CR$3=$K567,IF($C567="L",1,IF($C567="1/2L",0.5,0)),0)</f>
        <v>0</v>
      </c>
      <c r="CT567" s="208">
        <f>IF(CT$3=$K567,IF($C567="W",1,IF($C567="1/2W",0.5,0)),0)</f>
        <v>0</v>
      </c>
      <c r="CU567" s="209">
        <f>IF(CT$3=$K567,IF($C567="L",1,IF($C567="1/2L",0.5,0)),0)</f>
        <v>0</v>
      </c>
      <c r="CV567" s="209">
        <f>IF(CV$3=$K567,IF($C567="W",1,IF($C567="1/2W",0.5,0)),0)</f>
        <v>0</v>
      </c>
      <c r="CW567" s="209">
        <f>IF(CV$3=$K567,IF($C567="L",1,IF($C567="1/2L",0.5,0)),0)</f>
        <v>0</v>
      </c>
      <c r="CX567" s="209">
        <f>IF(CX$3=$K567,IF($C567="W",1,IF($C567="1/2W",0.5,0)),0)</f>
        <v>0</v>
      </c>
      <c r="CY567" s="209">
        <f>IF(CX$3=$K567,IF($C567="L",1,IF($C567="1/2L",0.5,0)),0)</f>
        <v>0</v>
      </c>
      <c r="CZ567" s="209">
        <f>IF(CZ$3=$K567,IF($C567="W",1,IF($C567="1/2W",0.5,0)),0)</f>
        <v>0</v>
      </c>
      <c r="DA567" s="209">
        <f>IF(CZ$3=$K567,IF($C567="L",1,IF($C567="1/2L",0.5,0)),0)</f>
        <v>0</v>
      </c>
      <c r="DB567" s="209">
        <f>IF(DB$3=$K567,IF($C567="W",1,IF($C567="1/2W",0.5,0)),0)</f>
        <v>0</v>
      </c>
      <c r="DC567" s="209">
        <f>IF(DB$3=$K567,IF($C567="L",1,IF($C567="1/2L",0.5,0)),0)</f>
        <v>0</v>
      </c>
      <c r="DD567" s="209">
        <f>IF(DD$3=$K567,IF($C567="W",1,IF($C567="1/2W",0.5,0)),0)</f>
        <v>0</v>
      </c>
      <c r="DE567" s="210">
        <f>IF(DD$3=$K567,IF($C567="L",1,IF($C567="1/2L",0.5,0)),0)</f>
        <v>0</v>
      </c>
      <c r="DF567" s="211">
        <f>IF(AND(L567&lt;DF$3,$C567="W"),1+DF566,DF566)</f>
        <v>17</v>
      </c>
      <c r="DG567" s="198">
        <f>IF(DF567&gt;DF566,L567+DG566,DG566)</f>
        <v>22.628</v>
      </c>
      <c r="DH567" s="209">
        <f>IF(AND(L567&gt;DH$3,$C567="W"),1+DH566,0+DH566)</f>
        <v>15</v>
      </c>
      <c r="DI567" s="198">
        <f>IF(DH567&gt;DH566,L567+DI566,DI566)</f>
        <v>81.26000000000001</v>
      </c>
      <c r="DJ567" t="s" s="306">
        <f>IF($D565="","",$D565)</f>
        <v>396</v>
      </c>
      <c r="DK567" s="232"/>
    </row>
    <row r="568" ht="14.55" customHeight="1">
      <c r="A568" s="246">
        <f>$A565+1</f>
        <v>189</v>
      </c>
      <c r="B568" t="s" s="247">
        <f>IF(AND(_xlfn.XLOOKUP(H568,H$107:H347,G$107:G347,0)=G568,_xlfn.XLOOKUP("TempoBet",K568:K570,L568:L570,0)&gt;0),"X",IF(OR(C568="W",C569="W",C570="W",C568="1/2W",C569="1/2W",C570="1/2W",C568="1/2L",C569="1/2L",C570="1/2L"),"OK",IF(OR(C568="L",C569="L",C570="L"),"LOSS",IF(OR(C568="X",C569="X",C570="X"),"Anulado"," "))))</f>
        <v>50</v>
      </c>
      <c r="C568" t="s" s="248">
        <v>56</v>
      </c>
      <c r="D568" t="s" s="303">
        <f>IF(G568="","",$D565)</f>
        <v>396</v>
      </c>
      <c r="E568" t="s" s="250">
        <v>145</v>
      </c>
      <c r="F568" t="s" s="251">
        <f>IF(G568="","",IF(OR(AND($C568&lt;&gt;" ",$C569=" "),AND($C569&lt;&gt;" ",$C568=" "),AND(L570&gt;0,OR(AND($C570&lt;&gt;" ",OR($C568=" ",$C569=" ")),AND($C570=" ",OR($C568&lt;&gt;" ",$C569&lt;&gt;" "))))),IF(SUM(F$4:F567)=0,1,LARGE(F$4:F567,1)+1),IF(MONTH(G568)=MONTH(TODAY()),IF(AND(DAY(G568)&lt;DAY(TODAY()),$B568=" "),IF(SUM(F$4:F567)=0,1,LARGE(F$4:F567,1)+1),IF($B568=" ",IF(AND(DAY(G568)=DAY(TODAY()),HOUR(G568)&lt;=HOUR(NOW())+1),IF(AND(HOUR(G568)+2&lt;=HOUR(NOW()),DAY(G568)&lt;=DAY(TODAY()),MINUTE(G568)&lt;=MINUTE(NOW())),IF(SUM(F$4:F567)=0,1,LARGE(F$4:F567,1)+1),IF(OR(MINUTE(G568)&lt;=MINUTE(NOW()),HOUR(G568)&lt;=HOUR(NOW())),"!!!","")),""),"")),"")))</f>
      </c>
      <c r="G568" s="252">
        <v>44953.25</v>
      </c>
      <c r="H568" t="s" s="253">
        <v>426</v>
      </c>
      <c r="I568" t="s" s="254">
        <v>172</v>
      </c>
      <c r="J568" s="293"/>
      <c r="K568" t="s" s="256">
        <v>38</v>
      </c>
      <c r="L568" s="257">
        <v>4.2</v>
      </c>
      <c r="M568" s="258">
        <v>13.55</v>
      </c>
      <c r="N568" s="259">
        <v>0.1</v>
      </c>
      <c r="O568" s="260">
        <f>IF(OR(AE568="",AE569=""),"",ROUND(IF(L570&gt;0,IF(M568&gt;0,M568,IF(M569&gt;0,ROUND((M569*AE568)/AE569,IF(N568=0,2,IF(N568=0.1,1,0))),ROUND((M570*AE568)/AE570,IF(N568=0,2,IF(N568=0.1,1,0))))),IF(M568&gt;0,M568,ROUND((M569*AE568)/AE569,IF(N568=0,2,IF(N568=0.1,1,0))))),2))</f>
        <v>13.55</v>
      </c>
      <c r="P568" s="261">
        <f>IF(OR(L568="",O568=""),"",IF($C568="1/2W",O568/2+O568/2*L568,IF($C568="1/2L",O568/2,IF(I568="Lay",(O568*(L568/(L568-1))-O568)*(1-_xlfn.XLOOKUP(K568,'Janeiro 2023 - Valor Real'!A3:A15,'Janeiro 2023 - Valor Real'!C3:C15,0))+O568,(O568*L568-O568)*(1-_xlfn.XLOOKUP(K568,'Janeiro 2023 - Valor Real'!A3:A15,'Janeiro 2023 - Valor Real'!C3:C15,0))+O568))))</f>
        <v>56.91</v>
      </c>
      <c r="Q568" s="262">
        <f>IF(K568="","",IF(_xlfn.XLOOKUP(K568,K$107:K347,DJ$107:DJ347,0,,-1)=DJ568,_xlfn.XLOOKUP(K568,K$107:K347,Q$107:Q347,1,,-1)+1,1))</f>
        <v>1</v>
      </c>
      <c r="R568" s="263">
        <f>IF(K568="","",_xlfn.XLOOKUP(K568,K$107:K347,R$107:R347,0,,-1)+IF($C568=" ",1,0))</f>
        <v>0</v>
      </c>
      <c r="S568" s="264">
        <f>IF($B568="Anulado",0,ROUND(IF(OR($B568="LOSS",$B568="OK"),IF(OR($C568="W",$C568="1/2W",$C568="1/2L"),P568-O568,IF($C568="L",-O568,0))+IF(OR($C569="W",$C569="1/2W",$C569="1/2L"),P569-O569,IF($C569="L",-O569,0))+IF(OR($C570="W",$C570="1/2W",$C570="1/2L"),P570-O570,IF($C570="L",-O570,0)),IF(AND(OR($C568="W",$C568="1/2W",$C568="1/2L"),C569="W"),P568+P569-SUM(O568:O570)+_xlfn.XLOOKUP("X",C568:C570,O568:O570,0),IF(AND(C568=TRUE,C570="W"),P568+P570-SUM(O568:O570),IF(AND(C569="W",C570="W"),P569+P570-SUM(O568:O570)+_xlfn.XLOOKUP("X",C568:C570,O568:O570,0),IF(L570&gt;0,IF(OR($C568="W",$C568="1/2W",$C568="1/2L"),P568-SUM(O568:O570)+_xlfn.XLOOKUP("X",C568:C570,O568:O570,0),IF(OR($C568="W",$C568="1/2W",$C568="1/2L"),P569-SUM(O568:O570)+_xlfn.XLOOKUP("X",C568:C570,O568:O570,0),IF(OR($C568="W",$C568="1/2W",$C568="1/2L"),P570-SUM(O568:O570)+_xlfn.XLOOKUP("X",C568:C570,O568:O570,0),IF(SUM(P568:P570)/3-SUM(O568:O570)+_xlfn.XLOOKUP("X",C568:C570,O568:O570,0)&gt;0,SUM(P568:P570)/3-SUM(O568:O570)+_xlfn.XLOOKUP("X",C568:C570,O568:O570,0),LARGE(P568:P570,1)-SUM(O568:O570))))),IF(OR($C568="W",$C568="1/2W",$C568="1/2L"),P568-SUM(O568:O569)+_xlfn.XLOOKUP("X",C568:C570,O568:O570,0),IF(OR($C568="W",$C568="1/2W",$C568="1/2L"),P569-SUM(O568:O569)+_xlfn.XLOOKUP("X",C568:C570,O568:O570,0),SUM(P568:P569)/2-SUM(O568:O569)+_xlfn.XLOOKUP("X",C568:C570,O568:O570,0)))))))),2))</f>
        <v>2.65</v>
      </c>
      <c r="T568" s="265">
        <f>IF(S568=0,0,S568/SUM(O568:O570))</f>
        <v>0.0488389237007003</v>
      </c>
      <c r="U568" s="266">
        <f>IF($D568=$D565,IF(OR($B568="LOSS",$B568="OK",$B568="Anulada"),S568,0)+U565,IF(OR($B568="LOSS",$B568="OK",$B568="Anulada"),S568,0))</f>
        <v>49.09</v>
      </c>
      <c r="V568" s="266">
        <f>IF($D568="",0,IF($D568=$D565,IF($B568=" ",IF(I570="",IF(OR(AND(I568="DNB1",I569="DNB2"),AND(OR(I568="DNB1",I568="DNB2"),J569=0),AND(OR(I569="DNB1",I569="DNB2"),J568=0),AND(I568="DNB2",I569="DNB1"),AND(IF(J568=0,(J568+1)/ROUND(J568+1,0),J568/ROUND(J568,0))=1,IF(J569=0,(J569+1)/ROUND(IF(J569="",0,J569)+1,0),IF(J569="",0,J569)/ROUND(IF(J569="",1,J569),0))=1,OR(J568&lt;&gt;""),J569&lt;&gt;"")),0,IF(S568&lt;0,IF(I570="",SMALL(P568:P569,1)-SUM(O568:O569),0),SMALL(P568:P569,1)-SUM(O568:O569))),IF(S568&lt;0,IF(I570="",SMALL(P568:P570,1)-SUM(O568:O570),0),LARGE(P568:P570,1)-SUM(O568:O570))),S568)+V565,IF(I570="",IF(OR(AND(I568="DNB1",I569="DNB2"),AND(OR(I568="DNB1",I568="DNB2"),J569=0),AND(OR(I569="DNB1",I569="DNB2"),J568=0),AND(I568="DNB2",I569="DNB1"),AND(IF(J568=0,(J568+1)/ROUND(J568+1,0),J568/ROUND(J568,0))=1,IF(J569=0,(IF(J569="",0,J569)+1)/ROUND(IF(J569="",0,J569)+1,0),IF(J569="",0,J569)/ROUND(IF(J569="",0,J569)+1,0))=1,OR(J568&lt;&gt;""),J569&lt;&gt;"")),0,IF(S568&lt;0,IF(I570="",SMALL(P568:P569,1)-SUM(O568:O569),0),SMALL(P568:P570,1)-SUM(O568:O570))),IF(S568&lt;0,IF(I570="",SMALL(P568:P570,1)-SUM(O568:O570),0),LARGE(P568:P570,1)-SUM(O568:O570)))))</f>
        <v>49.09</v>
      </c>
      <c r="W568" s="266">
        <f>IF($D568=$D565,IF(S568&lt;0,IF(I570="",S568,0),S568)+W565,S568)</f>
        <v>49.09</v>
      </c>
      <c r="X568" t="s" s="267">
        <f>IF(OR(SUM(R568:R570)=0,V568=W568),ROUND(IF(W568=0,0,W568/Y568)*100,2)&amp;"%",ROUND(IF(V568=0,0,V568/Y568)*100,2)&amp;"% a "&amp;ROUND(IF(W568=0,0,W568/Y568)*100,2)&amp;"%")</f>
        <v>427</v>
      </c>
      <c r="Y568" s="268">
        <f>IF($D568=$D565,Y565+SUM(O568:O570),SUM(O568:O570))</f>
        <v>948.4</v>
      </c>
      <c r="Z568" s="266">
        <f>IF($B568=" ",SUM(O568:O570),0)+Z565</f>
        <v>0</v>
      </c>
      <c r="AA568" s="266">
        <f>IF(G568="","",IF($B568="Anulado",LARGE(P568:P570,1)-SUM(O568:O570)+AA565,AA565))</f>
        <v>24.9665076923077</v>
      </c>
      <c r="AB568" s="266">
        <f>IF($D568="","",AB565+S568)</f>
        <v>388.33</v>
      </c>
      <c r="AC568" s="269">
        <f>IF($D568="","",IF($B568=" ",IF(DAY(G568)=DAY(TODAY()),1+AC565,0+AC565),0+AC565))</f>
        <v>0</v>
      </c>
      <c r="AD568" s="270">
        <f>(1-_xlfn.XLOOKUP(K566,'Janeiro 2023 - Valor Real'!A3:A15,'Janeiro 2023 - Valor Real'!C3:C15,0))+1</f>
        <v>1.935</v>
      </c>
      <c r="AE568" s="271">
        <f>IF(L568="","",IF(L570&gt;0,(SUM(((L568-1)*(1-_xlfn.XLOOKUP(K568,'Janeiro 2023 - Valor Real'!A3:A15,'Janeiro 2023 - Valor Real'!C3:C15,0))+1),((L569-1)*(1-_xlfn.XLOOKUP(K569,'Janeiro 2023 - Valor Real'!A3:A15,'Janeiro 2023 - Valor Real'!C3:C15,0))+1),((L570-1)*(1-_xlfn.XLOOKUP(K570,'Janeiro 2023 - Valor Real'!A3:A15,'Janeiro 2023 - Valor Real'!C3:C15,0))+1))/((L568-1)*(1-_xlfn.XLOOKUP(K568,'Janeiro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Real'!C3:C15,0))+1))/((L568-1)*(1-_xlfn.XLOOKUP(K568,'Janeiro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Real'!C3:C15,0))+1))/((L569-1)*(1-_xlfn.XLOOKUP(K569,'Janeiro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Real'!C3:C15,0))+1))/((L570-1)*(1-_xlfn.XLOOKUP(K570,'Janeiro 2023 - Valor Real'!A3:A15,'Janeiro 2023 - Valor Real'!C3:C15,0))+1)),IF(I568="Lay",IF(I569="Lay",((L569/(L569-1)-1)*(1-_xlfn.XLOOKUP(K569,'Janeiro 2023 - Valor Real'!A3:A15,'Janeiro 2023 - Valor Real'!C3:C15,0))+1)/(((L569/(L569-1)-1)*(1-_xlfn.XLOOKUP(K569,'Janeiro 2023 - Valor Real'!A3:A15,'Janeiro 2023 - Valor Real'!C3:C15,0))+1)+((L568/(L568-1)-1)*(1-_xlfn.XLOOKUP(K568,'Janeiro 2023 - Valor Real'!A3:A15,'Janeiro 2023 - Valor Real'!C3:C15,0))+1)),((L569-1)*(1-_xlfn.XLOOKUP(K569,'Janeiro 2023 - Valor Real'!A3:A15,'Janeiro 2023 - Valor Real'!C3:C15,0))+1)/(((L569-1)*(1-_xlfn.XLOOKUP(K569,'Janeiro 2023 - Valor Real'!A3:A15,'Janeiro 2023 - Valor Real'!C3:C15,0))+1)+((L568/(L568-1)-1)*(1-_xlfn.XLOOKUP(K568,'Janeiro 2023 - Valor Real'!A3:A15,'Janeiro 2023 - Valor Real'!C3:C15,0))+1))),IF(I569="Lay",(((L569/(L569-1)-1)*(1-_xlfn.XLOOKUP(K569,'Janeiro 2023 - Valor Real'!A3:A15,'Janeiro 2023 - Valor Real'!C3:C15,0))+1))/(((L568-1)*(1-_xlfn.XLOOKUP(K568,'Janeiro 2023 - Valor Real'!A3:A15,'Janeiro 2023 - Valor Real'!C3:C15,0))+1)+((L569/(L569-1)-1)*(1-_xlfn.XLOOKUP(K569,'Janeiro 2023 - Valor Real'!A3:A15,'Janeiro 2023 - Valor Real'!C3:C15,0))+1)),((L569-1)*(1-_xlfn.XLOOKUP(K569,'Janeiro 2023 - Valor Real'!A3:A15,'Janeiro 2023 - Valor Real'!C3:C15,0))+1)/(((L569-1)*(1-_xlfn.XLOOKUP(K569,'Janeiro 2023 - Valor Real'!A3:A15,'Janeiro 2023 - Valor Real'!C3:C15,0))+1)+((L568-1)*(1-_xlfn.XLOOKUP(K568,'Janeiro 2023 - Valor Real'!A3:A15,'Janeiro 2023 - Valor Real'!C3:C15,0))+1))))))</f>
        <v>0.25</v>
      </c>
      <c r="AF568" s="132">
        <f>IF($K568=AF$3,ROUND(IF(OR($C568="W",$C568="1/2W",$C568="1/2L"),$P568-$O568,IF($C568="X",0,-$O568)),2),0)</f>
        <v>0</v>
      </c>
      <c r="AG568" s="133">
        <f>IF($K568=AG$3,ROUND(IF(OR($C568="W",$C568="1/2W",$C568="1/2L"),$P568-$O568,IF($C568="X",0,-$O568)),2),0)</f>
        <v>43.36</v>
      </c>
      <c r="AH568" s="133">
        <f>IF($K568=AH$3,ROUND(IF(OR($C568="W",$C568="1/2W",$C568="1/2L"),$P568-$O568,IF($C568="X",0,-$O568)),2),0)</f>
        <v>0</v>
      </c>
      <c r="AI568" s="133">
        <f>IF($K568=AI$3,ROUND(IF(OR($C568="W",$C568="1/2W",$C568="1/2L"),$P568-$O568,IF($C568="X",0,-$O568)),2),0)</f>
        <v>0</v>
      </c>
      <c r="AJ568" s="133">
        <f>IF($K568=AJ$3,ROUND(IF(OR($C568="W",$C568="1/2W",$C568="1/2L"),$P568-$O568,IF($C568="X",0,-$O568)),2),0)</f>
        <v>0</v>
      </c>
      <c r="AK568" s="133">
        <f>IF($K568=AK$3,ROUND(IF(OR($C568="W",$C568="1/2W",$C568="1/2L"),$P568-$O568,IF($C568="X",0,-$O568)),2),0)</f>
        <v>0</v>
      </c>
      <c r="AL568" s="133">
        <f>IF($K568=AL$3,ROUND(IF(OR($C568="W",$C568="1/2W",$C568="1/2L"),$P568-$O568,IF($C568="X",0,-$O568)),2),0)</f>
        <v>0</v>
      </c>
      <c r="AM568" s="133">
        <f>IF($K568=AM$3,ROUND(IF(OR($C568="W",$C568="1/2W",$C568="1/2L"),$P568-$O568,IF($C568="X",0,-$O568)),2),0)</f>
        <v>0</v>
      </c>
      <c r="AN568" s="133">
        <f>IF($K568=AN$3,ROUND(IF(OR($C568="W",$C568="1/2W",$C568="1/2L"),$P568-$O568,IF($C568="X",0,-$O568)),2),0)</f>
        <v>0</v>
      </c>
      <c r="AO568" s="133">
        <f>IF($K568=AO$3,ROUND(IF(OR($C568="W",$C568="1/2W",$C568="1/2L"),$P568-$O568,IF($C568="X",0,-$O568)),2),0)</f>
        <v>0</v>
      </c>
      <c r="AP568" s="133">
        <f>IF($K568=AP$3,ROUND(IF(OR($C568="W",$C568="1/2W",$C568="1/2L"),$P568-$O568,IF($C568="X",0,-$O568)),2),0)</f>
        <v>0</v>
      </c>
      <c r="AQ568" s="133">
        <f>IF($K568=AQ$3,ROUND(IF(OR($C568="W",$C568="1/2W",$C568="1/2L"),$P568-$O568,IF($C568="X",0,-$O568)),2),0)</f>
        <v>0</v>
      </c>
      <c r="AR568" s="134">
        <f>IF($K568=AR$3,ROUND(IF(OR($C568="W",$C568="1/2W",$C568="1/2L"),$P568-$O568,IF($C568="X",0,-$O568)),2),0)</f>
        <v>0</v>
      </c>
      <c r="AS568" s="132">
        <f>IF(AND($B568=" ",$K568=AS$3),$O568,0)</f>
        <v>0</v>
      </c>
      <c r="AT568" s="133">
        <f>IF(AND($B568=" ",$K568=AT$3),$O568,0)</f>
        <v>0</v>
      </c>
      <c r="AU568" s="133">
        <f>IF(AND($B568=" ",$K568=AU$3),$O568,0)</f>
        <v>0</v>
      </c>
      <c r="AV568" s="133">
        <f>IF(AND($B568=" ",$K568=AV$3),$O568,0)</f>
        <v>0</v>
      </c>
      <c r="AW568" s="133">
        <f>IF(AND($B568=" ",$K568=AW$3),$O568,0)</f>
        <v>0</v>
      </c>
      <c r="AX568" s="133">
        <f>IF(AND($B568=" ",$K568=AX$3),$O568,0)</f>
        <v>0</v>
      </c>
      <c r="AY568" s="135">
        <f>IF(AND($B568=" ",$K568=AY$3),$O568,0)</f>
        <v>0</v>
      </c>
      <c r="AZ568" s="136">
        <f>IF(AND($B568=" ",$K568=AZ$3),$O568,0)</f>
        <v>0</v>
      </c>
      <c r="BA568" s="136">
        <f>IF(AND($B568=" ",$K568=BA$3),$O568,0)</f>
        <v>0</v>
      </c>
      <c r="BB568" s="136">
        <f>IF(AND($B568=" ",$K568=BB$3),$O568,0)</f>
        <v>0</v>
      </c>
      <c r="BC568" s="137">
        <f>IF(AND($B568=" ",$K568=BC$3),$O568,0)</f>
        <v>0</v>
      </c>
      <c r="BD568" s="133">
        <f>IF(AND($B568=" ",$K568=BD$3),$O568,0)</f>
        <v>0</v>
      </c>
      <c r="BE568" s="134">
        <f>IF(AND($B568=" ",$K568=BE$3),$O568,0)</f>
        <v>0</v>
      </c>
      <c r="BF568" s="132">
        <f>IF($K568=BF$3,IF($C568="X",0,$O568),0)</f>
        <v>0</v>
      </c>
      <c r="BG568" s="133">
        <f>IF($K568=BG$3,IF($C568="X",0,$O568),0)</f>
        <v>13.55</v>
      </c>
      <c r="BH568" s="133">
        <f>IF($K568=BH$3,IF($C568="X",0,$O568),0)</f>
        <v>0</v>
      </c>
      <c r="BI568" s="133">
        <f>IF($K568=BI$3,IF($C568="X",0,$O568),0)</f>
        <v>0</v>
      </c>
      <c r="BJ568" s="133">
        <f>IF($K568=BJ$3,IF($C568="X",0,$O568),0)</f>
        <v>0</v>
      </c>
      <c r="BK568" s="133">
        <f>IF($K568=BK$3,IF($C568="X",0,$O568),0)</f>
        <v>0</v>
      </c>
      <c r="BL568" s="133">
        <f>IF($K568=BL$3,IF($C568="X",0,$O568),0)</f>
        <v>0</v>
      </c>
      <c r="BM568" s="135">
        <f>IF($K568=BM$3,IF($C568="X",0,$O568),0)</f>
        <v>0</v>
      </c>
      <c r="BN568" s="136">
        <f>IF($K568=BN$3,IF($C568="X",0,$O568),0)</f>
        <v>0</v>
      </c>
      <c r="BO568" s="136">
        <f>IF($K568=BO$3,IF($C568="X",0,$O568),0)</f>
        <v>0</v>
      </c>
      <c r="BP568" s="136">
        <f>IF($K568=BP$3,IF($C568="X",0,$O568),0)</f>
        <v>0</v>
      </c>
      <c r="BQ568" s="137">
        <f>IF($K568=BQ$3,IF($C568="X",0,$O568),0)</f>
        <v>0</v>
      </c>
      <c r="BR568" s="134">
        <f>IF($K568=BR$3,IF($C568="X",0,$O568),0)</f>
        <v>0</v>
      </c>
      <c r="BS568" s="170">
        <f>IF($B568="LOSS",IF(AND($K568=BS$3,$C568="L"),-$O568,0)+IF(AND($K569=BS$3,$C569="L"),-$O569,0)+IF(AND($K570=BS$3,$C570="L"),-$O570,0),IF(OR(AND($K568=BS$3,OR($C568="W",$C568="1/2W")),AND($K569=BS$3,OR($C569="W",$C569="1/2W")),AND($K570=BS$3,OR($C570="W",$C570="1/2W"))),$S568,0))</f>
        <v>0</v>
      </c>
      <c r="BT568" s="272">
        <f>IF($B568="LOSS",IF(AND($K568=BT$3,$C568="L"),-$O568,0)+IF(AND($K569=BT$3,$C569="L"),-$O569,0)+IF(AND($K569=BT$3,$C570="L"),-$O570,0),IF(OR(AND($K569=BT$3,OR($C568="W",$C568="1/2W")),AND($K569=BT$3,OR($C569="W",$C569="1/2W")),AND($K569=BT$3,OR($C570="W",$C570="1/2W"))),$S568,0))</f>
        <v>0</v>
      </c>
      <c r="BU568" s="136">
        <f>IF($B568="LOSS",IF(AND($K568=BU$3,$C568="L"),-$O568,0)+IF(AND($K569=BU$3,$C569="L"),-$O569,0)+IF(AND($K569=BU$3,$C570="L"),-$O570,0),IF(OR(AND($K569=BU$3,OR($C568="W",$C568="1/2W")),AND($K569=BU$3,OR($C569="W",$C569="1/2W")),AND($K569=BU$3,OR($C570="W",$C570="1/2W"))),$S568,0))</f>
        <v>0</v>
      </c>
      <c r="BV568" s="136">
        <f>IF($B568="LOSS",IF(AND($K568=BV$3,$C568="L"),-$O568,0)+IF(AND($K569=BV$3,$C569="L"),-$O569,0)+IF(AND($K570=BV$3,$C570="L"),-$O570,0),IF(OR(AND($K568=BV$3,OR($C568="W",$C568="1/2W")),AND($K569=BV$3,OR($C569="W",$C569="1/2W")),AND($K570=BV$3,OR($C570="W",$C570="1/2W"))),$S568,0))</f>
        <v>0</v>
      </c>
      <c r="BW568" s="136">
        <f>IF($B568="LOSS",IF(AND($K568=BW$3,$C568="L"),-$O568,0)+IF(AND($K569=BW$3,$C569="L"),-$O569,0)+IF(AND($K570=BW$3,$C570="L"),-$O570,0),IF(OR(AND($K568=BW$3,OR($C568="W",$C568="1/2W")),AND($K569=BW$3,OR($C569="W",$C569="1/2W")),AND($K570=BW$3,OR($C570="W",$C570="1/2W"))),$S568,0))</f>
        <v>0</v>
      </c>
      <c r="BX568" s="136">
        <f>IF($B568="LOSS",IF(AND($K568=BX$3,$C568="L"),-$O568,0)+IF(AND($K569=BX$3,$C569="L"),-$O569,0)+IF(AND($K570=BX$3,$C570="L"),-$O570,0),IF(OR(AND($K568=BX$3,OR($C568="W",$C568="1/2W")),AND($K569=BX$3,OR($C569="W",$C569="1/2W")),AND($K570=BX$3,OR($C570="W",$C570="1/2W"))),$S568,0))</f>
        <v>0</v>
      </c>
      <c r="BY568" s="136">
        <f>IF($B568="LOSS",IF(AND($K568=BY$3,$C568="L"),-$O568,0)+IF(AND($K569=BY$3,$C569="L"),-$O569,0)+IF(AND($K570=BY$3,$C570="L"),-$O570,0),IF(OR(AND($K568=BY$3,OR($C568="W",$C568="1/2W")),AND($K569=BY$3,OR($C569="W",$C569="1/2W")),AND($K570=BY$3,OR($C570="W",$C570="1/2W"))),$S568,0))</f>
        <v>0</v>
      </c>
      <c r="BZ568" s="136">
        <f>IF($B568="LOSS",IF(AND($K568=BZ$3,$C568="L"),-$O568,0)+IF(AND($K569=BZ$3,$C569="L"),-$O569,0)+IF(AND($K570=BZ$3,$C570="L"),-$O570,0),IF(OR(AND($K568=BZ$3,OR($C568="W",$C568="1/2W")),AND($K569=BZ$3,OR($C569="W",$C569="1/2W")),AND($K570=BZ$3,OR($C570="W",$C570="1/2W"))),$S568,0))</f>
        <v>0</v>
      </c>
      <c r="CA568" s="136">
        <f>IF($B568="LOSS",IF(AND($K568=CA$3,$C568="L"),-$O568,0)+IF(AND($K569=CA$3,$C569="L"),-$O569,0)+IF(AND($K570=CA$3,$C570="L"),-$O570,0),IF(OR(AND($K568=CA$3,OR($C568="W",$C568="1/2W")),AND($K569=CA$3,OR($C569="W",$C569="1/2W")),AND($K570=CA$3,OR($C570="W",$C570="1/2W"))),$S568,0))</f>
        <v>0</v>
      </c>
      <c r="CB568" s="136">
        <f>IF($B568="LOSS",IF(AND($K568=CB$3,$C568="L"),-$O568,0)+IF(AND($K569=CB$3,$C569="L"),-$O569,0)+IF(AND($K570=CB$3,$C570="L"),-$O570,0),IF(OR(AND($K568=CB$3,OR($C568="W",$C568="1/2W")),AND($K569=CB$3,OR($C569="W",$C569="1/2W")),AND($K570=CB$3,OR($C570="W",$C570="1/2W"))),$S568,0))</f>
        <v>0</v>
      </c>
      <c r="CC568" s="136">
        <f>IF($B568="LOSS",IF(AND($K568=CC$3,$C568="L"),-$O568,0)+IF(AND($K569=CC$3,$C569="L"),-$O569,0)+IF(AND($K570=CC$3,$C570="L"),-$O570,0),IF(OR(AND($K568=CC$3,OR($C568="W",$C568="1/2W")),AND($K569=CC$3,OR($C569="W",$C569="1/2W")),AND($K570=CC$3,OR($C570="W",$C570="1/2W"))),$S568,0))</f>
        <v>0</v>
      </c>
      <c r="CD568" s="137">
        <f>IF($B568="LOSS",IF(AND($K568=CD$3,$C568="L"),-$O568,0)+IF(AND($K569=CD$3,$C569="L"),-$O569,0)+IF(AND($K570=CD$3,$C570="L"),-$O570,0),IF(OR(AND($K568=CD$3,OR($C568="W",$C568="1/2W")),AND($K569=CD$3,OR($C569="W",$C569="1/2W")),AND($K570=CD$3,OR($C570="W",$C570="1/2W"))),$S568,0))</f>
        <v>0</v>
      </c>
      <c r="CE568" s="134">
        <f>IF($B568="LOSS",IF(AND($K568=CE$3,$C568="L"),-$O568,0)+IF(AND($K569=CE$3,$C569="L"),-$O569,0)+IF(AND($K570=CE$3,$C570="L"),-$O570,0),IF(OR(AND($K568=CE$3,OR($C568="W",$C568="1/2W")),AND($K569=CE$3,OR($C569="W",$C569="1/2W")),AND($K570=CE$3,OR($C570="W",$C570="1/2W"))),$S568,0))</f>
        <v>0</v>
      </c>
      <c r="CF568" s="273">
        <f>IF(CF$3=$K568,IF($C568="W",1,IF($C568="1/2W",0.5,0)),0)</f>
        <v>0</v>
      </c>
      <c r="CG568" s="274">
        <f>IF(CF$3=$K568,IF($C568="L",1,IF($C568="1/2L",0.5,0)),0)</f>
        <v>0</v>
      </c>
      <c r="CH568" s="274">
        <f>IF(CH$3=$K568,IF($C568="W",1,IF($C568="1/2W",0.5,0)),0)</f>
        <v>1</v>
      </c>
      <c r="CI568" s="274">
        <f>IF(CH$3=$K568,IF($C568="L",1,IF($C568="1/2L",0.5,0)),0)</f>
        <v>0</v>
      </c>
      <c r="CJ568" s="274">
        <f>IF(CJ$3=$K568,IF($C568="W",1,IF($C568="1/2W",0.5,0)),0)</f>
        <v>0</v>
      </c>
      <c r="CK568" s="274">
        <f>IF(CJ$3=$K568,IF($C568="L",1,IF($C568="1/2L",0.5,0)),0)</f>
        <v>0</v>
      </c>
      <c r="CL568" s="274">
        <f>IF(CL$3=$K568,IF($C568="W",1,IF($C568="1/2W",0.5,0)),0)</f>
        <v>0</v>
      </c>
      <c r="CM568" s="274">
        <f>IF(CL$3=$K568,IF($C568="L",1,IF($C568="1/2L",0.5,0)),0)</f>
        <v>0</v>
      </c>
      <c r="CN568" s="274">
        <f>IF(CN$3=$K568,IF($C568="W",1,IF($C568="1/2W",0.5,0)),0)</f>
        <v>0</v>
      </c>
      <c r="CO568" s="274">
        <f>IF(CN$3=$K568,IF($C568="L",1,IF($C568="1/2L",0.5,0)),0)</f>
        <v>0</v>
      </c>
      <c r="CP568" s="274">
        <f>IF(CP$3=$K568,IF($C568="W",1,IF($C568="1/2W",0.5,0)),0)</f>
        <v>0</v>
      </c>
      <c r="CQ568" s="274">
        <f>IF(CP$3=$K568,IF($C568="L",1,IF($C568="1/2L",0.5,0)),0)</f>
        <v>0</v>
      </c>
      <c r="CR568" s="274">
        <f>IF(CR$3=$K568,IF($C568="W",1,IF($C568="1/2W",0.5,0)),0)</f>
        <v>0</v>
      </c>
      <c r="CS568" s="274">
        <f>IF(CR$3=$K568,IF($C568="L",1,IF($C568="1/2L",0.5,0)),0)</f>
        <v>0</v>
      </c>
      <c r="CT568" s="145">
        <f>IF(CT$3=$K568,IF($C568="W",1,IF($C568="1/2W",0.5,0)),0)</f>
        <v>0</v>
      </c>
      <c r="CU568" s="146">
        <f>IF(CT$3=$K568,IF($C568="L",1,IF($C568="1/2L",0.5,0)),0)</f>
        <v>0</v>
      </c>
      <c r="CV568" s="146">
        <f>IF(CV$3=$K568,IF($C568="W",1,IF($C568="1/2W",0.5,0)),0)</f>
        <v>0</v>
      </c>
      <c r="CW568" s="146">
        <f>IF(CV$3=$K568,IF($C568="L",1,IF($C568="1/2L",0.5,0)),0)</f>
        <v>0</v>
      </c>
      <c r="CX568" s="146">
        <f>IF(CX$3=$K568,IF($C568="W",1,IF($C568="1/2W",0.5,0)),0)</f>
        <v>0</v>
      </c>
      <c r="CY568" s="146">
        <f>IF(CX$3=$K568,IF($C568="L",1,IF($C568="1/2L",0.5,0)),0)</f>
        <v>0</v>
      </c>
      <c r="CZ568" s="146">
        <f>IF(CZ$3=$K568,IF($C568="W",1,IF($C568="1/2W",0.5,0)),0)</f>
        <v>0</v>
      </c>
      <c r="DA568" s="146">
        <f>IF(CZ$3=$K568,IF($C568="L",1,IF($C568="1/2L",0.5,0)),0)</f>
        <v>0</v>
      </c>
      <c r="DB568" s="146">
        <f>IF(DB$3=$K568,IF($C568="W",1,IF($C568="1/2W",0.5,0)),0)</f>
        <v>0</v>
      </c>
      <c r="DC568" s="146">
        <f>IF(DB$3=$K568,IF($C568="L",1,IF($C568="1/2L",0.5,0)),0)</f>
        <v>0</v>
      </c>
      <c r="DD568" s="146">
        <f>IF(DD$3=$K568,IF($C568="W",1,IF($C568="1/2W",0.5,0)),0)</f>
        <v>0</v>
      </c>
      <c r="DE568" s="147">
        <f>IF(DD$3=$K568,IF($C568="L",1,IF($C568="1/2L",0.5,0)),0)</f>
        <v>0</v>
      </c>
      <c r="DF568" s="143">
        <f>IF(AND(L568&lt;DF$3,$C568="W"),1+DF567,DF567)</f>
        <v>17</v>
      </c>
      <c r="DG568" s="133">
        <f>IF(DF568&gt;DF567,L568+DG567,DG567)</f>
        <v>22.628</v>
      </c>
      <c r="DH568" s="146">
        <f>IF(AND(L568&gt;DH$3,$C568="W"),1+DH567,0+DH567)</f>
        <v>16</v>
      </c>
      <c r="DI568" s="133">
        <f>IF(DH568&gt;DH567,L568+DI567,DI567)</f>
        <v>85.45999999999999</v>
      </c>
      <c r="DJ568" t="s" s="304">
        <f>IF($D568="","",$D568)</f>
        <v>396</v>
      </c>
      <c r="DK568" s="146">
        <f>IF(AND($B568=" ",$D568&lt;&gt;""),1,0)</f>
        <v>0</v>
      </c>
    </row>
    <row r="569" ht="14.55" customHeight="1">
      <c r="A569" s="107"/>
      <c r="B569" s="108"/>
      <c r="C569" t="s" s="109">
        <v>51</v>
      </c>
      <c r="D569" s="110"/>
      <c r="E569" s="111"/>
      <c r="F569" s="113"/>
      <c r="G569" s="252"/>
      <c r="H569" s="114"/>
      <c r="I569" s="294">
        <v>2</v>
      </c>
      <c r="J569" t="s" s="295">
        <f>IF(OR(I568="TO",I568="TU",I568="TO1",I568="TU1",I568="TO2",I568="TU2"),J568,IF(OR(I568="AH1",I568="AH2"),IF(OR(I569="AH1",I569="AH2"),-J568,IF(OR(I569="EH1",I569="EH2"),-J568+0.5,"")),IF(OR(I568="EH1",I568="EH2"),IF(OR(I569="AH1",I569="AH2"),-J568+0.5,IF(OR(I569="EH1",I569="EH2"),-J568+1,"")),IF(AND(OR(I568="DNB1",I568="DNB2"),OR(I569="AH1",I569="AH2")),0,IF(AND(I568="Not ScoreBoth",OR(I569="TO1",I569="TO2")),0.5,"")))))</f>
      </c>
      <c r="K569" t="s" s="117">
        <v>48</v>
      </c>
      <c r="L569" s="277">
        <v>1.4</v>
      </c>
      <c r="M569" s="278">
        <v>40.71</v>
      </c>
      <c r="N569" s="120"/>
      <c r="O569" s="121">
        <f>IF(OR(AE568="",AE569=""),"",ROUND(IF(L570&gt;0,IF(M569&gt;0,M569,IF(M568&gt;0,IF(N568=TRUE,ROUND((M568*AE569)/AE568,0),(M568*AE569)/AE568),IF(M569&gt;0,ROUND(M569,IF(N568=0,2,IF(N568=0.1,1,0))),IF(M570&gt;0,ROUND(O570*AE569/AE570,IF(N568=0,2,IF(N568=0.1,1,0))),0)))),IF(M569&gt;0,M569,ROUND((M568*AE569)/AE568,IF(N568=0,2,IF(N568=0.1,1,0))))),2))</f>
        <v>40.71</v>
      </c>
      <c r="P569" s="122">
        <f>IF(OR(L569="",O569=""),"",IF($C569="1/2W",O569/2+O569/2*L569,IF($C569="1/2L",O569/2,IF(I569="Lay",((O569*(L569/(L569-1)))-O569)*(1-_xlfn.XLOOKUP(K569,'Janeiro 2023 - Valor Real'!A3:A15,'Janeiro 2023 - Valor Real'!C3:C15,0))+O569,(O569*L569-O569)*(1-_xlfn.XLOOKUP(K569,'Janeiro 2023 - Valor Real'!A3:A15,'Janeiro 2023 - Valor Real'!C3:C15,0))+O569))))</f>
        <v>56.994</v>
      </c>
      <c r="Q569" s="279">
        <f>IF(K569="","",IF(_xlfn.XLOOKUP(K569,K$120:K348,DJ$120:DJ348,0,,-1)=DJ569,_xlfn.XLOOKUP(K569,K$120:K348,Q$120:Q348,1,,-1)+1,1))</f>
        <v>1</v>
      </c>
      <c r="R569" s="280">
        <f>IF(K569="","",_xlfn.XLOOKUP(K569,K$120:K348,R$120:R348,0,,-1)+IF($C569=" ",1,0))</f>
        <v>0</v>
      </c>
      <c r="S569" s="125"/>
      <c r="T569" s="126"/>
      <c r="U569" s="126"/>
      <c r="V569" s="224"/>
      <c r="W569" s="126"/>
      <c r="X569" s="127"/>
      <c r="Y569" s="128"/>
      <c r="Z569" s="129"/>
      <c r="AA569" s="129"/>
      <c r="AB569" s="129"/>
      <c r="AC569" s="129"/>
      <c r="AD569" s="130"/>
      <c r="AE569" s="131">
        <f>IF(L569="","",IF(L570&gt;0,(SUM(((L568-1)*(1-_xlfn.XLOOKUP(K568,'Janeiro 2023 - Valor Real'!A3:A15,'Janeiro 2023 - Valor Real'!C3:C15,0))+1),((L569-1)*(1-_xlfn.XLOOKUP(K569,'Janeiro 2023 - Valor Real'!A3:A15,'Janeiro 2023 - Valor Real'!C3:C15,0))+1),((L570-1)*(1-_xlfn.XLOOKUP(K570,'Janeiro 2023 - Valor Real'!A3:A15,'Janeiro 2023 - Valor Real'!C3:C15,0))+1))/((L569-1)*(1-_xlfn.XLOOKUP(K569,'Janeiro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Real'!C3:C15,0))+1))/((L568-1)*(1-_xlfn.XLOOKUP(K568,'Janeiro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Real'!C3:C15,0))+1))/((L569-1)*(1-_xlfn.XLOOKUP(K569,'Janeiro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Real'!C3:C15,0))+1))/((L570-1)*(1-_xlfn.XLOOKUP(K570,'Janeiro 2023 - Valor Real'!A3:A15,'Janeiro 2023 - Valor Real'!C3:C15,0))+1)),IF(I569="Lay",IF(I568="Lay",((L568/(L568-1)-1)*(1-_xlfn.XLOOKUP(K568,'Janeiro 2023 - Valor Real'!A3:A15,'Janeiro 2023 - Valor Real'!C3:C15,0))+1)/(((L568/(L568-1)-1)*(1-_xlfn.XLOOKUP(K568,'Janeiro 2023 - Valor Real'!A3:A15,'Janeiro 2023 - Valor Real'!C3:C15,0))+1)+((L569/(L569-1)-1)*(1-_xlfn.XLOOKUP(K569,'Janeiro 2023 - Valor Real'!A3:A15,'Janeiro 2023 - Valor Real'!C3:C15,0))+1)),((L568-1)*(1-_xlfn.XLOOKUP(K568,'Janeiro 2023 - Valor Real'!A3:A15,'Janeiro 2023 - Valor Real'!C3:C15,0))+1)/(((L568-1)*(1-_xlfn.XLOOKUP(K568,'Janeiro 2023 - Valor Real'!A3:A15,'Janeiro 2023 - Valor Real'!C3:C15,0))+1)+((L569/(L569-1)-1)*(1-_xlfn.XLOOKUP(K569,'Janeiro 2023 - Valor Real'!A3:A15,'Janeiro 2023 - Valor Real'!C3:C15,0))+1))),IF(I568="Lay",((L568/(L568-1)-1)*(1-_xlfn.XLOOKUP(K568,'Janeiro 2023 - Valor Real'!A3:A15,'Janeiro 2023 - Valor Real'!C3:C15,0))+1)/((((L568/(L568-1)-1)*(1-_xlfn.XLOOKUP(K568,'Janeiro 2023 - Valor Real'!A3:A15,'Janeiro 2023 - Valor Real'!C3:C15,0))+1))+((L569-1)*(1-_xlfn.XLOOKUP(K569,'Janeiro 2023 - Valor Real'!A3:A15,'Janeiro 2023 - Valor Real'!C3:C15,0))+1)),((L568-1)*(1-_xlfn.XLOOKUP(K568,'Janeiro 2023 - Valor Real'!A3:A15,'Janeiro 2023 - Valor Real'!C3:C15,0))+1)/(((L568-1)*(1-_xlfn.XLOOKUP(K568,'Janeiro 2023 - Valor Real'!A3:A15,'Janeiro 2023 - Valor Real'!C3:C15,0))+1)+((L569-1)*(1-_xlfn.XLOOKUP(K569,'Janeiro 2023 - Valor Real'!A3:A15,'Janeiro 2023 - Valor Real'!C3:C15,0))+1))))))</f>
        <v>0.75</v>
      </c>
      <c r="AF569" s="132">
        <f>IF($K569=AF$3,ROUND(IF(OR($C569="W",$C569="1/2W",$C569="1/2L"),$P569-$O569,IF($C569="X",0,-$O569)),2),0)</f>
        <v>0</v>
      </c>
      <c r="AG569" s="133">
        <f>IF($K569=AG$3,ROUND(IF(OR($C569="W",$C569="1/2W",$C569="1/2L"),$P569-$O569,IF($C569="X",0,-$O569)),2),0)</f>
        <v>0</v>
      </c>
      <c r="AH569" s="133">
        <f>IF($K569=AH$3,ROUND(IF(OR($C569="W",$C569="1/2W",$C569="1/2L"),$P569-$O569,IF($C569="X",0,-$O569)),2),0)</f>
        <v>0</v>
      </c>
      <c r="AI569" s="133">
        <f>IF($K569=AI$3,ROUND(IF(OR($C569="W",$C569="1/2W",$C569="1/2L"),$P569-$O569,IF($C569="X",0,-$O569)),2),0)</f>
        <v>0</v>
      </c>
      <c r="AJ569" s="133">
        <f>IF($K569=AJ$3,ROUND(IF(OR($C569="W",$C569="1/2W",$C569="1/2L"),$P569-$O569,IF($C569="X",0,-$O569)),2),0)</f>
        <v>0</v>
      </c>
      <c r="AK569" s="133">
        <f>IF($K569=AK$3,ROUND(IF(OR($C569="W",$C569="1/2W",$C569="1/2L"),$P569-$O569,IF($C569="X",0,-$O569)),2),0)</f>
        <v>0</v>
      </c>
      <c r="AL569" s="133">
        <f>IF($K569=AL$3,ROUND(IF(OR($C569="W",$C569="1/2W",$C569="1/2L"),$P569-$O569,IF($C569="X",0,-$O569)),2),0)</f>
        <v>0</v>
      </c>
      <c r="AM569" s="133">
        <f>IF($K569=AM$3,ROUND(IF(OR($C569="W",$C569="1/2W",$C569="1/2L"),$P569-$O569,IF($C569="X",0,-$O569)),2),0)</f>
        <v>0</v>
      </c>
      <c r="AN569" s="133">
        <f>IF($K569=AN$3,ROUND(IF(OR($C569="W",$C569="1/2W",$C569="1/2L"),$P569-$O569,IF($C569="X",0,-$O569)),2),0)</f>
        <v>0</v>
      </c>
      <c r="AO569" s="133">
        <f>IF($K569=AO$3,ROUND(IF(OR($C569="W",$C569="1/2W",$C569="1/2L"),$P569-$O569,IF($C569="X",0,-$O569)),2),0)</f>
        <v>0</v>
      </c>
      <c r="AP569" s="133">
        <f>IF($K569=AP$3,ROUND(IF(OR($C569="W",$C569="1/2W",$C569="1/2L"),$P569-$O569,IF($C569="X",0,-$O569)),2),0)</f>
        <v>0</v>
      </c>
      <c r="AQ569" s="133">
        <f>IF($K569=AQ$3,ROUND(IF(OR($C569="W",$C569="1/2W",$C569="1/2L"),$P569-$O569,IF($C569="X",0,-$O569)),2),0)</f>
        <v>-40.71</v>
      </c>
      <c r="AR569" s="134">
        <f>IF($K569=AR$3,ROUND(IF(OR($C569="W",$C569="1/2W",$C569="1/2L"),$P569-$O569,IF($C569="X",0,-$O569)),2),0)</f>
        <v>0</v>
      </c>
      <c r="AS569" s="132">
        <f>IF(AND($B568=" ",$K569=AS$3),$O569,0)</f>
        <v>0</v>
      </c>
      <c r="AT569" s="133">
        <f>IF(AND($B568=" ",K569=AT$3),$O569,0)</f>
        <v>0</v>
      </c>
      <c r="AU569" s="133">
        <f>IF(AND($B568=" ",$K569=AU$3),$O569,0)</f>
        <v>0</v>
      </c>
      <c r="AV569" s="133">
        <f>IF(AND($B568=" ",$K569=AV$3),$O569,0)</f>
        <v>0</v>
      </c>
      <c r="AW569" s="133">
        <f>IF(AND($B568=" ",$K569=AW$3),$O569,0)</f>
        <v>0</v>
      </c>
      <c r="AX569" s="133">
        <f>IF(AND($B568=" ",$K569=AX$3),$O569,0)</f>
        <v>0</v>
      </c>
      <c r="AY569" s="135">
        <f>IF(AND($B568=" ",$K569=AY$3),$O569,0)</f>
        <v>0</v>
      </c>
      <c r="AZ569" s="136">
        <f>IF(AND($B568=" ",$K569=AZ$3),$O569,0)</f>
        <v>0</v>
      </c>
      <c r="BA569" s="136">
        <f>IF(AND($B568=" ",$K569=BA$3),$O569,0)</f>
        <v>0</v>
      </c>
      <c r="BB569" s="136">
        <f>IF(AND($B568=" ",$K569=BB$3),$O569,0)</f>
        <v>0</v>
      </c>
      <c r="BC569" s="137">
        <f>IF(AND($B568=" ",$K569=BC$3),$O569,0)</f>
        <v>0</v>
      </c>
      <c r="BD569" s="133">
        <f>IF(AND($B568=" ",$K569=BD$3),$O569,0)</f>
        <v>0</v>
      </c>
      <c r="BE569" s="134">
        <f>IF(AND($B568=" ",$K569=BE$3),$O569,0)</f>
        <v>0</v>
      </c>
      <c r="BF569" s="132">
        <f>IF($K569=BF$3,IF($C569="X",0,$O569),0)</f>
        <v>0</v>
      </c>
      <c r="BG569" s="281">
        <f>IF($K569=BG$3,IF($C569="X",0,$O569),0)</f>
        <v>0</v>
      </c>
      <c r="BH569" s="133">
        <f>IF($K569=BH$3,IF($C569="X",0,$O569),0)</f>
        <v>0</v>
      </c>
      <c r="BI569" s="133">
        <f>IF($K569=BI$3,IF($C569="X",0,$O569),0)</f>
        <v>0</v>
      </c>
      <c r="BJ569" s="133">
        <f>IF($K569=BJ$3,IF($C569="X",0,$O569),0)</f>
        <v>0</v>
      </c>
      <c r="BK569" s="133">
        <f>IF($K569=BK$3,IF($C569="X",0,$O569),0)</f>
        <v>0</v>
      </c>
      <c r="BL569" s="133">
        <f>IF($K569=BL$3,IF($C569="X",0,$O569),0)</f>
        <v>0</v>
      </c>
      <c r="BM569" s="135">
        <f>IF($K569=BM$3,IF($C569="X",0,$O569),0)</f>
        <v>0</v>
      </c>
      <c r="BN569" s="136">
        <f>IF($K569=BN$3,IF($C569="X",0,$O569),0)</f>
        <v>0</v>
      </c>
      <c r="BO569" s="136">
        <f>IF($K569=BO$3,IF($C569="X",0,$O569),0)</f>
        <v>0</v>
      </c>
      <c r="BP569" s="136">
        <f>IF($K569=BP$3,IF($C569="X",0,$O569),0)</f>
        <v>0</v>
      </c>
      <c r="BQ569" s="137">
        <f>IF($K569=BQ$3,IF($C569="X",0,$O569),0)</f>
        <v>40.71</v>
      </c>
      <c r="BR569" s="134">
        <f>IF($K569=BR$3,IF($C569="X",0,$O569),0)</f>
        <v>0</v>
      </c>
      <c r="BS569" s="282"/>
      <c r="BT569" s="283"/>
      <c r="BU569" s="140"/>
      <c r="BV569" s="283"/>
      <c r="BW569" s="140"/>
      <c r="BX569" s="140"/>
      <c r="BY569" s="140"/>
      <c r="BZ569" s="283"/>
      <c r="CA569" s="140"/>
      <c r="CB569" s="140"/>
      <c r="CC569" s="140"/>
      <c r="CD569" s="141"/>
      <c r="CE569" s="142"/>
      <c r="CF569" s="284">
        <f>IF(CF$3=$K569,IF($C569="W",1,IF($C569="1/2W",0.5,0)),0)</f>
        <v>0</v>
      </c>
      <c r="CG569" s="285">
        <f>IF(CF$3=$K569,IF($C569="L",1,IF($C569="1/2L",0.5,0)),0)</f>
        <v>0</v>
      </c>
      <c r="CH569" s="285">
        <f>IF(CH$3=$K569,IF($C569="W",1,IF($C569="1/2W",0.5,0)),0)</f>
        <v>0</v>
      </c>
      <c r="CI569" s="285">
        <f>IF(CH$3=$K569,IF($C569="L",1,IF($C569="1/2L",0.5,0)),0)</f>
        <v>0</v>
      </c>
      <c r="CJ569" s="285">
        <f>IF(CJ$3=$K569,IF($C569="W",1,IF($C569="1/2W",0.5,0)),0)</f>
        <v>0</v>
      </c>
      <c r="CK569" s="285">
        <f>IF(CJ$3=$K569,IF($C569="L",1,IF($C569="1/2L",0.5,0)),0)</f>
        <v>0</v>
      </c>
      <c r="CL569" s="285">
        <f>IF(CL$3=$K569,IF($C569="W",1,IF($C569="1/2W",0.5,0)),0)</f>
        <v>0</v>
      </c>
      <c r="CM569" s="285">
        <f>IF(CL$3=$K569,IF($C569="L",1,IF($C569="1/2L",0.5,0)),0)</f>
        <v>0</v>
      </c>
      <c r="CN569" s="285">
        <f>IF(CN$3=$K569,IF($C569="W",1,IF($C569="1/2W",0.5,0)),0)</f>
        <v>0</v>
      </c>
      <c r="CO569" s="285">
        <f>IF(CN$3=$K569,IF($C569="L",1,IF($C569="1/2L",0.5,0)),0)</f>
        <v>0</v>
      </c>
      <c r="CP569" s="285">
        <f>IF(CP$3=$K569,IF($C569="W",1,IF($C569="1/2W",0.5,0)),0)</f>
        <v>0</v>
      </c>
      <c r="CQ569" s="285">
        <f>IF(CP$3=$K569,IF($C569="L",1,IF($C569="1/2L",0.5,0)),0)</f>
        <v>0</v>
      </c>
      <c r="CR569" s="285">
        <f>IF(CR$3=$K569,IF($C569="W",1,IF($C569="1/2W",0.5,0)),0)</f>
        <v>0</v>
      </c>
      <c r="CS569" s="285">
        <f>IF(CR$3=$K569,IF($C569="L",1,IF($C569="1/2L",0.5,0)),0)</f>
        <v>0</v>
      </c>
      <c r="CT569" s="145">
        <f>IF(CT$3=$K569,IF($C569="W",1,IF($C569="1/2W",0.5,0)),0)</f>
        <v>0</v>
      </c>
      <c r="CU569" s="146">
        <f>IF(CT$3=$K569,IF($C569="L",1,IF($C569="1/2L",0.5,0)),0)</f>
        <v>0</v>
      </c>
      <c r="CV569" s="146">
        <f>IF(CV$3=$K569,IF($C569="W",1,IF($C569="1/2W",0.5,0)),0)</f>
        <v>0</v>
      </c>
      <c r="CW569" s="146">
        <f>IF(CV$3=$K569,IF($C569="L",1,IF($C569="1/2L",0.5,0)),0)</f>
        <v>0</v>
      </c>
      <c r="CX569" s="146">
        <f>IF(CX$3=$K569,IF($C569="W",1,IF($C569="1/2W",0.5,0)),0)</f>
        <v>0</v>
      </c>
      <c r="CY569" s="146">
        <f>IF(CX$3=$K569,IF($C569="L",1,IF($C569="1/2L",0.5,0)),0)</f>
        <v>0</v>
      </c>
      <c r="CZ569" s="146">
        <f>IF(CZ$3=$K569,IF($C569="W",1,IF($C569="1/2W",0.5,0)),0)</f>
        <v>0</v>
      </c>
      <c r="DA569" s="146">
        <f>IF(CZ$3=$K569,IF($C569="L",1,IF($C569="1/2L",0.5,0)),0)</f>
        <v>0</v>
      </c>
      <c r="DB569" s="146">
        <f>IF(DB$3=$K569,IF($C569="W",1,IF($C569="1/2W",0.5,0)),0)</f>
        <v>0</v>
      </c>
      <c r="DC569" s="146">
        <f>IF(DB$3=$K569,IF($C569="L",1,IF($C569="1/2L",0.5,0)),0)</f>
        <v>1</v>
      </c>
      <c r="DD569" s="146">
        <f>IF(DD$3=$K569,IF($C569="W",1,IF($C569="1/2W",0.5,0)),0)</f>
        <v>0</v>
      </c>
      <c r="DE569" s="147">
        <f>IF(DD$3=$K569,IF($C569="L",1,IF($C569="1/2L",0.5,0)),0)</f>
        <v>0</v>
      </c>
      <c r="DF569" s="143">
        <f>IF(AND(L569&lt;DF$3,$C569="W"),1+DF568,DF568)</f>
        <v>17</v>
      </c>
      <c r="DG569" s="133">
        <f>IF(DF569&gt;DF568,L569+DG568,DG568)</f>
        <v>22.628</v>
      </c>
      <c r="DH569" s="146">
        <f>IF(AND(L569&gt;DH$3,$C569="W"),1+DH568,0+DH568)</f>
        <v>16</v>
      </c>
      <c r="DI569" s="133">
        <f>IF(DH569&gt;DH568,L569+DI568,DI568)</f>
        <v>85.45999999999999</v>
      </c>
      <c r="DJ569" t="s" s="304">
        <f>IF($D568="","",$D568)</f>
        <v>396</v>
      </c>
      <c r="DK569" s="286"/>
    </row>
    <row r="570" ht="14.55" customHeight="1">
      <c r="A570" s="149"/>
      <c r="B570" s="150"/>
      <c r="C570" t="s" s="151">
        <v>58</v>
      </c>
      <c r="D570" s="152"/>
      <c r="E570" s="153"/>
      <c r="F570" s="155"/>
      <c r="G570" s="252"/>
      <c r="H570" s="156"/>
      <c r="I570" s="287"/>
      <c r="J570" s="288"/>
      <c r="K570" s="156"/>
      <c r="L570" s="289"/>
      <c r="M570" s="290"/>
      <c r="N570" s="161"/>
      <c r="O570" t="s" s="162">
        <f>IF(OR(AE568="",AE569=""),"",IF(L570&gt;0,ROUND(IF(M570&gt;0,M570,IF(M568&gt;0,ROUND((M568*AE570)/AE568,IF(N568=0,2,IF(N568=0.1,1,0))),IF(M569&gt;0,ROUND((M569*AE570)/AE569,IF(N568=0,2,IF(N568=0.1,1,0))),IF(M570&gt;0,M570,0)))),2),""))</f>
      </c>
      <c r="P570" t="s" s="163">
        <f>IF(I569="Lay",O569*(L569/(L569-1))-O569,IF(I568="Lay",O568*(L568/(L568-1))-O568,IF(OR(L570="",O570=""),"",IF($C570="1/2W",O570/2+O570/2*L570,IF($C570="1/2L",O570/2,(O570*L570-O570)*(1-_xlfn.XLOOKUP(K570,'Janeiro 2023 - Valor Real'!A3:A15,'Janeiro 2023 - Valor Real'!C3:C15,0))+O570)))))</f>
      </c>
      <c r="Q570" t="s" s="154">
        <f>IF(K570="","",IF(_xlfn.XLOOKUP(K570,K$121:K349,DJ$121:DJ349,0,,-1)=DJ570,_xlfn.XLOOKUP(K570,K$121:K349,Q$121:Q349,1,,-1)+1,1))</f>
      </c>
      <c r="R570" t="s" s="163">
        <f>IF(K570="","",_xlfn.XLOOKUP(K570,K$121:K349,R$121:R349,0,,-1)+IF($C570=" ",1,0))</f>
      </c>
      <c r="S570" s="166"/>
      <c r="T570" s="155"/>
      <c r="U570" s="155"/>
      <c r="V570" s="166"/>
      <c r="W570" s="155"/>
      <c r="X570" s="167"/>
      <c r="Y570" s="128"/>
      <c r="Z570" s="129"/>
      <c r="AA570" s="129"/>
      <c r="AB570" s="129"/>
      <c r="AC570" s="129"/>
      <c r="AD570" s="168"/>
      <c r="AE570" t="s" s="169">
        <f>IF(L570="","",(SUM(((L568-1)*(1-_xlfn.XLOOKUP(K568,'Janeiro 2023 - Valor Real'!A3:A15,'Janeiro 2023 - Valor Real'!C3:C15,0))+1),((L569-1)*(1-_xlfn.XLOOKUP(K569,'Janeiro 2023 - Valor Real'!A3:A15,'Janeiro 2023 - Valor Real'!C3:C15,0))+1),((L570-1)*(1-_xlfn.XLOOKUP(K570,'Janeiro 2023 - Valor Real'!A3:A15,'Janeiro 2023 - Valor Real'!C3:C15,0))+1))/((L570-1)*(1-_xlfn.XLOOKUP(K570,'Janeiro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Real'!C3:C15,0))+1))/((L568-1)*(1-_xlfn.XLOOKUP(K568,'Janeiro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Real'!C3:C15,0))+1))/((L569-1)*(1-_xlfn.XLOOKUP(K569,'Janeiro 2023 - Valor Real'!A3:A15,'Janeiro 2023 - Valor Real'!C3:C15,0))+1)+SUM(((L568-1)*(1-_xlfn.XLOOKUP(K568,'Janeiro 2023 - Valor Real'!A3:A15,'Janeiro 2023 - Valor Real'!C3:C15,0))+1),((L569-1)*(1-_xlfn.XLOOKUP(K569,'Janeiro 2023 - Valor Real'!A3:A15,'Janeiro 2023 - Valor Real'!C3:C15,0))+1),((L570-1)*(1-_xlfn.XLOOKUP(K570,'Janeiro 2023 - Valor Real'!A3:A15,'Janeiro 2023 - Valor Real'!C3:C15,0))+1))/((L570-1)*(1-_xlfn.XLOOKUP(K570,'Janeiro 2023 - Valor Real'!A3:A15,'Janeiro 2023 - Valor Real'!C3:C15,0))+1)))</f>
      </c>
      <c r="AF570" s="132">
        <f>IF($K570=AF$3,ROUND(IF(OR($C570="W",$C570="1/2W",$C570="1/2L"),$P570-$O570,IF($C570="X",0,-$O570)),2),0)</f>
        <v>0</v>
      </c>
      <c r="AG570" s="133">
        <f>IF($K570=AG$3,ROUND(IF(OR($C570="W",$C570="1/2W",$C570="1/2L"),$P570-$O570,IF($C570="X",0,-$O570)),2),0)</f>
        <v>0</v>
      </c>
      <c r="AH570" s="133">
        <f>IF($K570=AH$3,ROUND(IF(OR($C570="W",$C570="1/2W",$C570="1/2L"),$P570-$O570,IF($C570="X",0,-$O570)),2),0)</f>
        <v>0</v>
      </c>
      <c r="AI570" s="133">
        <f>IF($K570=AI$3,ROUND(IF(OR($C570="W",$C570="1/2W",$C570="1/2L"),$P570-$O570,IF($C570="X",0,-$O570)),2),0)</f>
        <v>0</v>
      </c>
      <c r="AJ570" s="133">
        <f>IF($K570=AJ$3,ROUND(IF(OR($C570="W",$C570="1/2W",$C570="1/2L"),$P570-$O570,IF($C570="X",0,-$O570)),2),0)</f>
        <v>0</v>
      </c>
      <c r="AK570" s="133">
        <f>IF($K570=AK$3,ROUND(IF(OR($C570="W",$C570="1/2W",$C570="1/2L"),$P570-$O570,IF($C570="X",0,-$O570)),2),0)</f>
        <v>0</v>
      </c>
      <c r="AL570" s="133">
        <f>IF($K570=AL$3,ROUND(IF(OR($C570="W",$C570="1/2W",$C570="1/2L"),$P570-$O570,IF($C570="X",0,-$O570)),2),0)</f>
        <v>0</v>
      </c>
      <c r="AM570" s="133">
        <f>IF($K570=AM$3,ROUND(IF(OR($C570="W",$C570="1/2W",$C570="1/2L"),$P570-$O570,IF($C570="X",0,-$O570)),2),0)</f>
        <v>0</v>
      </c>
      <c r="AN570" s="133">
        <f>IF($K570=AN$3,ROUND(IF(OR($C570="W",$C570="1/2W",$C570="1/2L"),$P570-$O570,IF($C570="X",0,-$O570)),2),0)</f>
        <v>0</v>
      </c>
      <c r="AO570" s="133">
        <f>IF($K570=AO$3,ROUND(IF(OR($C570="W",$C570="1/2W",$C570="1/2L"),$P570-$O570,IF($C570="X",0,-$O570)),2),0)</f>
        <v>0</v>
      </c>
      <c r="AP570" s="133">
        <f>IF($K570=AP$3,ROUND(IF(OR($C570="W",$C570="1/2W",$C570="1/2L"),$P570-$O570,IF($C570="X",0,-$O570)),2),0)</f>
        <v>0</v>
      </c>
      <c r="AQ570" s="133">
        <f>IF($K570=AQ$3,ROUND(IF(OR($C570="W",$C570="1/2W",$C570="1/2L"),$P570-$O570,IF($C570="X",0,-$O570)),2),0)</f>
        <v>0</v>
      </c>
      <c r="AR570" s="134">
        <f>IF($K570=AR$3,ROUND(IF(OR($C570="W",$C570="1/2W",$C570="1/2L"),$P570-$O570,IF($C570="X",0,-$O570)),2),0)</f>
        <v>0</v>
      </c>
      <c r="AS570" s="132">
        <f>IF(AND($B568=" ",$K570=AS$3),$O570,0)</f>
        <v>0</v>
      </c>
      <c r="AT570" s="133">
        <f>IF(AND($B568=" ",K570=AT$3),$O570,0)</f>
        <v>0</v>
      </c>
      <c r="AU570" s="133">
        <f>IF(AND($B568=" ",$K570=AU$3),$O570,0)</f>
        <v>0</v>
      </c>
      <c r="AV570" s="133">
        <f>IF(AND($B568=" ",$K570=AV$3),$O570,0)</f>
        <v>0</v>
      </c>
      <c r="AW570" s="133">
        <f>IF(AND($B568=" ",$K570=AW$3),$O570,0)</f>
        <v>0</v>
      </c>
      <c r="AX570" s="133">
        <f>IF(AND($B568=" ",$K570=AX$3),$O570,0)</f>
        <v>0</v>
      </c>
      <c r="AY570" s="135">
        <f>IF(AND($B568=" ",$K570=AY$3),$O570,0)</f>
        <v>0</v>
      </c>
      <c r="AZ570" s="136">
        <f>IF(AND($B568=" ",$K570=AZ$3),$O570,0)</f>
        <v>0</v>
      </c>
      <c r="BA570" s="136">
        <f>IF(AND($B568=" ",$K570=BA$3),$O570,0)</f>
        <v>0</v>
      </c>
      <c r="BB570" s="136">
        <f>IF(AND($B568=" ",$K570=BB$3),$O570,0)</f>
        <v>0</v>
      </c>
      <c r="BC570" s="137">
        <f>IF(AND($B568=" ",$K570=BC$3),$O570,0)</f>
        <v>0</v>
      </c>
      <c r="BD570" s="133">
        <f>IF(AND($B568=" ",$K570=BD$3),$O570,0)</f>
        <v>0</v>
      </c>
      <c r="BE570" s="134">
        <f>IF(AND($B568=" ",$K570=BE$3),$O570,0)</f>
        <v>0</v>
      </c>
      <c r="BF570" s="132">
        <f>IF($K570=BF$3,IF($C570="X",0,$O570),0)</f>
        <v>0</v>
      </c>
      <c r="BG570" s="281">
        <f>IF($K570=BG$3,IF($C570="X",0,$O570),0)</f>
        <v>0</v>
      </c>
      <c r="BH570" s="133">
        <f>IF($K570=BH$3,IF($C570="X",0,$O570),0)</f>
        <v>0</v>
      </c>
      <c r="BI570" s="133">
        <f>IF($K570=BI$3,IF($C570="X",0,$O570),0)</f>
        <v>0</v>
      </c>
      <c r="BJ570" s="133">
        <f>IF($K570=BJ$3,IF($C570="X",0,$O570),0)</f>
        <v>0</v>
      </c>
      <c r="BK570" s="133">
        <f>IF($K570=BK$3,IF($C570="X",0,$O570),0)</f>
        <v>0</v>
      </c>
      <c r="BL570" s="133">
        <f>IF($K570=BL$3,IF($C570="X",0,$O570),0)</f>
        <v>0</v>
      </c>
      <c r="BM570" s="135">
        <f>IF($K570=BM$3,IF($C570="X",0,$O570),0)</f>
        <v>0</v>
      </c>
      <c r="BN570" s="136">
        <f>IF($K570=BN$3,IF($C570="X",0,$O570),0)</f>
        <v>0</v>
      </c>
      <c r="BO570" s="136">
        <f>IF($K570=BO$3,IF($C570="X",0,$O570),0)</f>
        <v>0</v>
      </c>
      <c r="BP570" s="136">
        <f>IF($K570=BP$3,IF($C570="X",0,$O570),0)</f>
        <v>0</v>
      </c>
      <c r="BQ570" s="137">
        <f>IF($K570=BQ$3,IF($C570="X",0,$O570),0)</f>
        <v>0</v>
      </c>
      <c r="BR570" s="134">
        <f>IF($K570=BR$3,IF($C570="X",0,$O570),0)</f>
        <v>0</v>
      </c>
      <c r="BS570" s="282"/>
      <c r="BT570" s="283"/>
      <c r="BU570" s="140"/>
      <c r="BV570" s="283"/>
      <c r="BW570" s="140"/>
      <c r="BX570" s="140"/>
      <c r="BY570" s="140"/>
      <c r="BZ570" s="283"/>
      <c r="CA570" s="140"/>
      <c r="CB570" s="140"/>
      <c r="CC570" s="140"/>
      <c r="CD570" s="141"/>
      <c r="CE570" s="142"/>
      <c r="CF570" s="284">
        <f>IF(CF$3=$K570,IF($C570="W",1,IF($C570="1/2W",0.5,0)),0)</f>
        <v>0</v>
      </c>
      <c r="CG570" s="285">
        <f>IF(CF$3=$K570,IF($C570="L",1,IF($C570="1/2L",0.5,0)),0)</f>
        <v>0</v>
      </c>
      <c r="CH570" s="285">
        <f>IF(CH$3=$K570,IF($C570="W",1,IF($C570="1/2W",0.5,0)),0)</f>
        <v>0</v>
      </c>
      <c r="CI570" s="285">
        <f>IF(CH$3=$K570,IF($C570="L",1,IF($C570="1/2L",0.5,0)),0)</f>
        <v>0</v>
      </c>
      <c r="CJ570" s="285">
        <f>IF(CJ$3=$K570,IF($C570="W",1,IF($C570="1/2W",0.5,0)),0)</f>
        <v>0</v>
      </c>
      <c r="CK570" s="285">
        <f>IF(CJ$3=$K570,IF($C570="L",1,IF($C570="1/2L",0.5,0)),0)</f>
        <v>0</v>
      </c>
      <c r="CL570" s="285">
        <f>IF(CL$3=$K570,IF($C570="W",1,IF($C570="1/2W",0.5,0)),0)</f>
        <v>0</v>
      </c>
      <c r="CM570" s="285">
        <f>IF(CL$3=$K570,IF($C570="L",1,IF($C570="1/2L",0.5,0)),0)</f>
        <v>0</v>
      </c>
      <c r="CN570" s="285">
        <f>IF(CN$3=$K570,IF($C570="W",1,IF($C570="1/2W",0.5,0)),0)</f>
        <v>0</v>
      </c>
      <c r="CO570" s="285">
        <f>IF(CN$3=$K570,IF($C570="L",1,IF($C570="1/2L",0.5,0)),0)</f>
        <v>0</v>
      </c>
      <c r="CP570" s="285">
        <f>IF(CP$3=$K570,IF($C570="W",1,IF($C570="1/2W",0.5,0)),0)</f>
        <v>0</v>
      </c>
      <c r="CQ570" s="285">
        <f>IF(CP$3=$K570,IF($C570="L",1,IF($C570="1/2L",0.5,0)),0)</f>
        <v>0</v>
      </c>
      <c r="CR570" s="285">
        <f>IF(CR$3=$K570,IF($C570="W",1,IF($C570="1/2W",0.5,0)),0)</f>
        <v>0</v>
      </c>
      <c r="CS570" s="285">
        <f>IF(CR$3=$K570,IF($C570="L",1,IF($C570="1/2L",0.5,0)),0)</f>
        <v>0</v>
      </c>
      <c r="CT570" s="145">
        <f>IF(CT$3=$K570,IF($C570="W",1,IF($C570="1/2W",0.5,0)),0)</f>
        <v>0</v>
      </c>
      <c r="CU570" s="146">
        <f>IF(CT$3=$K570,IF($C570="L",1,IF($C570="1/2L",0.5,0)),0)</f>
        <v>0</v>
      </c>
      <c r="CV570" s="146">
        <f>IF(CV$3=$K570,IF($C570="W",1,IF($C570="1/2W",0.5,0)),0)</f>
        <v>0</v>
      </c>
      <c r="CW570" s="146">
        <f>IF(CV$3=$K570,IF($C570="L",1,IF($C570="1/2L",0.5,0)),0)</f>
        <v>0</v>
      </c>
      <c r="CX570" s="146">
        <f>IF(CX$3=$K570,IF($C570="W",1,IF($C570="1/2W",0.5,0)),0)</f>
        <v>0</v>
      </c>
      <c r="CY570" s="146">
        <f>IF(CX$3=$K570,IF($C570="L",1,IF($C570="1/2L",0.5,0)),0)</f>
        <v>0</v>
      </c>
      <c r="CZ570" s="146">
        <f>IF(CZ$3=$K570,IF($C570="W",1,IF($C570="1/2W",0.5,0)),0)</f>
        <v>0</v>
      </c>
      <c r="DA570" s="146">
        <f>IF(CZ$3=$K570,IF($C570="L",1,IF($C570="1/2L",0.5,0)),0)</f>
        <v>0</v>
      </c>
      <c r="DB570" s="146">
        <f>IF(DB$3=$K570,IF($C570="W",1,IF($C570="1/2W",0.5,0)),0)</f>
        <v>0</v>
      </c>
      <c r="DC570" s="146">
        <f>IF(DB$3=$K570,IF($C570="L",1,IF($C570="1/2L",0.5,0)),0)</f>
        <v>0</v>
      </c>
      <c r="DD570" s="146">
        <f>IF(DD$3=$K570,IF($C570="W",1,IF($C570="1/2W",0.5,0)),0)</f>
        <v>0</v>
      </c>
      <c r="DE570" s="147">
        <f>IF(DD$3=$K570,IF($C570="L",1,IF($C570="1/2L",0.5,0)),0)</f>
        <v>0</v>
      </c>
      <c r="DF570" s="143">
        <f>IF(AND(L570&lt;DF$3,$C570="W"),1+DF569,DF569)</f>
        <v>17</v>
      </c>
      <c r="DG570" s="133">
        <f>IF(DF570&gt;DF569,L570+DG569,DG569)</f>
        <v>22.628</v>
      </c>
      <c r="DH570" s="146">
        <f>IF(AND(L570&gt;DH$3,$C570="W"),1+DH569,0+DH569)</f>
        <v>16</v>
      </c>
      <c r="DI570" s="133">
        <f>IF(DH570&gt;DH569,L570+DI569,DI569)</f>
        <v>85.45999999999999</v>
      </c>
      <c r="DJ570" t="s" s="304">
        <f>IF($D568="","",$D568)</f>
        <v>396</v>
      </c>
      <c r="DK570" s="286"/>
    </row>
    <row r="571" ht="14.55" customHeight="1">
      <c r="A571" s="171">
        <f>$A568+1</f>
        <v>190</v>
      </c>
      <c r="B571" t="s" s="172">
        <f>IF(AND(_xlfn.XLOOKUP(H571,H$122:H344,G$122:G344,0)=G571,_xlfn.XLOOKUP("TempoBet",K571:K573,L571:L573,0)&gt;0),"X",IF(OR(C571="W",C572="W",C573="W",C571="1/2W",C572="1/2W",C573="1/2W",C571="1/2L",C572="1/2L",C573="1/2L"),"OK",IF(OR(C571="L",C572="L",C573="L"),"LOSS",IF(OR(C571="X",C572="X",C573="X"),"Anulado"," "))))</f>
        <v>50</v>
      </c>
      <c r="C571" t="s" s="173">
        <v>51</v>
      </c>
      <c r="D571" t="s" s="305">
        <v>428</v>
      </c>
      <c r="E571" t="s" s="175">
        <f>IF(G571=""," ","– "&amp;COUNTIF(D$4:D573,$D571))</f>
        <v>52</v>
      </c>
      <c r="F571" t="s" s="176">
        <f>IF(G571="","",IF(OR(AND($C571&lt;&gt;" ",$C572=" "),AND($C572&lt;&gt;" ",$C571=" "),AND(L573&gt;0,OR(AND($C573&lt;&gt;" ",OR($C571=" ",$C572=" ")),AND($C573=" ",OR($C571&lt;&gt;" ",$C572&lt;&gt;" "))))),IF(SUM(F$4:F570)=0,1,LARGE(F$4:F570,1)+1),IF(MONTH(G571)=MONTH(TODAY()),IF(AND(DAY(G571)&lt;DAY(TODAY()),$B571=" "),IF(SUM(F$4:F570)=0,1,LARGE(F$4:F570,1)+1),IF($B571=" ",IF(AND(DAY(G571)=DAY(TODAY()),HOUR(G571)&lt;=HOUR(NOW())+1),IF(AND(HOUR(G571)+2&lt;=HOUR(NOW()),DAY(G571)&lt;=DAY(TODAY()),MINUTE(G571)&lt;=MINUTE(NOW())),IF(SUM(F$4:F570)=0,1,LARGE(F$4:F570,1)+1),IF(OR(MINUTE(G571)&lt;=MINUTE(NOW()),HOUR(G571)&lt;=HOUR(NOW())),"!!!","")),""),"")),"")))</f>
      </c>
      <c r="G571" s="177">
        <v>44953.208333333336</v>
      </c>
      <c r="H571" t="s" s="178">
        <v>429</v>
      </c>
      <c r="I571" t="s" s="179">
        <v>65</v>
      </c>
      <c r="J571" s="291">
        <v>52.5</v>
      </c>
      <c r="K571" t="s" s="181">
        <v>40</v>
      </c>
      <c r="L571" s="182">
        <v>2.3</v>
      </c>
      <c r="M571" s="183">
        <v>5.54</v>
      </c>
      <c r="N571" s="184">
        <v>0</v>
      </c>
      <c r="O571" s="185">
        <f>IF(OR(AE571="",AE572=""),"",ROUND(IF(L573&gt;0,IF(M571&gt;0,M571,IF(M572&gt;0,ROUND((M572*AE571)/AE572,IF(N571=0,2,IF(N571=0.1,1,0))),ROUND((M573*AE571)/AE573,IF(N571=0,2,IF(N571=0.1,1,0))))),IF(M571&gt;0,M571,ROUND((M572*AE571)/AE572,IF(N571=0,2,IF(N571=0.1,1,0))))),2))</f>
        <v>5.54</v>
      </c>
      <c r="P571" s="186">
        <f>IF(OR(L571="",O571=""),"",IF($C571="1/2W",O571/2+O571/2*L571,IF($C571="1/2L",O571/2,IF(I571="Lay",(O571*(L571/(L571-1))-O571)*(1-_xlfn.XLOOKUP(K571,'Janeiro 2023 - Valor Real'!A3:A15,'Janeiro 2023 - Valor Real'!C3:C15,0))+O571,(O571*L571-O571)*(1-_xlfn.XLOOKUP(K571,'Janeiro 2023 - Valor Real'!A3:A15,'Janeiro 2023 - Valor Real'!C3:C15,0))+O571))))</f>
        <v>12.742</v>
      </c>
      <c r="Q571" s="187">
        <f>IF(K571="","",IF(_xlfn.XLOOKUP(K571,K$122:K344,DJ$122:DJ344,0,,-1)=DJ571,_xlfn.XLOOKUP(K571,K$122:K344,Q$122:Q344,1,,-1)+1,1))</f>
        <v>1</v>
      </c>
      <c r="R571" s="188">
        <f>IF(K571="","",_xlfn.XLOOKUP(K571,K$122:K344,R$122:R344,0,,-1)+IF($C571=" ",1,0))</f>
        <v>0</v>
      </c>
      <c r="S571" s="189">
        <f>IF($B571="Anulado",0,ROUND(IF(OR($B571="LOSS",$B571="OK"),IF(OR($C571="W",$C571="1/2W",$C571="1/2L"),P571-O571,IF($C571="L",-O571,0))+IF(OR($C572="W",$C572="1/2W",$C572="1/2L"),P572-O572,IF($C572="L",-O572,0))+IF(OR($C573="W",$C573="1/2W",$C573="1/2L"),P573-O573,IF($C573="L",-O573,0)),IF(AND(OR($C571="W",$C571="1/2W",$C571="1/2L"),C572="W"),P571+P572-SUM(O571:O573)+_xlfn.XLOOKUP("X",C571:C573,O571:O573,0),IF(AND(C571=TRUE,C573="W"),P571+P573-SUM(O571:O573),IF(AND(C572="W",C573="W"),P572+P573-SUM(O571:O573)+_xlfn.XLOOKUP("X",C571:C573,O571:O573,0),IF(L573&gt;0,IF(OR($C571="W",$C571="1/2W",$C571="1/2L"),P571-SUM(O571:O573)+_xlfn.XLOOKUP("X",C571:C573,O571:O573,0),IF(OR($C571="W",$C571="1/2W",$C571="1/2L"),P572-SUM(O571:O573)+_xlfn.XLOOKUP("X",C571:C573,O571:O573,0),IF(OR($C571="W",$C571="1/2W",$C571="1/2L"),P573-SUM(O571:O573)+_xlfn.XLOOKUP("X",C571:C573,O571:O573,0),IF(SUM(P571:P573)/3-SUM(O571:O573)+_xlfn.XLOOKUP("X",C571:C573,O571:O573,0)&gt;0,SUM(P571:P573)/3-SUM(O571:O573)+_xlfn.XLOOKUP("X",C571:C573,O571:O573,0),LARGE(P571:P573,1)-SUM(O571:O573))))),IF(OR($C571="W",$C571="1/2W",$C571="1/2L"),P571-SUM(O571:O572)+_xlfn.XLOOKUP("X",C571:C573,O571:O573,0),IF(OR($C571="W",$C571="1/2W",$C571="1/2L"),P572-SUM(O571:O572)+_xlfn.XLOOKUP("X",C571:C573,O571:O573,0),SUM(P571:P572)/2-SUM(O571:O572)+_xlfn.XLOOKUP("X",C571:C573,O571:O573,0)))))))),2))</f>
        <v>0.78</v>
      </c>
      <c r="T571" s="190">
        <f>IF(S571=0,0,S571/SUM(O571:O573))</f>
        <v>0.0650542118432027</v>
      </c>
      <c r="U571" s="191">
        <f>IF($D571=$D568,IF(OR($B571="LOSS",$B571="OK",$B571="Anulada"),S571,0)+U568,IF(OR($B571="LOSS",$B571="OK",$B571="Anulada"),S571,0))</f>
        <v>0.78</v>
      </c>
      <c r="V571" s="191">
        <f>IF($D571="",0,IF($D571=$D568,IF($B571=" ",IF(I573="",IF(OR(AND(I571="DNB1",I572="DNB2"),AND(OR(I571="DNB1",I571="DNB2"),J572=0),AND(OR(I572="DNB1",I572="DNB2"),J571=0),AND(I571="DNB2",I572="DNB1"),AND(IF(J571=0,(J571+1)/ROUND(J571+1,0),J571/ROUND(J571,0))=1,IF(J572=0,(J572+1)/ROUND(IF(J572="",0,J572)+1,0),IF(J572="",0,J572)/ROUND(IF(J572="",1,J572),0))=1,OR(J571&lt;&gt;""),J572&lt;&gt;"")),0,IF(S571&lt;0,IF(I573="",SMALL(P571:P572,1)-SUM(O571:O572),0),SMALL(P571:P572,1)-SUM(O571:O572))),IF(S571&lt;0,IF(I573="",SMALL(P571:P573,1)-SUM(O571:O573),0),LARGE(P571:P573,1)-SUM(O571:O573))),S571)+V568,IF(I573="",IF(OR(AND(I571="DNB1",I572="DNB2"),AND(OR(I571="DNB1",I571="DNB2"),J572=0),AND(OR(I572="DNB1",I572="DNB2"),J571=0),AND(I571="DNB2",I572="DNB1"),AND(IF(J571=0,(J571+1)/ROUND(J571+1,0),J571/ROUND(J571,0))=1,IF(J572=0,(IF(J572="",0,J572)+1)/ROUND(IF(J572="",0,J572)+1,0),IF(J572="",0,J572)/ROUND(IF(J572="",0,J572)+1,0))=1,OR(J571&lt;&gt;""),J572&lt;&gt;"")),0,IF(S571&lt;0,IF(I573="",SMALL(P571:P572,1)-SUM(O571:O572),0),SMALL(P571:P573,1)-SUM(O571:O573))),IF(S571&lt;0,IF(I573="",SMALL(P571:P573,1)-SUM(O571:O573),0),LARGE(P571:P573,1)-SUM(O571:O573)))))</f>
        <v>0.752</v>
      </c>
      <c r="W571" s="191">
        <f>IF($D571=$D568,IF(S571&lt;0,IF(I573="",S571,0),S571)+W568,S571)</f>
        <v>0.78</v>
      </c>
      <c r="X571" t="s" s="192">
        <f>IF(OR(SUM(R571:R573)=0,V571=W571),ROUND(IF(W571=0,0,W571/Y571)*100,2)&amp;"%",ROUND(IF(V571=0,0,V571/Y571)*100,2)&amp;"% a "&amp;ROUND(IF(W571=0,0,W571/Y571)*100,2)&amp;"%")</f>
        <v>430</v>
      </c>
      <c r="Y571" s="193">
        <f>IF($D571=$D568,Y568+SUM(O571:O573),SUM(O571:O573))</f>
        <v>11.99</v>
      </c>
      <c r="Z571" s="191">
        <f>IF($B571=" ",SUM(O571:O573),0)+Z568</f>
        <v>0</v>
      </c>
      <c r="AA571" s="191">
        <f>IF(G571="","",IF($B571="Anulado",LARGE(P571:P573,1)-SUM(O571:O573)+AA568,AA568))</f>
        <v>24.9665076923077</v>
      </c>
      <c r="AB571" s="191">
        <f>IF($D571="","",AB568+S571)</f>
        <v>389.11</v>
      </c>
      <c r="AC571" s="194">
        <f>IF($D571="","",IF($B571=" ",IF(DAY(G571)=DAY(TODAY()),1+AC568,0+AC568),0+AC568))</f>
        <v>0</v>
      </c>
      <c r="AD571" s="195">
        <f>(((L572/(L572-1)-1)*(1-_xlfn.XLOOKUP(K572,'Janeiro 2023 - Valor Real'!A3:A15,'Janeiro 2023 - Valor Real'!C3:C15,0))+1))/(((L571-1)*(1-_xlfn.XLOOKUP(K571,'Janeiro 2023 - Valor Real'!A3:A15,'Janeiro 2023 - Valor Real'!C3:C15,0))+1)+((L572/(L572-1)-1)*(1-_xlfn.XLOOKUP(K572,'Janeiro 2023 - Valor Real'!A3:A15,'Janeiro 2023 - Valor Real'!C3:C15,0))+1))</f>
        <v>0.467642890883325</v>
      </c>
      <c r="AE571" s="196">
        <f>IF(L571="","",IF(L573&gt;0,(SUM(((L571-1)*(1-_xlfn.XLOOKUP(K571,'Janeiro 2023 - Valor Real'!A3:A15,'Janeiro 2023 - Valor Real'!C3:C15,0))+1),((L572-1)*(1-_xlfn.XLOOKUP(K572,'Janeiro 2023 - Valor Real'!A3:A15,'Janeiro 2023 - Valor Real'!C3:C15,0))+1),((L573-1)*(1-_xlfn.XLOOKUP(K573,'Janeiro 2023 - Valor Real'!A3:A15,'Janeiro 2023 - Valor Real'!C3:C15,0))+1))/((L571-1)*(1-_xlfn.XLOOKUP(K571,'Janeiro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Real'!C3:C15,0))+1))/((L571-1)*(1-_xlfn.XLOOKUP(K571,'Janeiro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Real'!C3:C15,0))+1))/((L572-1)*(1-_xlfn.XLOOKUP(K572,'Janeiro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Real'!C3:C15,0))+1))/((L573-1)*(1-_xlfn.XLOOKUP(K573,'Janeiro 2023 - Valor Real'!A3:A15,'Janeiro 2023 - Valor Real'!C3:C15,0))+1)),IF(I571="Lay",IF(I572="Lay",((L572/(L572-1)-1)*(1-_xlfn.XLOOKUP(K572,'Janeiro 2023 - Valor Real'!A3:A15,'Janeiro 2023 - Valor Real'!C3:C15,0))+1)/(((L572/(L572-1)-1)*(1-_xlfn.XLOOKUP(K572,'Janeiro 2023 - Valor Real'!A3:A15,'Janeiro 2023 - Valor Real'!C3:C15,0))+1)+((L571/(L571-1)-1)*(1-_xlfn.XLOOKUP(K571,'Janeiro 2023 - Valor Real'!A3:A15,'Janeiro 2023 - Valor Real'!C3:C15,0))+1)),((L572-1)*(1-_xlfn.XLOOKUP(K572,'Janeiro 2023 - Valor Real'!A3:A15,'Janeiro 2023 - Valor Real'!C3:C15,0))+1)/(((L572-1)*(1-_xlfn.XLOOKUP(K572,'Janeiro 2023 - Valor Real'!A3:A15,'Janeiro 2023 - Valor Real'!C3:C15,0))+1)+((L571/(L571-1)-1)*(1-_xlfn.XLOOKUP(K571,'Janeiro 2023 - Valor Real'!A3:A15,'Janeiro 2023 - Valor Real'!C3:C15,0))+1))),IF(I572="Lay",(((L572/(L572-1)-1)*(1-_xlfn.XLOOKUP(K572,'Janeiro 2023 - Valor Real'!A3:A15,'Janeiro 2023 - Valor Real'!C3:C15,0))+1))/(((L571-1)*(1-_xlfn.XLOOKUP(K571,'Janeiro 2023 - Valor Real'!A3:A15,'Janeiro 2023 - Valor Real'!C3:C15,0))+1)+((L572/(L572-1)-1)*(1-_xlfn.XLOOKUP(K572,'Janeiro 2023 - Valor Real'!A3:A15,'Janeiro 2023 - Valor Real'!C3:C15,0))+1)),((L572-1)*(1-_xlfn.XLOOKUP(K572,'Janeiro 2023 - Valor Real'!A3:A15,'Janeiro 2023 - Valor Real'!C3:C15,0))+1)/(((L572-1)*(1-_xlfn.XLOOKUP(K572,'Janeiro 2023 - Valor Real'!A3:A15,'Janeiro 2023 - Valor Real'!C3:C15,0))+1)+((L571-1)*(1-_xlfn.XLOOKUP(K571,'Janeiro 2023 - Valor Real'!A3:A15,'Janeiro 2023 - Valor Real'!C3:C15,0))+1))))))</f>
        <v>0.462616822429907</v>
      </c>
      <c r="AF571" s="197">
        <f>IF($K571=AF$3,ROUND(IF(OR($C571="W",$C571="1/2W",$C571="1/2L"),$P571-$O571,IF($C571="X",0,-$O571)),2),0)</f>
        <v>0</v>
      </c>
      <c r="AG571" s="198">
        <f>IF($K571=AG$3,ROUND(IF(OR($C571="W",$C571="1/2W",$C571="1/2L"),$P571-$O571,IF($C571="X",0,-$O571)),2),0)</f>
        <v>0</v>
      </c>
      <c r="AH571" s="198">
        <f>IF($K571=AH$3,ROUND(IF(OR($C571="W",$C571="1/2W",$C571="1/2L"),$P571-$O571,IF($C571="X",0,-$O571)),2),0)</f>
        <v>0</v>
      </c>
      <c r="AI571" s="198">
        <f>IF($K571=AI$3,ROUND(IF(OR($C571="W",$C571="1/2W",$C571="1/2L"),$P571-$O571,IF($C571="X",0,-$O571)),2),0)</f>
        <v>-5.54</v>
      </c>
      <c r="AJ571" s="198">
        <f>IF($K571=AJ$3,ROUND(IF(OR($C571="W",$C571="1/2W",$C571="1/2L"),$P571-$O571,IF($C571="X",0,-$O571)),2),0)</f>
        <v>0</v>
      </c>
      <c r="AK571" s="198">
        <f>IF($K571=AK$3,ROUND(IF(OR($C571="W",$C571="1/2W",$C571="1/2L"),$P571-$O571,IF($C571="X",0,-$O571)),2),0)</f>
        <v>0</v>
      </c>
      <c r="AL571" s="198">
        <f>IF($K571=AL$3,ROUND(IF(OR($C571="W",$C571="1/2W",$C571="1/2L"),$P571-$O571,IF($C571="X",0,-$O571)),2),0)</f>
        <v>0</v>
      </c>
      <c r="AM571" s="198">
        <f>IF($K571=AM$3,ROUND(IF(OR($C571="W",$C571="1/2W",$C571="1/2L"),$P571-$O571,IF($C571="X",0,-$O571)),2),0)</f>
        <v>0</v>
      </c>
      <c r="AN571" s="198">
        <f>IF($K571=AN$3,ROUND(IF(OR($C571="W",$C571="1/2W",$C571="1/2L"),$P571-$O571,IF($C571="X",0,-$O571)),2),0)</f>
        <v>0</v>
      </c>
      <c r="AO571" s="198">
        <f>IF($K571=AO$3,ROUND(IF(OR($C571="W",$C571="1/2W",$C571="1/2L"),$P571-$O571,IF($C571="X",0,-$O571)),2),0)</f>
        <v>0</v>
      </c>
      <c r="AP571" s="198">
        <f>IF($K571=AP$3,ROUND(IF(OR($C571="W",$C571="1/2W",$C571="1/2L"),$P571-$O571,IF($C571="X",0,-$O571)),2),0)</f>
        <v>0</v>
      </c>
      <c r="AQ571" s="198">
        <f>IF($K571=AQ$3,ROUND(IF(OR($C571="W",$C571="1/2W",$C571="1/2L"),$P571-$O571,IF($C571="X",0,-$O571)),2),0)</f>
        <v>0</v>
      </c>
      <c r="AR571" s="199">
        <f>IF($K571=AR$3,ROUND(IF(OR($C571="W",$C571="1/2W",$C571="1/2L"),$P571-$O571,IF($C571="X",0,-$O571)),2),0)</f>
        <v>0</v>
      </c>
      <c r="AS571" s="197">
        <f>IF(AND($B571=" ",$K571=AS$3),$O571,0)</f>
        <v>0</v>
      </c>
      <c r="AT571" s="198">
        <f>IF(AND($B571=" ",$K571=AT$3),$O571,0)</f>
        <v>0</v>
      </c>
      <c r="AU571" s="198">
        <f>IF(AND($B571=" ",$K571=AU$3),$O571,0)</f>
        <v>0</v>
      </c>
      <c r="AV571" s="198">
        <f>IF(AND($B571=" ",$K571=AV$3),$O571,0)</f>
        <v>0</v>
      </c>
      <c r="AW571" s="198">
        <f>IF(AND($B571=" ",$K571=AW$3),$O571,0)</f>
        <v>0</v>
      </c>
      <c r="AX571" s="198">
        <f>IF(AND($B571=" ",$K571=AX$3),$O571,0)</f>
        <v>0</v>
      </c>
      <c r="AY571" s="200">
        <f>IF(AND($B571=" ",$K571=AY$3),$O571,0)</f>
        <v>0</v>
      </c>
      <c r="AZ571" s="201">
        <f>IF(AND($B571=" ",$K571=AZ$3),$O571,0)</f>
        <v>0</v>
      </c>
      <c r="BA571" s="201">
        <f>IF(AND($B571=" ",$K571=BA$3),$O571,0)</f>
        <v>0</v>
      </c>
      <c r="BB571" s="201">
        <f>IF(AND($B571=" ",$K571=BB$3),$O571,0)</f>
        <v>0</v>
      </c>
      <c r="BC571" s="202">
        <f>IF(AND($B571=" ",$K571=BC$3),$O571,0)</f>
        <v>0</v>
      </c>
      <c r="BD571" s="198">
        <f>IF(AND($B571=" ",$K571=BD$3),$O571,0)</f>
        <v>0</v>
      </c>
      <c r="BE571" s="199">
        <f>IF(AND($B571=" ",$K571=BE$3),$O571,0)</f>
        <v>0</v>
      </c>
      <c r="BF571" s="203">
        <f>IF($K571=BF$3,IF($C571="X",0,$O571),0)</f>
        <v>0</v>
      </c>
      <c r="BG571" s="198">
        <f>IF($K571=BG$3,IF($C571="X",0,$O571),0)</f>
        <v>0</v>
      </c>
      <c r="BH571" s="198">
        <f>IF($K571=BH$3,IF($C571="X",0,$O571),0)</f>
        <v>0</v>
      </c>
      <c r="BI571" s="198">
        <f>IF($K571=BI$3,IF($C571="X",0,$O571),0)</f>
        <v>5.54</v>
      </c>
      <c r="BJ571" s="198">
        <f>IF($K571=BJ$3,IF($C571="X",0,$O571),0)</f>
        <v>0</v>
      </c>
      <c r="BK571" s="198">
        <f>IF($K571=BK$3,IF($C571="X",0,$O571),0)</f>
        <v>0</v>
      </c>
      <c r="BL571" s="198">
        <f>IF($K571=BL$3,IF($C571="X",0,$O571),0)</f>
        <v>0</v>
      </c>
      <c r="BM571" s="200">
        <f>IF($K571=BM$3,IF($C571="X",0,$O571),0)</f>
        <v>0</v>
      </c>
      <c r="BN571" s="201">
        <f>IF($K571=BN$3,IF($C571="X",0,$O571),0)</f>
        <v>0</v>
      </c>
      <c r="BO571" s="201">
        <f>IF($K571=BO$3,IF($C571="X",0,$O571),0)</f>
        <v>0</v>
      </c>
      <c r="BP571" s="201">
        <f>IF($K571=BP$3,IF($C571="X",0,$O571),0)</f>
        <v>0</v>
      </c>
      <c r="BQ571" s="202">
        <f>IF($K571=BQ$3,IF($C571="X",0,$O571),0)</f>
        <v>0</v>
      </c>
      <c r="BR571" s="199">
        <f>IF($K571=BR$3,IF($C571="X",0,$O571),0)</f>
        <v>0</v>
      </c>
      <c r="BS571" s="204">
        <f>IF($B571="LOSS",IF(AND($K571=BS$3,$C571="L"),-$O571,0)+IF(AND($K572=BS$3,$C572="L"),-$O572,0)+IF(AND($K573=BS$3,$C573="L"),-$O573,0),IF(OR(AND($K571=BS$3,OR($C571="W",$C571="1/2W")),AND($K572=BS$3,OR($C572="W",$C572="1/2W")),AND($K573=BS$3,OR($C573="W",$C573="1/2W"))),$S571,0))</f>
        <v>0</v>
      </c>
      <c r="BT571" s="201">
        <f>IF($B571="LOSS",IF(AND($K571=BT$3,$C571="L"),-$O571,0)+IF(AND($K572=BT$3,$C572="L"),-$O572,0)+IF(AND($K572=BT$3,$C573="L"),-$O573,0),IF(OR(AND($K572=BT$3,OR($C571="W",$C571="1/2W")),AND($K572=BT$3,OR($C572="W",$C572="1/2W")),AND($K572=BT$3,OR($C573="W",$C573="1/2W"))),$S571,0))</f>
        <v>0</v>
      </c>
      <c r="BU571" s="201">
        <f>IF($B571="LOSS",IF(AND($K571=BU$3,$C571="L"),-$O571,0)+IF(AND($K572=BU$3,$C572="L"),-$O572,0)+IF(AND($K572=BU$3,$C573="L"),-$O573,0),IF(OR(AND($K572=BU$3,OR($C571="W",$C571="1/2W")),AND($K572=BU$3,OR($C572="W",$C572="1/2W")),AND($K572=BU$3,OR($C573="W",$C573="1/2W"))),$S571,0))</f>
        <v>0</v>
      </c>
      <c r="BV571" s="201">
        <f>IF($B571="LOSS",IF(AND($K571=BV$3,$C571="L"),-$O571,0)+IF(AND($K572=BV$3,$C572="L"),-$O572,0)+IF(AND($K573=BV$3,$C573="L"),-$O573,0),IF(OR(AND($K571=BV$3,OR($C571="W",$C571="1/2W")),AND($K572=BV$3,OR($C572="W",$C572="1/2W")),AND($K573=BV$3,OR($C573="W",$C573="1/2W"))),$S571,0))</f>
        <v>0</v>
      </c>
      <c r="BW571" s="201">
        <f>IF($B571="LOSS",IF(AND($K571=BW$3,$C571="L"),-$O571,0)+IF(AND($K572=BW$3,$C572="L"),-$O572,0)+IF(AND($K573=BW$3,$C573="L"),-$O573,0),IF(OR(AND($K571=BW$3,OR($C571="W",$C571="1/2W")),AND($K572=BW$3,OR($C572="W",$C572="1/2W")),AND($K573=BW$3,OR($C573="W",$C573="1/2W"))),$S571,0))</f>
        <v>0.78</v>
      </c>
      <c r="BX571" s="201">
        <f>IF($B571="LOSS",IF(AND($K571=BX$3,$C571="L"),-$O571,0)+IF(AND($K572=BX$3,$C572="L"),-$O572,0)+IF(AND($K573=BX$3,$C573="L"),-$O573,0),IF(OR(AND($K571=BX$3,OR($C571="W",$C571="1/2W")),AND($K572=BX$3,OR($C572="W",$C572="1/2W")),AND($K573=BX$3,OR($C573="W",$C573="1/2W"))),$S571,0))</f>
        <v>0</v>
      </c>
      <c r="BY571" s="201">
        <f>IF($B571="LOSS",IF(AND($K571=BY$3,$C571="L"),-$O571,0)+IF(AND($K572=BY$3,$C572="L"),-$O572,0)+IF(AND($K573=BY$3,$C573="L"),-$O573,0),IF(OR(AND($K571=BY$3,OR($C571="W",$C571="1/2W")),AND($K572=BY$3,OR($C572="W",$C572="1/2W")),AND($K573=BY$3,OR($C573="W",$C573="1/2W"))),$S571,0))</f>
        <v>0</v>
      </c>
      <c r="BZ571" s="205">
        <f>IF($B571="LOSS",IF(AND($K571=BZ$3,$C571="L"),-$O571,0)+IF(AND($K572=BZ$3,$C572="L"),-$O572,0)+IF(AND($K573=BZ$3,$C573="L"),-$O573,0),IF(OR(AND($K571=BZ$3,OR($C571="W",$C571="1/2W")),AND($K572=BZ$3,OR($C572="W",$C572="1/2W")),AND($K573=BZ$3,OR($C573="W",$C573="1/2W"))),$S571,0))</f>
        <v>0</v>
      </c>
      <c r="CA571" s="205">
        <f>IF($B571="LOSS",IF(AND($K571=CA$3,$C571="L"),-$O571,0)+IF(AND($K572=CA$3,$C572="L"),-$O572,0)+IF(AND($K573=CA$3,$C573="L"),-$O573,0),IF(OR(AND($K571=CA$3,OR($C571="W",$C571="1/2W")),AND($K572=CA$3,OR($C572="W",$C572="1/2W")),AND($K573=CA$3,OR($C573="W",$C573="1/2W"))),$S571,0))</f>
        <v>0</v>
      </c>
      <c r="CB571" s="205">
        <f>IF($B571="LOSS",IF(AND($K571=CB$3,$C571="L"),-$O571,0)+IF(AND($K572=CB$3,$C572="L"),-$O572,0)+IF(AND($K573=CB$3,$C573="L"),-$O573,0),IF(OR(AND($K571=CB$3,OR($C571="W",$C571="1/2W")),AND($K572=CB$3,OR($C572="W",$C572="1/2W")),AND($K573=CB$3,OR($C573="W",$C573="1/2W"))),$S571,0))</f>
        <v>0</v>
      </c>
      <c r="CC571" s="205">
        <f>IF($B571="LOSS",IF(AND($K571=CC$3,$C571="L"),-$O571,0)+IF(AND($K572=CC$3,$C572="L"),-$O572,0)+IF(AND($K573=CC$3,$C573="L"),-$O573,0),IF(OR(AND($K571=CC$3,OR($C571="W",$C571="1/2W")),AND($K572=CC$3,OR($C572="W",$C572="1/2W")),AND($K573=CC$3,OR($C573="W",$C573="1/2W"))),$S571,0))</f>
        <v>0</v>
      </c>
      <c r="CD571" s="202">
        <f>IF($B571="LOSS",IF(AND($K571=CD$3,$C571="L"),-$O571,0)+IF(AND($K572=CD$3,$C572="L"),-$O572,0)+IF(AND($K573=CD$3,$C573="L"),-$O573,0),IF(OR(AND($K571=CD$3,OR($C571="W",$C571="1/2W")),AND($K572=CD$3,OR($C572="W",$C572="1/2W")),AND($K573=CD$3,OR($C573="W",$C573="1/2W"))),$S571,0))</f>
        <v>0</v>
      </c>
      <c r="CE571" s="199">
        <f>IF($B571="LOSS",IF(AND($K571=CE$3,$C571="L"),-$O571,0)+IF(AND($K572=CE$3,$C572="L"),-$O572,0)+IF(AND($K573=CE$3,$C573="L"),-$O573,0),IF(OR(AND($K571=CE$3,OR($C571="W",$C571="1/2W")),AND($K572=CE$3,OR($C572="W",$C572="1/2W")),AND($K573=CE$3,OR($C573="W",$C573="1/2W"))),$S571,0))</f>
        <v>0</v>
      </c>
      <c r="CF571" s="206">
        <f>IF(CF$3=$K571,IF($C571="W",1,IF($C571="1/2W",0.5,0)),0)</f>
        <v>0</v>
      </c>
      <c r="CG571" s="207">
        <f>IF(CF$3=$K571,IF($C571="L",1,IF($C571="1/2L",0.5,0)),0)</f>
        <v>0</v>
      </c>
      <c r="CH571" s="207">
        <f>IF(CH$3=$K571,IF($C571="W",1,IF($C571="1/2W",0.5,0)),0)</f>
        <v>0</v>
      </c>
      <c r="CI571" s="207">
        <f>IF(CH$3=$K571,IF($C571="L",1,IF($C571="1/2L",0.5,0)),0)</f>
        <v>0</v>
      </c>
      <c r="CJ571" s="207">
        <f>IF(CJ$3=$K571,IF($C571="W",1,IF($C571="1/2W",0.5,0)),0)</f>
        <v>0</v>
      </c>
      <c r="CK571" s="207">
        <f>IF(CJ$3=$K571,IF($C571="L",1,IF($C571="1/2L",0.5,0)),0)</f>
        <v>0</v>
      </c>
      <c r="CL571" s="207">
        <f>IF(CL$3=$K571,IF($C571="W",1,IF($C571="1/2W",0.5,0)),0)</f>
        <v>0</v>
      </c>
      <c r="CM571" s="207">
        <f>IF(CL$3=$K571,IF($C571="L",1,IF($C571="1/2L",0.5,0)),0)</f>
        <v>1</v>
      </c>
      <c r="CN571" s="207">
        <f>IF(CN$3=$K571,IF($C571="W",1,IF($C571="1/2W",0.5,0)),0)</f>
        <v>0</v>
      </c>
      <c r="CO571" s="207">
        <f>IF(CN$3=$K571,IF($C571="L",1,IF($C571="1/2L",0.5,0)),0)</f>
        <v>0</v>
      </c>
      <c r="CP571" s="207">
        <f>IF(CP$3=$K571,IF($C571="W",1,IF($C571="1/2W",0.5,0)),0)</f>
        <v>0</v>
      </c>
      <c r="CQ571" s="207">
        <f>IF(CP$3=$K571,IF($C571="L",1,IF($C571="1/2L",0.5,0)),0)</f>
        <v>0</v>
      </c>
      <c r="CR571" s="207">
        <f>IF(CR$3=$K571,IF($C571="W",1,IF($C571="1/2W",0.5,0)),0)</f>
        <v>0</v>
      </c>
      <c r="CS571" s="207">
        <f>IF(CR$3=$K571,IF($C571="L",1,IF($C571="1/2L",0.5,0)),0)</f>
        <v>0</v>
      </c>
      <c r="CT571" s="208">
        <f>IF(CT$3=$K571,IF($C571="W",1,IF($C571="1/2W",0.5,0)),0)</f>
        <v>0</v>
      </c>
      <c r="CU571" s="209">
        <f>IF(CT$3=$K571,IF($C571="L",1,IF($C571="1/2L",0.5,0)),0)</f>
        <v>0</v>
      </c>
      <c r="CV571" s="209">
        <f>IF(CV$3=$K571,IF($C571="W",1,IF($C571="1/2W",0.5,0)),0)</f>
        <v>0</v>
      </c>
      <c r="CW571" s="209">
        <f>IF(CV$3=$K571,IF($C571="L",1,IF($C571="1/2L",0.5,0)),0)</f>
        <v>0</v>
      </c>
      <c r="CX571" s="209">
        <f>IF(CX$3=$K571,IF($C571="W",1,IF($C571="1/2W",0.5,0)),0)</f>
        <v>0</v>
      </c>
      <c r="CY571" s="209">
        <f>IF(CX$3=$K571,IF($C571="L",1,IF($C571="1/2L",0.5,0)),0)</f>
        <v>0</v>
      </c>
      <c r="CZ571" s="209">
        <f>IF(CZ$3=$K571,IF($C571="W",1,IF($C571="1/2W",0.5,0)),0)</f>
        <v>0</v>
      </c>
      <c r="DA571" s="209">
        <f>IF(CZ$3=$K571,IF($C571="L",1,IF($C571="1/2L",0.5,0)),0)</f>
        <v>0</v>
      </c>
      <c r="DB571" s="209">
        <f>IF(DB$3=$K571,IF($C571="W",1,IF($C571="1/2W",0.5,0)),0)</f>
        <v>0</v>
      </c>
      <c r="DC571" s="209">
        <f>IF(DB$3=$K571,IF($C571="L",1,IF($C571="1/2L",0.5,0)),0)</f>
        <v>0</v>
      </c>
      <c r="DD571" s="209">
        <f>IF(DD$3=$K571,IF($C571="W",1,IF($C571="1/2W",0.5,0)),0)</f>
        <v>0</v>
      </c>
      <c r="DE571" s="210">
        <f>IF(DD$3=$K571,IF($C571="L",1,IF($C571="1/2L",0.5,0)),0)</f>
        <v>0</v>
      </c>
      <c r="DF571" s="211">
        <f>IF(AND(L571&lt;DF$3,$C571="W"),1+DF570,DF570)</f>
        <v>17</v>
      </c>
      <c r="DG571" s="198">
        <f>IF(DF571&gt;DF570,L571+DG570,DG570)</f>
        <v>22.628</v>
      </c>
      <c r="DH571" s="209">
        <f>IF(AND(L571&gt;DH$3,$C571="W"),1+DH570,0+DH570)</f>
        <v>16</v>
      </c>
      <c r="DI571" s="198">
        <f>IF(DH571&gt;DH570,L571+DI570,DI570)</f>
        <v>85.45999999999999</v>
      </c>
      <c r="DJ571" t="s" s="306">
        <f>IF($D571="","",$D571)</f>
        <v>431</v>
      </c>
      <c r="DK571" s="209">
        <f>IF(AND($B571=" ",$D571&lt;&gt;""),1,0)</f>
        <v>0</v>
      </c>
    </row>
    <row r="572" ht="14.55" customHeight="1">
      <c r="A572" s="107"/>
      <c r="B572" s="108"/>
      <c r="C572" t="s" s="213">
        <v>56</v>
      </c>
      <c r="D572" s="110"/>
      <c r="E572" s="111"/>
      <c r="F572" s="113"/>
      <c r="G572" s="214"/>
      <c r="H572" s="114"/>
      <c r="I572" t="s" s="215">
        <v>67</v>
      </c>
      <c r="J572" s="296">
        <f>IF(OR(I571="TO",I571="TU",I571="TO1",I571="TU1",I571="TO2",I571="TU2"),J571,IF(OR(I571="AH1",I571="AH2"),IF(OR(I572="AH1",I572="AH2"),-J571,IF(OR(I572="EH1",I572="EH2"),-J571+0.5,"")),IF(OR(I571="EH1",I571="EH2"),IF(OR(I572="AH1",I572="AH2"),-J571+0.5,IF(OR(I572="EH1",I572="EH2"),-J571+1,"")),IF(AND(OR(I571="DNB1",I571="DNB2"),OR(I572="AH1",I572="AH2")),0,IF(AND(I571="Not ScoreBoth",OR(I572="TO1",I572="TO2")),0.5,"")))))</f>
        <v>52.5</v>
      </c>
      <c r="K572" t="s" s="217">
        <v>41</v>
      </c>
      <c r="L572" s="218">
        <v>1.98</v>
      </c>
      <c r="M572" s="219">
        <v>6.45</v>
      </c>
      <c r="N572" s="120"/>
      <c r="O572" s="220">
        <f>IF(OR(AE571="",AE572=""),"",ROUND(IF(L573&gt;0,IF(M572&gt;0,M572,IF(M571&gt;0,IF(N571=TRUE,ROUND((M571*AE572)/AE571,0),(M571*AE572)/AE571),IF(M572&gt;0,ROUND(M572,IF(N571=0,2,IF(N571=0.1,1,0))),IF(M573&gt;0,ROUND(O573*AE572/AE573,IF(N571=0,2,IF(N571=0.1,1,0))),0)))),IF(M572&gt;0,M572,ROUND((M571*AE572)/AE571,IF(N571=0,2,IF(N571=0.1,1,0))))),2))</f>
        <v>6.45</v>
      </c>
      <c r="P572" s="221">
        <f>IF(OR(L572="",O572=""),"",IF($C572="1/2W",O572/2+O572/2*L572,IF($C572="1/2L",O572/2,IF(I572="Lay",((O572*(L572/(L572-1)))-O572)*(1-_xlfn.XLOOKUP(K572,'Janeiro 2023 - Valor Real'!A3:A15,'Janeiro 2023 - Valor Real'!C3:C15,0))+O572,(O572*L572-O572)*(1-_xlfn.XLOOKUP(K572,'Janeiro 2023 - Valor Real'!A3:A15,'Janeiro 2023 - Valor Real'!C3:C15,0))+O572))))</f>
        <v>12.771</v>
      </c>
      <c r="Q572" s="222">
        <f>IF(K572="","",IF(_xlfn.XLOOKUP(K572,K$123:K345,DJ$123:DJ345,0,,-1)=DJ572,_xlfn.XLOOKUP(K572,K$123:K345,Q$123:Q345,1,,-1)+1,1))</f>
        <v>1</v>
      </c>
      <c r="R572" s="223">
        <f>IF(K572="","",_xlfn.XLOOKUP(K572,K$123:K345,R$123:R345,0,,-1)+IF($C572=" ",1,0))</f>
        <v>0</v>
      </c>
      <c r="S572" s="125"/>
      <c r="T572" s="126"/>
      <c r="U572" s="126"/>
      <c r="V572" s="224"/>
      <c r="W572" s="126"/>
      <c r="X572" s="127"/>
      <c r="Y572" s="128"/>
      <c r="Z572" s="129"/>
      <c r="AA572" s="129"/>
      <c r="AB572" s="129"/>
      <c r="AC572" s="129"/>
      <c r="AD572" s="225">
        <f>(((L572/(L572-1)-1)*(1-_xlfn.XLOOKUP(K572,'Janeiro 2023 - Valor Real'!A3:A15,'Janeiro 2023 - Valor Real'!C3:C15,0))+1))</f>
        <v>2.02040816326531</v>
      </c>
      <c r="AE572" s="226">
        <f>IF(L572="","",IF(L573&gt;0,(SUM(((L571-1)*(1-_xlfn.XLOOKUP(K571,'Janeiro 2023 - Valor Real'!A3:A15,'Janeiro 2023 - Valor Real'!C3:C15,0))+1),((L572-1)*(1-_xlfn.XLOOKUP(K572,'Janeiro 2023 - Valor Real'!A3:A15,'Janeiro 2023 - Valor Real'!C3:C15,0))+1),((L573-1)*(1-_xlfn.XLOOKUP(K573,'Janeiro 2023 - Valor Real'!A3:A15,'Janeiro 2023 - Valor Real'!C3:C15,0))+1))/((L572-1)*(1-_xlfn.XLOOKUP(K572,'Janeiro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Real'!C3:C15,0))+1))/((L571-1)*(1-_xlfn.XLOOKUP(K571,'Janeiro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Real'!C3:C15,0))+1))/((L572-1)*(1-_xlfn.XLOOKUP(K572,'Janeiro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Real'!C3:C15,0))+1))/((L573-1)*(1-_xlfn.XLOOKUP(K573,'Janeiro 2023 - Valor Real'!A3:A15,'Janeiro 2023 - Valor Real'!C3:C15,0))+1)),IF(I572="Lay",IF(I571="Lay",((L571/(L571-1)-1)*(1-_xlfn.XLOOKUP(K571,'Janeiro 2023 - Valor Real'!A3:A15,'Janeiro 2023 - Valor Real'!C3:C15,0))+1)/(((L571/(L571-1)-1)*(1-_xlfn.XLOOKUP(K571,'Janeiro 2023 - Valor Real'!A3:A15,'Janeiro 2023 - Valor Real'!C3:C15,0))+1)+((L572/(L572-1)-1)*(1-_xlfn.XLOOKUP(K572,'Janeiro 2023 - Valor Real'!A3:A15,'Janeiro 2023 - Valor Real'!C3:C15,0))+1)),((L571-1)*(1-_xlfn.XLOOKUP(K571,'Janeiro 2023 - Valor Real'!A3:A15,'Janeiro 2023 - Valor Real'!C3:C15,0))+1)/(((L571-1)*(1-_xlfn.XLOOKUP(K571,'Janeiro 2023 - Valor Real'!A3:A15,'Janeiro 2023 - Valor Real'!C3:C15,0))+1)+((L572/(L572-1)-1)*(1-_xlfn.XLOOKUP(K572,'Janeiro 2023 - Valor Real'!A3:A15,'Janeiro 2023 - Valor Real'!C3:C15,0))+1))),IF(I571="Lay",((L571/(L571-1)-1)*(1-_xlfn.XLOOKUP(K571,'Janeiro 2023 - Valor Real'!A3:A15,'Janeiro 2023 - Valor Real'!C3:C15,0))+1)/((((L571/(L571-1)-1)*(1-_xlfn.XLOOKUP(K571,'Janeiro 2023 - Valor Real'!A3:A15,'Janeiro 2023 - Valor Real'!C3:C15,0))+1))+((L572-1)*(1-_xlfn.XLOOKUP(K572,'Janeiro 2023 - Valor Real'!A3:A15,'Janeiro 2023 - Valor Real'!C3:C15,0))+1)),((L571-1)*(1-_xlfn.XLOOKUP(K571,'Janeiro 2023 - Valor Real'!A3:A15,'Janeiro 2023 - Valor Real'!C3:C15,0))+1)/(((L571-1)*(1-_xlfn.XLOOKUP(K571,'Janeiro 2023 - Valor Real'!A3:A15,'Janeiro 2023 - Valor Real'!C3:C15,0))+1)+((L572-1)*(1-_xlfn.XLOOKUP(K572,'Janeiro 2023 - Valor Real'!A3:A15,'Janeiro 2023 - Valor Real'!C3:C15,0))+1))))))</f>
        <v>0.537383177570093</v>
      </c>
      <c r="AF572" s="197">
        <f>IF($K572=AF$3,ROUND(IF(OR($C572="W",$C572="1/2W",$C572="1/2L"),$P572-$O572,IF($C572="X",0,-$O572)),2),0)</f>
        <v>0</v>
      </c>
      <c r="AG572" s="198">
        <f>IF($K572=AG$3,ROUND(IF(OR($C572="W",$C572="1/2W",$C572="1/2L"),$P572-$O572,IF($C572="X",0,-$O572)),2),0)</f>
        <v>0</v>
      </c>
      <c r="AH572" s="198">
        <f>IF($K572=AH$3,ROUND(IF(OR($C572="W",$C572="1/2W",$C572="1/2L"),$P572-$O572,IF($C572="X",0,-$O572)),2),0)</f>
        <v>0</v>
      </c>
      <c r="AI572" s="198">
        <f>IF($K572=AI$3,ROUND(IF(OR($C572="W",$C572="1/2W",$C572="1/2L"),$P572-$O572,IF($C572="X",0,-$O572)),2),0)</f>
        <v>0</v>
      </c>
      <c r="AJ572" s="198">
        <f>IF($K572=AJ$3,ROUND(IF(OR($C572="W",$C572="1/2W",$C572="1/2L"),$P572-$O572,IF($C572="X",0,-$O572)),2),0)</f>
        <v>6.32</v>
      </c>
      <c r="AK572" s="198">
        <f>IF($K572=AK$3,ROUND(IF(OR($C572="W",$C572="1/2W",$C572="1/2L"),$P572-$O572,IF($C572="X",0,-$O572)),2),0)</f>
        <v>0</v>
      </c>
      <c r="AL572" s="198">
        <f>IF($K572=AL$3,ROUND(IF(OR($C572="W",$C572="1/2W",$C572="1/2L"),$P572-$O572,IF($C572="X",0,-$O572)),2),0)</f>
        <v>0</v>
      </c>
      <c r="AM572" s="198">
        <f>IF($K572=AM$3,ROUND(IF(OR($C572="W",$C572="1/2W",$C572="1/2L"),$P572-$O572,IF($C572="X",0,-$O572)),2),0)</f>
        <v>0</v>
      </c>
      <c r="AN572" s="198">
        <f>IF($K572=AN$3,ROUND(IF(OR($C572="W",$C572="1/2W",$C572="1/2L"),$P572-$O572,IF($C572="X",0,-$O572)),2),0)</f>
        <v>0</v>
      </c>
      <c r="AO572" s="198">
        <f>IF($K572=AO$3,ROUND(IF(OR($C572="W",$C572="1/2W",$C572="1/2L"),$P572-$O572,IF($C572="X",0,-$O572)),2),0)</f>
        <v>0</v>
      </c>
      <c r="AP572" s="198">
        <f>IF($K572=AP$3,ROUND(IF(OR($C572="W",$C572="1/2W",$C572="1/2L"),$P572-$O572,IF($C572="X",0,-$O572)),2),0)</f>
        <v>0</v>
      </c>
      <c r="AQ572" s="198">
        <f>IF($K572=AQ$3,ROUND(IF(OR($C572="W",$C572="1/2W",$C572="1/2L"),$P572-$O572,IF($C572="X",0,-$O572)),2),0)</f>
        <v>0</v>
      </c>
      <c r="AR572" s="199">
        <f>IF($K572=AR$3,ROUND(IF(OR($C572="W",$C572="1/2W",$C572="1/2L"),$P572-$O572,IF($C572="X",0,-$O572)),2),0)</f>
        <v>0</v>
      </c>
      <c r="AS572" s="197">
        <f>IF(AND($B571=" ",$K572=AS$3),$O572,0)</f>
        <v>0</v>
      </c>
      <c r="AT572" s="198">
        <f>IF(AND($B571=" ",K572=AT$3),$O572,0)</f>
        <v>0</v>
      </c>
      <c r="AU572" s="198">
        <f>IF(AND($B571=" ",$K572=AU$3),$O572,0)</f>
        <v>0</v>
      </c>
      <c r="AV572" s="198">
        <f>IF(AND($B571=" ",$K572=AV$3),$O572,0)</f>
        <v>0</v>
      </c>
      <c r="AW572" s="198">
        <f>IF(AND($B571=" ",$K572=AW$3),$O572,0)</f>
        <v>0</v>
      </c>
      <c r="AX572" s="198">
        <f>IF(AND($B571=" ",$K572=AX$3),$O572,0)</f>
        <v>0</v>
      </c>
      <c r="AY572" s="200">
        <f>IF(AND($B571=" ",$K572=AY$3),$O572,0)</f>
        <v>0</v>
      </c>
      <c r="AZ572" s="201">
        <f>IF(AND($B571=" ",$K572=AZ$3),$O572,0)</f>
        <v>0</v>
      </c>
      <c r="BA572" s="201">
        <f>IF(AND($B571=" ",$K572=BA$3),$O572,0)</f>
        <v>0</v>
      </c>
      <c r="BB572" s="201">
        <f>IF(AND($B571=" ",$K572=BB$3),$O572,0)</f>
        <v>0</v>
      </c>
      <c r="BC572" s="202">
        <f>IF(AND($B571=" ",$K572=BC$3),$O572,0)</f>
        <v>0</v>
      </c>
      <c r="BD572" s="198">
        <f>IF(AND($B571=" ",$K572=BD$3),$O572,0)</f>
        <v>0</v>
      </c>
      <c r="BE572" s="199">
        <f>IF(AND($B571=" ",$K572=BE$3),$O572,0)</f>
        <v>0</v>
      </c>
      <c r="BF572" s="197">
        <f>IF($K572=BF$3,IF($C572="X",0,$O572),0)</f>
        <v>0</v>
      </c>
      <c r="BG572" s="198">
        <f>IF($K572=BG$3,IF($C572="X",0,$O572),0)</f>
        <v>0</v>
      </c>
      <c r="BH572" s="198">
        <f>IF($K572=BH$3,IF($C572="X",0,$O572),0)</f>
        <v>0</v>
      </c>
      <c r="BI572" s="198">
        <f>IF($K572=BI$3,IF($C572="X",0,$O572),0)</f>
        <v>0</v>
      </c>
      <c r="BJ572" s="198">
        <f>IF($K572=BJ$3,IF($C572="X",0,$O572),0)</f>
        <v>6.45</v>
      </c>
      <c r="BK572" s="198">
        <f>IF($K572=BK$3,IF($C572="X",0,$O572),0)</f>
        <v>0</v>
      </c>
      <c r="BL572" s="198">
        <f>IF($K572=BL$3,IF($C572="X",0,$O572),0)</f>
        <v>0</v>
      </c>
      <c r="BM572" s="227">
        <f>IF($K572=BM$3,IF($C572="X",0,$O572),0)</f>
        <v>0</v>
      </c>
      <c r="BN572" s="205">
        <f>IF($K572=BN$3,IF($C572="X",0,$O572),0)</f>
        <v>0</v>
      </c>
      <c r="BO572" s="205">
        <f>IF($K572=BO$3,IF($C572="X",0,$O572),0)</f>
        <v>0</v>
      </c>
      <c r="BP572" s="205">
        <f>IF($K572=BP$3,IF($C572="X",0,$O572),0)</f>
        <v>0</v>
      </c>
      <c r="BQ572" s="202">
        <f>IF($K572=BQ$3,IF($C572="X",0,$O572),0)</f>
        <v>0</v>
      </c>
      <c r="BR572" s="199">
        <f>IF($K572=BR$3,IF($C572="X",0,$O572),0)</f>
        <v>0</v>
      </c>
      <c r="BS572" s="228"/>
      <c r="BT572" s="229"/>
      <c r="BU572" s="140"/>
      <c r="BV572" s="229"/>
      <c r="BW572" s="140"/>
      <c r="BX572" s="140"/>
      <c r="BY572" s="140"/>
      <c r="BZ572" s="229"/>
      <c r="CA572" s="140"/>
      <c r="CB572" s="140"/>
      <c r="CC572" s="140"/>
      <c r="CD572" s="141"/>
      <c r="CE572" s="142"/>
      <c r="CF572" s="230">
        <f>IF(CF$3=$K572,IF($C572="W",1,IF($C572="1/2W",0.5,0)),0)</f>
        <v>0</v>
      </c>
      <c r="CG572" s="231">
        <f>IF(CF$3=$K572,IF($C572="L",1,IF($C572="1/2L",0.5,0)),0)</f>
        <v>0</v>
      </c>
      <c r="CH572" s="231">
        <f>IF(CH$3=$K572,IF($C572="W",1,IF($C572="1/2W",0.5,0)),0)</f>
        <v>0</v>
      </c>
      <c r="CI572" s="231">
        <f>IF(CH$3=$K572,IF($C572="L",1,IF($C572="1/2L",0.5,0)),0)</f>
        <v>0</v>
      </c>
      <c r="CJ572" s="231">
        <f>IF(CJ$3=$K572,IF($C572="W",1,IF($C572="1/2W",0.5,0)),0)</f>
        <v>0</v>
      </c>
      <c r="CK572" s="231">
        <f>IF(CJ$3=$K572,IF($C572="L",1,IF($C572="1/2L",0.5,0)),0)</f>
        <v>0</v>
      </c>
      <c r="CL572" s="231">
        <f>IF(CL$3=$K572,IF($C572="W",1,IF($C572="1/2W",0.5,0)),0)</f>
        <v>0</v>
      </c>
      <c r="CM572" s="231">
        <f>IF(CL$3=$K572,IF($C572="L",1,IF($C572="1/2L",0.5,0)),0)</f>
        <v>0</v>
      </c>
      <c r="CN572" s="231">
        <f>IF(CN$3=$K572,IF($C572="W",1,IF($C572="1/2W",0.5,0)),0)</f>
        <v>1</v>
      </c>
      <c r="CO572" s="231">
        <f>IF(CN$3=$K572,IF($C572="L",1,IF($C572="1/2L",0.5,0)),0)</f>
        <v>0</v>
      </c>
      <c r="CP572" s="231">
        <f>IF(CP$3=$K572,IF($C572="W",1,IF($C572="1/2W",0.5,0)),0)</f>
        <v>0</v>
      </c>
      <c r="CQ572" s="231">
        <f>IF(CP$3=$K572,IF($C572="L",1,IF($C572="1/2L",0.5,0)),0)</f>
        <v>0</v>
      </c>
      <c r="CR572" s="231">
        <f>IF(CR$3=$K572,IF($C572="W",1,IF($C572="1/2W",0.5,0)),0)</f>
        <v>0</v>
      </c>
      <c r="CS572" s="231">
        <f>IF(CR$3=$K572,IF($C572="L",1,IF($C572="1/2L",0.5,0)),0)</f>
        <v>0</v>
      </c>
      <c r="CT572" s="208">
        <f>IF(CT$3=$K572,IF($C572="W",1,IF($C572="1/2W",0.5,0)),0)</f>
        <v>0</v>
      </c>
      <c r="CU572" s="209">
        <f>IF(CT$3=$K572,IF($C572="L",1,IF($C572="1/2L",0.5,0)),0)</f>
        <v>0</v>
      </c>
      <c r="CV572" s="209">
        <f>IF(CV$3=$K572,IF($C572="W",1,IF($C572="1/2W",0.5,0)),0)</f>
        <v>0</v>
      </c>
      <c r="CW572" s="209">
        <f>IF(CV$3=$K572,IF($C572="L",1,IF($C572="1/2L",0.5,0)),0)</f>
        <v>0</v>
      </c>
      <c r="CX572" s="209">
        <f>IF(CX$3=$K572,IF($C572="W",1,IF($C572="1/2W",0.5,0)),0)</f>
        <v>0</v>
      </c>
      <c r="CY572" s="209">
        <f>IF(CX$3=$K572,IF($C572="L",1,IF($C572="1/2L",0.5,0)),0)</f>
        <v>0</v>
      </c>
      <c r="CZ572" s="209">
        <f>IF(CZ$3=$K572,IF($C572="W",1,IF($C572="1/2W",0.5,0)),0)</f>
        <v>0</v>
      </c>
      <c r="DA572" s="209">
        <f>IF(CZ$3=$K572,IF($C572="L",1,IF($C572="1/2L",0.5,0)),0)</f>
        <v>0</v>
      </c>
      <c r="DB572" s="209">
        <f>IF(DB$3=$K572,IF($C572="W",1,IF($C572="1/2W",0.5,0)),0)</f>
        <v>0</v>
      </c>
      <c r="DC572" s="209">
        <f>IF(DB$3=$K572,IF($C572="L",1,IF($C572="1/2L",0.5,0)),0)</f>
        <v>0</v>
      </c>
      <c r="DD572" s="209">
        <f>IF(DD$3=$K572,IF($C572="W",1,IF($C572="1/2W",0.5,0)),0)</f>
        <v>0</v>
      </c>
      <c r="DE572" s="210">
        <f>IF(DD$3=$K572,IF($C572="L",1,IF($C572="1/2L",0.5,0)),0)</f>
        <v>0</v>
      </c>
      <c r="DF572" s="211">
        <f>IF(AND(L572&lt;DF$3,$C572="W"),1+DF571,DF571)</f>
        <v>17</v>
      </c>
      <c r="DG572" s="198">
        <f>IF(DF572&gt;DF571,L572+DG571,DG571)</f>
        <v>22.628</v>
      </c>
      <c r="DH572" s="209">
        <f>IF(AND(L572&gt;DH$3,$C572="W"),1+DH571,0+DH571)</f>
        <v>16</v>
      </c>
      <c r="DI572" s="198">
        <f>IF(DH572&gt;DH571,L572+DI571,DI571)</f>
        <v>85.45999999999999</v>
      </c>
      <c r="DJ572" t="s" s="306">
        <f>IF($D571="","",$D571)</f>
        <v>431</v>
      </c>
      <c r="DK572" s="232"/>
    </row>
    <row r="573" ht="14.55" customHeight="1">
      <c r="A573" s="149"/>
      <c r="B573" s="150"/>
      <c r="C573" t="s" s="233">
        <v>58</v>
      </c>
      <c r="D573" s="152"/>
      <c r="E573" s="153"/>
      <c r="F573" s="310"/>
      <c r="G573" s="234"/>
      <c r="H573" s="156"/>
      <c r="I573" s="235"/>
      <c r="J573" s="236"/>
      <c r="K573" s="237"/>
      <c r="L573" s="238"/>
      <c r="M573" s="239"/>
      <c r="N573" s="161"/>
      <c r="O573" t="s" s="240">
        <f>IF(OR(AE571="",AE572=""),"",IF(L573&gt;0,ROUND(IF(M573&gt;0,M573,IF(M571&gt;0,ROUND((M571*AE573)/AE571,IF(N571=0,2,IF(N571=0.1,1,0))),IF(M572&gt;0,ROUND((M572*AE573)/AE572,IF(N571=0,2,IF(N571=0.1,1,0))),IF(M573&gt;0,M573,0)))),2),""))</f>
      </c>
      <c r="P573" t="s" s="241">
        <f>IF(I572="Lay",O572*(L572/(L572-1))-O572,IF(I571="Lay",O571*(L571/(L571-1))-O571,IF(OR(L573="",O573=""),"",IF($C573="1/2W",O573/2+O573/2*L573,IF($C573="1/2L",O573/2,(O573*L573-O573)*(1-_xlfn.XLOOKUP(K573,'Janeiro 2023 - Valor Real'!A3:A15,'Janeiro 2023 - Valor Real'!C3:C15,0))+O573)))))</f>
      </c>
      <c r="Q573" t="s" s="242">
        <f>IF(K573="","",IF(_xlfn.XLOOKUP(K573,K$124:K346,DJ$124:DJ346,0,,-1)=DJ573,_xlfn.XLOOKUP(K573,K$124:K346,Q$124:Q346,1,,-1)+1,1))</f>
      </c>
      <c r="R573" t="s" s="243">
        <f>IF(K573="","",_xlfn.XLOOKUP(K573,K$124:K346,R$124:R346,0,,-1)+IF($C573=" ",1,0))</f>
      </c>
      <c r="S573" s="166"/>
      <c r="T573" s="155"/>
      <c r="U573" s="155"/>
      <c r="V573" s="166"/>
      <c r="W573" s="155"/>
      <c r="X573" s="167"/>
      <c r="Y573" s="128"/>
      <c r="Z573" s="129"/>
      <c r="AA573" s="129"/>
      <c r="AB573" s="129"/>
      <c r="AC573" s="129"/>
      <c r="AD573" s="244">
        <f>((L572/(L572-1)-1))</f>
        <v>1.02040816326531</v>
      </c>
      <c r="AE573" t="s" s="245">
        <f>IF(L573="","",(SUM(((L571-1)*(1-_xlfn.XLOOKUP(K571,'Janeiro 2023 - Valor Real'!A3:A15,'Janeiro 2023 - Valor Real'!C3:C15,0))+1),((L572-1)*(1-_xlfn.XLOOKUP(K572,'Janeiro 2023 - Valor Real'!A3:A15,'Janeiro 2023 - Valor Real'!C3:C15,0))+1),((L573-1)*(1-_xlfn.XLOOKUP(K573,'Janeiro 2023 - Valor Real'!A3:A15,'Janeiro 2023 - Valor Real'!C3:C15,0))+1))/((L573-1)*(1-_xlfn.XLOOKUP(K573,'Janeiro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Real'!C3:C15,0))+1))/((L571-1)*(1-_xlfn.XLOOKUP(K571,'Janeiro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Real'!C3:C15,0))+1))/((L572-1)*(1-_xlfn.XLOOKUP(K572,'Janeiro 2023 - Valor Real'!A3:A15,'Janeiro 2023 - Valor Real'!C3:C15,0))+1)+SUM(((L571-1)*(1-_xlfn.XLOOKUP(K571,'Janeiro 2023 - Valor Real'!A3:A15,'Janeiro 2023 - Valor Real'!C3:C15,0))+1),((L572-1)*(1-_xlfn.XLOOKUP(K572,'Janeiro 2023 - Valor Real'!A3:A15,'Janeiro 2023 - Valor Real'!C3:C15,0))+1),((L573-1)*(1-_xlfn.XLOOKUP(K573,'Janeiro 2023 - Valor Real'!A3:A15,'Janeiro 2023 - Valor Real'!C3:C15,0))+1))/((L573-1)*(1-_xlfn.XLOOKUP(K573,'Janeiro 2023 - Valor Real'!A3:A15,'Janeiro 2023 - Valor Real'!C3:C15,0))+1)))</f>
      </c>
      <c r="AF573" s="197">
        <f>IF($K573=AF$3,ROUND(IF(OR($C573="W",$C573="1/2W",$C573="1/2L"),$P573-$O573,IF($C573="X",0,-$O573)),2),0)</f>
        <v>0</v>
      </c>
      <c r="AG573" s="198">
        <f>IF($K573=AG$3,ROUND(IF(OR($C573="W",$C573="1/2W",$C573="1/2L"),$P573-$O573,IF($C573="X",0,-$O573)),2),0)</f>
        <v>0</v>
      </c>
      <c r="AH573" s="198">
        <f>IF($K573=AH$3,ROUND(IF(OR($C573="W",$C573="1/2W",$C573="1/2L"),$P573-$O573,IF($C573="X",0,-$O573)),2),0)</f>
        <v>0</v>
      </c>
      <c r="AI573" s="198">
        <f>IF($K573=AI$3,ROUND(IF(OR($C573="W",$C573="1/2W",$C573="1/2L"),$P573-$O573,IF($C573="X",0,-$O573)),2),0)</f>
        <v>0</v>
      </c>
      <c r="AJ573" s="198">
        <f>IF($K573=AJ$3,ROUND(IF(OR($C573="W",$C573="1/2W",$C573="1/2L"),$P573-$O573,IF($C573="X",0,-$O573)),2),0)</f>
        <v>0</v>
      </c>
      <c r="AK573" s="198">
        <f>IF($K573=AK$3,ROUND(IF(OR($C573="W",$C573="1/2W",$C573="1/2L"),$P573-$O573,IF($C573="X",0,-$O573)),2),0)</f>
        <v>0</v>
      </c>
      <c r="AL573" s="198">
        <f>IF($K573=AL$3,ROUND(IF(OR($C573="W",$C573="1/2W",$C573="1/2L"),$P573-$O573,IF($C573="X",0,-$O573)),2),0)</f>
        <v>0</v>
      </c>
      <c r="AM573" s="198">
        <f>IF($K573=AM$3,ROUND(IF(OR($C573="W",$C573="1/2W",$C573="1/2L"),$P573-$O573,IF($C573="X",0,-$O573)),2),0)</f>
        <v>0</v>
      </c>
      <c r="AN573" s="198">
        <f>IF($K573=AN$3,ROUND(IF(OR($C573="W",$C573="1/2W",$C573="1/2L"),$P573-$O573,IF($C573="X",0,-$O573)),2),0)</f>
        <v>0</v>
      </c>
      <c r="AO573" s="198">
        <f>IF($K573=AO$3,ROUND(IF(OR($C573="W",$C573="1/2W",$C573="1/2L"),$P573-$O573,IF($C573="X",0,-$O573)),2),0)</f>
        <v>0</v>
      </c>
      <c r="AP573" s="198">
        <f>IF($K573=AP$3,ROUND(IF(OR($C573="W",$C573="1/2W",$C573="1/2L"),$P573-$O573,IF($C573="X",0,-$O573)),2),0)</f>
        <v>0</v>
      </c>
      <c r="AQ573" s="198">
        <f>IF($K573=AQ$3,ROUND(IF(OR($C573="W",$C573="1/2W",$C573="1/2L"),$P573-$O573,IF($C573="X",0,-$O573)),2),0)</f>
        <v>0</v>
      </c>
      <c r="AR573" s="199">
        <f>IF($K573=AR$3,ROUND(IF(OR($C573="W",$C573="1/2W",$C573="1/2L"),$P573-$O573,IF($C573="X",0,-$O573)),2),0)</f>
        <v>0</v>
      </c>
      <c r="AS573" s="197">
        <f>IF(AND($B571=" ",$K573=AS$3),$O573,0)</f>
        <v>0</v>
      </c>
      <c r="AT573" s="198">
        <f>IF(AND($B571=" ",K573=AT$3),$O573,0)</f>
        <v>0</v>
      </c>
      <c r="AU573" s="198">
        <f>IF(AND($B571=" ",$K573=AU$3),$O573,0)</f>
        <v>0</v>
      </c>
      <c r="AV573" s="198">
        <f>IF(AND($B571=" ",$K573=AV$3),$O573,0)</f>
        <v>0</v>
      </c>
      <c r="AW573" s="198">
        <f>IF(AND($B571=" ",$K573=AW$3),$O573,0)</f>
        <v>0</v>
      </c>
      <c r="AX573" s="198">
        <f>IF(AND($B571=" ",$K573=AX$3),$O573,0)</f>
        <v>0</v>
      </c>
      <c r="AY573" s="200">
        <f>IF(AND($B571=" ",$K573=AY$3),$O573,0)</f>
        <v>0</v>
      </c>
      <c r="AZ573" s="201">
        <f>IF(AND($B571=" ",$K573=AZ$3),$O573,0)</f>
        <v>0</v>
      </c>
      <c r="BA573" s="201">
        <f>IF(AND($B571=" ",$K573=BA$3),$O573,0)</f>
        <v>0</v>
      </c>
      <c r="BB573" s="201">
        <f>IF(AND($B571=" ",$K573=BB$3),$O573,0)</f>
        <v>0</v>
      </c>
      <c r="BC573" s="202">
        <f>IF(AND($B571=" ",$K573=BC$3),$O573,0)</f>
        <v>0</v>
      </c>
      <c r="BD573" s="198">
        <f>IF(AND($B571=" ",$K573=BD$3),$O573,0)</f>
        <v>0</v>
      </c>
      <c r="BE573" s="199">
        <f>IF(AND($B571=" ",$K573=BE$3),$O573,0)</f>
        <v>0</v>
      </c>
      <c r="BF573" s="197">
        <f>IF($K573=BF$3,IF($C573="X",0,$O573),0)</f>
        <v>0</v>
      </c>
      <c r="BG573" s="198">
        <f>IF($K573=BG$3,IF($C573="X",0,$O573),0)</f>
        <v>0</v>
      </c>
      <c r="BH573" s="198">
        <f>IF($K573=BH$3,IF($C573="X",0,$O573),0)</f>
        <v>0</v>
      </c>
      <c r="BI573" s="198">
        <f>IF($K573=BI$3,IF($C573="X",0,$O573),0)</f>
        <v>0</v>
      </c>
      <c r="BJ573" s="198">
        <f>IF($K573=BJ$3,IF($C573="X",0,$O573),0)</f>
        <v>0</v>
      </c>
      <c r="BK573" s="198">
        <f>IF($K573=BK$3,IF($C573="X",0,$O573),0)</f>
        <v>0</v>
      </c>
      <c r="BL573" s="198">
        <f>IF($K573=BL$3,IF($C573="X",0,$O573),0)</f>
        <v>0</v>
      </c>
      <c r="BM573" s="200">
        <f>IF($K573=BM$3,IF($C573="X",0,$O573),0)</f>
        <v>0</v>
      </c>
      <c r="BN573" s="201">
        <f>IF($K573=BN$3,IF($C573="X",0,$O573),0)</f>
        <v>0</v>
      </c>
      <c r="BO573" s="201">
        <f>IF($K573=BO$3,IF($C573="X",0,$O573),0)</f>
        <v>0</v>
      </c>
      <c r="BP573" s="201">
        <f>IF($K573=BP$3,IF($C573="X",0,$O573),0)</f>
        <v>0</v>
      </c>
      <c r="BQ573" s="202">
        <f>IF($K573=BQ$3,IF($C573="X",0,$O573),0)</f>
        <v>0</v>
      </c>
      <c r="BR573" s="199">
        <f>IF($K573=BR$3,IF($C573="X",0,$O573),0)</f>
        <v>0</v>
      </c>
      <c r="BS573" s="228"/>
      <c r="BT573" s="229"/>
      <c r="BU573" s="140"/>
      <c r="BV573" s="229"/>
      <c r="BW573" s="140"/>
      <c r="BX573" s="140"/>
      <c r="BY573" s="140"/>
      <c r="BZ573" s="229"/>
      <c r="CA573" s="140"/>
      <c r="CB573" s="140"/>
      <c r="CC573" s="140"/>
      <c r="CD573" s="141"/>
      <c r="CE573" s="142"/>
      <c r="CF573" s="230">
        <f>IF(CF$3=$K573,IF($C573="W",1,IF($C573="1/2W",0.5,0)),0)</f>
        <v>0</v>
      </c>
      <c r="CG573" s="231">
        <f>IF(CF$3=$K573,IF($C573="L",1,IF($C573="1/2L",0.5,0)),0)</f>
        <v>0</v>
      </c>
      <c r="CH573" s="231">
        <f>IF(CH$3=$K573,IF($C573="W",1,IF($C573="1/2W",0.5,0)),0)</f>
        <v>0</v>
      </c>
      <c r="CI573" s="231">
        <f>IF(CH$3=$K573,IF($C573="L",1,IF($C573="1/2L",0.5,0)),0)</f>
        <v>0</v>
      </c>
      <c r="CJ573" s="231">
        <f>IF(CJ$3=$K573,IF($C573="W",1,IF($C573="1/2W",0.5,0)),0)</f>
        <v>0</v>
      </c>
      <c r="CK573" s="231">
        <f>IF(CJ$3=$K573,IF($C573="L",1,IF($C573="1/2L",0.5,0)),0)</f>
        <v>0</v>
      </c>
      <c r="CL573" s="231">
        <f>IF(CL$3=$K573,IF($C573="W",1,IF($C573="1/2W",0.5,0)),0)</f>
        <v>0</v>
      </c>
      <c r="CM573" s="231">
        <f>IF(CL$3=$K573,IF($C573="L",1,IF($C573="1/2L",0.5,0)),0)</f>
        <v>0</v>
      </c>
      <c r="CN573" s="231">
        <f>IF(CN$3=$K573,IF($C573="W",1,IF($C573="1/2W",0.5,0)),0)</f>
        <v>0</v>
      </c>
      <c r="CO573" s="231">
        <f>IF(CN$3=$K573,IF($C573="L",1,IF($C573="1/2L",0.5,0)),0)</f>
        <v>0</v>
      </c>
      <c r="CP573" s="231">
        <f>IF(CP$3=$K573,IF($C573="W",1,IF($C573="1/2W",0.5,0)),0)</f>
        <v>0</v>
      </c>
      <c r="CQ573" s="231">
        <f>IF(CP$3=$K573,IF($C573="L",1,IF($C573="1/2L",0.5,0)),0)</f>
        <v>0</v>
      </c>
      <c r="CR573" s="231">
        <f>IF(CR$3=$K573,IF($C573="W",1,IF($C573="1/2W",0.5,0)),0)</f>
        <v>0</v>
      </c>
      <c r="CS573" s="231">
        <f>IF(CR$3=$K573,IF($C573="L",1,IF($C573="1/2L",0.5,0)),0)</f>
        <v>0</v>
      </c>
      <c r="CT573" s="208">
        <f>IF(CT$3=$K573,IF($C573="W",1,IF($C573="1/2W",0.5,0)),0)</f>
        <v>0</v>
      </c>
      <c r="CU573" s="209">
        <f>IF(CT$3=$K573,IF($C573="L",1,IF($C573="1/2L",0.5,0)),0)</f>
        <v>0</v>
      </c>
      <c r="CV573" s="209">
        <f>IF(CV$3=$K573,IF($C573="W",1,IF($C573="1/2W",0.5,0)),0)</f>
        <v>0</v>
      </c>
      <c r="CW573" s="209">
        <f>IF(CV$3=$K573,IF($C573="L",1,IF($C573="1/2L",0.5,0)),0)</f>
        <v>0</v>
      </c>
      <c r="CX573" s="209">
        <f>IF(CX$3=$K573,IF($C573="W",1,IF($C573="1/2W",0.5,0)),0)</f>
        <v>0</v>
      </c>
      <c r="CY573" s="209">
        <f>IF(CX$3=$K573,IF($C573="L",1,IF($C573="1/2L",0.5,0)),0)</f>
        <v>0</v>
      </c>
      <c r="CZ573" s="209">
        <f>IF(CZ$3=$K573,IF($C573="W",1,IF($C573="1/2W",0.5,0)),0)</f>
        <v>0</v>
      </c>
      <c r="DA573" s="209">
        <f>IF(CZ$3=$K573,IF($C573="L",1,IF($C573="1/2L",0.5,0)),0)</f>
        <v>0</v>
      </c>
      <c r="DB573" s="209">
        <f>IF(DB$3=$K573,IF($C573="W",1,IF($C573="1/2W",0.5,0)),0)</f>
        <v>0</v>
      </c>
      <c r="DC573" s="209">
        <f>IF(DB$3=$K573,IF($C573="L",1,IF($C573="1/2L",0.5,0)),0)</f>
        <v>0</v>
      </c>
      <c r="DD573" s="209">
        <f>IF(DD$3=$K573,IF($C573="W",1,IF($C573="1/2W",0.5,0)),0)</f>
        <v>0</v>
      </c>
      <c r="DE573" s="210">
        <f>IF(DD$3=$K573,IF($C573="L",1,IF($C573="1/2L",0.5,0)),0)</f>
        <v>0</v>
      </c>
      <c r="DF573" s="211">
        <f>IF(AND(L573&lt;DF$3,$C573="W"),1+DF572,DF572)</f>
        <v>17</v>
      </c>
      <c r="DG573" s="198">
        <f>IF(DF573&gt;DF572,L573+DG572,DG572)</f>
        <v>22.628</v>
      </c>
      <c r="DH573" s="209">
        <f>IF(AND(L573&gt;DH$3,$C573="W"),1+DH572,0+DH572)</f>
        <v>16</v>
      </c>
      <c r="DI573" s="198">
        <f>IF(DH573&gt;DH572,L573+DI572,DI572)</f>
        <v>85.45999999999999</v>
      </c>
      <c r="DJ573" t="s" s="306">
        <f>IF($D571="","",$D571)</f>
        <v>431</v>
      </c>
      <c r="DK573" s="232"/>
    </row>
    <row r="574" ht="14.55" customHeight="1">
      <c r="A574" s="246">
        <f>$A571+1</f>
        <v>191</v>
      </c>
      <c r="B574" t="s" s="247">
        <f>IF(AND(_xlfn.XLOOKUP(H574,H$107:H353,G$107:G353,0)=G574,_xlfn.XLOOKUP("TempoBet",K574:K576,L574:L576,0)&gt;0),"X",IF(OR(C574="W",C575="W",C576="W",C574="1/2W",C575="1/2W",C576="1/2W",C574="1/2L",C575="1/2L",C576="1/2L"),"OK",IF(OR(C574="L",C575="L",C576="L"),"LOSS",IF(OR(C574="X",C575="X",C576="X"),"Anulado"," "))))</f>
        <v>50</v>
      </c>
      <c r="C574" t="s" s="248">
        <v>51</v>
      </c>
      <c r="D574" t="s" s="303">
        <f>IF(G574="","",$D571)</f>
        <v>431</v>
      </c>
      <c r="E574" t="s" s="250">
        <v>59</v>
      </c>
      <c r="F574" t="s" s="302"/>
      <c r="G574" s="252">
        <v>44953.208333333336</v>
      </c>
      <c r="H574" t="s" s="253">
        <v>429</v>
      </c>
      <c r="I574" t="s" s="254">
        <v>65</v>
      </c>
      <c r="J574" s="255">
        <v>54.5</v>
      </c>
      <c r="K574" t="s" s="256">
        <v>40</v>
      </c>
      <c r="L574" s="257">
        <v>2.6</v>
      </c>
      <c r="M574" s="258">
        <v>5.54</v>
      </c>
      <c r="N574" s="259">
        <v>0</v>
      </c>
      <c r="O574" s="260">
        <f>IF(OR(AE574="",AE575=""),"",ROUND(IF(L576&gt;0,IF(M574&gt;0,M574,IF(M575&gt;0,ROUND((M575*AE574)/AE575,IF(N574=0,2,IF(N574=0.1,1,0))),ROUND((M576*AE574)/AE576,IF(N574=0,2,IF(N574=0.1,1,0))))),IF(M574&gt;0,M574,ROUND((M575*AE574)/AE575,IF(N574=0,2,IF(N574=0.1,1,0))))),2))</f>
        <v>5.54</v>
      </c>
      <c r="P574" s="261">
        <f>IF(OR(L574="",O574=""),"",IF($C574="1/2W",O574/2+O574/2*L574,IF($C574="1/2L",O574/2,IF(I574="Lay",(O574*(L574/(L574-1))-O574)*(1-_xlfn.XLOOKUP(K574,'Janeiro 2023 - Valor Real'!A3:A15,'Janeiro 2023 - Valor Real'!C3:C15,0))+O574,(O574*L574-O574)*(1-_xlfn.XLOOKUP(K574,'Janeiro 2023 - Valor Real'!A3:A15,'Janeiro 2023 - Valor Real'!C3:C15,0))+O574))))</f>
        <v>14.404</v>
      </c>
      <c r="Q574" s="262">
        <f>IF(K574="","",IF(_xlfn.XLOOKUP(K574,K$107:K353,DJ$107:DJ353,0,,-1)=DJ574,_xlfn.XLOOKUP(K574,K$107:K353,Q$107:Q353,1,,-1)+1,1))</f>
        <v>1</v>
      </c>
      <c r="R574" s="263">
        <f>IF(K574="","",_xlfn.XLOOKUP(K574,K$107:K353,R$107:R353,0,,-1)+IF($C574=" ",1,0))</f>
        <v>0</v>
      </c>
      <c r="S574" s="264">
        <f>IF($B574="Anulado",0,ROUND(IF(OR($B574="LOSS",$B574="OK"),IF(OR($C574="W",$C574="1/2W",$C574="1/2L"),P574-O574,IF($C574="L",-O574,0))+IF(OR($C575="W",$C575="1/2W",$C575="1/2L"),P575-O575,IF($C575="L",-O575,0))+IF(OR($C576="W",$C576="1/2W",$C576="1/2L"),P576-O576,IF($C576="L",-O576,0)),IF(AND(OR($C574="W",$C574="1/2W",$C574="1/2L"),C575="W"),P574+P575-SUM(O574:O576)+_xlfn.XLOOKUP("X",C574:C576,O574:O576,0),IF(AND(C574=TRUE,C576="W"),P574+P576-SUM(O574:O576),IF(AND(C575="W",C576="W"),P575+P576-SUM(O574:O576)+_xlfn.XLOOKUP("X",C574:C576,O574:O576,0),IF(L576&gt;0,IF(OR($C574="W",$C574="1/2W",$C574="1/2L"),P574-SUM(O574:O576)+_xlfn.XLOOKUP("X",C574:C576,O574:O576,0),IF(OR($C574="W",$C574="1/2W",$C574="1/2L"),P575-SUM(O574:O576)+_xlfn.XLOOKUP("X",C574:C576,O574:O576,0),IF(OR($C574="W",$C574="1/2W",$C574="1/2L"),P576-SUM(O574:O576)+_xlfn.XLOOKUP("X",C574:C576,O574:O576,0),IF(SUM(P574:P576)/3-SUM(O574:O576)+_xlfn.XLOOKUP("X",C574:C576,O574:O576,0)&gt;0,SUM(P574:P576)/3-SUM(O574:O576)+_xlfn.XLOOKUP("X",C574:C576,O574:O576,0),LARGE(P574:P576,1)-SUM(O574:O576))))),IF(OR($C574="W",$C574="1/2W",$C574="1/2L"),P574-SUM(O574:O575)+_xlfn.XLOOKUP("X",C574:C576,O574:O576,0),IF(OR($C574="W",$C574="1/2W",$C574="1/2L"),P575-SUM(O574:O575)+_xlfn.XLOOKUP("X",C574:C576,O574:O576,0),SUM(P574:P575)/2-SUM(O574:O575)+_xlfn.XLOOKUP("X",C574:C576,O574:O576,0)))))))),2))</f>
        <v>0.86</v>
      </c>
      <c r="T574" s="265">
        <f>IF(S574=0,0,S574/SUM(O574:O576))</f>
        <v>0.0635155096011817</v>
      </c>
      <c r="U574" s="266">
        <f>IF($D574=$D571,IF(OR($B574="LOSS",$B574="OK",$B574="Anulada"),S574,0)+U571,IF(OR($B574="LOSS",$B574="OK",$B574="Anulada"),S574,0))</f>
        <v>1.64</v>
      </c>
      <c r="V574" s="266">
        <f>IF($D574="",0,IF($D574=$D571,IF($B574=" ",IF(I576="",IF(OR(AND(I574="DNB1",I575="DNB2"),AND(OR(I574="DNB1",I574="DNB2"),J575=0),AND(OR(I575="DNB1",I575="DNB2"),J574=0),AND(I574="DNB2",I575="DNB1"),AND(IF(J574=0,(J574+1)/ROUND(J574+1,0),J574/ROUND(J574,0))=1,IF(J575=0,(J575+1)/ROUND(IF(J575="",0,J575)+1,0),IF(J575="",0,J575)/ROUND(IF(J575="",1,J575),0))=1,OR(J574&lt;&gt;""),J575&lt;&gt;"")),0,IF(S574&lt;0,IF(I576="",SMALL(P574:P575,1)-SUM(O574:O575),0),SMALL(P574:P575,1)-SUM(O574:O575))),IF(S574&lt;0,IF(I576="",SMALL(P574:P576,1)-SUM(O574:O576),0),LARGE(P574:P576,1)-SUM(O574:O576))),S574)+V571,IF(I576="",IF(OR(AND(I574="DNB1",I575="DNB2"),AND(OR(I574="DNB1",I574="DNB2"),J575=0),AND(OR(I575="DNB1",I575="DNB2"),J574=0),AND(I574="DNB2",I575="DNB1"),AND(IF(J574=0,(J574+1)/ROUND(J574+1,0),J574/ROUND(J574,0))=1,IF(J575=0,(IF(J575="",0,J575)+1)/ROUND(IF(J575="",0,J575)+1,0),IF(J575="",0,J575)/ROUND(IF(J575="",0,J575)+1,0))=1,OR(J574&lt;&gt;""),J575&lt;&gt;"")),0,IF(S574&lt;0,IF(I576="",SMALL(P574:P575,1)-SUM(O574:O575),0),SMALL(P574:P576,1)-SUM(O574:O576))),IF(S574&lt;0,IF(I576="",SMALL(P574:P576,1)-SUM(O574:O576),0),LARGE(P574:P576,1)-SUM(O574:O576)))))</f>
        <v>1.612</v>
      </c>
      <c r="W574" s="266">
        <f>IF($D574=$D571,IF(S574&lt;0,IF(I576="",S574,0),S574)+W571,S574)</f>
        <v>1.64</v>
      </c>
      <c r="X574" t="s" s="267">
        <f>IF(OR(SUM(R574:R576)=0,V574=W574),ROUND(IF(W574=0,0,W574/Y574)*100,2)&amp;"%",ROUND(IF(V574=0,0,V574/Y574)*100,2)&amp;"% a "&amp;ROUND(IF(W574=0,0,W574/Y574)*100,2)&amp;"%")</f>
        <v>432</v>
      </c>
      <c r="Y574" s="268">
        <f>IF($D574=$D571,Y571+SUM(O574:O576),SUM(O574:O576))</f>
        <v>25.53</v>
      </c>
      <c r="Z574" s="266">
        <f>IF($B574=" ",SUM(O574:O576),0)+Z571</f>
        <v>0</v>
      </c>
      <c r="AA574" s="266">
        <f>IF(G574="","",IF($B574="Anulado",LARGE(P574:P576,1)-SUM(O574:O576)+AA571,AA571))</f>
        <v>24.9665076923077</v>
      </c>
      <c r="AB574" s="266">
        <f>IF($D574="","",AB571+S574)</f>
        <v>389.97</v>
      </c>
      <c r="AC574" s="269">
        <f>IF($D574="","",IF($B574=" ",IF(DAY(G574)=DAY(TODAY()),1+AC571,0+AC571),0+AC571))</f>
        <v>0</v>
      </c>
      <c r="AD574" s="270">
        <f>(1-_xlfn.XLOOKUP(K572,'Janeiro 2023 - Valor Real'!A3:A15,'Janeiro 2023 - Valor Real'!C3:C15,0))+1</f>
        <v>2</v>
      </c>
      <c r="AE574" s="271">
        <f>IF(L574="","",IF(L576&gt;0,(SUM(((L574-1)*(1-_xlfn.XLOOKUP(K574,'Janeiro 2023 - Valor Real'!A3:A15,'Janeiro 2023 - Valor Real'!C3:C15,0))+1),((L575-1)*(1-_xlfn.XLOOKUP(K575,'Janeiro 2023 - Valor Real'!A3:A15,'Janeiro 2023 - Valor Real'!C3:C15,0))+1),((L576-1)*(1-_xlfn.XLOOKUP(K576,'Janeiro 2023 - Valor Real'!A3:A15,'Janeiro 2023 - Valor Real'!C3:C15,0))+1))/((L574-1)*(1-_xlfn.XLOOKUP(K574,'Janeiro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Real'!C3:C15,0))+1))/((L574-1)*(1-_xlfn.XLOOKUP(K574,'Janeiro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Real'!C3:C15,0))+1))/((L575-1)*(1-_xlfn.XLOOKUP(K575,'Janeiro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Real'!C3:C15,0))+1))/((L576-1)*(1-_xlfn.XLOOKUP(K576,'Janeiro 2023 - Valor Real'!A3:A15,'Janeiro 2023 - Valor Real'!C3:C15,0))+1)),IF(I574="Lay",IF(I575="Lay",((L575/(L575-1)-1)*(1-_xlfn.XLOOKUP(K575,'Janeiro 2023 - Valor Real'!A3:A15,'Janeiro 2023 - Valor Real'!C3:C15,0))+1)/(((L575/(L575-1)-1)*(1-_xlfn.XLOOKUP(K575,'Janeiro 2023 - Valor Real'!A3:A15,'Janeiro 2023 - Valor Real'!C3:C15,0))+1)+((L574/(L574-1)-1)*(1-_xlfn.XLOOKUP(K574,'Janeiro 2023 - Valor Real'!A3:A15,'Janeiro 2023 - Valor Real'!C3:C15,0))+1)),((L575-1)*(1-_xlfn.XLOOKUP(K575,'Janeiro 2023 - Valor Real'!A3:A15,'Janeiro 2023 - Valor Real'!C3:C15,0))+1)/(((L575-1)*(1-_xlfn.XLOOKUP(K575,'Janeiro 2023 - Valor Real'!A3:A15,'Janeiro 2023 - Valor Real'!C3:C15,0))+1)+((L574/(L574-1)-1)*(1-_xlfn.XLOOKUP(K574,'Janeiro 2023 - Valor Real'!A3:A15,'Janeiro 2023 - Valor Real'!C3:C15,0))+1))),IF(I575="Lay",(((L575/(L575-1)-1)*(1-_xlfn.XLOOKUP(K575,'Janeiro 2023 - Valor Real'!A3:A15,'Janeiro 2023 - Valor Real'!C3:C15,0))+1))/(((L574-1)*(1-_xlfn.XLOOKUP(K574,'Janeiro 2023 - Valor Real'!A3:A15,'Janeiro 2023 - Valor Real'!C3:C15,0))+1)+((L575/(L575-1)-1)*(1-_xlfn.XLOOKUP(K575,'Janeiro 2023 - Valor Real'!A3:A15,'Janeiro 2023 - Valor Real'!C3:C15,0))+1)),((L575-1)*(1-_xlfn.XLOOKUP(K575,'Janeiro 2023 - Valor Real'!A3:A15,'Janeiro 2023 - Valor Real'!C3:C15,0))+1)/(((L575-1)*(1-_xlfn.XLOOKUP(K575,'Janeiro 2023 - Valor Real'!A3:A15,'Janeiro 2023 - Valor Real'!C3:C15,0))+1)+((L574-1)*(1-_xlfn.XLOOKUP(K574,'Janeiro 2023 - Valor Real'!A3:A15,'Janeiro 2023 - Valor Real'!C3:C15,0))+1))))))</f>
        <v>0.409090909090909</v>
      </c>
      <c r="AF574" s="132">
        <f>IF($K574=AF$3,ROUND(IF(OR($C574="W",$C574="1/2W",$C574="1/2L"),$P574-$O574,IF($C574="X",0,-$O574)),2),0)</f>
        <v>0</v>
      </c>
      <c r="AG574" s="133">
        <f>IF($K574=AG$3,ROUND(IF(OR($C574="W",$C574="1/2W",$C574="1/2L"),$P574-$O574,IF($C574="X",0,-$O574)),2),0)</f>
        <v>0</v>
      </c>
      <c r="AH574" s="133">
        <f>IF($K574=AH$3,ROUND(IF(OR($C574="W",$C574="1/2W",$C574="1/2L"),$P574-$O574,IF($C574="X",0,-$O574)),2),0)</f>
        <v>0</v>
      </c>
      <c r="AI574" s="133">
        <f>IF($K574=AI$3,ROUND(IF(OR($C574="W",$C574="1/2W",$C574="1/2L"),$P574-$O574,IF($C574="X",0,-$O574)),2),0)</f>
        <v>-5.54</v>
      </c>
      <c r="AJ574" s="133">
        <f>IF($K574=AJ$3,ROUND(IF(OR($C574="W",$C574="1/2W",$C574="1/2L"),$P574-$O574,IF($C574="X",0,-$O574)),2),0)</f>
        <v>0</v>
      </c>
      <c r="AK574" s="133">
        <f>IF($K574=AK$3,ROUND(IF(OR($C574="W",$C574="1/2W",$C574="1/2L"),$P574-$O574,IF($C574="X",0,-$O574)),2),0)</f>
        <v>0</v>
      </c>
      <c r="AL574" s="133">
        <f>IF($K574=AL$3,ROUND(IF(OR($C574="W",$C574="1/2W",$C574="1/2L"),$P574-$O574,IF($C574="X",0,-$O574)),2),0)</f>
        <v>0</v>
      </c>
      <c r="AM574" s="133">
        <f>IF($K574=AM$3,ROUND(IF(OR($C574="W",$C574="1/2W",$C574="1/2L"),$P574-$O574,IF($C574="X",0,-$O574)),2),0)</f>
        <v>0</v>
      </c>
      <c r="AN574" s="133">
        <f>IF($K574=AN$3,ROUND(IF(OR($C574="W",$C574="1/2W",$C574="1/2L"),$P574-$O574,IF($C574="X",0,-$O574)),2),0)</f>
        <v>0</v>
      </c>
      <c r="AO574" s="133">
        <f>IF($K574=AO$3,ROUND(IF(OR($C574="W",$C574="1/2W",$C574="1/2L"),$P574-$O574,IF($C574="X",0,-$O574)),2),0)</f>
        <v>0</v>
      </c>
      <c r="AP574" s="133">
        <f>IF($K574=AP$3,ROUND(IF(OR($C574="W",$C574="1/2W",$C574="1/2L"),$P574-$O574,IF($C574="X",0,-$O574)),2),0)</f>
        <v>0</v>
      </c>
      <c r="AQ574" s="133">
        <f>IF($K574=AQ$3,ROUND(IF(OR($C574="W",$C574="1/2W",$C574="1/2L"),$P574-$O574,IF($C574="X",0,-$O574)),2),0)</f>
        <v>0</v>
      </c>
      <c r="AR574" s="134">
        <f>IF($K574=AR$3,ROUND(IF(OR($C574="W",$C574="1/2W",$C574="1/2L"),$P574-$O574,IF($C574="X",0,-$O574)),2),0)</f>
        <v>0</v>
      </c>
      <c r="AS574" s="132">
        <f>IF(AND($B574=" ",$K574=AS$3),$O574,0)</f>
        <v>0</v>
      </c>
      <c r="AT574" s="133">
        <f>IF(AND($B574=" ",$K574=AT$3),$O574,0)</f>
        <v>0</v>
      </c>
      <c r="AU574" s="133">
        <f>IF(AND($B574=" ",$K574=AU$3),$O574,0)</f>
        <v>0</v>
      </c>
      <c r="AV574" s="133">
        <f>IF(AND($B574=" ",$K574=AV$3),$O574,0)</f>
        <v>0</v>
      </c>
      <c r="AW574" s="133">
        <f>IF(AND($B574=" ",$K574=AW$3),$O574,0)</f>
        <v>0</v>
      </c>
      <c r="AX574" s="133">
        <f>IF(AND($B574=" ",$K574=AX$3),$O574,0)</f>
        <v>0</v>
      </c>
      <c r="AY574" s="135">
        <f>IF(AND($B574=" ",$K574=AY$3),$O574,0)</f>
        <v>0</v>
      </c>
      <c r="AZ574" s="136">
        <f>IF(AND($B574=" ",$K574=AZ$3),$O574,0)</f>
        <v>0</v>
      </c>
      <c r="BA574" s="136">
        <f>IF(AND($B574=" ",$K574=BA$3),$O574,0)</f>
        <v>0</v>
      </c>
      <c r="BB574" s="136">
        <f>IF(AND($B574=" ",$K574=BB$3),$O574,0)</f>
        <v>0</v>
      </c>
      <c r="BC574" s="137">
        <f>IF(AND($B574=" ",$K574=BC$3),$O574,0)</f>
        <v>0</v>
      </c>
      <c r="BD574" s="133">
        <f>IF(AND($B574=" ",$K574=BD$3),$O574,0)</f>
        <v>0</v>
      </c>
      <c r="BE574" s="134">
        <f>IF(AND($B574=" ",$K574=BE$3),$O574,0)</f>
        <v>0</v>
      </c>
      <c r="BF574" s="132">
        <f>IF($K574=BF$3,IF($C574="X",0,$O574),0)</f>
        <v>0</v>
      </c>
      <c r="BG574" s="133">
        <f>IF($K574=BG$3,IF($C574="X",0,$O574),0)</f>
        <v>0</v>
      </c>
      <c r="BH574" s="133">
        <f>IF($K574=BH$3,IF($C574="X",0,$O574),0)</f>
        <v>0</v>
      </c>
      <c r="BI574" s="133">
        <f>IF($K574=BI$3,IF($C574="X",0,$O574),0)</f>
        <v>5.54</v>
      </c>
      <c r="BJ574" s="133">
        <f>IF($K574=BJ$3,IF($C574="X",0,$O574),0)</f>
        <v>0</v>
      </c>
      <c r="BK574" s="133">
        <f>IF($K574=BK$3,IF($C574="X",0,$O574),0)</f>
        <v>0</v>
      </c>
      <c r="BL574" s="133">
        <f>IF($K574=BL$3,IF($C574="X",0,$O574),0)</f>
        <v>0</v>
      </c>
      <c r="BM574" s="135">
        <f>IF($K574=BM$3,IF($C574="X",0,$O574),0)</f>
        <v>0</v>
      </c>
      <c r="BN574" s="136">
        <f>IF($K574=BN$3,IF($C574="X",0,$O574),0)</f>
        <v>0</v>
      </c>
      <c r="BO574" s="136">
        <f>IF($K574=BO$3,IF($C574="X",0,$O574),0)</f>
        <v>0</v>
      </c>
      <c r="BP574" s="136">
        <f>IF($K574=BP$3,IF($C574="X",0,$O574),0)</f>
        <v>0</v>
      </c>
      <c r="BQ574" s="137">
        <f>IF($K574=BQ$3,IF($C574="X",0,$O574),0)</f>
        <v>0</v>
      </c>
      <c r="BR574" s="134">
        <f>IF($K574=BR$3,IF($C574="X",0,$O574),0)</f>
        <v>0</v>
      </c>
      <c r="BS574" s="170">
        <f>IF($B574="LOSS",IF(AND($K574=BS$3,$C574="L"),-$O574,0)+IF(AND($K575=BS$3,$C575="L"),-$O575,0)+IF(AND($K576=BS$3,$C576="L"),-$O576,0),IF(OR(AND($K574=BS$3,OR($C574="W",$C574="1/2W")),AND($K575=BS$3,OR($C575="W",$C575="1/2W")),AND($K576=BS$3,OR($C576="W",$C576="1/2W"))),$S574,0))</f>
        <v>0</v>
      </c>
      <c r="BT574" s="272">
        <f>IF($B574="LOSS",IF(AND($K574=BT$3,$C574="L"),-$O574,0)+IF(AND($K575=BT$3,$C575="L"),-$O575,0)+IF(AND($K575=BT$3,$C576="L"),-$O576,0),IF(OR(AND($K575=BT$3,OR($C574="W",$C574="1/2W")),AND($K575=BT$3,OR($C575="W",$C575="1/2W")),AND($K575=BT$3,OR($C576="W",$C576="1/2W"))),$S574,0))</f>
        <v>0</v>
      </c>
      <c r="BU574" s="136">
        <f>IF($B574="LOSS",IF(AND($K574=BU$3,$C574="L"),-$O574,0)+IF(AND($K575=BU$3,$C575="L"),-$O575,0)+IF(AND($K575=BU$3,$C576="L"),-$O576,0),IF(OR(AND($K575=BU$3,OR($C574="W",$C574="1/2W")),AND($K575=BU$3,OR($C575="W",$C575="1/2W")),AND($K575=BU$3,OR($C576="W",$C576="1/2W"))),$S574,0))</f>
        <v>0</v>
      </c>
      <c r="BV574" s="136">
        <f>IF($B574="LOSS",IF(AND($K574=BV$3,$C574="L"),-$O574,0)+IF(AND($K575=BV$3,$C575="L"),-$O575,0)+IF(AND($K576=BV$3,$C576="L"),-$O576,0),IF(OR(AND($K574=BV$3,OR($C574="W",$C574="1/2W")),AND($K575=BV$3,OR($C575="W",$C575="1/2W")),AND($K576=BV$3,OR($C576="W",$C576="1/2W"))),$S574,0))</f>
        <v>0</v>
      </c>
      <c r="BW574" s="136">
        <f>IF($B574="LOSS",IF(AND($K574=BW$3,$C574="L"),-$O574,0)+IF(AND($K575=BW$3,$C575="L"),-$O575,0)+IF(AND($K576=BW$3,$C576="L"),-$O576,0),IF(OR(AND($K574=BW$3,OR($C574="W",$C574="1/2W")),AND($K575=BW$3,OR($C575="W",$C575="1/2W")),AND($K576=BW$3,OR($C576="W",$C576="1/2W"))),$S574,0))</f>
        <v>0.86</v>
      </c>
      <c r="BX574" s="136">
        <f>IF($B574="LOSS",IF(AND($K574=BX$3,$C574="L"),-$O574,0)+IF(AND($K575=BX$3,$C575="L"),-$O575,0)+IF(AND($K576=BX$3,$C576="L"),-$O576,0),IF(OR(AND($K574=BX$3,OR($C574="W",$C574="1/2W")),AND($K575=BX$3,OR($C575="W",$C575="1/2W")),AND($K576=BX$3,OR($C576="W",$C576="1/2W"))),$S574,0))</f>
        <v>0</v>
      </c>
      <c r="BY574" s="136">
        <f>IF($B574="LOSS",IF(AND($K574=BY$3,$C574="L"),-$O574,0)+IF(AND($K575=BY$3,$C575="L"),-$O575,0)+IF(AND($K576=BY$3,$C576="L"),-$O576,0),IF(OR(AND($K574=BY$3,OR($C574="W",$C574="1/2W")),AND($K575=BY$3,OR($C575="W",$C575="1/2W")),AND($K576=BY$3,OR($C576="W",$C576="1/2W"))),$S574,0))</f>
        <v>0</v>
      </c>
      <c r="BZ574" s="136">
        <f>IF($B574="LOSS",IF(AND($K574=BZ$3,$C574="L"),-$O574,0)+IF(AND($K575=BZ$3,$C575="L"),-$O575,0)+IF(AND($K576=BZ$3,$C576="L"),-$O576,0),IF(OR(AND($K574=BZ$3,OR($C574="W",$C574="1/2W")),AND($K575=BZ$3,OR($C575="W",$C575="1/2W")),AND($K576=BZ$3,OR($C576="W",$C576="1/2W"))),$S574,0))</f>
        <v>0</v>
      </c>
      <c r="CA574" s="136">
        <f>IF($B574="LOSS",IF(AND($K574=CA$3,$C574="L"),-$O574,0)+IF(AND($K575=CA$3,$C575="L"),-$O575,0)+IF(AND($K576=CA$3,$C576="L"),-$O576,0),IF(OR(AND($K574=CA$3,OR($C574="W",$C574="1/2W")),AND($K575=CA$3,OR($C575="W",$C575="1/2W")),AND($K576=CA$3,OR($C576="W",$C576="1/2W"))),$S574,0))</f>
        <v>0</v>
      </c>
      <c r="CB574" s="136">
        <f>IF($B574="LOSS",IF(AND($K574=CB$3,$C574="L"),-$O574,0)+IF(AND($K575=CB$3,$C575="L"),-$O575,0)+IF(AND($K576=CB$3,$C576="L"),-$O576,0),IF(OR(AND($K574=CB$3,OR($C574="W",$C574="1/2W")),AND($K575=CB$3,OR($C575="W",$C575="1/2W")),AND($K576=CB$3,OR($C576="W",$C576="1/2W"))),$S574,0))</f>
        <v>0</v>
      </c>
      <c r="CC574" s="136">
        <f>IF($B574="LOSS",IF(AND($K574=CC$3,$C574="L"),-$O574,0)+IF(AND($K575=CC$3,$C575="L"),-$O575,0)+IF(AND($K576=CC$3,$C576="L"),-$O576,0),IF(OR(AND($K574=CC$3,OR($C574="W",$C574="1/2W")),AND($K575=CC$3,OR($C575="W",$C575="1/2W")),AND($K576=CC$3,OR($C576="W",$C576="1/2W"))),$S574,0))</f>
        <v>0</v>
      </c>
      <c r="CD574" s="137">
        <f>IF($B574="LOSS",IF(AND($K574=CD$3,$C574="L"),-$O574,0)+IF(AND($K575=CD$3,$C575="L"),-$O575,0)+IF(AND($K576=CD$3,$C576="L"),-$O576,0),IF(OR(AND($K574=CD$3,OR($C574="W",$C574="1/2W")),AND($K575=CD$3,OR($C575="W",$C575="1/2W")),AND($K576=CD$3,OR($C576="W",$C576="1/2W"))),$S574,0))</f>
        <v>0</v>
      </c>
      <c r="CE574" s="134">
        <f>IF($B574="LOSS",IF(AND($K574=CE$3,$C574="L"),-$O574,0)+IF(AND($K575=CE$3,$C575="L"),-$O575,0)+IF(AND($K576=CE$3,$C576="L"),-$O576,0),IF(OR(AND($K574=CE$3,OR($C574="W",$C574="1/2W")),AND($K575=CE$3,OR($C575="W",$C575="1/2W")),AND($K576=CE$3,OR($C576="W",$C576="1/2W"))),$S574,0))</f>
        <v>0</v>
      </c>
      <c r="CF574" s="273">
        <f>IF(CF$3=$K574,IF($C574="W",1,IF($C574="1/2W",0.5,0)),0)</f>
        <v>0</v>
      </c>
      <c r="CG574" s="274">
        <f>IF(CF$3=$K574,IF($C574="L",1,IF($C574="1/2L",0.5,0)),0)</f>
        <v>0</v>
      </c>
      <c r="CH574" s="274">
        <f>IF(CH$3=$K574,IF($C574="W",1,IF($C574="1/2W",0.5,0)),0)</f>
        <v>0</v>
      </c>
      <c r="CI574" s="274">
        <f>IF(CH$3=$K574,IF($C574="L",1,IF($C574="1/2L",0.5,0)),0)</f>
        <v>0</v>
      </c>
      <c r="CJ574" s="274">
        <f>IF(CJ$3=$K574,IF($C574="W",1,IF($C574="1/2W",0.5,0)),0)</f>
        <v>0</v>
      </c>
      <c r="CK574" s="274">
        <f>IF(CJ$3=$K574,IF($C574="L",1,IF($C574="1/2L",0.5,0)),0)</f>
        <v>0</v>
      </c>
      <c r="CL574" s="274">
        <f>IF(CL$3=$K574,IF($C574="W",1,IF($C574="1/2W",0.5,0)),0)</f>
        <v>0</v>
      </c>
      <c r="CM574" s="274">
        <f>IF(CL$3=$K574,IF($C574="L",1,IF($C574="1/2L",0.5,0)),0)</f>
        <v>1</v>
      </c>
      <c r="CN574" s="274">
        <f>IF(CN$3=$K574,IF($C574="W",1,IF($C574="1/2W",0.5,0)),0)</f>
        <v>0</v>
      </c>
      <c r="CO574" s="274">
        <f>IF(CN$3=$K574,IF($C574="L",1,IF($C574="1/2L",0.5,0)),0)</f>
        <v>0</v>
      </c>
      <c r="CP574" s="274">
        <f>IF(CP$3=$K574,IF($C574="W",1,IF($C574="1/2W",0.5,0)),0)</f>
        <v>0</v>
      </c>
      <c r="CQ574" s="274">
        <f>IF(CP$3=$K574,IF($C574="L",1,IF($C574="1/2L",0.5,0)),0)</f>
        <v>0</v>
      </c>
      <c r="CR574" s="274">
        <f>IF(CR$3=$K574,IF($C574="W",1,IF($C574="1/2W",0.5,0)),0)</f>
        <v>0</v>
      </c>
      <c r="CS574" s="274">
        <f>IF(CR$3=$K574,IF($C574="L",1,IF($C574="1/2L",0.5,0)),0)</f>
        <v>0</v>
      </c>
      <c r="CT574" s="145">
        <f>IF(CT$3=$K574,IF($C574="W",1,IF($C574="1/2W",0.5,0)),0)</f>
        <v>0</v>
      </c>
      <c r="CU574" s="146">
        <f>IF(CT$3=$K574,IF($C574="L",1,IF($C574="1/2L",0.5,0)),0)</f>
        <v>0</v>
      </c>
      <c r="CV574" s="146">
        <f>IF(CV$3=$K574,IF($C574="W",1,IF($C574="1/2W",0.5,0)),0)</f>
        <v>0</v>
      </c>
      <c r="CW574" s="146">
        <f>IF(CV$3=$K574,IF($C574="L",1,IF($C574="1/2L",0.5,0)),0)</f>
        <v>0</v>
      </c>
      <c r="CX574" s="146">
        <f>IF(CX$3=$K574,IF($C574="W",1,IF($C574="1/2W",0.5,0)),0)</f>
        <v>0</v>
      </c>
      <c r="CY574" s="146">
        <f>IF(CX$3=$K574,IF($C574="L",1,IF($C574="1/2L",0.5,0)),0)</f>
        <v>0</v>
      </c>
      <c r="CZ574" s="146">
        <f>IF(CZ$3=$K574,IF($C574="W",1,IF($C574="1/2W",0.5,0)),0)</f>
        <v>0</v>
      </c>
      <c r="DA574" s="146">
        <f>IF(CZ$3=$K574,IF($C574="L",1,IF($C574="1/2L",0.5,0)),0)</f>
        <v>0</v>
      </c>
      <c r="DB574" s="146">
        <f>IF(DB$3=$K574,IF($C574="W",1,IF($C574="1/2W",0.5,0)),0)</f>
        <v>0</v>
      </c>
      <c r="DC574" s="146">
        <f>IF(DB$3=$K574,IF($C574="L",1,IF($C574="1/2L",0.5,0)),0)</f>
        <v>0</v>
      </c>
      <c r="DD574" s="146">
        <f>IF(DD$3=$K574,IF($C574="W",1,IF($C574="1/2W",0.5,0)),0)</f>
        <v>0</v>
      </c>
      <c r="DE574" s="147">
        <f>IF(DD$3=$K574,IF($C574="L",1,IF($C574="1/2L",0.5,0)),0)</f>
        <v>0</v>
      </c>
      <c r="DF574" s="143">
        <f>IF(AND(L574&lt;DF$3,$C574="W"),1+DF573,DF573)</f>
        <v>17</v>
      </c>
      <c r="DG574" s="133">
        <f>IF(DF574&gt;DF573,L574+DG573,DG573)</f>
        <v>22.628</v>
      </c>
      <c r="DH574" s="146">
        <f>IF(AND(L574&gt;DH$3,$C574="W"),1+DH573,0+DH573)</f>
        <v>16</v>
      </c>
      <c r="DI574" s="133">
        <f>IF(DH574&gt;DH573,L574+DI573,DI573)</f>
        <v>85.45999999999999</v>
      </c>
      <c r="DJ574" t="s" s="304">
        <f>IF($D574="","",$D574)</f>
        <v>431</v>
      </c>
      <c r="DK574" s="146">
        <f>IF(AND($B574=" ",$D574&lt;&gt;""),1,0)</f>
        <v>0</v>
      </c>
    </row>
    <row r="575" ht="14.55" customHeight="1">
      <c r="A575" s="107"/>
      <c r="B575" s="108"/>
      <c r="C575" t="s" s="109">
        <v>56</v>
      </c>
      <c r="D575" s="110"/>
      <c r="E575" s="111"/>
      <c r="F575" s="113"/>
      <c r="G575" s="252"/>
      <c r="H575" s="114"/>
      <c r="I575" t="s" s="275">
        <v>67</v>
      </c>
      <c r="J575" s="276">
        <f>IF(OR(I574="TO",I574="TU",I574="TO1",I574="TU1",I574="TO2",I574="TU2"),J574,IF(OR(I574="AH1",I574="AH2"),IF(OR(I575="AH1",I575="AH2"),-J574,IF(OR(I575="EH1",I575="EH2"),-J574+0.5,"")),IF(OR(I574="EH1",I574="EH2"),IF(OR(I575="AH1",I575="AH2"),-J574+0.5,IF(OR(I575="EH1",I575="EH2"),-J574+1,"")),IF(AND(OR(I574="DNB1",I574="DNB2"),OR(I575="AH1",I575="AH2")),0,IF(AND(I574="Not ScoreBoth",OR(I575="TO1",I575="TO2")),0.5,"")))))</f>
        <v>54.5</v>
      </c>
      <c r="K575" t="s" s="117">
        <v>41</v>
      </c>
      <c r="L575" s="277">
        <v>1.8</v>
      </c>
      <c r="M575" s="278"/>
      <c r="N575" s="120"/>
      <c r="O575" s="121">
        <f>IF(OR(AE574="",AE575=""),"",ROUND(IF(L576&gt;0,IF(M575&gt;0,M575,IF(M574&gt;0,IF(N574=TRUE,ROUND((M574*AE575)/AE574,0),(M574*AE575)/AE574),IF(M575&gt;0,ROUND(M575,IF(N574=0,2,IF(N574=0.1,1,0))),IF(M576&gt;0,ROUND(O576*AE575/AE576,IF(N574=0,2,IF(N574=0.1,1,0))),0)))),IF(M575&gt;0,M575,ROUND((M574*AE575)/AE574,IF(N574=0,2,IF(N574=0.1,1,0))))),2))</f>
        <v>8</v>
      </c>
      <c r="P575" s="122">
        <f>IF(OR(L575="",O575=""),"",IF($C575="1/2W",O575/2+O575/2*L575,IF($C575="1/2L",O575/2,IF(I575="Lay",((O575*(L575/(L575-1)))-O575)*(1-_xlfn.XLOOKUP(K575,'Janeiro 2023 - Valor Real'!A3:A15,'Janeiro 2023 - Valor Real'!C3:C15,0))+O575,(O575*L575-O575)*(1-_xlfn.XLOOKUP(K575,'Janeiro 2023 - Valor Real'!A3:A15,'Janeiro 2023 - Valor Real'!C3:C15,0))+O575))))</f>
        <v>14.4</v>
      </c>
      <c r="Q575" s="279">
        <f>IF(K575="","",IF(_xlfn.XLOOKUP(K575,K$120:K354,DJ$120:DJ354,0,,-1)=DJ575,_xlfn.XLOOKUP(K575,K$120:K354,Q$120:Q354,1,,-1)+1,1))</f>
        <v>1</v>
      </c>
      <c r="R575" s="280">
        <f>IF(K575="","",_xlfn.XLOOKUP(K575,K$120:K354,R$120:R354,0,,-1)+IF($C575=" ",1,0))</f>
        <v>0</v>
      </c>
      <c r="S575" s="125"/>
      <c r="T575" s="126"/>
      <c r="U575" s="126"/>
      <c r="V575" s="224"/>
      <c r="W575" s="126"/>
      <c r="X575" s="127"/>
      <c r="Y575" s="128"/>
      <c r="Z575" s="129"/>
      <c r="AA575" s="129"/>
      <c r="AB575" s="129"/>
      <c r="AC575" s="129"/>
      <c r="AD575" s="130"/>
      <c r="AE575" s="131">
        <f>IF(L575="","",IF(L576&gt;0,(SUM(((L574-1)*(1-_xlfn.XLOOKUP(K574,'Janeiro 2023 - Valor Real'!A3:A15,'Janeiro 2023 - Valor Real'!C3:C15,0))+1),((L575-1)*(1-_xlfn.XLOOKUP(K575,'Janeiro 2023 - Valor Real'!A3:A15,'Janeiro 2023 - Valor Real'!C3:C15,0))+1),((L576-1)*(1-_xlfn.XLOOKUP(K576,'Janeiro 2023 - Valor Real'!A3:A15,'Janeiro 2023 - Valor Real'!C3:C15,0))+1))/((L575-1)*(1-_xlfn.XLOOKUP(K575,'Janeiro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Real'!C3:C15,0))+1))/((L574-1)*(1-_xlfn.XLOOKUP(K574,'Janeiro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Real'!C3:C15,0))+1))/((L575-1)*(1-_xlfn.XLOOKUP(K575,'Janeiro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Real'!C3:C15,0))+1))/((L576-1)*(1-_xlfn.XLOOKUP(K576,'Janeiro 2023 - Valor Real'!A3:A15,'Janeiro 2023 - Valor Real'!C3:C15,0))+1)),IF(I575="Lay",IF(I574="Lay",((L574/(L574-1)-1)*(1-_xlfn.XLOOKUP(K574,'Janeiro 2023 - Valor Real'!A3:A15,'Janeiro 2023 - Valor Real'!C3:C15,0))+1)/(((L574/(L574-1)-1)*(1-_xlfn.XLOOKUP(K574,'Janeiro 2023 - Valor Real'!A3:A15,'Janeiro 2023 - Valor Real'!C3:C15,0))+1)+((L575/(L575-1)-1)*(1-_xlfn.XLOOKUP(K575,'Janeiro 2023 - Valor Real'!A3:A15,'Janeiro 2023 - Valor Real'!C3:C15,0))+1)),((L574-1)*(1-_xlfn.XLOOKUP(K574,'Janeiro 2023 - Valor Real'!A3:A15,'Janeiro 2023 - Valor Real'!C3:C15,0))+1)/(((L574-1)*(1-_xlfn.XLOOKUP(K574,'Janeiro 2023 - Valor Real'!A3:A15,'Janeiro 2023 - Valor Real'!C3:C15,0))+1)+((L575/(L575-1)-1)*(1-_xlfn.XLOOKUP(K575,'Janeiro 2023 - Valor Real'!A3:A15,'Janeiro 2023 - Valor Real'!C3:C15,0))+1))),IF(I574="Lay",((L574/(L574-1)-1)*(1-_xlfn.XLOOKUP(K574,'Janeiro 2023 - Valor Real'!A3:A15,'Janeiro 2023 - Valor Real'!C3:C15,0))+1)/((((L574/(L574-1)-1)*(1-_xlfn.XLOOKUP(K574,'Janeiro 2023 - Valor Real'!A3:A15,'Janeiro 2023 - Valor Real'!C3:C15,0))+1))+((L575-1)*(1-_xlfn.XLOOKUP(K575,'Janeiro 2023 - Valor Real'!A3:A15,'Janeiro 2023 - Valor Real'!C3:C15,0))+1)),((L574-1)*(1-_xlfn.XLOOKUP(K574,'Janeiro 2023 - Valor Real'!A3:A15,'Janeiro 2023 - Valor Real'!C3:C15,0))+1)/(((L574-1)*(1-_xlfn.XLOOKUP(K574,'Janeiro 2023 - Valor Real'!A3:A15,'Janeiro 2023 - Valor Real'!C3:C15,0))+1)+((L575-1)*(1-_xlfn.XLOOKUP(K575,'Janeiro 2023 - Valor Real'!A3:A15,'Janeiro 2023 - Valor Real'!C3:C15,0))+1))))))</f>
        <v>0.5909090909090911</v>
      </c>
      <c r="AF575" s="132">
        <f>IF($K575=AF$3,ROUND(IF(OR($C575="W",$C575="1/2W",$C575="1/2L"),$P575-$O575,IF($C575="X",0,-$O575)),2),0)</f>
        <v>0</v>
      </c>
      <c r="AG575" s="133">
        <f>IF($K575=AG$3,ROUND(IF(OR($C575="W",$C575="1/2W",$C575="1/2L"),$P575-$O575,IF($C575="X",0,-$O575)),2),0)</f>
        <v>0</v>
      </c>
      <c r="AH575" s="133">
        <f>IF($K575=AH$3,ROUND(IF(OR($C575="W",$C575="1/2W",$C575="1/2L"),$P575-$O575,IF($C575="X",0,-$O575)),2),0)</f>
        <v>0</v>
      </c>
      <c r="AI575" s="133">
        <f>IF($K575=AI$3,ROUND(IF(OR($C575="W",$C575="1/2W",$C575="1/2L"),$P575-$O575,IF($C575="X",0,-$O575)),2),0)</f>
        <v>0</v>
      </c>
      <c r="AJ575" s="133">
        <f>IF($K575=AJ$3,ROUND(IF(OR($C575="W",$C575="1/2W",$C575="1/2L"),$P575-$O575,IF($C575="X",0,-$O575)),2),0)</f>
        <v>6.4</v>
      </c>
      <c r="AK575" s="133">
        <f>IF($K575=AK$3,ROUND(IF(OR($C575="W",$C575="1/2W",$C575="1/2L"),$P575-$O575,IF($C575="X",0,-$O575)),2),0)</f>
        <v>0</v>
      </c>
      <c r="AL575" s="133">
        <f>IF($K575=AL$3,ROUND(IF(OR($C575="W",$C575="1/2W",$C575="1/2L"),$P575-$O575,IF($C575="X",0,-$O575)),2),0)</f>
        <v>0</v>
      </c>
      <c r="AM575" s="133">
        <f>IF($K575=AM$3,ROUND(IF(OR($C575="W",$C575="1/2W",$C575="1/2L"),$P575-$O575,IF($C575="X",0,-$O575)),2),0)</f>
        <v>0</v>
      </c>
      <c r="AN575" s="133">
        <f>IF($K575=AN$3,ROUND(IF(OR($C575="W",$C575="1/2W",$C575="1/2L"),$P575-$O575,IF($C575="X",0,-$O575)),2),0)</f>
        <v>0</v>
      </c>
      <c r="AO575" s="133">
        <f>IF($K575=AO$3,ROUND(IF(OR($C575="W",$C575="1/2W",$C575="1/2L"),$P575-$O575,IF($C575="X",0,-$O575)),2),0)</f>
        <v>0</v>
      </c>
      <c r="AP575" s="133">
        <f>IF($K575=AP$3,ROUND(IF(OR($C575="W",$C575="1/2W",$C575="1/2L"),$P575-$O575,IF($C575="X",0,-$O575)),2),0)</f>
        <v>0</v>
      </c>
      <c r="AQ575" s="133">
        <f>IF($K575=AQ$3,ROUND(IF(OR($C575="W",$C575="1/2W",$C575="1/2L"),$P575-$O575,IF($C575="X",0,-$O575)),2),0)</f>
        <v>0</v>
      </c>
      <c r="AR575" s="134">
        <f>IF($K575=AR$3,ROUND(IF(OR($C575="W",$C575="1/2W",$C575="1/2L"),$P575-$O575,IF($C575="X",0,-$O575)),2),0)</f>
        <v>0</v>
      </c>
      <c r="AS575" s="132">
        <f>IF(AND($B574=" ",$K575=AS$3),$O575,0)</f>
        <v>0</v>
      </c>
      <c r="AT575" s="133">
        <f>IF(AND($B574=" ",K575=AT$3),$O575,0)</f>
        <v>0</v>
      </c>
      <c r="AU575" s="133">
        <f>IF(AND($B574=" ",$K575=AU$3),$O575,0)</f>
        <v>0</v>
      </c>
      <c r="AV575" s="133">
        <f>IF(AND($B574=" ",$K575=AV$3),$O575,0)</f>
        <v>0</v>
      </c>
      <c r="AW575" s="133">
        <f>IF(AND($B574=" ",$K575=AW$3),$O575,0)</f>
        <v>0</v>
      </c>
      <c r="AX575" s="133">
        <f>IF(AND($B574=" ",$K575=AX$3),$O575,0)</f>
        <v>0</v>
      </c>
      <c r="AY575" s="135">
        <f>IF(AND($B574=" ",$K575=AY$3),$O575,0)</f>
        <v>0</v>
      </c>
      <c r="AZ575" s="136">
        <f>IF(AND($B574=" ",$K575=AZ$3),$O575,0)</f>
        <v>0</v>
      </c>
      <c r="BA575" s="136">
        <f>IF(AND($B574=" ",$K575=BA$3),$O575,0)</f>
        <v>0</v>
      </c>
      <c r="BB575" s="136">
        <f>IF(AND($B574=" ",$K575=BB$3),$O575,0)</f>
        <v>0</v>
      </c>
      <c r="BC575" s="137">
        <f>IF(AND($B574=" ",$K575=BC$3),$O575,0)</f>
        <v>0</v>
      </c>
      <c r="BD575" s="133">
        <f>IF(AND($B574=" ",$K575=BD$3),$O575,0)</f>
        <v>0</v>
      </c>
      <c r="BE575" s="134">
        <f>IF(AND($B574=" ",$K575=BE$3),$O575,0)</f>
        <v>0</v>
      </c>
      <c r="BF575" s="132">
        <f>IF($K575=BF$3,IF($C575="X",0,$O575),0)</f>
        <v>0</v>
      </c>
      <c r="BG575" s="281">
        <f>IF($K575=BG$3,IF($C575="X",0,$O575),0)</f>
        <v>0</v>
      </c>
      <c r="BH575" s="133">
        <f>IF($K575=BH$3,IF($C575="X",0,$O575),0)</f>
        <v>0</v>
      </c>
      <c r="BI575" s="133">
        <f>IF($K575=BI$3,IF($C575="X",0,$O575),0)</f>
        <v>0</v>
      </c>
      <c r="BJ575" s="133">
        <f>IF($K575=BJ$3,IF($C575="X",0,$O575),0)</f>
        <v>8</v>
      </c>
      <c r="BK575" s="133">
        <f>IF($K575=BK$3,IF($C575="X",0,$O575),0)</f>
        <v>0</v>
      </c>
      <c r="BL575" s="133">
        <f>IF($K575=BL$3,IF($C575="X",0,$O575),0)</f>
        <v>0</v>
      </c>
      <c r="BM575" s="135">
        <f>IF($K575=BM$3,IF($C575="X",0,$O575),0)</f>
        <v>0</v>
      </c>
      <c r="BN575" s="136">
        <f>IF($K575=BN$3,IF($C575="X",0,$O575),0)</f>
        <v>0</v>
      </c>
      <c r="BO575" s="136">
        <f>IF($K575=BO$3,IF($C575="X",0,$O575),0)</f>
        <v>0</v>
      </c>
      <c r="BP575" s="136">
        <f>IF($K575=BP$3,IF($C575="X",0,$O575),0)</f>
        <v>0</v>
      </c>
      <c r="BQ575" s="137">
        <f>IF($K575=BQ$3,IF($C575="X",0,$O575),0)</f>
        <v>0</v>
      </c>
      <c r="BR575" s="134">
        <f>IF($K575=BR$3,IF($C575="X",0,$O575),0)</f>
        <v>0</v>
      </c>
      <c r="BS575" s="282"/>
      <c r="BT575" s="283"/>
      <c r="BU575" s="140"/>
      <c r="BV575" s="283"/>
      <c r="BW575" s="140"/>
      <c r="BX575" s="140"/>
      <c r="BY575" s="140"/>
      <c r="BZ575" s="283"/>
      <c r="CA575" s="140"/>
      <c r="CB575" s="140"/>
      <c r="CC575" s="140"/>
      <c r="CD575" s="141"/>
      <c r="CE575" s="142"/>
      <c r="CF575" s="284">
        <f>IF(CF$3=$K575,IF($C575="W",1,IF($C575="1/2W",0.5,0)),0)</f>
        <v>0</v>
      </c>
      <c r="CG575" s="285">
        <f>IF(CF$3=$K575,IF($C575="L",1,IF($C575="1/2L",0.5,0)),0)</f>
        <v>0</v>
      </c>
      <c r="CH575" s="285">
        <f>IF(CH$3=$K575,IF($C575="W",1,IF($C575="1/2W",0.5,0)),0)</f>
        <v>0</v>
      </c>
      <c r="CI575" s="285">
        <f>IF(CH$3=$K575,IF($C575="L",1,IF($C575="1/2L",0.5,0)),0)</f>
        <v>0</v>
      </c>
      <c r="CJ575" s="285">
        <f>IF(CJ$3=$K575,IF($C575="W",1,IF($C575="1/2W",0.5,0)),0)</f>
        <v>0</v>
      </c>
      <c r="CK575" s="285">
        <f>IF(CJ$3=$K575,IF($C575="L",1,IF($C575="1/2L",0.5,0)),0)</f>
        <v>0</v>
      </c>
      <c r="CL575" s="285">
        <f>IF(CL$3=$K575,IF($C575="W",1,IF($C575="1/2W",0.5,0)),0)</f>
        <v>0</v>
      </c>
      <c r="CM575" s="285">
        <f>IF(CL$3=$K575,IF($C575="L",1,IF($C575="1/2L",0.5,0)),0)</f>
        <v>0</v>
      </c>
      <c r="CN575" s="285">
        <f>IF(CN$3=$K575,IF($C575="W",1,IF($C575="1/2W",0.5,0)),0)</f>
        <v>1</v>
      </c>
      <c r="CO575" s="285">
        <f>IF(CN$3=$K575,IF($C575="L",1,IF($C575="1/2L",0.5,0)),0)</f>
        <v>0</v>
      </c>
      <c r="CP575" s="285">
        <f>IF(CP$3=$K575,IF($C575="W",1,IF($C575="1/2W",0.5,0)),0)</f>
        <v>0</v>
      </c>
      <c r="CQ575" s="285">
        <f>IF(CP$3=$K575,IF($C575="L",1,IF($C575="1/2L",0.5,0)),0)</f>
        <v>0</v>
      </c>
      <c r="CR575" s="285">
        <f>IF(CR$3=$K575,IF($C575="W",1,IF($C575="1/2W",0.5,0)),0)</f>
        <v>0</v>
      </c>
      <c r="CS575" s="285">
        <f>IF(CR$3=$K575,IF($C575="L",1,IF($C575="1/2L",0.5,0)),0)</f>
        <v>0</v>
      </c>
      <c r="CT575" s="145">
        <f>IF(CT$3=$K575,IF($C575="W",1,IF($C575="1/2W",0.5,0)),0)</f>
        <v>0</v>
      </c>
      <c r="CU575" s="146">
        <f>IF(CT$3=$K575,IF($C575="L",1,IF($C575="1/2L",0.5,0)),0)</f>
        <v>0</v>
      </c>
      <c r="CV575" s="146">
        <f>IF(CV$3=$K575,IF($C575="W",1,IF($C575="1/2W",0.5,0)),0)</f>
        <v>0</v>
      </c>
      <c r="CW575" s="146">
        <f>IF(CV$3=$K575,IF($C575="L",1,IF($C575="1/2L",0.5,0)),0)</f>
        <v>0</v>
      </c>
      <c r="CX575" s="146">
        <f>IF(CX$3=$K575,IF($C575="W",1,IF($C575="1/2W",0.5,0)),0)</f>
        <v>0</v>
      </c>
      <c r="CY575" s="146">
        <f>IF(CX$3=$K575,IF($C575="L",1,IF($C575="1/2L",0.5,0)),0)</f>
        <v>0</v>
      </c>
      <c r="CZ575" s="146">
        <f>IF(CZ$3=$K575,IF($C575="W",1,IF($C575="1/2W",0.5,0)),0)</f>
        <v>0</v>
      </c>
      <c r="DA575" s="146">
        <f>IF(CZ$3=$K575,IF($C575="L",1,IF($C575="1/2L",0.5,0)),0)</f>
        <v>0</v>
      </c>
      <c r="DB575" s="146">
        <f>IF(DB$3=$K575,IF($C575="W",1,IF($C575="1/2W",0.5,0)),0)</f>
        <v>0</v>
      </c>
      <c r="DC575" s="146">
        <f>IF(DB$3=$K575,IF($C575="L",1,IF($C575="1/2L",0.5,0)),0)</f>
        <v>0</v>
      </c>
      <c r="DD575" s="146">
        <f>IF(DD$3=$K575,IF($C575="W",1,IF($C575="1/2W",0.5,0)),0)</f>
        <v>0</v>
      </c>
      <c r="DE575" s="147">
        <f>IF(DD$3=$K575,IF($C575="L",1,IF($C575="1/2L",0.5,0)),0)</f>
        <v>0</v>
      </c>
      <c r="DF575" s="143">
        <f>IF(AND(L575&lt;DF$3,$C575="W"),1+DF574,DF574)</f>
        <v>17</v>
      </c>
      <c r="DG575" s="133">
        <f>IF(DF575&gt;DF574,L575+DG574,DG574)</f>
        <v>22.628</v>
      </c>
      <c r="DH575" s="146">
        <f>IF(AND(L575&gt;DH$3,$C575="W"),1+DH574,0+DH574)</f>
        <v>16</v>
      </c>
      <c r="DI575" s="133">
        <f>IF(DH575&gt;DH574,L575+DI574,DI574)</f>
        <v>85.45999999999999</v>
      </c>
      <c r="DJ575" t="s" s="304">
        <f>IF($D574="","",$D574)</f>
        <v>431</v>
      </c>
      <c r="DK575" s="286"/>
    </row>
    <row r="576" ht="14.55" customHeight="1">
      <c r="A576" s="149"/>
      <c r="B576" s="150"/>
      <c r="C576" t="s" s="151">
        <v>58</v>
      </c>
      <c r="D576" s="152"/>
      <c r="E576" s="153"/>
      <c r="F576" s="155"/>
      <c r="G576" s="252"/>
      <c r="H576" s="156"/>
      <c r="I576" s="287"/>
      <c r="J576" s="288"/>
      <c r="K576" s="156"/>
      <c r="L576" s="289"/>
      <c r="M576" s="290"/>
      <c r="N576" s="161"/>
      <c r="O576" t="s" s="162">
        <f>IF(OR(AE574="",AE575=""),"",IF(L576&gt;0,ROUND(IF(M576&gt;0,M576,IF(M574&gt;0,ROUND((M574*AE576)/AE574,IF(N574=0,2,IF(N574=0.1,1,0))),IF(M575&gt;0,ROUND((M575*AE576)/AE575,IF(N574=0,2,IF(N574=0.1,1,0))),IF(M576&gt;0,M576,0)))),2),""))</f>
      </c>
      <c r="P576" t="s" s="163">
        <f>IF(I575="Lay",O575*(L575/(L575-1))-O575,IF(I574="Lay",O574*(L574/(L574-1))-O574,IF(OR(L576="",O576=""),"",IF($C576="1/2W",O576/2+O576/2*L576,IF($C576="1/2L",O576/2,(O576*L576-O576)*(1-_xlfn.XLOOKUP(K576,'Janeiro 2023 - Valor Real'!A3:A15,'Janeiro 2023 - Valor Real'!C3:C15,0))+O576)))))</f>
      </c>
      <c r="Q576" t="s" s="154">
        <f>IF(K576="","",IF(_xlfn.XLOOKUP(K576,K$121:K355,DJ$121:DJ355,0,,-1)=DJ576,_xlfn.XLOOKUP(K576,K$121:K355,Q$121:Q355,1,,-1)+1,1))</f>
      </c>
      <c r="R576" t="s" s="163">
        <f>IF(K576="","",_xlfn.XLOOKUP(K576,K$121:K355,R$121:R355,0,,-1)+IF($C576=" ",1,0))</f>
      </c>
      <c r="S576" s="166"/>
      <c r="T576" s="155"/>
      <c r="U576" s="155"/>
      <c r="V576" s="166"/>
      <c r="W576" s="155"/>
      <c r="X576" s="167"/>
      <c r="Y576" s="128"/>
      <c r="Z576" s="129"/>
      <c r="AA576" s="129"/>
      <c r="AB576" s="129"/>
      <c r="AC576" s="129"/>
      <c r="AD576" s="168"/>
      <c r="AE576" t="s" s="169">
        <f>IF(L576="","",(SUM(((L574-1)*(1-_xlfn.XLOOKUP(K574,'Janeiro 2023 - Valor Real'!A3:A15,'Janeiro 2023 - Valor Real'!C3:C15,0))+1),((L575-1)*(1-_xlfn.XLOOKUP(K575,'Janeiro 2023 - Valor Real'!A3:A15,'Janeiro 2023 - Valor Real'!C3:C15,0))+1),((L576-1)*(1-_xlfn.XLOOKUP(K576,'Janeiro 2023 - Valor Real'!A3:A15,'Janeiro 2023 - Valor Real'!C3:C15,0))+1))/((L576-1)*(1-_xlfn.XLOOKUP(K576,'Janeiro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Real'!C3:C15,0))+1))/((L574-1)*(1-_xlfn.XLOOKUP(K574,'Janeiro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Real'!C3:C15,0))+1))/((L575-1)*(1-_xlfn.XLOOKUP(K575,'Janeiro 2023 - Valor Real'!A3:A15,'Janeiro 2023 - Valor Real'!C3:C15,0))+1)+SUM(((L574-1)*(1-_xlfn.XLOOKUP(K574,'Janeiro 2023 - Valor Real'!A3:A15,'Janeiro 2023 - Valor Real'!C3:C15,0))+1),((L575-1)*(1-_xlfn.XLOOKUP(K575,'Janeiro 2023 - Valor Real'!A3:A15,'Janeiro 2023 - Valor Real'!C3:C15,0))+1),((L576-1)*(1-_xlfn.XLOOKUP(K576,'Janeiro 2023 - Valor Real'!A3:A15,'Janeiro 2023 - Valor Real'!C3:C15,0))+1))/((L576-1)*(1-_xlfn.XLOOKUP(K576,'Janeiro 2023 - Valor Real'!A3:A15,'Janeiro 2023 - Valor Real'!C3:C15,0))+1)))</f>
      </c>
      <c r="AF576" s="132">
        <f>IF($K576=AF$3,ROUND(IF(OR($C576="W",$C576="1/2W",$C576="1/2L"),$P576-$O576,IF($C576="X",0,-$O576)),2),0)</f>
        <v>0</v>
      </c>
      <c r="AG576" s="133">
        <f>IF($K576=AG$3,ROUND(IF(OR($C576="W",$C576="1/2W",$C576="1/2L"),$P576-$O576,IF($C576="X",0,-$O576)),2),0)</f>
        <v>0</v>
      </c>
      <c r="AH576" s="133">
        <f>IF($K576=AH$3,ROUND(IF(OR($C576="W",$C576="1/2W",$C576="1/2L"),$P576-$O576,IF($C576="X",0,-$O576)),2),0)</f>
        <v>0</v>
      </c>
      <c r="AI576" s="133">
        <f>IF($K576=AI$3,ROUND(IF(OR($C576="W",$C576="1/2W",$C576="1/2L"),$P576-$O576,IF($C576="X",0,-$O576)),2),0)</f>
        <v>0</v>
      </c>
      <c r="AJ576" s="133">
        <f>IF($K576=AJ$3,ROUND(IF(OR($C576="W",$C576="1/2W",$C576="1/2L"),$P576-$O576,IF($C576="X",0,-$O576)),2),0)</f>
        <v>0</v>
      </c>
      <c r="AK576" s="133">
        <f>IF($K576=AK$3,ROUND(IF(OR($C576="W",$C576="1/2W",$C576="1/2L"),$P576-$O576,IF($C576="X",0,-$O576)),2),0)</f>
        <v>0</v>
      </c>
      <c r="AL576" s="133">
        <f>IF($K576=AL$3,ROUND(IF(OR($C576="W",$C576="1/2W",$C576="1/2L"),$P576-$O576,IF($C576="X",0,-$O576)),2),0)</f>
        <v>0</v>
      </c>
      <c r="AM576" s="133">
        <f>IF($K576=AM$3,ROUND(IF(OR($C576="W",$C576="1/2W",$C576="1/2L"),$P576-$O576,IF($C576="X",0,-$O576)),2),0)</f>
        <v>0</v>
      </c>
      <c r="AN576" s="133">
        <f>IF($K576=AN$3,ROUND(IF(OR($C576="W",$C576="1/2W",$C576="1/2L"),$P576-$O576,IF($C576="X",0,-$O576)),2),0)</f>
        <v>0</v>
      </c>
      <c r="AO576" s="133">
        <f>IF($K576=AO$3,ROUND(IF(OR($C576="W",$C576="1/2W",$C576="1/2L"),$P576-$O576,IF($C576="X",0,-$O576)),2),0)</f>
        <v>0</v>
      </c>
      <c r="AP576" s="133">
        <f>IF($K576=AP$3,ROUND(IF(OR($C576="W",$C576="1/2W",$C576="1/2L"),$P576-$O576,IF($C576="X",0,-$O576)),2),0)</f>
        <v>0</v>
      </c>
      <c r="AQ576" s="133">
        <f>IF($K576=AQ$3,ROUND(IF(OR($C576="W",$C576="1/2W",$C576="1/2L"),$P576-$O576,IF($C576="X",0,-$O576)),2),0)</f>
        <v>0</v>
      </c>
      <c r="AR576" s="134">
        <f>IF($K576=AR$3,ROUND(IF(OR($C576="W",$C576="1/2W",$C576="1/2L"),$P576-$O576,IF($C576="X",0,-$O576)),2),0)</f>
        <v>0</v>
      </c>
      <c r="AS576" s="132">
        <f>IF(AND($B574=" ",$K576=AS$3),$O576,0)</f>
        <v>0</v>
      </c>
      <c r="AT576" s="133">
        <f>IF(AND($B574=" ",K576=AT$3),$O576,0)</f>
        <v>0</v>
      </c>
      <c r="AU576" s="133">
        <f>IF(AND($B574=" ",$K576=AU$3),$O576,0)</f>
        <v>0</v>
      </c>
      <c r="AV576" s="133">
        <f>IF(AND($B574=" ",$K576=AV$3),$O576,0)</f>
        <v>0</v>
      </c>
      <c r="AW576" s="133">
        <f>IF(AND($B574=" ",$K576=AW$3),$O576,0)</f>
        <v>0</v>
      </c>
      <c r="AX576" s="133">
        <f>IF(AND($B574=" ",$K576=AX$3),$O576,0)</f>
        <v>0</v>
      </c>
      <c r="AY576" s="135">
        <f>IF(AND($B574=" ",$K576=AY$3),$O576,0)</f>
        <v>0</v>
      </c>
      <c r="AZ576" s="136">
        <f>IF(AND($B574=" ",$K576=AZ$3),$O576,0)</f>
        <v>0</v>
      </c>
      <c r="BA576" s="136">
        <f>IF(AND($B574=" ",$K576=BA$3),$O576,0)</f>
        <v>0</v>
      </c>
      <c r="BB576" s="136">
        <f>IF(AND($B574=" ",$K576=BB$3),$O576,0)</f>
        <v>0</v>
      </c>
      <c r="BC576" s="137">
        <f>IF(AND($B574=" ",$K576=BC$3),$O576,0)</f>
        <v>0</v>
      </c>
      <c r="BD576" s="133">
        <f>IF(AND($B574=" ",$K576=BD$3),$O576,0)</f>
        <v>0</v>
      </c>
      <c r="BE576" s="134">
        <f>IF(AND($B574=" ",$K576=BE$3),$O576,0)</f>
        <v>0</v>
      </c>
      <c r="BF576" s="132">
        <f>IF($K576=BF$3,IF($C576="X",0,$O576),0)</f>
        <v>0</v>
      </c>
      <c r="BG576" s="281">
        <f>IF($K576=BG$3,IF($C576="X",0,$O576),0)</f>
        <v>0</v>
      </c>
      <c r="BH576" s="133">
        <f>IF($K576=BH$3,IF($C576="X",0,$O576),0)</f>
        <v>0</v>
      </c>
      <c r="BI576" s="133">
        <f>IF($K576=BI$3,IF($C576="X",0,$O576),0)</f>
        <v>0</v>
      </c>
      <c r="BJ576" s="133">
        <f>IF($K576=BJ$3,IF($C576="X",0,$O576),0)</f>
        <v>0</v>
      </c>
      <c r="BK576" s="133">
        <f>IF($K576=BK$3,IF($C576="X",0,$O576),0)</f>
        <v>0</v>
      </c>
      <c r="BL576" s="133">
        <f>IF($K576=BL$3,IF($C576="X",0,$O576),0)</f>
        <v>0</v>
      </c>
      <c r="BM576" s="135">
        <f>IF($K576=BM$3,IF($C576="X",0,$O576),0)</f>
        <v>0</v>
      </c>
      <c r="BN576" s="136">
        <f>IF($K576=BN$3,IF($C576="X",0,$O576),0)</f>
        <v>0</v>
      </c>
      <c r="BO576" s="136">
        <f>IF($K576=BO$3,IF($C576="X",0,$O576),0)</f>
        <v>0</v>
      </c>
      <c r="BP576" s="136">
        <f>IF($K576=BP$3,IF($C576="X",0,$O576),0)</f>
        <v>0</v>
      </c>
      <c r="BQ576" s="137">
        <f>IF($K576=BQ$3,IF($C576="X",0,$O576),0)</f>
        <v>0</v>
      </c>
      <c r="BR576" s="134">
        <f>IF($K576=BR$3,IF($C576="X",0,$O576),0)</f>
        <v>0</v>
      </c>
      <c r="BS576" s="282"/>
      <c r="BT576" s="283"/>
      <c r="BU576" s="140"/>
      <c r="BV576" s="283"/>
      <c r="BW576" s="140"/>
      <c r="BX576" s="140"/>
      <c r="BY576" s="140"/>
      <c r="BZ576" s="283"/>
      <c r="CA576" s="140"/>
      <c r="CB576" s="140"/>
      <c r="CC576" s="140"/>
      <c r="CD576" s="141"/>
      <c r="CE576" s="142"/>
      <c r="CF576" s="284">
        <f>IF(CF$3=$K576,IF($C576="W",1,IF($C576="1/2W",0.5,0)),0)</f>
        <v>0</v>
      </c>
      <c r="CG576" s="285">
        <f>IF(CF$3=$K576,IF($C576="L",1,IF($C576="1/2L",0.5,0)),0)</f>
        <v>0</v>
      </c>
      <c r="CH576" s="285">
        <f>IF(CH$3=$K576,IF($C576="W",1,IF($C576="1/2W",0.5,0)),0)</f>
        <v>0</v>
      </c>
      <c r="CI576" s="285">
        <f>IF(CH$3=$K576,IF($C576="L",1,IF($C576="1/2L",0.5,0)),0)</f>
        <v>0</v>
      </c>
      <c r="CJ576" s="285">
        <f>IF(CJ$3=$K576,IF($C576="W",1,IF($C576="1/2W",0.5,0)),0)</f>
        <v>0</v>
      </c>
      <c r="CK576" s="285">
        <f>IF(CJ$3=$K576,IF($C576="L",1,IF($C576="1/2L",0.5,0)),0)</f>
        <v>0</v>
      </c>
      <c r="CL576" s="285">
        <f>IF(CL$3=$K576,IF($C576="W",1,IF($C576="1/2W",0.5,0)),0)</f>
        <v>0</v>
      </c>
      <c r="CM576" s="285">
        <f>IF(CL$3=$K576,IF($C576="L",1,IF($C576="1/2L",0.5,0)),0)</f>
        <v>0</v>
      </c>
      <c r="CN576" s="285">
        <f>IF(CN$3=$K576,IF($C576="W",1,IF($C576="1/2W",0.5,0)),0)</f>
        <v>0</v>
      </c>
      <c r="CO576" s="285">
        <f>IF(CN$3=$K576,IF($C576="L",1,IF($C576="1/2L",0.5,0)),0)</f>
        <v>0</v>
      </c>
      <c r="CP576" s="285">
        <f>IF(CP$3=$K576,IF($C576="W",1,IF($C576="1/2W",0.5,0)),0)</f>
        <v>0</v>
      </c>
      <c r="CQ576" s="285">
        <f>IF(CP$3=$K576,IF($C576="L",1,IF($C576="1/2L",0.5,0)),0)</f>
        <v>0</v>
      </c>
      <c r="CR576" s="285">
        <f>IF(CR$3=$K576,IF($C576="W",1,IF($C576="1/2W",0.5,0)),0)</f>
        <v>0</v>
      </c>
      <c r="CS576" s="285">
        <f>IF(CR$3=$K576,IF($C576="L",1,IF($C576="1/2L",0.5,0)),0)</f>
        <v>0</v>
      </c>
      <c r="CT576" s="145">
        <f>IF(CT$3=$K576,IF($C576="W",1,IF($C576="1/2W",0.5,0)),0)</f>
        <v>0</v>
      </c>
      <c r="CU576" s="146">
        <f>IF(CT$3=$K576,IF($C576="L",1,IF($C576="1/2L",0.5,0)),0)</f>
        <v>0</v>
      </c>
      <c r="CV576" s="146">
        <f>IF(CV$3=$K576,IF($C576="W",1,IF($C576="1/2W",0.5,0)),0)</f>
        <v>0</v>
      </c>
      <c r="CW576" s="146">
        <f>IF(CV$3=$K576,IF($C576="L",1,IF($C576="1/2L",0.5,0)),0)</f>
        <v>0</v>
      </c>
      <c r="CX576" s="146">
        <f>IF(CX$3=$K576,IF($C576="W",1,IF($C576="1/2W",0.5,0)),0)</f>
        <v>0</v>
      </c>
      <c r="CY576" s="146">
        <f>IF(CX$3=$K576,IF($C576="L",1,IF($C576="1/2L",0.5,0)),0)</f>
        <v>0</v>
      </c>
      <c r="CZ576" s="146">
        <f>IF(CZ$3=$K576,IF($C576="W",1,IF($C576="1/2W",0.5,0)),0)</f>
        <v>0</v>
      </c>
      <c r="DA576" s="146">
        <f>IF(CZ$3=$K576,IF($C576="L",1,IF($C576="1/2L",0.5,0)),0)</f>
        <v>0</v>
      </c>
      <c r="DB576" s="146">
        <f>IF(DB$3=$K576,IF($C576="W",1,IF($C576="1/2W",0.5,0)),0)</f>
        <v>0</v>
      </c>
      <c r="DC576" s="146">
        <f>IF(DB$3=$K576,IF($C576="L",1,IF($C576="1/2L",0.5,0)),0)</f>
        <v>0</v>
      </c>
      <c r="DD576" s="146">
        <f>IF(DD$3=$K576,IF($C576="W",1,IF($C576="1/2W",0.5,0)),0)</f>
        <v>0</v>
      </c>
      <c r="DE576" s="147">
        <f>IF(DD$3=$K576,IF($C576="L",1,IF($C576="1/2L",0.5,0)),0)</f>
        <v>0</v>
      </c>
      <c r="DF576" s="143">
        <f>IF(AND(L576&lt;DF$3,$C576="W"),1+DF575,DF575)</f>
        <v>17</v>
      </c>
      <c r="DG576" s="133">
        <f>IF(DF576&gt;DF575,L576+DG575,DG575)</f>
        <v>22.628</v>
      </c>
      <c r="DH576" s="146">
        <f>IF(AND(L576&gt;DH$3,$C576="W"),1+DH575,0+DH575)</f>
        <v>16</v>
      </c>
      <c r="DI576" s="133">
        <f>IF(DH576&gt;DH575,L576+DI575,DI575)</f>
        <v>85.45999999999999</v>
      </c>
      <c r="DJ576" t="s" s="304">
        <f>IF($D574="","",$D574)</f>
        <v>431</v>
      </c>
      <c r="DK576" s="286"/>
    </row>
    <row r="577" ht="14.55" customHeight="1">
      <c r="A577" s="171">
        <f>$A574+1</f>
        <v>192</v>
      </c>
      <c r="B577" t="s" s="172">
        <f>IF(AND(_xlfn.XLOOKUP(H577,H$122:H350,G$122:G350,0)=G577,_xlfn.XLOOKUP("TempoBet",K577:K579,L577:L579,0)&gt;0),"X",IF(OR(C577="W",C578="W",C579="W",C577="1/2W",C578="1/2W",C579="1/2W",C577="1/2L",C578="1/2L",C579="1/2L"),"OK",IF(OR(C577="L",C578="L",C579="L"),"LOSS",IF(OR(C577="X",C578="X",C579="X"),"Anulado"," "))))</f>
        <v>50</v>
      </c>
      <c r="C577" t="s" s="173">
        <v>56</v>
      </c>
      <c r="D577" t="s" s="305">
        <f>IF(G577="","",$D574)</f>
        <v>431</v>
      </c>
      <c r="E577" t="s" s="175">
        <f>IF(G577=""," ","– "&amp;COUNTIF(D$4:D579,$D577))</f>
        <v>63</v>
      </c>
      <c r="F577" t="s" s="176"/>
      <c r="G577" s="177">
        <v>44953.270833333336</v>
      </c>
      <c r="H577" t="s" s="178">
        <v>433</v>
      </c>
      <c r="I577" s="298">
        <v>1</v>
      </c>
      <c r="J577" s="180"/>
      <c r="K577" t="s" s="181">
        <v>48</v>
      </c>
      <c r="L577" s="182">
        <v>2.05</v>
      </c>
      <c r="M577" s="183"/>
      <c r="N577" s="184">
        <v>0</v>
      </c>
      <c r="O577" s="185">
        <f>IF(OR(AE577="",AE578=""),"",ROUND(IF(L579&gt;0,IF(M577&gt;0,M577,IF(M578&gt;0,ROUND((M578*AE577)/AE578,IF(N577=0,2,IF(N577=0.1,1,0))),ROUND((M579*AE577)/AE579,IF(N577=0,2,IF(N577=0.1,1,0))))),IF(M577&gt;0,M577,ROUND((M578*AE577)/AE578,IF(N577=0,2,IF(N577=0.1,1,0))))),2))</f>
        <v>6.15</v>
      </c>
      <c r="P577" s="186">
        <f>IF(OR(L577="",O577=""),"",IF($C577="1/2W",O577/2+O577/2*L577,IF($C577="1/2L",O577/2,IF(I577="Lay",(O577*(L577/(L577-1))-O577)*(1-_xlfn.XLOOKUP(K577,'Janeiro 2023 - Valor Real'!A3:A15,'Janeiro 2023 - Valor Real'!C3:C15,0))+O577,(O577*L577-O577)*(1-_xlfn.XLOOKUP(K577,'Janeiro 2023 - Valor Real'!A3:A15,'Janeiro 2023 - Valor Real'!C3:C15,0))+O577))))</f>
        <v>12.6075</v>
      </c>
      <c r="Q577" s="187">
        <f>IF(K577="","",IF(_xlfn.XLOOKUP(K577,K$122:K350,DJ$122:DJ350,0,,-1)=DJ577,_xlfn.XLOOKUP(K577,K$122:K350,Q$122:Q350,1,,-1)+1,1))</f>
        <v>1</v>
      </c>
      <c r="R577" s="188">
        <f>IF(K577="","",_xlfn.XLOOKUP(K577,K$122:K350,R$122:R350,0,,-1)+IF($C577=" ",1,0))</f>
        <v>0</v>
      </c>
      <c r="S577" s="189">
        <f>IF($B577="Anulado",0,ROUND(IF(OR($B577="LOSS",$B577="OK"),IF(OR($C577="W",$C577="1/2W",$C577="1/2L"),P577-O577,IF($C577="L",-O577,0))+IF(OR($C578="W",$C578="1/2W",$C578="1/2L"),P578-O578,IF($C578="L",-O578,0))+IF(OR($C579="W",$C579="1/2W",$C579="1/2L"),P579-O579,IF($C579="L",-O579,0)),IF(AND(OR($C577="W",$C577="1/2W",$C577="1/2L"),C578="W"),P577+P578-SUM(O577:O579)+_xlfn.XLOOKUP("X",C577:C579,O577:O579,0),IF(AND(C577=TRUE,C579="W"),P577+P579-SUM(O577:O579),IF(AND(C578="W",C579="W"),P578+P579-SUM(O577:O579)+_xlfn.XLOOKUP("X",C577:C579,O577:O579,0),IF(L579&gt;0,IF(OR($C577="W",$C577="1/2W",$C577="1/2L"),P577-SUM(O577:O579)+_xlfn.XLOOKUP("X",C577:C579,O577:O579,0),IF(OR($C577="W",$C577="1/2W",$C577="1/2L"),P578-SUM(O577:O579)+_xlfn.XLOOKUP("X",C577:C579,O577:O579,0),IF(OR($C577="W",$C577="1/2W",$C577="1/2L"),P579-SUM(O577:O579)+_xlfn.XLOOKUP("X",C577:C579,O577:O579,0),IF(SUM(P577:P579)/3-SUM(O577:O579)+_xlfn.XLOOKUP("X",C577:C579,O577:O579,0)&gt;0,SUM(P577:P579)/3-SUM(O577:O579)+_xlfn.XLOOKUP("X",C577:C579,O577:O579,0),LARGE(P577:P579,1)-SUM(O577:O579))))),IF(OR($C577="W",$C577="1/2W",$C577="1/2L"),P577-SUM(O577:O578)+_xlfn.XLOOKUP("X",C577:C579,O577:O579,0),IF(OR($C577="W",$C577="1/2W",$C577="1/2L"),P578-SUM(O577:O578)+_xlfn.XLOOKUP("X",C577:C579,O577:O579,0),SUM(P577:P578)/2-SUM(O577:O578)+_xlfn.XLOOKUP("X",C577:C579,O577:O579,0)))))))),2))</f>
        <v>0.86</v>
      </c>
      <c r="T577" s="190">
        <f>IF(S577=0,0,S577/SUM(O577:O579))</f>
        <v>0.0731914893617021</v>
      </c>
      <c r="U577" s="191">
        <f>IF($D577=$D574,IF(OR($B577="LOSS",$B577="OK",$B577="Anulada"),S577,0)+U574,IF(OR($B577="LOSS",$B577="OK",$B577="Anulada"),S577,0))</f>
        <v>2.5</v>
      </c>
      <c r="V577" s="191">
        <f>IF($D577="",0,IF($D577=$D574,IF($B577=" ",IF(I579="",IF(OR(AND(I577="DNB1",I578="DNB2"),AND(OR(I577="DNB1",I577="DNB2"),J578=0),AND(OR(I578="DNB1",I578="DNB2"),J577=0),AND(I577="DNB2",I578="DNB1"),AND(IF(J577=0,(J577+1)/ROUND(J577+1,0),J577/ROUND(J577,0))=1,IF(J578=0,(J578+1)/ROUND(IF(J578="",0,J578)+1,0),IF(J578="",0,J578)/ROUND(IF(J578="",1,J578),0))=1,OR(J577&lt;&gt;""),J578&lt;&gt;"")),0,IF(S577&lt;0,IF(I579="",SMALL(P577:P578,1)-SUM(O577:O578),0),SMALL(P577:P578,1)-SUM(O577:O578))),IF(S577&lt;0,IF(I579="",SMALL(P577:P579,1)-SUM(O577:O579),0),LARGE(P577:P579,1)-SUM(O577:O579))),S577)+V574,IF(I579="",IF(OR(AND(I577="DNB1",I578="DNB2"),AND(OR(I577="DNB1",I577="DNB2"),J578=0),AND(OR(I578="DNB1",I578="DNB2"),J577=0),AND(I577="DNB2",I578="DNB1"),AND(IF(J577=0,(J577+1)/ROUND(J577+1,0),J577/ROUND(J577,0))=1,IF(J578=0,(IF(J578="",0,J578)+1)/ROUND(IF(J578="",0,J578)+1,0),IF(J578="",0,J578)/ROUND(IF(J578="",0,J578)+1,0))=1,OR(J577&lt;&gt;""),J578&lt;&gt;"")),0,IF(S577&lt;0,IF(I579="",SMALL(P577:P578,1)-SUM(O577:O578),0),SMALL(P577:P579,1)-SUM(O577:O579))),IF(S577&lt;0,IF(I579="",SMALL(P577:P579,1)-SUM(O577:O579),0),LARGE(P577:P579,1)-SUM(O577:O579)))))</f>
        <v>2.472</v>
      </c>
      <c r="W577" s="191">
        <f>IF($D577=$D574,IF(S577&lt;0,IF(I579="",S577,0),S577)+W574,S577)</f>
        <v>2.5</v>
      </c>
      <c r="X577" t="s" s="192">
        <f>IF(OR(SUM(R577:R579)=0,V577=W577),ROUND(IF(W577=0,0,W577/Y577)*100,2)&amp;"%",ROUND(IF(V577=0,0,V577/Y577)*100,2)&amp;"% a "&amp;ROUND(IF(W577=0,0,W577/Y577)*100,2)&amp;"%")</f>
        <v>74</v>
      </c>
      <c r="Y577" s="193">
        <f>IF($D577=$D574,Y574+SUM(O577:O579),SUM(O577:O579))</f>
        <v>37.28</v>
      </c>
      <c r="Z577" s="191">
        <f>IF($B577=" ",SUM(O577:O579),0)+Z574</f>
        <v>0</v>
      </c>
      <c r="AA577" s="191">
        <f>IF(G577="","",IF($B577="Anulado",LARGE(P577:P579,1)-SUM(O577:O579)+AA574,AA574))</f>
        <v>24.9665076923077</v>
      </c>
      <c r="AB577" s="191">
        <f>IF($D577="","",AB574+S577)</f>
        <v>390.83</v>
      </c>
      <c r="AC577" s="194">
        <f>IF($D577="","",IF($B577=" ",IF(DAY(G577)=DAY(TODAY()),1+AC574,0+AC574),0+AC574))</f>
        <v>0</v>
      </c>
      <c r="AD577" s="195">
        <f>(((L578/(L578-1)-1)*(1-_xlfn.XLOOKUP(K578,'Janeiro 2023 - Valor Real'!A3:A15,'Janeiro 2023 - Valor Real'!C3:C15,0))+1))/(((L577-1)*(1-_xlfn.XLOOKUP(K577,'Janeiro 2023 - Valor Real'!A3:A15,'Janeiro 2023 - Valor Real'!C3:C15,0))+1)+((L578/(L578-1)-1)*(1-_xlfn.XLOOKUP(K578,'Janeiro 2023 - Valor Real'!A3:A15,'Janeiro 2023 - Valor Real'!C3:C15,0))+1))</f>
        <v>0.467532467532468</v>
      </c>
      <c r="AE577" s="196">
        <f>IF(L577="","",IF(L579&gt;0,(SUM(((L577-1)*(1-_xlfn.XLOOKUP(K577,'Janeiro 2023 - Valor Real'!A3:A15,'Janeiro 2023 - Valor Real'!C3:C15,0))+1),((L578-1)*(1-_xlfn.XLOOKUP(K578,'Janeiro 2023 - Valor Real'!A3:A15,'Janeiro 2023 - Valor Real'!C3:C15,0))+1),((L579-1)*(1-_xlfn.XLOOKUP(K579,'Janeiro 2023 - Valor Real'!A3:A15,'Janeiro 2023 - Valor Real'!C3:C15,0))+1))/((L577-1)*(1-_xlfn.XLOOKUP(K577,'Janeiro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Real'!C3:C15,0))+1))/((L577-1)*(1-_xlfn.XLOOKUP(K577,'Janeiro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Real'!C3:C15,0))+1))/((L578-1)*(1-_xlfn.XLOOKUP(K578,'Janeiro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Real'!C3:C15,0))+1))/((L579-1)*(1-_xlfn.XLOOKUP(K579,'Janeiro 2023 - Valor Real'!A3:A15,'Janeiro 2023 - Valor Real'!C3:C15,0))+1)),IF(I577="Lay",IF(I578="Lay",((L578/(L578-1)-1)*(1-_xlfn.XLOOKUP(K578,'Janeiro 2023 - Valor Real'!A3:A15,'Janeiro 2023 - Valor Real'!C3:C15,0))+1)/(((L578/(L578-1)-1)*(1-_xlfn.XLOOKUP(K578,'Janeiro 2023 - Valor Real'!A3:A15,'Janeiro 2023 - Valor Real'!C3:C15,0))+1)+((L577/(L577-1)-1)*(1-_xlfn.XLOOKUP(K577,'Janeiro 2023 - Valor Real'!A3:A15,'Janeiro 2023 - Valor Real'!C3:C15,0))+1)),((L578-1)*(1-_xlfn.XLOOKUP(K578,'Janeiro 2023 - Valor Real'!A3:A15,'Janeiro 2023 - Valor Real'!C3:C15,0))+1)/(((L578-1)*(1-_xlfn.XLOOKUP(K578,'Janeiro 2023 - Valor Real'!A3:A15,'Janeiro 2023 - Valor Real'!C3:C15,0))+1)+((L577/(L577-1)-1)*(1-_xlfn.XLOOKUP(K577,'Janeiro 2023 - Valor Real'!A3:A15,'Janeiro 2023 - Valor Real'!C3:C15,0))+1))),IF(I578="Lay",(((L578/(L578-1)-1)*(1-_xlfn.XLOOKUP(K578,'Janeiro 2023 - Valor Real'!A3:A15,'Janeiro 2023 - Valor Real'!C3:C15,0))+1))/(((L577-1)*(1-_xlfn.XLOOKUP(K577,'Janeiro 2023 - Valor Real'!A3:A15,'Janeiro 2023 - Valor Real'!C3:C15,0))+1)+((L578/(L578-1)-1)*(1-_xlfn.XLOOKUP(K578,'Janeiro 2023 - Valor Real'!A3:A15,'Janeiro 2023 - Valor Real'!C3:C15,0))+1)),((L578-1)*(1-_xlfn.XLOOKUP(K578,'Janeiro 2023 - Valor Real'!A3:A15,'Janeiro 2023 - Valor Real'!C3:C15,0))+1)/(((L578-1)*(1-_xlfn.XLOOKUP(K578,'Janeiro 2023 - Valor Real'!A3:A15,'Janeiro 2023 - Valor Real'!C3:C15,0))+1)+((L577-1)*(1-_xlfn.XLOOKUP(K577,'Janeiro 2023 - Valor Real'!A3:A15,'Janeiro 2023 - Valor Real'!C3:C15,0))+1))))))</f>
        <v>0.523255813953488</v>
      </c>
      <c r="AF577" s="197">
        <f>IF($K577=AF$3,ROUND(IF(OR($C577="W",$C577="1/2W",$C577="1/2L"),$P577-$O577,IF($C577="X",0,-$O577)),2),0)</f>
        <v>0</v>
      </c>
      <c r="AG577" s="198">
        <f>IF($K577=AG$3,ROUND(IF(OR($C577="W",$C577="1/2W",$C577="1/2L"),$P577-$O577,IF($C577="X",0,-$O577)),2),0)</f>
        <v>0</v>
      </c>
      <c r="AH577" s="198">
        <f>IF($K577=AH$3,ROUND(IF(OR($C577="W",$C577="1/2W",$C577="1/2L"),$P577-$O577,IF($C577="X",0,-$O577)),2),0)</f>
        <v>0</v>
      </c>
      <c r="AI577" s="198">
        <f>IF($K577=AI$3,ROUND(IF(OR($C577="W",$C577="1/2W",$C577="1/2L"),$P577-$O577,IF($C577="X",0,-$O577)),2),0)</f>
        <v>0</v>
      </c>
      <c r="AJ577" s="198">
        <f>IF($K577=AJ$3,ROUND(IF(OR($C577="W",$C577="1/2W",$C577="1/2L"),$P577-$O577,IF($C577="X",0,-$O577)),2),0)</f>
        <v>0</v>
      </c>
      <c r="AK577" s="198">
        <f>IF($K577=AK$3,ROUND(IF(OR($C577="W",$C577="1/2W",$C577="1/2L"),$P577-$O577,IF($C577="X",0,-$O577)),2),0)</f>
        <v>0</v>
      </c>
      <c r="AL577" s="198">
        <f>IF($K577=AL$3,ROUND(IF(OR($C577="W",$C577="1/2W",$C577="1/2L"),$P577-$O577,IF($C577="X",0,-$O577)),2),0)</f>
        <v>0</v>
      </c>
      <c r="AM577" s="198">
        <f>IF($K577=AM$3,ROUND(IF(OR($C577="W",$C577="1/2W",$C577="1/2L"),$P577-$O577,IF($C577="X",0,-$O577)),2),0)</f>
        <v>0</v>
      </c>
      <c r="AN577" s="198">
        <f>IF($K577=AN$3,ROUND(IF(OR($C577="W",$C577="1/2W",$C577="1/2L"),$P577-$O577,IF($C577="X",0,-$O577)),2),0)</f>
        <v>0</v>
      </c>
      <c r="AO577" s="198">
        <f>IF($K577=AO$3,ROUND(IF(OR($C577="W",$C577="1/2W",$C577="1/2L"),$P577-$O577,IF($C577="X",0,-$O577)),2),0)</f>
        <v>0</v>
      </c>
      <c r="AP577" s="198">
        <f>IF($K577=AP$3,ROUND(IF(OR($C577="W",$C577="1/2W",$C577="1/2L"),$P577-$O577,IF($C577="X",0,-$O577)),2),0)</f>
        <v>0</v>
      </c>
      <c r="AQ577" s="198">
        <f>IF($K577=AQ$3,ROUND(IF(OR($C577="W",$C577="1/2W",$C577="1/2L"),$P577-$O577,IF($C577="X",0,-$O577)),2),0)</f>
        <v>6.46</v>
      </c>
      <c r="AR577" s="199">
        <f>IF($K577=AR$3,ROUND(IF(OR($C577="W",$C577="1/2W",$C577="1/2L"),$P577-$O577,IF($C577="X",0,-$O577)),2),0)</f>
        <v>0</v>
      </c>
      <c r="AS577" s="197">
        <f>IF(AND($B577=" ",$K577=AS$3),$O577,0)</f>
        <v>0</v>
      </c>
      <c r="AT577" s="198">
        <f>IF(AND($B577=" ",$K577=AT$3),$O577,0)</f>
        <v>0</v>
      </c>
      <c r="AU577" s="198">
        <f>IF(AND($B577=" ",$K577=AU$3),$O577,0)</f>
        <v>0</v>
      </c>
      <c r="AV577" s="198">
        <f>IF(AND($B577=" ",$K577=AV$3),$O577,0)</f>
        <v>0</v>
      </c>
      <c r="AW577" s="198">
        <f>IF(AND($B577=" ",$K577=AW$3),$O577,0)</f>
        <v>0</v>
      </c>
      <c r="AX577" s="198">
        <f>IF(AND($B577=" ",$K577=AX$3),$O577,0)</f>
        <v>0</v>
      </c>
      <c r="AY577" s="200">
        <f>IF(AND($B577=" ",$K577=AY$3),$O577,0)</f>
        <v>0</v>
      </c>
      <c r="AZ577" s="201">
        <f>IF(AND($B577=" ",$K577=AZ$3),$O577,0)</f>
        <v>0</v>
      </c>
      <c r="BA577" s="201">
        <f>IF(AND($B577=" ",$K577=BA$3),$O577,0)</f>
        <v>0</v>
      </c>
      <c r="BB577" s="201">
        <f>IF(AND($B577=" ",$K577=BB$3),$O577,0)</f>
        <v>0</v>
      </c>
      <c r="BC577" s="202">
        <f>IF(AND($B577=" ",$K577=BC$3),$O577,0)</f>
        <v>0</v>
      </c>
      <c r="BD577" s="198">
        <f>IF(AND($B577=" ",$K577=BD$3),$O577,0)</f>
        <v>0</v>
      </c>
      <c r="BE577" s="199">
        <f>IF(AND($B577=" ",$K577=BE$3),$O577,0)</f>
        <v>0</v>
      </c>
      <c r="BF577" s="203">
        <f>IF($K577=BF$3,IF($C577="X",0,$O577),0)</f>
        <v>0</v>
      </c>
      <c r="BG577" s="198">
        <f>IF($K577=BG$3,IF($C577="X",0,$O577),0)</f>
        <v>0</v>
      </c>
      <c r="BH577" s="198">
        <f>IF($K577=BH$3,IF($C577="X",0,$O577),0)</f>
        <v>0</v>
      </c>
      <c r="BI577" s="198">
        <f>IF($K577=BI$3,IF($C577="X",0,$O577),0)</f>
        <v>0</v>
      </c>
      <c r="BJ577" s="198">
        <f>IF($K577=BJ$3,IF($C577="X",0,$O577),0)</f>
        <v>0</v>
      </c>
      <c r="BK577" s="198">
        <f>IF($K577=BK$3,IF($C577="X",0,$O577),0)</f>
        <v>0</v>
      </c>
      <c r="BL577" s="198">
        <f>IF($K577=BL$3,IF($C577="X",0,$O577),0)</f>
        <v>0</v>
      </c>
      <c r="BM577" s="200">
        <f>IF($K577=BM$3,IF($C577="X",0,$O577),0)</f>
        <v>0</v>
      </c>
      <c r="BN577" s="201">
        <f>IF($K577=BN$3,IF($C577="X",0,$O577),0)</f>
        <v>0</v>
      </c>
      <c r="BO577" s="201">
        <f>IF($K577=BO$3,IF($C577="X",0,$O577),0)</f>
        <v>0</v>
      </c>
      <c r="BP577" s="201">
        <f>IF($K577=BP$3,IF($C577="X",0,$O577),0)</f>
        <v>0</v>
      </c>
      <c r="BQ577" s="202">
        <f>IF($K577=BQ$3,IF($C577="X",0,$O577),0)</f>
        <v>6.15</v>
      </c>
      <c r="BR577" s="199">
        <f>IF($K577=BR$3,IF($C577="X",0,$O577),0)</f>
        <v>0</v>
      </c>
      <c r="BS577" s="204">
        <f>IF($B577="LOSS",IF(AND($K577=BS$3,$C577="L"),-$O577,0)+IF(AND($K578=BS$3,$C578="L"),-$O578,0)+IF(AND($K579=BS$3,$C579="L"),-$O579,0),IF(OR(AND($K577=BS$3,OR($C577="W",$C577="1/2W")),AND($K578=BS$3,OR($C578="W",$C578="1/2W")),AND($K579=BS$3,OR($C579="W",$C579="1/2W"))),$S577,0))</f>
        <v>0</v>
      </c>
      <c r="BT577" s="201">
        <f>IF($B577="LOSS",IF(AND($K577=BT$3,$C577="L"),-$O577,0)+IF(AND($K578=BT$3,$C578="L"),-$O578,0)+IF(AND($K578=BT$3,$C579="L"),-$O579,0),IF(OR(AND($K578=BT$3,OR($C577="W",$C577="1/2W")),AND($K578=BT$3,OR($C578="W",$C578="1/2W")),AND($K578=BT$3,OR($C579="W",$C579="1/2W"))),$S577,0))</f>
        <v>0</v>
      </c>
      <c r="BU577" s="201">
        <f>IF($B577="LOSS",IF(AND($K577=BU$3,$C577="L"),-$O577,0)+IF(AND($K578=BU$3,$C578="L"),-$O578,0)+IF(AND($K578=BU$3,$C579="L"),-$O579,0),IF(OR(AND($K578=BU$3,OR($C577="W",$C577="1/2W")),AND($K578=BU$3,OR($C578="W",$C578="1/2W")),AND($K578=BU$3,OR($C579="W",$C579="1/2W"))),$S577,0))</f>
        <v>0</v>
      </c>
      <c r="BV577" s="201">
        <f>IF($B577="LOSS",IF(AND($K577=BV$3,$C577="L"),-$O577,0)+IF(AND($K578=BV$3,$C578="L"),-$O578,0)+IF(AND($K579=BV$3,$C579="L"),-$O579,0),IF(OR(AND($K577=BV$3,OR($C577="W",$C577="1/2W")),AND($K578=BV$3,OR($C578="W",$C578="1/2W")),AND($K579=BV$3,OR($C579="W",$C579="1/2W"))),$S577,0))</f>
        <v>0</v>
      </c>
      <c r="BW577" s="201">
        <f>IF($B577="LOSS",IF(AND($K577=BW$3,$C577="L"),-$O577,0)+IF(AND($K578=BW$3,$C578="L"),-$O578,0)+IF(AND($K579=BW$3,$C579="L"),-$O579,0),IF(OR(AND($K577=BW$3,OR($C577="W",$C577="1/2W")),AND($K578=BW$3,OR($C578="W",$C578="1/2W")),AND($K579=BW$3,OR($C579="W",$C579="1/2W"))),$S577,0))</f>
        <v>0</v>
      </c>
      <c r="BX577" s="201">
        <f>IF($B577="LOSS",IF(AND($K577=BX$3,$C577="L"),-$O577,0)+IF(AND($K578=BX$3,$C578="L"),-$O578,0)+IF(AND($K579=BX$3,$C579="L"),-$O579,0),IF(OR(AND($K577=BX$3,OR($C577="W",$C577="1/2W")),AND($K578=BX$3,OR($C578="W",$C578="1/2W")),AND($K579=BX$3,OR($C579="W",$C579="1/2W"))),$S577,0))</f>
        <v>0</v>
      </c>
      <c r="BY577" s="201">
        <f>IF($B577="LOSS",IF(AND($K577=BY$3,$C577="L"),-$O577,0)+IF(AND($K578=BY$3,$C578="L"),-$O578,0)+IF(AND($K579=BY$3,$C579="L"),-$O579,0),IF(OR(AND($K577=BY$3,OR($C577="W",$C577="1/2W")),AND($K578=BY$3,OR($C578="W",$C578="1/2W")),AND($K579=BY$3,OR($C579="W",$C579="1/2W"))),$S577,0))</f>
        <v>0</v>
      </c>
      <c r="BZ577" s="205">
        <f>IF($B577="LOSS",IF(AND($K577=BZ$3,$C577="L"),-$O577,0)+IF(AND($K578=BZ$3,$C578="L"),-$O578,0)+IF(AND($K579=BZ$3,$C579="L"),-$O579,0),IF(OR(AND($K577=BZ$3,OR($C577="W",$C577="1/2W")),AND($K578=BZ$3,OR($C578="W",$C578="1/2W")),AND($K579=BZ$3,OR($C579="W",$C579="1/2W"))),$S577,0))</f>
        <v>0</v>
      </c>
      <c r="CA577" s="205">
        <f>IF($B577="LOSS",IF(AND($K577=CA$3,$C577="L"),-$O577,0)+IF(AND($K578=CA$3,$C578="L"),-$O578,0)+IF(AND($K579=CA$3,$C579="L"),-$O579,0),IF(OR(AND($K577=CA$3,OR($C577="W",$C577="1/2W")),AND($K578=CA$3,OR($C578="W",$C578="1/2W")),AND($K579=CA$3,OR($C579="W",$C579="1/2W"))),$S577,0))</f>
        <v>0</v>
      </c>
      <c r="CB577" s="205">
        <f>IF($B577="LOSS",IF(AND($K577=CB$3,$C577="L"),-$O577,0)+IF(AND($K578=CB$3,$C578="L"),-$O578,0)+IF(AND($K579=CB$3,$C579="L"),-$O579,0),IF(OR(AND($K577=CB$3,OR($C577="W",$C577="1/2W")),AND($K578=CB$3,OR($C578="W",$C578="1/2W")),AND($K579=CB$3,OR($C579="W",$C579="1/2W"))),$S577,0))</f>
        <v>0</v>
      </c>
      <c r="CC577" s="205">
        <f>IF($B577="LOSS",IF(AND($K577=CC$3,$C577="L"),-$O577,0)+IF(AND($K578=CC$3,$C578="L"),-$O578,0)+IF(AND($K579=CC$3,$C579="L"),-$O579,0),IF(OR(AND($K577=CC$3,OR($C577="W",$C577="1/2W")),AND($K578=CC$3,OR($C578="W",$C578="1/2W")),AND($K579=CC$3,OR($C579="W",$C579="1/2W"))),$S577,0))</f>
        <v>0</v>
      </c>
      <c r="CD577" s="202">
        <f>IF($B577="LOSS",IF(AND($K577=CD$3,$C577="L"),-$O577,0)+IF(AND($K578=CD$3,$C578="L"),-$O578,0)+IF(AND($K579=CD$3,$C579="L"),-$O579,0),IF(OR(AND($K577=CD$3,OR($C577="W",$C577="1/2W")),AND($K578=CD$3,OR($C578="W",$C578="1/2W")),AND($K579=CD$3,OR($C579="W",$C579="1/2W"))),$S577,0))</f>
        <v>0.86</v>
      </c>
      <c r="CE577" s="199">
        <f>IF($B577="LOSS",IF(AND($K577=CE$3,$C577="L"),-$O577,0)+IF(AND($K578=CE$3,$C578="L"),-$O578,0)+IF(AND($K579=CE$3,$C579="L"),-$O579,0),IF(OR(AND($K577=CE$3,OR($C577="W",$C577="1/2W")),AND($K578=CE$3,OR($C578="W",$C578="1/2W")),AND($K579=CE$3,OR($C579="W",$C579="1/2W"))),$S577,0))</f>
        <v>0</v>
      </c>
      <c r="CF577" s="206">
        <f>IF(CF$3=$K577,IF($C577="W",1,IF($C577="1/2W",0.5,0)),0)</f>
        <v>0</v>
      </c>
      <c r="CG577" s="207">
        <f>IF(CF$3=$K577,IF($C577="L",1,IF($C577="1/2L",0.5,0)),0)</f>
        <v>0</v>
      </c>
      <c r="CH577" s="207">
        <f>IF(CH$3=$K577,IF($C577="W",1,IF($C577="1/2W",0.5,0)),0)</f>
        <v>0</v>
      </c>
      <c r="CI577" s="207">
        <f>IF(CH$3=$K577,IF($C577="L",1,IF($C577="1/2L",0.5,0)),0)</f>
        <v>0</v>
      </c>
      <c r="CJ577" s="207">
        <f>IF(CJ$3=$K577,IF($C577="W",1,IF($C577="1/2W",0.5,0)),0)</f>
        <v>0</v>
      </c>
      <c r="CK577" s="207">
        <f>IF(CJ$3=$K577,IF($C577="L",1,IF($C577="1/2L",0.5,0)),0)</f>
        <v>0</v>
      </c>
      <c r="CL577" s="207">
        <f>IF(CL$3=$K577,IF($C577="W",1,IF($C577="1/2W",0.5,0)),0)</f>
        <v>0</v>
      </c>
      <c r="CM577" s="207">
        <f>IF(CL$3=$K577,IF($C577="L",1,IF($C577="1/2L",0.5,0)),0)</f>
        <v>0</v>
      </c>
      <c r="CN577" s="207">
        <f>IF(CN$3=$K577,IF($C577="W",1,IF($C577="1/2W",0.5,0)),0)</f>
        <v>0</v>
      </c>
      <c r="CO577" s="207">
        <f>IF(CN$3=$K577,IF($C577="L",1,IF($C577="1/2L",0.5,0)),0)</f>
        <v>0</v>
      </c>
      <c r="CP577" s="207">
        <f>IF(CP$3=$K577,IF($C577="W",1,IF($C577="1/2W",0.5,0)),0)</f>
        <v>0</v>
      </c>
      <c r="CQ577" s="207">
        <f>IF(CP$3=$K577,IF($C577="L",1,IF($C577="1/2L",0.5,0)),0)</f>
        <v>0</v>
      </c>
      <c r="CR577" s="207">
        <f>IF(CR$3=$K577,IF($C577="W",1,IF($C577="1/2W",0.5,0)),0)</f>
        <v>0</v>
      </c>
      <c r="CS577" s="207">
        <f>IF(CR$3=$K577,IF($C577="L",1,IF($C577="1/2L",0.5,0)),0)</f>
        <v>0</v>
      </c>
      <c r="CT577" s="208">
        <f>IF(CT$3=$K577,IF($C577="W",1,IF($C577="1/2W",0.5,0)),0)</f>
        <v>0</v>
      </c>
      <c r="CU577" s="209">
        <f>IF(CT$3=$K577,IF($C577="L",1,IF($C577="1/2L",0.5,0)),0)</f>
        <v>0</v>
      </c>
      <c r="CV577" s="209">
        <f>IF(CV$3=$K577,IF($C577="W",1,IF($C577="1/2W",0.5,0)),0)</f>
        <v>0</v>
      </c>
      <c r="CW577" s="209">
        <f>IF(CV$3=$K577,IF($C577="L",1,IF($C577="1/2L",0.5,0)),0)</f>
        <v>0</v>
      </c>
      <c r="CX577" s="209">
        <f>IF(CX$3=$K577,IF($C577="W",1,IF($C577="1/2W",0.5,0)),0)</f>
        <v>0</v>
      </c>
      <c r="CY577" s="209">
        <f>IF(CX$3=$K577,IF($C577="L",1,IF($C577="1/2L",0.5,0)),0)</f>
        <v>0</v>
      </c>
      <c r="CZ577" s="209">
        <f>IF(CZ$3=$K577,IF($C577="W",1,IF($C577="1/2W",0.5,0)),0)</f>
        <v>0</v>
      </c>
      <c r="DA577" s="209">
        <f>IF(CZ$3=$K577,IF($C577="L",1,IF($C577="1/2L",0.5,0)),0)</f>
        <v>0</v>
      </c>
      <c r="DB577" s="209">
        <f>IF(DB$3=$K577,IF($C577="W",1,IF($C577="1/2W",0.5,0)),0)</f>
        <v>1</v>
      </c>
      <c r="DC577" s="209">
        <f>IF(DB$3=$K577,IF($C577="L",1,IF($C577="1/2L",0.5,0)),0)</f>
        <v>0</v>
      </c>
      <c r="DD577" s="209">
        <f>IF(DD$3=$K577,IF($C577="W",1,IF($C577="1/2W",0.5,0)),0)</f>
        <v>0</v>
      </c>
      <c r="DE577" s="210">
        <f>IF(DD$3=$K577,IF($C577="L",1,IF($C577="1/2L",0.5,0)),0)</f>
        <v>0</v>
      </c>
      <c r="DF577" s="211">
        <f>IF(AND(L577&lt;DF$3,$C577="W"),1+DF576,DF576)</f>
        <v>17</v>
      </c>
      <c r="DG577" s="198">
        <f>IF(DF577&gt;DF576,L577+DG576,DG576)</f>
        <v>22.628</v>
      </c>
      <c r="DH577" s="209">
        <f>IF(AND(L577&gt;DH$3,$C577="W"),1+DH576,0+DH576)</f>
        <v>16</v>
      </c>
      <c r="DI577" s="198">
        <f>IF(DH577&gt;DH576,L577+DI576,DI576)</f>
        <v>85.45999999999999</v>
      </c>
      <c r="DJ577" t="s" s="306">
        <f>IF($D577="","",$D577)</f>
        <v>431</v>
      </c>
      <c r="DK577" s="209">
        <f>IF(AND($B577=" ",$D577&lt;&gt;""),1,0)</f>
        <v>0</v>
      </c>
    </row>
    <row r="578" ht="14.55" customHeight="1">
      <c r="A578" s="107"/>
      <c r="B578" s="108"/>
      <c r="C578" t="s" s="213">
        <v>51</v>
      </c>
      <c r="D578" s="110"/>
      <c r="E578" s="111"/>
      <c r="F578" s="113"/>
      <c r="G578" s="214"/>
      <c r="H578" s="114"/>
      <c r="I578" s="299">
        <v>2</v>
      </c>
      <c r="J578" t="s" s="216">
        <f>IF(OR(I577="TO",I577="TU",I577="TO1",I577="TU1",I577="TO2",I577="TU2"),J577,IF(OR(I577="AH1",I577="AH2"),IF(OR(I578="AH1",I578="AH2"),-J577,IF(OR(I578="EH1",I578="EH2"),-J577+0.5,"")),IF(OR(I577="EH1",I577="EH2"),IF(OR(I578="AH1",I578="AH2"),-J577+0.5,IF(OR(I578="EH1",I578="EH2"),-J577+1,"")),IF(AND(OR(I577="DNB1",I577="DNB2"),OR(I578="AH1",I578="AH2")),0,IF(AND(I577="Not ScoreBoth",OR(I578="TO1",I578="TO2")),0.5,"")))))</f>
      </c>
      <c r="K578" t="s" s="217">
        <v>37</v>
      </c>
      <c r="L578" s="218">
        <v>2.25</v>
      </c>
      <c r="M578" s="219">
        <v>5.6</v>
      </c>
      <c r="N578" s="120"/>
      <c r="O578" s="220">
        <f>IF(OR(AE577="",AE578=""),"",ROUND(IF(L579&gt;0,IF(M578&gt;0,M578,IF(M577&gt;0,IF(N577=TRUE,ROUND((M577*AE578)/AE577,0),(M577*AE578)/AE577),IF(M578&gt;0,ROUND(M578,IF(N577=0,2,IF(N577=0.1,1,0))),IF(M579&gt;0,ROUND(O579*AE578/AE579,IF(N577=0,2,IF(N577=0.1,1,0))),0)))),IF(M578&gt;0,M578,ROUND((M577*AE578)/AE577,IF(N577=0,2,IF(N577=0.1,1,0))))),2))</f>
        <v>5.6</v>
      </c>
      <c r="P578" s="221">
        <f>IF(OR(L578="",O578=""),"",IF($C578="1/2W",O578/2+O578/2*L578,IF($C578="1/2L",O578/2,IF(I578="Lay",((O578*(L578/(L578-1)))-O578)*(1-_xlfn.XLOOKUP(K578,'Janeiro 2023 - Valor Real'!A3:A15,'Janeiro 2023 - Valor Real'!C3:C15,0))+O578,(O578*L578-O578)*(1-_xlfn.XLOOKUP(K578,'Janeiro 2023 - Valor Real'!A3:A15,'Janeiro 2023 - Valor Real'!C3:C15,0))+O578))))</f>
        <v>12.6</v>
      </c>
      <c r="Q578" s="222">
        <f>IF(K578="","",IF(_xlfn.XLOOKUP(K578,K$123:K351,DJ$123:DJ351,0,,-1)=DJ578,_xlfn.XLOOKUP(K578,K$123:K351,Q$123:Q351,1,,-1)+1,1))</f>
        <v>1</v>
      </c>
      <c r="R578" s="223">
        <f>IF(K578="","",_xlfn.XLOOKUP(K578,K$123:K351,R$123:R351,0,,-1)+IF($C578=" ",1,0))</f>
        <v>0</v>
      </c>
      <c r="S578" s="125"/>
      <c r="T578" s="126"/>
      <c r="U578" s="126"/>
      <c r="V578" s="224"/>
      <c r="W578" s="126"/>
      <c r="X578" s="127"/>
      <c r="Y578" s="128"/>
      <c r="Z578" s="129"/>
      <c r="AA578" s="129"/>
      <c r="AB578" s="129"/>
      <c r="AC578" s="129"/>
      <c r="AD578" s="225">
        <f>(((L578/(L578-1)-1)*(1-_xlfn.XLOOKUP(K578,'Janeiro 2023 - Valor Real'!A3:A15,'Janeiro 2023 - Valor Real'!C3:C15,0))+1))</f>
        <v>1.8</v>
      </c>
      <c r="AE578" s="226">
        <f>IF(L578="","",IF(L579&gt;0,(SUM(((L577-1)*(1-_xlfn.XLOOKUP(K577,'Janeiro 2023 - Valor Real'!A3:A15,'Janeiro 2023 - Valor Real'!C3:C15,0))+1),((L578-1)*(1-_xlfn.XLOOKUP(K578,'Janeiro 2023 - Valor Real'!A3:A15,'Janeiro 2023 - Valor Real'!C3:C15,0))+1),((L579-1)*(1-_xlfn.XLOOKUP(K579,'Janeiro 2023 - Valor Real'!A3:A15,'Janeiro 2023 - Valor Real'!C3:C15,0))+1))/((L578-1)*(1-_xlfn.XLOOKUP(K578,'Janeiro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Real'!C3:C15,0))+1))/((L577-1)*(1-_xlfn.XLOOKUP(K577,'Janeiro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Real'!C3:C15,0))+1))/((L578-1)*(1-_xlfn.XLOOKUP(K578,'Janeiro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Real'!C3:C15,0))+1))/((L579-1)*(1-_xlfn.XLOOKUP(K579,'Janeiro 2023 - Valor Real'!A3:A15,'Janeiro 2023 - Valor Real'!C3:C15,0))+1)),IF(I578="Lay",IF(I577="Lay",((L577/(L577-1)-1)*(1-_xlfn.XLOOKUP(K577,'Janeiro 2023 - Valor Real'!A3:A15,'Janeiro 2023 - Valor Real'!C3:C15,0))+1)/(((L577/(L577-1)-1)*(1-_xlfn.XLOOKUP(K577,'Janeiro 2023 - Valor Real'!A3:A15,'Janeiro 2023 - Valor Real'!C3:C15,0))+1)+((L578/(L578-1)-1)*(1-_xlfn.XLOOKUP(K578,'Janeiro 2023 - Valor Real'!A3:A15,'Janeiro 2023 - Valor Real'!C3:C15,0))+1)),((L577-1)*(1-_xlfn.XLOOKUP(K577,'Janeiro 2023 - Valor Real'!A3:A15,'Janeiro 2023 - Valor Real'!C3:C15,0))+1)/(((L577-1)*(1-_xlfn.XLOOKUP(K577,'Janeiro 2023 - Valor Real'!A3:A15,'Janeiro 2023 - Valor Real'!C3:C15,0))+1)+((L578/(L578-1)-1)*(1-_xlfn.XLOOKUP(K578,'Janeiro 2023 - Valor Real'!A3:A15,'Janeiro 2023 - Valor Real'!C3:C15,0))+1))),IF(I577="Lay",((L577/(L577-1)-1)*(1-_xlfn.XLOOKUP(K577,'Janeiro 2023 - Valor Real'!A3:A15,'Janeiro 2023 - Valor Real'!C3:C15,0))+1)/((((L577/(L577-1)-1)*(1-_xlfn.XLOOKUP(K577,'Janeiro 2023 - Valor Real'!A3:A15,'Janeiro 2023 - Valor Real'!C3:C15,0))+1))+((L578-1)*(1-_xlfn.XLOOKUP(K578,'Janeiro 2023 - Valor Real'!A3:A15,'Janeiro 2023 - Valor Real'!C3:C15,0))+1)),((L577-1)*(1-_xlfn.XLOOKUP(K577,'Janeiro 2023 - Valor Real'!A3:A15,'Janeiro 2023 - Valor Real'!C3:C15,0))+1)/(((L577-1)*(1-_xlfn.XLOOKUP(K577,'Janeiro 2023 - Valor Real'!A3:A15,'Janeiro 2023 - Valor Real'!C3:C15,0))+1)+((L578-1)*(1-_xlfn.XLOOKUP(K578,'Janeiro 2023 - Valor Real'!A3:A15,'Janeiro 2023 - Valor Real'!C3:C15,0))+1))))))</f>
        <v>0.476744186046512</v>
      </c>
      <c r="AF578" s="197">
        <f>IF($K578=AF$3,ROUND(IF(OR($C578="W",$C578="1/2W",$C578="1/2L"),$P578-$O578,IF($C578="X",0,-$O578)),2),0)</f>
        <v>-5.6</v>
      </c>
      <c r="AG578" s="198">
        <f>IF($K578=AG$3,ROUND(IF(OR($C578="W",$C578="1/2W",$C578="1/2L"),$P578-$O578,IF($C578="X",0,-$O578)),2),0)</f>
        <v>0</v>
      </c>
      <c r="AH578" s="198">
        <f>IF($K578=AH$3,ROUND(IF(OR($C578="W",$C578="1/2W",$C578="1/2L"),$P578-$O578,IF($C578="X",0,-$O578)),2),0)</f>
        <v>0</v>
      </c>
      <c r="AI578" s="198">
        <f>IF($K578=AI$3,ROUND(IF(OR($C578="W",$C578="1/2W",$C578="1/2L"),$P578-$O578,IF($C578="X",0,-$O578)),2),0)</f>
        <v>0</v>
      </c>
      <c r="AJ578" s="198">
        <f>IF($K578=AJ$3,ROUND(IF(OR($C578="W",$C578="1/2W",$C578="1/2L"),$P578-$O578,IF($C578="X",0,-$O578)),2),0)</f>
        <v>0</v>
      </c>
      <c r="AK578" s="198">
        <f>IF($K578=AK$3,ROUND(IF(OR($C578="W",$C578="1/2W",$C578="1/2L"),$P578-$O578,IF($C578="X",0,-$O578)),2),0)</f>
        <v>0</v>
      </c>
      <c r="AL578" s="198">
        <f>IF($K578=AL$3,ROUND(IF(OR($C578="W",$C578="1/2W",$C578="1/2L"),$P578-$O578,IF($C578="X",0,-$O578)),2),0)</f>
        <v>0</v>
      </c>
      <c r="AM578" s="198">
        <f>IF($K578=AM$3,ROUND(IF(OR($C578="W",$C578="1/2W",$C578="1/2L"),$P578-$O578,IF($C578="X",0,-$O578)),2),0)</f>
        <v>0</v>
      </c>
      <c r="AN578" s="198">
        <f>IF($K578=AN$3,ROUND(IF(OR($C578="W",$C578="1/2W",$C578="1/2L"),$P578-$O578,IF($C578="X",0,-$O578)),2),0)</f>
        <v>0</v>
      </c>
      <c r="AO578" s="198">
        <f>IF($K578=AO$3,ROUND(IF(OR($C578="W",$C578="1/2W",$C578="1/2L"),$P578-$O578,IF($C578="X",0,-$O578)),2),0)</f>
        <v>0</v>
      </c>
      <c r="AP578" s="198">
        <f>IF($K578=AP$3,ROUND(IF(OR($C578="W",$C578="1/2W",$C578="1/2L"),$P578-$O578,IF($C578="X",0,-$O578)),2),0)</f>
        <v>0</v>
      </c>
      <c r="AQ578" s="198">
        <f>IF($K578=AQ$3,ROUND(IF(OR($C578="W",$C578="1/2W",$C578="1/2L"),$P578-$O578,IF($C578="X",0,-$O578)),2),0)</f>
        <v>0</v>
      </c>
      <c r="AR578" s="199">
        <f>IF($K578=AR$3,ROUND(IF(OR($C578="W",$C578="1/2W",$C578="1/2L"),$P578-$O578,IF($C578="X",0,-$O578)),2),0)</f>
        <v>0</v>
      </c>
      <c r="AS578" s="197">
        <f>IF(AND($B577=" ",$K578=AS$3),$O578,0)</f>
        <v>0</v>
      </c>
      <c r="AT578" s="198">
        <f>IF(AND($B577=" ",K578=AT$3),$O578,0)</f>
        <v>0</v>
      </c>
      <c r="AU578" s="198">
        <f>IF(AND($B577=" ",$K578=AU$3),$O578,0)</f>
        <v>0</v>
      </c>
      <c r="AV578" s="198">
        <f>IF(AND($B577=" ",$K578=AV$3),$O578,0)</f>
        <v>0</v>
      </c>
      <c r="AW578" s="198">
        <f>IF(AND($B577=" ",$K578=AW$3),$O578,0)</f>
        <v>0</v>
      </c>
      <c r="AX578" s="198">
        <f>IF(AND($B577=" ",$K578=AX$3),$O578,0)</f>
        <v>0</v>
      </c>
      <c r="AY578" s="200">
        <f>IF(AND($B577=" ",$K578=AY$3),$O578,0)</f>
        <v>0</v>
      </c>
      <c r="AZ578" s="201">
        <f>IF(AND($B577=" ",$K578=AZ$3),$O578,0)</f>
        <v>0</v>
      </c>
      <c r="BA578" s="201">
        <f>IF(AND($B577=" ",$K578=BA$3),$O578,0)</f>
        <v>0</v>
      </c>
      <c r="BB578" s="201">
        <f>IF(AND($B577=" ",$K578=BB$3),$O578,0)</f>
        <v>0</v>
      </c>
      <c r="BC578" s="202">
        <f>IF(AND($B577=" ",$K578=BC$3),$O578,0)</f>
        <v>0</v>
      </c>
      <c r="BD578" s="198">
        <f>IF(AND($B577=" ",$K578=BD$3),$O578,0)</f>
        <v>0</v>
      </c>
      <c r="BE578" s="199">
        <f>IF(AND($B577=" ",$K578=BE$3),$O578,0)</f>
        <v>0</v>
      </c>
      <c r="BF578" s="197">
        <f>IF($K578=BF$3,IF($C578="X",0,$O578),0)</f>
        <v>5.6</v>
      </c>
      <c r="BG578" s="198">
        <f>IF($K578=BG$3,IF($C578="X",0,$O578),0)</f>
        <v>0</v>
      </c>
      <c r="BH578" s="198">
        <f>IF($K578=BH$3,IF($C578="X",0,$O578),0)</f>
        <v>0</v>
      </c>
      <c r="BI578" s="198">
        <f>IF($K578=BI$3,IF($C578="X",0,$O578),0)</f>
        <v>0</v>
      </c>
      <c r="BJ578" s="198">
        <f>IF($K578=BJ$3,IF($C578="X",0,$O578),0)</f>
        <v>0</v>
      </c>
      <c r="BK578" s="198">
        <f>IF($K578=BK$3,IF($C578="X",0,$O578),0)</f>
        <v>0</v>
      </c>
      <c r="BL578" s="198">
        <f>IF($K578=BL$3,IF($C578="X",0,$O578),0)</f>
        <v>0</v>
      </c>
      <c r="BM578" s="227">
        <f>IF($K578=BM$3,IF($C578="X",0,$O578),0)</f>
        <v>0</v>
      </c>
      <c r="BN578" s="205">
        <f>IF($K578=BN$3,IF($C578="X",0,$O578),0)</f>
        <v>0</v>
      </c>
      <c r="BO578" s="205">
        <f>IF($K578=BO$3,IF($C578="X",0,$O578),0)</f>
        <v>0</v>
      </c>
      <c r="BP578" s="205">
        <f>IF($K578=BP$3,IF($C578="X",0,$O578),0)</f>
        <v>0</v>
      </c>
      <c r="BQ578" s="202">
        <f>IF($K578=BQ$3,IF($C578="X",0,$O578),0)</f>
        <v>0</v>
      </c>
      <c r="BR578" s="199">
        <f>IF($K578=BR$3,IF($C578="X",0,$O578),0)</f>
        <v>0</v>
      </c>
      <c r="BS578" s="228"/>
      <c r="BT578" s="229"/>
      <c r="BU578" s="140"/>
      <c r="BV578" s="229"/>
      <c r="BW578" s="140"/>
      <c r="BX578" s="140"/>
      <c r="BY578" s="140"/>
      <c r="BZ578" s="229"/>
      <c r="CA578" s="140"/>
      <c r="CB578" s="140"/>
      <c r="CC578" s="140"/>
      <c r="CD578" s="141"/>
      <c r="CE578" s="142"/>
      <c r="CF578" s="230">
        <f>IF(CF$3=$K578,IF($C578="W",1,IF($C578="1/2W",0.5,0)),0)</f>
        <v>0</v>
      </c>
      <c r="CG578" s="231">
        <f>IF(CF$3=$K578,IF($C578="L",1,IF($C578="1/2L",0.5,0)),0)</f>
        <v>1</v>
      </c>
      <c r="CH578" s="231">
        <f>IF(CH$3=$K578,IF($C578="W",1,IF($C578="1/2W",0.5,0)),0)</f>
        <v>0</v>
      </c>
      <c r="CI578" s="231">
        <f>IF(CH$3=$K578,IF($C578="L",1,IF($C578="1/2L",0.5,0)),0)</f>
        <v>0</v>
      </c>
      <c r="CJ578" s="231">
        <f>IF(CJ$3=$K578,IF($C578="W",1,IF($C578="1/2W",0.5,0)),0)</f>
        <v>0</v>
      </c>
      <c r="CK578" s="231">
        <f>IF(CJ$3=$K578,IF($C578="L",1,IF($C578="1/2L",0.5,0)),0)</f>
        <v>0</v>
      </c>
      <c r="CL578" s="231">
        <f>IF(CL$3=$K578,IF($C578="W",1,IF($C578="1/2W",0.5,0)),0)</f>
        <v>0</v>
      </c>
      <c r="CM578" s="231">
        <f>IF(CL$3=$K578,IF($C578="L",1,IF($C578="1/2L",0.5,0)),0)</f>
        <v>0</v>
      </c>
      <c r="CN578" s="231">
        <f>IF(CN$3=$K578,IF($C578="W",1,IF($C578="1/2W",0.5,0)),0)</f>
        <v>0</v>
      </c>
      <c r="CO578" s="231">
        <f>IF(CN$3=$K578,IF($C578="L",1,IF($C578="1/2L",0.5,0)),0)</f>
        <v>0</v>
      </c>
      <c r="CP578" s="231">
        <f>IF(CP$3=$K578,IF($C578="W",1,IF($C578="1/2W",0.5,0)),0)</f>
        <v>0</v>
      </c>
      <c r="CQ578" s="231">
        <f>IF(CP$3=$K578,IF($C578="L",1,IF($C578="1/2L",0.5,0)),0)</f>
        <v>0</v>
      </c>
      <c r="CR578" s="231">
        <f>IF(CR$3=$K578,IF($C578="W",1,IF($C578="1/2W",0.5,0)),0)</f>
        <v>0</v>
      </c>
      <c r="CS578" s="231">
        <f>IF(CR$3=$K578,IF($C578="L",1,IF($C578="1/2L",0.5,0)),0)</f>
        <v>0</v>
      </c>
      <c r="CT578" s="208">
        <f>IF(CT$3=$K578,IF($C578="W",1,IF($C578="1/2W",0.5,0)),0)</f>
        <v>0</v>
      </c>
      <c r="CU578" s="209">
        <f>IF(CT$3=$K578,IF($C578="L",1,IF($C578="1/2L",0.5,0)),0)</f>
        <v>0</v>
      </c>
      <c r="CV578" s="209">
        <f>IF(CV$3=$K578,IF($C578="W",1,IF($C578="1/2W",0.5,0)),0)</f>
        <v>0</v>
      </c>
      <c r="CW578" s="209">
        <f>IF(CV$3=$K578,IF($C578="L",1,IF($C578="1/2L",0.5,0)),0)</f>
        <v>0</v>
      </c>
      <c r="CX578" s="209">
        <f>IF(CX$3=$K578,IF($C578="W",1,IF($C578="1/2W",0.5,0)),0)</f>
        <v>0</v>
      </c>
      <c r="CY578" s="209">
        <f>IF(CX$3=$K578,IF($C578="L",1,IF($C578="1/2L",0.5,0)),0)</f>
        <v>0</v>
      </c>
      <c r="CZ578" s="209">
        <f>IF(CZ$3=$K578,IF($C578="W",1,IF($C578="1/2W",0.5,0)),0)</f>
        <v>0</v>
      </c>
      <c r="DA578" s="209">
        <f>IF(CZ$3=$K578,IF($C578="L",1,IF($C578="1/2L",0.5,0)),0)</f>
        <v>0</v>
      </c>
      <c r="DB578" s="209">
        <f>IF(DB$3=$K578,IF($C578="W",1,IF($C578="1/2W",0.5,0)),0)</f>
        <v>0</v>
      </c>
      <c r="DC578" s="209">
        <f>IF(DB$3=$K578,IF($C578="L",1,IF($C578="1/2L",0.5,0)),0)</f>
        <v>0</v>
      </c>
      <c r="DD578" s="209">
        <f>IF(DD$3=$K578,IF($C578="W",1,IF($C578="1/2W",0.5,0)),0)</f>
        <v>0</v>
      </c>
      <c r="DE578" s="210">
        <f>IF(DD$3=$K578,IF($C578="L",1,IF($C578="1/2L",0.5,0)),0)</f>
        <v>0</v>
      </c>
      <c r="DF578" s="211">
        <f>IF(AND(L578&lt;DF$3,$C578="W"),1+DF577,DF577)</f>
        <v>17</v>
      </c>
      <c r="DG578" s="198">
        <f>IF(DF578&gt;DF577,L578+DG577,DG577)</f>
        <v>22.628</v>
      </c>
      <c r="DH578" s="209">
        <f>IF(AND(L578&gt;DH$3,$C578="W"),1+DH577,0+DH577)</f>
        <v>16</v>
      </c>
      <c r="DI578" s="198">
        <f>IF(DH578&gt;DH577,L578+DI577,DI577)</f>
        <v>85.45999999999999</v>
      </c>
      <c r="DJ578" t="s" s="306">
        <f>IF($D577="","",$D577)</f>
        <v>431</v>
      </c>
      <c r="DK578" s="232"/>
    </row>
    <row r="579" ht="14.55" customHeight="1">
      <c r="A579" s="149"/>
      <c r="B579" s="150"/>
      <c r="C579" t="s" s="233">
        <v>58</v>
      </c>
      <c r="D579" s="152"/>
      <c r="E579" s="153"/>
      <c r="F579" s="310"/>
      <c r="G579" s="234"/>
      <c r="H579" s="156"/>
      <c r="I579" s="235"/>
      <c r="J579" s="236"/>
      <c r="K579" s="237"/>
      <c r="L579" s="238"/>
      <c r="M579" s="239"/>
      <c r="N579" s="161"/>
      <c r="O579" t="s" s="240">
        <f>IF(OR(AE577="",AE578=""),"",IF(L579&gt;0,ROUND(IF(M579&gt;0,M579,IF(M577&gt;0,ROUND((M577*AE579)/AE577,IF(N577=0,2,IF(N577=0.1,1,0))),IF(M578&gt;0,ROUND((M578*AE579)/AE578,IF(N577=0,2,IF(N577=0.1,1,0))),IF(M579&gt;0,M579,0)))),2),""))</f>
      </c>
      <c r="P579" t="s" s="241">
        <f>IF(I578="Lay",O578*(L578/(L578-1))-O578,IF(I577="Lay",O577*(L577/(L577-1))-O577,IF(OR(L579="",O579=""),"",IF($C579="1/2W",O579/2+O579/2*L579,IF($C579="1/2L",O579/2,(O579*L579-O579)*(1-_xlfn.XLOOKUP(K579,'Janeiro 2023 - Valor Real'!A3:A15,'Janeiro 2023 - Valor Real'!C3:C15,0))+O579)))))</f>
      </c>
      <c r="Q579" t="s" s="242">
        <f>IF(K579="","",IF(_xlfn.XLOOKUP(K579,K$124:K352,DJ$124:DJ352,0,,-1)=DJ579,_xlfn.XLOOKUP(K579,K$124:K352,Q$124:Q352,1,,-1)+1,1))</f>
      </c>
      <c r="R579" t="s" s="243">
        <f>IF(K579="","",_xlfn.XLOOKUP(K579,K$124:K352,R$124:R352,0,,-1)+IF($C579=" ",1,0))</f>
      </c>
      <c r="S579" s="166"/>
      <c r="T579" s="155"/>
      <c r="U579" s="155"/>
      <c r="V579" s="166"/>
      <c r="W579" s="155"/>
      <c r="X579" s="167"/>
      <c r="Y579" s="128"/>
      <c r="Z579" s="129"/>
      <c r="AA579" s="129"/>
      <c r="AB579" s="129"/>
      <c r="AC579" s="129"/>
      <c r="AD579" s="244">
        <f>((L578/(L578-1)-1))</f>
        <v>0.8</v>
      </c>
      <c r="AE579" t="s" s="245">
        <f>IF(L579="","",(SUM(((L577-1)*(1-_xlfn.XLOOKUP(K577,'Janeiro 2023 - Valor Real'!A3:A15,'Janeiro 2023 - Valor Real'!C3:C15,0))+1),((L578-1)*(1-_xlfn.XLOOKUP(K578,'Janeiro 2023 - Valor Real'!A3:A15,'Janeiro 2023 - Valor Real'!C3:C15,0))+1),((L579-1)*(1-_xlfn.XLOOKUP(K579,'Janeiro 2023 - Valor Real'!A3:A15,'Janeiro 2023 - Valor Real'!C3:C15,0))+1))/((L579-1)*(1-_xlfn.XLOOKUP(K579,'Janeiro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Real'!C3:C15,0))+1))/((L577-1)*(1-_xlfn.XLOOKUP(K577,'Janeiro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Real'!C3:C15,0))+1))/((L578-1)*(1-_xlfn.XLOOKUP(K578,'Janeiro 2023 - Valor Real'!A3:A15,'Janeiro 2023 - Valor Real'!C3:C15,0))+1)+SUM(((L577-1)*(1-_xlfn.XLOOKUP(K577,'Janeiro 2023 - Valor Real'!A3:A15,'Janeiro 2023 - Valor Real'!C3:C15,0))+1),((L578-1)*(1-_xlfn.XLOOKUP(K578,'Janeiro 2023 - Valor Real'!A3:A15,'Janeiro 2023 - Valor Real'!C3:C15,0))+1),((L579-1)*(1-_xlfn.XLOOKUP(K579,'Janeiro 2023 - Valor Real'!A3:A15,'Janeiro 2023 - Valor Real'!C3:C15,0))+1))/((L579-1)*(1-_xlfn.XLOOKUP(K579,'Janeiro 2023 - Valor Real'!A3:A15,'Janeiro 2023 - Valor Real'!C3:C15,0))+1)))</f>
      </c>
      <c r="AF579" s="197">
        <f>IF($K579=AF$3,ROUND(IF(OR($C579="W",$C579="1/2W",$C579="1/2L"),$P579-$O579,IF($C579="X",0,-$O579)),2),0)</f>
        <v>0</v>
      </c>
      <c r="AG579" s="198">
        <f>IF($K579=AG$3,ROUND(IF(OR($C579="W",$C579="1/2W",$C579="1/2L"),$P579-$O579,IF($C579="X",0,-$O579)),2),0)</f>
        <v>0</v>
      </c>
      <c r="AH579" s="198">
        <f>IF($K579=AH$3,ROUND(IF(OR($C579="W",$C579="1/2W",$C579="1/2L"),$P579-$O579,IF($C579="X",0,-$O579)),2),0)</f>
        <v>0</v>
      </c>
      <c r="AI579" s="198">
        <f>IF($K579=AI$3,ROUND(IF(OR($C579="W",$C579="1/2W",$C579="1/2L"),$P579-$O579,IF($C579="X",0,-$O579)),2),0)</f>
        <v>0</v>
      </c>
      <c r="AJ579" s="198">
        <f>IF($K579=AJ$3,ROUND(IF(OR($C579="W",$C579="1/2W",$C579="1/2L"),$P579-$O579,IF($C579="X",0,-$O579)),2),0)</f>
        <v>0</v>
      </c>
      <c r="AK579" s="198">
        <f>IF($K579=AK$3,ROUND(IF(OR($C579="W",$C579="1/2W",$C579="1/2L"),$P579-$O579,IF($C579="X",0,-$O579)),2),0)</f>
        <v>0</v>
      </c>
      <c r="AL579" s="198">
        <f>IF($K579=AL$3,ROUND(IF(OR($C579="W",$C579="1/2W",$C579="1/2L"),$P579-$O579,IF($C579="X",0,-$O579)),2),0)</f>
        <v>0</v>
      </c>
      <c r="AM579" s="198">
        <f>IF($K579=AM$3,ROUND(IF(OR($C579="W",$C579="1/2W",$C579="1/2L"),$P579-$O579,IF($C579="X",0,-$O579)),2),0)</f>
        <v>0</v>
      </c>
      <c r="AN579" s="198">
        <f>IF($K579=AN$3,ROUND(IF(OR($C579="W",$C579="1/2W",$C579="1/2L"),$P579-$O579,IF($C579="X",0,-$O579)),2),0)</f>
        <v>0</v>
      </c>
      <c r="AO579" s="198">
        <f>IF($K579=AO$3,ROUND(IF(OR($C579="W",$C579="1/2W",$C579="1/2L"),$P579-$O579,IF($C579="X",0,-$O579)),2),0)</f>
        <v>0</v>
      </c>
      <c r="AP579" s="198">
        <f>IF($K579=AP$3,ROUND(IF(OR($C579="W",$C579="1/2W",$C579="1/2L"),$P579-$O579,IF($C579="X",0,-$O579)),2),0)</f>
        <v>0</v>
      </c>
      <c r="AQ579" s="198">
        <f>IF($K579=AQ$3,ROUND(IF(OR($C579="W",$C579="1/2W",$C579="1/2L"),$P579-$O579,IF($C579="X",0,-$O579)),2),0)</f>
        <v>0</v>
      </c>
      <c r="AR579" s="199">
        <f>IF($K579=AR$3,ROUND(IF(OR($C579="W",$C579="1/2W",$C579="1/2L"),$P579-$O579,IF($C579="X",0,-$O579)),2),0)</f>
        <v>0</v>
      </c>
      <c r="AS579" s="197">
        <f>IF(AND($B577=" ",$K579=AS$3),$O579,0)</f>
        <v>0</v>
      </c>
      <c r="AT579" s="198">
        <f>IF(AND($B577=" ",K579=AT$3),$O579,0)</f>
        <v>0</v>
      </c>
      <c r="AU579" s="198">
        <f>IF(AND($B577=" ",$K579=AU$3),$O579,0)</f>
        <v>0</v>
      </c>
      <c r="AV579" s="198">
        <f>IF(AND($B577=" ",$K579=AV$3),$O579,0)</f>
        <v>0</v>
      </c>
      <c r="AW579" s="198">
        <f>IF(AND($B577=" ",$K579=AW$3),$O579,0)</f>
        <v>0</v>
      </c>
      <c r="AX579" s="198">
        <f>IF(AND($B577=" ",$K579=AX$3),$O579,0)</f>
        <v>0</v>
      </c>
      <c r="AY579" s="200">
        <f>IF(AND($B577=" ",$K579=AY$3),$O579,0)</f>
        <v>0</v>
      </c>
      <c r="AZ579" s="201">
        <f>IF(AND($B577=" ",$K579=AZ$3),$O579,0)</f>
        <v>0</v>
      </c>
      <c r="BA579" s="201">
        <f>IF(AND($B577=" ",$K579=BA$3),$O579,0)</f>
        <v>0</v>
      </c>
      <c r="BB579" s="201">
        <f>IF(AND($B577=" ",$K579=BB$3),$O579,0)</f>
        <v>0</v>
      </c>
      <c r="BC579" s="202">
        <f>IF(AND($B577=" ",$K579=BC$3),$O579,0)</f>
        <v>0</v>
      </c>
      <c r="BD579" s="198">
        <f>IF(AND($B577=" ",$K579=BD$3),$O579,0)</f>
        <v>0</v>
      </c>
      <c r="BE579" s="199">
        <f>IF(AND($B577=" ",$K579=BE$3),$O579,0)</f>
        <v>0</v>
      </c>
      <c r="BF579" s="197">
        <f>IF($K579=BF$3,IF($C579="X",0,$O579),0)</f>
        <v>0</v>
      </c>
      <c r="BG579" s="198">
        <f>IF($K579=BG$3,IF($C579="X",0,$O579),0)</f>
        <v>0</v>
      </c>
      <c r="BH579" s="198">
        <f>IF($K579=BH$3,IF($C579="X",0,$O579),0)</f>
        <v>0</v>
      </c>
      <c r="BI579" s="198">
        <f>IF($K579=BI$3,IF($C579="X",0,$O579),0)</f>
        <v>0</v>
      </c>
      <c r="BJ579" s="198">
        <f>IF($K579=BJ$3,IF($C579="X",0,$O579),0)</f>
        <v>0</v>
      </c>
      <c r="BK579" s="198">
        <f>IF($K579=BK$3,IF($C579="X",0,$O579),0)</f>
        <v>0</v>
      </c>
      <c r="BL579" s="198">
        <f>IF($K579=BL$3,IF($C579="X",0,$O579),0)</f>
        <v>0</v>
      </c>
      <c r="BM579" s="200">
        <f>IF($K579=BM$3,IF($C579="X",0,$O579),0)</f>
        <v>0</v>
      </c>
      <c r="BN579" s="201">
        <f>IF($K579=BN$3,IF($C579="X",0,$O579),0)</f>
        <v>0</v>
      </c>
      <c r="BO579" s="201">
        <f>IF($K579=BO$3,IF($C579="X",0,$O579),0)</f>
        <v>0</v>
      </c>
      <c r="BP579" s="201">
        <f>IF($K579=BP$3,IF($C579="X",0,$O579),0)</f>
        <v>0</v>
      </c>
      <c r="BQ579" s="202">
        <f>IF($K579=BQ$3,IF($C579="X",0,$O579),0)</f>
        <v>0</v>
      </c>
      <c r="BR579" s="199">
        <f>IF($K579=BR$3,IF($C579="X",0,$O579),0)</f>
        <v>0</v>
      </c>
      <c r="BS579" s="228"/>
      <c r="BT579" s="229"/>
      <c r="BU579" s="140"/>
      <c r="BV579" s="229"/>
      <c r="BW579" s="140"/>
      <c r="BX579" s="140"/>
      <c r="BY579" s="140"/>
      <c r="BZ579" s="229"/>
      <c r="CA579" s="140"/>
      <c r="CB579" s="140"/>
      <c r="CC579" s="140"/>
      <c r="CD579" s="141"/>
      <c r="CE579" s="142"/>
      <c r="CF579" s="230">
        <f>IF(CF$3=$K579,IF($C579="W",1,IF($C579="1/2W",0.5,0)),0)</f>
        <v>0</v>
      </c>
      <c r="CG579" s="231">
        <f>IF(CF$3=$K579,IF($C579="L",1,IF($C579="1/2L",0.5,0)),0)</f>
        <v>0</v>
      </c>
      <c r="CH579" s="231">
        <f>IF(CH$3=$K579,IF($C579="W",1,IF($C579="1/2W",0.5,0)),0)</f>
        <v>0</v>
      </c>
      <c r="CI579" s="231">
        <f>IF(CH$3=$K579,IF($C579="L",1,IF($C579="1/2L",0.5,0)),0)</f>
        <v>0</v>
      </c>
      <c r="CJ579" s="231">
        <f>IF(CJ$3=$K579,IF($C579="W",1,IF($C579="1/2W",0.5,0)),0)</f>
        <v>0</v>
      </c>
      <c r="CK579" s="231">
        <f>IF(CJ$3=$K579,IF($C579="L",1,IF($C579="1/2L",0.5,0)),0)</f>
        <v>0</v>
      </c>
      <c r="CL579" s="231">
        <f>IF(CL$3=$K579,IF($C579="W",1,IF($C579="1/2W",0.5,0)),0)</f>
        <v>0</v>
      </c>
      <c r="CM579" s="231">
        <f>IF(CL$3=$K579,IF($C579="L",1,IF($C579="1/2L",0.5,0)),0)</f>
        <v>0</v>
      </c>
      <c r="CN579" s="231">
        <f>IF(CN$3=$K579,IF($C579="W",1,IF($C579="1/2W",0.5,0)),0)</f>
        <v>0</v>
      </c>
      <c r="CO579" s="231">
        <f>IF(CN$3=$K579,IF($C579="L",1,IF($C579="1/2L",0.5,0)),0)</f>
        <v>0</v>
      </c>
      <c r="CP579" s="231">
        <f>IF(CP$3=$K579,IF($C579="W",1,IF($C579="1/2W",0.5,0)),0)</f>
        <v>0</v>
      </c>
      <c r="CQ579" s="231">
        <f>IF(CP$3=$K579,IF($C579="L",1,IF($C579="1/2L",0.5,0)),0)</f>
        <v>0</v>
      </c>
      <c r="CR579" s="231">
        <f>IF(CR$3=$K579,IF($C579="W",1,IF($C579="1/2W",0.5,0)),0)</f>
        <v>0</v>
      </c>
      <c r="CS579" s="231">
        <f>IF(CR$3=$K579,IF($C579="L",1,IF($C579="1/2L",0.5,0)),0)</f>
        <v>0</v>
      </c>
      <c r="CT579" s="208">
        <f>IF(CT$3=$K579,IF($C579="W",1,IF($C579="1/2W",0.5,0)),0)</f>
        <v>0</v>
      </c>
      <c r="CU579" s="209">
        <f>IF(CT$3=$K579,IF($C579="L",1,IF($C579="1/2L",0.5,0)),0)</f>
        <v>0</v>
      </c>
      <c r="CV579" s="209">
        <f>IF(CV$3=$K579,IF($C579="W",1,IF($C579="1/2W",0.5,0)),0)</f>
        <v>0</v>
      </c>
      <c r="CW579" s="209">
        <f>IF(CV$3=$K579,IF($C579="L",1,IF($C579="1/2L",0.5,0)),0)</f>
        <v>0</v>
      </c>
      <c r="CX579" s="209">
        <f>IF(CX$3=$K579,IF($C579="W",1,IF($C579="1/2W",0.5,0)),0)</f>
        <v>0</v>
      </c>
      <c r="CY579" s="209">
        <f>IF(CX$3=$K579,IF($C579="L",1,IF($C579="1/2L",0.5,0)),0)</f>
        <v>0</v>
      </c>
      <c r="CZ579" s="209">
        <f>IF(CZ$3=$K579,IF($C579="W",1,IF($C579="1/2W",0.5,0)),0)</f>
        <v>0</v>
      </c>
      <c r="DA579" s="209">
        <f>IF(CZ$3=$K579,IF($C579="L",1,IF($C579="1/2L",0.5,0)),0)</f>
        <v>0</v>
      </c>
      <c r="DB579" s="209">
        <f>IF(DB$3=$K579,IF($C579="W",1,IF($C579="1/2W",0.5,0)),0)</f>
        <v>0</v>
      </c>
      <c r="DC579" s="209">
        <f>IF(DB$3=$K579,IF($C579="L",1,IF($C579="1/2L",0.5,0)),0)</f>
        <v>0</v>
      </c>
      <c r="DD579" s="209">
        <f>IF(DD$3=$K579,IF($C579="W",1,IF($C579="1/2W",0.5,0)),0)</f>
        <v>0</v>
      </c>
      <c r="DE579" s="210">
        <f>IF(DD$3=$K579,IF($C579="L",1,IF($C579="1/2L",0.5,0)),0)</f>
        <v>0</v>
      </c>
      <c r="DF579" s="211">
        <f>IF(AND(L579&lt;DF$3,$C579="W"),1+DF578,DF578)</f>
        <v>17</v>
      </c>
      <c r="DG579" s="198">
        <f>IF(DF579&gt;DF578,L579+DG578,DG578)</f>
        <v>22.628</v>
      </c>
      <c r="DH579" s="209">
        <f>IF(AND(L579&gt;DH$3,$C579="W"),1+DH578,0+DH578)</f>
        <v>16</v>
      </c>
      <c r="DI579" s="198">
        <f>IF(DH579&gt;DH578,L579+DI578,DI578)</f>
        <v>85.45999999999999</v>
      </c>
      <c r="DJ579" t="s" s="306">
        <f>IF($D577="","",$D577)</f>
        <v>431</v>
      </c>
      <c r="DK579" s="232"/>
    </row>
    <row r="580" ht="14.55" customHeight="1">
      <c r="A580" s="246">
        <f>$A577+1</f>
        <v>193</v>
      </c>
      <c r="B580" t="s" s="247">
        <f>IF(AND(_xlfn.XLOOKUP(H580,H$107:H359,G$107:G359,0)=G580,_xlfn.XLOOKUP("TempoBet",K580:K582,L580:L582,0)&gt;0),"X",IF(OR(C580="W",C581="W",C582="W",C580="1/2W",C581="1/2W",C582="1/2W",C580="1/2L",C581="1/2L",C582="1/2L"),"OK",IF(OR(C580="L",C581="L",C582="L"),"LOSS",IF(OR(C580="X",C581="X",C582="X"),"Anulado"," "))))</f>
        <v>50</v>
      </c>
      <c r="C580" t="s" s="248">
        <v>56</v>
      </c>
      <c r="D580" t="s" s="303">
        <f>IF(G580="","",$D577)</f>
        <v>431</v>
      </c>
      <c r="E580" t="s" s="250">
        <v>106</v>
      </c>
      <c r="F580" t="s" s="302"/>
      <c r="G580" s="252">
        <v>44954.145833333336</v>
      </c>
      <c r="H580" t="s" s="253">
        <v>434</v>
      </c>
      <c r="I580" s="292">
        <v>1</v>
      </c>
      <c r="J580" s="293"/>
      <c r="K580" t="s" s="256">
        <v>37</v>
      </c>
      <c r="L580" s="257">
        <v>1.66</v>
      </c>
      <c r="M580" s="258"/>
      <c r="N580" s="259">
        <v>0</v>
      </c>
      <c r="O580" s="260">
        <f>IF(OR(AE580="",AE581=""),"",ROUND(IF(L582&gt;0,IF(M580&gt;0,M580,IF(M581&gt;0,ROUND((M581*AE580)/AE581,IF(N580=0,2,IF(N580=0.1,1,0))),ROUND((M582*AE580)/AE582,IF(N580=0,2,IF(N580=0.1,1,0))))),IF(M580&gt;0,M580,ROUND((M581*AE580)/AE581,IF(N580=0,2,IF(N580=0.1,1,0))))),2))</f>
        <v>10.55</v>
      </c>
      <c r="P580" s="261">
        <f>IF(OR(L580="",O580=""),"",IF($C580="1/2W",O580/2+O580/2*L580,IF($C580="1/2L",O580/2,IF(I580="Lay",(O580*(L580/(L580-1))-O580)*(1-_xlfn.XLOOKUP(K580,'Janeiro 2023 - Valor Real'!A3:A15,'Janeiro 2023 - Valor Real'!C3:C15,0))+O580,(O580*L580-O580)*(1-_xlfn.XLOOKUP(K580,'Janeiro 2023 - Valor Real'!A3:A15,'Janeiro 2023 - Valor Real'!C3:C15,0))+O580))))</f>
        <v>17.513</v>
      </c>
      <c r="Q580" s="262">
        <f>IF(K580="","",IF(_xlfn.XLOOKUP(K580,K$107:K359,DJ$107:DJ359,0,,-1)=DJ580,_xlfn.XLOOKUP(K580,K$107:K359,Q$107:Q359,1,,-1)+1,1))</f>
        <v>1</v>
      </c>
      <c r="R580" s="263">
        <f>IF(K580="","",_xlfn.XLOOKUP(K580,K$107:K359,R$107:R359,0,,-1)+IF($C580=" ",1,0))</f>
        <v>0</v>
      </c>
      <c r="S580" s="264">
        <f>IF($B580="Anulado",0,ROUND(IF(OR($B580="LOSS",$B580="OK"),IF(OR($C580="W",$C580="1/2W",$C580="1/2L"),P580-O580,IF($C580="L",-O580,0))+IF(OR($C581="W",$C581="1/2W",$C581="1/2L"),P581-O581,IF($C581="L",-O581,0))+IF(OR($C582="W",$C582="1/2W",$C582="1/2L"),P582-O582,IF($C582="L",-O582,0)),IF(AND(OR($C580="W",$C580="1/2W",$C580="1/2L"),C581="W"),P580+P581-SUM(O580:O582)+_xlfn.XLOOKUP("X",C580:C582,O580:O582,0),IF(AND(C580=TRUE,C582="W"),P580+P582-SUM(O580:O582),IF(AND(C581="W",C582="W"),P581+P582-SUM(O580:O582)+_xlfn.XLOOKUP("X",C580:C582,O580:O582,0),IF(L582&gt;0,IF(OR($C580="W",$C580="1/2W",$C580="1/2L"),P580-SUM(O580:O582)+_xlfn.XLOOKUP("X",C580:C582,O580:O582,0),IF(OR($C580="W",$C580="1/2W",$C580="1/2L"),P581-SUM(O580:O582)+_xlfn.XLOOKUP("X",C580:C582,O580:O582,0),IF(OR($C580="W",$C580="1/2W",$C580="1/2L"),P582-SUM(O580:O582)+_xlfn.XLOOKUP("X",C580:C582,O580:O582,0),IF(SUM(P580:P582)/3-SUM(O580:O582)+_xlfn.XLOOKUP("X",C580:C582,O580:O582,0)&gt;0,SUM(P580:P582)/3-SUM(O580:O582)+_xlfn.XLOOKUP("X",C580:C582,O580:O582,0),LARGE(P580:P582,1)-SUM(O580:O582))))),IF(OR($C580="W",$C580="1/2W",$C580="1/2L"),P580-SUM(O580:O581)+_xlfn.XLOOKUP("X",C580:C582,O580:O582,0),IF(OR($C580="W",$C580="1/2W",$C580="1/2L"),P581-SUM(O580:O581)+_xlfn.XLOOKUP("X",C580:C582,O580:O582,0),SUM(P580:P581)/2-SUM(O580:O581)+_xlfn.XLOOKUP("X",C580:C582,O580:O582,0)))))))),2))</f>
        <v>0.68</v>
      </c>
      <c r="T580" s="265">
        <f>IF(S580=0,0,S580/SUM(O580:O582))</f>
        <v>0.0404040404040404</v>
      </c>
      <c r="U580" s="266">
        <f>IF($D580=$D577,IF(OR($B580="LOSS",$B580="OK",$B580="Anulada"),S580,0)+U577,IF(OR($B580="LOSS",$B580="OK",$B580="Anulada"),S580,0))</f>
        <v>3.18</v>
      </c>
      <c r="V580" s="266">
        <f>IF($D580="",0,IF($D580=$D577,IF($B580=" ",IF(I582="",IF(OR(AND(I580="DNB1",I581="DNB2"),AND(OR(I580="DNB1",I580="DNB2"),J581=0),AND(OR(I581="DNB1",I581="DNB2"),J580=0),AND(I580="DNB2",I581="DNB1"),AND(IF(J580=0,(J580+1)/ROUND(J580+1,0),J580/ROUND(J580,0))=1,IF(J581=0,(J581+1)/ROUND(IF(J581="",0,J581)+1,0),IF(J581="",0,J581)/ROUND(IF(J581="",1,J581),0))=1,OR(J580&lt;&gt;""),J581&lt;&gt;"")),0,IF(S580&lt;0,IF(I582="",SMALL(P580:P581,1)-SUM(O580:O581),0),SMALL(P580:P581,1)-SUM(O580:O581))),IF(S580&lt;0,IF(I582="",SMALL(P580:P582,1)-SUM(O580:O582),0),LARGE(P580:P582,1)-SUM(O580:O582))),S580)+V577,IF(I582="",IF(OR(AND(I580="DNB1",I581="DNB2"),AND(OR(I580="DNB1",I580="DNB2"),J581=0),AND(OR(I581="DNB1",I581="DNB2"),J580=0),AND(I580="DNB2",I581="DNB1"),AND(IF(J580=0,(J580+1)/ROUND(J580+1,0),J580/ROUND(J580,0))=1,IF(J581=0,(IF(J581="",0,J581)+1)/ROUND(IF(J581="",0,J581)+1,0),IF(J581="",0,J581)/ROUND(IF(J581="",0,J581)+1,0))=1,OR(J580&lt;&gt;""),J581&lt;&gt;"")),0,IF(S580&lt;0,IF(I582="",SMALL(P580:P581,1)-SUM(O580:O581),0),SMALL(P580:P582,1)-SUM(O580:O582))),IF(S580&lt;0,IF(I582="",SMALL(P580:P582,1)-SUM(O580:O582),0),LARGE(P580:P582,1)-SUM(O580:O582)))))</f>
        <v>3.152</v>
      </c>
      <c r="W580" s="266">
        <f>IF($D580=$D577,IF(S580&lt;0,IF(I582="",S580,0),S580)+W577,S580)</f>
        <v>3.18</v>
      </c>
      <c r="X580" t="s" s="267">
        <f>IF(OR(SUM(R580:R582)=0,V580=W580),ROUND(IF(W580=0,0,W580/Y580)*100,2)&amp;"%",ROUND(IF(V580=0,0,V580/Y580)*100,2)&amp;"% a "&amp;ROUND(IF(W580=0,0,W580/Y580)*100,2)&amp;"%")</f>
        <v>190</v>
      </c>
      <c r="Y580" s="268">
        <f>IF($D580=$D577,Y577+SUM(O580:O582),SUM(O580:O582))</f>
        <v>54.11</v>
      </c>
      <c r="Z580" s="266">
        <f>IF($B580=" ",SUM(O580:O582),0)+Z577</f>
        <v>0</v>
      </c>
      <c r="AA580" s="266">
        <f>IF(G580="","",IF($B580="Anulado",LARGE(P580:P582,1)-SUM(O580:O582)+AA577,AA577))</f>
        <v>24.9665076923077</v>
      </c>
      <c r="AB580" s="266">
        <f>IF($D580="","",AB577+S580)</f>
        <v>391.51</v>
      </c>
      <c r="AC580" s="269">
        <f>IF($D580="","",IF($B580=" ",IF(DAY(G580)=DAY(TODAY()),1+AC577,0+AC577),0+AC577))</f>
        <v>0</v>
      </c>
      <c r="AD580" s="270">
        <f>(1-_xlfn.XLOOKUP(K578,'Janeiro 2023 - Valor Real'!A3:A15,'Janeiro 2023 - Valor Real'!C3:C15,0))+1</f>
        <v>2</v>
      </c>
      <c r="AE580" s="271">
        <f>IF(L580="","",IF(L582&gt;0,(SUM(((L580-1)*(1-_xlfn.XLOOKUP(K580,'Janeiro 2023 - Valor Real'!A3:A15,'Janeiro 2023 - Valor Real'!C3:C15,0))+1),((L581-1)*(1-_xlfn.XLOOKUP(K581,'Janeiro 2023 - Valor Real'!A3:A15,'Janeiro 2023 - Valor Real'!C3:C15,0))+1),((L582-1)*(1-_xlfn.XLOOKUP(K582,'Janeiro 2023 - Valor Real'!A3:A15,'Janeiro 2023 - Valor Real'!C3:C15,0))+1))/((L580-1)*(1-_xlfn.XLOOKUP(K580,'Janeiro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Real'!C3:C15,0))+1))/((L580-1)*(1-_xlfn.XLOOKUP(K580,'Janeiro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Real'!C3:C15,0))+1))/((L581-1)*(1-_xlfn.XLOOKUP(K581,'Janeiro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Real'!C3:C15,0))+1))/((L582-1)*(1-_xlfn.XLOOKUP(K582,'Janeiro 2023 - Valor Real'!A3:A15,'Janeiro 2023 - Valor Real'!C3:C15,0))+1)),IF(I580="Lay",IF(I581="Lay",((L581/(L581-1)-1)*(1-_xlfn.XLOOKUP(K581,'Janeiro 2023 - Valor Real'!A3:A15,'Janeiro 2023 - Valor Real'!C3:C15,0))+1)/(((L581/(L581-1)-1)*(1-_xlfn.XLOOKUP(K581,'Janeiro 2023 - Valor Real'!A3:A15,'Janeiro 2023 - Valor Real'!C3:C15,0))+1)+((L580/(L580-1)-1)*(1-_xlfn.XLOOKUP(K580,'Janeiro 2023 - Valor Real'!A3:A15,'Janeiro 2023 - Valor Real'!C3:C15,0))+1)),((L581-1)*(1-_xlfn.XLOOKUP(K581,'Janeiro 2023 - Valor Real'!A3:A15,'Janeiro 2023 - Valor Real'!C3:C15,0))+1)/(((L581-1)*(1-_xlfn.XLOOKUP(K581,'Janeiro 2023 - Valor Real'!A3:A15,'Janeiro 2023 - Valor Real'!C3:C15,0))+1)+((L580/(L580-1)-1)*(1-_xlfn.XLOOKUP(K580,'Janeiro 2023 - Valor Real'!A3:A15,'Janeiro 2023 - Valor Real'!C3:C15,0))+1))),IF(I581="Lay",(((L581/(L581-1)-1)*(1-_xlfn.XLOOKUP(K581,'Janeiro 2023 - Valor Real'!A3:A15,'Janeiro 2023 - Valor Real'!C3:C15,0))+1))/(((L580-1)*(1-_xlfn.XLOOKUP(K580,'Janeiro 2023 - Valor Real'!A3:A15,'Janeiro 2023 - Valor Real'!C3:C15,0))+1)+((L581/(L581-1)-1)*(1-_xlfn.XLOOKUP(K581,'Janeiro 2023 - Valor Real'!A3:A15,'Janeiro 2023 - Valor Real'!C3:C15,0))+1)),((L581-1)*(1-_xlfn.XLOOKUP(K581,'Janeiro 2023 - Valor Real'!A3:A15,'Janeiro 2023 - Valor Real'!C3:C15,0))+1)/(((L581-1)*(1-_xlfn.XLOOKUP(K581,'Janeiro 2023 - Valor Real'!A3:A15,'Janeiro 2023 - Valor Real'!C3:C15,0))+1)+((L580-1)*(1-_xlfn.XLOOKUP(K580,'Janeiro 2023 - Valor Real'!A3:A15,'Janeiro 2023 - Valor Real'!C3:C15,0))+1))))))</f>
        <v>0.626966292134831</v>
      </c>
      <c r="AF580" s="132">
        <f>IF($K580=AF$3,ROUND(IF(OR($C580="W",$C580="1/2W",$C580="1/2L"),$P580-$O580,IF($C580="X",0,-$O580)),2),0)</f>
        <v>6.96</v>
      </c>
      <c r="AG580" s="133">
        <f>IF($K580=AG$3,ROUND(IF(OR($C580="W",$C580="1/2W",$C580="1/2L"),$P580-$O580,IF($C580="X",0,-$O580)),2),0)</f>
        <v>0</v>
      </c>
      <c r="AH580" s="133">
        <f>IF($K580=AH$3,ROUND(IF(OR($C580="W",$C580="1/2W",$C580="1/2L"),$P580-$O580,IF($C580="X",0,-$O580)),2),0)</f>
        <v>0</v>
      </c>
      <c r="AI580" s="133">
        <f>IF($K580=AI$3,ROUND(IF(OR($C580="W",$C580="1/2W",$C580="1/2L"),$P580-$O580,IF($C580="X",0,-$O580)),2),0)</f>
        <v>0</v>
      </c>
      <c r="AJ580" s="133">
        <f>IF($K580=AJ$3,ROUND(IF(OR($C580="W",$C580="1/2W",$C580="1/2L"),$P580-$O580,IF($C580="X",0,-$O580)),2),0)</f>
        <v>0</v>
      </c>
      <c r="AK580" s="133">
        <f>IF($K580=AK$3,ROUND(IF(OR($C580="W",$C580="1/2W",$C580="1/2L"),$P580-$O580,IF($C580="X",0,-$O580)),2),0)</f>
        <v>0</v>
      </c>
      <c r="AL580" s="133">
        <f>IF($K580=AL$3,ROUND(IF(OR($C580="W",$C580="1/2W",$C580="1/2L"),$P580-$O580,IF($C580="X",0,-$O580)),2),0)</f>
        <v>0</v>
      </c>
      <c r="AM580" s="133">
        <f>IF($K580=AM$3,ROUND(IF(OR($C580="W",$C580="1/2W",$C580="1/2L"),$P580-$O580,IF($C580="X",0,-$O580)),2),0)</f>
        <v>0</v>
      </c>
      <c r="AN580" s="133">
        <f>IF($K580=AN$3,ROUND(IF(OR($C580="W",$C580="1/2W",$C580="1/2L"),$P580-$O580,IF($C580="X",0,-$O580)),2),0)</f>
        <v>0</v>
      </c>
      <c r="AO580" s="133">
        <f>IF($K580=AO$3,ROUND(IF(OR($C580="W",$C580="1/2W",$C580="1/2L"),$P580-$O580,IF($C580="X",0,-$O580)),2),0)</f>
        <v>0</v>
      </c>
      <c r="AP580" s="133">
        <f>IF($K580=AP$3,ROUND(IF(OR($C580="W",$C580="1/2W",$C580="1/2L"),$P580-$O580,IF($C580="X",0,-$O580)),2),0)</f>
        <v>0</v>
      </c>
      <c r="AQ580" s="133">
        <f>IF($K580=AQ$3,ROUND(IF(OR($C580="W",$C580="1/2W",$C580="1/2L"),$P580-$O580,IF($C580="X",0,-$O580)),2),0)</f>
        <v>0</v>
      </c>
      <c r="AR580" s="134">
        <f>IF($K580=AR$3,ROUND(IF(OR($C580="W",$C580="1/2W",$C580="1/2L"),$P580-$O580,IF($C580="X",0,-$O580)),2),0)</f>
        <v>0</v>
      </c>
      <c r="AS580" s="132">
        <f>IF(AND($B580=" ",$K580=AS$3),$O580,0)</f>
        <v>0</v>
      </c>
      <c r="AT580" s="133">
        <f>IF(AND($B580=" ",$K580=AT$3),$O580,0)</f>
        <v>0</v>
      </c>
      <c r="AU580" s="133">
        <f>IF(AND($B580=" ",$K580=AU$3),$O580,0)</f>
        <v>0</v>
      </c>
      <c r="AV580" s="133">
        <f>IF(AND($B580=" ",$K580=AV$3),$O580,0)</f>
        <v>0</v>
      </c>
      <c r="AW580" s="133">
        <f>IF(AND($B580=" ",$K580=AW$3),$O580,0)</f>
        <v>0</v>
      </c>
      <c r="AX580" s="133">
        <f>IF(AND($B580=" ",$K580=AX$3),$O580,0)</f>
        <v>0</v>
      </c>
      <c r="AY580" s="135">
        <f>IF(AND($B580=" ",$K580=AY$3),$O580,0)</f>
        <v>0</v>
      </c>
      <c r="AZ580" s="136">
        <f>IF(AND($B580=" ",$K580=AZ$3),$O580,0)</f>
        <v>0</v>
      </c>
      <c r="BA580" s="136">
        <f>IF(AND($B580=" ",$K580=BA$3),$O580,0)</f>
        <v>0</v>
      </c>
      <c r="BB580" s="136">
        <f>IF(AND($B580=" ",$K580=BB$3),$O580,0)</f>
        <v>0</v>
      </c>
      <c r="BC580" s="137">
        <f>IF(AND($B580=" ",$K580=BC$3),$O580,0)</f>
        <v>0</v>
      </c>
      <c r="BD580" s="133">
        <f>IF(AND($B580=" ",$K580=BD$3),$O580,0)</f>
        <v>0</v>
      </c>
      <c r="BE580" s="134">
        <f>IF(AND($B580=" ",$K580=BE$3),$O580,0)</f>
        <v>0</v>
      </c>
      <c r="BF580" s="132">
        <f>IF($K580=BF$3,IF($C580="X",0,$O580),0)</f>
        <v>10.55</v>
      </c>
      <c r="BG580" s="133">
        <f>IF($K580=BG$3,IF($C580="X",0,$O580),0)</f>
        <v>0</v>
      </c>
      <c r="BH580" s="133">
        <f>IF($K580=BH$3,IF($C580="X",0,$O580),0)</f>
        <v>0</v>
      </c>
      <c r="BI580" s="133">
        <f>IF($K580=BI$3,IF($C580="X",0,$O580),0)</f>
        <v>0</v>
      </c>
      <c r="BJ580" s="133">
        <f>IF($K580=BJ$3,IF($C580="X",0,$O580),0)</f>
        <v>0</v>
      </c>
      <c r="BK580" s="133">
        <f>IF($K580=BK$3,IF($C580="X",0,$O580),0)</f>
        <v>0</v>
      </c>
      <c r="BL580" s="133">
        <f>IF($K580=BL$3,IF($C580="X",0,$O580),0)</f>
        <v>0</v>
      </c>
      <c r="BM580" s="135">
        <f>IF($K580=BM$3,IF($C580="X",0,$O580),0)</f>
        <v>0</v>
      </c>
      <c r="BN580" s="136">
        <f>IF($K580=BN$3,IF($C580="X",0,$O580),0)</f>
        <v>0</v>
      </c>
      <c r="BO580" s="136">
        <f>IF($K580=BO$3,IF($C580="X",0,$O580),0)</f>
        <v>0</v>
      </c>
      <c r="BP580" s="136">
        <f>IF($K580=BP$3,IF($C580="X",0,$O580),0)</f>
        <v>0</v>
      </c>
      <c r="BQ580" s="137">
        <f>IF($K580=BQ$3,IF($C580="X",0,$O580),0)</f>
        <v>0</v>
      </c>
      <c r="BR580" s="134">
        <f>IF($K580=BR$3,IF($C580="X",0,$O580),0)</f>
        <v>0</v>
      </c>
      <c r="BS580" s="170">
        <f>IF($B580="LOSS",IF(AND($K580=BS$3,$C580="L"),-$O580,0)+IF(AND($K581=BS$3,$C581="L"),-$O581,0)+IF(AND($K582=BS$3,$C582="L"),-$O582,0),IF(OR(AND($K580=BS$3,OR($C580="W",$C580="1/2W")),AND($K581=BS$3,OR($C581="W",$C581="1/2W")),AND($K582=BS$3,OR($C582="W",$C582="1/2W"))),$S580,0))</f>
        <v>0.68</v>
      </c>
      <c r="BT580" s="272">
        <f>IF($B580="LOSS",IF(AND($K580=BT$3,$C580="L"),-$O580,0)+IF(AND($K581=BT$3,$C581="L"),-$O581,0)+IF(AND($K581=BT$3,$C582="L"),-$O582,0),IF(OR(AND($K581=BT$3,OR($C580="W",$C580="1/2W")),AND($K581=BT$3,OR($C581="W",$C581="1/2W")),AND($K581=BT$3,OR($C582="W",$C582="1/2W"))),$S580,0))</f>
        <v>0</v>
      </c>
      <c r="BU580" s="136">
        <f>IF($B580="LOSS",IF(AND($K580=BU$3,$C580="L"),-$O580,0)+IF(AND($K581=BU$3,$C581="L"),-$O581,0)+IF(AND($K581=BU$3,$C582="L"),-$O582,0),IF(OR(AND($K581=BU$3,OR($C580="W",$C580="1/2W")),AND($K581=BU$3,OR($C581="W",$C581="1/2W")),AND($K581=BU$3,OR($C582="W",$C582="1/2W"))),$S580,0))</f>
        <v>0</v>
      </c>
      <c r="BV580" s="136">
        <f>IF($B580="LOSS",IF(AND($K580=BV$3,$C580="L"),-$O580,0)+IF(AND($K581=BV$3,$C581="L"),-$O581,0)+IF(AND($K582=BV$3,$C582="L"),-$O582,0),IF(OR(AND($K580=BV$3,OR($C580="W",$C580="1/2W")),AND($K581=BV$3,OR($C581="W",$C581="1/2W")),AND($K582=BV$3,OR($C582="W",$C582="1/2W"))),$S580,0))</f>
        <v>0</v>
      </c>
      <c r="BW580" s="136">
        <f>IF($B580="LOSS",IF(AND($K580=BW$3,$C580="L"),-$O580,0)+IF(AND($K581=BW$3,$C581="L"),-$O581,0)+IF(AND($K582=BW$3,$C582="L"),-$O582,0),IF(OR(AND($K580=BW$3,OR($C580="W",$C580="1/2W")),AND($K581=BW$3,OR($C581="W",$C581="1/2W")),AND($K582=BW$3,OR($C582="W",$C582="1/2W"))),$S580,0))</f>
        <v>0</v>
      </c>
      <c r="BX580" s="136">
        <f>IF($B580="LOSS",IF(AND($K580=BX$3,$C580="L"),-$O580,0)+IF(AND($K581=BX$3,$C581="L"),-$O581,0)+IF(AND($K582=BX$3,$C582="L"),-$O582,0),IF(OR(AND($K580=BX$3,OR($C580="W",$C580="1/2W")),AND($K581=BX$3,OR($C581="W",$C581="1/2W")),AND($K582=BX$3,OR($C582="W",$C582="1/2W"))),$S580,0))</f>
        <v>0</v>
      </c>
      <c r="BY580" s="136">
        <f>IF($B580="LOSS",IF(AND($K580=BY$3,$C580="L"),-$O580,0)+IF(AND($K581=BY$3,$C581="L"),-$O581,0)+IF(AND($K582=BY$3,$C582="L"),-$O582,0),IF(OR(AND($K580=BY$3,OR($C580="W",$C580="1/2W")),AND($K581=BY$3,OR($C581="W",$C581="1/2W")),AND($K582=BY$3,OR($C582="W",$C582="1/2W"))),$S580,0))</f>
        <v>0</v>
      </c>
      <c r="BZ580" s="136">
        <f>IF($B580="LOSS",IF(AND($K580=BZ$3,$C580="L"),-$O580,0)+IF(AND($K581=BZ$3,$C581="L"),-$O581,0)+IF(AND($K582=BZ$3,$C582="L"),-$O582,0),IF(OR(AND($K580=BZ$3,OR($C580="W",$C580="1/2W")),AND($K581=BZ$3,OR($C581="W",$C581="1/2W")),AND($K582=BZ$3,OR($C582="W",$C582="1/2W"))),$S580,0))</f>
        <v>0</v>
      </c>
      <c r="CA580" s="136">
        <f>IF($B580="LOSS",IF(AND($K580=CA$3,$C580="L"),-$O580,0)+IF(AND($K581=CA$3,$C581="L"),-$O581,0)+IF(AND($K582=CA$3,$C582="L"),-$O582,0),IF(OR(AND($K580=CA$3,OR($C580="W",$C580="1/2W")),AND($K581=CA$3,OR($C581="W",$C581="1/2W")),AND($K582=CA$3,OR($C582="W",$C582="1/2W"))),$S580,0))</f>
        <v>0</v>
      </c>
      <c r="CB580" s="136">
        <f>IF($B580="LOSS",IF(AND($K580=CB$3,$C580="L"),-$O580,0)+IF(AND($K581=CB$3,$C581="L"),-$O581,0)+IF(AND($K582=CB$3,$C582="L"),-$O582,0),IF(OR(AND($K580=CB$3,OR($C580="W",$C580="1/2W")),AND($K581=CB$3,OR($C581="W",$C581="1/2W")),AND($K582=CB$3,OR($C582="W",$C582="1/2W"))),$S580,0))</f>
        <v>0</v>
      </c>
      <c r="CC580" s="136">
        <f>IF($B580="LOSS",IF(AND($K580=CC$3,$C580="L"),-$O580,0)+IF(AND($K581=CC$3,$C581="L"),-$O581,0)+IF(AND($K582=CC$3,$C582="L"),-$O582,0),IF(OR(AND($K580=CC$3,OR($C580="W",$C580="1/2W")),AND($K581=CC$3,OR($C581="W",$C581="1/2W")),AND($K582=CC$3,OR($C582="W",$C582="1/2W"))),$S580,0))</f>
        <v>0</v>
      </c>
      <c r="CD580" s="137">
        <f>IF($B580="LOSS",IF(AND($K580=CD$3,$C580="L"),-$O580,0)+IF(AND($K581=CD$3,$C581="L"),-$O581,0)+IF(AND($K582=CD$3,$C582="L"),-$O582,0),IF(OR(AND($K580=CD$3,OR($C580="W",$C580="1/2W")),AND($K581=CD$3,OR($C581="W",$C581="1/2W")),AND($K582=CD$3,OR($C582="W",$C582="1/2W"))),$S580,0))</f>
        <v>0</v>
      </c>
      <c r="CE580" s="134">
        <f>IF($B580="LOSS",IF(AND($K580=CE$3,$C580="L"),-$O580,0)+IF(AND($K581=CE$3,$C581="L"),-$O581,0)+IF(AND($K582=CE$3,$C582="L"),-$O582,0),IF(OR(AND($K580=CE$3,OR($C580="W",$C580="1/2W")),AND($K581=CE$3,OR($C581="W",$C581="1/2W")),AND($K582=CE$3,OR($C582="W",$C582="1/2W"))),$S580,0))</f>
        <v>0</v>
      </c>
      <c r="CF580" s="273">
        <f>IF(CF$3=$K580,IF($C580="W",1,IF($C580="1/2W",0.5,0)),0)</f>
        <v>1</v>
      </c>
      <c r="CG580" s="274">
        <f>IF(CF$3=$K580,IF($C580="L",1,IF($C580="1/2L",0.5,0)),0)</f>
        <v>0</v>
      </c>
      <c r="CH580" s="274">
        <f>IF(CH$3=$K580,IF($C580="W",1,IF($C580="1/2W",0.5,0)),0)</f>
        <v>0</v>
      </c>
      <c r="CI580" s="274">
        <f>IF(CH$3=$K580,IF($C580="L",1,IF($C580="1/2L",0.5,0)),0)</f>
        <v>0</v>
      </c>
      <c r="CJ580" s="274">
        <f>IF(CJ$3=$K580,IF($C580="W",1,IF($C580="1/2W",0.5,0)),0)</f>
        <v>0</v>
      </c>
      <c r="CK580" s="274">
        <f>IF(CJ$3=$K580,IF($C580="L",1,IF($C580="1/2L",0.5,0)),0)</f>
        <v>0</v>
      </c>
      <c r="CL580" s="274">
        <f>IF(CL$3=$K580,IF($C580="W",1,IF($C580="1/2W",0.5,0)),0)</f>
        <v>0</v>
      </c>
      <c r="CM580" s="274">
        <f>IF(CL$3=$K580,IF($C580="L",1,IF($C580="1/2L",0.5,0)),0)</f>
        <v>0</v>
      </c>
      <c r="CN580" s="274">
        <f>IF(CN$3=$K580,IF($C580="W",1,IF($C580="1/2W",0.5,0)),0)</f>
        <v>0</v>
      </c>
      <c r="CO580" s="274">
        <f>IF(CN$3=$K580,IF($C580="L",1,IF($C580="1/2L",0.5,0)),0)</f>
        <v>0</v>
      </c>
      <c r="CP580" s="274">
        <f>IF(CP$3=$K580,IF($C580="W",1,IF($C580="1/2W",0.5,0)),0)</f>
        <v>0</v>
      </c>
      <c r="CQ580" s="274">
        <f>IF(CP$3=$K580,IF($C580="L",1,IF($C580="1/2L",0.5,0)),0)</f>
        <v>0</v>
      </c>
      <c r="CR580" s="274">
        <f>IF(CR$3=$K580,IF($C580="W",1,IF($C580="1/2W",0.5,0)),0)</f>
        <v>0</v>
      </c>
      <c r="CS580" s="274">
        <f>IF(CR$3=$K580,IF($C580="L",1,IF($C580="1/2L",0.5,0)),0)</f>
        <v>0</v>
      </c>
      <c r="CT580" s="145">
        <f>IF(CT$3=$K580,IF($C580="W",1,IF($C580="1/2W",0.5,0)),0)</f>
        <v>0</v>
      </c>
      <c r="CU580" s="146">
        <f>IF(CT$3=$K580,IF($C580="L",1,IF($C580="1/2L",0.5,0)),0)</f>
        <v>0</v>
      </c>
      <c r="CV580" s="146">
        <f>IF(CV$3=$K580,IF($C580="W",1,IF($C580="1/2W",0.5,0)),0)</f>
        <v>0</v>
      </c>
      <c r="CW580" s="146">
        <f>IF(CV$3=$K580,IF($C580="L",1,IF($C580="1/2L",0.5,0)),0)</f>
        <v>0</v>
      </c>
      <c r="CX580" s="146">
        <f>IF(CX$3=$K580,IF($C580="W",1,IF($C580="1/2W",0.5,0)),0)</f>
        <v>0</v>
      </c>
      <c r="CY580" s="146">
        <f>IF(CX$3=$K580,IF($C580="L",1,IF($C580="1/2L",0.5,0)),0)</f>
        <v>0</v>
      </c>
      <c r="CZ580" s="146">
        <f>IF(CZ$3=$K580,IF($C580="W",1,IF($C580="1/2W",0.5,0)),0)</f>
        <v>0</v>
      </c>
      <c r="DA580" s="146">
        <f>IF(CZ$3=$K580,IF($C580="L",1,IF($C580="1/2L",0.5,0)),0)</f>
        <v>0</v>
      </c>
      <c r="DB580" s="146">
        <f>IF(DB$3=$K580,IF($C580="W",1,IF($C580="1/2W",0.5,0)),0)</f>
        <v>0</v>
      </c>
      <c r="DC580" s="146">
        <f>IF(DB$3=$K580,IF($C580="L",1,IF($C580="1/2L",0.5,0)),0)</f>
        <v>0</v>
      </c>
      <c r="DD580" s="146">
        <f>IF(DD$3=$K580,IF($C580="W",1,IF($C580="1/2W",0.5,0)),0)</f>
        <v>0</v>
      </c>
      <c r="DE580" s="147">
        <f>IF(DD$3=$K580,IF($C580="L",1,IF($C580="1/2L",0.5,0)),0)</f>
        <v>0</v>
      </c>
      <c r="DF580" s="143">
        <f>IF(AND(L580&lt;DF$3,$C580="W"),1+DF579,DF579)</f>
        <v>17</v>
      </c>
      <c r="DG580" s="133">
        <f>IF(DF580&gt;DF579,L580+DG579,DG579)</f>
        <v>22.628</v>
      </c>
      <c r="DH580" s="146">
        <f>IF(AND(L580&gt;DH$3,$C580="W"),1+DH579,0+DH579)</f>
        <v>16</v>
      </c>
      <c r="DI580" s="133">
        <f>IF(DH580&gt;DH579,L580+DI579,DI579)</f>
        <v>85.45999999999999</v>
      </c>
      <c r="DJ580" t="s" s="304">
        <f>IF($D580="","",$D580)</f>
        <v>431</v>
      </c>
      <c r="DK580" s="146">
        <f>IF(AND($B580=" ",$D580&lt;&gt;""),1,0)</f>
        <v>0</v>
      </c>
    </row>
    <row r="581" ht="14.55" customHeight="1">
      <c r="A581" s="107"/>
      <c r="B581" s="108"/>
      <c r="C581" t="s" s="109">
        <v>51</v>
      </c>
      <c r="D581" s="110"/>
      <c r="E581" s="111"/>
      <c r="F581" s="113"/>
      <c r="G581" s="252"/>
      <c r="H581" s="114"/>
      <c r="I581" s="294">
        <v>2</v>
      </c>
      <c r="J581" t="s" s="295">
        <f>IF(OR(I580="TO",I580="TU",I580="TO1",I580="TU1",I580="TO2",I580="TU2"),J580,IF(OR(I580="AH1",I580="AH2"),IF(OR(I581="AH1",I581="AH2"),-J580,IF(OR(I581="EH1",I581="EH2"),-J580+0.5,"")),IF(OR(I580="EH1",I580="EH2"),IF(OR(I581="AH1",I581="AH2"),-J580+0.5,IF(OR(I581="EH1",I581="EH2"),-J580+1,"")),IF(AND(OR(I580="DNB1",I580="DNB2"),OR(I581="AH1",I581="AH2")),0,IF(AND(I580="Not ScoreBoth",OR(I581="TO1",I581="TO2")),0.5,"")))))</f>
      </c>
      <c r="K581" t="s" s="117">
        <v>41</v>
      </c>
      <c r="L581" s="277">
        <v>2.79</v>
      </c>
      <c r="M581" s="278">
        <v>6.28</v>
      </c>
      <c r="N581" s="120"/>
      <c r="O581" s="121">
        <f>IF(OR(AE580="",AE581=""),"",ROUND(IF(L582&gt;0,IF(M581&gt;0,M581,IF(M580&gt;0,IF(N580=TRUE,ROUND((M580*AE581)/AE580,0),(M580*AE581)/AE580),IF(M581&gt;0,ROUND(M581,IF(N580=0,2,IF(N580=0.1,1,0))),IF(M582&gt;0,ROUND(O582*AE581/AE582,IF(N580=0,2,IF(N580=0.1,1,0))),0)))),IF(M581&gt;0,M581,ROUND((M580*AE581)/AE580,IF(N580=0,2,IF(N580=0.1,1,0))))),2))</f>
        <v>6.28</v>
      </c>
      <c r="P581" s="122">
        <f>IF(OR(L581="",O581=""),"",IF($C581="1/2W",O581/2+O581/2*L581,IF($C581="1/2L",O581/2,IF(I581="Lay",((O581*(L581/(L581-1)))-O581)*(1-_xlfn.XLOOKUP(K581,'Janeiro 2023 - Valor Real'!A3:A15,'Janeiro 2023 - Valor Real'!C3:C15,0))+O581,(O581*L581-O581)*(1-_xlfn.XLOOKUP(K581,'Janeiro 2023 - Valor Real'!A3:A15,'Janeiro 2023 - Valor Real'!C3:C15,0))+O581))))</f>
        <v>17.5212</v>
      </c>
      <c r="Q581" s="279">
        <f>IF(K581="","",IF(_xlfn.XLOOKUP(K581,K$120:K360,DJ$120:DJ360,0,,-1)=DJ581,_xlfn.XLOOKUP(K581,K$120:K360,Q$120:Q360,1,,-1)+1,1))</f>
        <v>1</v>
      </c>
      <c r="R581" s="280">
        <f>IF(K581="","",_xlfn.XLOOKUP(K581,K$120:K360,R$120:R360,0,,-1)+IF($C581=" ",1,0))</f>
        <v>0</v>
      </c>
      <c r="S581" s="125"/>
      <c r="T581" s="126"/>
      <c r="U581" s="126"/>
      <c r="V581" s="224"/>
      <c r="W581" s="126"/>
      <c r="X581" s="127"/>
      <c r="Y581" s="128"/>
      <c r="Z581" s="129"/>
      <c r="AA581" s="129"/>
      <c r="AB581" s="129"/>
      <c r="AC581" s="129"/>
      <c r="AD581" s="130"/>
      <c r="AE581" s="131">
        <f>IF(L581="","",IF(L582&gt;0,(SUM(((L580-1)*(1-_xlfn.XLOOKUP(K580,'Janeiro 2023 - Valor Real'!A3:A15,'Janeiro 2023 - Valor Real'!C3:C15,0))+1),((L581-1)*(1-_xlfn.XLOOKUP(K581,'Janeiro 2023 - Valor Real'!A3:A15,'Janeiro 2023 - Valor Real'!C3:C15,0))+1),((L582-1)*(1-_xlfn.XLOOKUP(K582,'Janeiro 2023 - Valor Real'!A3:A15,'Janeiro 2023 - Valor Real'!C3:C15,0))+1))/((L581-1)*(1-_xlfn.XLOOKUP(K581,'Janeiro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Real'!C3:C15,0))+1))/((L580-1)*(1-_xlfn.XLOOKUP(K580,'Janeiro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Real'!C3:C15,0))+1))/((L581-1)*(1-_xlfn.XLOOKUP(K581,'Janeiro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Real'!C3:C15,0))+1))/((L582-1)*(1-_xlfn.XLOOKUP(K582,'Janeiro 2023 - Valor Real'!A3:A15,'Janeiro 2023 - Valor Real'!C3:C15,0))+1)),IF(I581="Lay",IF(I580="Lay",((L580/(L580-1)-1)*(1-_xlfn.XLOOKUP(K580,'Janeiro 2023 - Valor Real'!A3:A15,'Janeiro 2023 - Valor Real'!C3:C15,0))+1)/(((L580/(L580-1)-1)*(1-_xlfn.XLOOKUP(K580,'Janeiro 2023 - Valor Real'!A3:A15,'Janeiro 2023 - Valor Real'!C3:C15,0))+1)+((L581/(L581-1)-1)*(1-_xlfn.XLOOKUP(K581,'Janeiro 2023 - Valor Real'!A3:A15,'Janeiro 2023 - Valor Real'!C3:C15,0))+1)),((L580-1)*(1-_xlfn.XLOOKUP(K580,'Janeiro 2023 - Valor Real'!A3:A15,'Janeiro 2023 - Valor Real'!C3:C15,0))+1)/(((L580-1)*(1-_xlfn.XLOOKUP(K580,'Janeiro 2023 - Valor Real'!A3:A15,'Janeiro 2023 - Valor Real'!C3:C15,0))+1)+((L581/(L581-1)-1)*(1-_xlfn.XLOOKUP(K581,'Janeiro 2023 - Valor Real'!A3:A15,'Janeiro 2023 - Valor Real'!C3:C15,0))+1))),IF(I580="Lay",((L580/(L580-1)-1)*(1-_xlfn.XLOOKUP(K580,'Janeiro 2023 - Valor Real'!A3:A15,'Janeiro 2023 - Valor Real'!C3:C15,0))+1)/((((L580/(L580-1)-1)*(1-_xlfn.XLOOKUP(K580,'Janeiro 2023 - Valor Real'!A3:A15,'Janeiro 2023 - Valor Real'!C3:C15,0))+1))+((L581-1)*(1-_xlfn.XLOOKUP(K581,'Janeiro 2023 - Valor Real'!A3:A15,'Janeiro 2023 - Valor Real'!C3:C15,0))+1)),((L580-1)*(1-_xlfn.XLOOKUP(K580,'Janeiro 2023 - Valor Real'!A3:A15,'Janeiro 2023 - Valor Real'!C3:C15,0))+1)/(((L580-1)*(1-_xlfn.XLOOKUP(K580,'Janeiro 2023 - Valor Real'!A3:A15,'Janeiro 2023 - Valor Real'!C3:C15,0))+1)+((L581-1)*(1-_xlfn.XLOOKUP(K581,'Janeiro 2023 - Valor Real'!A3:A15,'Janeiro 2023 - Valor Real'!C3:C15,0))+1))))))</f>
        <v>0.373033707865169</v>
      </c>
      <c r="AF581" s="132">
        <f>IF($K581=AF$3,ROUND(IF(OR($C581="W",$C581="1/2W",$C581="1/2L"),$P581-$O581,IF($C581="X",0,-$O581)),2),0)</f>
        <v>0</v>
      </c>
      <c r="AG581" s="133">
        <f>IF($K581=AG$3,ROUND(IF(OR($C581="W",$C581="1/2W",$C581="1/2L"),$P581-$O581,IF($C581="X",0,-$O581)),2),0)</f>
        <v>0</v>
      </c>
      <c r="AH581" s="133">
        <f>IF($K581=AH$3,ROUND(IF(OR($C581="W",$C581="1/2W",$C581="1/2L"),$P581-$O581,IF($C581="X",0,-$O581)),2),0)</f>
        <v>0</v>
      </c>
      <c r="AI581" s="133">
        <f>IF($K581=AI$3,ROUND(IF(OR($C581="W",$C581="1/2W",$C581="1/2L"),$P581-$O581,IF($C581="X",0,-$O581)),2),0)</f>
        <v>0</v>
      </c>
      <c r="AJ581" s="133">
        <f>IF($K581=AJ$3,ROUND(IF(OR($C581="W",$C581="1/2W",$C581="1/2L"),$P581-$O581,IF($C581="X",0,-$O581)),2),0)</f>
        <v>-6.28</v>
      </c>
      <c r="AK581" s="133">
        <f>IF($K581=AK$3,ROUND(IF(OR($C581="W",$C581="1/2W",$C581="1/2L"),$P581-$O581,IF($C581="X",0,-$O581)),2),0)</f>
        <v>0</v>
      </c>
      <c r="AL581" s="133">
        <f>IF($K581=AL$3,ROUND(IF(OR($C581="W",$C581="1/2W",$C581="1/2L"),$P581-$O581,IF($C581="X",0,-$O581)),2),0)</f>
        <v>0</v>
      </c>
      <c r="AM581" s="133">
        <f>IF($K581=AM$3,ROUND(IF(OR($C581="W",$C581="1/2W",$C581="1/2L"),$P581-$O581,IF($C581="X",0,-$O581)),2),0)</f>
        <v>0</v>
      </c>
      <c r="AN581" s="133">
        <f>IF($K581=AN$3,ROUND(IF(OR($C581="W",$C581="1/2W",$C581="1/2L"),$P581-$O581,IF($C581="X",0,-$O581)),2),0)</f>
        <v>0</v>
      </c>
      <c r="AO581" s="133">
        <f>IF($K581=AO$3,ROUND(IF(OR($C581="W",$C581="1/2W",$C581="1/2L"),$P581-$O581,IF($C581="X",0,-$O581)),2),0)</f>
        <v>0</v>
      </c>
      <c r="AP581" s="133">
        <f>IF($K581=AP$3,ROUND(IF(OR($C581="W",$C581="1/2W",$C581="1/2L"),$P581-$O581,IF($C581="X",0,-$O581)),2),0)</f>
        <v>0</v>
      </c>
      <c r="AQ581" s="133">
        <f>IF($K581=AQ$3,ROUND(IF(OR($C581="W",$C581="1/2W",$C581="1/2L"),$P581-$O581,IF($C581="X",0,-$O581)),2),0)</f>
        <v>0</v>
      </c>
      <c r="AR581" s="134">
        <f>IF($K581=AR$3,ROUND(IF(OR($C581="W",$C581="1/2W",$C581="1/2L"),$P581-$O581,IF($C581="X",0,-$O581)),2),0)</f>
        <v>0</v>
      </c>
      <c r="AS581" s="132">
        <f>IF(AND($B580=" ",$K581=AS$3),$O581,0)</f>
        <v>0</v>
      </c>
      <c r="AT581" s="133">
        <f>IF(AND($B580=" ",K581=AT$3),$O581,0)</f>
        <v>0</v>
      </c>
      <c r="AU581" s="133">
        <f>IF(AND($B580=" ",$K581=AU$3),$O581,0)</f>
        <v>0</v>
      </c>
      <c r="AV581" s="133">
        <f>IF(AND($B580=" ",$K581=AV$3),$O581,0)</f>
        <v>0</v>
      </c>
      <c r="AW581" s="133">
        <f>IF(AND($B580=" ",$K581=AW$3),$O581,0)</f>
        <v>0</v>
      </c>
      <c r="AX581" s="133">
        <f>IF(AND($B580=" ",$K581=AX$3),$O581,0)</f>
        <v>0</v>
      </c>
      <c r="AY581" s="135">
        <f>IF(AND($B580=" ",$K581=AY$3),$O581,0)</f>
        <v>0</v>
      </c>
      <c r="AZ581" s="136">
        <f>IF(AND($B580=" ",$K581=AZ$3),$O581,0)</f>
        <v>0</v>
      </c>
      <c r="BA581" s="136">
        <f>IF(AND($B580=" ",$K581=BA$3),$O581,0)</f>
        <v>0</v>
      </c>
      <c r="BB581" s="136">
        <f>IF(AND($B580=" ",$K581=BB$3),$O581,0)</f>
        <v>0</v>
      </c>
      <c r="BC581" s="137">
        <f>IF(AND($B580=" ",$K581=BC$3),$O581,0)</f>
        <v>0</v>
      </c>
      <c r="BD581" s="133">
        <f>IF(AND($B580=" ",$K581=BD$3),$O581,0)</f>
        <v>0</v>
      </c>
      <c r="BE581" s="134">
        <f>IF(AND($B580=" ",$K581=BE$3),$O581,0)</f>
        <v>0</v>
      </c>
      <c r="BF581" s="132">
        <f>IF($K581=BF$3,IF($C581="X",0,$O581),0)</f>
        <v>0</v>
      </c>
      <c r="BG581" s="281">
        <f>IF($K581=BG$3,IF($C581="X",0,$O581),0)</f>
        <v>0</v>
      </c>
      <c r="BH581" s="133">
        <f>IF($K581=BH$3,IF($C581="X",0,$O581),0)</f>
        <v>0</v>
      </c>
      <c r="BI581" s="133">
        <f>IF($K581=BI$3,IF($C581="X",0,$O581),0)</f>
        <v>0</v>
      </c>
      <c r="BJ581" s="133">
        <f>IF($K581=BJ$3,IF($C581="X",0,$O581),0)</f>
        <v>6.28</v>
      </c>
      <c r="BK581" s="133">
        <f>IF($K581=BK$3,IF($C581="X",0,$O581),0)</f>
        <v>0</v>
      </c>
      <c r="BL581" s="133">
        <f>IF($K581=BL$3,IF($C581="X",0,$O581),0)</f>
        <v>0</v>
      </c>
      <c r="BM581" s="135">
        <f>IF($K581=BM$3,IF($C581="X",0,$O581),0)</f>
        <v>0</v>
      </c>
      <c r="BN581" s="136">
        <f>IF($K581=BN$3,IF($C581="X",0,$O581),0)</f>
        <v>0</v>
      </c>
      <c r="BO581" s="136">
        <f>IF($K581=BO$3,IF($C581="X",0,$O581),0)</f>
        <v>0</v>
      </c>
      <c r="BP581" s="136">
        <f>IF($K581=BP$3,IF($C581="X",0,$O581),0)</f>
        <v>0</v>
      </c>
      <c r="BQ581" s="137">
        <f>IF($K581=BQ$3,IF($C581="X",0,$O581),0)</f>
        <v>0</v>
      </c>
      <c r="BR581" s="134">
        <f>IF($K581=BR$3,IF($C581="X",0,$O581),0)</f>
        <v>0</v>
      </c>
      <c r="BS581" s="282"/>
      <c r="BT581" s="283"/>
      <c r="BU581" s="140"/>
      <c r="BV581" s="283"/>
      <c r="BW581" s="140"/>
      <c r="BX581" s="140"/>
      <c r="BY581" s="140"/>
      <c r="BZ581" s="283"/>
      <c r="CA581" s="140"/>
      <c r="CB581" s="140"/>
      <c r="CC581" s="140"/>
      <c r="CD581" s="141"/>
      <c r="CE581" s="142"/>
      <c r="CF581" s="284">
        <f>IF(CF$3=$K581,IF($C581="W",1,IF($C581="1/2W",0.5,0)),0)</f>
        <v>0</v>
      </c>
      <c r="CG581" s="285">
        <f>IF(CF$3=$K581,IF($C581="L",1,IF($C581="1/2L",0.5,0)),0)</f>
        <v>0</v>
      </c>
      <c r="CH581" s="285">
        <f>IF(CH$3=$K581,IF($C581="W",1,IF($C581="1/2W",0.5,0)),0)</f>
        <v>0</v>
      </c>
      <c r="CI581" s="285">
        <f>IF(CH$3=$K581,IF($C581="L",1,IF($C581="1/2L",0.5,0)),0)</f>
        <v>0</v>
      </c>
      <c r="CJ581" s="285">
        <f>IF(CJ$3=$K581,IF($C581="W",1,IF($C581="1/2W",0.5,0)),0)</f>
        <v>0</v>
      </c>
      <c r="CK581" s="285">
        <f>IF(CJ$3=$K581,IF($C581="L",1,IF($C581="1/2L",0.5,0)),0)</f>
        <v>0</v>
      </c>
      <c r="CL581" s="285">
        <f>IF(CL$3=$K581,IF($C581="W",1,IF($C581="1/2W",0.5,0)),0)</f>
        <v>0</v>
      </c>
      <c r="CM581" s="285">
        <f>IF(CL$3=$K581,IF($C581="L",1,IF($C581="1/2L",0.5,0)),0)</f>
        <v>0</v>
      </c>
      <c r="CN581" s="285">
        <f>IF(CN$3=$K581,IF($C581="W",1,IF($C581="1/2W",0.5,0)),0)</f>
        <v>0</v>
      </c>
      <c r="CO581" s="285">
        <f>IF(CN$3=$K581,IF($C581="L",1,IF($C581="1/2L",0.5,0)),0)</f>
        <v>1</v>
      </c>
      <c r="CP581" s="285">
        <f>IF(CP$3=$K581,IF($C581="W",1,IF($C581="1/2W",0.5,0)),0)</f>
        <v>0</v>
      </c>
      <c r="CQ581" s="285">
        <f>IF(CP$3=$K581,IF($C581="L",1,IF($C581="1/2L",0.5,0)),0)</f>
        <v>0</v>
      </c>
      <c r="CR581" s="285">
        <f>IF(CR$3=$K581,IF($C581="W",1,IF($C581="1/2W",0.5,0)),0)</f>
        <v>0</v>
      </c>
      <c r="CS581" s="285">
        <f>IF(CR$3=$K581,IF($C581="L",1,IF($C581="1/2L",0.5,0)),0)</f>
        <v>0</v>
      </c>
      <c r="CT581" s="145">
        <f>IF(CT$3=$K581,IF($C581="W",1,IF($C581="1/2W",0.5,0)),0)</f>
        <v>0</v>
      </c>
      <c r="CU581" s="146">
        <f>IF(CT$3=$K581,IF($C581="L",1,IF($C581="1/2L",0.5,0)),0)</f>
        <v>0</v>
      </c>
      <c r="CV581" s="146">
        <f>IF(CV$3=$K581,IF($C581="W",1,IF($C581="1/2W",0.5,0)),0)</f>
        <v>0</v>
      </c>
      <c r="CW581" s="146">
        <f>IF(CV$3=$K581,IF($C581="L",1,IF($C581="1/2L",0.5,0)),0)</f>
        <v>0</v>
      </c>
      <c r="CX581" s="146">
        <f>IF(CX$3=$K581,IF($C581="W",1,IF($C581="1/2W",0.5,0)),0)</f>
        <v>0</v>
      </c>
      <c r="CY581" s="146">
        <f>IF(CX$3=$K581,IF($C581="L",1,IF($C581="1/2L",0.5,0)),0)</f>
        <v>0</v>
      </c>
      <c r="CZ581" s="146">
        <f>IF(CZ$3=$K581,IF($C581="W",1,IF($C581="1/2W",0.5,0)),0)</f>
        <v>0</v>
      </c>
      <c r="DA581" s="146">
        <f>IF(CZ$3=$K581,IF($C581="L",1,IF($C581="1/2L",0.5,0)),0)</f>
        <v>0</v>
      </c>
      <c r="DB581" s="146">
        <f>IF(DB$3=$K581,IF($C581="W",1,IF($C581="1/2W",0.5,0)),0)</f>
        <v>0</v>
      </c>
      <c r="DC581" s="146">
        <f>IF(DB$3=$K581,IF($C581="L",1,IF($C581="1/2L",0.5,0)),0)</f>
        <v>0</v>
      </c>
      <c r="DD581" s="146">
        <f>IF(DD$3=$K581,IF($C581="W",1,IF($C581="1/2W",0.5,0)),0)</f>
        <v>0</v>
      </c>
      <c r="DE581" s="147">
        <f>IF(DD$3=$K581,IF($C581="L",1,IF($C581="1/2L",0.5,0)),0)</f>
        <v>0</v>
      </c>
      <c r="DF581" s="143">
        <f>IF(AND(L581&lt;DF$3,$C581="W"),1+DF580,DF580)</f>
        <v>17</v>
      </c>
      <c r="DG581" s="133">
        <f>IF(DF581&gt;DF580,L581+DG580,DG580)</f>
        <v>22.628</v>
      </c>
      <c r="DH581" s="146">
        <f>IF(AND(L581&gt;DH$3,$C581="W"),1+DH580,0+DH580)</f>
        <v>16</v>
      </c>
      <c r="DI581" s="133">
        <f>IF(DH581&gt;DH580,L581+DI580,DI580)</f>
        <v>85.45999999999999</v>
      </c>
      <c r="DJ581" t="s" s="304">
        <f>IF($D580="","",$D580)</f>
        <v>431</v>
      </c>
      <c r="DK581" s="286"/>
    </row>
    <row r="582" ht="14.55" customHeight="1">
      <c r="A582" s="149"/>
      <c r="B582" s="150"/>
      <c r="C582" t="s" s="151">
        <v>58</v>
      </c>
      <c r="D582" s="152"/>
      <c r="E582" s="153"/>
      <c r="F582" s="155"/>
      <c r="G582" s="252"/>
      <c r="H582" s="156"/>
      <c r="I582" s="287"/>
      <c r="J582" s="288"/>
      <c r="K582" s="156"/>
      <c r="L582" s="289"/>
      <c r="M582" s="290"/>
      <c r="N582" s="161"/>
      <c r="O582" t="s" s="162">
        <f>IF(OR(AE580="",AE581=""),"",IF(L582&gt;0,ROUND(IF(M582&gt;0,M582,IF(M580&gt;0,ROUND((M580*AE582)/AE580,IF(N580=0,2,IF(N580=0.1,1,0))),IF(M581&gt;0,ROUND((M581*AE582)/AE581,IF(N580=0,2,IF(N580=0.1,1,0))),IF(M582&gt;0,M582,0)))),2),""))</f>
      </c>
      <c r="P582" t="s" s="163">
        <f>IF(I581="Lay",O581*(L581/(L581-1))-O581,IF(I580="Lay",O580*(L580/(L580-1))-O580,IF(OR(L582="",O582=""),"",IF($C582="1/2W",O582/2+O582/2*L582,IF($C582="1/2L",O582/2,(O582*L582-O582)*(1-_xlfn.XLOOKUP(K582,'Janeiro 2023 - Valor Real'!A3:A15,'Janeiro 2023 - Valor Real'!C3:C15,0))+O582)))))</f>
      </c>
      <c r="Q582" t="s" s="154">
        <f>IF(K582="","",IF(_xlfn.XLOOKUP(K582,K$121:K361,DJ$121:DJ361,0,,-1)=DJ582,_xlfn.XLOOKUP(K582,K$121:K361,Q$121:Q361,1,,-1)+1,1))</f>
      </c>
      <c r="R582" t="s" s="163">
        <f>IF(K582="","",_xlfn.XLOOKUP(K582,K$121:K361,R$121:R361,0,,-1)+IF($C582=" ",1,0))</f>
      </c>
      <c r="S582" s="166"/>
      <c r="T582" s="155"/>
      <c r="U582" s="155"/>
      <c r="V582" s="166"/>
      <c r="W582" s="155"/>
      <c r="X582" s="167"/>
      <c r="Y582" s="128"/>
      <c r="Z582" s="129"/>
      <c r="AA582" s="129"/>
      <c r="AB582" s="129"/>
      <c r="AC582" s="129"/>
      <c r="AD582" s="168"/>
      <c r="AE582" t="s" s="169">
        <f>IF(L582="","",(SUM(((L580-1)*(1-_xlfn.XLOOKUP(K580,'Janeiro 2023 - Valor Real'!A3:A15,'Janeiro 2023 - Valor Real'!C3:C15,0))+1),((L581-1)*(1-_xlfn.XLOOKUP(K581,'Janeiro 2023 - Valor Real'!A3:A15,'Janeiro 2023 - Valor Real'!C3:C15,0))+1),((L582-1)*(1-_xlfn.XLOOKUP(K582,'Janeiro 2023 - Valor Real'!A3:A15,'Janeiro 2023 - Valor Real'!C3:C15,0))+1))/((L582-1)*(1-_xlfn.XLOOKUP(K582,'Janeiro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Real'!C3:C15,0))+1))/((L580-1)*(1-_xlfn.XLOOKUP(K580,'Janeiro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Real'!C3:C15,0))+1))/((L581-1)*(1-_xlfn.XLOOKUP(K581,'Janeiro 2023 - Valor Real'!A3:A15,'Janeiro 2023 - Valor Real'!C3:C15,0))+1)+SUM(((L580-1)*(1-_xlfn.XLOOKUP(K580,'Janeiro 2023 - Valor Real'!A3:A15,'Janeiro 2023 - Valor Real'!C3:C15,0))+1),((L581-1)*(1-_xlfn.XLOOKUP(K581,'Janeiro 2023 - Valor Real'!A3:A15,'Janeiro 2023 - Valor Real'!C3:C15,0))+1),((L582-1)*(1-_xlfn.XLOOKUP(K582,'Janeiro 2023 - Valor Real'!A3:A15,'Janeiro 2023 - Valor Real'!C3:C15,0))+1))/((L582-1)*(1-_xlfn.XLOOKUP(K582,'Janeiro 2023 - Valor Real'!A3:A15,'Janeiro 2023 - Valor Real'!C3:C15,0))+1)))</f>
      </c>
      <c r="AF582" s="132">
        <f>IF($K582=AF$3,ROUND(IF(OR($C582="W",$C582="1/2W",$C582="1/2L"),$P582-$O582,IF($C582="X",0,-$O582)),2),0)</f>
        <v>0</v>
      </c>
      <c r="AG582" s="133">
        <f>IF($K582=AG$3,ROUND(IF(OR($C582="W",$C582="1/2W",$C582="1/2L"),$P582-$O582,IF($C582="X",0,-$O582)),2),0)</f>
        <v>0</v>
      </c>
      <c r="AH582" s="133">
        <f>IF($K582=AH$3,ROUND(IF(OR($C582="W",$C582="1/2W",$C582="1/2L"),$P582-$O582,IF($C582="X",0,-$O582)),2),0)</f>
        <v>0</v>
      </c>
      <c r="AI582" s="133">
        <f>IF($K582=AI$3,ROUND(IF(OR($C582="W",$C582="1/2W",$C582="1/2L"),$P582-$O582,IF($C582="X",0,-$O582)),2),0)</f>
        <v>0</v>
      </c>
      <c r="AJ582" s="133">
        <f>IF($K582=AJ$3,ROUND(IF(OR($C582="W",$C582="1/2W",$C582="1/2L"),$P582-$O582,IF($C582="X",0,-$O582)),2),0)</f>
        <v>0</v>
      </c>
      <c r="AK582" s="133">
        <f>IF($K582=AK$3,ROUND(IF(OR($C582="W",$C582="1/2W",$C582="1/2L"),$P582-$O582,IF($C582="X",0,-$O582)),2),0)</f>
        <v>0</v>
      </c>
      <c r="AL582" s="133">
        <f>IF($K582=AL$3,ROUND(IF(OR($C582="W",$C582="1/2W",$C582="1/2L"),$P582-$O582,IF($C582="X",0,-$O582)),2),0)</f>
        <v>0</v>
      </c>
      <c r="AM582" s="133">
        <f>IF($K582=AM$3,ROUND(IF(OR($C582="W",$C582="1/2W",$C582="1/2L"),$P582-$O582,IF($C582="X",0,-$O582)),2),0)</f>
        <v>0</v>
      </c>
      <c r="AN582" s="133">
        <f>IF($K582=AN$3,ROUND(IF(OR($C582="W",$C582="1/2W",$C582="1/2L"),$P582-$O582,IF($C582="X",0,-$O582)),2),0)</f>
        <v>0</v>
      </c>
      <c r="AO582" s="133">
        <f>IF($K582=AO$3,ROUND(IF(OR($C582="W",$C582="1/2W",$C582="1/2L"),$P582-$O582,IF($C582="X",0,-$O582)),2),0)</f>
        <v>0</v>
      </c>
      <c r="AP582" s="133">
        <f>IF($K582=AP$3,ROUND(IF(OR($C582="W",$C582="1/2W",$C582="1/2L"),$P582-$O582,IF($C582="X",0,-$O582)),2),0)</f>
        <v>0</v>
      </c>
      <c r="AQ582" s="133">
        <f>IF($K582=AQ$3,ROUND(IF(OR($C582="W",$C582="1/2W",$C582="1/2L"),$P582-$O582,IF($C582="X",0,-$O582)),2),0)</f>
        <v>0</v>
      </c>
      <c r="AR582" s="134">
        <f>IF($K582=AR$3,ROUND(IF(OR($C582="W",$C582="1/2W",$C582="1/2L"),$P582-$O582,IF($C582="X",0,-$O582)),2),0)</f>
        <v>0</v>
      </c>
      <c r="AS582" s="132">
        <f>IF(AND($B580=" ",$K582=AS$3),$O582,0)</f>
        <v>0</v>
      </c>
      <c r="AT582" s="133">
        <f>IF(AND($B580=" ",K582=AT$3),$O582,0)</f>
        <v>0</v>
      </c>
      <c r="AU582" s="133">
        <f>IF(AND($B580=" ",$K582=AU$3),$O582,0)</f>
        <v>0</v>
      </c>
      <c r="AV582" s="133">
        <f>IF(AND($B580=" ",$K582=AV$3),$O582,0)</f>
        <v>0</v>
      </c>
      <c r="AW582" s="133">
        <f>IF(AND($B580=" ",$K582=AW$3),$O582,0)</f>
        <v>0</v>
      </c>
      <c r="AX582" s="133">
        <f>IF(AND($B580=" ",$K582=AX$3),$O582,0)</f>
        <v>0</v>
      </c>
      <c r="AY582" s="135">
        <f>IF(AND($B580=" ",$K582=AY$3),$O582,0)</f>
        <v>0</v>
      </c>
      <c r="AZ582" s="136">
        <f>IF(AND($B580=" ",$K582=AZ$3),$O582,0)</f>
        <v>0</v>
      </c>
      <c r="BA582" s="136">
        <f>IF(AND($B580=" ",$K582=BA$3),$O582,0)</f>
        <v>0</v>
      </c>
      <c r="BB582" s="136">
        <f>IF(AND($B580=" ",$K582=BB$3),$O582,0)</f>
        <v>0</v>
      </c>
      <c r="BC582" s="137">
        <f>IF(AND($B580=" ",$K582=BC$3),$O582,0)</f>
        <v>0</v>
      </c>
      <c r="BD582" s="133">
        <f>IF(AND($B580=" ",$K582=BD$3),$O582,0)</f>
        <v>0</v>
      </c>
      <c r="BE582" s="134">
        <f>IF(AND($B580=" ",$K582=BE$3),$O582,0)</f>
        <v>0</v>
      </c>
      <c r="BF582" s="132">
        <f>IF($K582=BF$3,IF($C582="X",0,$O582),0)</f>
        <v>0</v>
      </c>
      <c r="BG582" s="281">
        <f>IF($K582=BG$3,IF($C582="X",0,$O582),0)</f>
        <v>0</v>
      </c>
      <c r="BH582" s="133">
        <f>IF($K582=BH$3,IF($C582="X",0,$O582),0)</f>
        <v>0</v>
      </c>
      <c r="BI582" s="133">
        <f>IF($K582=BI$3,IF($C582="X",0,$O582),0)</f>
        <v>0</v>
      </c>
      <c r="BJ582" s="133">
        <f>IF($K582=BJ$3,IF($C582="X",0,$O582),0)</f>
        <v>0</v>
      </c>
      <c r="BK582" s="133">
        <f>IF($K582=BK$3,IF($C582="X",0,$O582),0)</f>
        <v>0</v>
      </c>
      <c r="BL582" s="133">
        <f>IF($K582=BL$3,IF($C582="X",0,$O582),0)</f>
        <v>0</v>
      </c>
      <c r="BM582" s="135">
        <f>IF($K582=BM$3,IF($C582="X",0,$O582),0)</f>
        <v>0</v>
      </c>
      <c r="BN582" s="136">
        <f>IF($K582=BN$3,IF($C582="X",0,$O582),0)</f>
        <v>0</v>
      </c>
      <c r="BO582" s="136">
        <f>IF($K582=BO$3,IF($C582="X",0,$O582),0)</f>
        <v>0</v>
      </c>
      <c r="BP582" s="136">
        <f>IF($K582=BP$3,IF($C582="X",0,$O582),0)</f>
        <v>0</v>
      </c>
      <c r="BQ582" s="137">
        <f>IF($K582=BQ$3,IF($C582="X",0,$O582),0)</f>
        <v>0</v>
      </c>
      <c r="BR582" s="134">
        <f>IF($K582=BR$3,IF($C582="X",0,$O582),0)</f>
        <v>0</v>
      </c>
      <c r="BS582" s="282"/>
      <c r="BT582" s="283"/>
      <c r="BU582" s="140"/>
      <c r="BV582" s="283"/>
      <c r="BW582" s="140"/>
      <c r="BX582" s="140"/>
      <c r="BY582" s="140"/>
      <c r="BZ582" s="283"/>
      <c r="CA582" s="140"/>
      <c r="CB582" s="140"/>
      <c r="CC582" s="140"/>
      <c r="CD582" s="141"/>
      <c r="CE582" s="142"/>
      <c r="CF582" s="284">
        <f>IF(CF$3=$K582,IF($C582="W",1,IF($C582="1/2W",0.5,0)),0)</f>
        <v>0</v>
      </c>
      <c r="CG582" s="285">
        <f>IF(CF$3=$K582,IF($C582="L",1,IF($C582="1/2L",0.5,0)),0)</f>
        <v>0</v>
      </c>
      <c r="CH582" s="285">
        <f>IF(CH$3=$K582,IF($C582="W",1,IF($C582="1/2W",0.5,0)),0)</f>
        <v>0</v>
      </c>
      <c r="CI582" s="285">
        <f>IF(CH$3=$K582,IF($C582="L",1,IF($C582="1/2L",0.5,0)),0)</f>
        <v>0</v>
      </c>
      <c r="CJ582" s="285">
        <f>IF(CJ$3=$K582,IF($C582="W",1,IF($C582="1/2W",0.5,0)),0)</f>
        <v>0</v>
      </c>
      <c r="CK582" s="285">
        <f>IF(CJ$3=$K582,IF($C582="L",1,IF($C582="1/2L",0.5,0)),0)</f>
        <v>0</v>
      </c>
      <c r="CL582" s="285">
        <f>IF(CL$3=$K582,IF($C582="W",1,IF($C582="1/2W",0.5,0)),0)</f>
        <v>0</v>
      </c>
      <c r="CM582" s="285">
        <f>IF(CL$3=$K582,IF($C582="L",1,IF($C582="1/2L",0.5,0)),0)</f>
        <v>0</v>
      </c>
      <c r="CN582" s="285">
        <f>IF(CN$3=$K582,IF($C582="W",1,IF($C582="1/2W",0.5,0)),0)</f>
        <v>0</v>
      </c>
      <c r="CO582" s="285">
        <f>IF(CN$3=$K582,IF($C582="L",1,IF($C582="1/2L",0.5,0)),0)</f>
        <v>0</v>
      </c>
      <c r="CP582" s="285">
        <f>IF(CP$3=$K582,IF($C582="W",1,IF($C582="1/2W",0.5,0)),0)</f>
        <v>0</v>
      </c>
      <c r="CQ582" s="285">
        <f>IF(CP$3=$K582,IF($C582="L",1,IF($C582="1/2L",0.5,0)),0)</f>
        <v>0</v>
      </c>
      <c r="CR582" s="285">
        <f>IF(CR$3=$K582,IF($C582="W",1,IF($C582="1/2W",0.5,0)),0)</f>
        <v>0</v>
      </c>
      <c r="CS582" s="285">
        <f>IF(CR$3=$K582,IF($C582="L",1,IF($C582="1/2L",0.5,0)),0)</f>
        <v>0</v>
      </c>
      <c r="CT582" s="145">
        <f>IF(CT$3=$K582,IF($C582="W",1,IF($C582="1/2W",0.5,0)),0)</f>
        <v>0</v>
      </c>
      <c r="CU582" s="146">
        <f>IF(CT$3=$K582,IF($C582="L",1,IF($C582="1/2L",0.5,0)),0)</f>
        <v>0</v>
      </c>
      <c r="CV582" s="146">
        <f>IF(CV$3=$K582,IF($C582="W",1,IF($C582="1/2W",0.5,0)),0)</f>
        <v>0</v>
      </c>
      <c r="CW582" s="146">
        <f>IF(CV$3=$K582,IF($C582="L",1,IF($C582="1/2L",0.5,0)),0)</f>
        <v>0</v>
      </c>
      <c r="CX582" s="146">
        <f>IF(CX$3=$K582,IF($C582="W",1,IF($C582="1/2W",0.5,0)),0)</f>
        <v>0</v>
      </c>
      <c r="CY582" s="146">
        <f>IF(CX$3=$K582,IF($C582="L",1,IF($C582="1/2L",0.5,0)),0)</f>
        <v>0</v>
      </c>
      <c r="CZ582" s="146">
        <f>IF(CZ$3=$K582,IF($C582="W",1,IF($C582="1/2W",0.5,0)),0)</f>
        <v>0</v>
      </c>
      <c r="DA582" s="146">
        <f>IF(CZ$3=$K582,IF($C582="L",1,IF($C582="1/2L",0.5,0)),0)</f>
        <v>0</v>
      </c>
      <c r="DB582" s="146">
        <f>IF(DB$3=$K582,IF($C582="W",1,IF($C582="1/2W",0.5,0)),0)</f>
        <v>0</v>
      </c>
      <c r="DC582" s="146">
        <f>IF(DB$3=$K582,IF($C582="L",1,IF($C582="1/2L",0.5,0)),0)</f>
        <v>0</v>
      </c>
      <c r="DD582" s="146">
        <f>IF(DD$3=$K582,IF($C582="W",1,IF($C582="1/2W",0.5,0)),0)</f>
        <v>0</v>
      </c>
      <c r="DE582" s="147">
        <f>IF(DD$3=$K582,IF($C582="L",1,IF($C582="1/2L",0.5,0)),0)</f>
        <v>0</v>
      </c>
      <c r="DF582" s="143">
        <f>IF(AND(L582&lt;DF$3,$C582="W"),1+DF581,DF581)</f>
        <v>17</v>
      </c>
      <c r="DG582" s="133">
        <f>IF(DF582&gt;DF581,L582+DG581,DG581)</f>
        <v>22.628</v>
      </c>
      <c r="DH582" s="146">
        <f>IF(AND(L582&gt;DH$3,$C582="W"),1+DH581,0+DH581)</f>
        <v>16</v>
      </c>
      <c r="DI582" s="133">
        <f>IF(DH582&gt;DH581,L582+DI581,DI581)</f>
        <v>85.45999999999999</v>
      </c>
      <c r="DJ582" t="s" s="304">
        <f>IF($D580="","",$D580)</f>
        <v>431</v>
      </c>
      <c r="DK582" s="286"/>
    </row>
    <row r="583" ht="14.55" customHeight="1">
      <c r="A583" s="171">
        <f>$A580+1</f>
        <v>194</v>
      </c>
      <c r="B583" t="s" s="172">
        <f>IF(AND(_xlfn.XLOOKUP(H583,H$122:H356,G$122:G356,0)=G583,_xlfn.XLOOKUP("TempoBet",K583:K585,L583:L585,0)&gt;0),"X",IF(OR(C583="W",C584="W",C585="W",C583="1/2W",C584="1/2W",C585="1/2W",C583="1/2L",C584="1/2L",C585="1/2L"),"OK",IF(OR(C583="L",C584="L",C585="L"),"LOSS",IF(OR(C583="X",C584="X",C585="X"),"Anulado"," "))))</f>
        <v>50</v>
      </c>
      <c r="C583" t="s" s="173">
        <v>56</v>
      </c>
      <c r="D583" t="s" s="305">
        <f>IF(G583="","",$D580)</f>
        <v>431</v>
      </c>
      <c r="E583" t="s" s="175">
        <f>IF(G583=""," ","– "&amp;COUNTIF(D$4:D585,$D583))</f>
        <v>108</v>
      </c>
      <c r="F583" t="s" s="176"/>
      <c r="G583" s="177">
        <v>44953.416666666664</v>
      </c>
      <c r="H583" t="s" s="178">
        <v>435</v>
      </c>
      <c r="I583" t="s" s="179">
        <v>54</v>
      </c>
      <c r="J583" s="291">
        <v>1</v>
      </c>
      <c r="K583" t="s" s="181">
        <v>44</v>
      </c>
      <c r="L583" s="182">
        <v>2</v>
      </c>
      <c r="M583" s="183"/>
      <c r="N583" s="184">
        <v>0</v>
      </c>
      <c r="O583" s="185">
        <f>IF(OR(AE583="",AE584=""),"",ROUND(IF(L585&gt;0,IF(M583&gt;0,M583,IF(M584&gt;0,ROUND((M584*AE583)/AE584,IF(N583=0,2,IF(N583=0.1,1,0))),ROUND((M585*AE583)/AE585,IF(N583=0,2,IF(N583=0.1,1,0))))),IF(M583&gt;0,M583,ROUND((M584*AE583)/AE584,IF(N583=0,2,IF(N583=0.1,1,0))))),2))</f>
        <v>9.06</v>
      </c>
      <c r="P583" s="186">
        <f>IF(OR(L583="",O583=""),"",IF($C583="1/2W",O583/2+O583/2*L583,IF($C583="1/2L",O583/2,IF(I583="Lay",(O583*(L583/(L583-1))-O583)*(1-_xlfn.XLOOKUP(K583,'Janeiro 2023 - Valor Real'!A3:A15,'Janeiro 2023 - Valor Real'!C3:C15,0))+O583,(O583*L583-O583)*(1-_xlfn.XLOOKUP(K583,'Janeiro 2023 - Valor Real'!A3:A15,'Janeiro 2023 - Valor Real'!C3:C15,0))+O583))))</f>
        <v>18.12</v>
      </c>
      <c r="Q583" s="187">
        <f>IF(K583="","",IF(_xlfn.XLOOKUP(K583,K$122:K356,DJ$122:DJ356,0,,-1)=DJ583,_xlfn.XLOOKUP(K583,K$122:K356,Q$122:Q356,1,,-1)+1,1))</f>
        <v>1</v>
      </c>
      <c r="R583" s="188">
        <f>IF(K583="","",_xlfn.XLOOKUP(K583,K$122:K356,R$122:R356,0,,-1)+IF($C583=" ",1,0))</f>
        <v>0</v>
      </c>
      <c r="S583" s="189">
        <f>IF($B583="Anulado",0,ROUND(IF(OR($B583="LOSS",$B583="OK"),IF(OR($C583="W",$C583="1/2W",$C583="1/2L"),P583-O583,IF($C583="L",-O583,0))+IF(OR($C584="W",$C584="1/2W",$C584="1/2L"),P584-O584,IF($C584="L",-O584,0))+IF(OR($C585="W",$C585="1/2W",$C585="1/2L"),P585-O585,IF($C585="L",-O585,0)),IF(AND(OR($C583="W",$C583="1/2W",$C583="1/2L"),C584="W"),P583+P584-SUM(O583:O585)+_xlfn.XLOOKUP("X",C583:C585,O583:O585,0),IF(AND(C583=TRUE,C585="W"),P583+P585-SUM(O583:O585),IF(AND(C584="W",C585="W"),P584+P585-SUM(O583:O585)+_xlfn.XLOOKUP("X",C583:C585,O583:O585,0),IF(L585&gt;0,IF(OR($C583="W",$C583="1/2W",$C583="1/2L"),P583-SUM(O583:O585)+_xlfn.XLOOKUP("X",C583:C585,O583:O585,0),IF(OR($C583="W",$C583="1/2W",$C583="1/2L"),P584-SUM(O583:O585)+_xlfn.XLOOKUP("X",C583:C585,O583:O585,0),IF(OR($C583="W",$C583="1/2W",$C583="1/2L"),P585-SUM(O583:O585)+_xlfn.XLOOKUP("X",C583:C585,O583:O585,0),IF(SUM(P583:P585)/3-SUM(O583:O585)+_xlfn.XLOOKUP("X",C583:C585,O583:O585,0)&gt;0,SUM(P583:P585)/3-SUM(O583:O585)+_xlfn.XLOOKUP("X",C583:C585,O583:O585,0),LARGE(P583:P585,1)-SUM(O583:O585))))),IF(OR($C583="W",$C583="1/2W",$C583="1/2L"),P583-SUM(O583:O584)+_xlfn.XLOOKUP("X",C583:C585,O583:O585,0),IF(OR($C583="W",$C583="1/2W",$C583="1/2L"),P584-SUM(O583:O584)+_xlfn.XLOOKUP("X",C583:C585,O583:O585,0),SUM(P583:P584)/2-SUM(O583:O584)+_xlfn.XLOOKUP("X",C583:C585,O583:O585,0)))))))),2))</f>
        <v>2.2</v>
      </c>
      <c r="T583" s="190">
        <f>IF(S583=0,0,S583/SUM(O583:O585))</f>
        <v>0.138190954773869</v>
      </c>
      <c r="U583" s="191">
        <f>IF($D583=$D580,IF(OR($B583="LOSS",$B583="OK",$B583="Anulada"),S583,0)+U580,IF(OR($B583="LOSS",$B583="OK",$B583="Anulada"),S583,0))</f>
        <v>5.38</v>
      </c>
      <c r="V583" s="191">
        <f>IF($D583="",0,IF($D583=$D580,IF($B583=" ",IF(I585="",IF(OR(AND(I583="DNB1",I584="DNB2"),AND(OR(I583="DNB1",I583="DNB2"),J584=0),AND(OR(I584="DNB1",I584="DNB2"),J583=0),AND(I583="DNB2",I584="DNB1"),AND(IF(J583=0,(J583+1)/ROUND(J583+1,0),J583/ROUND(J583,0))=1,IF(J584=0,(J584+1)/ROUND(IF(J584="",0,J584)+1,0),IF(J584="",0,J584)/ROUND(IF(J584="",1,J584),0))=1,OR(J583&lt;&gt;""),J584&lt;&gt;"")),0,IF(S583&lt;0,IF(I585="",SMALL(P583:P584,1)-SUM(O583:O584),0),SMALL(P583:P584,1)-SUM(O583:O584))),IF(S583&lt;0,IF(I585="",SMALL(P583:P585,1)-SUM(O583:O585),0),LARGE(P583:P585,1)-SUM(O583:O585))),S583)+V580,IF(I585="",IF(OR(AND(I583="DNB1",I584="DNB2"),AND(OR(I583="DNB1",I583="DNB2"),J584=0),AND(OR(I584="DNB1",I584="DNB2"),J583=0),AND(I583="DNB2",I584="DNB1"),AND(IF(J583=0,(J583+1)/ROUND(J583+1,0),J583/ROUND(J583,0))=1,IF(J584=0,(IF(J584="",0,J584)+1)/ROUND(IF(J584="",0,J584)+1,0),IF(J584="",0,J584)/ROUND(IF(J584="",0,J584)+1,0))=1,OR(J583&lt;&gt;""),J584&lt;&gt;"")),0,IF(S583&lt;0,IF(I585="",SMALL(P583:P584,1)-SUM(O583:O584),0),SMALL(P583:P585,1)-SUM(O583:O585))),IF(S583&lt;0,IF(I585="",SMALL(P583:P585,1)-SUM(O583:O585),0),LARGE(P583:P585,1)-SUM(O583:O585)))))</f>
        <v>5.352</v>
      </c>
      <c r="W583" s="191">
        <f>IF($D583=$D580,IF(S583&lt;0,IF(I585="",S583,0),S583)+W580,S583)</f>
        <v>5.38</v>
      </c>
      <c r="X583" t="s" s="192">
        <f>IF(OR(SUM(R583:R585)=0,V583=W583),ROUND(IF(W583=0,0,W583/Y583)*100,2)&amp;"%",ROUND(IF(V583=0,0,V583/Y583)*100,2)&amp;"% a "&amp;ROUND(IF(W583=0,0,W583/Y583)*100,2)&amp;"%")</f>
        <v>436</v>
      </c>
      <c r="Y583" s="193">
        <f>IF($D583=$D580,Y580+SUM(O583:O585),SUM(O583:O585))</f>
        <v>70.03</v>
      </c>
      <c r="Z583" s="191">
        <f>IF($B583=" ",SUM(O583:O585),0)+Z580</f>
        <v>0</v>
      </c>
      <c r="AA583" s="191">
        <f>IF(G583="","",IF($B583="Anulado",LARGE(P583:P585,1)-SUM(O583:O585)+AA580,AA580))</f>
        <v>24.9665076923077</v>
      </c>
      <c r="AB583" s="191">
        <f>IF($D583="","",AB580+S583)</f>
        <v>393.71</v>
      </c>
      <c r="AC583" s="194">
        <f>IF($D583="","",IF($B583=" ",IF(DAY(G583)=DAY(TODAY()),1+AC580,0+AC580),0+AC580))</f>
        <v>0</v>
      </c>
      <c r="AD583" s="195">
        <f>(((L584/(L584-1)-1)*(1-_xlfn.XLOOKUP(K584,'Janeiro 2023 - Valor Real'!A3:A15,'Janeiro 2023 - Valor Real'!C3:C15,0))+1))/(((L583-1)*(1-_xlfn.XLOOKUP(K583,'Janeiro 2023 - Valor Real'!A3:A15,'Janeiro 2023 - Valor Real'!C3:C15,0))+1)+((L584/(L584-1)-1)*(1-_xlfn.XLOOKUP(K584,'Janeiro 2023 - Valor Real'!A3:A15,'Janeiro 2023 - Valor Real'!C3:C15,0))+1))</f>
        <v>0.445945945945946</v>
      </c>
      <c r="AE583" s="196">
        <f>IF(L583="","",IF(L585&gt;0,(SUM(((L583-1)*(1-_xlfn.XLOOKUP(K583,'Janeiro 2023 - Valor Real'!A3:A15,'Janeiro 2023 - Valor Real'!C3:C15,0))+1),((L584-1)*(1-_xlfn.XLOOKUP(K584,'Janeiro 2023 - Valor Real'!A3:A15,'Janeiro 2023 - Valor Real'!C3:C15,0))+1),((L585-1)*(1-_xlfn.XLOOKUP(K585,'Janeiro 2023 - Valor Real'!A3:A15,'Janeiro 2023 - Valor Real'!C3:C15,0))+1))/((L583-1)*(1-_xlfn.XLOOKUP(K583,'Janeiro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Real'!C3:C15,0))+1))/((L583-1)*(1-_xlfn.XLOOKUP(K583,'Janeiro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Real'!C3:C15,0))+1))/((L584-1)*(1-_xlfn.XLOOKUP(K584,'Janeiro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Real'!C3:C15,0))+1))/((L585-1)*(1-_xlfn.XLOOKUP(K585,'Janeiro 2023 - Valor Real'!A3:A15,'Janeiro 2023 - Valor Real'!C3:C15,0))+1)),IF(I583="Lay",IF(I584="Lay",((L584/(L584-1)-1)*(1-_xlfn.XLOOKUP(K584,'Janeiro 2023 - Valor Real'!A3:A15,'Janeiro 2023 - Valor Real'!C3:C15,0))+1)/(((L584/(L584-1)-1)*(1-_xlfn.XLOOKUP(K584,'Janeiro 2023 - Valor Real'!A3:A15,'Janeiro 2023 - Valor Real'!C3:C15,0))+1)+((L583/(L583-1)-1)*(1-_xlfn.XLOOKUP(K583,'Janeiro 2023 - Valor Real'!A3:A15,'Janeiro 2023 - Valor Real'!C3:C15,0))+1)),((L584-1)*(1-_xlfn.XLOOKUP(K584,'Janeiro 2023 - Valor Real'!A3:A15,'Janeiro 2023 - Valor Real'!C3:C15,0))+1)/(((L584-1)*(1-_xlfn.XLOOKUP(K584,'Janeiro 2023 - Valor Real'!A3:A15,'Janeiro 2023 - Valor Real'!C3:C15,0))+1)+((L583/(L583-1)-1)*(1-_xlfn.XLOOKUP(K583,'Janeiro 2023 - Valor Real'!A3:A15,'Janeiro 2023 - Valor Real'!C3:C15,0))+1))),IF(I584="Lay",(((L584/(L584-1)-1)*(1-_xlfn.XLOOKUP(K584,'Janeiro 2023 - Valor Real'!A3:A15,'Janeiro 2023 - Valor Real'!C3:C15,0))+1))/(((L583-1)*(1-_xlfn.XLOOKUP(K583,'Janeiro 2023 - Valor Real'!A3:A15,'Janeiro 2023 - Valor Real'!C3:C15,0))+1)+((L584/(L584-1)-1)*(1-_xlfn.XLOOKUP(K584,'Janeiro 2023 - Valor Real'!A3:A15,'Janeiro 2023 - Valor Real'!C3:C15,0))+1)),((L584-1)*(1-_xlfn.XLOOKUP(K584,'Janeiro 2023 - Valor Real'!A3:A15,'Janeiro 2023 - Valor Real'!C3:C15,0))+1)/(((L584-1)*(1-_xlfn.XLOOKUP(K584,'Janeiro 2023 - Valor Real'!A3:A15,'Janeiro 2023 - Valor Real'!C3:C15,0))+1)+((L583-1)*(1-_xlfn.XLOOKUP(K583,'Janeiro 2023 - Valor Real'!A3:A15,'Janeiro 2023 - Valor Real'!C3:C15,0))+1))))))</f>
        <v>0.568965517241379</v>
      </c>
      <c r="AF583" s="197">
        <f>IF($K583=AF$3,ROUND(IF(OR($C583="W",$C583="1/2W",$C583="1/2L"),$P583-$O583,IF($C583="X",0,-$O583)),2),0)</f>
        <v>0</v>
      </c>
      <c r="AG583" s="198">
        <f>IF($K583=AG$3,ROUND(IF(OR($C583="W",$C583="1/2W",$C583="1/2L"),$P583-$O583,IF($C583="X",0,-$O583)),2),0)</f>
        <v>0</v>
      </c>
      <c r="AH583" s="198">
        <f>IF($K583=AH$3,ROUND(IF(OR($C583="W",$C583="1/2W",$C583="1/2L"),$P583-$O583,IF($C583="X",0,-$O583)),2),0)</f>
        <v>0</v>
      </c>
      <c r="AI583" s="198">
        <f>IF($K583=AI$3,ROUND(IF(OR($C583="W",$C583="1/2W",$C583="1/2L"),$P583-$O583,IF($C583="X",0,-$O583)),2),0)</f>
        <v>0</v>
      </c>
      <c r="AJ583" s="198">
        <f>IF($K583=AJ$3,ROUND(IF(OR($C583="W",$C583="1/2W",$C583="1/2L"),$P583-$O583,IF($C583="X",0,-$O583)),2),0)</f>
        <v>0</v>
      </c>
      <c r="AK583" s="198">
        <f>IF($K583=AK$3,ROUND(IF(OR($C583="W",$C583="1/2W",$C583="1/2L"),$P583-$O583,IF($C583="X",0,-$O583)),2),0)</f>
        <v>0</v>
      </c>
      <c r="AL583" s="198">
        <f>IF($K583=AL$3,ROUND(IF(OR($C583="W",$C583="1/2W",$C583="1/2L"),$P583-$O583,IF($C583="X",0,-$O583)),2),0)</f>
        <v>0</v>
      </c>
      <c r="AM583" s="198">
        <f>IF($K583=AM$3,ROUND(IF(OR($C583="W",$C583="1/2W",$C583="1/2L"),$P583-$O583,IF($C583="X",0,-$O583)),2),0)</f>
        <v>9.06</v>
      </c>
      <c r="AN583" s="198">
        <f>IF($K583=AN$3,ROUND(IF(OR($C583="W",$C583="1/2W",$C583="1/2L"),$P583-$O583,IF($C583="X",0,-$O583)),2),0)</f>
        <v>0</v>
      </c>
      <c r="AO583" s="198">
        <f>IF($K583=AO$3,ROUND(IF(OR($C583="W",$C583="1/2W",$C583="1/2L"),$P583-$O583,IF($C583="X",0,-$O583)),2),0)</f>
        <v>0</v>
      </c>
      <c r="AP583" s="198">
        <f>IF($K583=AP$3,ROUND(IF(OR($C583="W",$C583="1/2W",$C583="1/2L"),$P583-$O583,IF($C583="X",0,-$O583)),2),0)</f>
        <v>0</v>
      </c>
      <c r="AQ583" s="198">
        <f>IF($K583=AQ$3,ROUND(IF(OR($C583="W",$C583="1/2W",$C583="1/2L"),$P583-$O583,IF($C583="X",0,-$O583)),2),0)</f>
        <v>0</v>
      </c>
      <c r="AR583" s="199">
        <f>IF($K583=AR$3,ROUND(IF(OR($C583="W",$C583="1/2W",$C583="1/2L"),$P583-$O583,IF($C583="X",0,-$O583)),2),0)</f>
        <v>0</v>
      </c>
      <c r="AS583" s="197">
        <f>IF(AND($B583=" ",$K583=AS$3),$O583,0)</f>
        <v>0</v>
      </c>
      <c r="AT583" s="198">
        <f>IF(AND($B583=" ",$K583=AT$3),$O583,0)</f>
        <v>0</v>
      </c>
      <c r="AU583" s="198">
        <f>IF(AND($B583=" ",$K583=AU$3),$O583,0)</f>
        <v>0</v>
      </c>
      <c r="AV583" s="198">
        <f>IF(AND($B583=" ",$K583=AV$3),$O583,0)</f>
        <v>0</v>
      </c>
      <c r="AW583" s="198">
        <f>IF(AND($B583=" ",$K583=AW$3),$O583,0)</f>
        <v>0</v>
      </c>
      <c r="AX583" s="198">
        <f>IF(AND($B583=" ",$K583=AX$3),$O583,0)</f>
        <v>0</v>
      </c>
      <c r="AY583" s="200">
        <f>IF(AND($B583=" ",$K583=AY$3),$O583,0)</f>
        <v>0</v>
      </c>
      <c r="AZ583" s="201">
        <f>IF(AND($B583=" ",$K583=AZ$3),$O583,0)</f>
        <v>0</v>
      </c>
      <c r="BA583" s="201">
        <f>IF(AND($B583=" ",$K583=BA$3),$O583,0)</f>
        <v>0</v>
      </c>
      <c r="BB583" s="201">
        <f>IF(AND($B583=" ",$K583=BB$3),$O583,0)</f>
        <v>0</v>
      </c>
      <c r="BC583" s="202">
        <f>IF(AND($B583=" ",$K583=BC$3),$O583,0)</f>
        <v>0</v>
      </c>
      <c r="BD583" s="198">
        <f>IF(AND($B583=" ",$K583=BD$3),$O583,0)</f>
        <v>0</v>
      </c>
      <c r="BE583" s="199">
        <f>IF(AND($B583=" ",$K583=BE$3),$O583,0)</f>
        <v>0</v>
      </c>
      <c r="BF583" s="203">
        <f>IF($K583=BF$3,IF($C583="X",0,$O583),0)</f>
        <v>0</v>
      </c>
      <c r="BG583" s="198">
        <f>IF($K583=BG$3,IF($C583="X",0,$O583),0)</f>
        <v>0</v>
      </c>
      <c r="BH583" s="198">
        <f>IF($K583=BH$3,IF($C583="X",0,$O583),0)</f>
        <v>0</v>
      </c>
      <c r="BI583" s="198">
        <f>IF($K583=BI$3,IF($C583="X",0,$O583),0)</f>
        <v>0</v>
      </c>
      <c r="BJ583" s="198">
        <f>IF($K583=BJ$3,IF($C583="X",0,$O583),0)</f>
        <v>0</v>
      </c>
      <c r="BK583" s="198">
        <f>IF($K583=BK$3,IF($C583="X",0,$O583),0)</f>
        <v>0</v>
      </c>
      <c r="BL583" s="198">
        <f>IF($K583=BL$3,IF($C583="X",0,$O583),0)</f>
        <v>0</v>
      </c>
      <c r="BM583" s="200">
        <f>IF($K583=BM$3,IF($C583="X",0,$O583),0)</f>
        <v>9.06</v>
      </c>
      <c r="BN583" s="201">
        <f>IF($K583=BN$3,IF($C583="X",0,$O583),0)</f>
        <v>0</v>
      </c>
      <c r="BO583" s="201">
        <f>IF($K583=BO$3,IF($C583="X",0,$O583),0)</f>
        <v>0</v>
      </c>
      <c r="BP583" s="201">
        <f>IF($K583=BP$3,IF($C583="X",0,$O583),0)</f>
        <v>0</v>
      </c>
      <c r="BQ583" s="202">
        <f>IF($K583=BQ$3,IF($C583="X",0,$O583),0)</f>
        <v>0</v>
      </c>
      <c r="BR583" s="199">
        <f>IF($K583=BR$3,IF($C583="X",0,$O583),0)</f>
        <v>0</v>
      </c>
      <c r="BS583" s="204">
        <f>IF($B583="LOSS",IF(AND($K583=BS$3,$C583="L"),-$O583,0)+IF(AND($K584=BS$3,$C584="L"),-$O584,0)+IF(AND($K585=BS$3,$C585="L"),-$O585,0),IF(OR(AND($K583=BS$3,OR($C583="W",$C583="1/2W")),AND($K584=BS$3,OR($C584="W",$C584="1/2W")),AND($K585=BS$3,OR($C585="W",$C585="1/2W"))),$S583,0))</f>
        <v>0</v>
      </c>
      <c r="BT583" s="201">
        <f>IF($B583="LOSS",IF(AND($K583=BT$3,$C583="L"),-$O583,0)+IF(AND($K584=BT$3,$C584="L"),-$O584,0)+IF(AND($K584=BT$3,$C585="L"),-$O585,0),IF(OR(AND($K584=BT$3,OR($C583="W",$C583="1/2W")),AND($K584=BT$3,OR($C584="W",$C584="1/2W")),AND($K584=BT$3,OR($C585="W",$C585="1/2W"))),$S583,0))</f>
        <v>0</v>
      </c>
      <c r="BU583" s="201">
        <f>IF($B583="LOSS",IF(AND($K583=BU$3,$C583="L"),-$O583,0)+IF(AND($K584=BU$3,$C584="L"),-$O584,0)+IF(AND($K584=BU$3,$C585="L"),-$O585,0),IF(OR(AND($K584=BU$3,OR($C583="W",$C583="1/2W")),AND($K584=BU$3,OR($C584="W",$C584="1/2W")),AND($K584=BU$3,OR($C585="W",$C585="1/2W"))),$S583,0))</f>
        <v>0</v>
      </c>
      <c r="BV583" s="201">
        <f>IF($B583="LOSS",IF(AND($K583=BV$3,$C583="L"),-$O583,0)+IF(AND($K584=BV$3,$C584="L"),-$O584,0)+IF(AND($K585=BV$3,$C585="L"),-$O585,0),IF(OR(AND($K583=BV$3,OR($C583="W",$C583="1/2W")),AND($K584=BV$3,OR($C584="W",$C584="1/2W")),AND($K585=BV$3,OR($C585="W",$C585="1/2W"))),$S583,0))</f>
        <v>0</v>
      </c>
      <c r="BW583" s="201">
        <f>IF($B583="LOSS",IF(AND($K583=BW$3,$C583="L"),-$O583,0)+IF(AND($K584=BW$3,$C584="L"),-$O584,0)+IF(AND($K585=BW$3,$C585="L"),-$O585,0),IF(OR(AND($K583=BW$3,OR($C583="W",$C583="1/2W")),AND($K584=BW$3,OR($C584="W",$C584="1/2W")),AND($K585=BW$3,OR($C585="W",$C585="1/2W"))),$S583,0))</f>
        <v>0</v>
      </c>
      <c r="BX583" s="201">
        <f>IF($B583="LOSS",IF(AND($K583=BX$3,$C583="L"),-$O583,0)+IF(AND($K584=BX$3,$C584="L"),-$O584,0)+IF(AND($K585=BX$3,$C585="L"),-$O585,0),IF(OR(AND($K583=BX$3,OR($C583="W",$C583="1/2W")),AND($K584=BX$3,OR($C584="W",$C584="1/2W")),AND($K585=BX$3,OR($C585="W",$C585="1/2W"))),$S583,0))</f>
        <v>0</v>
      </c>
      <c r="BY583" s="201">
        <f>IF($B583="LOSS",IF(AND($K583=BY$3,$C583="L"),-$O583,0)+IF(AND($K584=BY$3,$C584="L"),-$O584,0)+IF(AND($K585=BY$3,$C585="L"),-$O585,0),IF(OR(AND($K583=BY$3,OR($C583="W",$C583="1/2W")),AND($K584=BY$3,OR($C584="W",$C584="1/2W")),AND($K585=BY$3,OR($C585="W",$C585="1/2W"))),$S583,0))</f>
        <v>0</v>
      </c>
      <c r="BZ583" s="205">
        <f>IF($B583="LOSS",IF(AND($K583=BZ$3,$C583="L"),-$O583,0)+IF(AND($K584=BZ$3,$C584="L"),-$O584,0)+IF(AND($K585=BZ$3,$C585="L"),-$O585,0),IF(OR(AND($K583=BZ$3,OR($C583="W",$C583="1/2W")),AND($K584=BZ$3,OR($C584="W",$C584="1/2W")),AND($K585=BZ$3,OR($C585="W",$C585="1/2W"))),$S583,0))</f>
        <v>2.2</v>
      </c>
      <c r="CA583" s="205">
        <f>IF($B583="LOSS",IF(AND($K583=CA$3,$C583="L"),-$O583,0)+IF(AND($K584=CA$3,$C584="L"),-$O584,0)+IF(AND($K585=CA$3,$C585="L"),-$O585,0),IF(OR(AND($K583=CA$3,OR($C583="W",$C583="1/2W")),AND($K584=CA$3,OR($C584="W",$C584="1/2W")),AND($K585=CA$3,OR($C585="W",$C585="1/2W"))),$S583,0))</f>
        <v>0</v>
      </c>
      <c r="CB583" s="205">
        <f>IF($B583="LOSS",IF(AND($K583=CB$3,$C583="L"),-$O583,0)+IF(AND($K584=CB$3,$C584="L"),-$O584,0)+IF(AND($K585=CB$3,$C585="L"),-$O585,0),IF(OR(AND($K583=CB$3,OR($C583="W",$C583="1/2W")),AND($K584=CB$3,OR($C584="W",$C584="1/2W")),AND($K585=CB$3,OR($C585="W",$C585="1/2W"))),$S583,0))</f>
        <v>0</v>
      </c>
      <c r="CC583" s="205">
        <f>IF($B583="LOSS",IF(AND($K583=CC$3,$C583="L"),-$O583,0)+IF(AND($K584=CC$3,$C584="L"),-$O584,0)+IF(AND($K585=CC$3,$C585="L"),-$O585,0),IF(OR(AND($K583=CC$3,OR($C583="W",$C583="1/2W")),AND($K584=CC$3,OR($C584="W",$C584="1/2W")),AND($K585=CC$3,OR($C585="W",$C585="1/2W"))),$S583,0))</f>
        <v>0</v>
      </c>
      <c r="CD583" s="202">
        <f>IF($B583="LOSS",IF(AND($K583=CD$3,$C583="L"),-$O583,0)+IF(AND($K584=CD$3,$C584="L"),-$O584,0)+IF(AND($K585=CD$3,$C585="L"),-$O585,0),IF(OR(AND($K583=CD$3,OR($C583="W",$C583="1/2W")),AND($K584=CD$3,OR($C584="W",$C584="1/2W")),AND($K585=CD$3,OR($C585="W",$C585="1/2W"))),$S583,0))</f>
        <v>0</v>
      </c>
      <c r="CE583" s="199">
        <f>IF($B583="LOSS",IF(AND($K583=CE$3,$C583="L"),-$O583,0)+IF(AND($K584=CE$3,$C584="L"),-$O584,0)+IF(AND($K585=CE$3,$C585="L"),-$O585,0),IF(OR(AND($K583=CE$3,OR($C583="W",$C583="1/2W")),AND($K584=CE$3,OR($C584="W",$C584="1/2W")),AND($K585=CE$3,OR($C585="W",$C585="1/2W"))),$S583,0))</f>
        <v>0</v>
      </c>
      <c r="CF583" s="206">
        <f>IF(CF$3=$K583,IF($C583="W",1,IF($C583="1/2W",0.5,0)),0)</f>
        <v>0</v>
      </c>
      <c r="CG583" s="207">
        <f>IF(CF$3=$K583,IF($C583="L",1,IF($C583="1/2L",0.5,0)),0)</f>
        <v>0</v>
      </c>
      <c r="CH583" s="207">
        <f>IF(CH$3=$K583,IF($C583="W",1,IF($C583="1/2W",0.5,0)),0)</f>
        <v>0</v>
      </c>
      <c r="CI583" s="207">
        <f>IF(CH$3=$K583,IF($C583="L",1,IF($C583="1/2L",0.5,0)),0)</f>
        <v>0</v>
      </c>
      <c r="CJ583" s="207">
        <f>IF(CJ$3=$K583,IF($C583="W",1,IF($C583="1/2W",0.5,0)),0)</f>
        <v>0</v>
      </c>
      <c r="CK583" s="207">
        <f>IF(CJ$3=$K583,IF($C583="L",1,IF($C583="1/2L",0.5,0)),0)</f>
        <v>0</v>
      </c>
      <c r="CL583" s="207">
        <f>IF(CL$3=$K583,IF($C583="W",1,IF($C583="1/2W",0.5,0)),0)</f>
        <v>0</v>
      </c>
      <c r="CM583" s="207">
        <f>IF(CL$3=$K583,IF($C583="L",1,IF($C583="1/2L",0.5,0)),0)</f>
        <v>0</v>
      </c>
      <c r="CN583" s="207">
        <f>IF(CN$3=$K583,IF($C583="W",1,IF($C583="1/2W",0.5,0)),0)</f>
        <v>0</v>
      </c>
      <c r="CO583" s="207">
        <f>IF(CN$3=$K583,IF($C583="L",1,IF($C583="1/2L",0.5,0)),0)</f>
        <v>0</v>
      </c>
      <c r="CP583" s="207">
        <f>IF(CP$3=$K583,IF($C583="W",1,IF($C583="1/2W",0.5,0)),0)</f>
        <v>0</v>
      </c>
      <c r="CQ583" s="207">
        <f>IF(CP$3=$K583,IF($C583="L",1,IF($C583="1/2L",0.5,0)),0)</f>
        <v>0</v>
      </c>
      <c r="CR583" s="207">
        <f>IF(CR$3=$K583,IF($C583="W",1,IF($C583="1/2W",0.5,0)),0)</f>
        <v>0</v>
      </c>
      <c r="CS583" s="207">
        <f>IF(CR$3=$K583,IF($C583="L",1,IF($C583="1/2L",0.5,0)),0)</f>
        <v>0</v>
      </c>
      <c r="CT583" s="208">
        <f>IF(CT$3=$K583,IF($C583="W",1,IF($C583="1/2W",0.5,0)),0)</f>
        <v>1</v>
      </c>
      <c r="CU583" s="209">
        <f>IF(CT$3=$K583,IF($C583="L",1,IF($C583="1/2L",0.5,0)),0)</f>
        <v>0</v>
      </c>
      <c r="CV583" s="209">
        <f>IF(CV$3=$K583,IF($C583="W",1,IF($C583="1/2W",0.5,0)),0)</f>
        <v>0</v>
      </c>
      <c r="CW583" s="209">
        <f>IF(CV$3=$K583,IF($C583="L",1,IF($C583="1/2L",0.5,0)),0)</f>
        <v>0</v>
      </c>
      <c r="CX583" s="209">
        <f>IF(CX$3=$K583,IF($C583="W",1,IF($C583="1/2W",0.5,0)),0)</f>
        <v>0</v>
      </c>
      <c r="CY583" s="209">
        <f>IF(CX$3=$K583,IF($C583="L",1,IF($C583="1/2L",0.5,0)),0)</f>
        <v>0</v>
      </c>
      <c r="CZ583" s="209">
        <f>IF(CZ$3=$K583,IF($C583="W",1,IF($C583="1/2W",0.5,0)),0)</f>
        <v>0</v>
      </c>
      <c r="DA583" s="209">
        <f>IF(CZ$3=$K583,IF($C583="L",1,IF($C583="1/2L",0.5,0)),0)</f>
        <v>0</v>
      </c>
      <c r="DB583" s="209">
        <f>IF(DB$3=$K583,IF($C583="W",1,IF($C583="1/2W",0.5,0)),0)</f>
        <v>0</v>
      </c>
      <c r="DC583" s="209">
        <f>IF(DB$3=$K583,IF($C583="L",1,IF($C583="1/2L",0.5,0)),0)</f>
        <v>0</v>
      </c>
      <c r="DD583" s="209">
        <f>IF(DD$3=$K583,IF($C583="W",1,IF($C583="1/2W",0.5,0)),0)</f>
        <v>0</v>
      </c>
      <c r="DE583" s="210">
        <f>IF(DD$3=$K583,IF($C583="L",1,IF($C583="1/2L",0.5,0)),0)</f>
        <v>0</v>
      </c>
      <c r="DF583" s="211">
        <f>IF(AND(L583&lt;DF$3,$C583="W"),1+DF582,DF582)</f>
        <v>17</v>
      </c>
      <c r="DG583" s="198">
        <f>IF(DF583&gt;DF582,L583+DG582,DG582)</f>
        <v>22.628</v>
      </c>
      <c r="DH583" s="209">
        <f>IF(AND(L583&gt;DH$3,$C583="W"),1+DH582,0+DH582)</f>
        <v>16</v>
      </c>
      <c r="DI583" s="198">
        <f>IF(DH583&gt;DH582,L583+DI582,DI582)</f>
        <v>85.45999999999999</v>
      </c>
      <c r="DJ583" t="s" s="306">
        <f>IF($D583="","",$D583)</f>
        <v>431</v>
      </c>
      <c r="DK583" s="209">
        <f>IF(AND($B583=" ",$D583&lt;&gt;""),1,0)</f>
        <v>0</v>
      </c>
    </row>
    <row r="584" ht="14.55" customHeight="1">
      <c r="A584" s="107"/>
      <c r="B584" s="108"/>
      <c r="C584" t="s" s="213">
        <v>51</v>
      </c>
      <c r="D584" s="110"/>
      <c r="E584" s="111"/>
      <c r="F584" s="113"/>
      <c r="G584" s="214"/>
      <c r="H584" s="114"/>
      <c r="I584" t="s" s="215">
        <v>57</v>
      </c>
      <c r="J584" s="296">
        <f>IF(OR(I583="TO",I583="TU",I583="TO1",I583="TU1",I583="TO2",I583="TU2"),J583,IF(OR(I583="AH1",I583="AH2"),IF(OR(I584="AH1",I584="AH2"),-J583,IF(OR(I584="EH1",I584="EH2"),-J583+0.5,"")),IF(OR(I583="EH1",I583="EH2"),IF(OR(I584="AH1",I584="AH2"),-J583+0.5,IF(OR(I584="EH1",I584="EH2"),-J583+1,"")),IF(AND(OR(I583="DNB1",I583="DNB2"),OR(I584="AH1",I584="AH2")),0,IF(AND(I583="Not ScoreBoth",OR(I584="TO1",I584="TO2")),0.5,"")))))</f>
        <v>-1</v>
      </c>
      <c r="K584" t="s" s="217">
        <v>41</v>
      </c>
      <c r="L584" s="218">
        <v>2.64</v>
      </c>
      <c r="M584" s="219">
        <v>6.86</v>
      </c>
      <c r="N584" s="120"/>
      <c r="O584" s="220">
        <f>IF(OR(AE583="",AE584=""),"",ROUND(IF(L585&gt;0,IF(M584&gt;0,M584,IF(M583&gt;0,IF(N583=TRUE,ROUND((M583*AE584)/AE583,0),(M583*AE584)/AE583),IF(M584&gt;0,ROUND(M584,IF(N583=0,2,IF(N583=0.1,1,0))),IF(M585&gt;0,ROUND(O585*AE584/AE585,IF(N583=0,2,IF(N583=0.1,1,0))),0)))),IF(M584&gt;0,M584,ROUND((M583*AE584)/AE583,IF(N583=0,2,IF(N583=0.1,1,0))))),2))</f>
        <v>6.86</v>
      </c>
      <c r="P584" s="221">
        <f>IF(OR(L584="",O584=""),"",IF($C584="1/2W",O584/2+O584/2*L584,IF($C584="1/2L",O584/2,IF(I584="Lay",((O584*(L584/(L584-1)))-O584)*(1-_xlfn.XLOOKUP(K584,'Janeiro 2023 - Valor Real'!A3:A15,'Janeiro 2023 - Valor Real'!C3:C15,0))+O584,(O584*L584-O584)*(1-_xlfn.XLOOKUP(K584,'Janeiro 2023 - Valor Real'!A3:A15,'Janeiro 2023 - Valor Real'!C3:C15,0))+O584))))</f>
        <v>18.1104</v>
      </c>
      <c r="Q584" s="222">
        <f>IF(K584="","",IF(_xlfn.XLOOKUP(K584,K$123:K357,DJ$123:DJ357,0,,-1)=DJ584,_xlfn.XLOOKUP(K584,K$123:K357,Q$123:Q357,1,,-1)+1,1))</f>
        <v>1</v>
      </c>
      <c r="R584" s="223">
        <f>IF(K584="","",_xlfn.XLOOKUP(K584,K$123:K357,R$123:R357,0,,-1)+IF($C584=" ",1,0))</f>
        <v>0</v>
      </c>
      <c r="S584" s="125"/>
      <c r="T584" s="126"/>
      <c r="U584" s="126"/>
      <c r="V584" s="224"/>
      <c r="W584" s="126"/>
      <c r="X584" s="127"/>
      <c r="Y584" s="128"/>
      <c r="Z584" s="129"/>
      <c r="AA584" s="129"/>
      <c r="AB584" s="129"/>
      <c r="AC584" s="129"/>
      <c r="AD584" s="225">
        <f>(((L584/(L584-1)-1)*(1-_xlfn.XLOOKUP(K584,'Janeiro 2023 - Valor Real'!A3:A15,'Janeiro 2023 - Valor Real'!C3:C15,0))+1))</f>
        <v>1.60975609756098</v>
      </c>
      <c r="AE584" s="226">
        <f>IF(L584="","",IF(L585&gt;0,(SUM(((L583-1)*(1-_xlfn.XLOOKUP(K583,'Janeiro 2023 - Valor Real'!A3:A15,'Janeiro 2023 - Valor Real'!C3:C15,0))+1),((L584-1)*(1-_xlfn.XLOOKUP(K584,'Janeiro 2023 - Valor Real'!A3:A15,'Janeiro 2023 - Valor Real'!C3:C15,0))+1),((L585-1)*(1-_xlfn.XLOOKUP(K585,'Janeiro 2023 - Valor Real'!A3:A15,'Janeiro 2023 - Valor Real'!C3:C15,0))+1))/((L584-1)*(1-_xlfn.XLOOKUP(K584,'Janeiro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Real'!C3:C15,0))+1))/((L583-1)*(1-_xlfn.XLOOKUP(K583,'Janeiro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Real'!C3:C15,0))+1))/((L584-1)*(1-_xlfn.XLOOKUP(K584,'Janeiro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Real'!C3:C15,0))+1))/((L585-1)*(1-_xlfn.XLOOKUP(K585,'Janeiro 2023 - Valor Real'!A3:A15,'Janeiro 2023 - Valor Real'!C3:C15,0))+1)),IF(I584="Lay",IF(I583="Lay",((L583/(L583-1)-1)*(1-_xlfn.XLOOKUP(K583,'Janeiro 2023 - Valor Real'!A3:A15,'Janeiro 2023 - Valor Real'!C3:C15,0))+1)/(((L583/(L583-1)-1)*(1-_xlfn.XLOOKUP(K583,'Janeiro 2023 - Valor Real'!A3:A15,'Janeiro 2023 - Valor Real'!C3:C15,0))+1)+((L584/(L584-1)-1)*(1-_xlfn.XLOOKUP(K584,'Janeiro 2023 - Valor Real'!A3:A15,'Janeiro 2023 - Valor Real'!C3:C15,0))+1)),((L583-1)*(1-_xlfn.XLOOKUP(K583,'Janeiro 2023 - Valor Real'!A3:A15,'Janeiro 2023 - Valor Real'!C3:C15,0))+1)/(((L583-1)*(1-_xlfn.XLOOKUP(K583,'Janeiro 2023 - Valor Real'!A3:A15,'Janeiro 2023 - Valor Real'!C3:C15,0))+1)+((L584/(L584-1)-1)*(1-_xlfn.XLOOKUP(K584,'Janeiro 2023 - Valor Real'!A3:A15,'Janeiro 2023 - Valor Real'!C3:C15,0))+1))),IF(I583="Lay",((L583/(L583-1)-1)*(1-_xlfn.XLOOKUP(K583,'Janeiro 2023 - Valor Real'!A3:A15,'Janeiro 2023 - Valor Real'!C3:C15,0))+1)/((((L583/(L583-1)-1)*(1-_xlfn.XLOOKUP(K583,'Janeiro 2023 - Valor Real'!A3:A15,'Janeiro 2023 - Valor Real'!C3:C15,0))+1))+((L584-1)*(1-_xlfn.XLOOKUP(K584,'Janeiro 2023 - Valor Real'!A3:A15,'Janeiro 2023 - Valor Real'!C3:C15,0))+1)),((L583-1)*(1-_xlfn.XLOOKUP(K583,'Janeiro 2023 - Valor Real'!A3:A15,'Janeiro 2023 - Valor Real'!C3:C15,0))+1)/(((L583-1)*(1-_xlfn.XLOOKUP(K583,'Janeiro 2023 - Valor Real'!A3:A15,'Janeiro 2023 - Valor Real'!C3:C15,0))+1)+((L584-1)*(1-_xlfn.XLOOKUP(K584,'Janeiro 2023 - Valor Real'!A3:A15,'Janeiro 2023 - Valor Real'!C3:C15,0))+1))))))</f>
        <v>0.431034482758621</v>
      </c>
      <c r="AF584" s="197">
        <f>IF($K584=AF$3,ROUND(IF(OR($C584="W",$C584="1/2W",$C584="1/2L"),$P584-$O584,IF($C584="X",0,-$O584)),2),0)</f>
        <v>0</v>
      </c>
      <c r="AG584" s="198">
        <f>IF($K584=AG$3,ROUND(IF(OR($C584="W",$C584="1/2W",$C584="1/2L"),$P584-$O584,IF($C584="X",0,-$O584)),2),0)</f>
        <v>0</v>
      </c>
      <c r="AH584" s="198">
        <f>IF($K584=AH$3,ROUND(IF(OR($C584="W",$C584="1/2W",$C584="1/2L"),$P584-$O584,IF($C584="X",0,-$O584)),2),0)</f>
        <v>0</v>
      </c>
      <c r="AI584" s="198">
        <f>IF($K584=AI$3,ROUND(IF(OR($C584="W",$C584="1/2W",$C584="1/2L"),$P584-$O584,IF($C584="X",0,-$O584)),2),0)</f>
        <v>0</v>
      </c>
      <c r="AJ584" s="198">
        <f>IF($K584=AJ$3,ROUND(IF(OR($C584="W",$C584="1/2W",$C584="1/2L"),$P584-$O584,IF($C584="X",0,-$O584)),2),0)</f>
        <v>-6.86</v>
      </c>
      <c r="AK584" s="198">
        <f>IF($K584=AK$3,ROUND(IF(OR($C584="W",$C584="1/2W",$C584="1/2L"),$P584-$O584,IF($C584="X",0,-$O584)),2),0)</f>
        <v>0</v>
      </c>
      <c r="AL584" s="198">
        <f>IF($K584=AL$3,ROUND(IF(OR($C584="W",$C584="1/2W",$C584="1/2L"),$P584-$O584,IF($C584="X",0,-$O584)),2),0)</f>
        <v>0</v>
      </c>
      <c r="AM584" s="198">
        <f>IF($K584=AM$3,ROUND(IF(OR($C584="W",$C584="1/2W",$C584="1/2L"),$P584-$O584,IF($C584="X",0,-$O584)),2),0)</f>
        <v>0</v>
      </c>
      <c r="AN584" s="198">
        <f>IF($K584=AN$3,ROUND(IF(OR($C584="W",$C584="1/2W",$C584="1/2L"),$P584-$O584,IF($C584="X",0,-$O584)),2),0)</f>
        <v>0</v>
      </c>
      <c r="AO584" s="198">
        <f>IF($K584=AO$3,ROUND(IF(OR($C584="W",$C584="1/2W",$C584="1/2L"),$P584-$O584,IF($C584="X",0,-$O584)),2),0)</f>
        <v>0</v>
      </c>
      <c r="AP584" s="198">
        <f>IF($K584=AP$3,ROUND(IF(OR($C584="W",$C584="1/2W",$C584="1/2L"),$P584-$O584,IF($C584="X",0,-$O584)),2),0)</f>
        <v>0</v>
      </c>
      <c r="AQ584" s="198">
        <f>IF($K584=AQ$3,ROUND(IF(OR($C584="W",$C584="1/2W",$C584="1/2L"),$P584-$O584,IF($C584="X",0,-$O584)),2),0)</f>
        <v>0</v>
      </c>
      <c r="AR584" s="199">
        <f>IF($K584=AR$3,ROUND(IF(OR($C584="W",$C584="1/2W",$C584="1/2L"),$P584-$O584,IF($C584="X",0,-$O584)),2),0)</f>
        <v>0</v>
      </c>
      <c r="AS584" s="197">
        <f>IF(AND($B583=" ",$K584=AS$3),$O584,0)</f>
        <v>0</v>
      </c>
      <c r="AT584" s="198">
        <f>IF(AND($B583=" ",K584=AT$3),$O584,0)</f>
        <v>0</v>
      </c>
      <c r="AU584" s="198">
        <f>IF(AND($B583=" ",$K584=AU$3),$O584,0)</f>
        <v>0</v>
      </c>
      <c r="AV584" s="198">
        <f>IF(AND($B583=" ",$K584=AV$3),$O584,0)</f>
        <v>0</v>
      </c>
      <c r="AW584" s="198">
        <f>IF(AND($B583=" ",$K584=AW$3),$O584,0)</f>
        <v>0</v>
      </c>
      <c r="AX584" s="198">
        <f>IF(AND($B583=" ",$K584=AX$3),$O584,0)</f>
        <v>0</v>
      </c>
      <c r="AY584" s="200">
        <f>IF(AND($B583=" ",$K584=AY$3),$O584,0)</f>
        <v>0</v>
      </c>
      <c r="AZ584" s="201">
        <f>IF(AND($B583=" ",$K584=AZ$3),$O584,0)</f>
        <v>0</v>
      </c>
      <c r="BA584" s="201">
        <f>IF(AND($B583=" ",$K584=BA$3),$O584,0)</f>
        <v>0</v>
      </c>
      <c r="BB584" s="201">
        <f>IF(AND($B583=" ",$K584=BB$3),$O584,0)</f>
        <v>0</v>
      </c>
      <c r="BC584" s="202">
        <f>IF(AND($B583=" ",$K584=BC$3),$O584,0)</f>
        <v>0</v>
      </c>
      <c r="BD584" s="198">
        <f>IF(AND($B583=" ",$K584=BD$3),$O584,0)</f>
        <v>0</v>
      </c>
      <c r="BE584" s="199">
        <f>IF(AND($B583=" ",$K584=BE$3),$O584,0)</f>
        <v>0</v>
      </c>
      <c r="BF584" s="197">
        <f>IF($K584=BF$3,IF($C584="X",0,$O584),0)</f>
        <v>0</v>
      </c>
      <c r="BG584" s="198">
        <f>IF($K584=BG$3,IF($C584="X",0,$O584),0)</f>
        <v>0</v>
      </c>
      <c r="BH584" s="198">
        <f>IF($K584=BH$3,IF($C584="X",0,$O584),0)</f>
        <v>0</v>
      </c>
      <c r="BI584" s="198">
        <f>IF($K584=BI$3,IF($C584="X",0,$O584),0)</f>
        <v>0</v>
      </c>
      <c r="BJ584" s="198">
        <f>IF($K584=BJ$3,IF($C584="X",0,$O584),0)</f>
        <v>6.86</v>
      </c>
      <c r="BK584" s="198">
        <f>IF($K584=BK$3,IF($C584="X",0,$O584),0)</f>
        <v>0</v>
      </c>
      <c r="BL584" s="198">
        <f>IF($K584=BL$3,IF($C584="X",0,$O584),0)</f>
        <v>0</v>
      </c>
      <c r="BM584" s="227">
        <f>IF($K584=BM$3,IF($C584="X",0,$O584),0)</f>
        <v>0</v>
      </c>
      <c r="BN584" s="205">
        <f>IF($K584=BN$3,IF($C584="X",0,$O584),0)</f>
        <v>0</v>
      </c>
      <c r="BO584" s="205">
        <f>IF($K584=BO$3,IF($C584="X",0,$O584),0)</f>
        <v>0</v>
      </c>
      <c r="BP584" s="205">
        <f>IF($K584=BP$3,IF($C584="X",0,$O584),0)</f>
        <v>0</v>
      </c>
      <c r="BQ584" s="202">
        <f>IF($K584=BQ$3,IF($C584="X",0,$O584),0)</f>
        <v>0</v>
      </c>
      <c r="BR584" s="199">
        <f>IF($K584=BR$3,IF($C584="X",0,$O584),0)</f>
        <v>0</v>
      </c>
      <c r="BS584" s="228"/>
      <c r="BT584" s="229"/>
      <c r="BU584" s="140"/>
      <c r="BV584" s="229"/>
      <c r="BW584" s="140"/>
      <c r="BX584" s="140"/>
      <c r="BY584" s="140"/>
      <c r="BZ584" s="229"/>
      <c r="CA584" s="140"/>
      <c r="CB584" s="140"/>
      <c r="CC584" s="140"/>
      <c r="CD584" s="141"/>
      <c r="CE584" s="142"/>
      <c r="CF584" s="230">
        <f>IF(CF$3=$K584,IF($C584="W",1,IF($C584="1/2W",0.5,0)),0)</f>
        <v>0</v>
      </c>
      <c r="CG584" s="231">
        <f>IF(CF$3=$K584,IF($C584="L",1,IF($C584="1/2L",0.5,0)),0)</f>
        <v>0</v>
      </c>
      <c r="CH584" s="231">
        <f>IF(CH$3=$K584,IF($C584="W",1,IF($C584="1/2W",0.5,0)),0)</f>
        <v>0</v>
      </c>
      <c r="CI584" s="231">
        <f>IF(CH$3=$K584,IF($C584="L",1,IF($C584="1/2L",0.5,0)),0)</f>
        <v>0</v>
      </c>
      <c r="CJ584" s="231">
        <f>IF(CJ$3=$K584,IF($C584="W",1,IF($C584="1/2W",0.5,0)),0)</f>
        <v>0</v>
      </c>
      <c r="CK584" s="231">
        <f>IF(CJ$3=$K584,IF($C584="L",1,IF($C584="1/2L",0.5,0)),0)</f>
        <v>0</v>
      </c>
      <c r="CL584" s="231">
        <f>IF(CL$3=$K584,IF($C584="W",1,IF($C584="1/2W",0.5,0)),0)</f>
        <v>0</v>
      </c>
      <c r="CM584" s="231">
        <f>IF(CL$3=$K584,IF($C584="L",1,IF($C584="1/2L",0.5,0)),0)</f>
        <v>0</v>
      </c>
      <c r="CN584" s="231">
        <f>IF(CN$3=$K584,IF($C584="W",1,IF($C584="1/2W",0.5,0)),0)</f>
        <v>0</v>
      </c>
      <c r="CO584" s="231">
        <f>IF(CN$3=$K584,IF($C584="L",1,IF($C584="1/2L",0.5,0)),0)</f>
        <v>1</v>
      </c>
      <c r="CP584" s="231">
        <f>IF(CP$3=$K584,IF($C584="W",1,IF($C584="1/2W",0.5,0)),0)</f>
        <v>0</v>
      </c>
      <c r="CQ584" s="231">
        <f>IF(CP$3=$K584,IF($C584="L",1,IF($C584="1/2L",0.5,0)),0)</f>
        <v>0</v>
      </c>
      <c r="CR584" s="231">
        <f>IF(CR$3=$K584,IF($C584="W",1,IF($C584="1/2W",0.5,0)),0)</f>
        <v>0</v>
      </c>
      <c r="CS584" s="231">
        <f>IF(CR$3=$K584,IF($C584="L",1,IF($C584="1/2L",0.5,0)),0)</f>
        <v>0</v>
      </c>
      <c r="CT584" s="208">
        <f>IF(CT$3=$K584,IF($C584="W",1,IF($C584="1/2W",0.5,0)),0)</f>
        <v>0</v>
      </c>
      <c r="CU584" s="209">
        <f>IF(CT$3=$K584,IF($C584="L",1,IF($C584="1/2L",0.5,0)),0)</f>
        <v>0</v>
      </c>
      <c r="CV584" s="209">
        <f>IF(CV$3=$K584,IF($C584="W",1,IF($C584="1/2W",0.5,0)),0)</f>
        <v>0</v>
      </c>
      <c r="CW584" s="209">
        <f>IF(CV$3=$K584,IF($C584="L",1,IF($C584="1/2L",0.5,0)),0)</f>
        <v>0</v>
      </c>
      <c r="CX584" s="209">
        <f>IF(CX$3=$K584,IF($C584="W",1,IF($C584="1/2W",0.5,0)),0)</f>
        <v>0</v>
      </c>
      <c r="CY584" s="209">
        <f>IF(CX$3=$K584,IF($C584="L",1,IF($C584="1/2L",0.5,0)),0)</f>
        <v>0</v>
      </c>
      <c r="CZ584" s="209">
        <f>IF(CZ$3=$K584,IF($C584="W",1,IF($C584="1/2W",0.5,0)),0)</f>
        <v>0</v>
      </c>
      <c r="DA584" s="209">
        <f>IF(CZ$3=$K584,IF($C584="L",1,IF($C584="1/2L",0.5,0)),0)</f>
        <v>0</v>
      </c>
      <c r="DB584" s="209">
        <f>IF(DB$3=$K584,IF($C584="W",1,IF($C584="1/2W",0.5,0)),0)</f>
        <v>0</v>
      </c>
      <c r="DC584" s="209">
        <f>IF(DB$3=$K584,IF($C584="L",1,IF($C584="1/2L",0.5,0)),0)</f>
        <v>0</v>
      </c>
      <c r="DD584" s="209">
        <f>IF(DD$3=$K584,IF($C584="W",1,IF($C584="1/2W",0.5,0)),0)</f>
        <v>0</v>
      </c>
      <c r="DE584" s="210">
        <f>IF(DD$3=$K584,IF($C584="L",1,IF($C584="1/2L",0.5,0)),0)</f>
        <v>0</v>
      </c>
      <c r="DF584" s="211">
        <f>IF(AND(L584&lt;DF$3,$C584="W"),1+DF583,DF583)</f>
        <v>17</v>
      </c>
      <c r="DG584" s="198">
        <f>IF(DF584&gt;DF583,L584+DG583,DG583)</f>
        <v>22.628</v>
      </c>
      <c r="DH584" s="209">
        <f>IF(AND(L584&gt;DH$3,$C584="W"),1+DH583,0+DH583)</f>
        <v>16</v>
      </c>
      <c r="DI584" s="198">
        <f>IF(DH584&gt;DH583,L584+DI583,DI583)</f>
        <v>85.45999999999999</v>
      </c>
      <c r="DJ584" t="s" s="306">
        <f>IF($D583="","",$D583)</f>
        <v>431</v>
      </c>
      <c r="DK584" s="232"/>
    </row>
    <row r="585" ht="14.55" customHeight="1">
      <c r="A585" s="149"/>
      <c r="B585" s="150"/>
      <c r="C585" t="s" s="233">
        <v>58</v>
      </c>
      <c r="D585" s="152"/>
      <c r="E585" s="153"/>
      <c r="F585" s="155"/>
      <c r="G585" s="234"/>
      <c r="H585" s="156"/>
      <c r="I585" s="235"/>
      <c r="J585" s="236"/>
      <c r="K585" s="237"/>
      <c r="L585" s="238"/>
      <c r="M585" s="239"/>
      <c r="N585" s="161"/>
      <c r="O585" t="s" s="240">
        <f>IF(OR(AE583="",AE584=""),"",IF(L585&gt;0,ROUND(IF(M585&gt;0,M585,IF(M583&gt;0,ROUND((M583*AE585)/AE583,IF(N583=0,2,IF(N583=0.1,1,0))),IF(M584&gt;0,ROUND((M584*AE585)/AE584,IF(N583=0,2,IF(N583=0.1,1,0))),IF(M585&gt;0,M585,0)))),2),""))</f>
      </c>
      <c r="P585" t="s" s="241">
        <f>IF(I584="Lay",O584*(L584/(L584-1))-O584,IF(I583="Lay",O583*(L583/(L583-1))-O583,IF(OR(L585="",O585=""),"",IF($C585="1/2W",O585/2+O585/2*L585,IF($C585="1/2L",O585/2,(O585*L585-O585)*(1-_xlfn.XLOOKUP(K585,'Janeiro 2023 - Valor Real'!A3:A15,'Janeiro 2023 - Valor Real'!C3:C15,0))+O585)))))</f>
      </c>
      <c r="Q585" t="s" s="242">
        <f>IF(K585="","",IF(_xlfn.XLOOKUP(K585,K$124:K358,DJ$124:DJ358,0,,-1)=DJ585,_xlfn.XLOOKUP(K585,K$124:K358,Q$124:Q358,1,,-1)+1,1))</f>
      </c>
      <c r="R585" t="s" s="243">
        <f>IF(K585="","",_xlfn.XLOOKUP(K585,K$124:K358,R$124:R358,0,,-1)+IF($C585=" ",1,0))</f>
      </c>
      <c r="S585" s="166"/>
      <c r="T585" s="155"/>
      <c r="U585" s="155"/>
      <c r="V585" s="166"/>
      <c r="W585" s="155"/>
      <c r="X585" s="167"/>
      <c r="Y585" s="128"/>
      <c r="Z585" s="129"/>
      <c r="AA585" s="129"/>
      <c r="AB585" s="129"/>
      <c r="AC585" s="129"/>
      <c r="AD585" s="244">
        <f>((L584/(L584-1)-1))</f>
        <v>0.609756097560976</v>
      </c>
      <c r="AE585" t="s" s="245">
        <f>IF(L585="","",(SUM(((L583-1)*(1-_xlfn.XLOOKUP(K583,'Janeiro 2023 - Valor Real'!A3:A15,'Janeiro 2023 - Valor Real'!C3:C15,0))+1),((L584-1)*(1-_xlfn.XLOOKUP(K584,'Janeiro 2023 - Valor Real'!A3:A15,'Janeiro 2023 - Valor Real'!C3:C15,0))+1),((L585-1)*(1-_xlfn.XLOOKUP(K585,'Janeiro 2023 - Valor Real'!A3:A15,'Janeiro 2023 - Valor Real'!C3:C15,0))+1))/((L585-1)*(1-_xlfn.XLOOKUP(K585,'Janeiro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Real'!C3:C15,0))+1))/((L583-1)*(1-_xlfn.XLOOKUP(K583,'Janeiro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Real'!C3:C15,0))+1))/((L584-1)*(1-_xlfn.XLOOKUP(K584,'Janeiro 2023 - Valor Real'!A3:A15,'Janeiro 2023 - Valor Real'!C3:C15,0))+1)+SUM(((L583-1)*(1-_xlfn.XLOOKUP(K583,'Janeiro 2023 - Valor Real'!A3:A15,'Janeiro 2023 - Valor Real'!C3:C15,0))+1),((L584-1)*(1-_xlfn.XLOOKUP(K584,'Janeiro 2023 - Valor Real'!A3:A15,'Janeiro 2023 - Valor Real'!C3:C15,0))+1),((L585-1)*(1-_xlfn.XLOOKUP(K585,'Janeiro 2023 - Valor Real'!A3:A15,'Janeiro 2023 - Valor Real'!C3:C15,0))+1))/((L585-1)*(1-_xlfn.XLOOKUP(K585,'Janeiro 2023 - Valor Real'!A3:A15,'Janeiro 2023 - Valor Real'!C3:C15,0))+1)))</f>
      </c>
      <c r="AF585" s="197">
        <f>IF($K585=AF$3,ROUND(IF(OR($C585="W",$C585="1/2W",$C585="1/2L"),$P585-$O585,IF($C585="X",0,-$O585)),2),0)</f>
        <v>0</v>
      </c>
      <c r="AG585" s="198">
        <f>IF($K585=AG$3,ROUND(IF(OR($C585="W",$C585="1/2W",$C585="1/2L"),$P585-$O585,IF($C585="X",0,-$O585)),2),0)</f>
        <v>0</v>
      </c>
      <c r="AH585" s="198">
        <f>IF($K585=AH$3,ROUND(IF(OR($C585="W",$C585="1/2W",$C585="1/2L"),$P585-$O585,IF($C585="X",0,-$O585)),2),0)</f>
        <v>0</v>
      </c>
      <c r="AI585" s="198">
        <f>IF($K585=AI$3,ROUND(IF(OR($C585="W",$C585="1/2W",$C585="1/2L"),$P585-$O585,IF($C585="X",0,-$O585)),2),0)</f>
        <v>0</v>
      </c>
      <c r="AJ585" s="198">
        <f>IF($K585=AJ$3,ROUND(IF(OR($C585="W",$C585="1/2W",$C585="1/2L"),$P585-$O585,IF($C585="X",0,-$O585)),2),0)</f>
        <v>0</v>
      </c>
      <c r="AK585" s="198">
        <f>IF($K585=AK$3,ROUND(IF(OR($C585="W",$C585="1/2W",$C585="1/2L"),$P585-$O585,IF($C585="X",0,-$O585)),2),0)</f>
        <v>0</v>
      </c>
      <c r="AL585" s="198">
        <f>IF($K585=AL$3,ROUND(IF(OR($C585="W",$C585="1/2W",$C585="1/2L"),$P585-$O585,IF($C585="X",0,-$O585)),2),0)</f>
        <v>0</v>
      </c>
      <c r="AM585" s="198">
        <f>IF($K585=AM$3,ROUND(IF(OR($C585="W",$C585="1/2W",$C585="1/2L"),$P585-$O585,IF($C585="X",0,-$O585)),2),0)</f>
        <v>0</v>
      </c>
      <c r="AN585" s="198">
        <f>IF($K585=AN$3,ROUND(IF(OR($C585="W",$C585="1/2W",$C585="1/2L"),$P585-$O585,IF($C585="X",0,-$O585)),2),0)</f>
        <v>0</v>
      </c>
      <c r="AO585" s="198">
        <f>IF($K585=AO$3,ROUND(IF(OR($C585="W",$C585="1/2W",$C585="1/2L"),$P585-$O585,IF($C585="X",0,-$O585)),2),0)</f>
        <v>0</v>
      </c>
      <c r="AP585" s="198">
        <f>IF($K585=AP$3,ROUND(IF(OR($C585="W",$C585="1/2W",$C585="1/2L"),$P585-$O585,IF($C585="X",0,-$O585)),2),0)</f>
        <v>0</v>
      </c>
      <c r="AQ585" s="198">
        <f>IF($K585=AQ$3,ROUND(IF(OR($C585="W",$C585="1/2W",$C585="1/2L"),$P585-$O585,IF($C585="X",0,-$O585)),2),0)</f>
        <v>0</v>
      </c>
      <c r="AR585" s="199">
        <f>IF($K585=AR$3,ROUND(IF(OR($C585="W",$C585="1/2W",$C585="1/2L"),$P585-$O585,IF($C585="X",0,-$O585)),2),0)</f>
        <v>0</v>
      </c>
      <c r="AS585" s="197">
        <f>IF(AND($B583=" ",$K585=AS$3),$O585,0)</f>
        <v>0</v>
      </c>
      <c r="AT585" s="198">
        <f>IF(AND($B583=" ",K585=AT$3),$O585,0)</f>
        <v>0</v>
      </c>
      <c r="AU585" s="198">
        <f>IF(AND($B583=" ",$K585=AU$3),$O585,0)</f>
        <v>0</v>
      </c>
      <c r="AV585" s="198">
        <f>IF(AND($B583=" ",$K585=AV$3),$O585,0)</f>
        <v>0</v>
      </c>
      <c r="AW585" s="198">
        <f>IF(AND($B583=" ",$K585=AW$3),$O585,0)</f>
        <v>0</v>
      </c>
      <c r="AX585" s="198">
        <f>IF(AND($B583=" ",$K585=AX$3),$O585,0)</f>
        <v>0</v>
      </c>
      <c r="AY585" s="200">
        <f>IF(AND($B583=" ",$K585=AY$3),$O585,0)</f>
        <v>0</v>
      </c>
      <c r="AZ585" s="201">
        <f>IF(AND($B583=" ",$K585=AZ$3),$O585,0)</f>
        <v>0</v>
      </c>
      <c r="BA585" s="201">
        <f>IF(AND($B583=" ",$K585=BA$3),$O585,0)</f>
        <v>0</v>
      </c>
      <c r="BB585" s="201">
        <f>IF(AND($B583=" ",$K585=BB$3),$O585,0)</f>
        <v>0</v>
      </c>
      <c r="BC585" s="202">
        <f>IF(AND($B583=" ",$K585=BC$3),$O585,0)</f>
        <v>0</v>
      </c>
      <c r="BD585" s="198">
        <f>IF(AND($B583=" ",$K585=BD$3),$O585,0)</f>
        <v>0</v>
      </c>
      <c r="BE585" s="199">
        <f>IF(AND($B583=" ",$K585=BE$3),$O585,0)</f>
        <v>0</v>
      </c>
      <c r="BF585" s="197">
        <f>IF($K585=BF$3,IF($C585="X",0,$O585),0)</f>
        <v>0</v>
      </c>
      <c r="BG585" s="198">
        <f>IF($K585=BG$3,IF($C585="X",0,$O585),0)</f>
        <v>0</v>
      </c>
      <c r="BH585" s="198">
        <f>IF($K585=BH$3,IF($C585="X",0,$O585),0)</f>
        <v>0</v>
      </c>
      <c r="BI585" s="198">
        <f>IF($K585=BI$3,IF($C585="X",0,$O585),0)</f>
        <v>0</v>
      </c>
      <c r="BJ585" s="198">
        <f>IF($K585=BJ$3,IF($C585="X",0,$O585),0)</f>
        <v>0</v>
      </c>
      <c r="BK585" s="198">
        <f>IF($K585=BK$3,IF($C585="X",0,$O585),0)</f>
        <v>0</v>
      </c>
      <c r="BL585" s="198">
        <f>IF($K585=BL$3,IF($C585="X",0,$O585),0)</f>
        <v>0</v>
      </c>
      <c r="BM585" s="200">
        <f>IF($K585=BM$3,IF($C585="X",0,$O585),0)</f>
        <v>0</v>
      </c>
      <c r="BN585" s="201">
        <f>IF($K585=BN$3,IF($C585="X",0,$O585),0)</f>
        <v>0</v>
      </c>
      <c r="BO585" s="201">
        <f>IF($K585=BO$3,IF($C585="X",0,$O585),0)</f>
        <v>0</v>
      </c>
      <c r="BP585" s="201">
        <f>IF($K585=BP$3,IF($C585="X",0,$O585),0)</f>
        <v>0</v>
      </c>
      <c r="BQ585" s="202">
        <f>IF($K585=BQ$3,IF($C585="X",0,$O585),0)</f>
        <v>0</v>
      </c>
      <c r="BR585" s="199">
        <f>IF($K585=BR$3,IF($C585="X",0,$O585),0)</f>
        <v>0</v>
      </c>
      <c r="BS585" s="228"/>
      <c r="BT585" s="229"/>
      <c r="BU585" s="140"/>
      <c r="BV585" s="229"/>
      <c r="BW585" s="140"/>
      <c r="BX585" s="140"/>
      <c r="BY585" s="140"/>
      <c r="BZ585" s="229"/>
      <c r="CA585" s="140"/>
      <c r="CB585" s="140"/>
      <c r="CC585" s="140"/>
      <c r="CD585" s="141"/>
      <c r="CE585" s="142"/>
      <c r="CF585" s="230">
        <f>IF(CF$3=$K585,IF($C585="W",1,IF($C585="1/2W",0.5,0)),0)</f>
        <v>0</v>
      </c>
      <c r="CG585" s="231">
        <f>IF(CF$3=$K585,IF($C585="L",1,IF($C585="1/2L",0.5,0)),0)</f>
        <v>0</v>
      </c>
      <c r="CH585" s="231">
        <f>IF(CH$3=$K585,IF($C585="W",1,IF($C585="1/2W",0.5,0)),0)</f>
        <v>0</v>
      </c>
      <c r="CI585" s="231">
        <f>IF(CH$3=$K585,IF($C585="L",1,IF($C585="1/2L",0.5,0)),0)</f>
        <v>0</v>
      </c>
      <c r="CJ585" s="231">
        <f>IF(CJ$3=$K585,IF($C585="W",1,IF($C585="1/2W",0.5,0)),0)</f>
        <v>0</v>
      </c>
      <c r="CK585" s="231">
        <f>IF(CJ$3=$K585,IF($C585="L",1,IF($C585="1/2L",0.5,0)),0)</f>
        <v>0</v>
      </c>
      <c r="CL585" s="231">
        <f>IF(CL$3=$K585,IF($C585="W",1,IF($C585="1/2W",0.5,0)),0)</f>
        <v>0</v>
      </c>
      <c r="CM585" s="231">
        <f>IF(CL$3=$K585,IF($C585="L",1,IF($C585="1/2L",0.5,0)),0)</f>
        <v>0</v>
      </c>
      <c r="CN585" s="231">
        <f>IF(CN$3=$K585,IF($C585="W",1,IF($C585="1/2W",0.5,0)),0)</f>
        <v>0</v>
      </c>
      <c r="CO585" s="231">
        <f>IF(CN$3=$K585,IF($C585="L",1,IF($C585="1/2L",0.5,0)),0)</f>
        <v>0</v>
      </c>
      <c r="CP585" s="231">
        <f>IF(CP$3=$K585,IF($C585="W",1,IF($C585="1/2W",0.5,0)),0)</f>
        <v>0</v>
      </c>
      <c r="CQ585" s="231">
        <f>IF(CP$3=$K585,IF($C585="L",1,IF($C585="1/2L",0.5,0)),0)</f>
        <v>0</v>
      </c>
      <c r="CR585" s="231">
        <f>IF(CR$3=$K585,IF($C585="W",1,IF($C585="1/2W",0.5,0)),0)</f>
        <v>0</v>
      </c>
      <c r="CS585" s="231">
        <f>IF(CR$3=$K585,IF($C585="L",1,IF($C585="1/2L",0.5,0)),0)</f>
        <v>0</v>
      </c>
      <c r="CT585" s="208">
        <f>IF(CT$3=$K585,IF($C585="W",1,IF($C585="1/2W",0.5,0)),0)</f>
        <v>0</v>
      </c>
      <c r="CU585" s="209">
        <f>IF(CT$3=$K585,IF($C585="L",1,IF($C585="1/2L",0.5,0)),0)</f>
        <v>0</v>
      </c>
      <c r="CV585" s="209">
        <f>IF(CV$3=$K585,IF($C585="W",1,IF($C585="1/2W",0.5,0)),0)</f>
        <v>0</v>
      </c>
      <c r="CW585" s="209">
        <f>IF(CV$3=$K585,IF($C585="L",1,IF($C585="1/2L",0.5,0)),0)</f>
        <v>0</v>
      </c>
      <c r="CX585" s="209">
        <f>IF(CX$3=$K585,IF($C585="W",1,IF($C585="1/2W",0.5,0)),0)</f>
        <v>0</v>
      </c>
      <c r="CY585" s="209">
        <f>IF(CX$3=$K585,IF($C585="L",1,IF($C585="1/2L",0.5,0)),0)</f>
        <v>0</v>
      </c>
      <c r="CZ585" s="209">
        <f>IF(CZ$3=$K585,IF($C585="W",1,IF($C585="1/2W",0.5,0)),0)</f>
        <v>0</v>
      </c>
      <c r="DA585" s="209">
        <f>IF(CZ$3=$K585,IF($C585="L",1,IF($C585="1/2L",0.5,0)),0)</f>
        <v>0</v>
      </c>
      <c r="DB585" s="209">
        <f>IF(DB$3=$K585,IF($C585="W",1,IF($C585="1/2W",0.5,0)),0)</f>
        <v>0</v>
      </c>
      <c r="DC585" s="209">
        <f>IF(DB$3=$K585,IF($C585="L",1,IF($C585="1/2L",0.5,0)),0)</f>
        <v>0</v>
      </c>
      <c r="DD585" s="209">
        <f>IF(DD$3=$K585,IF($C585="W",1,IF($C585="1/2W",0.5,0)),0)</f>
        <v>0</v>
      </c>
      <c r="DE585" s="210">
        <f>IF(DD$3=$K585,IF($C585="L",1,IF($C585="1/2L",0.5,0)),0)</f>
        <v>0</v>
      </c>
      <c r="DF585" s="211">
        <f>IF(AND(L585&lt;DF$3,$C585="W"),1+DF584,DF584)</f>
        <v>17</v>
      </c>
      <c r="DG585" s="198">
        <f>IF(DF585&gt;DF584,L585+DG584,DG584)</f>
        <v>22.628</v>
      </c>
      <c r="DH585" s="209">
        <f>IF(AND(L585&gt;DH$3,$C585="W"),1+DH584,0+DH584)</f>
        <v>16</v>
      </c>
      <c r="DI585" s="198">
        <f>IF(DH585&gt;DH584,L585+DI584,DI584)</f>
        <v>85.45999999999999</v>
      </c>
      <c r="DJ585" t="s" s="306">
        <f>IF($D583="","",$D583)</f>
        <v>431</v>
      </c>
      <c r="DK585" s="232"/>
    </row>
    <row r="586" ht="14.55" customHeight="1">
      <c r="A586" s="246">
        <f>$A583+1</f>
        <v>195</v>
      </c>
      <c r="B586" t="s" s="247">
        <f>IF(AND(_xlfn.XLOOKUP(H586,H$107:H365,G$107:G365,0)=G586,_xlfn.XLOOKUP("TempoBet",K586:K588,L586:L588,0)&gt;0),"X",IF(OR(C586="W",C587="W",C588="W",C586="1/2W",C587="1/2W",C588="1/2W",C586="1/2L",C587="1/2L",C588="1/2L"),"OK",IF(OR(C586="L",C587="L",C588="L"),"LOSS",IF(OR(C586="X",C587="X",C588="X"),"Anulado"," "))))</f>
        <v>50</v>
      </c>
      <c r="C586" t="s" s="248">
        <v>56</v>
      </c>
      <c r="D586" t="s" s="303">
        <f>IF(G586="","",$D583)</f>
        <v>431</v>
      </c>
      <c r="E586" t="s" s="250">
        <v>111</v>
      </c>
      <c r="F586" t="s" s="251"/>
      <c r="G586" s="252">
        <v>44953.416666666664</v>
      </c>
      <c r="H586" t="s" s="253">
        <v>435</v>
      </c>
      <c r="I586" t="s" s="254">
        <v>54</v>
      </c>
      <c r="J586" s="255">
        <v>0.5</v>
      </c>
      <c r="K586" t="s" s="256">
        <v>44</v>
      </c>
      <c r="L586" s="257">
        <v>2.29</v>
      </c>
      <c r="M586" s="258"/>
      <c r="N586" s="259">
        <v>0</v>
      </c>
      <c r="O586" s="260">
        <f>IF(OR(AE586="",AE587=""),"",ROUND(IF(L588&gt;0,IF(M586&gt;0,M586,IF(M587&gt;0,ROUND((M587*AE586)/AE587,IF(N586=0,2,IF(N586=0.1,1,0))),ROUND((M588*AE586)/AE588,IF(N586=0,2,IF(N586=0.1,1,0))))),IF(M586&gt;0,M586,ROUND((M587*AE586)/AE587,IF(N586=0,2,IF(N586=0.1,1,0))))),2))</f>
        <v>19.65</v>
      </c>
      <c r="P586" s="261">
        <f>IF(OR(L586="",O586=""),"",IF($C586="1/2W",O586/2+O586/2*L586,IF($C586="1/2L",O586/2,IF(I586="Lay",(O586*(L586/(L586-1))-O586)*(1-_xlfn.XLOOKUP(K586,'Janeiro 2023 - Valor Real'!A3:A15,'Janeiro 2023 - Valor Real'!C3:C15,0))+O586,(O586*L586-O586)*(1-_xlfn.XLOOKUP(K586,'Janeiro 2023 - Valor Real'!A3:A15,'Janeiro 2023 - Valor Real'!C3:C15,0))+O586))))</f>
        <v>44.9985</v>
      </c>
      <c r="Q586" s="262">
        <f>IF(K586="","",IF(_xlfn.XLOOKUP(K586,K$107:K365,DJ$107:DJ365,0,,-1)=DJ586,_xlfn.XLOOKUP(K586,K$107:K365,Q$107:Q365,1,,-1)+1,1))</f>
        <v>1</v>
      </c>
      <c r="R586" s="263">
        <f>IF(K586="","",_xlfn.XLOOKUP(K586,K$107:K365,R$107:R365,0,,-1)+IF($C586=" ",1,0))</f>
        <v>0</v>
      </c>
      <c r="S586" s="264">
        <f>IF($B586="Anulado",0,ROUND(IF(OR($B586="LOSS",$B586="OK"),IF(OR($C586="W",$C586="1/2W",$C586="1/2L"),P586-O586,IF($C586="L",-O586,0))+IF(OR($C587="W",$C587="1/2W",$C587="1/2L"),P587-O587,IF($C587="L",-O587,0))+IF(OR($C588="W",$C588="1/2W",$C588="1/2L"),P588-O588,IF($C588="L",-O588,0)),IF(AND(OR($C586="W",$C586="1/2W",$C586="1/2L"),C587="W"),P586+P587-SUM(O586:O588)+_xlfn.XLOOKUP("X",C586:C588,O586:O588,0),IF(AND(C586=TRUE,C588="W"),P586+P588-SUM(O586:O588),IF(AND(C587="W",C588="W"),P587+P588-SUM(O586:O588)+_xlfn.XLOOKUP("X",C586:C588,O586:O588,0),IF(L588&gt;0,IF(OR($C586="W",$C586="1/2W",$C586="1/2L"),P586-SUM(O586:O588)+_xlfn.XLOOKUP("X",C586:C588,O586:O588,0),IF(OR($C586="W",$C586="1/2W",$C586="1/2L"),P587-SUM(O586:O588)+_xlfn.XLOOKUP("X",C586:C588,O586:O588,0),IF(OR($C586="W",$C586="1/2W",$C586="1/2L"),P588-SUM(O586:O588)+_xlfn.XLOOKUP("X",C586:C588,O586:O588,0),IF(SUM(P586:P588)/3-SUM(O586:O588)+_xlfn.XLOOKUP("X",C586:C588,O586:O588,0)&gt;0,SUM(P586:P588)/3-SUM(O586:O588)+_xlfn.XLOOKUP("X",C586:C588,O586:O588,0),LARGE(P586:P588,1)-SUM(O586:O588))))),IF(OR($C586="W",$C586="1/2W",$C586="1/2L"),P586-SUM(O586:O587)+_xlfn.XLOOKUP("X",C586:C588,O586:O588,0),IF(OR($C586="W",$C586="1/2W",$C586="1/2L"),P587-SUM(O586:O587)+_xlfn.XLOOKUP("X",C586:C588,O586:O588,0),SUM(P586:P587)/2-SUM(O586:O587)+_xlfn.XLOOKUP("X",C586:C588,O586:O588,0)))))))),2))</f>
        <v>2.85</v>
      </c>
      <c r="T586" s="265">
        <f>IF(S586=0,0,S586/SUM(O586:O588))</f>
        <v>0.0676156583629893</v>
      </c>
      <c r="U586" s="266">
        <f>IF($D586=$D583,IF(OR($B586="LOSS",$B586="OK",$B586="Anulada"),S586,0)+U583,IF(OR($B586="LOSS",$B586="OK",$B586="Anulada"),S586,0))</f>
        <v>8.23</v>
      </c>
      <c r="V586" s="266">
        <f>IF($D586="",0,IF($D586=$D583,IF($B586=" ",IF(I588="",IF(OR(AND(I586="DNB1",I587="DNB2"),AND(OR(I586="DNB1",I586="DNB2"),J587=0),AND(OR(I587="DNB1",I587="DNB2"),J586=0),AND(I586="DNB2",I587="DNB1"),AND(IF(J586=0,(J586+1)/ROUND(J586+1,0),J586/ROUND(J586,0))=1,IF(J587=0,(J587+1)/ROUND(IF(J587="",0,J587)+1,0),IF(J587="",0,J587)/ROUND(IF(J587="",1,J587),0))=1,OR(J586&lt;&gt;""),J587&lt;&gt;"")),0,IF(S586&lt;0,IF(I588="",SMALL(P586:P587,1)-SUM(O586:O587),0),SMALL(P586:P587,1)-SUM(O586:O587))),IF(S586&lt;0,IF(I588="",SMALL(P586:P588,1)-SUM(O586:O588),0),LARGE(P586:P588,1)-SUM(O586:O588))),S586)+V583,IF(I588="",IF(OR(AND(I586="DNB1",I587="DNB2"),AND(OR(I586="DNB1",I586="DNB2"),J587=0),AND(OR(I587="DNB1",I587="DNB2"),J586=0),AND(I586="DNB2",I587="DNB1"),AND(IF(J586=0,(J586+1)/ROUND(J586+1,0),J586/ROUND(J586,0))=1,IF(J587=0,(IF(J587="",0,J587)+1)/ROUND(IF(J587="",0,J587)+1,0),IF(J587="",0,J587)/ROUND(IF(J587="",0,J587)+1,0))=1,OR(J586&lt;&gt;""),J587&lt;&gt;"")),0,IF(S586&lt;0,IF(I588="",SMALL(P586:P587,1)-SUM(O586:O587),0),SMALL(P586:P588,1)-SUM(O586:O588))),IF(S586&lt;0,IF(I588="",SMALL(P586:P588,1)-SUM(O586:O588),0),LARGE(P586:P588,1)-SUM(O586:O588)))))</f>
        <v>8.202</v>
      </c>
      <c r="W586" s="266">
        <f>IF($D586=$D583,IF(S586&lt;0,IF(I588="",S586,0),S586)+W583,S586)</f>
        <v>8.23</v>
      </c>
      <c r="X586" t="s" s="267">
        <f>IF(OR(SUM(R586:R588)=0,V586=W586),ROUND(IF(W586=0,0,W586/Y586)*100,2)&amp;"%",ROUND(IF(V586=0,0,V586/Y586)*100,2)&amp;"% a "&amp;ROUND(IF(W586=0,0,W586/Y586)*100,2)&amp;"%")</f>
        <v>437</v>
      </c>
      <c r="Y586" s="268">
        <f>IF($D586=$D583,Y583+SUM(O586:O588),SUM(O586:O588))</f>
        <v>112.18</v>
      </c>
      <c r="Z586" s="266">
        <f>IF($B586=" ",SUM(O586:O588),0)+Z583</f>
        <v>0</v>
      </c>
      <c r="AA586" s="266">
        <f>IF(G586="","",IF($B586="Anulado",LARGE(P586:P588,1)-SUM(O586:O588)+AA583,AA583))</f>
        <v>24.9665076923077</v>
      </c>
      <c r="AB586" s="266">
        <f>IF($D586="","",AB583+S586)</f>
        <v>396.56</v>
      </c>
      <c r="AC586" s="269">
        <f>IF($D586="","",IF($B586=" ",IF(DAY(G586)=DAY(TODAY()),1+AC583,0+AC583),0+AC583))</f>
        <v>0</v>
      </c>
      <c r="AD586" s="270">
        <f>(1-_xlfn.XLOOKUP(K584,'Janeiro 2023 - Valor Real'!A3:A15,'Janeiro 2023 - Valor Real'!C3:C15,0))+1</f>
        <v>2</v>
      </c>
      <c r="AE586" s="271">
        <f>IF(L586="","",IF(L588&gt;0,(SUM(((L586-1)*(1-_xlfn.XLOOKUP(K586,'Janeiro 2023 - Valor Real'!A3:A15,'Janeiro 2023 - Valor Real'!C3:C15,0))+1),((L587-1)*(1-_xlfn.XLOOKUP(K587,'Janeiro 2023 - Valor Real'!A3:A15,'Janeiro 2023 - Valor Real'!C3:C15,0))+1),((L588-1)*(1-_xlfn.XLOOKUP(K588,'Janeiro 2023 - Valor Real'!A3:A15,'Janeiro 2023 - Valor Real'!C3:C15,0))+1))/((L586-1)*(1-_xlfn.XLOOKUP(K586,'Janeiro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Real'!C3:C15,0))+1))/((L586-1)*(1-_xlfn.XLOOKUP(K586,'Janeiro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Real'!C3:C15,0))+1))/((L587-1)*(1-_xlfn.XLOOKUP(K587,'Janeiro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Real'!C3:C15,0))+1))/((L588-1)*(1-_xlfn.XLOOKUP(K588,'Janeiro 2023 - Valor Real'!A3:A15,'Janeiro 2023 - Valor Real'!C3:C15,0))+1)),IF(I586="Lay",IF(I587="Lay",((L587/(L587-1)-1)*(1-_xlfn.XLOOKUP(K587,'Janeiro 2023 - Valor Real'!A3:A15,'Janeiro 2023 - Valor Real'!C3:C15,0))+1)/(((L587/(L587-1)-1)*(1-_xlfn.XLOOKUP(K587,'Janeiro 2023 - Valor Real'!A3:A15,'Janeiro 2023 - Valor Real'!C3:C15,0))+1)+((L586/(L586-1)-1)*(1-_xlfn.XLOOKUP(K586,'Janeiro 2023 - Valor Real'!A3:A15,'Janeiro 2023 - Valor Real'!C3:C15,0))+1)),((L587-1)*(1-_xlfn.XLOOKUP(K587,'Janeiro 2023 - Valor Real'!A3:A15,'Janeiro 2023 - Valor Real'!C3:C15,0))+1)/(((L587-1)*(1-_xlfn.XLOOKUP(K587,'Janeiro 2023 - Valor Real'!A3:A15,'Janeiro 2023 - Valor Real'!C3:C15,0))+1)+((L586/(L586-1)-1)*(1-_xlfn.XLOOKUP(K586,'Janeiro 2023 - Valor Real'!A3:A15,'Janeiro 2023 - Valor Real'!C3:C15,0))+1))),IF(I587="Lay",(((L587/(L587-1)-1)*(1-_xlfn.XLOOKUP(K587,'Janeiro 2023 - Valor Real'!A3:A15,'Janeiro 2023 - Valor Real'!C3:C15,0))+1))/(((L586-1)*(1-_xlfn.XLOOKUP(K586,'Janeiro 2023 - Valor Real'!A3:A15,'Janeiro 2023 - Valor Real'!C3:C15,0))+1)+((L587/(L587-1)-1)*(1-_xlfn.XLOOKUP(K587,'Janeiro 2023 - Valor Real'!A3:A15,'Janeiro 2023 - Valor Real'!C3:C15,0))+1)),((L587-1)*(1-_xlfn.XLOOKUP(K587,'Janeiro 2023 - Valor Real'!A3:A15,'Janeiro 2023 - Valor Real'!C3:C15,0))+1)/(((L587-1)*(1-_xlfn.XLOOKUP(K587,'Janeiro 2023 - Valor Real'!A3:A15,'Janeiro 2023 - Valor Real'!C3:C15,0))+1)+((L586-1)*(1-_xlfn.XLOOKUP(K586,'Janeiro 2023 - Valor Real'!A3:A15,'Janeiro 2023 - Valor Real'!C3:C15,0))+1))))))</f>
        <v>0.466200466200466</v>
      </c>
      <c r="AF586" s="132">
        <f>IF($K586=AF$3,ROUND(IF(OR($C586="W",$C586="1/2W",$C586="1/2L"),$P586-$O586,IF($C586="X",0,-$O586)),2),0)</f>
        <v>0</v>
      </c>
      <c r="AG586" s="133">
        <f>IF($K586=AG$3,ROUND(IF(OR($C586="W",$C586="1/2W",$C586="1/2L"),$P586-$O586,IF($C586="X",0,-$O586)),2),0)</f>
        <v>0</v>
      </c>
      <c r="AH586" s="133">
        <f>IF($K586=AH$3,ROUND(IF(OR($C586="W",$C586="1/2W",$C586="1/2L"),$P586-$O586,IF($C586="X",0,-$O586)),2),0)</f>
        <v>0</v>
      </c>
      <c r="AI586" s="133">
        <f>IF($K586=AI$3,ROUND(IF(OR($C586="W",$C586="1/2W",$C586="1/2L"),$P586-$O586,IF($C586="X",0,-$O586)),2),0)</f>
        <v>0</v>
      </c>
      <c r="AJ586" s="133">
        <f>IF($K586=AJ$3,ROUND(IF(OR($C586="W",$C586="1/2W",$C586="1/2L"),$P586-$O586,IF($C586="X",0,-$O586)),2),0)</f>
        <v>0</v>
      </c>
      <c r="AK586" s="133">
        <f>IF($K586=AK$3,ROUND(IF(OR($C586="W",$C586="1/2W",$C586="1/2L"),$P586-$O586,IF($C586="X",0,-$O586)),2),0)</f>
        <v>0</v>
      </c>
      <c r="AL586" s="133">
        <f>IF($K586=AL$3,ROUND(IF(OR($C586="W",$C586="1/2W",$C586="1/2L"),$P586-$O586,IF($C586="X",0,-$O586)),2),0)</f>
        <v>0</v>
      </c>
      <c r="AM586" s="133">
        <f>IF($K586=AM$3,ROUND(IF(OR($C586="W",$C586="1/2W",$C586="1/2L"),$P586-$O586,IF($C586="X",0,-$O586)),2),0)</f>
        <v>25.35</v>
      </c>
      <c r="AN586" s="133">
        <f>IF($K586=AN$3,ROUND(IF(OR($C586="W",$C586="1/2W",$C586="1/2L"),$P586-$O586,IF($C586="X",0,-$O586)),2),0)</f>
        <v>0</v>
      </c>
      <c r="AO586" s="133">
        <f>IF($K586=AO$3,ROUND(IF(OR($C586="W",$C586="1/2W",$C586="1/2L"),$P586-$O586,IF($C586="X",0,-$O586)),2),0)</f>
        <v>0</v>
      </c>
      <c r="AP586" s="133">
        <f>IF($K586=AP$3,ROUND(IF(OR($C586="W",$C586="1/2W",$C586="1/2L"),$P586-$O586,IF($C586="X",0,-$O586)),2),0)</f>
        <v>0</v>
      </c>
      <c r="AQ586" s="133">
        <f>IF($K586=AQ$3,ROUND(IF(OR($C586="W",$C586="1/2W",$C586="1/2L"),$P586-$O586,IF($C586="X",0,-$O586)),2),0)</f>
        <v>0</v>
      </c>
      <c r="AR586" s="134">
        <f>IF($K586=AR$3,ROUND(IF(OR($C586="W",$C586="1/2W",$C586="1/2L"),$P586-$O586,IF($C586="X",0,-$O586)),2),0)</f>
        <v>0</v>
      </c>
      <c r="AS586" s="132">
        <f>IF(AND($B586=" ",$K586=AS$3),$O586,0)</f>
        <v>0</v>
      </c>
      <c r="AT586" s="133">
        <f>IF(AND($B586=" ",$K586=AT$3),$O586,0)</f>
        <v>0</v>
      </c>
      <c r="AU586" s="133">
        <f>IF(AND($B586=" ",$K586=AU$3),$O586,0)</f>
        <v>0</v>
      </c>
      <c r="AV586" s="133">
        <f>IF(AND($B586=" ",$K586=AV$3),$O586,0)</f>
        <v>0</v>
      </c>
      <c r="AW586" s="133">
        <f>IF(AND($B586=" ",$K586=AW$3),$O586,0)</f>
        <v>0</v>
      </c>
      <c r="AX586" s="133">
        <f>IF(AND($B586=" ",$K586=AX$3),$O586,0)</f>
        <v>0</v>
      </c>
      <c r="AY586" s="135">
        <f>IF(AND($B586=" ",$K586=AY$3),$O586,0)</f>
        <v>0</v>
      </c>
      <c r="AZ586" s="136">
        <f>IF(AND($B586=" ",$K586=AZ$3),$O586,0)</f>
        <v>0</v>
      </c>
      <c r="BA586" s="136">
        <f>IF(AND($B586=" ",$K586=BA$3),$O586,0)</f>
        <v>0</v>
      </c>
      <c r="BB586" s="136">
        <f>IF(AND($B586=" ",$K586=BB$3),$O586,0)</f>
        <v>0</v>
      </c>
      <c r="BC586" s="137">
        <f>IF(AND($B586=" ",$K586=BC$3),$O586,0)</f>
        <v>0</v>
      </c>
      <c r="BD586" s="133">
        <f>IF(AND($B586=" ",$K586=BD$3),$O586,0)</f>
        <v>0</v>
      </c>
      <c r="BE586" s="134">
        <f>IF(AND($B586=" ",$K586=BE$3),$O586,0)</f>
        <v>0</v>
      </c>
      <c r="BF586" s="132">
        <f>IF($K586=BF$3,IF($C586="X",0,$O586),0)</f>
        <v>0</v>
      </c>
      <c r="BG586" s="133">
        <f>IF($K586=BG$3,IF($C586="X",0,$O586),0)</f>
        <v>0</v>
      </c>
      <c r="BH586" s="133">
        <f>IF($K586=BH$3,IF($C586="X",0,$O586),0)</f>
        <v>0</v>
      </c>
      <c r="BI586" s="133">
        <f>IF($K586=BI$3,IF($C586="X",0,$O586),0)</f>
        <v>0</v>
      </c>
      <c r="BJ586" s="133">
        <f>IF($K586=BJ$3,IF($C586="X",0,$O586),0)</f>
        <v>0</v>
      </c>
      <c r="BK586" s="133">
        <f>IF($K586=BK$3,IF($C586="X",0,$O586),0)</f>
        <v>0</v>
      </c>
      <c r="BL586" s="133">
        <f>IF($K586=BL$3,IF($C586="X",0,$O586),0)</f>
        <v>0</v>
      </c>
      <c r="BM586" s="135">
        <f>IF($K586=BM$3,IF($C586="X",0,$O586),0)</f>
        <v>19.65</v>
      </c>
      <c r="BN586" s="136">
        <f>IF($K586=BN$3,IF($C586="X",0,$O586),0)</f>
        <v>0</v>
      </c>
      <c r="BO586" s="136">
        <f>IF($K586=BO$3,IF($C586="X",0,$O586),0)</f>
        <v>0</v>
      </c>
      <c r="BP586" s="136">
        <f>IF($K586=BP$3,IF($C586="X",0,$O586),0)</f>
        <v>0</v>
      </c>
      <c r="BQ586" s="137">
        <f>IF($K586=BQ$3,IF($C586="X",0,$O586),0)</f>
        <v>0</v>
      </c>
      <c r="BR586" s="134">
        <f>IF($K586=BR$3,IF($C586="X",0,$O586),0)</f>
        <v>0</v>
      </c>
      <c r="BS586" s="170">
        <f>IF($B586="LOSS",IF(AND($K586=BS$3,$C586="L"),-$O586,0)+IF(AND($K587=BS$3,$C587="L"),-$O587,0)+IF(AND($K588=BS$3,$C588="L"),-$O588,0),IF(OR(AND($K586=BS$3,OR($C586="W",$C586="1/2W")),AND($K587=BS$3,OR($C587="W",$C587="1/2W")),AND($K588=BS$3,OR($C588="W",$C588="1/2W"))),$S586,0))</f>
        <v>0</v>
      </c>
      <c r="BT586" s="272">
        <f>IF($B586="LOSS",IF(AND($K586=BT$3,$C586="L"),-$O586,0)+IF(AND($K587=BT$3,$C587="L"),-$O587,0)+IF(AND($K587=BT$3,$C588="L"),-$O588,0),IF(OR(AND($K587=BT$3,OR($C586="W",$C586="1/2W")),AND($K587=BT$3,OR($C587="W",$C587="1/2W")),AND($K587=BT$3,OR($C588="W",$C588="1/2W"))),$S586,0))</f>
        <v>0</v>
      </c>
      <c r="BU586" s="136">
        <f>IF($B586="LOSS",IF(AND($K586=BU$3,$C586="L"),-$O586,0)+IF(AND($K587=BU$3,$C587="L"),-$O587,0)+IF(AND($K587=BU$3,$C588="L"),-$O588,0),IF(OR(AND($K587=BU$3,OR($C586="W",$C586="1/2W")),AND($K587=BU$3,OR($C587="W",$C587="1/2W")),AND($K587=BU$3,OR($C588="W",$C588="1/2W"))),$S586,0))</f>
        <v>0</v>
      </c>
      <c r="BV586" s="136">
        <f>IF($B586="LOSS",IF(AND($K586=BV$3,$C586="L"),-$O586,0)+IF(AND($K587=BV$3,$C587="L"),-$O587,0)+IF(AND($K588=BV$3,$C588="L"),-$O588,0),IF(OR(AND($K586=BV$3,OR($C586="W",$C586="1/2W")),AND($K587=BV$3,OR($C587="W",$C587="1/2W")),AND($K588=BV$3,OR($C588="W",$C588="1/2W"))),$S586,0))</f>
        <v>0</v>
      </c>
      <c r="BW586" s="136">
        <f>IF($B586="LOSS",IF(AND($K586=BW$3,$C586="L"),-$O586,0)+IF(AND($K587=BW$3,$C587="L"),-$O587,0)+IF(AND($K588=BW$3,$C588="L"),-$O588,0),IF(OR(AND($K586=BW$3,OR($C586="W",$C586="1/2W")),AND($K587=BW$3,OR($C587="W",$C587="1/2W")),AND($K588=BW$3,OR($C588="W",$C588="1/2W"))),$S586,0))</f>
        <v>0</v>
      </c>
      <c r="BX586" s="136">
        <f>IF($B586="LOSS",IF(AND($K586=BX$3,$C586="L"),-$O586,0)+IF(AND($K587=BX$3,$C587="L"),-$O587,0)+IF(AND($K588=BX$3,$C588="L"),-$O588,0),IF(OR(AND($K586=BX$3,OR($C586="W",$C586="1/2W")),AND($K587=BX$3,OR($C587="W",$C587="1/2W")),AND($K588=BX$3,OR($C588="W",$C588="1/2W"))),$S586,0))</f>
        <v>0</v>
      </c>
      <c r="BY586" s="136">
        <f>IF($B586="LOSS",IF(AND($K586=BY$3,$C586="L"),-$O586,0)+IF(AND($K587=BY$3,$C587="L"),-$O587,0)+IF(AND($K588=BY$3,$C588="L"),-$O588,0),IF(OR(AND($K586=BY$3,OR($C586="W",$C586="1/2W")),AND($K587=BY$3,OR($C587="W",$C587="1/2W")),AND($K588=BY$3,OR($C588="W",$C588="1/2W"))),$S586,0))</f>
        <v>0</v>
      </c>
      <c r="BZ586" s="136">
        <f>IF($B586="LOSS",IF(AND($K586=BZ$3,$C586="L"),-$O586,0)+IF(AND($K587=BZ$3,$C587="L"),-$O587,0)+IF(AND($K588=BZ$3,$C588="L"),-$O588,0),IF(OR(AND($K586=BZ$3,OR($C586="W",$C586="1/2W")),AND($K587=BZ$3,OR($C587="W",$C587="1/2W")),AND($K588=BZ$3,OR($C588="W",$C588="1/2W"))),$S586,0))</f>
        <v>2.85</v>
      </c>
      <c r="CA586" s="136">
        <f>IF($B586="LOSS",IF(AND($K586=CA$3,$C586="L"),-$O586,0)+IF(AND($K587=CA$3,$C587="L"),-$O587,0)+IF(AND($K588=CA$3,$C588="L"),-$O588,0),IF(OR(AND($K586=CA$3,OR($C586="W",$C586="1/2W")),AND($K587=CA$3,OR($C587="W",$C587="1/2W")),AND($K588=CA$3,OR($C588="W",$C588="1/2W"))),$S586,0))</f>
        <v>0</v>
      </c>
      <c r="CB586" s="136">
        <f>IF($B586="LOSS",IF(AND($K586=CB$3,$C586="L"),-$O586,0)+IF(AND($K587=CB$3,$C587="L"),-$O587,0)+IF(AND($K588=CB$3,$C588="L"),-$O588,0),IF(OR(AND($K586=CB$3,OR($C586="W",$C586="1/2W")),AND($K587=CB$3,OR($C587="W",$C587="1/2W")),AND($K588=CB$3,OR($C588="W",$C588="1/2W"))),$S586,0))</f>
        <v>0</v>
      </c>
      <c r="CC586" s="136">
        <f>IF($B586="LOSS",IF(AND($K586=CC$3,$C586="L"),-$O586,0)+IF(AND($K587=CC$3,$C587="L"),-$O587,0)+IF(AND($K588=CC$3,$C588="L"),-$O588,0),IF(OR(AND($K586=CC$3,OR($C586="W",$C586="1/2W")),AND($K587=CC$3,OR($C587="W",$C587="1/2W")),AND($K588=CC$3,OR($C588="W",$C588="1/2W"))),$S586,0))</f>
        <v>0</v>
      </c>
      <c r="CD586" s="137">
        <f>IF($B586="LOSS",IF(AND($K586=CD$3,$C586="L"),-$O586,0)+IF(AND($K587=CD$3,$C587="L"),-$O587,0)+IF(AND($K588=CD$3,$C588="L"),-$O588,0),IF(OR(AND($K586=CD$3,OR($C586="W",$C586="1/2W")),AND($K587=CD$3,OR($C587="W",$C587="1/2W")),AND($K588=CD$3,OR($C588="W",$C588="1/2W"))),$S586,0))</f>
        <v>0</v>
      </c>
      <c r="CE586" s="134">
        <f>IF($B586="LOSS",IF(AND($K586=CE$3,$C586="L"),-$O586,0)+IF(AND($K587=CE$3,$C587="L"),-$O587,0)+IF(AND($K588=CE$3,$C588="L"),-$O588,0),IF(OR(AND($K586=CE$3,OR($C586="W",$C586="1/2W")),AND($K587=CE$3,OR($C587="W",$C587="1/2W")),AND($K588=CE$3,OR($C588="W",$C588="1/2W"))),$S586,0))</f>
        <v>0</v>
      </c>
      <c r="CF586" s="273">
        <f>IF(CF$3=$K586,IF($C586="W",1,IF($C586="1/2W",0.5,0)),0)</f>
        <v>0</v>
      </c>
      <c r="CG586" s="274">
        <f>IF(CF$3=$K586,IF($C586="L",1,IF($C586="1/2L",0.5,0)),0)</f>
        <v>0</v>
      </c>
      <c r="CH586" s="274">
        <f>IF(CH$3=$K586,IF($C586="W",1,IF($C586="1/2W",0.5,0)),0)</f>
        <v>0</v>
      </c>
      <c r="CI586" s="274">
        <f>IF(CH$3=$K586,IF($C586="L",1,IF($C586="1/2L",0.5,0)),0)</f>
        <v>0</v>
      </c>
      <c r="CJ586" s="274">
        <f>IF(CJ$3=$K586,IF($C586="W",1,IF($C586="1/2W",0.5,0)),0)</f>
        <v>0</v>
      </c>
      <c r="CK586" s="274">
        <f>IF(CJ$3=$K586,IF($C586="L",1,IF($C586="1/2L",0.5,0)),0)</f>
        <v>0</v>
      </c>
      <c r="CL586" s="274">
        <f>IF(CL$3=$K586,IF($C586="W",1,IF($C586="1/2W",0.5,0)),0)</f>
        <v>0</v>
      </c>
      <c r="CM586" s="274">
        <f>IF(CL$3=$K586,IF($C586="L",1,IF($C586="1/2L",0.5,0)),0)</f>
        <v>0</v>
      </c>
      <c r="CN586" s="274">
        <f>IF(CN$3=$K586,IF($C586="W",1,IF($C586="1/2W",0.5,0)),0)</f>
        <v>0</v>
      </c>
      <c r="CO586" s="274">
        <f>IF(CN$3=$K586,IF($C586="L",1,IF($C586="1/2L",0.5,0)),0)</f>
        <v>0</v>
      </c>
      <c r="CP586" s="274">
        <f>IF(CP$3=$K586,IF($C586="W",1,IF($C586="1/2W",0.5,0)),0)</f>
        <v>0</v>
      </c>
      <c r="CQ586" s="274">
        <f>IF(CP$3=$K586,IF($C586="L",1,IF($C586="1/2L",0.5,0)),0)</f>
        <v>0</v>
      </c>
      <c r="CR586" s="274">
        <f>IF(CR$3=$K586,IF($C586="W",1,IF($C586="1/2W",0.5,0)),0)</f>
        <v>0</v>
      </c>
      <c r="CS586" s="274">
        <f>IF(CR$3=$K586,IF($C586="L",1,IF($C586="1/2L",0.5,0)),0)</f>
        <v>0</v>
      </c>
      <c r="CT586" s="145">
        <f>IF(CT$3=$K586,IF($C586="W",1,IF($C586="1/2W",0.5,0)),0)</f>
        <v>1</v>
      </c>
      <c r="CU586" s="146">
        <f>IF(CT$3=$K586,IF($C586="L",1,IF($C586="1/2L",0.5,0)),0)</f>
        <v>0</v>
      </c>
      <c r="CV586" s="146">
        <f>IF(CV$3=$K586,IF($C586="W",1,IF($C586="1/2W",0.5,0)),0)</f>
        <v>0</v>
      </c>
      <c r="CW586" s="146">
        <f>IF(CV$3=$K586,IF($C586="L",1,IF($C586="1/2L",0.5,0)),0)</f>
        <v>0</v>
      </c>
      <c r="CX586" s="146">
        <f>IF(CX$3=$K586,IF($C586="W",1,IF($C586="1/2W",0.5,0)),0)</f>
        <v>0</v>
      </c>
      <c r="CY586" s="146">
        <f>IF(CX$3=$K586,IF($C586="L",1,IF($C586="1/2L",0.5,0)),0)</f>
        <v>0</v>
      </c>
      <c r="CZ586" s="146">
        <f>IF(CZ$3=$K586,IF($C586="W",1,IF($C586="1/2W",0.5,0)),0)</f>
        <v>0</v>
      </c>
      <c r="DA586" s="146">
        <f>IF(CZ$3=$K586,IF($C586="L",1,IF($C586="1/2L",0.5,0)),0)</f>
        <v>0</v>
      </c>
      <c r="DB586" s="146">
        <f>IF(DB$3=$K586,IF($C586="W",1,IF($C586="1/2W",0.5,0)),0)</f>
        <v>0</v>
      </c>
      <c r="DC586" s="146">
        <f>IF(DB$3=$K586,IF($C586="L",1,IF($C586="1/2L",0.5,0)),0)</f>
        <v>0</v>
      </c>
      <c r="DD586" s="146">
        <f>IF(DD$3=$K586,IF($C586="W",1,IF($C586="1/2W",0.5,0)),0)</f>
        <v>0</v>
      </c>
      <c r="DE586" s="147">
        <f>IF(DD$3=$K586,IF($C586="L",1,IF($C586="1/2L",0.5,0)),0)</f>
        <v>0</v>
      </c>
      <c r="DF586" s="143">
        <f>IF(AND(L586&lt;DF$3,$C586="W"),1+DF585,DF585)</f>
        <v>17</v>
      </c>
      <c r="DG586" s="133">
        <f>IF(DF586&gt;DF585,L586+DG585,DG585)</f>
        <v>22.628</v>
      </c>
      <c r="DH586" s="146">
        <f>IF(AND(L586&gt;DH$3,$C586="W"),1+DH585,0+DH585)</f>
        <v>16</v>
      </c>
      <c r="DI586" s="133">
        <f>IF(DH586&gt;DH585,L586+DI585,DI585)</f>
        <v>85.45999999999999</v>
      </c>
      <c r="DJ586" t="s" s="304">
        <f>IF($D586="","",$D586)</f>
        <v>431</v>
      </c>
      <c r="DK586" s="146">
        <f>IF(AND($B586=" ",$D586&lt;&gt;""),1,0)</f>
        <v>0</v>
      </c>
    </row>
    <row r="587" ht="14.55" customHeight="1">
      <c r="A587" s="107"/>
      <c r="B587" s="108"/>
      <c r="C587" t="s" s="109">
        <v>51</v>
      </c>
      <c r="D587" s="110"/>
      <c r="E587" s="111"/>
      <c r="F587" s="113"/>
      <c r="G587" s="252"/>
      <c r="H587" s="114"/>
      <c r="I587" s="294">
        <v>2</v>
      </c>
      <c r="J587" t="s" s="295">
        <f>IF(OR(I586="TO",I586="TU",I586="TO1",I586="TU1",I586="TO2",I586="TU2"),J586,IF(OR(I586="AH1",I586="AH2"),IF(OR(I587="AH1",I587="AH2"),-J586,IF(OR(I587="EH1",I587="EH2"),-J586+0.5,"")),IF(OR(I586="EH1",I586="EH2"),IF(OR(I587="AH1",I587="AH2"),-J586+0.5,IF(OR(I587="EH1",I587="EH2"),-J586+1,"")),IF(AND(OR(I586="DNB1",I586="DNB2"),OR(I587="AH1",I587="AH2")),0,IF(AND(I586="Not ScoreBoth",OR(I587="TO1",I587="TO2")),0.5,"")))))</f>
      </c>
      <c r="K587" t="s" s="117">
        <v>41</v>
      </c>
      <c r="L587" s="277">
        <v>2</v>
      </c>
      <c r="M587" s="278">
        <v>22.5</v>
      </c>
      <c r="N587" s="120"/>
      <c r="O587" s="121">
        <f>IF(OR(AE586="",AE587=""),"",ROUND(IF(L588&gt;0,IF(M587&gt;0,M587,IF(M586&gt;0,IF(N586=TRUE,ROUND((M586*AE587)/AE586,0),(M586*AE587)/AE586),IF(M587&gt;0,ROUND(M587,IF(N586=0,2,IF(N586=0.1,1,0))),IF(M588&gt;0,ROUND(O588*AE587/AE588,IF(N586=0,2,IF(N586=0.1,1,0))),0)))),IF(M587&gt;0,M587,ROUND((M586*AE587)/AE586,IF(N586=0,2,IF(N586=0.1,1,0))))),2))</f>
        <v>22.5</v>
      </c>
      <c r="P587" s="122">
        <f>IF(OR(L587="",O587=""),"",IF($C587="1/2W",O587/2+O587/2*L587,IF($C587="1/2L",O587/2,IF(I587="Lay",((O587*(L587/(L587-1)))-O587)*(1-_xlfn.XLOOKUP(K587,'Janeiro 2023 - Valor Real'!A3:A15,'Janeiro 2023 - Valor Real'!C3:C15,0))+O587,(O587*L587-O587)*(1-_xlfn.XLOOKUP(K587,'Janeiro 2023 - Valor Real'!A3:A15,'Janeiro 2023 - Valor Real'!C3:C15,0))+O587))))</f>
        <v>45</v>
      </c>
      <c r="Q587" s="279">
        <f>IF(K587="","",IF(_xlfn.XLOOKUP(K587,K$120:K366,DJ$120:DJ366,0,,-1)=DJ587,_xlfn.XLOOKUP(K587,K$120:K366,Q$120:Q366,1,,-1)+1,1))</f>
        <v>1</v>
      </c>
      <c r="R587" s="280">
        <f>IF(K587="","",_xlfn.XLOOKUP(K587,K$120:K366,R$120:R366,0,,-1)+IF($C587=" ",1,0))</f>
        <v>0</v>
      </c>
      <c r="S587" s="125"/>
      <c r="T587" s="126"/>
      <c r="U587" s="126"/>
      <c r="V587" s="224"/>
      <c r="W587" s="126"/>
      <c r="X587" s="127"/>
      <c r="Y587" s="128"/>
      <c r="Z587" s="129"/>
      <c r="AA587" s="129"/>
      <c r="AB587" s="129"/>
      <c r="AC587" s="129"/>
      <c r="AD587" s="130"/>
      <c r="AE587" s="131">
        <f>IF(L587="","",IF(L588&gt;0,(SUM(((L586-1)*(1-_xlfn.XLOOKUP(K586,'Janeiro 2023 - Valor Real'!A3:A15,'Janeiro 2023 - Valor Real'!C3:C15,0))+1),((L587-1)*(1-_xlfn.XLOOKUP(K587,'Janeiro 2023 - Valor Real'!A3:A15,'Janeiro 2023 - Valor Real'!C3:C15,0))+1),((L588-1)*(1-_xlfn.XLOOKUP(K588,'Janeiro 2023 - Valor Real'!A3:A15,'Janeiro 2023 - Valor Real'!C3:C15,0))+1))/((L587-1)*(1-_xlfn.XLOOKUP(K587,'Janeiro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Real'!C3:C15,0))+1))/((L586-1)*(1-_xlfn.XLOOKUP(K586,'Janeiro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Real'!C3:C15,0))+1))/((L587-1)*(1-_xlfn.XLOOKUP(K587,'Janeiro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Real'!C3:C15,0))+1))/((L588-1)*(1-_xlfn.XLOOKUP(K588,'Janeiro 2023 - Valor Real'!A3:A15,'Janeiro 2023 - Valor Real'!C3:C15,0))+1)),IF(I587="Lay",IF(I586="Lay",((L586/(L586-1)-1)*(1-_xlfn.XLOOKUP(K586,'Janeiro 2023 - Valor Real'!A3:A15,'Janeiro 2023 - Valor Real'!C3:C15,0))+1)/(((L586/(L586-1)-1)*(1-_xlfn.XLOOKUP(K586,'Janeiro 2023 - Valor Real'!A3:A15,'Janeiro 2023 - Valor Real'!C3:C15,0))+1)+((L587/(L587-1)-1)*(1-_xlfn.XLOOKUP(K587,'Janeiro 2023 - Valor Real'!A3:A15,'Janeiro 2023 - Valor Real'!C3:C15,0))+1)),((L586-1)*(1-_xlfn.XLOOKUP(K586,'Janeiro 2023 - Valor Real'!A3:A15,'Janeiro 2023 - Valor Real'!C3:C15,0))+1)/(((L586-1)*(1-_xlfn.XLOOKUP(K586,'Janeiro 2023 - Valor Real'!A3:A15,'Janeiro 2023 - Valor Real'!C3:C15,0))+1)+((L587/(L587-1)-1)*(1-_xlfn.XLOOKUP(K587,'Janeiro 2023 - Valor Real'!A3:A15,'Janeiro 2023 - Valor Real'!C3:C15,0))+1))),IF(I586="Lay",((L586/(L586-1)-1)*(1-_xlfn.XLOOKUP(K586,'Janeiro 2023 - Valor Real'!A3:A15,'Janeiro 2023 - Valor Real'!C3:C15,0))+1)/((((L586/(L586-1)-1)*(1-_xlfn.XLOOKUP(K586,'Janeiro 2023 - Valor Real'!A3:A15,'Janeiro 2023 - Valor Real'!C3:C15,0))+1))+((L587-1)*(1-_xlfn.XLOOKUP(K587,'Janeiro 2023 - Valor Real'!A3:A15,'Janeiro 2023 - Valor Real'!C3:C15,0))+1)),((L586-1)*(1-_xlfn.XLOOKUP(K586,'Janeiro 2023 - Valor Real'!A3:A15,'Janeiro 2023 - Valor Real'!C3:C15,0))+1)/(((L586-1)*(1-_xlfn.XLOOKUP(K586,'Janeiro 2023 - Valor Real'!A3:A15,'Janeiro 2023 - Valor Real'!C3:C15,0))+1)+((L587-1)*(1-_xlfn.XLOOKUP(K587,'Janeiro 2023 - Valor Real'!A3:A15,'Janeiro 2023 - Valor Real'!C3:C15,0))+1))))))</f>
        <v>0.533799533799534</v>
      </c>
      <c r="AF587" s="132">
        <f>IF($K587=AF$3,ROUND(IF(OR($C587="W",$C587="1/2W",$C587="1/2L"),$P587-$O587,IF($C587="X",0,-$O587)),2),0)</f>
        <v>0</v>
      </c>
      <c r="AG587" s="133">
        <f>IF($K587=AG$3,ROUND(IF(OR($C587="W",$C587="1/2W",$C587="1/2L"),$P587-$O587,IF($C587="X",0,-$O587)),2),0)</f>
        <v>0</v>
      </c>
      <c r="AH587" s="133">
        <f>IF($K587=AH$3,ROUND(IF(OR($C587="W",$C587="1/2W",$C587="1/2L"),$P587-$O587,IF($C587="X",0,-$O587)),2),0)</f>
        <v>0</v>
      </c>
      <c r="AI587" s="133">
        <f>IF($K587=AI$3,ROUND(IF(OR($C587="W",$C587="1/2W",$C587="1/2L"),$P587-$O587,IF($C587="X",0,-$O587)),2),0)</f>
        <v>0</v>
      </c>
      <c r="AJ587" s="133">
        <f>IF($K587=AJ$3,ROUND(IF(OR($C587="W",$C587="1/2W",$C587="1/2L"),$P587-$O587,IF($C587="X",0,-$O587)),2),0)</f>
        <v>-22.5</v>
      </c>
      <c r="AK587" s="133">
        <f>IF($K587=AK$3,ROUND(IF(OR($C587="W",$C587="1/2W",$C587="1/2L"),$P587-$O587,IF($C587="X",0,-$O587)),2),0)</f>
        <v>0</v>
      </c>
      <c r="AL587" s="133">
        <f>IF($K587=AL$3,ROUND(IF(OR($C587="W",$C587="1/2W",$C587="1/2L"),$P587-$O587,IF($C587="X",0,-$O587)),2),0)</f>
        <v>0</v>
      </c>
      <c r="AM587" s="133">
        <f>IF($K587=AM$3,ROUND(IF(OR($C587="W",$C587="1/2W",$C587="1/2L"),$P587-$O587,IF($C587="X",0,-$O587)),2),0)</f>
        <v>0</v>
      </c>
      <c r="AN587" s="133">
        <f>IF($K587=AN$3,ROUND(IF(OR($C587="W",$C587="1/2W",$C587="1/2L"),$P587-$O587,IF($C587="X",0,-$O587)),2),0)</f>
        <v>0</v>
      </c>
      <c r="AO587" s="133">
        <f>IF($K587=AO$3,ROUND(IF(OR($C587="W",$C587="1/2W",$C587="1/2L"),$P587-$O587,IF($C587="X",0,-$O587)),2),0)</f>
        <v>0</v>
      </c>
      <c r="AP587" s="133">
        <f>IF($K587=AP$3,ROUND(IF(OR($C587="W",$C587="1/2W",$C587="1/2L"),$P587-$O587,IF($C587="X",0,-$O587)),2),0)</f>
        <v>0</v>
      </c>
      <c r="AQ587" s="133">
        <f>IF($K587=AQ$3,ROUND(IF(OR($C587="W",$C587="1/2W",$C587="1/2L"),$P587-$O587,IF($C587="X",0,-$O587)),2),0)</f>
        <v>0</v>
      </c>
      <c r="AR587" s="134">
        <f>IF($K587=AR$3,ROUND(IF(OR($C587="W",$C587="1/2W",$C587="1/2L"),$P587-$O587,IF($C587="X",0,-$O587)),2),0)</f>
        <v>0</v>
      </c>
      <c r="AS587" s="132">
        <f>IF(AND($B586=" ",$K587=AS$3),$O587,0)</f>
        <v>0</v>
      </c>
      <c r="AT587" s="133">
        <f>IF(AND($B586=" ",K587=AT$3),$O587,0)</f>
        <v>0</v>
      </c>
      <c r="AU587" s="133">
        <f>IF(AND($B586=" ",$K587=AU$3),$O587,0)</f>
        <v>0</v>
      </c>
      <c r="AV587" s="133">
        <f>IF(AND($B586=" ",$K587=AV$3),$O587,0)</f>
        <v>0</v>
      </c>
      <c r="AW587" s="133">
        <f>IF(AND($B586=" ",$K587=AW$3),$O587,0)</f>
        <v>0</v>
      </c>
      <c r="AX587" s="133">
        <f>IF(AND($B586=" ",$K587=AX$3),$O587,0)</f>
        <v>0</v>
      </c>
      <c r="AY587" s="135">
        <f>IF(AND($B586=" ",$K587=AY$3),$O587,0)</f>
        <v>0</v>
      </c>
      <c r="AZ587" s="136">
        <f>IF(AND($B586=" ",$K587=AZ$3),$O587,0)</f>
        <v>0</v>
      </c>
      <c r="BA587" s="136">
        <f>IF(AND($B586=" ",$K587=BA$3),$O587,0)</f>
        <v>0</v>
      </c>
      <c r="BB587" s="136">
        <f>IF(AND($B586=" ",$K587=BB$3),$O587,0)</f>
        <v>0</v>
      </c>
      <c r="BC587" s="137">
        <f>IF(AND($B586=" ",$K587=BC$3),$O587,0)</f>
        <v>0</v>
      </c>
      <c r="BD587" s="133">
        <f>IF(AND($B586=" ",$K587=BD$3),$O587,0)</f>
        <v>0</v>
      </c>
      <c r="BE587" s="134">
        <f>IF(AND($B586=" ",$K587=BE$3),$O587,0)</f>
        <v>0</v>
      </c>
      <c r="BF587" s="132">
        <f>IF($K587=BF$3,IF($C587="X",0,$O587),0)</f>
        <v>0</v>
      </c>
      <c r="BG587" s="281">
        <f>IF($K587=BG$3,IF($C587="X",0,$O587),0)</f>
        <v>0</v>
      </c>
      <c r="BH587" s="133">
        <f>IF($K587=BH$3,IF($C587="X",0,$O587),0)</f>
        <v>0</v>
      </c>
      <c r="BI587" s="133">
        <f>IF($K587=BI$3,IF($C587="X",0,$O587),0)</f>
        <v>0</v>
      </c>
      <c r="BJ587" s="133">
        <f>IF($K587=BJ$3,IF($C587="X",0,$O587),0)</f>
        <v>22.5</v>
      </c>
      <c r="BK587" s="133">
        <f>IF($K587=BK$3,IF($C587="X",0,$O587),0)</f>
        <v>0</v>
      </c>
      <c r="BL587" s="133">
        <f>IF($K587=BL$3,IF($C587="X",0,$O587),0)</f>
        <v>0</v>
      </c>
      <c r="BM587" s="135">
        <f>IF($K587=BM$3,IF($C587="X",0,$O587),0)</f>
        <v>0</v>
      </c>
      <c r="BN587" s="136">
        <f>IF($K587=BN$3,IF($C587="X",0,$O587),0)</f>
        <v>0</v>
      </c>
      <c r="BO587" s="136">
        <f>IF($K587=BO$3,IF($C587="X",0,$O587),0)</f>
        <v>0</v>
      </c>
      <c r="BP587" s="136">
        <f>IF($K587=BP$3,IF($C587="X",0,$O587),0)</f>
        <v>0</v>
      </c>
      <c r="BQ587" s="137">
        <f>IF($K587=BQ$3,IF($C587="X",0,$O587),0)</f>
        <v>0</v>
      </c>
      <c r="BR587" s="134">
        <f>IF($K587=BR$3,IF($C587="X",0,$O587),0)</f>
        <v>0</v>
      </c>
      <c r="BS587" s="282"/>
      <c r="BT587" s="283"/>
      <c r="BU587" s="140"/>
      <c r="BV587" s="283"/>
      <c r="BW587" s="140"/>
      <c r="BX587" s="140"/>
      <c r="BY587" s="140"/>
      <c r="BZ587" s="283"/>
      <c r="CA587" s="140"/>
      <c r="CB587" s="140"/>
      <c r="CC587" s="140"/>
      <c r="CD587" s="141"/>
      <c r="CE587" s="142"/>
      <c r="CF587" s="284">
        <f>IF(CF$3=$K587,IF($C587="W",1,IF($C587="1/2W",0.5,0)),0)</f>
        <v>0</v>
      </c>
      <c r="CG587" s="285">
        <f>IF(CF$3=$K587,IF($C587="L",1,IF($C587="1/2L",0.5,0)),0)</f>
        <v>0</v>
      </c>
      <c r="CH587" s="285">
        <f>IF(CH$3=$K587,IF($C587="W",1,IF($C587="1/2W",0.5,0)),0)</f>
        <v>0</v>
      </c>
      <c r="CI587" s="285">
        <f>IF(CH$3=$K587,IF($C587="L",1,IF($C587="1/2L",0.5,0)),0)</f>
        <v>0</v>
      </c>
      <c r="CJ587" s="285">
        <f>IF(CJ$3=$K587,IF($C587="W",1,IF($C587="1/2W",0.5,0)),0)</f>
        <v>0</v>
      </c>
      <c r="CK587" s="285">
        <f>IF(CJ$3=$K587,IF($C587="L",1,IF($C587="1/2L",0.5,0)),0)</f>
        <v>0</v>
      </c>
      <c r="CL587" s="285">
        <f>IF(CL$3=$K587,IF($C587="W",1,IF($C587="1/2W",0.5,0)),0)</f>
        <v>0</v>
      </c>
      <c r="CM587" s="285">
        <f>IF(CL$3=$K587,IF($C587="L",1,IF($C587="1/2L",0.5,0)),0)</f>
        <v>0</v>
      </c>
      <c r="CN587" s="285">
        <f>IF(CN$3=$K587,IF($C587="W",1,IF($C587="1/2W",0.5,0)),0)</f>
        <v>0</v>
      </c>
      <c r="CO587" s="285">
        <f>IF(CN$3=$K587,IF($C587="L",1,IF($C587="1/2L",0.5,0)),0)</f>
        <v>1</v>
      </c>
      <c r="CP587" s="285">
        <f>IF(CP$3=$K587,IF($C587="W",1,IF($C587="1/2W",0.5,0)),0)</f>
        <v>0</v>
      </c>
      <c r="CQ587" s="285">
        <f>IF(CP$3=$K587,IF($C587="L",1,IF($C587="1/2L",0.5,0)),0)</f>
        <v>0</v>
      </c>
      <c r="CR587" s="285">
        <f>IF(CR$3=$K587,IF($C587="W",1,IF($C587="1/2W",0.5,0)),0)</f>
        <v>0</v>
      </c>
      <c r="CS587" s="285">
        <f>IF(CR$3=$K587,IF($C587="L",1,IF($C587="1/2L",0.5,0)),0)</f>
        <v>0</v>
      </c>
      <c r="CT587" s="145">
        <f>IF(CT$3=$K587,IF($C587="W",1,IF($C587="1/2W",0.5,0)),0)</f>
        <v>0</v>
      </c>
      <c r="CU587" s="146">
        <f>IF(CT$3=$K587,IF($C587="L",1,IF($C587="1/2L",0.5,0)),0)</f>
        <v>0</v>
      </c>
      <c r="CV587" s="146">
        <f>IF(CV$3=$K587,IF($C587="W",1,IF($C587="1/2W",0.5,0)),0)</f>
        <v>0</v>
      </c>
      <c r="CW587" s="146">
        <f>IF(CV$3=$K587,IF($C587="L",1,IF($C587="1/2L",0.5,0)),0)</f>
        <v>0</v>
      </c>
      <c r="CX587" s="146">
        <f>IF(CX$3=$K587,IF($C587="W",1,IF($C587="1/2W",0.5,0)),0)</f>
        <v>0</v>
      </c>
      <c r="CY587" s="146">
        <f>IF(CX$3=$K587,IF($C587="L",1,IF($C587="1/2L",0.5,0)),0)</f>
        <v>0</v>
      </c>
      <c r="CZ587" s="146">
        <f>IF(CZ$3=$K587,IF($C587="W",1,IF($C587="1/2W",0.5,0)),0)</f>
        <v>0</v>
      </c>
      <c r="DA587" s="146">
        <f>IF(CZ$3=$K587,IF($C587="L",1,IF($C587="1/2L",0.5,0)),0)</f>
        <v>0</v>
      </c>
      <c r="DB587" s="146">
        <f>IF(DB$3=$K587,IF($C587="W",1,IF($C587="1/2W",0.5,0)),0)</f>
        <v>0</v>
      </c>
      <c r="DC587" s="146">
        <f>IF(DB$3=$K587,IF($C587="L",1,IF($C587="1/2L",0.5,0)),0)</f>
        <v>0</v>
      </c>
      <c r="DD587" s="146">
        <f>IF(DD$3=$K587,IF($C587="W",1,IF($C587="1/2W",0.5,0)),0)</f>
        <v>0</v>
      </c>
      <c r="DE587" s="147">
        <f>IF(DD$3=$K587,IF($C587="L",1,IF($C587="1/2L",0.5,0)),0)</f>
        <v>0</v>
      </c>
      <c r="DF587" s="143">
        <f>IF(AND(L587&lt;DF$3,$C587="W"),1+DF586,DF586)</f>
        <v>17</v>
      </c>
      <c r="DG587" s="133">
        <f>IF(DF587&gt;DF586,L587+DG586,DG586)</f>
        <v>22.628</v>
      </c>
      <c r="DH587" s="146">
        <f>IF(AND(L587&gt;DH$3,$C587="W"),1+DH586,0+DH586)</f>
        <v>16</v>
      </c>
      <c r="DI587" s="133">
        <f>IF(DH587&gt;DH586,L587+DI586,DI586)</f>
        <v>85.45999999999999</v>
      </c>
      <c r="DJ587" t="s" s="304">
        <f>IF($D586="","",$D586)</f>
        <v>431</v>
      </c>
      <c r="DK587" s="286"/>
    </row>
    <row r="588" ht="14.55" customHeight="1">
      <c r="A588" s="149"/>
      <c r="B588" s="150"/>
      <c r="C588" t="s" s="151">
        <v>58</v>
      </c>
      <c r="D588" s="152"/>
      <c r="E588" s="153"/>
      <c r="F588" s="155"/>
      <c r="G588" s="252"/>
      <c r="H588" s="156"/>
      <c r="I588" s="287"/>
      <c r="J588" s="288"/>
      <c r="K588" s="156"/>
      <c r="L588" s="289"/>
      <c r="M588" s="290"/>
      <c r="N588" s="161"/>
      <c r="O588" t="s" s="162">
        <f>IF(OR(AE586="",AE587=""),"",IF(L588&gt;0,ROUND(IF(M588&gt;0,M588,IF(M586&gt;0,ROUND((M586*AE588)/AE586,IF(N586=0,2,IF(N586=0.1,1,0))),IF(M587&gt;0,ROUND((M587*AE588)/AE587,IF(N586=0,2,IF(N586=0.1,1,0))),IF(M588&gt;0,M588,0)))),2),""))</f>
      </c>
      <c r="P588" t="s" s="163">
        <f>IF(I587="Lay",O587*(L587/(L587-1))-O587,IF(I586="Lay",O586*(L586/(L586-1))-O586,IF(OR(L588="",O588=""),"",IF($C588="1/2W",O588/2+O588/2*L588,IF($C588="1/2L",O588/2,(O588*L588-O588)*(1-_xlfn.XLOOKUP(K588,'Janeiro 2023 - Valor Real'!A3:A15,'Janeiro 2023 - Valor Real'!C3:C15,0))+O588)))))</f>
      </c>
      <c r="Q588" t="s" s="154">
        <f>IF(K588="","",IF(_xlfn.XLOOKUP(K588,K$121:K367,DJ$121:DJ367,0,,-1)=DJ588,_xlfn.XLOOKUP(K588,K$121:K367,Q$121:Q367,1,,-1)+1,1))</f>
      </c>
      <c r="R588" t="s" s="163">
        <f>IF(K588="","",_xlfn.XLOOKUP(K588,K$121:K367,R$121:R367,0,,-1)+IF($C588=" ",1,0))</f>
      </c>
      <c r="S588" s="166"/>
      <c r="T588" s="155"/>
      <c r="U588" s="155"/>
      <c r="V588" s="166"/>
      <c r="W588" s="155"/>
      <c r="X588" s="167"/>
      <c r="Y588" s="128"/>
      <c r="Z588" s="129"/>
      <c r="AA588" s="129"/>
      <c r="AB588" s="129"/>
      <c r="AC588" s="129"/>
      <c r="AD588" s="168"/>
      <c r="AE588" t="s" s="169">
        <f>IF(L588="","",(SUM(((L586-1)*(1-_xlfn.XLOOKUP(K586,'Janeiro 2023 - Valor Real'!A3:A15,'Janeiro 2023 - Valor Real'!C3:C15,0))+1),((L587-1)*(1-_xlfn.XLOOKUP(K587,'Janeiro 2023 - Valor Real'!A3:A15,'Janeiro 2023 - Valor Real'!C3:C15,0))+1),((L588-1)*(1-_xlfn.XLOOKUP(K588,'Janeiro 2023 - Valor Real'!A3:A15,'Janeiro 2023 - Valor Real'!C3:C15,0))+1))/((L588-1)*(1-_xlfn.XLOOKUP(K588,'Janeiro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Real'!C3:C15,0))+1))/((L586-1)*(1-_xlfn.XLOOKUP(K586,'Janeiro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Real'!C3:C15,0))+1))/((L587-1)*(1-_xlfn.XLOOKUP(K587,'Janeiro 2023 - Valor Real'!A3:A15,'Janeiro 2023 - Valor Real'!C3:C15,0))+1)+SUM(((L586-1)*(1-_xlfn.XLOOKUP(K586,'Janeiro 2023 - Valor Real'!A3:A15,'Janeiro 2023 - Valor Real'!C3:C15,0))+1),((L587-1)*(1-_xlfn.XLOOKUP(K587,'Janeiro 2023 - Valor Real'!A3:A15,'Janeiro 2023 - Valor Real'!C3:C15,0))+1),((L588-1)*(1-_xlfn.XLOOKUP(K588,'Janeiro 2023 - Valor Real'!A3:A15,'Janeiro 2023 - Valor Real'!C3:C15,0))+1))/((L588-1)*(1-_xlfn.XLOOKUP(K588,'Janeiro 2023 - Valor Real'!A3:A15,'Janeiro 2023 - Valor Real'!C3:C15,0))+1)))</f>
      </c>
      <c r="AF588" s="132">
        <f>IF($K588=AF$3,ROUND(IF(OR($C588="W",$C588="1/2W",$C588="1/2L"),$P588-$O588,IF($C588="X",0,-$O588)),2),0)</f>
        <v>0</v>
      </c>
      <c r="AG588" s="133">
        <f>IF($K588=AG$3,ROUND(IF(OR($C588="W",$C588="1/2W",$C588="1/2L"),$P588-$O588,IF($C588="X",0,-$O588)),2),0)</f>
        <v>0</v>
      </c>
      <c r="AH588" s="133">
        <f>IF($K588=AH$3,ROUND(IF(OR($C588="W",$C588="1/2W",$C588="1/2L"),$P588-$O588,IF($C588="X",0,-$O588)),2),0)</f>
        <v>0</v>
      </c>
      <c r="AI588" s="133">
        <f>IF($K588=AI$3,ROUND(IF(OR($C588="W",$C588="1/2W",$C588="1/2L"),$P588-$O588,IF($C588="X",0,-$O588)),2),0)</f>
        <v>0</v>
      </c>
      <c r="AJ588" s="133">
        <f>IF($K588=AJ$3,ROUND(IF(OR($C588="W",$C588="1/2W",$C588="1/2L"),$P588-$O588,IF($C588="X",0,-$O588)),2),0)</f>
        <v>0</v>
      </c>
      <c r="AK588" s="133">
        <f>IF($K588=AK$3,ROUND(IF(OR($C588="W",$C588="1/2W",$C588="1/2L"),$P588-$O588,IF($C588="X",0,-$O588)),2),0)</f>
        <v>0</v>
      </c>
      <c r="AL588" s="133">
        <f>IF($K588=AL$3,ROUND(IF(OR($C588="W",$C588="1/2W",$C588="1/2L"),$P588-$O588,IF($C588="X",0,-$O588)),2),0)</f>
        <v>0</v>
      </c>
      <c r="AM588" s="133">
        <f>IF($K588=AM$3,ROUND(IF(OR($C588="W",$C588="1/2W",$C588="1/2L"),$P588-$O588,IF($C588="X",0,-$O588)),2),0)</f>
        <v>0</v>
      </c>
      <c r="AN588" s="133">
        <f>IF($K588=AN$3,ROUND(IF(OR($C588="W",$C588="1/2W",$C588="1/2L"),$P588-$O588,IF($C588="X",0,-$O588)),2),0)</f>
        <v>0</v>
      </c>
      <c r="AO588" s="133">
        <f>IF($K588=AO$3,ROUND(IF(OR($C588="W",$C588="1/2W",$C588="1/2L"),$P588-$O588,IF($C588="X",0,-$O588)),2),0)</f>
        <v>0</v>
      </c>
      <c r="AP588" s="133">
        <f>IF($K588=AP$3,ROUND(IF(OR($C588="W",$C588="1/2W",$C588="1/2L"),$P588-$O588,IF($C588="X",0,-$O588)),2),0)</f>
        <v>0</v>
      </c>
      <c r="AQ588" s="133">
        <f>IF($K588=AQ$3,ROUND(IF(OR($C588="W",$C588="1/2W",$C588="1/2L"),$P588-$O588,IF($C588="X",0,-$O588)),2),0)</f>
        <v>0</v>
      </c>
      <c r="AR588" s="134">
        <f>IF($K588=AR$3,ROUND(IF(OR($C588="W",$C588="1/2W",$C588="1/2L"),$P588-$O588,IF($C588="X",0,-$O588)),2),0)</f>
        <v>0</v>
      </c>
      <c r="AS588" s="132">
        <f>IF(AND($B586=" ",$K588=AS$3),$O588,0)</f>
        <v>0</v>
      </c>
      <c r="AT588" s="133">
        <f>IF(AND($B586=" ",K588=AT$3),$O588,0)</f>
        <v>0</v>
      </c>
      <c r="AU588" s="133">
        <f>IF(AND($B586=" ",$K588=AU$3),$O588,0)</f>
        <v>0</v>
      </c>
      <c r="AV588" s="133">
        <f>IF(AND($B586=" ",$K588=AV$3),$O588,0)</f>
        <v>0</v>
      </c>
      <c r="AW588" s="133">
        <f>IF(AND($B586=" ",$K588=AW$3),$O588,0)</f>
        <v>0</v>
      </c>
      <c r="AX588" s="133">
        <f>IF(AND($B586=" ",$K588=AX$3),$O588,0)</f>
        <v>0</v>
      </c>
      <c r="AY588" s="135">
        <f>IF(AND($B586=" ",$K588=AY$3),$O588,0)</f>
        <v>0</v>
      </c>
      <c r="AZ588" s="136">
        <f>IF(AND($B586=" ",$K588=AZ$3),$O588,0)</f>
        <v>0</v>
      </c>
      <c r="BA588" s="136">
        <f>IF(AND($B586=" ",$K588=BA$3),$O588,0)</f>
        <v>0</v>
      </c>
      <c r="BB588" s="136">
        <f>IF(AND($B586=" ",$K588=BB$3),$O588,0)</f>
        <v>0</v>
      </c>
      <c r="BC588" s="137">
        <f>IF(AND($B586=" ",$K588=BC$3),$O588,0)</f>
        <v>0</v>
      </c>
      <c r="BD588" s="133">
        <f>IF(AND($B586=" ",$K588=BD$3),$O588,0)</f>
        <v>0</v>
      </c>
      <c r="BE588" s="134">
        <f>IF(AND($B586=" ",$K588=BE$3),$O588,0)</f>
        <v>0</v>
      </c>
      <c r="BF588" s="132">
        <f>IF($K588=BF$3,IF($C588="X",0,$O588),0)</f>
        <v>0</v>
      </c>
      <c r="BG588" s="281">
        <f>IF($K588=BG$3,IF($C588="X",0,$O588),0)</f>
        <v>0</v>
      </c>
      <c r="BH588" s="133">
        <f>IF($K588=BH$3,IF($C588="X",0,$O588),0)</f>
        <v>0</v>
      </c>
      <c r="BI588" s="133">
        <f>IF($K588=BI$3,IF($C588="X",0,$O588),0)</f>
        <v>0</v>
      </c>
      <c r="BJ588" s="133">
        <f>IF($K588=BJ$3,IF($C588="X",0,$O588),0)</f>
        <v>0</v>
      </c>
      <c r="BK588" s="133">
        <f>IF($K588=BK$3,IF($C588="X",0,$O588),0)</f>
        <v>0</v>
      </c>
      <c r="BL588" s="133">
        <f>IF($K588=BL$3,IF($C588="X",0,$O588),0)</f>
        <v>0</v>
      </c>
      <c r="BM588" s="135">
        <f>IF($K588=BM$3,IF($C588="X",0,$O588),0)</f>
        <v>0</v>
      </c>
      <c r="BN588" s="136">
        <f>IF($K588=BN$3,IF($C588="X",0,$O588),0)</f>
        <v>0</v>
      </c>
      <c r="BO588" s="136">
        <f>IF($K588=BO$3,IF($C588="X",0,$O588),0)</f>
        <v>0</v>
      </c>
      <c r="BP588" s="136">
        <f>IF($K588=BP$3,IF($C588="X",0,$O588),0)</f>
        <v>0</v>
      </c>
      <c r="BQ588" s="137">
        <f>IF($K588=BQ$3,IF($C588="X",0,$O588),0)</f>
        <v>0</v>
      </c>
      <c r="BR588" s="134">
        <f>IF($K588=BR$3,IF($C588="X",0,$O588),0)</f>
        <v>0</v>
      </c>
      <c r="BS588" s="282"/>
      <c r="BT588" s="283"/>
      <c r="BU588" s="140"/>
      <c r="BV588" s="283"/>
      <c r="BW588" s="140"/>
      <c r="BX588" s="140"/>
      <c r="BY588" s="140"/>
      <c r="BZ588" s="283"/>
      <c r="CA588" s="140"/>
      <c r="CB588" s="140"/>
      <c r="CC588" s="140"/>
      <c r="CD588" s="141"/>
      <c r="CE588" s="142"/>
      <c r="CF588" s="284">
        <f>IF(CF$3=$K588,IF($C588="W",1,IF($C588="1/2W",0.5,0)),0)</f>
        <v>0</v>
      </c>
      <c r="CG588" s="285">
        <f>IF(CF$3=$K588,IF($C588="L",1,IF($C588="1/2L",0.5,0)),0)</f>
        <v>0</v>
      </c>
      <c r="CH588" s="285">
        <f>IF(CH$3=$K588,IF($C588="W",1,IF($C588="1/2W",0.5,0)),0)</f>
        <v>0</v>
      </c>
      <c r="CI588" s="285">
        <f>IF(CH$3=$K588,IF($C588="L",1,IF($C588="1/2L",0.5,0)),0)</f>
        <v>0</v>
      </c>
      <c r="CJ588" s="285">
        <f>IF(CJ$3=$K588,IF($C588="W",1,IF($C588="1/2W",0.5,0)),0)</f>
        <v>0</v>
      </c>
      <c r="CK588" s="285">
        <f>IF(CJ$3=$K588,IF($C588="L",1,IF($C588="1/2L",0.5,0)),0)</f>
        <v>0</v>
      </c>
      <c r="CL588" s="285">
        <f>IF(CL$3=$K588,IF($C588="W",1,IF($C588="1/2W",0.5,0)),0)</f>
        <v>0</v>
      </c>
      <c r="CM588" s="285">
        <f>IF(CL$3=$K588,IF($C588="L",1,IF($C588="1/2L",0.5,0)),0)</f>
        <v>0</v>
      </c>
      <c r="CN588" s="285">
        <f>IF(CN$3=$K588,IF($C588="W",1,IF($C588="1/2W",0.5,0)),0)</f>
        <v>0</v>
      </c>
      <c r="CO588" s="285">
        <f>IF(CN$3=$K588,IF($C588="L",1,IF($C588="1/2L",0.5,0)),0)</f>
        <v>0</v>
      </c>
      <c r="CP588" s="285">
        <f>IF(CP$3=$K588,IF($C588="W",1,IF($C588="1/2W",0.5,0)),0)</f>
        <v>0</v>
      </c>
      <c r="CQ588" s="285">
        <f>IF(CP$3=$K588,IF($C588="L",1,IF($C588="1/2L",0.5,0)),0)</f>
        <v>0</v>
      </c>
      <c r="CR588" s="285">
        <f>IF(CR$3=$K588,IF($C588="W",1,IF($C588="1/2W",0.5,0)),0)</f>
        <v>0</v>
      </c>
      <c r="CS588" s="285">
        <f>IF(CR$3=$K588,IF($C588="L",1,IF($C588="1/2L",0.5,0)),0)</f>
        <v>0</v>
      </c>
      <c r="CT588" s="145">
        <f>IF(CT$3=$K588,IF($C588="W",1,IF($C588="1/2W",0.5,0)),0)</f>
        <v>0</v>
      </c>
      <c r="CU588" s="146">
        <f>IF(CT$3=$K588,IF($C588="L",1,IF($C588="1/2L",0.5,0)),0)</f>
        <v>0</v>
      </c>
      <c r="CV588" s="146">
        <f>IF(CV$3=$K588,IF($C588="W",1,IF($C588="1/2W",0.5,0)),0)</f>
        <v>0</v>
      </c>
      <c r="CW588" s="146">
        <f>IF(CV$3=$K588,IF($C588="L",1,IF($C588="1/2L",0.5,0)),0)</f>
        <v>0</v>
      </c>
      <c r="CX588" s="146">
        <f>IF(CX$3=$K588,IF($C588="W",1,IF($C588="1/2W",0.5,0)),0)</f>
        <v>0</v>
      </c>
      <c r="CY588" s="146">
        <f>IF(CX$3=$K588,IF($C588="L",1,IF($C588="1/2L",0.5,0)),0)</f>
        <v>0</v>
      </c>
      <c r="CZ588" s="146">
        <f>IF(CZ$3=$K588,IF($C588="W",1,IF($C588="1/2W",0.5,0)),0)</f>
        <v>0</v>
      </c>
      <c r="DA588" s="146">
        <f>IF(CZ$3=$K588,IF($C588="L",1,IF($C588="1/2L",0.5,0)),0)</f>
        <v>0</v>
      </c>
      <c r="DB588" s="146">
        <f>IF(DB$3=$K588,IF($C588="W",1,IF($C588="1/2W",0.5,0)),0)</f>
        <v>0</v>
      </c>
      <c r="DC588" s="146">
        <f>IF(DB$3=$K588,IF($C588="L",1,IF($C588="1/2L",0.5,0)),0)</f>
        <v>0</v>
      </c>
      <c r="DD588" s="146">
        <f>IF(DD$3=$K588,IF($C588="W",1,IF($C588="1/2W",0.5,0)),0)</f>
        <v>0</v>
      </c>
      <c r="DE588" s="147">
        <f>IF(DD$3=$K588,IF($C588="L",1,IF($C588="1/2L",0.5,0)),0)</f>
        <v>0</v>
      </c>
      <c r="DF588" s="143">
        <f>IF(AND(L588&lt;DF$3,$C588="W"),1+DF587,DF587)</f>
        <v>17</v>
      </c>
      <c r="DG588" s="133">
        <f>IF(DF588&gt;DF587,L588+DG587,DG587)</f>
        <v>22.628</v>
      </c>
      <c r="DH588" s="146">
        <f>IF(AND(L588&gt;DH$3,$C588="W"),1+DH587,0+DH587)</f>
        <v>16</v>
      </c>
      <c r="DI588" s="133">
        <f>IF(DH588&gt;DH587,L588+DI587,DI587)</f>
        <v>85.45999999999999</v>
      </c>
      <c r="DJ588" t="s" s="304">
        <f>IF($D586="","",$D586)</f>
        <v>431</v>
      </c>
      <c r="DK588" s="286"/>
    </row>
    <row r="589" ht="14.55" customHeight="1">
      <c r="A589" s="171">
        <f>$A586+1</f>
        <v>196</v>
      </c>
      <c r="B589" t="s" s="172">
        <f>IF(AND(_xlfn.XLOOKUP(H589,H$122:H362,G$122:G362,0)=G589,_xlfn.XLOOKUP("TempoBet",K589:K591,L589:L591,0)&gt;0),"X",IF(OR(C589="W",C590="W",C591="W",C589="1/2W",C590="1/2W",C591="1/2W",C589="1/2L",C590="1/2L",C591="1/2L"),"OK",IF(OR(C589="L",C590="L",C591="L"),"LOSS",IF(OR(C589="X",C590="X",C591="X"),"Anulado"," "))))</f>
        <v>50</v>
      </c>
      <c r="C589" t="s" s="173">
        <v>56</v>
      </c>
      <c r="D589" t="s" s="305">
        <f>IF(G589="","",$D586)</f>
        <v>431</v>
      </c>
      <c r="E589" t="s" s="175">
        <f>IF(G589=""," ","– "&amp;COUNTIF(D$4:D591,$D589))</f>
        <v>115</v>
      </c>
      <c r="F589" t="s" s="176"/>
      <c r="G589" s="177">
        <v>44954.541666666664</v>
      </c>
      <c r="H589" t="s" s="178">
        <v>438</v>
      </c>
      <c r="I589" t="s" s="179">
        <v>57</v>
      </c>
      <c r="J589" s="180"/>
      <c r="K589" t="s" s="181">
        <v>44</v>
      </c>
      <c r="L589" s="182">
        <v>1.98</v>
      </c>
      <c r="M589" s="183"/>
      <c r="N589" s="184">
        <v>0</v>
      </c>
      <c r="O589" s="185">
        <f>IF(OR(AE589="",AE590=""),"",ROUND(IF(L591&gt;0,IF(M589&gt;0,M589,IF(M590&gt;0,ROUND((M590*AE589)/AE590,IF(N589=0,2,IF(N589=0.1,1,0))),ROUND((M591*AE589)/AE591,IF(N589=0,2,IF(N589=0.1,1,0))))),IF(M589&gt;0,M589,ROUND((M590*AE589)/AE590,IF(N589=0,2,IF(N589=0.1,1,0))))),2))</f>
        <v>8.68</v>
      </c>
      <c r="P589" s="186">
        <f>IF(OR(L589="",O589=""),"",IF($C589="1/2W",O589/2+O589/2*L589,IF($C589="1/2L",O589/2,IF(I589="Lay",(O589*(L589/(L589-1))-O589)*(1-_xlfn.XLOOKUP(K589,'Janeiro 2023 - Valor Real'!A3:A15,'Janeiro 2023 - Valor Real'!C3:C15,0))+O589,(O589*L589-O589)*(1-_xlfn.XLOOKUP(K589,'Janeiro 2023 - Valor Real'!A3:A15,'Janeiro 2023 - Valor Real'!C3:C15,0))+O589))))</f>
        <v>17.1864</v>
      </c>
      <c r="Q589" s="187">
        <f>IF(K589="","",IF(_xlfn.XLOOKUP(K589,K$122:K362,DJ$122:DJ362,0,,-1)=DJ589,_xlfn.XLOOKUP(K589,K$122:K362,Q$122:Q362,1,,-1)+1,1))</f>
        <v>1</v>
      </c>
      <c r="R589" s="188">
        <f>IF(K589="","",_xlfn.XLOOKUP(K589,K$122:K362,R$122:R362,0,,-1)+IF($C589=" ",1,0))</f>
        <v>0</v>
      </c>
      <c r="S589" s="189">
        <f>IF($B589="Anulado",0,ROUND(IF(OR($B589="LOSS",$B589="OK"),IF(OR($C589="W",$C589="1/2W",$C589="1/2L"),P589-O589,IF($C589="L",-O589,0))+IF(OR($C590="W",$C590="1/2W",$C590="1/2L"),P590-O590,IF($C590="L",-O590,0))+IF(OR($C591="W",$C591="1/2W",$C591="1/2L"),P591-O591,IF($C591="L",-O591,0)),IF(AND(OR($C589="W",$C589="1/2W",$C589="1/2L"),C590="W"),P589+P590-SUM(O589:O591)+_xlfn.XLOOKUP("X",C589:C591,O589:O591,0),IF(AND(C589=TRUE,C591="W"),P589+P591-SUM(O589:O591),IF(AND(C590="W",C591="W"),P590+P591-SUM(O589:O591)+_xlfn.XLOOKUP("X",C589:C591,O589:O591,0),IF(L591&gt;0,IF(OR($C589="W",$C589="1/2W",$C589="1/2L"),P589-SUM(O589:O591)+_xlfn.XLOOKUP("X",C589:C591,O589:O591,0),IF(OR($C589="W",$C589="1/2W",$C589="1/2L"),P590-SUM(O589:O591)+_xlfn.XLOOKUP("X",C589:C591,O589:O591,0),IF(OR($C589="W",$C589="1/2W",$C589="1/2L"),P591-SUM(O589:O591)+_xlfn.XLOOKUP("X",C589:C591,O589:O591,0),IF(SUM(P589:P591)/3-SUM(O589:O591)+_xlfn.XLOOKUP("X",C589:C591,O589:O591,0)&gt;0,SUM(P589:P591)/3-SUM(O589:O591)+_xlfn.XLOOKUP("X",C589:C591,O589:O591,0),LARGE(P589:P591,1)-SUM(O589:O591))))),IF(OR($C589="W",$C589="1/2W",$C589="1/2L"),P589-SUM(O589:O590)+_xlfn.XLOOKUP("X",C589:C591,O589:O591,0),IF(OR($C589="W",$C589="1/2W",$C589="1/2L"),P590-SUM(O589:O590)+_xlfn.XLOOKUP("X",C589:C591,O589:O591,0),SUM(P589:P590)/2-SUM(O589:O590)+_xlfn.XLOOKUP("X",C589:C591,O589:O591,0)))))))),2))</f>
        <v>0.87</v>
      </c>
      <c r="T589" s="190">
        <f>IF(S589=0,0,S589/SUM(O589:O591))</f>
        <v>0.0533088235294118</v>
      </c>
      <c r="U589" s="191">
        <f>IF($D589=$D586,IF(OR($B589="LOSS",$B589="OK",$B589="Anulada"),S589,0)+U586,IF(OR($B589="LOSS",$B589="OK",$B589="Anulada"),S589,0))</f>
        <v>9.1</v>
      </c>
      <c r="V589" s="191">
        <f>IF($D589="",0,IF($D589=$D586,IF($B589=" ",IF(I591="",IF(OR(AND(I589="DNB1",I590="DNB2"),AND(OR(I589="DNB1",I589="DNB2"),J590=0),AND(OR(I590="DNB1",I590="DNB2"),J589=0),AND(I589="DNB2",I590="DNB1"),AND(IF(J589=0,(J589+1)/ROUND(J589+1,0),J589/ROUND(J589,0))=1,IF(J590=0,(J590+1)/ROUND(IF(J590="",0,J590)+1,0),IF(J590="",0,J590)/ROUND(IF(J590="",1,J590),0))=1,OR(J589&lt;&gt;""),J590&lt;&gt;"")),0,IF(S589&lt;0,IF(I591="",SMALL(P589:P590,1)-SUM(O589:O590),0),SMALL(P589:P590,1)-SUM(O589:O590))),IF(S589&lt;0,IF(I591="",SMALL(P589:P591,1)-SUM(O589:O591),0),LARGE(P589:P591,1)-SUM(O589:O591))),S589)+V586,IF(I591="",IF(OR(AND(I589="DNB1",I590="DNB2"),AND(OR(I589="DNB1",I589="DNB2"),J590=0),AND(OR(I590="DNB1",I590="DNB2"),J589=0),AND(I589="DNB2",I590="DNB1"),AND(IF(J589=0,(J589+1)/ROUND(J589+1,0),J589/ROUND(J589,0))=1,IF(J590=0,(IF(J590="",0,J590)+1)/ROUND(IF(J590="",0,J590)+1,0),IF(J590="",0,J590)/ROUND(IF(J590="",0,J590)+1,0))=1,OR(J589&lt;&gt;""),J590&lt;&gt;"")),0,IF(S589&lt;0,IF(I591="",SMALL(P589:P590,1)-SUM(O589:O590),0),SMALL(P589:P591,1)-SUM(O589:O591))),IF(S589&lt;0,IF(I591="",SMALL(P589:P591,1)-SUM(O589:O591),0),LARGE(P589:P591,1)-SUM(O589:O591)))))</f>
        <v>9.071999999999999</v>
      </c>
      <c r="W589" s="191">
        <f>IF($D589=$D586,IF(S589&lt;0,IF(I591="",S589,0),S589)+W586,S589)</f>
        <v>9.1</v>
      </c>
      <c r="X589" t="s" s="192">
        <f>IF(OR(SUM(R589:R591)=0,V589=W589),ROUND(IF(W589=0,0,W589/Y589)*100,2)&amp;"%",ROUND(IF(V589=0,0,V589/Y589)*100,2)&amp;"% a "&amp;ROUND(IF(W589=0,0,W589/Y589)*100,2)&amp;"%")</f>
        <v>439</v>
      </c>
      <c r="Y589" s="193">
        <f>IF($D589=$D586,Y586+SUM(O589:O591),SUM(O589:O591))</f>
        <v>128.5</v>
      </c>
      <c r="Z589" s="191">
        <f>IF($B589=" ",SUM(O589:O591),0)+Z586</f>
        <v>0</v>
      </c>
      <c r="AA589" s="191">
        <f>IF(G589="","",IF($B589="Anulado",LARGE(P589:P591,1)-SUM(O589:O591)+AA586,AA586))</f>
        <v>24.9665076923077</v>
      </c>
      <c r="AB589" s="191">
        <f>IF($D589="","",AB586+S589)</f>
        <v>397.43</v>
      </c>
      <c r="AC589" s="194">
        <f>IF($D589="","",IF($B589=" ",IF(DAY(G589)=DAY(TODAY()),1+AC586,0+AC586),0+AC586))</f>
        <v>0</v>
      </c>
      <c r="AD589" s="195">
        <f>(((L590/(L590-1)-1)*(1-_xlfn.XLOOKUP(K590,'Janeiro 2023 - Valor Real'!A3:A15,'Janeiro 2023 - Valor Real'!C3:C15,0))+1))/(((L589-1)*(1-_xlfn.XLOOKUP(K589,'Janeiro 2023 - Valor Real'!A3:A15,'Janeiro 2023 - Valor Real'!C3:C15,0))+1)+((L590/(L590-1)-1)*(1-_xlfn.XLOOKUP(K590,'Janeiro 2023 - Valor Real'!A3:A15,'Janeiro 2023 - Valor Real'!C3:C15,0))+1))</f>
        <v>0.476190476190476</v>
      </c>
      <c r="AE589" s="196">
        <f>IF(L589="","",IF(L591&gt;0,(SUM(((L589-1)*(1-_xlfn.XLOOKUP(K589,'Janeiro 2023 - Valor Real'!A3:A15,'Janeiro 2023 - Valor Real'!C3:C15,0))+1),((L590-1)*(1-_xlfn.XLOOKUP(K590,'Janeiro 2023 - Valor Real'!A3:A15,'Janeiro 2023 - Valor Real'!C3:C15,0))+1),((L591-1)*(1-_xlfn.XLOOKUP(K591,'Janeiro 2023 - Valor Real'!A3:A15,'Janeiro 2023 - Valor Real'!C3:C15,0))+1))/((L589-1)*(1-_xlfn.XLOOKUP(K589,'Janeiro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Real'!C3:C15,0))+1))/((L589-1)*(1-_xlfn.XLOOKUP(K589,'Janeiro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Real'!C3:C15,0))+1))/((L590-1)*(1-_xlfn.XLOOKUP(K590,'Janeiro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Real'!C3:C15,0))+1))/((L591-1)*(1-_xlfn.XLOOKUP(K591,'Janeiro 2023 - Valor Real'!A3:A15,'Janeiro 2023 - Valor Real'!C3:C15,0))+1)),IF(I589="Lay",IF(I590="Lay",((L590/(L590-1)-1)*(1-_xlfn.XLOOKUP(K590,'Janeiro 2023 - Valor Real'!A3:A15,'Janeiro 2023 - Valor Real'!C3:C15,0))+1)/(((L590/(L590-1)-1)*(1-_xlfn.XLOOKUP(K590,'Janeiro 2023 - Valor Real'!A3:A15,'Janeiro 2023 - Valor Real'!C3:C15,0))+1)+((L589/(L589-1)-1)*(1-_xlfn.XLOOKUP(K589,'Janeiro 2023 - Valor Real'!A3:A15,'Janeiro 2023 - Valor Real'!C3:C15,0))+1)),((L590-1)*(1-_xlfn.XLOOKUP(K590,'Janeiro 2023 - Valor Real'!A3:A15,'Janeiro 2023 - Valor Real'!C3:C15,0))+1)/(((L590-1)*(1-_xlfn.XLOOKUP(K590,'Janeiro 2023 - Valor Real'!A3:A15,'Janeiro 2023 - Valor Real'!C3:C15,0))+1)+((L589/(L589-1)-1)*(1-_xlfn.XLOOKUP(K589,'Janeiro 2023 - Valor Real'!A3:A15,'Janeiro 2023 - Valor Real'!C3:C15,0))+1))),IF(I590="Lay",(((L590/(L590-1)-1)*(1-_xlfn.XLOOKUP(K590,'Janeiro 2023 - Valor Real'!A3:A15,'Janeiro 2023 - Valor Real'!C3:C15,0))+1))/(((L589-1)*(1-_xlfn.XLOOKUP(K589,'Janeiro 2023 - Valor Real'!A3:A15,'Janeiro 2023 - Valor Real'!C3:C15,0))+1)+((L590/(L590-1)-1)*(1-_xlfn.XLOOKUP(K590,'Janeiro 2023 - Valor Real'!A3:A15,'Janeiro 2023 - Valor Real'!C3:C15,0))+1)),((L590-1)*(1-_xlfn.XLOOKUP(K590,'Janeiro 2023 - Valor Real'!A3:A15,'Janeiro 2023 - Valor Real'!C3:C15,0))+1)/(((L590-1)*(1-_xlfn.XLOOKUP(K590,'Janeiro 2023 - Valor Real'!A3:A15,'Janeiro 2023 - Valor Real'!C3:C15,0))+1)+((L589-1)*(1-_xlfn.XLOOKUP(K589,'Janeiro 2023 - Valor Real'!A3:A15,'Janeiro 2023 - Valor Real'!C3:C15,0))+1))))))</f>
        <v>0.531914893617021</v>
      </c>
      <c r="AF589" s="197">
        <f>IF($K589=AF$3,ROUND(IF(OR($C589="W",$C589="1/2W",$C589="1/2L"),$P589-$O589,IF($C589="X",0,-$O589)),2),0)</f>
        <v>0</v>
      </c>
      <c r="AG589" s="198">
        <f>IF($K589=AG$3,ROUND(IF(OR($C589="W",$C589="1/2W",$C589="1/2L"),$P589-$O589,IF($C589="X",0,-$O589)),2),0)</f>
        <v>0</v>
      </c>
      <c r="AH589" s="198">
        <f>IF($K589=AH$3,ROUND(IF(OR($C589="W",$C589="1/2W",$C589="1/2L"),$P589-$O589,IF($C589="X",0,-$O589)),2),0)</f>
        <v>0</v>
      </c>
      <c r="AI589" s="198">
        <f>IF($K589=AI$3,ROUND(IF(OR($C589="W",$C589="1/2W",$C589="1/2L"),$P589-$O589,IF($C589="X",0,-$O589)),2),0)</f>
        <v>0</v>
      </c>
      <c r="AJ589" s="198">
        <f>IF($K589=AJ$3,ROUND(IF(OR($C589="W",$C589="1/2W",$C589="1/2L"),$P589-$O589,IF($C589="X",0,-$O589)),2),0)</f>
        <v>0</v>
      </c>
      <c r="AK589" s="198">
        <f>IF($K589=AK$3,ROUND(IF(OR($C589="W",$C589="1/2W",$C589="1/2L"),$P589-$O589,IF($C589="X",0,-$O589)),2),0)</f>
        <v>0</v>
      </c>
      <c r="AL589" s="198">
        <f>IF($K589=AL$3,ROUND(IF(OR($C589="W",$C589="1/2W",$C589="1/2L"),$P589-$O589,IF($C589="X",0,-$O589)),2),0)</f>
        <v>0</v>
      </c>
      <c r="AM589" s="198">
        <f>IF($K589=AM$3,ROUND(IF(OR($C589="W",$C589="1/2W",$C589="1/2L"),$P589-$O589,IF($C589="X",0,-$O589)),2),0)</f>
        <v>8.51</v>
      </c>
      <c r="AN589" s="198">
        <f>IF($K589=AN$3,ROUND(IF(OR($C589="W",$C589="1/2W",$C589="1/2L"),$P589-$O589,IF($C589="X",0,-$O589)),2),0)</f>
        <v>0</v>
      </c>
      <c r="AO589" s="198">
        <f>IF($K589=AO$3,ROUND(IF(OR($C589="W",$C589="1/2W",$C589="1/2L"),$P589-$O589,IF($C589="X",0,-$O589)),2),0)</f>
        <v>0</v>
      </c>
      <c r="AP589" s="198">
        <f>IF($K589=AP$3,ROUND(IF(OR($C589="W",$C589="1/2W",$C589="1/2L"),$P589-$O589,IF($C589="X",0,-$O589)),2),0)</f>
        <v>0</v>
      </c>
      <c r="AQ589" s="198">
        <f>IF($K589=AQ$3,ROUND(IF(OR($C589="W",$C589="1/2W",$C589="1/2L"),$P589-$O589,IF($C589="X",0,-$O589)),2),0)</f>
        <v>0</v>
      </c>
      <c r="AR589" s="199">
        <f>IF($K589=AR$3,ROUND(IF(OR($C589="W",$C589="1/2W",$C589="1/2L"),$P589-$O589,IF($C589="X",0,-$O589)),2),0)</f>
        <v>0</v>
      </c>
      <c r="AS589" s="197">
        <f>IF(AND($B589=" ",$K589=AS$3),$O589,0)</f>
        <v>0</v>
      </c>
      <c r="AT589" s="198">
        <f>IF(AND($B589=" ",$K589=AT$3),$O589,0)</f>
        <v>0</v>
      </c>
      <c r="AU589" s="198">
        <f>IF(AND($B589=" ",$K589=AU$3),$O589,0)</f>
        <v>0</v>
      </c>
      <c r="AV589" s="198">
        <f>IF(AND($B589=" ",$K589=AV$3),$O589,0)</f>
        <v>0</v>
      </c>
      <c r="AW589" s="198">
        <f>IF(AND($B589=" ",$K589=AW$3),$O589,0)</f>
        <v>0</v>
      </c>
      <c r="AX589" s="198">
        <f>IF(AND($B589=" ",$K589=AX$3),$O589,0)</f>
        <v>0</v>
      </c>
      <c r="AY589" s="200">
        <f>IF(AND($B589=" ",$K589=AY$3),$O589,0)</f>
        <v>0</v>
      </c>
      <c r="AZ589" s="201">
        <f>IF(AND($B589=" ",$K589=AZ$3),$O589,0)</f>
        <v>0</v>
      </c>
      <c r="BA589" s="201">
        <f>IF(AND($B589=" ",$K589=BA$3),$O589,0)</f>
        <v>0</v>
      </c>
      <c r="BB589" s="201">
        <f>IF(AND($B589=" ",$K589=BB$3),$O589,0)</f>
        <v>0</v>
      </c>
      <c r="BC589" s="202">
        <f>IF(AND($B589=" ",$K589=BC$3),$O589,0)</f>
        <v>0</v>
      </c>
      <c r="BD589" s="198">
        <f>IF(AND($B589=" ",$K589=BD$3),$O589,0)</f>
        <v>0</v>
      </c>
      <c r="BE589" s="199">
        <f>IF(AND($B589=" ",$K589=BE$3),$O589,0)</f>
        <v>0</v>
      </c>
      <c r="BF589" s="203">
        <f>IF($K589=BF$3,IF($C589="X",0,$O589),0)</f>
        <v>0</v>
      </c>
      <c r="BG589" s="198">
        <f>IF($K589=BG$3,IF($C589="X",0,$O589),0)</f>
        <v>0</v>
      </c>
      <c r="BH589" s="198">
        <f>IF($K589=BH$3,IF($C589="X",0,$O589),0)</f>
        <v>0</v>
      </c>
      <c r="BI589" s="198">
        <f>IF($K589=BI$3,IF($C589="X",0,$O589),0)</f>
        <v>0</v>
      </c>
      <c r="BJ589" s="198">
        <f>IF($K589=BJ$3,IF($C589="X",0,$O589),0)</f>
        <v>0</v>
      </c>
      <c r="BK589" s="198">
        <f>IF($K589=BK$3,IF($C589="X",0,$O589),0)</f>
        <v>0</v>
      </c>
      <c r="BL589" s="198">
        <f>IF($K589=BL$3,IF($C589="X",0,$O589),0)</f>
        <v>0</v>
      </c>
      <c r="BM589" s="200">
        <f>IF($K589=BM$3,IF($C589="X",0,$O589),0)</f>
        <v>8.68</v>
      </c>
      <c r="BN589" s="201">
        <f>IF($K589=BN$3,IF($C589="X",0,$O589),0)</f>
        <v>0</v>
      </c>
      <c r="BO589" s="201">
        <f>IF($K589=BO$3,IF($C589="X",0,$O589),0)</f>
        <v>0</v>
      </c>
      <c r="BP589" s="201">
        <f>IF($K589=BP$3,IF($C589="X",0,$O589),0)</f>
        <v>0</v>
      </c>
      <c r="BQ589" s="202">
        <f>IF($K589=BQ$3,IF($C589="X",0,$O589),0)</f>
        <v>0</v>
      </c>
      <c r="BR589" s="199">
        <f>IF($K589=BR$3,IF($C589="X",0,$O589),0)</f>
        <v>0</v>
      </c>
      <c r="BS589" s="204">
        <f>IF($B589="LOSS",IF(AND($K589=BS$3,$C589="L"),-$O589,0)+IF(AND($K590=BS$3,$C590="L"),-$O590,0)+IF(AND($K591=BS$3,$C591="L"),-$O591,0),IF(OR(AND($K589=BS$3,OR($C589="W",$C589="1/2W")),AND($K590=BS$3,OR($C590="W",$C590="1/2W")),AND($K591=BS$3,OR($C591="W",$C591="1/2W"))),$S589,0))</f>
        <v>0</v>
      </c>
      <c r="BT589" s="201">
        <f>IF($B589="LOSS",IF(AND($K589=BT$3,$C589="L"),-$O589,0)+IF(AND($K590=BT$3,$C590="L"),-$O590,0)+IF(AND($K590=BT$3,$C591="L"),-$O591,0),IF(OR(AND($K590=BT$3,OR($C589="W",$C589="1/2W")),AND($K590=BT$3,OR($C590="W",$C590="1/2W")),AND($K590=BT$3,OR($C591="W",$C591="1/2W"))),$S589,0))</f>
        <v>0.87</v>
      </c>
      <c r="BU589" s="201">
        <f>IF($B589="LOSS",IF(AND($K589=BU$3,$C589="L"),-$O589,0)+IF(AND($K590=BU$3,$C590="L"),-$O590,0)+IF(AND($K590=BU$3,$C591="L"),-$O591,0),IF(OR(AND($K590=BU$3,OR($C589="W",$C589="1/2W")),AND($K590=BU$3,OR($C590="W",$C590="1/2W")),AND($K590=BU$3,OR($C591="W",$C591="1/2W"))),$S589,0))</f>
        <v>0</v>
      </c>
      <c r="BV589" s="201">
        <f>IF($B589="LOSS",IF(AND($K589=BV$3,$C589="L"),-$O589,0)+IF(AND($K590=BV$3,$C590="L"),-$O590,0)+IF(AND($K591=BV$3,$C591="L"),-$O591,0),IF(OR(AND($K589=BV$3,OR($C589="W",$C589="1/2W")),AND($K590=BV$3,OR($C590="W",$C590="1/2W")),AND($K591=BV$3,OR($C591="W",$C591="1/2W"))),$S589,0))</f>
        <v>0</v>
      </c>
      <c r="BW589" s="201">
        <f>IF($B589="LOSS",IF(AND($K589=BW$3,$C589="L"),-$O589,0)+IF(AND($K590=BW$3,$C590="L"),-$O590,0)+IF(AND($K591=BW$3,$C591="L"),-$O591,0),IF(OR(AND($K589=BW$3,OR($C589="W",$C589="1/2W")),AND($K590=BW$3,OR($C590="W",$C590="1/2W")),AND($K591=BW$3,OR($C591="W",$C591="1/2W"))),$S589,0))</f>
        <v>0</v>
      </c>
      <c r="BX589" s="201">
        <f>IF($B589="LOSS",IF(AND($K589=BX$3,$C589="L"),-$O589,0)+IF(AND($K590=BX$3,$C590="L"),-$O590,0)+IF(AND($K591=BX$3,$C591="L"),-$O591,0),IF(OR(AND($K589=BX$3,OR($C589="W",$C589="1/2W")),AND($K590=BX$3,OR($C590="W",$C590="1/2W")),AND($K591=BX$3,OR($C591="W",$C591="1/2W"))),$S589,0))</f>
        <v>0</v>
      </c>
      <c r="BY589" s="201">
        <f>IF($B589="LOSS",IF(AND($K589=BY$3,$C589="L"),-$O589,0)+IF(AND($K590=BY$3,$C590="L"),-$O590,0)+IF(AND($K591=BY$3,$C591="L"),-$O591,0),IF(OR(AND($K589=BY$3,OR($C589="W",$C589="1/2W")),AND($K590=BY$3,OR($C590="W",$C590="1/2W")),AND($K591=BY$3,OR($C591="W",$C591="1/2W"))),$S589,0))</f>
        <v>0</v>
      </c>
      <c r="BZ589" s="205">
        <f>IF($B589="LOSS",IF(AND($K589=BZ$3,$C589="L"),-$O589,0)+IF(AND($K590=BZ$3,$C590="L"),-$O590,0)+IF(AND($K591=BZ$3,$C591="L"),-$O591,0),IF(OR(AND($K589=BZ$3,OR($C589="W",$C589="1/2W")),AND($K590=BZ$3,OR($C590="W",$C590="1/2W")),AND($K591=BZ$3,OR($C591="W",$C591="1/2W"))),$S589,0))</f>
        <v>0.87</v>
      </c>
      <c r="CA589" s="205">
        <f>IF($B589="LOSS",IF(AND($K589=CA$3,$C589="L"),-$O589,0)+IF(AND($K590=CA$3,$C590="L"),-$O590,0)+IF(AND($K591=CA$3,$C591="L"),-$O591,0),IF(OR(AND($K589=CA$3,OR($C589="W",$C589="1/2W")),AND($K590=CA$3,OR($C590="W",$C590="1/2W")),AND($K591=CA$3,OR($C591="W",$C591="1/2W"))),$S589,0))</f>
        <v>0</v>
      </c>
      <c r="CB589" s="205">
        <f>IF($B589="LOSS",IF(AND($K589=CB$3,$C589="L"),-$O589,0)+IF(AND($K590=CB$3,$C590="L"),-$O590,0)+IF(AND($K591=CB$3,$C591="L"),-$O591,0),IF(OR(AND($K589=CB$3,OR($C589="W",$C589="1/2W")),AND($K590=CB$3,OR($C590="W",$C590="1/2W")),AND($K591=CB$3,OR($C591="W",$C591="1/2W"))),$S589,0))</f>
        <v>0</v>
      </c>
      <c r="CC589" s="205">
        <f>IF($B589="LOSS",IF(AND($K589=CC$3,$C589="L"),-$O589,0)+IF(AND($K590=CC$3,$C590="L"),-$O590,0)+IF(AND($K591=CC$3,$C591="L"),-$O591,0),IF(OR(AND($K589=CC$3,OR($C589="W",$C589="1/2W")),AND($K590=CC$3,OR($C590="W",$C590="1/2W")),AND($K591=CC$3,OR($C591="W",$C591="1/2W"))),$S589,0))</f>
        <v>0</v>
      </c>
      <c r="CD589" s="202">
        <f>IF($B589="LOSS",IF(AND($K589=CD$3,$C589="L"),-$O589,0)+IF(AND($K590=CD$3,$C590="L"),-$O590,0)+IF(AND($K591=CD$3,$C591="L"),-$O591,0),IF(OR(AND($K589=CD$3,OR($C589="W",$C589="1/2W")),AND($K590=CD$3,OR($C590="W",$C590="1/2W")),AND($K591=CD$3,OR($C591="W",$C591="1/2W"))),$S589,0))</f>
        <v>0</v>
      </c>
      <c r="CE589" s="199">
        <f>IF($B589="LOSS",IF(AND($K589=CE$3,$C589="L"),-$O589,0)+IF(AND($K590=CE$3,$C590="L"),-$O590,0)+IF(AND($K591=CE$3,$C591="L"),-$O591,0),IF(OR(AND($K589=CE$3,OR($C589="W",$C589="1/2W")),AND($K590=CE$3,OR($C590="W",$C590="1/2W")),AND($K591=CE$3,OR($C591="W",$C591="1/2W"))),$S589,0))</f>
        <v>0</v>
      </c>
      <c r="CF589" s="206">
        <f>IF(CF$3=$K589,IF($C589="W",1,IF($C589="1/2W",0.5,0)),0)</f>
        <v>0</v>
      </c>
      <c r="CG589" s="207">
        <f>IF(CF$3=$K589,IF($C589="L",1,IF($C589="1/2L",0.5,0)),0)</f>
        <v>0</v>
      </c>
      <c r="CH589" s="207">
        <f>IF(CH$3=$K589,IF($C589="W",1,IF($C589="1/2W",0.5,0)),0)</f>
        <v>0</v>
      </c>
      <c r="CI589" s="207">
        <f>IF(CH$3=$K589,IF($C589="L",1,IF($C589="1/2L",0.5,0)),0)</f>
        <v>0</v>
      </c>
      <c r="CJ589" s="207">
        <f>IF(CJ$3=$K589,IF($C589="W",1,IF($C589="1/2W",0.5,0)),0)</f>
        <v>0</v>
      </c>
      <c r="CK589" s="207">
        <f>IF(CJ$3=$K589,IF($C589="L",1,IF($C589="1/2L",0.5,0)),0)</f>
        <v>0</v>
      </c>
      <c r="CL589" s="207">
        <f>IF(CL$3=$K589,IF($C589="W",1,IF($C589="1/2W",0.5,0)),0)</f>
        <v>0</v>
      </c>
      <c r="CM589" s="207">
        <f>IF(CL$3=$K589,IF($C589="L",1,IF($C589="1/2L",0.5,0)),0)</f>
        <v>0</v>
      </c>
      <c r="CN589" s="207">
        <f>IF(CN$3=$K589,IF($C589="W",1,IF($C589="1/2W",0.5,0)),0)</f>
        <v>0</v>
      </c>
      <c r="CO589" s="207">
        <f>IF(CN$3=$K589,IF($C589="L",1,IF($C589="1/2L",0.5,0)),0)</f>
        <v>0</v>
      </c>
      <c r="CP589" s="207">
        <f>IF(CP$3=$K589,IF($C589="W",1,IF($C589="1/2W",0.5,0)),0)</f>
        <v>0</v>
      </c>
      <c r="CQ589" s="207">
        <f>IF(CP$3=$K589,IF($C589="L",1,IF($C589="1/2L",0.5,0)),0)</f>
        <v>0</v>
      </c>
      <c r="CR589" s="207">
        <f>IF(CR$3=$K589,IF($C589="W",1,IF($C589="1/2W",0.5,0)),0)</f>
        <v>0</v>
      </c>
      <c r="CS589" s="207">
        <f>IF(CR$3=$K589,IF($C589="L",1,IF($C589="1/2L",0.5,0)),0)</f>
        <v>0</v>
      </c>
      <c r="CT589" s="208">
        <f>IF(CT$3=$K589,IF($C589="W",1,IF($C589="1/2W",0.5,0)),0)</f>
        <v>1</v>
      </c>
      <c r="CU589" s="209">
        <f>IF(CT$3=$K589,IF($C589="L",1,IF($C589="1/2L",0.5,0)),0)</f>
        <v>0</v>
      </c>
      <c r="CV589" s="209">
        <f>IF(CV$3=$K589,IF($C589="W",1,IF($C589="1/2W",0.5,0)),0)</f>
        <v>0</v>
      </c>
      <c r="CW589" s="209">
        <f>IF(CV$3=$K589,IF($C589="L",1,IF($C589="1/2L",0.5,0)),0)</f>
        <v>0</v>
      </c>
      <c r="CX589" s="209">
        <f>IF(CX$3=$K589,IF($C589="W",1,IF($C589="1/2W",0.5,0)),0)</f>
        <v>0</v>
      </c>
      <c r="CY589" s="209">
        <f>IF(CX$3=$K589,IF($C589="L",1,IF($C589="1/2L",0.5,0)),0)</f>
        <v>0</v>
      </c>
      <c r="CZ589" s="209">
        <f>IF(CZ$3=$K589,IF($C589="W",1,IF($C589="1/2W",0.5,0)),0)</f>
        <v>0</v>
      </c>
      <c r="DA589" s="209">
        <f>IF(CZ$3=$K589,IF($C589="L",1,IF($C589="1/2L",0.5,0)),0)</f>
        <v>0</v>
      </c>
      <c r="DB589" s="209">
        <f>IF(DB$3=$K589,IF($C589="W",1,IF($C589="1/2W",0.5,0)),0)</f>
        <v>0</v>
      </c>
      <c r="DC589" s="209">
        <f>IF(DB$3=$K589,IF($C589="L",1,IF($C589="1/2L",0.5,0)),0)</f>
        <v>0</v>
      </c>
      <c r="DD589" s="209">
        <f>IF(DD$3=$K589,IF($C589="W",1,IF($C589="1/2W",0.5,0)),0)</f>
        <v>0</v>
      </c>
      <c r="DE589" s="210">
        <f>IF(DD$3=$K589,IF($C589="L",1,IF($C589="1/2L",0.5,0)),0)</f>
        <v>0</v>
      </c>
      <c r="DF589" s="211">
        <f>IF(AND(L589&lt;DF$3,$C589="W"),1+DF588,DF588)</f>
        <v>17</v>
      </c>
      <c r="DG589" s="198">
        <f>IF(DF589&gt;DF588,L589+DG588,DG588)</f>
        <v>22.628</v>
      </c>
      <c r="DH589" s="209">
        <f>IF(AND(L589&gt;DH$3,$C589="W"),1+DH588,0+DH588)</f>
        <v>16</v>
      </c>
      <c r="DI589" s="198">
        <f>IF(DH589&gt;DH588,L589+DI588,DI588)</f>
        <v>85.45999999999999</v>
      </c>
      <c r="DJ589" t="s" s="306">
        <f>IF($D589="","",$D589)</f>
        <v>431</v>
      </c>
      <c r="DK589" s="209">
        <f>IF(AND($B589=" ",$D589&lt;&gt;""),1,0)</f>
        <v>0</v>
      </c>
    </row>
    <row r="590" ht="14.55" customHeight="1">
      <c r="A590" s="107"/>
      <c r="B590" s="108"/>
      <c r="C590" t="s" s="213">
        <v>51</v>
      </c>
      <c r="D590" s="110"/>
      <c r="E590" s="111"/>
      <c r="F590" s="113"/>
      <c r="G590" s="214"/>
      <c r="H590" s="114"/>
      <c r="I590" t="s" s="215">
        <v>140</v>
      </c>
      <c r="J590" s="296">
        <v>1.5</v>
      </c>
      <c r="K590" t="s" s="217">
        <v>38</v>
      </c>
      <c r="L590" s="218">
        <v>2.25</v>
      </c>
      <c r="M590" s="219">
        <v>7.64</v>
      </c>
      <c r="N590" s="120"/>
      <c r="O590" s="220">
        <f>IF(OR(AE589="",AE590=""),"",ROUND(IF(L591&gt;0,IF(M590&gt;0,M590,IF(M589&gt;0,IF(N589=TRUE,ROUND((M589*AE590)/AE589,0),(M589*AE590)/AE589),IF(M590&gt;0,ROUND(M590,IF(N589=0,2,IF(N589=0.1,1,0))),IF(M591&gt;0,ROUND(O591*AE590/AE591,IF(N589=0,2,IF(N589=0.1,1,0))),0)))),IF(M590&gt;0,M590,ROUND((M589*AE590)/AE589,IF(N589=0,2,IF(N589=0.1,1,0))))),2))</f>
        <v>7.64</v>
      </c>
      <c r="P590" s="221">
        <f>IF(OR(L590="",O590=""),"",IF($C590="1/2W",O590/2+O590/2*L590,IF($C590="1/2L",O590/2,IF(I590="Lay",((O590*(L590/(L590-1)))-O590)*(1-_xlfn.XLOOKUP(K590,'Janeiro 2023 - Valor Real'!A3:A15,'Janeiro 2023 - Valor Real'!C3:C15,0))+O590,(O590*L590-O590)*(1-_xlfn.XLOOKUP(K590,'Janeiro 2023 - Valor Real'!A3:A15,'Janeiro 2023 - Valor Real'!C3:C15,0))+O590))))</f>
        <v>17.19</v>
      </c>
      <c r="Q590" s="222">
        <f>IF(K590="","",IF(_xlfn.XLOOKUP(K590,K$123:K363,DJ$123:DJ363,0,,-1)=DJ590,_xlfn.XLOOKUP(K590,K$123:K363,Q$123:Q363,1,,-1)+1,1))</f>
        <v>1</v>
      </c>
      <c r="R590" s="223">
        <f>IF(K590="","",_xlfn.XLOOKUP(K590,K$123:K363,R$123:R363,0,,-1)+IF($C590=" ",1,0))</f>
        <v>0</v>
      </c>
      <c r="S590" s="125"/>
      <c r="T590" s="126"/>
      <c r="U590" s="126"/>
      <c r="V590" s="224"/>
      <c r="W590" s="126"/>
      <c r="X590" s="127"/>
      <c r="Y590" s="128"/>
      <c r="Z590" s="129"/>
      <c r="AA590" s="129"/>
      <c r="AB590" s="129"/>
      <c r="AC590" s="129"/>
      <c r="AD590" s="225">
        <f>(((L590/(L590-1)-1)*(1-_xlfn.XLOOKUP(K590,'Janeiro 2023 - Valor Real'!A3:A15,'Janeiro 2023 - Valor Real'!C3:C15,0))+1))</f>
        <v>1.8</v>
      </c>
      <c r="AE590" s="226">
        <f>IF(L590="","",IF(L591&gt;0,(SUM(((L589-1)*(1-_xlfn.XLOOKUP(K589,'Janeiro 2023 - Valor Real'!A3:A15,'Janeiro 2023 - Valor Real'!C3:C15,0))+1),((L590-1)*(1-_xlfn.XLOOKUP(K590,'Janeiro 2023 - Valor Real'!A3:A15,'Janeiro 2023 - Valor Real'!C3:C15,0))+1),((L591-1)*(1-_xlfn.XLOOKUP(K591,'Janeiro 2023 - Valor Real'!A3:A15,'Janeiro 2023 - Valor Real'!C3:C15,0))+1))/((L590-1)*(1-_xlfn.XLOOKUP(K590,'Janeiro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Real'!C3:C15,0))+1))/((L589-1)*(1-_xlfn.XLOOKUP(K589,'Janeiro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Real'!C3:C15,0))+1))/((L590-1)*(1-_xlfn.XLOOKUP(K590,'Janeiro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Real'!C3:C15,0))+1))/((L591-1)*(1-_xlfn.XLOOKUP(K591,'Janeiro 2023 - Valor Real'!A3:A15,'Janeiro 2023 - Valor Real'!C3:C15,0))+1)),IF(I590="Lay",IF(I589="Lay",((L589/(L589-1)-1)*(1-_xlfn.XLOOKUP(K589,'Janeiro 2023 - Valor Real'!A3:A15,'Janeiro 2023 - Valor Real'!C3:C15,0))+1)/(((L589/(L589-1)-1)*(1-_xlfn.XLOOKUP(K589,'Janeiro 2023 - Valor Real'!A3:A15,'Janeiro 2023 - Valor Real'!C3:C15,0))+1)+((L590/(L590-1)-1)*(1-_xlfn.XLOOKUP(K590,'Janeiro 2023 - Valor Real'!A3:A15,'Janeiro 2023 - Valor Real'!C3:C15,0))+1)),((L589-1)*(1-_xlfn.XLOOKUP(K589,'Janeiro 2023 - Valor Real'!A3:A15,'Janeiro 2023 - Valor Real'!C3:C15,0))+1)/(((L589-1)*(1-_xlfn.XLOOKUP(K589,'Janeiro 2023 - Valor Real'!A3:A15,'Janeiro 2023 - Valor Real'!C3:C15,0))+1)+((L590/(L590-1)-1)*(1-_xlfn.XLOOKUP(K590,'Janeiro 2023 - Valor Real'!A3:A15,'Janeiro 2023 - Valor Real'!C3:C15,0))+1))),IF(I589="Lay",((L589/(L589-1)-1)*(1-_xlfn.XLOOKUP(K589,'Janeiro 2023 - Valor Real'!A3:A15,'Janeiro 2023 - Valor Real'!C3:C15,0))+1)/((((L589/(L589-1)-1)*(1-_xlfn.XLOOKUP(K589,'Janeiro 2023 - Valor Real'!A3:A15,'Janeiro 2023 - Valor Real'!C3:C15,0))+1))+((L590-1)*(1-_xlfn.XLOOKUP(K590,'Janeiro 2023 - Valor Real'!A3:A15,'Janeiro 2023 - Valor Real'!C3:C15,0))+1)),((L589-1)*(1-_xlfn.XLOOKUP(K589,'Janeiro 2023 - Valor Real'!A3:A15,'Janeiro 2023 - Valor Real'!C3:C15,0))+1)/(((L589-1)*(1-_xlfn.XLOOKUP(K589,'Janeiro 2023 - Valor Real'!A3:A15,'Janeiro 2023 - Valor Real'!C3:C15,0))+1)+((L590-1)*(1-_xlfn.XLOOKUP(K590,'Janeiro 2023 - Valor Real'!A3:A15,'Janeiro 2023 - Valor Real'!C3:C15,0))+1))))))</f>
        <v>0.468085106382979</v>
      </c>
      <c r="AF590" s="197">
        <f>IF($K590=AF$3,ROUND(IF(OR($C590="W",$C590="1/2W",$C590="1/2L"),$P590-$O590,IF($C590="X",0,-$O590)),2),0)</f>
        <v>0</v>
      </c>
      <c r="AG590" s="198">
        <f>IF($K590=AG$3,ROUND(IF(OR($C590="W",$C590="1/2W",$C590="1/2L"),$P590-$O590,IF($C590="X",0,-$O590)),2),0)</f>
        <v>-7.64</v>
      </c>
      <c r="AH590" s="198">
        <f>IF($K590=AH$3,ROUND(IF(OR($C590="W",$C590="1/2W",$C590="1/2L"),$P590-$O590,IF($C590="X",0,-$O590)),2),0)</f>
        <v>0</v>
      </c>
      <c r="AI590" s="198">
        <f>IF($K590=AI$3,ROUND(IF(OR($C590="W",$C590="1/2W",$C590="1/2L"),$P590-$O590,IF($C590="X",0,-$O590)),2),0)</f>
        <v>0</v>
      </c>
      <c r="AJ590" s="198">
        <f>IF($K590=AJ$3,ROUND(IF(OR($C590="W",$C590="1/2W",$C590="1/2L"),$P590-$O590,IF($C590="X",0,-$O590)),2),0)</f>
        <v>0</v>
      </c>
      <c r="AK590" s="198">
        <f>IF($K590=AK$3,ROUND(IF(OR($C590="W",$C590="1/2W",$C590="1/2L"),$P590-$O590,IF($C590="X",0,-$O590)),2),0)</f>
        <v>0</v>
      </c>
      <c r="AL590" s="198">
        <f>IF($K590=AL$3,ROUND(IF(OR($C590="W",$C590="1/2W",$C590="1/2L"),$P590-$O590,IF($C590="X",0,-$O590)),2),0)</f>
        <v>0</v>
      </c>
      <c r="AM590" s="198">
        <f>IF($K590=AM$3,ROUND(IF(OR($C590="W",$C590="1/2W",$C590="1/2L"),$P590-$O590,IF($C590="X",0,-$O590)),2),0)</f>
        <v>0</v>
      </c>
      <c r="AN590" s="198">
        <f>IF($K590=AN$3,ROUND(IF(OR($C590="W",$C590="1/2W",$C590="1/2L"),$P590-$O590,IF($C590="X",0,-$O590)),2),0)</f>
        <v>0</v>
      </c>
      <c r="AO590" s="198">
        <f>IF($K590=AO$3,ROUND(IF(OR($C590="W",$C590="1/2W",$C590="1/2L"),$P590-$O590,IF($C590="X",0,-$O590)),2),0)</f>
        <v>0</v>
      </c>
      <c r="AP590" s="198">
        <f>IF($K590=AP$3,ROUND(IF(OR($C590="W",$C590="1/2W",$C590="1/2L"),$P590-$O590,IF($C590="X",0,-$O590)),2),0)</f>
        <v>0</v>
      </c>
      <c r="AQ590" s="198">
        <f>IF($K590=AQ$3,ROUND(IF(OR($C590="W",$C590="1/2W",$C590="1/2L"),$P590-$O590,IF($C590="X",0,-$O590)),2),0)</f>
        <v>0</v>
      </c>
      <c r="AR590" s="199">
        <f>IF($K590=AR$3,ROUND(IF(OR($C590="W",$C590="1/2W",$C590="1/2L"),$P590-$O590,IF($C590="X",0,-$O590)),2),0)</f>
        <v>0</v>
      </c>
      <c r="AS590" s="197">
        <f>IF(AND($B589=" ",$K590=AS$3),$O590,0)</f>
        <v>0</v>
      </c>
      <c r="AT590" s="198">
        <f>IF(AND($B589=" ",K590=AT$3),$O590,0)</f>
        <v>0</v>
      </c>
      <c r="AU590" s="198">
        <f>IF(AND($B589=" ",$K590=AU$3),$O590,0)</f>
        <v>0</v>
      </c>
      <c r="AV590" s="198">
        <f>IF(AND($B589=" ",$K590=AV$3),$O590,0)</f>
        <v>0</v>
      </c>
      <c r="AW590" s="198">
        <f>IF(AND($B589=" ",$K590=AW$3),$O590,0)</f>
        <v>0</v>
      </c>
      <c r="AX590" s="198">
        <f>IF(AND($B589=" ",$K590=AX$3),$O590,0)</f>
        <v>0</v>
      </c>
      <c r="AY590" s="200">
        <f>IF(AND($B589=" ",$K590=AY$3),$O590,0)</f>
        <v>0</v>
      </c>
      <c r="AZ590" s="201">
        <f>IF(AND($B589=" ",$K590=AZ$3),$O590,0)</f>
        <v>0</v>
      </c>
      <c r="BA590" s="201">
        <f>IF(AND($B589=" ",$K590=BA$3),$O590,0)</f>
        <v>0</v>
      </c>
      <c r="BB590" s="201">
        <f>IF(AND($B589=" ",$K590=BB$3),$O590,0)</f>
        <v>0</v>
      </c>
      <c r="BC590" s="202">
        <f>IF(AND($B589=" ",$K590=BC$3),$O590,0)</f>
        <v>0</v>
      </c>
      <c r="BD590" s="198">
        <f>IF(AND($B589=" ",$K590=BD$3),$O590,0)</f>
        <v>0</v>
      </c>
      <c r="BE590" s="199">
        <f>IF(AND($B589=" ",$K590=BE$3),$O590,0)</f>
        <v>0</v>
      </c>
      <c r="BF590" s="197">
        <f>IF($K590=BF$3,IF($C590="X",0,$O590),0)</f>
        <v>0</v>
      </c>
      <c r="BG590" s="198">
        <f>IF($K590=BG$3,IF($C590="X",0,$O590),0)</f>
        <v>7.64</v>
      </c>
      <c r="BH590" s="198">
        <f>IF($K590=BH$3,IF($C590="X",0,$O590),0)</f>
        <v>0</v>
      </c>
      <c r="BI590" s="198">
        <f>IF($K590=BI$3,IF($C590="X",0,$O590),0)</f>
        <v>0</v>
      </c>
      <c r="BJ590" s="198">
        <f>IF($K590=BJ$3,IF($C590="X",0,$O590),0)</f>
        <v>0</v>
      </c>
      <c r="BK590" s="198">
        <f>IF($K590=BK$3,IF($C590="X",0,$O590),0)</f>
        <v>0</v>
      </c>
      <c r="BL590" s="198">
        <f>IF($K590=BL$3,IF($C590="X",0,$O590),0)</f>
        <v>0</v>
      </c>
      <c r="BM590" s="227">
        <f>IF($K590=BM$3,IF($C590="X",0,$O590),0)</f>
        <v>0</v>
      </c>
      <c r="BN590" s="205">
        <f>IF($K590=BN$3,IF($C590="X",0,$O590),0)</f>
        <v>0</v>
      </c>
      <c r="BO590" s="205">
        <f>IF($K590=BO$3,IF($C590="X",0,$O590),0)</f>
        <v>0</v>
      </c>
      <c r="BP590" s="205">
        <f>IF($K590=BP$3,IF($C590="X",0,$O590),0)</f>
        <v>0</v>
      </c>
      <c r="BQ590" s="202">
        <f>IF($K590=BQ$3,IF($C590="X",0,$O590),0)</f>
        <v>0</v>
      </c>
      <c r="BR590" s="199">
        <f>IF($K590=BR$3,IF($C590="X",0,$O590),0)</f>
        <v>0</v>
      </c>
      <c r="BS590" s="228"/>
      <c r="BT590" s="229"/>
      <c r="BU590" s="140"/>
      <c r="BV590" s="229"/>
      <c r="BW590" s="140"/>
      <c r="BX590" s="140"/>
      <c r="BY590" s="140"/>
      <c r="BZ590" s="229"/>
      <c r="CA590" s="140"/>
      <c r="CB590" s="140"/>
      <c r="CC590" s="140"/>
      <c r="CD590" s="141"/>
      <c r="CE590" s="142"/>
      <c r="CF590" s="230">
        <f>IF(CF$3=$K590,IF($C590="W",1,IF($C590="1/2W",0.5,0)),0)</f>
        <v>0</v>
      </c>
      <c r="CG590" s="231">
        <f>IF(CF$3=$K590,IF($C590="L",1,IF($C590="1/2L",0.5,0)),0)</f>
        <v>0</v>
      </c>
      <c r="CH590" s="231">
        <f>IF(CH$3=$K590,IF($C590="W",1,IF($C590="1/2W",0.5,0)),0)</f>
        <v>0</v>
      </c>
      <c r="CI590" s="231">
        <f>IF(CH$3=$K590,IF($C590="L",1,IF($C590="1/2L",0.5,0)),0)</f>
        <v>1</v>
      </c>
      <c r="CJ590" s="231">
        <f>IF(CJ$3=$K590,IF($C590="W",1,IF($C590="1/2W",0.5,0)),0)</f>
        <v>0</v>
      </c>
      <c r="CK590" s="231">
        <f>IF(CJ$3=$K590,IF($C590="L",1,IF($C590="1/2L",0.5,0)),0)</f>
        <v>0</v>
      </c>
      <c r="CL590" s="231">
        <f>IF(CL$3=$K590,IF($C590="W",1,IF($C590="1/2W",0.5,0)),0)</f>
        <v>0</v>
      </c>
      <c r="CM590" s="231">
        <f>IF(CL$3=$K590,IF($C590="L",1,IF($C590="1/2L",0.5,0)),0)</f>
        <v>0</v>
      </c>
      <c r="CN590" s="231">
        <f>IF(CN$3=$K590,IF($C590="W",1,IF($C590="1/2W",0.5,0)),0)</f>
        <v>0</v>
      </c>
      <c r="CO590" s="231">
        <f>IF(CN$3=$K590,IF($C590="L",1,IF($C590="1/2L",0.5,0)),0)</f>
        <v>0</v>
      </c>
      <c r="CP590" s="231">
        <f>IF(CP$3=$K590,IF($C590="W",1,IF($C590="1/2W",0.5,0)),0)</f>
        <v>0</v>
      </c>
      <c r="CQ590" s="231">
        <f>IF(CP$3=$K590,IF($C590="L",1,IF($C590="1/2L",0.5,0)),0)</f>
        <v>0</v>
      </c>
      <c r="CR590" s="231">
        <f>IF(CR$3=$K590,IF($C590="W",1,IF($C590="1/2W",0.5,0)),0)</f>
        <v>0</v>
      </c>
      <c r="CS590" s="231">
        <f>IF(CR$3=$K590,IF($C590="L",1,IF($C590="1/2L",0.5,0)),0)</f>
        <v>0</v>
      </c>
      <c r="CT590" s="208">
        <f>IF(CT$3=$K590,IF($C590="W",1,IF($C590="1/2W",0.5,0)),0)</f>
        <v>0</v>
      </c>
      <c r="CU590" s="209">
        <f>IF(CT$3=$K590,IF($C590="L",1,IF($C590="1/2L",0.5,0)),0)</f>
        <v>0</v>
      </c>
      <c r="CV590" s="209">
        <f>IF(CV$3=$K590,IF($C590="W",1,IF($C590="1/2W",0.5,0)),0)</f>
        <v>0</v>
      </c>
      <c r="CW590" s="209">
        <f>IF(CV$3=$K590,IF($C590="L",1,IF($C590="1/2L",0.5,0)),0)</f>
        <v>0</v>
      </c>
      <c r="CX590" s="209">
        <f>IF(CX$3=$K590,IF($C590="W",1,IF($C590="1/2W",0.5,0)),0)</f>
        <v>0</v>
      </c>
      <c r="CY590" s="209">
        <f>IF(CX$3=$K590,IF($C590="L",1,IF($C590="1/2L",0.5,0)),0)</f>
        <v>0</v>
      </c>
      <c r="CZ590" s="209">
        <f>IF(CZ$3=$K590,IF($C590="W",1,IF($C590="1/2W",0.5,0)),0)</f>
        <v>0</v>
      </c>
      <c r="DA590" s="209">
        <f>IF(CZ$3=$K590,IF($C590="L",1,IF($C590="1/2L",0.5,0)),0)</f>
        <v>0</v>
      </c>
      <c r="DB590" s="209">
        <f>IF(DB$3=$K590,IF($C590="W",1,IF($C590="1/2W",0.5,0)),0)</f>
        <v>0</v>
      </c>
      <c r="DC590" s="209">
        <f>IF(DB$3=$K590,IF($C590="L",1,IF($C590="1/2L",0.5,0)),0)</f>
        <v>0</v>
      </c>
      <c r="DD590" s="209">
        <f>IF(DD$3=$K590,IF($C590="W",1,IF($C590="1/2W",0.5,0)),0)</f>
        <v>0</v>
      </c>
      <c r="DE590" s="210">
        <f>IF(DD$3=$K590,IF($C590="L",1,IF($C590="1/2L",0.5,0)),0)</f>
        <v>0</v>
      </c>
      <c r="DF590" s="211">
        <f>IF(AND(L590&lt;DF$3,$C590="W"),1+DF589,DF589)</f>
        <v>17</v>
      </c>
      <c r="DG590" s="198">
        <f>IF(DF590&gt;DF589,L590+DG589,DG589)</f>
        <v>22.628</v>
      </c>
      <c r="DH590" s="209">
        <f>IF(AND(L590&gt;DH$3,$C590="W"),1+DH589,0+DH589)</f>
        <v>16</v>
      </c>
      <c r="DI590" s="198">
        <f>IF(DH590&gt;DH589,L590+DI589,DI589)</f>
        <v>85.45999999999999</v>
      </c>
      <c r="DJ590" t="s" s="306">
        <f>IF($D589="","",$D589)</f>
        <v>431</v>
      </c>
      <c r="DK590" s="232"/>
    </row>
    <row r="591" ht="14.55" customHeight="1">
      <c r="A591" s="149"/>
      <c r="B591" s="150"/>
      <c r="C591" t="s" s="233">
        <v>58</v>
      </c>
      <c r="D591" s="152"/>
      <c r="E591" s="153"/>
      <c r="F591" s="155"/>
      <c r="G591" s="234"/>
      <c r="H591" s="156"/>
      <c r="I591" s="235"/>
      <c r="J591" s="236"/>
      <c r="K591" s="237"/>
      <c r="L591" s="238"/>
      <c r="M591" s="239"/>
      <c r="N591" s="161"/>
      <c r="O591" t="s" s="240">
        <f>IF(OR(AE589="",AE590=""),"",IF(L591&gt;0,ROUND(IF(M591&gt;0,M591,IF(M589&gt;0,ROUND((M589*AE591)/AE589,IF(N589=0,2,IF(N589=0.1,1,0))),IF(M590&gt;0,ROUND((M590*AE591)/AE590,IF(N589=0,2,IF(N589=0.1,1,0))),IF(M591&gt;0,M591,0)))),2),""))</f>
      </c>
      <c r="P591" t="s" s="241">
        <f>IF(I590="Lay",O590*(L590/(L590-1))-O590,IF(I589="Lay",O589*(L589/(L589-1))-O589,IF(OR(L591="",O591=""),"",IF($C591="1/2W",O591/2+O591/2*L591,IF($C591="1/2L",O591/2,(O591*L591-O591)*(1-_xlfn.XLOOKUP(K591,'Janeiro 2023 - Valor Real'!A3:A15,'Janeiro 2023 - Valor Real'!C3:C15,0))+O591)))))</f>
      </c>
      <c r="Q591" t="s" s="242">
        <f>IF(K591="","",IF(_xlfn.XLOOKUP(K591,K$124:K364,DJ$124:DJ364,0,,-1)=DJ591,_xlfn.XLOOKUP(K591,K$124:K364,Q$124:Q364,1,,-1)+1,1))</f>
      </c>
      <c r="R591" t="s" s="243">
        <f>IF(K591="","",_xlfn.XLOOKUP(K591,K$124:K364,R$124:R364,0,,-1)+IF($C591=" ",1,0))</f>
      </c>
      <c r="S591" s="166"/>
      <c r="T591" s="155"/>
      <c r="U591" s="155"/>
      <c r="V591" s="166"/>
      <c r="W591" s="155"/>
      <c r="X591" s="167"/>
      <c r="Y591" s="128"/>
      <c r="Z591" s="129"/>
      <c r="AA591" s="129"/>
      <c r="AB591" s="129"/>
      <c r="AC591" s="129"/>
      <c r="AD591" s="244">
        <f>((L590/(L590-1)-1))</f>
        <v>0.8</v>
      </c>
      <c r="AE591" t="s" s="245">
        <f>IF(L591="","",(SUM(((L589-1)*(1-_xlfn.XLOOKUP(K589,'Janeiro 2023 - Valor Real'!A3:A15,'Janeiro 2023 - Valor Real'!C3:C15,0))+1),((L590-1)*(1-_xlfn.XLOOKUP(K590,'Janeiro 2023 - Valor Real'!A3:A15,'Janeiro 2023 - Valor Real'!C3:C15,0))+1),((L591-1)*(1-_xlfn.XLOOKUP(K591,'Janeiro 2023 - Valor Real'!A3:A15,'Janeiro 2023 - Valor Real'!C3:C15,0))+1))/((L591-1)*(1-_xlfn.XLOOKUP(K591,'Janeiro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Real'!C3:C15,0))+1))/((L589-1)*(1-_xlfn.XLOOKUP(K589,'Janeiro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Real'!C3:C15,0))+1))/((L590-1)*(1-_xlfn.XLOOKUP(K590,'Janeiro 2023 - Valor Real'!A3:A15,'Janeiro 2023 - Valor Real'!C3:C15,0))+1)+SUM(((L589-1)*(1-_xlfn.XLOOKUP(K589,'Janeiro 2023 - Valor Real'!A3:A15,'Janeiro 2023 - Valor Real'!C3:C15,0))+1),((L590-1)*(1-_xlfn.XLOOKUP(K590,'Janeiro 2023 - Valor Real'!A3:A15,'Janeiro 2023 - Valor Real'!C3:C15,0))+1),((L591-1)*(1-_xlfn.XLOOKUP(K591,'Janeiro 2023 - Valor Real'!A3:A15,'Janeiro 2023 - Valor Real'!C3:C15,0))+1))/((L591-1)*(1-_xlfn.XLOOKUP(K591,'Janeiro 2023 - Valor Real'!A3:A15,'Janeiro 2023 - Valor Real'!C3:C15,0))+1)))</f>
      </c>
      <c r="AF591" s="197">
        <f>IF($K591=AF$3,ROUND(IF(OR($C591="W",$C591="1/2W",$C591="1/2L"),$P591-$O591,IF($C591="X",0,-$O591)),2),0)</f>
        <v>0</v>
      </c>
      <c r="AG591" s="198">
        <f>IF($K591=AG$3,ROUND(IF(OR($C591="W",$C591="1/2W",$C591="1/2L"),$P591-$O591,IF($C591="X",0,-$O591)),2),0)</f>
        <v>0</v>
      </c>
      <c r="AH591" s="198">
        <f>IF($K591=AH$3,ROUND(IF(OR($C591="W",$C591="1/2W",$C591="1/2L"),$P591-$O591,IF($C591="X",0,-$O591)),2),0)</f>
        <v>0</v>
      </c>
      <c r="AI591" s="198">
        <f>IF($K591=AI$3,ROUND(IF(OR($C591="W",$C591="1/2W",$C591="1/2L"),$P591-$O591,IF($C591="X",0,-$O591)),2),0)</f>
        <v>0</v>
      </c>
      <c r="AJ591" s="198">
        <f>IF($K591=AJ$3,ROUND(IF(OR($C591="W",$C591="1/2W",$C591="1/2L"),$P591-$O591,IF($C591="X",0,-$O591)),2),0)</f>
        <v>0</v>
      </c>
      <c r="AK591" s="198">
        <f>IF($K591=AK$3,ROUND(IF(OR($C591="W",$C591="1/2W",$C591="1/2L"),$P591-$O591,IF($C591="X",0,-$O591)),2),0)</f>
        <v>0</v>
      </c>
      <c r="AL591" s="198">
        <f>IF($K591=AL$3,ROUND(IF(OR($C591="W",$C591="1/2W",$C591="1/2L"),$P591-$O591,IF($C591="X",0,-$O591)),2),0)</f>
        <v>0</v>
      </c>
      <c r="AM591" s="198">
        <f>IF($K591=AM$3,ROUND(IF(OR($C591="W",$C591="1/2W",$C591="1/2L"),$P591-$O591,IF($C591="X",0,-$O591)),2),0)</f>
        <v>0</v>
      </c>
      <c r="AN591" s="198">
        <f>IF($K591=AN$3,ROUND(IF(OR($C591="W",$C591="1/2W",$C591="1/2L"),$P591-$O591,IF($C591="X",0,-$O591)),2),0)</f>
        <v>0</v>
      </c>
      <c r="AO591" s="198">
        <f>IF($K591=AO$3,ROUND(IF(OR($C591="W",$C591="1/2W",$C591="1/2L"),$P591-$O591,IF($C591="X",0,-$O591)),2),0)</f>
        <v>0</v>
      </c>
      <c r="AP591" s="198">
        <f>IF($K591=AP$3,ROUND(IF(OR($C591="W",$C591="1/2W",$C591="1/2L"),$P591-$O591,IF($C591="X",0,-$O591)),2),0)</f>
        <v>0</v>
      </c>
      <c r="AQ591" s="198">
        <f>IF($K591=AQ$3,ROUND(IF(OR($C591="W",$C591="1/2W",$C591="1/2L"),$P591-$O591,IF($C591="X",0,-$O591)),2),0)</f>
        <v>0</v>
      </c>
      <c r="AR591" s="199">
        <f>IF($K591=AR$3,ROUND(IF(OR($C591="W",$C591="1/2W",$C591="1/2L"),$P591-$O591,IF($C591="X",0,-$O591)),2),0)</f>
        <v>0</v>
      </c>
      <c r="AS591" s="197">
        <f>IF(AND($B589=" ",$K591=AS$3),$O591,0)</f>
        <v>0</v>
      </c>
      <c r="AT591" s="198">
        <f>IF(AND($B589=" ",K591=AT$3),$O591,0)</f>
        <v>0</v>
      </c>
      <c r="AU591" s="198">
        <f>IF(AND($B589=" ",$K591=AU$3),$O591,0)</f>
        <v>0</v>
      </c>
      <c r="AV591" s="198">
        <f>IF(AND($B589=" ",$K591=AV$3),$O591,0)</f>
        <v>0</v>
      </c>
      <c r="AW591" s="198">
        <f>IF(AND($B589=" ",$K591=AW$3),$O591,0)</f>
        <v>0</v>
      </c>
      <c r="AX591" s="198">
        <f>IF(AND($B589=" ",$K591=AX$3),$O591,0)</f>
        <v>0</v>
      </c>
      <c r="AY591" s="200">
        <f>IF(AND($B589=" ",$K591=AY$3),$O591,0)</f>
        <v>0</v>
      </c>
      <c r="AZ591" s="201">
        <f>IF(AND($B589=" ",$K591=AZ$3),$O591,0)</f>
        <v>0</v>
      </c>
      <c r="BA591" s="201">
        <f>IF(AND($B589=" ",$K591=BA$3),$O591,0)</f>
        <v>0</v>
      </c>
      <c r="BB591" s="201">
        <f>IF(AND($B589=" ",$K591=BB$3),$O591,0)</f>
        <v>0</v>
      </c>
      <c r="BC591" s="202">
        <f>IF(AND($B589=" ",$K591=BC$3),$O591,0)</f>
        <v>0</v>
      </c>
      <c r="BD591" s="198">
        <f>IF(AND($B589=" ",$K591=BD$3),$O591,0)</f>
        <v>0</v>
      </c>
      <c r="BE591" s="199">
        <f>IF(AND($B589=" ",$K591=BE$3),$O591,0)</f>
        <v>0</v>
      </c>
      <c r="BF591" s="197">
        <f>IF($K591=BF$3,IF($C591="X",0,$O591),0)</f>
        <v>0</v>
      </c>
      <c r="BG591" s="198">
        <f>IF($K591=BG$3,IF($C591="X",0,$O591),0)</f>
        <v>0</v>
      </c>
      <c r="BH591" s="198">
        <f>IF($K591=BH$3,IF($C591="X",0,$O591),0)</f>
        <v>0</v>
      </c>
      <c r="BI591" s="198">
        <f>IF($K591=BI$3,IF($C591="X",0,$O591),0)</f>
        <v>0</v>
      </c>
      <c r="BJ591" s="198">
        <f>IF($K591=BJ$3,IF($C591="X",0,$O591),0)</f>
        <v>0</v>
      </c>
      <c r="BK591" s="198">
        <f>IF($K591=BK$3,IF($C591="X",0,$O591),0)</f>
        <v>0</v>
      </c>
      <c r="BL591" s="198">
        <f>IF($K591=BL$3,IF($C591="X",0,$O591),0)</f>
        <v>0</v>
      </c>
      <c r="BM591" s="200">
        <f>IF($K591=BM$3,IF($C591="X",0,$O591),0)</f>
        <v>0</v>
      </c>
      <c r="BN591" s="201">
        <f>IF($K591=BN$3,IF($C591="X",0,$O591),0)</f>
        <v>0</v>
      </c>
      <c r="BO591" s="201">
        <f>IF($K591=BO$3,IF($C591="X",0,$O591),0)</f>
        <v>0</v>
      </c>
      <c r="BP591" s="201">
        <f>IF($K591=BP$3,IF($C591="X",0,$O591),0)</f>
        <v>0</v>
      </c>
      <c r="BQ591" s="202">
        <f>IF($K591=BQ$3,IF($C591="X",0,$O591),0)</f>
        <v>0</v>
      </c>
      <c r="BR591" s="199">
        <f>IF($K591=BR$3,IF($C591="X",0,$O591),0)</f>
        <v>0</v>
      </c>
      <c r="BS591" s="228"/>
      <c r="BT591" s="229"/>
      <c r="BU591" s="140"/>
      <c r="BV591" s="229"/>
      <c r="BW591" s="140"/>
      <c r="BX591" s="140"/>
      <c r="BY591" s="140"/>
      <c r="BZ591" s="229"/>
      <c r="CA591" s="140"/>
      <c r="CB591" s="140"/>
      <c r="CC591" s="140"/>
      <c r="CD591" s="141"/>
      <c r="CE591" s="142"/>
      <c r="CF591" s="230">
        <f>IF(CF$3=$K591,IF($C591="W",1,IF($C591="1/2W",0.5,0)),0)</f>
        <v>0</v>
      </c>
      <c r="CG591" s="231">
        <f>IF(CF$3=$K591,IF($C591="L",1,IF($C591="1/2L",0.5,0)),0)</f>
        <v>0</v>
      </c>
      <c r="CH591" s="231">
        <f>IF(CH$3=$K591,IF($C591="W",1,IF($C591="1/2W",0.5,0)),0)</f>
        <v>0</v>
      </c>
      <c r="CI591" s="231">
        <f>IF(CH$3=$K591,IF($C591="L",1,IF($C591="1/2L",0.5,0)),0)</f>
        <v>0</v>
      </c>
      <c r="CJ591" s="231">
        <f>IF(CJ$3=$K591,IF($C591="W",1,IF($C591="1/2W",0.5,0)),0)</f>
        <v>0</v>
      </c>
      <c r="CK591" s="231">
        <f>IF(CJ$3=$K591,IF($C591="L",1,IF($C591="1/2L",0.5,0)),0)</f>
        <v>0</v>
      </c>
      <c r="CL591" s="231">
        <f>IF(CL$3=$K591,IF($C591="W",1,IF($C591="1/2W",0.5,0)),0)</f>
        <v>0</v>
      </c>
      <c r="CM591" s="231">
        <f>IF(CL$3=$K591,IF($C591="L",1,IF($C591="1/2L",0.5,0)),0)</f>
        <v>0</v>
      </c>
      <c r="CN591" s="231">
        <f>IF(CN$3=$K591,IF($C591="W",1,IF($C591="1/2W",0.5,0)),0)</f>
        <v>0</v>
      </c>
      <c r="CO591" s="231">
        <f>IF(CN$3=$K591,IF($C591="L",1,IF($C591="1/2L",0.5,0)),0)</f>
        <v>0</v>
      </c>
      <c r="CP591" s="231">
        <f>IF(CP$3=$K591,IF($C591="W",1,IF($C591="1/2W",0.5,0)),0)</f>
        <v>0</v>
      </c>
      <c r="CQ591" s="231">
        <f>IF(CP$3=$K591,IF($C591="L",1,IF($C591="1/2L",0.5,0)),0)</f>
        <v>0</v>
      </c>
      <c r="CR591" s="231">
        <f>IF(CR$3=$K591,IF($C591="W",1,IF($C591="1/2W",0.5,0)),0)</f>
        <v>0</v>
      </c>
      <c r="CS591" s="231">
        <f>IF(CR$3=$K591,IF($C591="L",1,IF($C591="1/2L",0.5,0)),0)</f>
        <v>0</v>
      </c>
      <c r="CT591" s="208">
        <f>IF(CT$3=$K591,IF($C591="W",1,IF($C591="1/2W",0.5,0)),0)</f>
        <v>0</v>
      </c>
      <c r="CU591" s="209">
        <f>IF(CT$3=$K591,IF($C591="L",1,IF($C591="1/2L",0.5,0)),0)</f>
        <v>0</v>
      </c>
      <c r="CV591" s="209">
        <f>IF(CV$3=$K591,IF($C591="W",1,IF($C591="1/2W",0.5,0)),0)</f>
        <v>0</v>
      </c>
      <c r="CW591" s="209">
        <f>IF(CV$3=$K591,IF($C591="L",1,IF($C591="1/2L",0.5,0)),0)</f>
        <v>0</v>
      </c>
      <c r="CX591" s="209">
        <f>IF(CX$3=$K591,IF($C591="W",1,IF($C591="1/2W",0.5,0)),0)</f>
        <v>0</v>
      </c>
      <c r="CY591" s="209">
        <f>IF(CX$3=$K591,IF($C591="L",1,IF($C591="1/2L",0.5,0)),0)</f>
        <v>0</v>
      </c>
      <c r="CZ591" s="209">
        <f>IF(CZ$3=$K591,IF($C591="W",1,IF($C591="1/2W",0.5,0)),0)</f>
        <v>0</v>
      </c>
      <c r="DA591" s="209">
        <f>IF(CZ$3=$K591,IF($C591="L",1,IF($C591="1/2L",0.5,0)),0)</f>
        <v>0</v>
      </c>
      <c r="DB591" s="209">
        <f>IF(DB$3=$K591,IF($C591="W",1,IF($C591="1/2W",0.5,0)),0)</f>
        <v>0</v>
      </c>
      <c r="DC591" s="209">
        <f>IF(DB$3=$K591,IF($C591="L",1,IF($C591="1/2L",0.5,0)),0)</f>
        <v>0</v>
      </c>
      <c r="DD591" s="209">
        <f>IF(DD$3=$K591,IF($C591="W",1,IF($C591="1/2W",0.5,0)),0)</f>
        <v>0</v>
      </c>
      <c r="DE591" s="210">
        <f>IF(DD$3=$K591,IF($C591="L",1,IF($C591="1/2L",0.5,0)),0)</f>
        <v>0</v>
      </c>
      <c r="DF591" s="211">
        <f>IF(AND(L591&lt;DF$3,$C591="W"),1+DF590,DF590)</f>
        <v>17</v>
      </c>
      <c r="DG591" s="198">
        <f>IF(DF591&gt;DF590,L591+DG590,DG590)</f>
        <v>22.628</v>
      </c>
      <c r="DH591" s="209">
        <f>IF(AND(L591&gt;DH$3,$C591="W"),1+DH590,0+DH590)</f>
        <v>16</v>
      </c>
      <c r="DI591" s="198">
        <f>IF(DH591&gt;DH590,L591+DI590,DI590)</f>
        <v>85.45999999999999</v>
      </c>
      <c r="DJ591" t="s" s="306">
        <f>IF($D589="","",$D589)</f>
        <v>431</v>
      </c>
      <c r="DK591" s="232"/>
    </row>
    <row r="592" ht="14.55" customHeight="1">
      <c r="A592" s="246">
        <f>$A589+1</f>
        <v>197</v>
      </c>
      <c r="B592" t="s" s="247">
        <f>IF(AND(_xlfn.XLOOKUP(H592,H$107:H371,G$107:G371,0)=G592,_xlfn.XLOOKUP("TempoBet",K592:K594,L592:L594,0)&gt;0),"X",IF(OR(C592="W",C593="W",C594="W",C592="1/2W",C593="1/2W",C594="1/2W",C592="1/2L",C593="1/2L",C594="1/2L"),"OK",IF(OR(C592="L",C593="L",C594="L"),"LOSS",IF(OR(C592="X",C593="X",C594="X"),"Anulado"," "))))</f>
        <v>50</v>
      </c>
      <c r="C592" t="s" s="248">
        <v>51</v>
      </c>
      <c r="D592" t="s" s="303">
        <f>IF(G592="","",$D589)</f>
        <v>431</v>
      </c>
      <c r="E592" t="s" s="250">
        <v>118</v>
      </c>
      <c r="F592" t="s" s="251">
        <f>IF(G592="","",IF(OR(AND($C592&lt;&gt;" ",$C593=" "),AND($C593&lt;&gt;" ",$C592=" "),AND(L594&gt;0,OR(AND($C594&lt;&gt;" ",OR($C592=" ",$C593=" ")),AND($C594=" ",OR($C592&lt;&gt;" ",$C593&lt;&gt;" "))))),IF(SUM(F$4:F591)=0,1,LARGE(F$4:F591,1)+1),IF(MONTH(G592)=MONTH(TODAY()),IF(AND(DAY(G592)&lt;DAY(TODAY()),$B592=" "),IF(SUM(F$4:F591)=0,1,LARGE(F$4:F591,1)+1),IF($B592=" ",IF(AND(DAY(G592)=DAY(TODAY()),HOUR(G592)&lt;=HOUR(NOW())+1),IF(AND(HOUR(G592)+2&lt;=HOUR(NOW()),DAY(G592)&lt;=DAY(TODAY()),MINUTE(G592)&lt;=MINUTE(NOW())),IF(SUM(F$4:F591)=0,1,LARGE(F$4:F591,1)+1),IF(OR(MINUTE(G592)&lt;=MINUTE(NOW()),HOUR(G592)&lt;=HOUR(NOW())),"!!!","")),""),"")),"")))</f>
      </c>
      <c r="G592" s="252">
        <v>44953.666666666664</v>
      </c>
      <c r="H592" t="s" s="253">
        <v>440</v>
      </c>
      <c r="I592" t="s" s="254">
        <v>57</v>
      </c>
      <c r="J592" s="255">
        <v>-5.5</v>
      </c>
      <c r="K592" t="s" s="256">
        <v>48</v>
      </c>
      <c r="L592" s="257">
        <v>2.75</v>
      </c>
      <c r="M592" s="258">
        <v>7.1</v>
      </c>
      <c r="N592" s="259">
        <v>0</v>
      </c>
      <c r="O592" s="260">
        <f>IF(OR(AE592="",AE593=""),"",ROUND(IF(L594&gt;0,IF(M592&gt;0,M592,IF(M593&gt;0,ROUND((M593*AE592)/AE593,IF(N592=0,2,IF(N592=0.1,1,0))),ROUND((M594*AE592)/AE594,IF(N592=0,2,IF(N592=0.1,1,0))))),IF(M592&gt;0,M592,ROUND((M593*AE592)/AE593,IF(N592=0,2,IF(N592=0.1,1,0))))),2))</f>
        <v>7.1</v>
      </c>
      <c r="P592" s="261">
        <f>IF(OR(L592="",O592=""),"",IF($C592="1/2W",O592/2+O592/2*L592,IF($C592="1/2L",O592/2,IF(I592="Lay",(O592*(L592/(L592-1))-O592)*(1-_xlfn.XLOOKUP(K592,'Janeiro 2023 - Valor Real'!A3:A15,'Janeiro 2023 - Valor Real'!C3:C15,0))+O592,(O592*L592-O592)*(1-_xlfn.XLOOKUP(K592,'Janeiro 2023 - Valor Real'!A3:A15,'Janeiro 2023 - Valor Real'!C3:C15,0))+O592))))</f>
        <v>19.525</v>
      </c>
      <c r="Q592" s="262">
        <f>IF(K592="","",IF(_xlfn.XLOOKUP(K592,K$107:K371,DJ$107:DJ371,0,,-1)=DJ592,_xlfn.XLOOKUP(K592,K$107:K371,Q$107:Q371,1,,-1)+1,1))</f>
        <v>1</v>
      </c>
      <c r="R592" s="263">
        <f>IF(K592="","",_xlfn.XLOOKUP(K592,K$107:K371,R$107:R371,0,,-1)+IF($C592=" ",1,0))</f>
        <v>0</v>
      </c>
      <c r="S592" s="264">
        <f>IF($B592="Anulado",0,ROUND(IF(OR($B592="LOSS",$B592="OK"),IF(OR($C592="W",$C592="1/2W",$C592="1/2L"),P592-O592,IF($C592="L",-O592,0))+IF(OR($C593="W",$C593="1/2W",$C593="1/2L"),P593-O593,IF($C593="L",-O593,0))+IF(OR($C594="W",$C594="1/2W",$C594="1/2L"),P594-O594,IF($C594="L",-O594,0)),IF(AND(OR($C592="W",$C592="1/2W",$C592="1/2L"),C593="W"),P592+P593-SUM(O592:O594)+_xlfn.XLOOKUP("X",C592:C594,O592:O594,0),IF(AND(C592=TRUE,C594="W"),P592+P594-SUM(O592:O594),IF(AND(C593="W",C594="W"),P593+P594-SUM(O592:O594)+_xlfn.XLOOKUP("X",C592:C594,O592:O594,0),IF(L594&gt;0,IF(OR($C592="W",$C592="1/2W",$C592="1/2L"),P592-SUM(O592:O594)+_xlfn.XLOOKUP("X",C592:C594,O592:O594,0),IF(OR($C592="W",$C592="1/2W",$C592="1/2L"),P593-SUM(O592:O594)+_xlfn.XLOOKUP("X",C592:C594,O592:O594,0),IF(OR($C592="W",$C592="1/2W",$C592="1/2L"),P594-SUM(O592:O594)+_xlfn.XLOOKUP("X",C592:C594,O592:O594,0),IF(SUM(P592:P594)/3-SUM(O592:O594)+_xlfn.XLOOKUP("X",C592:C594,O592:O594,0)&gt;0,SUM(P592:P594)/3-SUM(O592:O594)+_xlfn.XLOOKUP("X",C592:C594,O592:O594,0),LARGE(P592:P594,1)-SUM(O592:O594))))),IF(OR($C592="W",$C592="1/2W",$C592="1/2L"),P592-SUM(O592:O593)+_xlfn.XLOOKUP("X",C592:C594,O592:O594,0),IF(OR($C592="W",$C592="1/2W",$C592="1/2L"),P593-SUM(O592:O593)+_xlfn.XLOOKUP("X",C592:C594,O592:O594,0),SUM(P592:P593)/2-SUM(O592:O593)+_xlfn.XLOOKUP("X",C592:C594,O592:O594,0)))))))),2))</f>
        <v>1.8</v>
      </c>
      <c r="T592" s="265">
        <f>IF(S592=0,0,S592/SUM(O592:O594))</f>
        <v>0.0512236767216847</v>
      </c>
      <c r="U592" s="266">
        <f>IF($D592=$D589,IF(OR($B592="LOSS",$B592="OK",$B592="Anulada"),S592,0)+U589,IF(OR($B592="LOSS",$B592="OK",$B592="Anulada"),S592,0))</f>
        <v>10.9</v>
      </c>
      <c r="V592" s="266">
        <f>IF($D592="",0,IF($D592=$D589,IF($B592=" ",IF(I594="",IF(OR(AND(I592="DNB1",I593="DNB2"),AND(OR(I592="DNB1",I592="DNB2"),J593=0),AND(OR(I593="DNB1",I593="DNB2"),J592=0),AND(I592="DNB2",I593="DNB1"),AND(IF(J592=0,(J592+1)/ROUND(J592+1,0),J592/ROUND(J592,0))=1,IF(J593=0,(J593+1)/ROUND(IF(J593="",0,J593)+1,0),IF(J593="",0,J593)/ROUND(IF(J593="",1,J593),0))=1,OR(J592&lt;&gt;""),J593&lt;&gt;"")),0,IF(S592&lt;0,IF(I594="",SMALL(P592:P593,1)-SUM(O592:O593),0),SMALL(P592:P593,1)-SUM(O592:O593))),IF(S592&lt;0,IF(I594="",SMALL(P592:P594,1)-SUM(O592:O594),0),LARGE(P592:P594,1)-SUM(O592:O594))),S592)+V589,IF(I594="",IF(OR(AND(I592="DNB1",I593="DNB2"),AND(OR(I592="DNB1",I592="DNB2"),J593=0),AND(OR(I593="DNB1",I593="DNB2"),J592=0),AND(I592="DNB2",I593="DNB1"),AND(IF(J592=0,(J592+1)/ROUND(J592+1,0),J592/ROUND(J592,0))=1,IF(J593=0,(IF(J593="",0,J593)+1)/ROUND(IF(J593="",0,J593)+1,0),IF(J593="",0,J593)/ROUND(IF(J593="",0,J593)+1,0))=1,OR(J592&lt;&gt;""),J593&lt;&gt;"")),0,IF(S592&lt;0,IF(I594="",SMALL(P592:P593,1)-SUM(O592:O593),0),SMALL(P592:P594,1)-SUM(O592:O594))),IF(S592&lt;0,IF(I594="",SMALL(P592:P594,1)-SUM(O592:O594),0),LARGE(P592:P594,1)-SUM(O592:O594)))))</f>
        <v>10.872</v>
      </c>
      <c r="W592" s="266">
        <f>IF($D592=$D589,IF(S592&lt;0,IF(I594="",S592,0),S592)+W589,S592)</f>
        <v>10.9</v>
      </c>
      <c r="X592" t="s" s="267">
        <f>IF(OR(SUM(R592:R594)=0,V592=W592),ROUND(IF(W592=0,0,W592/Y592)*100,2)&amp;"%",ROUND(IF(V592=0,0,V592/Y592)*100,2)&amp;"% a "&amp;ROUND(IF(W592=0,0,W592/Y592)*100,2)&amp;"%")</f>
        <v>441</v>
      </c>
      <c r="Y592" s="268">
        <f>IF($D592=$D589,Y589+SUM(O592:O594),SUM(O592:O594))</f>
        <v>163.64</v>
      </c>
      <c r="Z592" s="266">
        <f>IF($B592=" ",SUM(O592:O594),0)+Z589</f>
        <v>0</v>
      </c>
      <c r="AA592" s="266">
        <f>IF(G592="","",IF($B592="Anulado",LARGE(P592:P594,1)-SUM(O592:O594)+AA589,AA589))</f>
        <v>24.9665076923077</v>
      </c>
      <c r="AB592" s="266">
        <f>IF($D592="","",AB589+S592)</f>
        <v>399.23</v>
      </c>
      <c r="AC592" s="269">
        <f>IF($D592="","",IF($B592=" ",IF(DAY(G592)=DAY(TODAY()),1+AC589,0+AC589),0+AC589))</f>
        <v>0</v>
      </c>
      <c r="AD592" s="270">
        <f>(1-_xlfn.XLOOKUP(K590,'Janeiro 2023 - Valor Real'!A3:A15,'Janeiro 2023 - Valor Real'!C3:C15,0))+1</f>
        <v>2</v>
      </c>
      <c r="AE592" s="271">
        <f>IF(L592="","",IF(L594&gt;0,(SUM(((L592-1)*(1-_xlfn.XLOOKUP(K592,'Janeiro 2023 - Valor Real'!A3:A15,'Janeiro 2023 - Valor Real'!C3:C15,0))+1),((L593-1)*(1-_xlfn.XLOOKUP(K593,'Janeiro 2023 - Valor Real'!A3:A15,'Janeiro 2023 - Valor Real'!C3:C15,0))+1),((L594-1)*(1-_xlfn.XLOOKUP(K594,'Janeiro 2023 - Valor Real'!A3:A15,'Janeiro 2023 - Valor Real'!C3:C15,0))+1))/((L592-1)*(1-_xlfn.XLOOKUP(K592,'Janeiro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Real'!C3:C15,0))+1))/((L592-1)*(1-_xlfn.XLOOKUP(K592,'Janeiro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Real'!C3:C15,0))+1))/((L593-1)*(1-_xlfn.XLOOKUP(K593,'Janeiro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Real'!C3:C15,0))+1))/((L594-1)*(1-_xlfn.XLOOKUP(K594,'Janeiro 2023 - Valor Real'!A3:A15,'Janeiro 2023 - Valor Real'!C3:C15,0))+1)),IF(I592="Lay",IF(I593="Lay",((L593/(L593-1)-1)*(1-_xlfn.XLOOKUP(K593,'Janeiro 2023 - Valor Real'!A3:A15,'Janeiro 2023 - Valor Real'!C3:C15,0))+1)/(((L593/(L593-1)-1)*(1-_xlfn.XLOOKUP(K593,'Janeiro 2023 - Valor Real'!A3:A15,'Janeiro 2023 - Valor Real'!C3:C15,0))+1)+((L592/(L592-1)-1)*(1-_xlfn.XLOOKUP(K592,'Janeiro 2023 - Valor Real'!A3:A15,'Janeiro 2023 - Valor Real'!C3:C15,0))+1)),((L593-1)*(1-_xlfn.XLOOKUP(K593,'Janeiro 2023 - Valor Real'!A3:A15,'Janeiro 2023 - Valor Real'!C3:C15,0))+1)/(((L593-1)*(1-_xlfn.XLOOKUP(K593,'Janeiro 2023 - Valor Real'!A3:A15,'Janeiro 2023 - Valor Real'!C3:C15,0))+1)+((L592/(L592-1)-1)*(1-_xlfn.XLOOKUP(K592,'Janeiro 2023 - Valor Real'!A3:A15,'Janeiro 2023 - Valor Real'!C3:C15,0))+1))),IF(I593="Lay",(((L593/(L593-1)-1)*(1-_xlfn.XLOOKUP(K593,'Janeiro 2023 - Valor Real'!A3:A15,'Janeiro 2023 - Valor Real'!C3:C15,0))+1))/(((L592-1)*(1-_xlfn.XLOOKUP(K592,'Janeiro 2023 - Valor Real'!A3:A15,'Janeiro 2023 - Valor Real'!C3:C15,0))+1)+((L593/(L593-1)-1)*(1-_xlfn.XLOOKUP(K593,'Janeiro 2023 - Valor Real'!A3:A15,'Janeiro 2023 - Valor Real'!C3:C15,0))+1)),((L593-1)*(1-_xlfn.XLOOKUP(K593,'Janeiro 2023 - Valor Real'!A3:A15,'Janeiro 2023 - Valor Real'!C3:C15,0))+1)/(((L593-1)*(1-_xlfn.XLOOKUP(K593,'Janeiro 2023 - Valor Real'!A3:A15,'Janeiro 2023 - Valor Real'!C3:C15,0))+1)+((L592-1)*(1-_xlfn.XLOOKUP(K592,'Janeiro 2023 - Valor Real'!A3:A15,'Janeiro 2023 - Valor Real'!C3:C15,0))+1))))))</f>
        <v>0.263476310244035</v>
      </c>
      <c r="AF592" s="132">
        <f>IF($K592=AF$3,ROUND(IF(OR($C592="W",$C592="1/2W",$C592="1/2L"),$P592-$O592,IF($C592="X",0,-$O592)),2),0)</f>
        <v>0</v>
      </c>
      <c r="AG592" s="133">
        <f>IF($K592=AG$3,ROUND(IF(OR($C592="W",$C592="1/2W",$C592="1/2L"),$P592-$O592,IF($C592="X",0,-$O592)),2),0)</f>
        <v>0</v>
      </c>
      <c r="AH592" s="133">
        <f>IF($K592=AH$3,ROUND(IF(OR($C592="W",$C592="1/2W",$C592="1/2L"),$P592-$O592,IF($C592="X",0,-$O592)),2),0)</f>
        <v>0</v>
      </c>
      <c r="AI592" s="133">
        <f>IF($K592=AI$3,ROUND(IF(OR($C592="W",$C592="1/2W",$C592="1/2L"),$P592-$O592,IF($C592="X",0,-$O592)),2),0)</f>
        <v>0</v>
      </c>
      <c r="AJ592" s="133">
        <f>IF($K592=AJ$3,ROUND(IF(OR($C592="W",$C592="1/2W",$C592="1/2L"),$P592-$O592,IF($C592="X",0,-$O592)),2),0)</f>
        <v>0</v>
      </c>
      <c r="AK592" s="133">
        <f>IF($K592=AK$3,ROUND(IF(OR($C592="W",$C592="1/2W",$C592="1/2L"),$P592-$O592,IF($C592="X",0,-$O592)),2),0)</f>
        <v>0</v>
      </c>
      <c r="AL592" s="133">
        <f>IF($K592=AL$3,ROUND(IF(OR($C592="W",$C592="1/2W",$C592="1/2L"),$P592-$O592,IF($C592="X",0,-$O592)),2),0)</f>
        <v>0</v>
      </c>
      <c r="AM592" s="133">
        <f>IF($K592=AM$3,ROUND(IF(OR($C592="W",$C592="1/2W",$C592="1/2L"),$P592-$O592,IF($C592="X",0,-$O592)),2),0)</f>
        <v>0</v>
      </c>
      <c r="AN592" s="133">
        <f>IF($K592=AN$3,ROUND(IF(OR($C592="W",$C592="1/2W",$C592="1/2L"),$P592-$O592,IF($C592="X",0,-$O592)),2),0)</f>
        <v>0</v>
      </c>
      <c r="AO592" s="133">
        <f>IF($K592=AO$3,ROUND(IF(OR($C592="W",$C592="1/2W",$C592="1/2L"),$P592-$O592,IF($C592="X",0,-$O592)),2),0)</f>
        <v>0</v>
      </c>
      <c r="AP592" s="133">
        <f>IF($K592=AP$3,ROUND(IF(OR($C592="W",$C592="1/2W",$C592="1/2L"),$P592-$O592,IF($C592="X",0,-$O592)),2),0)</f>
        <v>0</v>
      </c>
      <c r="AQ592" s="133">
        <f>IF($K592=AQ$3,ROUND(IF(OR($C592="W",$C592="1/2W",$C592="1/2L"),$P592-$O592,IF($C592="X",0,-$O592)),2),0)</f>
        <v>-7.1</v>
      </c>
      <c r="AR592" s="134">
        <f>IF($K592=AR$3,ROUND(IF(OR($C592="W",$C592="1/2W",$C592="1/2L"),$P592-$O592,IF($C592="X",0,-$O592)),2),0)</f>
        <v>0</v>
      </c>
      <c r="AS592" s="132">
        <f>IF(AND($B592=" ",$K592=AS$3),$O592,0)</f>
        <v>0</v>
      </c>
      <c r="AT592" s="133">
        <f>IF(AND($B592=" ",$K592=AT$3),$O592,0)</f>
        <v>0</v>
      </c>
      <c r="AU592" s="133">
        <f>IF(AND($B592=" ",$K592=AU$3),$O592,0)</f>
        <v>0</v>
      </c>
      <c r="AV592" s="133">
        <f>IF(AND($B592=" ",$K592=AV$3),$O592,0)</f>
        <v>0</v>
      </c>
      <c r="AW592" s="133">
        <f>IF(AND($B592=" ",$K592=AW$3),$O592,0)</f>
        <v>0</v>
      </c>
      <c r="AX592" s="133">
        <f>IF(AND($B592=" ",$K592=AX$3),$O592,0)</f>
        <v>0</v>
      </c>
      <c r="AY592" s="135">
        <f>IF(AND($B592=" ",$K592=AY$3),$O592,0)</f>
        <v>0</v>
      </c>
      <c r="AZ592" s="136">
        <f>IF(AND($B592=" ",$K592=AZ$3),$O592,0)</f>
        <v>0</v>
      </c>
      <c r="BA592" s="136">
        <f>IF(AND($B592=" ",$K592=BA$3),$O592,0)</f>
        <v>0</v>
      </c>
      <c r="BB592" s="136">
        <f>IF(AND($B592=" ",$K592=BB$3),$O592,0)</f>
        <v>0</v>
      </c>
      <c r="BC592" s="137">
        <f>IF(AND($B592=" ",$K592=BC$3),$O592,0)</f>
        <v>0</v>
      </c>
      <c r="BD592" s="133">
        <f>IF(AND($B592=" ",$K592=BD$3),$O592,0)</f>
        <v>0</v>
      </c>
      <c r="BE592" s="134">
        <f>IF(AND($B592=" ",$K592=BE$3),$O592,0)</f>
        <v>0</v>
      </c>
      <c r="BF592" s="132">
        <f>IF($K592=BF$3,IF($C592="X",0,$O592),0)</f>
        <v>0</v>
      </c>
      <c r="BG592" s="133">
        <f>IF($K592=BG$3,IF($C592="X",0,$O592),0)</f>
        <v>0</v>
      </c>
      <c r="BH592" s="133">
        <f>IF($K592=BH$3,IF($C592="X",0,$O592),0)</f>
        <v>0</v>
      </c>
      <c r="BI592" s="133">
        <f>IF($K592=BI$3,IF($C592="X",0,$O592),0)</f>
        <v>0</v>
      </c>
      <c r="BJ592" s="133">
        <f>IF($K592=BJ$3,IF($C592="X",0,$O592),0)</f>
        <v>0</v>
      </c>
      <c r="BK592" s="133">
        <f>IF($K592=BK$3,IF($C592="X",0,$O592),0)</f>
        <v>0</v>
      </c>
      <c r="BL592" s="133">
        <f>IF($K592=BL$3,IF($C592="X",0,$O592),0)</f>
        <v>0</v>
      </c>
      <c r="BM592" s="135">
        <f>IF($K592=BM$3,IF($C592="X",0,$O592),0)</f>
        <v>0</v>
      </c>
      <c r="BN592" s="136">
        <f>IF($K592=BN$3,IF($C592="X",0,$O592),0)</f>
        <v>0</v>
      </c>
      <c r="BO592" s="136">
        <f>IF($K592=BO$3,IF($C592="X",0,$O592),0)</f>
        <v>0</v>
      </c>
      <c r="BP592" s="136">
        <f>IF($K592=BP$3,IF($C592="X",0,$O592),0)</f>
        <v>0</v>
      </c>
      <c r="BQ592" s="137">
        <f>IF($K592=BQ$3,IF($C592="X",0,$O592),0)</f>
        <v>7.1</v>
      </c>
      <c r="BR592" s="134">
        <f>IF($K592=BR$3,IF($C592="X",0,$O592),0)</f>
        <v>0</v>
      </c>
      <c r="BS592" s="170">
        <f>IF($B592="LOSS",IF(AND($K592=BS$3,$C592="L"),-$O592,0)+IF(AND($K593=BS$3,$C593="L"),-$O593,0)+IF(AND($K594=BS$3,$C594="L"),-$O594,0),IF(OR(AND($K592=BS$3,OR($C592="W",$C592="1/2W")),AND($K593=BS$3,OR($C593="W",$C593="1/2W")),AND($K594=BS$3,OR($C594="W",$C594="1/2W"))),$S592,0))</f>
        <v>1.8</v>
      </c>
      <c r="BT592" s="272">
        <f>IF($B592="LOSS",IF(AND($K592=BT$3,$C592="L"),-$O592,0)+IF(AND($K593=BT$3,$C593="L"),-$O593,0)+IF(AND($K593=BT$3,$C594="L"),-$O594,0),IF(OR(AND($K593=BT$3,OR($C592="W",$C592="1/2W")),AND($K593=BT$3,OR($C593="W",$C593="1/2W")),AND($K593=BT$3,OR($C594="W",$C594="1/2W"))),$S592,0))</f>
        <v>0</v>
      </c>
      <c r="BU592" s="136">
        <f>IF($B592="LOSS",IF(AND($K592=BU$3,$C592="L"),-$O592,0)+IF(AND($K593=BU$3,$C593="L"),-$O593,0)+IF(AND($K593=BU$3,$C594="L"),-$O594,0),IF(OR(AND($K593=BU$3,OR($C592="W",$C592="1/2W")),AND($K593=BU$3,OR($C593="W",$C593="1/2W")),AND($K593=BU$3,OR($C594="W",$C594="1/2W"))),$S592,0))</f>
        <v>0</v>
      </c>
      <c r="BV592" s="136">
        <f>IF($B592="LOSS",IF(AND($K592=BV$3,$C592="L"),-$O592,0)+IF(AND($K593=BV$3,$C593="L"),-$O593,0)+IF(AND($K594=BV$3,$C594="L"),-$O594,0),IF(OR(AND($K592=BV$3,OR($C592="W",$C592="1/2W")),AND($K593=BV$3,OR($C593="W",$C593="1/2W")),AND($K594=BV$3,OR($C594="W",$C594="1/2W"))),$S592,0))</f>
        <v>0</v>
      </c>
      <c r="BW592" s="136">
        <f>IF($B592="LOSS",IF(AND($K592=BW$3,$C592="L"),-$O592,0)+IF(AND($K593=BW$3,$C593="L"),-$O593,0)+IF(AND($K594=BW$3,$C594="L"),-$O594,0),IF(OR(AND($K592=BW$3,OR($C592="W",$C592="1/2W")),AND($K593=BW$3,OR($C593="W",$C593="1/2W")),AND($K594=BW$3,OR($C594="W",$C594="1/2W"))),$S592,0))</f>
        <v>0</v>
      </c>
      <c r="BX592" s="136">
        <f>IF($B592="LOSS",IF(AND($K592=BX$3,$C592="L"),-$O592,0)+IF(AND($K593=BX$3,$C593="L"),-$O593,0)+IF(AND($K594=BX$3,$C594="L"),-$O594,0),IF(OR(AND($K592=BX$3,OR($C592="W",$C592="1/2W")),AND($K593=BX$3,OR($C593="W",$C593="1/2W")),AND($K594=BX$3,OR($C594="W",$C594="1/2W"))),$S592,0))</f>
        <v>0</v>
      </c>
      <c r="BY592" s="136">
        <f>IF($B592="LOSS",IF(AND($K592=BY$3,$C592="L"),-$O592,0)+IF(AND($K593=BY$3,$C593="L"),-$O593,0)+IF(AND($K594=BY$3,$C594="L"),-$O594,0),IF(OR(AND($K592=BY$3,OR($C592="W",$C592="1/2W")),AND($K593=BY$3,OR($C593="W",$C593="1/2W")),AND($K594=BY$3,OR($C594="W",$C594="1/2W"))),$S592,0))</f>
        <v>0</v>
      </c>
      <c r="BZ592" s="136">
        <f>IF($B592="LOSS",IF(AND($K592=BZ$3,$C592="L"),-$O592,0)+IF(AND($K593=BZ$3,$C593="L"),-$O593,0)+IF(AND($K594=BZ$3,$C594="L"),-$O594,0),IF(OR(AND($K592=BZ$3,OR($C592="W",$C592="1/2W")),AND($K593=BZ$3,OR($C593="W",$C593="1/2W")),AND($K594=BZ$3,OR($C594="W",$C594="1/2W"))),$S592,0))</f>
        <v>0</v>
      </c>
      <c r="CA592" s="136">
        <f>IF($B592="LOSS",IF(AND($K592=CA$3,$C592="L"),-$O592,0)+IF(AND($K593=CA$3,$C593="L"),-$O593,0)+IF(AND($K594=CA$3,$C594="L"),-$O594,0),IF(OR(AND($K592=CA$3,OR($C592="W",$C592="1/2W")),AND($K593=CA$3,OR($C593="W",$C593="1/2W")),AND($K594=CA$3,OR($C594="W",$C594="1/2W"))),$S592,0))</f>
        <v>0</v>
      </c>
      <c r="CB592" s="136">
        <f>IF($B592="LOSS",IF(AND($K592=CB$3,$C592="L"),-$O592,0)+IF(AND($K593=CB$3,$C593="L"),-$O593,0)+IF(AND($K594=CB$3,$C594="L"),-$O594,0),IF(OR(AND($K592=CB$3,OR($C592="W",$C592="1/2W")),AND($K593=CB$3,OR($C593="W",$C593="1/2W")),AND($K594=CB$3,OR($C594="W",$C594="1/2W"))),$S592,0))</f>
        <v>0</v>
      </c>
      <c r="CC592" s="136">
        <f>IF($B592="LOSS",IF(AND($K592=CC$3,$C592="L"),-$O592,0)+IF(AND($K593=CC$3,$C593="L"),-$O593,0)+IF(AND($K594=CC$3,$C594="L"),-$O594,0),IF(OR(AND($K592=CC$3,OR($C592="W",$C592="1/2W")),AND($K593=CC$3,OR($C593="W",$C593="1/2W")),AND($K594=CC$3,OR($C594="W",$C594="1/2W"))),$S592,0))</f>
        <v>0</v>
      </c>
      <c r="CD592" s="137">
        <f>IF($B592="LOSS",IF(AND($K592=CD$3,$C592="L"),-$O592,0)+IF(AND($K593=CD$3,$C593="L"),-$O593,0)+IF(AND($K594=CD$3,$C594="L"),-$O594,0),IF(OR(AND($K592=CD$3,OR($C592="W",$C592="1/2W")),AND($K593=CD$3,OR($C593="W",$C593="1/2W")),AND($K594=CD$3,OR($C594="W",$C594="1/2W"))),$S592,0))</f>
        <v>0</v>
      </c>
      <c r="CE592" s="134">
        <f>IF($B592="LOSS",IF(AND($K592=CE$3,$C592="L"),-$O592,0)+IF(AND($K593=CE$3,$C593="L"),-$O593,0)+IF(AND($K594=CE$3,$C594="L"),-$O594,0),IF(OR(AND($K592=CE$3,OR($C592="W",$C592="1/2W")),AND($K593=CE$3,OR($C593="W",$C593="1/2W")),AND($K594=CE$3,OR($C594="W",$C594="1/2W"))),$S592,0))</f>
        <v>0</v>
      </c>
      <c r="CF592" s="273">
        <f>IF(CF$3=$K592,IF($C592="W",1,IF($C592="1/2W",0.5,0)),0)</f>
        <v>0</v>
      </c>
      <c r="CG592" s="274">
        <f>IF(CF$3=$K592,IF($C592="L",1,IF($C592="1/2L",0.5,0)),0)</f>
        <v>0</v>
      </c>
      <c r="CH592" s="274">
        <f>IF(CH$3=$K592,IF($C592="W",1,IF($C592="1/2W",0.5,0)),0)</f>
        <v>0</v>
      </c>
      <c r="CI592" s="274">
        <f>IF(CH$3=$K592,IF($C592="L",1,IF($C592="1/2L",0.5,0)),0)</f>
        <v>0</v>
      </c>
      <c r="CJ592" s="274">
        <f>IF(CJ$3=$K592,IF($C592="W",1,IF($C592="1/2W",0.5,0)),0)</f>
        <v>0</v>
      </c>
      <c r="CK592" s="274">
        <f>IF(CJ$3=$K592,IF($C592="L",1,IF($C592="1/2L",0.5,0)),0)</f>
        <v>0</v>
      </c>
      <c r="CL592" s="274">
        <f>IF(CL$3=$K592,IF($C592="W",1,IF($C592="1/2W",0.5,0)),0)</f>
        <v>0</v>
      </c>
      <c r="CM592" s="274">
        <f>IF(CL$3=$K592,IF($C592="L",1,IF($C592="1/2L",0.5,0)),0)</f>
        <v>0</v>
      </c>
      <c r="CN592" s="274">
        <f>IF(CN$3=$K592,IF($C592="W",1,IF($C592="1/2W",0.5,0)),0)</f>
        <v>0</v>
      </c>
      <c r="CO592" s="274">
        <f>IF(CN$3=$K592,IF($C592="L",1,IF($C592="1/2L",0.5,0)),0)</f>
        <v>0</v>
      </c>
      <c r="CP592" s="274">
        <f>IF(CP$3=$K592,IF($C592="W",1,IF($C592="1/2W",0.5,0)),0)</f>
        <v>0</v>
      </c>
      <c r="CQ592" s="274">
        <f>IF(CP$3=$K592,IF($C592="L",1,IF($C592="1/2L",0.5,0)),0)</f>
        <v>0</v>
      </c>
      <c r="CR592" s="274">
        <f>IF(CR$3=$K592,IF($C592="W",1,IF($C592="1/2W",0.5,0)),0)</f>
        <v>0</v>
      </c>
      <c r="CS592" s="274">
        <f>IF(CR$3=$K592,IF($C592="L",1,IF($C592="1/2L",0.5,0)),0)</f>
        <v>0</v>
      </c>
      <c r="CT592" s="145">
        <f>IF(CT$3=$K592,IF($C592="W",1,IF($C592="1/2W",0.5,0)),0)</f>
        <v>0</v>
      </c>
      <c r="CU592" s="146">
        <f>IF(CT$3=$K592,IF($C592="L",1,IF($C592="1/2L",0.5,0)),0)</f>
        <v>0</v>
      </c>
      <c r="CV592" s="146">
        <f>IF(CV$3=$K592,IF($C592="W",1,IF($C592="1/2W",0.5,0)),0)</f>
        <v>0</v>
      </c>
      <c r="CW592" s="146">
        <f>IF(CV$3=$K592,IF($C592="L",1,IF($C592="1/2L",0.5,0)),0)</f>
        <v>0</v>
      </c>
      <c r="CX592" s="146">
        <f>IF(CX$3=$K592,IF($C592="W",1,IF($C592="1/2W",0.5,0)),0)</f>
        <v>0</v>
      </c>
      <c r="CY592" s="146">
        <f>IF(CX$3=$K592,IF($C592="L",1,IF($C592="1/2L",0.5,0)),0)</f>
        <v>0</v>
      </c>
      <c r="CZ592" s="146">
        <f>IF(CZ$3=$K592,IF($C592="W",1,IF($C592="1/2W",0.5,0)),0)</f>
        <v>0</v>
      </c>
      <c r="DA592" s="146">
        <f>IF(CZ$3=$K592,IF($C592="L",1,IF($C592="1/2L",0.5,0)),0)</f>
        <v>0</v>
      </c>
      <c r="DB592" s="146">
        <f>IF(DB$3=$K592,IF($C592="W",1,IF($C592="1/2W",0.5,0)),0)</f>
        <v>0</v>
      </c>
      <c r="DC592" s="146">
        <f>IF(DB$3=$K592,IF($C592="L",1,IF($C592="1/2L",0.5,0)),0)</f>
        <v>1</v>
      </c>
      <c r="DD592" s="146">
        <f>IF(DD$3=$K592,IF($C592="W",1,IF($C592="1/2W",0.5,0)),0)</f>
        <v>0</v>
      </c>
      <c r="DE592" s="147">
        <f>IF(DD$3=$K592,IF($C592="L",1,IF($C592="1/2L",0.5,0)),0)</f>
        <v>0</v>
      </c>
      <c r="DF592" s="143">
        <f>IF(AND(L592&lt;DF$3,$C592="W"),1+DF591,DF591)</f>
        <v>17</v>
      </c>
      <c r="DG592" s="133">
        <f>IF(DF592&gt;DF591,L592+DG591,DG591)</f>
        <v>22.628</v>
      </c>
      <c r="DH592" s="146">
        <f>IF(AND(L592&gt;DH$3,$C592="W"),1+DH591,0+DH591)</f>
        <v>16</v>
      </c>
      <c r="DI592" s="133">
        <f>IF(DH592&gt;DH591,L592+DI591,DI591)</f>
        <v>85.45999999999999</v>
      </c>
      <c r="DJ592" t="s" s="304">
        <f>IF($D592="","",$D592)</f>
        <v>431</v>
      </c>
      <c r="DK592" s="146">
        <f>IF(AND($B592=" ",$D592&lt;&gt;""),1,0)</f>
        <v>0</v>
      </c>
    </row>
    <row r="593" ht="14.55" customHeight="1">
      <c r="A593" s="107"/>
      <c r="B593" s="108"/>
      <c r="C593" t="s" s="109">
        <v>51</v>
      </c>
      <c r="D593" s="110"/>
      <c r="E593" s="111"/>
      <c r="F593" s="113"/>
      <c r="G593" s="252"/>
      <c r="H593" s="114"/>
      <c r="I593" t="s" s="275">
        <v>57</v>
      </c>
      <c r="J593" s="276">
        <v>-4.5</v>
      </c>
      <c r="K593" t="s" s="117">
        <v>41</v>
      </c>
      <c r="L593" s="277">
        <v>2.04</v>
      </c>
      <c r="M593" s="278">
        <v>8.6</v>
      </c>
      <c r="N593" s="120"/>
      <c r="O593" s="121">
        <f>IF(OR(AE592="",AE593=""),"",ROUND(IF(L594&gt;0,IF(M593&gt;0,M593,IF(M592&gt;0,IF(N592=TRUE,ROUND((M592*AE593)/AE592,0),(M592*AE593)/AE592),IF(M593&gt;0,ROUND(M593,IF(N592=0,2,IF(N592=0.1,1,0))),IF(M594&gt;0,ROUND(O594*AE593/AE594,IF(N592=0,2,IF(N592=0.1,1,0))),0)))),IF(M593&gt;0,M593,ROUND((M592*AE593)/AE592,IF(N592=0,2,IF(N592=0.1,1,0))))),2))</f>
        <v>8.6</v>
      </c>
      <c r="P593" s="122">
        <f>IF(OR(L593="",O593=""),"",IF($C593="1/2W",O593/2+O593/2*L593,IF($C593="1/2L",O593/2,IF(I593="Lay",((O593*(L593/(L593-1)))-O593)*(1-_xlfn.XLOOKUP(K593,'Janeiro 2023 - Valor Real'!A3:A15,'Janeiro 2023 - Valor Real'!C3:C15,0))+O593,(O593*L593-O593)*(1-_xlfn.XLOOKUP(K593,'Janeiro 2023 - Valor Real'!A3:A15,'Janeiro 2023 - Valor Real'!C3:C15,0))+O593))))</f>
        <v>17.544</v>
      </c>
      <c r="Q593" s="279">
        <f>IF(K593="","",IF(_xlfn.XLOOKUP(K593,K$120:K372,DJ$120:DJ372,0,,-1)=DJ593,_xlfn.XLOOKUP(K593,K$120:K372,Q$120:Q372,1,,-1)+1,1))</f>
        <v>1</v>
      </c>
      <c r="R593" s="280">
        <f>IF(K593="","",_xlfn.XLOOKUP(K593,K$120:K372,R$120:R372,0,,-1)+IF($C593=" ",1,0))</f>
        <v>0</v>
      </c>
      <c r="S593" s="125"/>
      <c r="T593" s="126"/>
      <c r="U593" s="126"/>
      <c r="V593" s="224"/>
      <c r="W593" s="126"/>
      <c r="X593" s="127"/>
      <c r="Y593" s="128"/>
      <c r="Z593" s="129"/>
      <c r="AA593" s="129"/>
      <c r="AB593" s="129"/>
      <c r="AC593" s="129"/>
      <c r="AD593" s="130"/>
      <c r="AE593" s="131">
        <f>IF(L593="","",IF(L594&gt;0,(SUM(((L592-1)*(1-_xlfn.XLOOKUP(K592,'Janeiro 2023 - Valor Real'!A3:A15,'Janeiro 2023 - Valor Real'!C3:C15,0))+1),((L593-1)*(1-_xlfn.XLOOKUP(K593,'Janeiro 2023 - Valor Real'!A3:A15,'Janeiro 2023 - Valor Real'!C3:C15,0))+1),((L594-1)*(1-_xlfn.XLOOKUP(K594,'Janeiro 2023 - Valor Real'!A3:A15,'Janeiro 2023 - Valor Real'!C3:C15,0))+1))/((L593-1)*(1-_xlfn.XLOOKUP(K593,'Janeiro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Real'!C3:C15,0))+1))/((L592-1)*(1-_xlfn.XLOOKUP(K592,'Janeiro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Real'!C3:C15,0))+1))/((L593-1)*(1-_xlfn.XLOOKUP(K593,'Janeiro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Real'!C3:C15,0))+1))/((L594-1)*(1-_xlfn.XLOOKUP(K594,'Janeiro 2023 - Valor Real'!A3:A15,'Janeiro 2023 - Valor Real'!C3:C15,0))+1)),IF(I593="Lay",IF(I592="Lay",((L592/(L592-1)-1)*(1-_xlfn.XLOOKUP(K592,'Janeiro 2023 - Valor Real'!A3:A15,'Janeiro 2023 - Valor Real'!C3:C15,0))+1)/(((L592/(L592-1)-1)*(1-_xlfn.XLOOKUP(K592,'Janeiro 2023 - Valor Real'!A3:A15,'Janeiro 2023 - Valor Real'!C3:C15,0))+1)+((L593/(L593-1)-1)*(1-_xlfn.XLOOKUP(K593,'Janeiro 2023 - Valor Real'!A3:A15,'Janeiro 2023 - Valor Real'!C3:C15,0))+1)),((L592-1)*(1-_xlfn.XLOOKUP(K592,'Janeiro 2023 - Valor Real'!A3:A15,'Janeiro 2023 - Valor Real'!C3:C15,0))+1)/(((L592-1)*(1-_xlfn.XLOOKUP(K592,'Janeiro 2023 - Valor Real'!A3:A15,'Janeiro 2023 - Valor Real'!C3:C15,0))+1)+((L593/(L593-1)-1)*(1-_xlfn.XLOOKUP(K593,'Janeiro 2023 - Valor Real'!A3:A15,'Janeiro 2023 - Valor Real'!C3:C15,0))+1))),IF(I592="Lay",((L592/(L592-1)-1)*(1-_xlfn.XLOOKUP(K592,'Janeiro 2023 - Valor Real'!A3:A15,'Janeiro 2023 - Valor Real'!C3:C15,0))+1)/((((L592/(L592-1)-1)*(1-_xlfn.XLOOKUP(K592,'Janeiro 2023 - Valor Real'!A3:A15,'Janeiro 2023 - Valor Real'!C3:C15,0))+1))+((L593-1)*(1-_xlfn.XLOOKUP(K593,'Janeiro 2023 - Valor Real'!A3:A15,'Janeiro 2023 - Valor Real'!C3:C15,0))+1)),((L592-1)*(1-_xlfn.XLOOKUP(K592,'Janeiro 2023 - Valor Real'!A3:A15,'Janeiro 2023 - Valor Real'!C3:C15,0))+1)/(((L592-1)*(1-_xlfn.XLOOKUP(K592,'Janeiro 2023 - Valor Real'!A3:A15,'Janeiro 2023 - Valor Real'!C3:C15,0))+1)+((L593-1)*(1-_xlfn.XLOOKUP(K593,'Janeiro 2023 - Valor Real'!A3:A15,'Janeiro 2023 - Valor Real'!C3:C15,0))+1))))))</f>
        <v>0.355176398613283</v>
      </c>
      <c r="AF593" s="132">
        <f>IF($K593=AF$3,ROUND(IF(OR($C593="W",$C593="1/2W",$C593="1/2L"),$P593-$O593,IF($C593="X",0,-$O593)),2),0)</f>
        <v>0</v>
      </c>
      <c r="AG593" s="133">
        <f>IF($K593=AG$3,ROUND(IF(OR($C593="W",$C593="1/2W",$C593="1/2L"),$P593-$O593,IF($C593="X",0,-$O593)),2),0)</f>
        <v>0</v>
      </c>
      <c r="AH593" s="133">
        <f>IF($K593=AH$3,ROUND(IF(OR($C593="W",$C593="1/2W",$C593="1/2L"),$P593-$O593,IF($C593="X",0,-$O593)),2),0)</f>
        <v>0</v>
      </c>
      <c r="AI593" s="133">
        <f>IF($K593=AI$3,ROUND(IF(OR($C593="W",$C593="1/2W",$C593="1/2L"),$P593-$O593,IF($C593="X",0,-$O593)),2),0)</f>
        <v>0</v>
      </c>
      <c r="AJ593" s="133">
        <f>IF($K593=AJ$3,ROUND(IF(OR($C593="W",$C593="1/2W",$C593="1/2L"),$P593-$O593,IF($C593="X",0,-$O593)),2),0)</f>
        <v>-8.6</v>
      </c>
      <c r="AK593" s="133">
        <f>IF($K593=AK$3,ROUND(IF(OR($C593="W",$C593="1/2W",$C593="1/2L"),$P593-$O593,IF($C593="X",0,-$O593)),2),0)</f>
        <v>0</v>
      </c>
      <c r="AL593" s="133">
        <f>IF($K593=AL$3,ROUND(IF(OR($C593="W",$C593="1/2W",$C593="1/2L"),$P593-$O593,IF($C593="X",0,-$O593)),2),0)</f>
        <v>0</v>
      </c>
      <c r="AM593" s="133">
        <f>IF($K593=AM$3,ROUND(IF(OR($C593="W",$C593="1/2W",$C593="1/2L"),$P593-$O593,IF($C593="X",0,-$O593)),2),0)</f>
        <v>0</v>
      </c>
      <c r="AN593" s="133">
        <f>IF($K593=AN$3,ROUND(IF(OR($C593="W",$C593="1/2W",$C593="1/2L"),$P593-$O593,IF($C593="X",0,-$O593)),2),0)</f>
        <v>0</v>
      </c>
      <c r="AO593" s="133">
        <f>IF($K593=AO$3,ROUND(IF(OR($C593="W",$C593="1/2W",$C593="1/2L"),$P593-$O593,IF($C593="X",0,-$O593)),2),0)</f>
        <v>0</v>
      </c>
      <c r="AP593" s="133">
        <f>IF($K593=AP$3,ROUND(IF(OR($C593="W",$C593="1/2W",$C593="1/2L"),$P593-$O593,IF($C593="X",0,-$O593)),2),0)</f>
        <v>0</v>
      </c>
      <c r="AQ593" s="133">
        <f>IF($K593=AQ$3,ROUND(IF(OR($C593="W",$C593="1/2W",$C593="1/2L"),$P593-$O593,IF($C593="X",0,-$O593)),2),0)</f>
        <v>0</v>
      </c>
      <c r="AR593" s="134">
        <f>IF($K593=AR$3,ROUND(IF(OR($C593="W",$C593="1/2W",$C593="1/2L"),$P593-$O593,IF($C593="X",0,-$O593)),2),0)</f>
        <v>0</v>
      </c>
      <c r="AS593" s="132">
        <f>IF(AND($B592=" ",$K593=AS$3),$O593,0)</f>
        <v>0</v>
      </c>
      <c r="AT593" s="133">
        <f>IF(AND($B592=" ",K593=AT$3),$O593,0)</f>
        <v>0</v>
      </c>
      <c r="AU593" s="133">
        <f>IF(AND($B592=" ",$K593=AU$3),$O593,0)</f>
        <v>0</v>
      </c>
      <c r="AV593" s="133">
        <f>IF(AND($B592=" ",$K593=AV$3),$O593,0)</f>
        <v>0</v>
      </c>
      <c r="AW593" s="133">
        <f>IF(AND($B592=" ",$K593=AW$3),$O593,0)</f>
        <v>0</v>
      </c>
      <c r="AX593" s="133">
        <f>IF(AND($B592=" ",$K593=AX$3),$O593,0)</f>
        <v>0</v>
      </c>
      <c r="AY593" s="135">
        <f>IF(AND($B592=" ",$K593=AY$3),$O593,0)</f>
        <v>0</v>
      </c>
      <c r="AZ593" s="136">
        <f>IF(AND($B592=" ",$K593=AZ$3),$O593,0)</f>
        <v>0</v>
      </c>
      <c r="BA593" s="136">
        <f>IF(AND($B592=" ",$K593=BA$3),$O593,0)</f>
        <v>0</v>
      </c>
      <c r="BB593" s="136">
        <f>IF(AND($B592=" ",$K593=BB$3),$O593,0)</f>
        <v>0</v>
      </c>
      <c r="BC593" s="137">
        <f>IF(AND($B592=" ",$K593=BC$3),$O593,0)</f>
        <v>0</v>
      </c>
      <c r="BD593" s="133">
        <f>IF(AND($B592=" ",$K593=BD$3),$O593,0)</f>
        <v>0</v>
      </c>
      <c r="BE593" s="134">
        <f>IF(AND($B592=" ",$K593=BE$3),$O593,0)</f>
        <v>0</v>
      </c>
      <c r="BF593" s="132">
        <f>IF($K593=BF$3,IF($C593="X",0,$O593),0)</f>
        <v>0</v>
      </c>
      <c r="BG593" s="281">
        <f>IF($K593=BG$3,IF($C593="X",0,$O593),0)</f>
        <v>0</v>
      </c>
      <c r="BH593" s="133">
        <f>IF($K593=BH$3,IF($C593="X",0,$O593),0)</f>
        <v>0</v>
      </c>
      <c r="BI593" s="133">
        <f>IF($K593=BI$3,IF($C593="X",0,$O593),0)</f>
        <v>0</v>
      </c>
      <c r="BJ593" s="133">
        <f>IF($K593=BJ$3,IF($C593="X",0,$O593),0)</f>
        <v>8.6</v>
      </c>
      <c r="BK593" s="133">
        <f>IF($K593=BK$3,IF($C593="X",0,$O593),0)</f>
        <v>0</v>
      </c>
      <c r="BL593" s="133">
        <f>IF($K593=BL$3,IF($C593="X",0,$O593),0)</f>
        <v>0</v>
      </c>
      <c r="BM593" s="135">
        <f>IF($K593=BM$3,IF($C593="X",0,$O593),0)</f>
        <v>0</v>
      </c>
      <c r="BN593" s="136">
        <f>IF($K593=BN$3,IF($C593="X",0,$O593),0)</f>
        <v>0</v>
      </c>
      <c r="BO593" s="136">
        <f>IF($K593=BO$3,IF($C593="X",0,$O593),0)</f>
        <v>0</v>
      </c>
      <c r="BP593" s="136">
        <f>IF($K593=BP$3,IF($C593="X",0,$O593),0)</f>
        <v>0</v>
      </c>
      <c r="BQ593" s="137">
        <f>IF($K593=BQ$3,IF($C593="X",0,$O593),0)</f>
        <v>0</v>
      </c>
      <c r="BR593" s="134">
        <f>IF($K593=BR$3,IF($C593="X",0,$O593),0)</f>
        <v>0</v>
      </c>
      <c r="BS593" s="282"/>
      <c r="BT593" s="283"/>
      <c r="BU593" s="140"/>
      <c r="BV593" s="283"/>
      <c r="BW593" s="140"/>
      <c r="BX593" s="140"/>
      <c r="BY593" s="140"/>
      <c r="BZ593" s="283"/>
      <c r="CA593" s="140"/>
      <c r="CB593" s="140"/>
      <c r="CC593" s="140"/>
      <c r="CD593" s="141"/>
      <c r="CE593" s="142"/>
      <c r="CF593" s="284">
        <f>IF(CF$3=$K593,IF($C593="W",1,IF($C593="1/2W",0.5,0)),0)</f>
        <v>0</v>
      </c>
      <c r="CG593" s="285">
        <f>IF(CF$3=$K593,IF($C593="L",1,IF($C593="1/2L",0.5,0)),0)</f>
        <v>0</v>
      </c>
      <c r="CH593" s="285">
        <f>IF(CH$3=$K593,IF($C593="W",1,IF($C593="1/2W",0.5,0)),0)</f>
        <v>0</v>
      </c>
      <c r="CI593" s="285">
        <f>IF(CH$3=$K593,IF($C593="L",1,IF($C593="1/2L",0.5,0)),0)</f>
        <v>0</v>
      </c>
      <c r="CJ593" s="285">
        <f>IF(CJ$3=$K593,IF($C593="W",1,IF($C593="1/2W",0.5,0)),0)</f>
        <v>0</v>
      </c>
      <c r="CK593" s="285">
        <f>IF(CJ$3=$K593,IF($C593="L",1,IF($C593="1/2L",0.5,0)),0)</f>
        <v>0</v>
      </c>
      <c r="CL593" s="285">
        <f>IF(CL$3=$K593,IF($C593="W",1,IF($C593="1/2W",0.5,0)),0)</f>
        <v>0</v>
      </c>
      <c r="CM593" s="285">
        <f>IF(CL$3=$K593,IF($C593="L",1,IF($C593="1/2L",0.5,0)),0)</f>
        <v>0</v>
      </c>
      <c r="CN593" s="285">
        <f>IF(CN$3=$K593,IF($C593="W",1,IF($C593="1/2W",0.5,0)),0)</f>
        <v>0</v>
      </c>
      <c r="CO593" s="285">
        <f>IF(CN$3=$K593,IF($C593="L",1,IF($C593="1/2L",0.5,0)),0)</f>
        <v>1</v>
      </c>
      <c r="CP593" s="285">
        <f>IF(CP$3=$K593,IF($C593="W",1,IF($C593="1/2W",0.5,0)),0)</f>
        <v>0</v>
      </c>
      <c r="CQ593" s="285">
        <f>IF(CP$3=$K593,IF($C593="L",1,IF($C593="1/2L",0.5,0)),0)</f>
        <v>0</v>
      </c>
      <c r="CR593" s="285">
        <f>IF(CR$3=$K593,IF($C593="W",1,IF($C593="1/2W",0.5,0)),0)</f>
        <v>0</v>
      </c>
      <c r="CS593" s="285">
        <f>IF(CR$3=$K593,IF($C593="L",1,IF($C593="1/2L",0.5,0)),0)</f>
        <v>0</v>
      </c>
      <c r="CT593" s="145">
        <f>IF(CT$3=$K593,IF($C593="W",1,IF($C593="1/2W",0.5,0)),0)</f>
        <v>0</v>
      </c>
      <c r="CU593" s="146">
        <f>IF(CT$3=$K593,IF($C593="L",1,IF($C593="1/2L",0.5,0)),0)</f>
        <v>0</v>
      </c>
      <c r="CV593" s="146">
        <f>IF(CV$3=$K593,IF($C593="W",1,IF($C593="1/2W",0.5,0)),0)</f>
        <v>0</v>
      </c>
      <c r="CW593" s="146">
        <f>IF(CV$3=$K593,IF($C593="L",1,IF($C593="1/2L",0.5,0)),0)</f>
        <v>0</v>
      </c>
      <c r="CX593" s="146">
        <f>IF(CX$3=$K593,IF($C593="W",1,IF($C593="1/2W",0.5,0)),0)</f>
        <v>0</v>
      </c>
      <c r="CY593" s="146">
        <f>IF(CX$3=$K593,IF($C593="L",1,IF($C593="1/2L",0.5,0)),0)</f>
        <v>0</v>
      </c>
      <c r="CZ593" s="146">
        <f>IF(CZ$3=$K593,IF($C593="W",1,IF($C593="1/2W",0.5,0)),0)</f>
        <v>0</v>
      </c>
      <c r="DA593" s="146">
        <f>IF(CZ$3=$K593,IF($C593="L",1,IF($C593="1/2L",0.5,0)),0)</f>
        <v>0</v>
      </c>
      <c r="DB593" s="146">
        <f>IF(DB$3=$K593,IF($C593="W",1,IF($C593="1/2W",0.5,0)),0)</f>
        <v>0</v>
      </c>
      <c r="DC593" s="146">
        <f>IF(DB$3=$K593,IF($C593="L",1,IF($C593="1/2L",0.5,0)),0)</f>
        <v>0</v>
      </c>
      <c r="DD593" s="146">
        <f>IF(DD$3=$K593,IF($C593="W",1,IF($C593="1/2W",0.5,0)),0)</f>
        <v>0</v>
      </c>
      <c r="DE593" s="147">
        <f>IF(DD$3=$K593,IF($C593="L",1,IF($C593="1/2L",0.5,0)),0)</f>
        <v>0</v>
      </c>
      <c r="DF593" s="143">
        <f>IF(AND(L593&lt;DF$3,$C593="W"),1+DF592,DF592)</f>
        <v>17</v>
      </c>
      <c r="DG593" s="133">
        <f>IF(DF593&gt;DF592,L593+DG592,DG592)</f>
        <v>22.628</v>
      </c>
      <c r="DH593" s="146">
        <f>IF(AND(L593&gt;DH$3,$C593="W"),1+DH592,0+DH592)</f>
        <v>16</v>
      </c>
      <c r="DI593" s="133">
        <f>IF(DH593&gt;DH592,L593+DI592,DI592)</f>
        <v>85.45999999999999</v>
      </c>
      <c r="DJ593" t="s" s="304">
        <f>IF($D592="","",$D592)</f>
        <v>431</v>
      </c>
      <c r="DK593" s="286"/>
    </row>
    <row r="594" ht="14.55" customHeight="1">
      <c r="A594" s="149"/>
      <c r="B594" s="150"/>
      <c r="C594" t="s" s="151">
        <v>56</v>
      </c>
      <c r="D594" s="152"/>
      <c r="E594" s="153"/>
      <c r="F594" s="155"/>
      <c r="G594" s="252"/>
      <c r="H594" s="156"/>
      <c r="I594" t="s" s="347">
        <v>54</v>
      </c>
      <c r="J594" s="348">
        <v>5</v>
      </c>
      <c r="K594" t="s" s="341">
        <v>37</v>
      </c>
      <c r="L594" s="342">
        <v>1.9</v>
      </c>
      <c r="M594" s="290">
        <v>19.44</v>
      </c>
      <c r="N594" s="161"/>
      <c r="O594" s="343">
        <f>IF(OR(AE592="",AE593=""),"",IF(L594&gt;0,ROUND(IF(M594&gt;0,M594,IF(M592&gt;0,ROUND((M592*AE594)/AE592,IF(N592=0,2,IF(N592=0.1,1,0))),IF(M593&gt;0,ROUND((M593*AE594)/AE593,IF(N592=0,2,IF(N592=0.1,1,0))),IF(M594&gt;0,M594,0)))),2),""))</f>
        <v>19.44</v>
      </c>
      <c r="P594" s="297">
        <f>IF(I593="Lay",O593*(L593/(L593-1))-O593,IF(I592="Lay",O592*(L592/(L592-1))-O592,IF(OR(L594="",O594=""),"",IF($C594="1/2W",O594/2+O594/2*L594,IF($C594="1/2L",O594/2,(O594*L594-O594)*(1-_xlfn.XLOOKUP(K594,'Janeiro 2023 - Valor Real'!A3:A15,'Janeiro 2023 - Valor Real'!C3:C15,0))+O594)))))</f>
        <v>36.936</v>
      </c>
      <c r="Q594" s="344">
        <f>IF(K594="","",IF(_xlfn.XLOOKUP(K594,K$121:K373,DJ$121:DJ373,0,,-1)=DJ594,_xlfn.XLOOKUP(K594,K$121:K373,Q$121:Q373,1,,-1)+1,1))</f>
        <v>1</v>
      </c>
      <c r="R594" s="345">
        <f>IF(K594="","",_xlfn.XLOOKUP(K594,K$121:K373,R$121:R373,0,,-1)+IF($C594=" ",1,0))</f>
        <v>0</v>
      </c>
      <c r="S594" s="166"/>
      <c r="T594" s="155"/>
      <c r="U594" s="155"/>
      <c r="V594" s="166"/>
      <c r="W594" s="155"/>
      <c r="X594" s="167"/>
      <c r="Y594" s="128"/>
      <c r="Z594" s="129"/>
      <c r="AA594" s="129"/>
      <c r="AB594" s="129"/>
      <c r="AC594" s="129"/>
      <c r="AD594" s="168"/>
      <c r="AE594" s="346">
        <f>IF(L594="","",(SUM(((L592-1)*(1-_xlfn.XLOOKUP(K592,'Janeiro 2023 - Valor Real'!A3:A15,'Janeiro 2023 - Valor Real'!C3:C15,0))+1),((L593-1)*(1-_xlfn.XLOOKUP(K593,'Janeiro 2023 - Valor Real'!A3:A15,'Janeiro 2023 - Valor Real'!C3:C15,0))+1),((L594-1)*(1-_xlfn.XLOOKUP(K594,'Janeiro 2023 - Valor Real'!A3:A15,'Janeiro 2023 - Valor Real'!C3:C15,0))+1))/((L594-1)*(1-_xlfn.XLOOKUP(K594,'Janeiro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Real'!C3:C15,0))+1))/((L592-1)*(1-_xlfn.XLOOKUP(K592,'Janeiro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Real'!C3:C15,0))+1))/((L593-1)*(1-_xlfn.XLOOKUP(K593,'Janeiro 2023 - Valor Real'!A3:A15,'Janeiro 2023 - Valor Real'!C3:C15,0))+1)+SUM(((L592-1)*(1-_xlfn.XLOOKUP(K592,'Janeiro 2023 - Valor Real'!A3:A15,'Janeiro 2023 - Valor Real'!C3:C15,0))+1),((L593-1)*(1-_xlfn.XLOOKUP(K593,'Janeiro 2023 - Valor Real'!A3:A15,'Janeiro 2023 - Valor Real'!C3:C15,0))+1),((L594-1)*(1-_xlfn.XLOOKUP(K594,'Janeiro 2023 - Valor Real'!A3:A15,'Janeiro 2023 - Valor Real'!C3:C15,0))+1))/((L594-1)*(1-_xlfn.XLOOKUP(K594,'Janeiro 2023 - Valor Real'!A3:A15,'Janeiro 2023 - Valor Real'!C3:C15,0))+1)))</f>
        <v>0.381347291142682</v>
      </c>
      <c r="AF594" s="132">
        <f>IF($K594=AF$3,ROUND(IF(OR($C594="W",$C594="1/2W",$C594="1/2L"),$P594-$O594,IF($C594="X",0,-$O594)),2),0)</f>
        <v>17.5</v>
      </c>
      <c r="AG594" s="133">
        <f>IF($K594=AG$3,ROUND(IF(OR($C594="W",$C594="1/2W",$C594="1/2L"),$P594-$O594,IF($C594="X",0,-$O594)),2),0)</f>
        <v>0</v>
      </c>
      <c r="AH594" s="133">
        <f>IF($K594=AH$3,ROUND(IF(OR($C594="W",$C594="1/2W",$C594="1/2L"),$P594-$O594,IF($C594="X",0,-$O594)),2),0)</f>
        <v>0</v>
      </c>
      <c r="AI594" s="133">
        <f>IF($K594=AI$3,ROUND(IF(OR($C594="W",$C594="1/2W",$C594="1/2L"),$P594-$O594,IF($C594="X",0,-$O594)),2),0)</f>
        <v>0</v>
      </c>
      <c r="AJ594" s="133">
        <f>IF($K594=AJ$3,ROUND(IF(OR($C594="W",$C594="1/2W",$C594="1/2L"),$P594-$O594,IF($C594="X",0,-$O594)),2),0)</f>
        <v>0</v>
      </c>
      <c r="AK594" s="133">
        <f>IF($K594=AK$3,ROUND(IF(OR($C594="W",$C594="1/2W",$C594="1/2L"),$P594-$O594,IF($C594="X",0,-$O594)),2),0)</f>
        <v>0</v>
      </c>
      <c r="AL594" s="133">
        <f>IF($K594=AL$3,ROUND(IF(OR($C594="W",$C594="1/2W",$C594="1/2L"),$P594-$O594,IF($C594="X",0,-$O594)),2),0)</f>
        <v>0</v>
      </c>
      <c r="AM594" s="133">
        <f>IF($K594=AM$3,ROUND(IF(OR($C594="W",$C594="1/2W",$C594="1/2L"),$P594-$O594,IF($C594="X",0,-$O594)),2),0)</f>
        <v>0</v>
      </c>
      <c r="AN594" s="133">
        <f>IF($K594=AN$3,ROUND(IF(OR($C594="W",$C594="1/2W",$C594="1/2L"),$P594-$O594,IF($C594="X",0,-$O594)),2),0)</f>
        <v>0</v>
      </c>
      <c r="AO594" s="133">
        <f>IF($K594=AO$3,ROUND(IF(OR($C594="W",$C594="1/2W",$C594="1/2L"),$P594-$O594,IF($C594="X",0,-$O594)),2),0)</f>
        <v>0</v>
      </c>
      <c r="AP594" s="133">
        <f>IF($K594=AP$3,ROUND(IF(OR($C594="W",$C594="1/2W",$C594="1/2L"),$P594-$O594,IF($C594="X",0,-$O594)),2),0)</f>
        <v>0</v>
      </c>
      <c r="AQ594" s="133">
        <f>IF($K594=AQ$3,ROUND(IF(OR($C594="W",$C594="1/2W",$C594="1/2L"),$P594-$O594,IF($C594="X",0,-$O594)),2),0)</f>
        <v>0</v>
      </c>
      <c r="AR594" s="134">
        <f>IF($K594=AR$3,ROUND(IF(OR($C594="W",$C594="1/2W",$C594="1/2L"),$P594-$O594,IF($C594="X",0,-$O594)),2),0)</f>
        <v>0</v>
      </c>
      <c r="AS594" s="132">
        <f>IF(AND($B592=" ",$K594=AS$3),$O594,0)</f>
        <v>0</v>
      </c>
      <c r="AT594" s="133">
        <f>IF(AND($B592=" ",K594=AT$3),$O594,0)</f>
        <v>0</v>
      </c>
      <c r="AU594" s="133">
        <f>IF(AND($B592=" ",$K594=AU$3),$O594,0)</f>
        <v>0</v>
      </c>
      <c r="AV594" s="133">
        <f>IF(AND($B592=" ",$K594=AV$3),$O594,0)</f>
        <v>0</v>
      </c>
      <c r="AW594" s="133">
        <f>IF(AND($B592=" ",$K594=AW$3),$O594,0)</f>
        <v>0</v>
      </c>
      <c r="AX594" s="133">
        <f>IF(AND($B592=" ",$K594=AX$3),$O594,0)</f>
        <v>0</v>
      </c>
      <c r="AY594" s="135">
        <f>IF(AND($B592=" ",$K594=AY$3),$O594,0)</f>
        <v>0</v>
      </c>
      <c r="AZ594" s="136">
        <f>IF(AND($B592=" ",$K594=AZ$3),$O594,0)</f>
        <v>0</v>
      </c>
      <c r="BA594" s="136">
        <f>IF(AND($B592=" ",$K594=BA$3),$O594,0)</f>
        <v>0</v>
      </c>
      <c r="BB594" s="136">
        <f>IF(AND($B592=" ",$K594=BB$3),$O594,0)</f>
        <v>0</v>
      </c>
      <c r="BC594" s="137">
        <f>IF(AND($B592=" ",$K594=BC$3),$O594,0)</f>
        <v>0</v>
      </c>
      <c r="BD594" s="133">
        <f>IF(AND($B592=" ",$K594=BD$3),$O594,0)</f>
        <v>0</v>
      </c>
      <c r="BE594" s="134">
        <f>IF(AND($B592=" ",$K594=BE$3),$O594,0)</f>
        <v>0</v>
      </c>
      <c r="BF594" s="132">
        <f>IF($K594=BF$3,IF($C594="X",0,$O594),0)</f>
        <v>19.44</v>
      </c>
      <c r="BG594" s="281">
        <f>IF($K594=BG$3,IF($C594="X",0,$O594),0)</f>
        <v>0</v>
      </c>
      <c r="BH594" s="133">
        <f>IF($K594=BH$3,IF($C594="X",0,$O594),0)</f>
        <v>0</v>
      </c>
      <c r="BI594" s="133">
        <f>IF($K594=BI$3,IF($C594="X",0,$O594),0)</f>
        <v>0</v>
      </c>
      <c r="BJ594" s="133">
        <f>IF($K594=BJ$3,IF($C594="X",0,$O594),0)</f>
        <v>0</v>
      </c>
      <c r="BK594" s="133">
        <f>IF($K594=BK$3,IF($C594="X",0,$O594),0)</f>
        <v>0</v>
      </c>
      <c r="BL594" s="133">
        <f>IF($K594=BL$3,IF($C594="X",0,$O594),0)</f>
        <v>0</v>
      </c>
      <c r="BM594" s="135">
        <f>IF($K594=BM$3,IF($C594="X",0,$O594),0)</f>
        <v>0</v>
      </c>
      <c r="BN594" s="136">
        <f>IF($K594=BN$3,IF($C594="X",0,$O594),0)</f>
        <v>0</v>
      </c>
      <c r="BO594" s="136">
        <f>IF($K594=BO$3,IF($C594="X",0,$O594),0)</f>
        <v>0</v>
      </c>
      <c r="BP594" s="136">
        <f>IF($K594=BP$3,IF($C594="X",0,$O594),0)</f>
        <v>0</v>
      </c>
      <c r="BQ594" s="137">
        <f>IF($K594=BQ$3,IF($C594="X",0,$O594),0)</f>
        <v>0</v>
      </c>
      <c r="BR594" s="134">
        <f>IF($K594=BR$3,IF($C594="X",0,$O594),0)</f>
        <v>0</v>
      </c>
      <c r="BS594" s="282"/>
      <c r="BT594" s="283"/>
      <c r="BU594" s="140"/>
      <c r="BV594" s="283"/>
      <c r="BW594" s="140"/>
      <c r="BX594" s="140"/>
      <c r="BY594" s="140"/>
      <c r="BZ594" s="283"/>
      <c r="CA594" s="140"/>
      <c r="CB594" s="140"/>
      <c r="CC594" s="140"/>
      <c r="CD594" s="141"/>
      <c r="CE594" s="142"/>
      <c r="CF594" s="284">
        <f>IF(CF$3=$K594,IF($C594="W",1,IF($C594="1/2W",0.5,0)),0)</f>
        <v>1</v>
      </c>
      <c r="CG594" s="285">
        <f>IF(CF$3=$K594,IF($C594="L",1,IF($C594="1/2L",0.5,0)),0)</f>
        <v>0</v>
      </c>
      <c r="CH594" s="285">
        <f>IF(CH$3=$K594,IF($C594="W",1,IF($C594="1/2W",0.5,0)),0)</f>
        <v>0</v>
      </c>
      <c r="CI594" s="285">
        <f>IF(CH$3=$K594,IF($C594="L",1,IF($C594="1/2L",0.5,0)),0)</f>
        <v>0</v>
      </c>
      <c r="CJ594" s="285">
        <f>IF(CJ$3=$K594,IF($C594="W",1,IF($C594="1/2W",0.5,0)),0)</f>
        <v>0</v>
      </c>
      <c r="CK594" s="285">
        <f>IF(CJ$3=$K594,IF($C594="L",1,IF($C594="1/2L",0.5,0)),0)</f>
        <v>0</v>
      </c>
      <c r="CL594" s="285">
        <f>IF(CL$3=$K594,IF($C594="W",1,IF($C594="1/2W",0.5,0)),0)</f>
        <v>0</v>
      </c>
      <c r="CM594" s="285">
        <f>IF(CL$3=$K594,IF($C594="L",1,IF($C594="1/2L",0.5,0)),0)</f>
        <v>0</v>
      </c>
      <c r="CN594" s="285">
        <f>IF(CN$3=$K594,IF($C594="W",1,IF($C594="1/2W",0.5,0)),0)</f>
        <v>0</v>
      </c>
      <c r="CO594" s="285">
        <f>IF(CN$3=$K594,IF($C594="L",1,IF($C594="1/2L",0.5,0)),0)</f>
        <v>0</v>
      </c>
      <c r="CP594" s="285">
        <f>IF(CP$3=$K594,IF($C594="W",1,IF($C594="1/2W",0.5,0)),0)</f>
        <v>0</v>
      </c>
      <c r="CQ594" s="285">
        <f>IF(CP$3=$K594,IF($C594="L",1,IF($C594="1/2L",0.5,0)),0)</f>
        <v>0</v>
      </c>
      <c r="CR594" s="285">
        <f>IF(CR$3=$K594,IF($C594="W",1,IF($C594="1/2W",0.5,0)),0)</f>
        <v>0</v>
      </c>
      <c r="CS594" s="285">
        <f>IF(CR$3=$K594,IF($C594="L",1,IF($C594="1/2L",0.5,0)),0)</f>
        <v>0</v>
      </c>
      <c r="CT594" s="145">
        <f>IF(CT$3=$K594,IF($C594="W",1,IF($C594="1/2W",0.5,0)),0)</f>
        <v>0</v>
      </c>
      <c r="CU594" s="146">
        <f>IF(CT$3=$K594,IF($C594="L",1,IF($C594="1/2L",0.5,0)),0)</f>
        <v>0</v>
      </c>
      <c r="CV594" s="146">
        <f>IF(CV$3=$K594,IF($C594="W",1,IF($C594="1/2W",0.5,0)),0)</f>
        <v>0</v>
      </c>
      <c r="CW594" s="146">
        <f>IF(CV$3=$K594,IF($C594="L",1,IF($C594="1/2L",0.5,0)),0)</f>
        <v>0</v>
      </c>
      <c r="CX594" s="146">
        <f>IF(CX$3=$K594,IF($C594="W",1,IF($C594="1/2W",0.5,0)),0)</f>
        <v>0</v>
      </c>
      <c r="CY594" s="146">
        <f>IF(CX$3=$K594,IF($C594="L",1,IF($C594="1/2L",0.5,0)),0)</f>
        <v>0</v>
      </c>
      <c r="CZ594" s="146">
        <f>IF(CZ$3=$K594,IF($C594="W",1,IF($C594="1/2W",0.5,0)),0)</f>
        <v>0</v>
      </c>
      <c r="DA594" s="146">
        <f>IF(CZ$3=$K594,IF($C594="L",1,IF($C594="1/2L",0.5,0)),0)</f>
        <v>0</v>
      </c>
      <c r="DB594" s="146">
        <f>IF(DB$3=$K594,IF($C594="W",1,IF($C594="1/2W",0.5,0)),0)</f>
        <v>0</v>
      </c>
      <c r="DC594" s="146">
        <f>IF(DB$3=$K594,IF($C594="L",1,IF($C594="1/2L",0.5,0)),0)</f>
        <v>0</v>
      </c>
      <c r="DD594" s="146">
        <f>IF(DD$3=$K594,IF($C594="W",1,IF($C594="1/2W",0.5,0)),0)</f>
        <v>0</v>
      </c>
      <c r="DE594" s="147">
        <f>IF(DD$3=$K594,IF($C594="L",1,IF($C594="1/2L",0.5,0)),0)</f>
        <v>0</v>
      </c>
      <c r="DF594" s="143">
        <f>IF(AND(L594&lt;DF$3,$C594="W"),1+DF593,DF593)</f>
        <v>17</v>
      </c>
      <c r="DG594" s="133">
        <f>IF(DF594&gt;DF593,L594+DG593,DG593)</f>
        <v>22.628</v>
      </c>
      <c r="DH594" s="146">
        <f>IF(AND(L594&gt;DH$3,$C594="W"),1+DH593,0+DH593)</f>
        <v>16</v>
      </c>
      <c r="DI594" s="133">
        <f>IF(DH594&gt;DH593,L594+DI593,DI593)</f>
        <v>85.45999999999999</v>
      </c>
      <c r="DJ594" t="s" s="304">
        <f>IF($D592="","",$D592)</f>
        <v>431</v>
      </c>
      <c r="DK594" s="286"/>
    </row>
    <row r="595" ht="14.55" customHeight="1">
      <c r="A595" s="171">
        <f>$A592+1</f>
        <v>198</v>
      </c>
      <c r="B595" t="s" s="172">
        <f>IF(AND(_xlfn.XLOOKUP(H595,H$122:H368,G$122:G368,0)=G595,_xlfn.XLOOKUP("TempoBet",K595:K597,L595:L597,0)&gt;0),"X",IF(OR(C595="W",C596="W",C597="W",C595="1/2W",C596="1/2W",C597="1/2W",C595="1/2L",C596="1/2L",C597="1/2L"),"OK",IF(OR(C595="L",C596="L",C597="L"),"LOSS",IF(OR(C595="X",C596="X",C597="X"),"Anulado"," "))))</f>
        <v>50</v>
      </c>
      <c r="C595" t="s" s="173">
        <v>51</v>
      </c>
      <c r="D595" t="s" s="305">
        <f>IF(G595="","",$D592)</f>
        <v>431</v>
      </c>
      <c r="E595" t="s" s="175">
        <f>IF(G595=""," ","– "&amp;COUNTIF(D$4:D597,$D595))</f>
        <v>121</v>
      </c>
      <c r="F595" t="s" s="176">
        <f>IF(G595="","",IF(OR(AND($C595&lt;&gt;" ",$C596=" "),AND($C596&lt;&gt;" ",$C595=" "),AND(L597&gt;0,OR(AND($C597&lt;&gt;" ",OR($C595=" ",$C596=" ")),AND($C597=" ",OR($C595&lt;&gt;" ",$C596&lt;&gt;" "))))),IF(SUM(F$4:F594)=0,1,LARGE(F$4:F594,1)+1),IF(MONTH(G595)=MONTH(TODAY()),IF(AND(DAY(G595)&lt;DAY(TODAY()),$B595=" "),IF(SUM(F$4:F594)=0,1,LARGE(F$4:F594,1)+1),IF($B595=" ",IF(AND(DAY(G595)=DAY(TODAY()),HOUR(G595)&lt;=HOUR(NOW())+1),IF(AND(HOUR(G595)+2&lt;=HOUR(NOW()),DAY(G595)&lt;=DAY(TODAY()),MINUTE(G595)&lt;=MINUTE(NOW())),IF(SUM(F$4:F594)=0,1,LARGE(F$4:F594,1)+1),IF(OR(MINUTE(G595)&lt;=MINUTE(NOW()),HOUR(G595)&lt;=HOUR(NOW())),"!!!","")),""),"")),"")))</f>
      </c>
      <c r="G595" s="177">
        <v>44953.666666666664</v>
      </c>
      <c r="H595" t="s" s="178">
        <v>442</v>
      </c>
      <c r="I595" s="298">
        <v>2</v>
      </c>
      <c r="J595" s="180"/>
      <c r="K595" t="s" s="181">
        <v>41</v>
      </c>
      <c r="L595" s="182">
        <v>7.2</v>
      </c>
      <c r="M595" s="183">
        <v>1.76</v>
      </c>
      <c r="N595" s="184">
        <v>0</v>
      </c>
      <c r="O595" s="185">
        <f>IF(OR(AE595="",AE596=""),"",ROUND(IF(L597&gt;0,IF(M595&gt;0,M595,IF(M596&gt;0,ROUND((M596*AE595)/AE596,IF(N595=0,2,IF(N595=0.1,1,0))),ROUND((M597*AE595)/AE597,IF(N595=0,2,IF(N595=0.1,1,0))))),IF(M595&gt;0,M595,ROUND((M596*AE595)/AE596,IF(N595=0,2,IF(N595=0.1,1,0))))),2))</f>
        <v>1.76</v>
      </c>
      <c r="P595" s="186">
        <f>IF(OR(L595="",O595=""),"",IF($C595="1/2W",O595/2+O595/2*L595,IF($C595="1/2L",O595/2,IF(I595="Lay",(O595*(L595/(L595-1))-O595)*(1-_xlfn.XLOOKUP(K595,'Janeiro 2023 - Valor Real'!A3:A15,'Janeiro 2023 - Valor Real'!C3:C15,0))+O595,(O595*L595-O595)*(1-_xlfn.XLOOKUP(K595,'Janeiro 2023 - Valor Real'!A3:A15,'Janeiro 2023 - Valor Real'!C3:C15,0))+O595))))</f>
        <v>12.672</v>
      </c>
      <c r="Q595" s="187">
        <f>IF(K595="","",IF(_xlfn.XLOOKUP(K595,K$122:K368,DJ$122:DJ368,0,,-1)=DJ595,_xlfn.XLOOKUP(K595,K$122:K368,Q$122:Q368,1,,-1)+1,1))</f>
        <v>1</v>
      </c>
      <c r="R595" s="188">
        <f>IF(K595="","",_xlfn.XLOOKUP(K595,K$122:K368,R$122:R368,0,,-1)+IF($C595=" ",1,0))</f>
        <v>0</v>
      </c>
      <c r="S595" s="189">
        <f>IF($B595="Anulado",0,ROUND(IF(OR($B595="LOSS",$B595="OK"),IF(OR($C595="W",$C595="1/2W",$C595="1/2L"),P595-O595,IF($C595="L",-O595,0))+IF(OR($C596="W",$C596="1/2W",$C596="1/2L"),P596-O596,IF($C596="L",-O596,0))+IF(OR($C597="W",$C597="1/2W",$C597="1/2L"),P597-O597,IF($C597="L",-O597,0)),IF(AND(OR($C595="W",$C595="1/2W",$C595="1/2L"),C596="W"),P595+P596-SUM(O595:O597)+_xlfn.XLOOKUP("X",C595:C597,O595:O597,0),IF(AND(C595=TRUE,C597="W"),P595+P597-SUM(O595:O597),IF(AND(C596="W",C597="W"),P596+P597-SUM(O595:O597)+_xlfn.XLOOKUP("X",C595:C597,O595:O597,0),IF(L597&gt;0,IF(OR($C595="W",$C595="1/2W",$C595="1/2L"),P595-SUM(O595:O597)+_xlfn.XLOOKUP("X",C595:C597,O595:O597,0),IF(OR($C595="W",$C595="1/2W",$C595="1/2L"),P596-SUM(O595:O597)+_xlfn.XLOOKUP("X",C595:C597,O595:O597,0),IF(OR($C595="W",$C595="1/2W",$C595="1/2L"),P597-SUM(O595:O597)+_xlfn.XLOOKUP("X",C595:C597,O595:O597,0),IF(SUM(P595:P597)/3-SUM(O595:O597)+_xlfn.XLOOKUP("X",C595:C597,O595:O597,0)&gt;0,SUM(P595:P597)/3-SUM(O595:O597)+_xlfn.XLOOKUP("X",C595:C597,O595:O597,0),LARGE(P595:P597,1)-SUM(O595:O597))))),IF(OR($C595="W",$C595="1/2W",$C595="1/2L"),P595-SUM(O595:O596)+_xlfn.XLOOKUP("X",C595:C597,O595:O597,0),IF(OR($C595="W",$C595="1/2W",$C595="1/2L"),P596-SUM(O595:O596)+_xlfn.XLOOKUP("X",C595:C597,O595:O597,0),SUM(P595:P596)/2-SUM(O595:O596)+_xlfn.XLOOKUP("X",C595:C597,O595:O597,0)))))))),2))</f>
        <v>0.61</v>
      </c>
      <c r="T595" s="190">
        <f>IF(S595=0,0,S595/SUM(O595:O597))</f>
        <v>0.0491539081385979</v>
      </c>
      <c r="U595" s="191">
        <f>IF($D595=$D592,IF(OR($B595="LOSS",$B595="OK",$B595="Anulada"),S595,0)+U592,IF(OR($B595="LOSS",$B595="OK",$B595="Anulada"),S595,0))</f>
        <v>11.51</v>
      </c>
      <c r="V595" s="191">
        <f>IF($D595="",0,IF($D595=$D592,IF($B595=" ",IF(I597="",IF(OR(AND(I595="DNB1",I596="DNB2"),AND(OR(I595="DNB1",I595="DNB2"),J596=0),AND(OR(I596="DNB1",I596="DNB2"),J595=0),AND(I595="DNB2",I596="DNB1"),AND(IF(J595=0,(J595+1)/ROUND(J595+1,0),J595/ROUND(J595,0))=1,IF(J596=0,(J596+1)/ROUND(IF(J596="",0,J596)+1,0),IF(J596="",0,J596)/ROUND(IF(J596="",1,J596),0))=1,OR(J595&lt;&gt;""),J596&lt;&gt;"")),0,IF(S595&lt;0,IF(I597="",SMALL(P595:P596,1)-SUM(O595:O596),0),SMALL(P595:P596,1)-SUM(O595:O596))),IF(S595&lt;0,IF(I597="",SMALL(P595:P597,1)-SUM(O595:O597),0),LARGE(P595:P597,1)-SUM(O595:O597))),S595)+V592,IF(I597="",IF(OR(AND(I595="DNB1",I596="DNB2"),AND(OR(I595="DNB1",I595="DNB2"),J596=0),AND(OR(I596="DNB1",I596="DNB2"),J595=0),AND(I595="DNB2",I596="DNB1"),AND(IF(J595=0,(J595+1)/ROUND(J595+1,0),J595/ROUND(J595,0))=1,IF(J596=0,(IF(J596="",0,J596)+1)/ROUND(IF(J596="",0,J596)+1,0),IF(J596="",0,J596)/ROUND(IF(J596="",0,J596)+1,0))=1,OR(J595&lt;&gt;""),J596&lt;&gt;"")),0,IF(S595&lt;0,IF(I597="",SMALL(P595:P596,1)-SUM(O595:O596),0),SMALL(P595:P597,1)-SUM(O595:O597))),IF(S595&lt;0,IF(I597="",SMALL(P595:P597,1)-SUM(O595:O597),0),LARGE(P595:P597,1)-SUM(O595:O597)))))</f>
        <v>11.482</v>
      </c>
      <c r="W595" s="191">
        <f>IF($D595=$D592,IF(S595&lt;0,IF(I597="",S595,0),S595)+W592,S595)</f>
        <v>11.51</v>
      </c>
      <c r="X595" t="s" s="192">
        <f>IF(OR(SUM(R595:R597)=0,V595=W595),ROUND(IF(W595=0,0,W595/Y595)*100,2)&amp;"%",ROUND(IF(V595=0,0,V595/Y595)*100,2)&amp;"% a "&amp;ROUND(IF(W595=0,0,W595/Y595)*100,2)&amp;"%")</f>
        <v>443</v>
      </c>
      <c r="Y595" s="193">
        <f>IF($D595=$D592,Y592+SUM(O595:O597),SUM(O595:O597))</f>
        <v>176.05</v>
      </c>
      <c r="Z595" s="191">
        <f>IF($B595=" ",SUM(O595:O597),0)+Z592</f>
        <v>0</v>
      </c>
      <c r="AA595" s="191">
        <f>IF(G595="","",IF($B595="Anulado",LARGE(P595:P597,1)-SUM(O595:O597)+AA592,AA592))</f>
        <v>24.9665076923077</v>
      </c>
      <c r="AB595" s="191">
        <f>IF($D595="","",AB592+S595)</f>
        <v>399.84</v>
      </c>
      <c r="AC595" s="194">
        <f>IF($D595="","",IF($B595=" ",IF(DAY(G595)=DAY(TODAY()),1+AC592,0+AC592),0+AC592))</f>
        <v>0</v>
      </c>
      <c r="AD595" s="195">
        <f>(((L596/(L596-1)-1)*(1-_xlfn.XLOOKUP(K596,'Janeiro 2023 - Valor Real'!A3:A15,'Janeiro 2023 - Valor Real'!C3:C15,0))+1))/(((L595-1)*(1-_xlfn.XLOOKUP(K595,'Janeiro 2023 - Valor Real'!A3:A15,'Janeiro 2023 - Valor Real'!C3:C15,0))+1)+((L596/(L596-1)-1)*(1-_xlfn.XLOOKUP(K596,'Janeiro 2023 - Valor Real'!A3:A15,'Janeiro 2023 - Valor Real'!C3:C15,0))+1))</f>
        <v>0.141031770176887</v>
      </c>
      <c r="AE595" s="196">
        <f>IF(L595="","",IF(L597&gt;0,(SUM(((L595-1)*(1-_xlfn.XLOOKUP(K595,'Janeiro 2023 - Valor Real'!A3:A15,'Janeiro 2023 - Valor Real'!C3:C15,0))+1),((L596-1)*(1-_xlfn.XLOOKUP(K596,'Janeiro 2023 - Valor Real'!A3:A15,'Janeiro 2023 - Valor Real'!C3:C15,0))+1),((L597-1)*(1-_xlfn.XLOOKUP(K597,'Janeiro 2023 - Valor Real'!A3:A15,'Janeiro 2023 - Valor Real'!C3:C15,0))+1))/((L595-1)*(1-_xlfn.XLOOKUP(K595,'Janeiro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Real'!C3:C15,0))+1))/((L595-1)*(1-_xlfn.XLOOKUP(K595,'Janeiro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Real'!C3:C15,0))+1))/((L596-1)*(1-_xlfn.XLOOKUP(K596,'Janeiro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Real'!C3:C15,0))+1))/((L597-1)*(1-_xlfn.XLOOKUP(K597,'Janeiro 2023 - Valor Real'!A3:A15,'Janeiro 2023 - Valor Real'!C3:C15,0))+1)),IF(I595="Lay",IF(I596="Lay",((L596/(L596-1)-1)*(1-_xlfn.XLOOKUP(K596,'Janeiro 2023 - Valor Real'!A3:A15,'Janeiro 2023 - Valor Real'!C3:C15,0))+1)/(((L596/(L596-1)-1)*(1-_xlfn.XLOOKUP(K596,'Janeiro 2023 - Valor Real'!A3:A15,'Janeiro 2023 - Valor Real'!C3:C15,0))+1)+((L595/(L595-1)-1)*(1-_xlfn.XLOOKUP(K595,'Janeiro 2023 - Valor Real'!A3:A15,'Janeiro 2023 - Valor Real'!C3:C15,0))+1)),((L596-1)*(1-_xlfn.XLOOKUP(K596,'Janeiro 2023 - Valor Real'!A3:A15,'Janeiro 2023 - Valor Real'!C3:C15,0))+1)/(((L596-1)*(1-_xlfn.XLOOKUP(K596,'Janeiro 2023 - Valor Real'!A3:A15,'Janeiro 2023 - Valor Real'!C3:C15,0))+1)+((L595/(L595-1)-1)*(1-_xlfn.XLOOKUP(K595,'Janeiro 2023 - Valor Real'!A3:A15,'Janeiro 2023 - Valor Real'!C3:C15,0))+1))),IF(I596="Lay",(((L596/(L596-1)-1)*(1-_xlfn.XLOOKUP(K596,'Janeiro 2023 - Valor Real'!A3:A15,'Janeiro 2023 - Valor Real'!C3:C15,0))+1))/(((L595-1)*(1-_xlfn.XLOOKUP(K595,'Janeiro 2023 - Valor Real'!A3:A15,'Janeiro 2023 - Valor Real'!C3:C15,0))+1)+((L596/(L596-1)-1)*(1-_xlfn.XLOOKUP(K596,'Janeiro 2023 - Valor Real'!A3:A15,'Janeiro 2023 - Valor Real'!C3:C15,0))+1)),((L596-1)*(1-_xlfn.XLOOKUP(K596,'Janeiro 2023 - Valor Real'!A3:A15,'Janeiro 2023 - Valor Real'!C3:C15,0))+1)/(((L596-1)*(1-_xlfn.XLOOKUP(K596,'Janeiro 2023 - Valor Real'!A3:A15,'Janeiro 2023 - Valor Real'!C3:C15,0))+1)+((L595-1)*(1-_xlfn.XLOOKUP(K595,'Janeiro 2023 - Valor Real'!A3:A15,'Janeiro 2023 - Valor Real'!C3:C15,0))+1))))))</f>
        <v>0.14857277030349</v>
      </c>
      <c r="AF595" s="197">
        <f>IF($K595=AF$3,ROUND(IF(OR($C595="W",$C595="1/2W",$C595="1/2L"),$P595-$O595,IF($C595="X",0,-$O595)),2),0)</f>
        <v>0</v>
      </c>
      <c r="AG595" s="198">
        <f>IF($K595=AG$3,ROUND(IF(OR($C595="W",$C595="1/2W",$C595="1/2L"),$P595-$O595,IF($C595="X",0,-$O595)),2),0)</f>
        <v>0</v>
      </c>
      <c r="AH595" s="198">
        <f>IF($K595=AH$3,ROUND(IF(OR($C595="W",$C595="1/2W",$C595="1/2L"),$P595-$O595,IF($C595="X",0,-$O595)),2),0)</f>
        <v>0</v>
      </c>
      <c r="AI595" s="198">
        <f>IF($K595=AI$3,ROUND(IF(OR($C595="W",$C595="1/2W",$C595="1/2L"),$P595-$O595,IF($C595="X",0,-$O595)),2),0)</f>
        <v>0</v>
      </c>
      <c r="AJ595" s="198">
        <f>IF($K595=AJ$3,ROUND(IF(OR($C595="W",$C595="1/2W",$C595="1/2L"),$P595-$O595,IF($C595="X",0,-$O595)),2),0)</f>
        <v>-1.76</v>
      </c>
      <c r="AK595" s="198">
        <f>IF($K595=AK$3,ROUND(IF(OR($C595="W",$C595="1/2W",$C595="1/2L"),$P595-$O595,IF($C595="X",0,-$O595)),2),0)</f>
        <v>0</v>
      </c>
      <c r="AL595" s="198">
        <f>IF($K595=AL$3,ROUND(IF(OR($C595="W",$C595="1/2W",$C595="1/2L"),$P595-$O595,IF($C595="X",0,-$O595)),2),0)</f>
        <v>0</v>
      </c>
      <c r="AM595" s="198">
        <f>IF($K595=AM$3,ROUND(IF(OR($C595="W",$C595="1/2W",$C595="1/2L"),$P595-$O595,IF($C595="X",0,-$O595)),2),0)</f>
        <v>0</v>
      </c>
      <c r="AN595" s="198">
        <f>IF($K595=AN$3,ROUND(IF(OR($C595="W",$C595="1/2W",$C595="1/2L"),$P595-$O595,IF($C595="X",0,-$O595)),2),0)</f>
        <v>0</v>
      </c>
      <c r="AO595" s="198">
        <f>IF($K595=AO$3,ROUND(IF(OR($C595="W",$C595="1/2W",$C595="1/2L"),$P595-$O595,IF($C595="X",0,-$O595)),2),0)</f>
        <v>0</v>
      </c>
      <c r="AP595" s="198">
        <f>IF($K595=AP$3,ROUND(IF(OR($C595="W",$C595="1/2W",$C595="1/2L"),$P595-$O595,IF($C595="X",0,-$O595)),2),0)</f>
        <v>0</v>
      </c>
      <c r="AQ595" s="198">
        <f>IF($K595=AQ$3,ROUND(IF(OR($C595="W",$C595="1/2W",$C595="1/2L"),$P595-$O595,IF($C595="X",0,-$O595)),2),0)</f>
        <v>0</v>
      </c>
      <c r="AR595" s="199">
        <f>IF($K595=AR$3,ROUND(IF(OR($C595="W",$C595="1/2W",$C595="1/2L"),$P595-$O595,IF($C595="X",0,-$O595)),2),0)</f>
        <v>0</v>
      </c>
      <c r="AS595" s="197">
        <f>IF(AND($B595=" ",$K595=AS$3),$O595,0)</f>
        <v>0</v>
      </c>
      <c r="AT595" s="198">
        <f>IF(AND($B595=" ",$K595=AT$3),$O595,0)</f>
        <v>0</v>
      </c>
      <c r="AU595" s="198">
        <f>IF(AND($B595=" ",$K595=AU$3),$O595,0)</f>
        <v>0</v>
      </c>
      <c r="AV595" s="198">
        <f>IF(AND($B595=" ",$K595=AV$3),$O595,0)</f>
        <v>0</v>
      </c>
      <c r="AW595" s="198">
        <f>IF(AND($B595=" ",$K595=AW$3),$O595,0)</f>
        <v>0</v>
      </c>
      <c r="AX595" s="198">
        <f>IF(AND($B595=" ",$K595=AX$3),$O595,0)</f>
        <v>0</v>
      </c>
      <c r="AY595" s="200">
        <f>IF(AND($B595=" ",$K595=AY$3),$O595,0)</f>
        <v>0</v>
      </c>
      <c r="AZ595" s="201">
        <f>IF(AND($B595=" ",$K595=AZ$3),$O595,0)</f>
        <v>0</v>
      </c>
      <c r="BA595" s="201">
        <f>IF(AND($B595=" ",$K595=BA$3),$O595,0)</f>
        <v>0</v>
      </c>
      <c r="BB595" s="201">
        <f>IF(AND($B595=" ",$K595=BB$3),$O595,0)</f>
        <v>0</v>
      </c>
      <c r="BC595" s="202">
        <f>IF(AND($B595=" ",$K595=BC$3),$O595,0)</f>
        <v>0</v>
      </c>
      <c r="BD595" s="198">
        <f>IF(AND($B595=" ",$K595=BD$3),$O595,0)</f>
        <v>0</v>
      </c>
      <c r="BE595" s="199">
        <f>IF(AND($B595=" ",$K595=BE$3),$O595,0)</f>
        <v>0</v>
      </c>
      <c r="BF595" s="203">
        <f>IF($K595=BF$3,IF($C595="X",0,$O595),0)</f>
        <v>0</v>
      </c>
      <c r="BG595" s="198">
        <f>IF($K595=BG$3,IF($C595="X",0,$O595),0)</f>
        <v>0</v>
      </c>
      <c r="BH595" s="198">
        <f>IF($K595=BH$3,IF($C595="X",0,$O595),0)</f>
        <v>0</v>
      </c>
      <c r="BI595" s="198">
        <f>IF($K595=BI$3,IF($C595="X",0,$O595),0)</f>
        <v>0</v>
      </c>
      <c r="BJ595" s="198">
        <f>IF($K595=BJ$3,IF($C595="X",0,$O595),0)</f>
        <v>1.76</v>
      </c>
      <c r="BK595" s="198">
        <f>IF($K595=BK$3,IF($C595="X",0,$O595),0)</f>
        <v>0</v>
      </c>
      <c r="BL595" s="198">
        <f>IF($K595=BL$3,IF($C595="X",0,$O595),0)</f>
        <v>0</v>
      </c>
      <c r="BM595" s="200">
        <f>IF($K595=BM$3,IF($C595="X",0,$O595),0)</f>
        <v>0</v>
      </c>
      <c r="BN595" s="201">
        <f>IF($K595=BN$3,IF($C595="X",0,$O595),0)</f>
        <v>0</v>
      </c>
      <c r="BO595" s="201">
        <f>IF($K595=BO$3,IF($C595="X",0,$O595),0)</f>
        <v>0</v>
      </c>
      <c r="BP595" s="201">
        <f>IF($K595=BP$3,IF($C595="X",0,$O595),0)</f>
        <v>0</v>
      </c>
      <c r="BQ595" s="202">
        <f>IF($K595=BQ$3,IF($C595="X",0,$O595),0)</f>
        <v>0</v>
      </c>
      <c r="BR595" s="199">
        <f>IF($K595=BR$3,IF($C595="X",0,$O595),0)</f>
        <v>0</v>
      </c>
      <c r="BS595" s="204">
        <f>IF($B595="LOSS",IF(AND($K595=BS$3,$C595="L"),-$O595,0)+IF(AND($K596=BS$3,$C596="L"),-$O596,0)+IF(AND($K597=BS$3,$C597="L"),-$O597,0),IF(OR(AND($K595=BS$3,OR($C595="W",$C595="1/2W")),AND($K596=BS$3,OR($C596="W",$C596="1/2W")),AND($K597=BS$3,OR($C597="W",$C597="1/2W"))),$S595,0))</f>
        <v>0</v>
      </c>
      <c r="BT595" s="201">
        <f>IF($B595="LOSS",IF(AND($K595=BT$3,$C595="L"),-$O595,0)+IF(AND($K596=BT$3,$C596="L"),-$O596,0)+IF(AND($K596=BT$3,$C597="L"),-$O597,0),IF(OR(AND($K596=BT$3,OR($C595="W",$C595="1/2W")),AND($K596=BT$3,OR($C596="W",$C596="1/2W")),AND($K596=BT$3,OR($C597="W",$C597="1/2W"))),$S595,0))</f>
        <v>0</v>
      </c>
      <c r="BU595" s="201">
        <f>IF($B595="LOSS",IF(AND($K595=BU$3,$C595="L"),-$O595,0)+IF(AND($K596=BU$3,$C596="L"),-$O596,0)+IF(AND($K596=BU$3,$C597="L"),-$O597,0),IF(OR(AND($K596=BU$3,OR($C595="W",$C595="1/2W")),AND($K596=BU$3,OR($C596="W",$C596="1/2W")),AND($K596=BU$3,OR($C597="W",$C597="1/2W"))),$S595,0))</f>
        <v>0</v>
      </c>
      <c r="BV595" s="201">
        <f>IF($B595="LOSS",IF(AND($K595=BV$3,$C595="L"),-$O595,0)+IF(AND($K596=BV$3,$C596="L"),-$O596,0)+IF(AND($K597=BV$3,$C597="L"),-$O597,0),IF(OR(AND($K595=BV$3,OR($C595="W",$C595="1/2W")),AND($K596=BV$3,OR($C596="W",$C596="1/2W")),AND($K597=BV$3,OR($C597="W",$C597="1/2W"))),$S595,0))</f>
        <v>0</v>
      </c>
      <c r="BW595" s="201">
        <f>IF($B595="LOSS",IF(AND($K595=BW$3,$C595="L"),-$O595,0)+IF(AND($K596=BW$3,$C596="L"),-$O596,0)+IF(AND($K597=BW$3,$C597="L"),-$O597,0),IF(OR(AND($K595=BW$3,OR($C595="W",$C595="1/2W")),AND($K596=BW$3,OR($C596="W",$C596="1/2W")),AND($K597=BW$3,OR($C597="W",$C597="1/2W"))),$S595,0))</f>
        <v>0</v>
      </c>
      <c r="BX595" s="201">
        <f>IF($B595="LOSS",IF(AND($K595=BX$3,$C595="L"),-$O595,0)+IF(AND($K596=BX$3,$C596="L"),-$O596,0)+IF(AND($K597=BX$3,$C597="L"),-$O597,0),IF(OR(AND($K595=BX$3,OR($C595="W",$C595="1/2W")),AND($K596=BX$3,OR($C596="W",$C596="1/2W")),AND($K597=BX$3,OR($C597="W",$C597="1/2W"))),$S595,0))</f>
        <v>0</v>
      </c>
      <c r="BY595" s="201">
        <f>IF($B595="LOSS",IF(AND($K595=BY$3,$C595="L"),-$O595,0)+IF(AND($K596=BY$3,$C596="L"),-$O596,0)+IF(AND($K597=BY$3,$C597="L"),-$O597,0),IF(OR(AND($K595=BY$3,OR($C595="W",$C595="1/2W")),AND($K596=BY$3,OR($C596="W",$C596="1/2W")),AND($K597=BY$3,OR($C597="W",$C597="1/2W"))),$S595,0))</f>
        <v>0</v>
      </c>
      <c r="BZ595" s="205">
        <f>IF($B595="LOSS",IF(AND($K595=BZ$3,$C595="L"),-$O595,0)+IF(AND($K596=BZ$3,$C596="L"),-$O596,0)+IF(AND($K597=BZ$3,$C597="L"),-$O597,0),IF(OR(AND($K595=BZ$3,OR($C595="W",$C595="1/2W")),AND($K596=BZ$3,OR($C596="W",$C596="1/2W")),AND($K597=BZ$3,OR($C597="W",$C597="1/2W"))),$S595,0))</f>
        <v>0.61</v>
      </c>
      <c r="CA595" s="205">
        <f>IF($B595="LOSS",IF(AND($K595=CA$3,$C595="L"),-$O595,0)+IF(AND($K596=CA$3,$C596="L"),-$O596,0)+IF(AND($K597=CA$3,$C597="L"),-$O597,0),IF(OR(AND($K595=CA$3,OR($C595="W",$C595="1/2W")),AND($K596=CA$3,OR($C596="W",$C596="1/2W")),AND($K597=CA$3,OR($C597="W",$C597="1/2W"))),$S595,0))</f>
        <v>0</v>
      </c>
      <c r="CB595" s="205">
        <f>IF($B595="LOSS",IF(AND($K595=CB$3,$C595="L"),-$O595,0)+IF(AND($K596=CB$3,$C596="L"),-$O596,0)+IF(AND($K597=CB$3,$C597="L"),-$O597,0),IF(OR(AND($K595=CB$3,OR($C595="W",$C595="1/2W")),AND($K596=CB$3,OR($C596="W",$C596="1/2W")),AND($K597=CB$3,OR($C597="W",$C597="1/2W"))),$S595,0))</f>
        <v>0</v>
      </c>
      <c r="CC595" s="205">
        <f>IF($B595="LOSS",IF(AND($K595=CC$3,$C595="L"),-$O595,0)+IF(AND($K596=CC$3,$C596="L"),-$O596,0)+IF(AND($K597=CC$3,$C597="L"),-$O597,0),IF(OR(AND($K595=CC$3,OR($C595="W",$C595="1/2W")),AND($K596=CC$3,OR($C596="W",$C596="1/2W")),AND($K597=CC$3,OR($C597="W",$C597="1/2W"))),$S595,0))</f>
        <v>0</v>
      </c>
      <c r="CD595" s="202">
        <f>IF($B595="LOSS",IF(AND($K595=CD$3,$C595="L"),-$O595,0)+IF(AND($K596=CD$3,$C596="L"),-$O596,0)+IF(AND($K597=CD$3,$C597="L"),-$O597,0),IF(OR(AND($K595=CD$3,OR($C595="W",$C595="1/2W")),AND($K596=CD$3,OR($C596="W",$C596="1/2W")),AND($K597=CD$3,OR($C597="W",$C597="1/2W"))),$S595,0))</f>
        <v>0</v>
      </c>
      <c r="CE595" s="199">
        <f>IF($B595="LOSS",IF(AND($K595=CE$3,$C595="L"),-$O595,0)+IF(AND($K596=CE$3,$C596="L"),-$O596,0)+IF(AND($K597=CE$3,$C597="L"),-$O597,0),IF(OR(AND($K595=CE$3,OR($C595="W",$C595="1/2W")),AND($K596=CE$3,OR($C596="W",$C596="1/2W")),AND($K597=CE$3,OR($C597="W",$C597="1/2W"))),$S595,0))</f>
        <v>0</v>
      </c>
      <c r="CF595" s="206">
        <f>IF(CF$3=$K595,IF($C595="W",1,IF($C595="1/2W",0.5,0)),0)</f>
        <v>0</v>
      </c>
      <c r="CG595" s="207">
        <f>IF(CF$3=$K595,IF($C595="L",1,IF($C595="1/2L",0.5,0)),0)</f>
        <v>0</v>
      </c>
      <c r="CH595" s="207">
        <f>IF(CH$3=$K595,IF($C595="W",1,IF($C595="1/2W",0.5,0)),0)</f>
        <v>0</v>
      </c>
      <c r="CI595" s="207">
        <f>IF(CH$3=$K595,IF($C595="L",1,IF($C595="1/2L",0.5,0)),0)</f>
        <v>0</v>
      </c>
      <c r="CJ595" s="207">
        <f>IF(CJ$3=$K595,IF($C595="W",1,IF($C595="1/2W",0.5,0)),0)</f>
        <v>0</v>
      </c>
      <c r="CK595" s="207">
        <f>IF(CJ$3=$K595,IF($C595="L",1,IF($C595="1/2L",0.5,0)),0)</f>
        <v>0</v>
      </c>
      <c r="CL595" s="207">
        <f>IF(CL$3=$K595,IF($C595="W",1,IF($C595="1/2W",0.5,0)),0)</f>
        <v>0</v>
      </c>
      <c r="CM595" s="207">
        <f>IF(CL$3=$K595,IF($C595="L",1,IF($C595="1/2L",0.5,0)),0)</f>
        <v>0</v>
      </c>
      <c r="CN595" s="207">
        <f>IF(CN$3=$K595,IF($C595="W",1,IF($C595="1/2W",0.5,0)),0)</f>
        <v>0</v>
      </c>
      <c r="CO595" s="207">
        <f>IF(CN$3=$K595,IF($C595="L",1,IF($C595="1/2L",0.5,0)),0)</f>
        <v>1</v>
      </c>
      <c r="CP595" s="207">
        <f>IF(CP$3=$K595,IF($C595="W",1,IF($C595="1/2W",0.5,0)),0)</f>
        <v>0</v>
      </c>
      <c r="CQ595" s="207">
        <f>IF(CP$3=$K595,IF($C595="L",1,IF($C595="1/2L",0.5,0)),0)</f>
        <v>0</v>
      </c>
      <c r="CR595" s="207">
        <f>IF(CR$3=$K595,IF($C595="W",1,IF($C595="1/2W",0.5,0)),0)</f>
        <v>0</v>
      </c>
      <c r="CS595" s="207">
        <f>IF(CR$3=$K595,IF($C595="L",1,IF($C595="1/2L",0.5,0)),0)</f>
        <v>0</v>
      </c>
      <c r="CT595" s="208">
        <f>IF(CT$3=$K595,IF($C595="W",1,IF($C595="1/2W",0.5,0)),0)</f>
        <v>0</v>
      </c>
      <c r="CU595" s="209">
        <f>IF(CT$3=$K595,IF($C595="L",1,IF($C595="1/2L",0.5,0)),0)</f>
        <v>0</v>
      </c>
      <c r="CV595" s="209">
        <f>IF(CV$3=$K595,IF($C595="W",1,IF($C595="1/2W",0.5,0)),0)</f>
        <v>0</v>
      </c>
      <c r="CW595" s="209">
        <f>IF(CV$3=$K595,IF($C595="L",1,IF($C595="1/2L",0.5,0)),0)</f>
        <v>0</v>
      </c>
      <c r="CX595" s="209">
        <f>IF(CX$3=$K595,IF($C595="W",1,IF($C595="1/2W",0.5,0)),0)</f>
        <v>0</v>
      </c>
      <c r="CY595" s="209">
        <f>IF(CX$3=$K595,IF($C595="L",1,IF($C595="1/2L",0.5,0)),0)</f>
        <v>0</v>
      </c>
      <c r="CZ595" s="209">
        <f>IF(CZ$3=$K595,IF($C595="W",1,IF($C595="1/2W",0.5,0)),0)</f>
        <v>0</v>
      </c>
      <c r="DA595" s="209">
        <f>IF(CZ$3=$K595,IF($C595="L",1,IF($C595="1/2L",0.5,0)),0)</f>
        <v>0</v>
      </c>
      <c r="DB595" s="209">
        <f>IF(DB$3=$K595,IF($C595="W",1,IF($C595="1/2W",0.5,0)),0)</f>
        <v>0</v>
      </c>
      <c r="DC595" s="209">
        <f>IF(DB$3=$K595,IF($C595="L",1,IF($C595="1/2L",0.5,0)),0)</f>
        <v>0</v>
      </c>
      <c r="DD595" s="209">
        <f>IF(DD$3=$K595,IF($C595="W",1,IF($C595="1/2W",0.5,0)),0)</f>
        <v>0</v>
      </c>
      <c r="DE595" s="210">
        <f>IF(DD$3=$K595,IF($C595="L",1,IF($C595="1/2L",0.5,0)),0)</f>
        <v>0</v>
      </c>
      <c r="DF595" s="211">
        <f>IF(AND(L595&lt;DF$3,$C595="W"),1+DF594,DF594)</f>
        <v>17</v>
      </c>
      <c r="DG595" s="198">
        <f>IF(DF595&gt;DF594,L595+DG594,DG594)</f>
        <v>22.628</v>
      </c>
      <c r="DH595" s="209">
        <f>IF(AND(L595&gt;DH$3,$C595="W"),1+DH594,0+DH594)</f>
        <v>16</v>
      </c>
      <c r="DI595" s="198">
        <f>IF(DH595&gt;DH594,L595+DI594,DI594)</f>
        <v>85.45999999999999</v>
      </c>
      <c r="DJ595" t="s" s="306">
        <f>IF($D595="","",$D595)</f>
        <v>431</v>
      </c>
      <c r="DK595" s="209">
        <f>IF(AND($B595=" ",$D595&lt;&gt;""),1,0)</f>
        <v>0</v>
      </c>
    </row>
    <row r="596" ht="14.55" customHeight="1">
      <c r="A596" s="107"/>
      <c r="B596" s="108"/>
      <c r="C596" t="s" s="213">
        <v>51</v>
      </c>
      <c r="D596" s="110"/>
      <c r="E596" s="111"/>
      <c r="F596" s="113"/>
      <c r="G596" s="214"/>
      <c r="H596" s="114"/>
      <c r="I596" t="s" s="215">
        <v>87</v>
      </c>
      <c r="J596" t="s" s="216">
        <f>IF(OR(I595="TO",I595="TU",I595="TO1",I595="TU1",I595="TO2",I595="TU2"),J595,IF(OR(I595="AH1",I595="AH2"),IF(OR(I596="AH1",I596="AH2"),-J595,IF(OR(I596="EH1",I596="EH2"),-J595+0.5,"")),IF(OR(I595="EH1",I595="EH2"),IF(OR(I596="AH1",I596="AH2"),-J595+0.5,IF(OR(I596="EH1",I596="EH2"),-J595+1,"")),IF(AND(OR(I595="DNB1",I595="DNB2"),OR(I596="AH1",I596="AH2")),0,IF(AND(I595="Not ScoreBoth",OR(I596="TO1",I596="TO2")),0.5,"")))))</f>
      </c>
      <c r="K596" t="s" s="217">
        <v>44</v>
      </c>
      <c r="L596" s="218">
        <v>6.49</v>
      </c>
      <c r="M596" s="219">
        <v>2.29</v>
      </c>
      <c r="N596" s="120"/>
      <c r="O596" s="220">
        <f>IF(OR(AE595="",AE596=""),"",ROUND(IF(L597&gt;0,IF(M596&gt;0,M596,IF(M595&gt;0,IF(N595=TRUE,ROUND((M595*AE596)/AE595,0),(M595*AE596)/AE595),IF(M596&gt;0,ROUND(M596,IF(N595=0,2,IF(N595=0.1,1,0))),IF(M597&gt;0,ROUND(O597*AE596/AE597,IF(N595=0,2,IF(N595=0.1,1,0))),0)))),IF(M596&gt;0,M596,ROUND((M595*AE596)/AE595,IF(N595=0,2,IF(N595=0.1,1,0))))),2))</f>
        <v>2.29</v>
      </c>
      <c r="P596" s="221">
        <f>IF(OR(L596="",O596=""),"",IF($C596="1/2W",O596/2+O596/2*L596,IF($C596="1/2L",O596/2,IF(I596="Lay",((O596*(L596/(L596-1)))-O596)*(1-_xlfn.XLOOKUP(K596,'Janeiro 2023 - Valor Real'!A3:A15,'Janeiro 2023 - Valor Real'!C3:C15,0))+O596,(O596*L596-O596)*(1-_xlfn.XLOOKUP(K596,'Janeiro 2023 - Valor Real'!A3:A15,'Janeiro 2023 - Valor Real'!C3:C15,0))+O596))))</f>
        <v>14.8621</v>
      </c>
      <c r="Q596" s="222">
        <f>IF(K596="","",IF(_xlfn.XLOOKUP(K596,K$123:K369,DJ$123:DJ369,0,,-1)=DJ596,_xlfn.XLOOKUP(K596,K$123:K369,Q$123:Q369,1,,-1)+1,1))</f>
        <v>1</v>
      </c>
      <c r="R596" s="223">
        <f>IF(K596="","",_xlfn.XLOOKUP(K596,K$123:K369,R$123:R369,0,,-1)+IF($C596=" ",1,0))</f>
        <v>0</v>
      </c>
      <c r="S596" s="125"/>
      <c r="T596" s="126"/>
      <c r="U596" s="126"/>
      <c r="V596" s="224"/>
      <c r="W596" s="126"/>
      <c r="X596" s="127"/>
      <c r="Y596" s="128"/>
      <c r="Z596" s="129"/>
      <c r="AA596" s="129"/>
      <c r="AB596" s="129"/>
      <c r="AC596" s="129"/>
      <c r="AD596" s="225">
        <f>(((L596/(L596-1)-1)*(1-_xlfn.XLOOKUP(K596,'Janeiro 2023 - Valor Real'!A3:A15,'Janeiro 2023 - Valor Real'!C3:C15,0))+1))</f>
        <v>1.18214936247723</v>
      </c>
      <c r="AE596" s="226">
        <f>IF(L596="","",IF(L597&gt;0,(SUM(((L595-1)*(1-_xlfn.XLOOKUP(K595,'Janeiro 2023 - Valor Real'!A3:A15,'Janeiro 2023 - Valor Real'!C3:C15,0))+1),((L596-1)*(1-_xlfn.XLOOKUP(K596,'Janeiro 2023 - Valor Real'!A3:A15,'Janeiro 2023 - Valor Real'!C3:C15,0))+1),((L597-1)*(1-_xlfn.XLOOKUP(K597,'Janeiro 2023 - Valor Real'!A3:A15,'Janeiro 2023 - Valor Real'!C3:C15,0))+1))/((L596-1)*(1-_xlfn.XLOOKUP(K596,'Janeiro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Real'!C3:C15,0))+1))/((L595-1)*(1-_xlfn.XLOOKUP(K595,'Janeiro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Real'!C3:C15,0))+1))/((L596-1)*(1-_xlfn.XLOOKUP(K596,'Janeiro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Real'!C3:C15,0))+1))/((L597-1)*(1-_xlfn.XLOOKUP(K597,'Janeiro 2023 - Valor Real'!A3:A15,'Janeiro 2023 - Valor Real'!C3:C15,0))+1)),IF(I596="Lay",IF(I595="Lay",((L595/(L595-1)-1)*(1-_xlfn.XLOOKUP(K595,'Janeiro 2023 - Valor Real'!A3:A15,'Janeiro 2023 - Valor Real'!C3:C15,0))+1)/(((L595/(L595-1)-1)*(1-_xlfn.XLOOKUP(K595,'Janeiro 2023 - Valor Real'!A3:A15,'Janeiro 2023 - Valor Real'!C3:C15,0))+1)+((L596/(L596-1)-1)*(1-_xlfn.XLOOKUP(K596,'Janeiro 2023 - Valor Real'!A3:A15,'Janeiro 2023 - Valor Real'!C3:C15,0))+1)),((L595-1)*(1-_xlfn.XLOOKUP(K595,'Janeiro 2023 - Valor Real'!A3:A15,'Janeiro 2023 - Valor Real'!C3:C15,0))+1)/(((L595-1)*(1-_xlfn.XLOOKUP(K595,'Janeiro 2023 - Valor Real'!A3:A15,'Janeiro 2023 - Valor Real'!C3:C15,0))+1)+((L596/(L596-1)-1)*(1-_xlfn.XLOOKUP(K596,'Janeiro 2023 - Valor Real'!A3:A15,'Janeiro 2023 - Valor Real'!C3:C15,0))+1))),IF(I595="Lay",((L595/(L595-1)-1)*(1-_xlfn.XLOOKUP(K595,'Janeiro 2023 - Valor Real'!A3:A15,'Janeiro 2023 - Valor Real'!C3:C15,0))+1)/((((L595/(L595-1)-1)*(1-_xlfn.XLOOKUP(K595,'Janeiro 2023 - Valor Real'!A3:A15,'Janeiro 2023 - Valor Real'!C3:C15,0))+1))+((L596-1)*(1-_xlfn.XLOOKUP(K596,'Janeiro 2023 - Valor Real'!A3:A15,'Janeiro 2023 - Valor Real'!C3:C15,0))+1)),((L595-1)*(1-_xlfn.XLOOKUP(K595,'Janeiro 2023 - Valor Real'!A3:A15,'Janeiro 2023 - Valor Real'!C3:C15,0))+1)/(((L595-1)*(1-_xlfn.XLOOKUP(K595,'Janeiro 2023 - Valor Real'!A3:A15,'Janeiro 2023 - Valor Real'!C3:C15,0))+1)+((L596-1)*(1-_xlfn.XLOOKUP(K596,'Janeiro 2023 - Valor Real'!A3:A15,'Janeiro 2023 - Valor Real'!C3:C15,0))+1))))))</f>
        <v>0.16482649401928</v>
      </c>
      <c r="AF596" s="197">
        <f>IF($K596=AF$3,ROUND(IF(OR($C596="W",$C596="1/2W",$C596="1/2L"),$P596-$O596,IF($C596="X",0,-$O596)),2),0)</f>
        <v>0</v>
      </c>
      <c r="AG596" s="198">
        <f>IF($K596=AG$3,ROUND(IF(OR($C596="W",$C596="1/2W",$C596="1/2L"),$P596-$O596,IF($C596="X",0,-$O596)),2),0)</f>
        <v>0</v>
      </c>
      <c r="AH596" s="198">
        <f>IF($K596=AH$3,ROUND(IF(OR($C596="W",$C596="1/2W",$C596="1/2L"),$P596-$O596,IF($C596="X",0,-$O596)),2),0)</f>
        <v>0</v>
      </c>
      <c r="AI596" s="198">
        <f>IF($K596=AI$3,ROUND(IF(OR($C596="W",$C596="1/2W",$C596="1/2L"),$P596-$O596,IF($C596="X",0,-$O596)),2),0)</f>
        <v>0</v>
      </c>
      <c r="AJ596" s="198">
        <f>IF($K596=AJ$3,ROUND(IF(OR($C596="W",$C596="1/2W",$C596="1/2L"),$P596-$O596,IF($C596="X",0,-$O596)),2),0)</f>
        <v>0</v>
      </c>
      <c r="AK596" s="198">
        <f>IF($K596=AK$3,ROUND(IF(OR($C596="W",$C596="1/2W",$C596="1/2L"),$P596-$O596,IF($C596="X",0,-$O596)),2),0)</f>
        <v>0</v>
      </c>
      <c r="AL596" s="198">
        <f>IF($K596=AL$3,ROUND(IF(OR($C596="W",$C596="1/2W",$C596="1/2L"),$P596-$O596,IF($C596="X",0,-$O596)),2),0)</f>
        <v>0</v>
      </c>
      <c r="AM596" s="198">
        <f>IF($K596=AM$3,ROUND(IF(OR($C596="W",$C596="1/2W",$C596="1/2L"),$P596-$O596,IF($C596="X",0,-$O596)),2),0)</f>
        <v>-2.29</v>
      </c>
      <c r="AN596" s="198">
        <f>IF($K596=AN$3,ROUND(IF(OR($C596="W",$C596="1/2W",$C596="1/2L"),$P596-$O596,IF($C596="X",0,-$O596)),2),0)</f>
        <v>0</v>
      </c>
      <c r="AO596" s="198">
        <f>IF($K596=AO$3,ROUND(IF(OR($C596="W",$C596="1/2W",$C596="1/2L"),$P596-$O596,IF($C596="X",0,-$O596)),2),0)</f>
        <v>0</v>
      </c>
      <c r="AP596" s="198">
        <f>IF($K596=AP$3,ROUND(IF(OR($C596="W",$C596="1/2W",$C596="1/2L"),$P596-$O596,IF($C596="X",0,-$O596)),2),0)</f>
        <v>0</v>
      </c>
      <c r="AQ596" s="198">
        <f>IF($K596=AQ$3,ROUND(IF(OR($C596="W",$C596="1/2W",$C596="1/2L"),$P596-$O596,IF($C596="X",0,-$O596)),2),0)</f>
        <v>0</v>
      </c>
      <c r="AR596" s="199">
        <f>IF($K596=AR$3,ROUND(IF(OR($C596="W",$C596="1/2W",$C596="1/2L"),$P596-$O596,IF($C596="X",0,-$O596)),2),0)</f>
        <v>0</v>
      </c>
      <c r="AS596" s="197">
        <f>IF(AND($B595=" ",$K596=AS$3),$O596,0)</f>
        <v>0</v>
      </c>
      <c r="AT596" s="198">
        <f>IF(AND($B595=" ",K596=AT$3),$O596,0)</f>
        <v>0</v>
      </c>
      <c r="AU596" s="198">
        <f>IF(AND($B595=" ",$K596=AU$3),$O596,0)</f>
        <v>0</v>
      </c>
      <c r="AV596" s="198">
        <f>IF(AND($B595=" ",$K596=AV$3),$O596,0)</f>
        <v>0</v>
      </c>
      <c r="AW596" s="198">
        <f>IF(AND($B595=" ",$K596=AW$3),$O596,0)</f>
        <v>0</v>
      </c>
      <c r="AX596" s="198">
        <f>IF(AND($B595=" ",$K596=AX$3),$O596,0)</f>
        <v>0</v>
      </c>
      <c r="AY596" s="200">
        <f>IF(AND($B595=" ",$K596=AY$3),$O596,0)</f>
        <v>0</v>
      </c>
      <c r="AZ596" s="201">
        <f>IF(AND($B595=" ",$K596=AZ$3),$O596,0)</f>
        <v>0</v>
      </c>
      <c r="BA596" s="201">
        <f>IF(AND($B595=" ",$K596=BA$3),$O596,0)</f>
        <v>0</v>
      </c>
      <c r="BB596" s="201">
        <f>IF(AND($B595=" ",$K596=BB$3),$O596,0)</f>
        <v>0</v>
      </c>
      <c r="BC596" s="202">
        <f>IF(AND($B595=" ",$K596=BC$3),$O596,0)</f>
        <v>0</v>
      </c>
      <c r="BD596" s="198">
        <f>IF(AND($B595=" ",$K596=BD$3),$O596,0)</f>
        <v>0</v>
      </c>
      <c r="BE596" s="199">
        <f>IF(AND($B595=" ",$K596=BE$3),$O596,0)</f>
        <v>0</v>
      </c>
      <c r="BF596" s="197">
        <f>IF($K596=BF$3,IF($C596="X",0,$O596),0)</f>
        <v>0</v>
      </c>
      <c r="BG596" s="198">
        <f>IF($K596=BG$3,IF($C596="X",0,$O596),0)</f>
        <v>0</v>
      </c>
      <c r="BH596" s="198">
        <f>IF($K596=BH$3,IF($C596="X",0,$O596),0)</f>
        <v>0</v>
      </c>
      <c r="BI596" s="198">
        <f>IF($K596=BI$3,IF($C596="X",0,$O596),0)</f>
        <v>0</v>
      </c>
      <c r="BJ596" s="198">
        <f>IF($K596=BJ$3,IF($C596="X",0,$O596),0)</f>
        <v>0</v>
      </c>
      <c r="BK596" s="198">
        <f>IF($K596=BK$3,IF($C596="X",0,$O596),0)</f>
        <v>0</v>
      </c>
      <c r="BL596" s="198">
        <f>IF($K596=BL$3,IF($C596="X",0,$O596),0)</f>
        <v>0</v>
      </c>
      <c r="BM596" s="227">
        <f>IF($K596=BM$3,IF($C596="X",0,$O596),0)</f>
        <v>2.29</v>
      </c>
      <c r="BN596" s="205">
        <f>IF($K596=BN$3,IF($C596="X",0,$O596),0)</f>
        <v>0</v>
      </c>
      <c r="BO596" s="205">
        <f>IF($K596=BO$3,IF($C596="X",0,$O596),0)</f>
        <v>0</v>
      </c>
      <c r="BP596" s="205">
        <f>IF($K596=BP$3,IF($C596="X",0,$O596),0)</f>
        <v>0</v>
      </c>
      <c r="BQ596" s="202">
        <f>IF($K596=BQ$3,IF($C596="X",0,$O596),0)</f>
        <v>0</v>
      </c>
      <c r="BR596" s="199">
        <f>IF($K596=BR$3,IF($C596="X",0,$O596),0)</f>
        <v>0</v>
      </c>
      <c r="BS596" s="228"/>
      <c r="BT596" s="229"/>
      <c r="BU596" s="140"/>
      <c r="BV596" s="229"/>
      <c r="BW596" s="140"/>
      <c r="BX596" s="140"/>
      <c r="BY596" s="140"/>
      <c r="BZ596" s="229"/>
      <c r="CA596" s="140"/>
      <c r="CB596" s="140"/>
      <c r="CC596" s="140"/>
      <c r="CD596" s="141"/>
      <c r="CE596" s="142"/>
      <c r="CF596" s="230">
        <f>IF(CF$3=$K596,IF($C596="W",1,IF($C596="1/2W",0.5,0)),0)</f>
        <v>0</v>
      </c>
      <c r="CG596" s="231">
        <f>IF(CF$3=$K596,IF($C596="L",1,IF($C596="1/2L",0.5,0)),0)</f>
        <v>0</v>
      </c>
      <c r="CH596" s="231">
        <f>IF(CH$3=$K596,IF($C596="W",1,IF($C596="1/2W",0.5,0)),0)</f>
        <v>0</v>
      </c>
      <c r="CI596" s="231">
        <f>IF(CH$3=$K596,IF($C596="L",1,IF($C596="1/2L",0.5,0)),0)</f>
        <v>0</v>
      </c>
      <c r="CJ596" s="231">
        <f>IF(CJ$3=$K596,IF($C596="W",1,IF($C596="1/2W",0.5,0)),0)</f>
        <v>0</v>
      </c>
      <c r="CK596" s="231">
        <f>IF(CJ$3=$K596,IF($C596="L",1,IF($C596="1/2L",0.5,0)),0)</f>
        <v>0</v>
      </c>
      <c r="CL596" s="231">
        <f>IF(CL$3=$K596,IF($C596="W",1,IF($C596="1/2W",0.5,0)),0)</f>
        <v>0</v>
      </c>
      <c r="CM596" s="231">
        <f>IF(CL$3=$K596,IF($C596="L",1,IF($C596="1/2L",0.5,0)),0)</f>
        <v>0</v>
      </c>
      <c r="CN596" s="231">
        <f>IF(CN$3=$K596,IF($C596="W",1,IF($C596="1/2W",0.5,0)),0)</f>
        <v>0</v>
      </c>
      <c r="CO596" s="231">
        <f>IF(CN$3=$K596,IF($C596="L",1,IF($C596="1/2L",0.5,0)),0)</f>
        <v>0</v>
      </c>
      <c r="CP596" s="231">
        <f>IF(CP$3=$K596,IF($C596="W",1,IF($C596="1/2W",0.5,0)),0)</f>
        <v>0</v>
      </c>
      <c r="CQ596" s="231">
        <f>IF(CP$3=$K596,IF($C596="L",1,IF($C596="1/2L",0.5,0)),0)</f>
        <v>0</v>
      </c>
      <c r="CR596" s="231">
        <f>IF(CR$3=$K596,IF($C596="W",1,IF($C596="1/2W",0.5,0)),0)</f>
        <v>0</v>
      </c>
      <c r="CS596" s="231">
        <f>IF(CR$3=$K596,IF($C596="L",1,IF($C596="1/2L",0.5,0)),0)</f>
        <v>0</v>
      </c>
      <c r="CT596" s="208">
        <f>IF(CT$3=$K596,IF($C596="W",1,IF($C596="1/2W",0.5,0)),0)</f>
        <v>0</v>
      </c>
      <c r="CU596" s="209">
        <f>IF(CT$3=$K596,IF($C596="L",1,IF($C596="1/2L",0.5,0)),0)</f>
        <v>1</v>
      </c>
      <c r="CV596" s="209">
        <f>IF(CV$3=$K596,IF($C596="W",1,IF($C596="1/2W",0.5,0)),0)</f>
        <v>0</v>
      </c>
      <c r="CW596" s="209">
        <f>IF(CV$3=$K596,IF($C596="L",1,IF($C596="1/2L",0.5,0)),0)</f>
        <v>0</v>
      </c>
      <c r="CX596" s="209">
        <f>IF(CX$3=$K596,IF($C596="W",1,IF($C596="1/2W",0.5,0)),0)</f>
        <v>0</v>
      </c>
      <c r="CY596" s="209">
        <f>IF(CX$3=$K596,IF($C596="L",1,IF($C596="1/2L",0.5,0)),0)</f>
        <v>0</v>
      </c>
      <c r="CZ596" s="209">
        <f>IF(CZ$3=$K596,IF($C596="W",1,IF($C596="1/2W",0.5,0)),0)</f>
        <v>0</v>
      </c>
      <c r="DA596" s="209">
        <f>IF(CZ$3=$K596,IF($C596="L",1,IF($C596="1/2L",0.5,0)),0)</f>
        <v>0</v>
      </c>
      <c r="DB596" s="209">
        <f>IF(DB$3=$K596,IF($C596="W",1,IF($C596="1/2W",0.5,0)),0)</f>
        <v>0</v>
      </c>
      <c r="DC596" s="209">
        <f>IF(DB$3=$K596,IF($C596="L",1,IF($C596="1/2L",0.5,0)),0)</f>
        <v>0</v>
      </c>
      <c r="DD596" s="209">
        <f>IF(DD$3=$K596,IF($C596="W",1,IF($C596="1/2W",0.5,0)),0)</f>
        <v>0</v>
      </c>
      <c r="DE596" s="210">
        <f>IF(DD$3=$K596,IF($C596="L",1,IF($C596="1/2L",0.5,0)),0)</f>
        <v>0</v>
      </c>
      <c r="DF596" s="211">
        <f>IF(AND(L596&lt;DF$3,$C596="W"),1+DF595,DF595)</f>
        <v>17</v>
      </c>
      <c r="DG596" s="198">
        <f>IF(DF596&gt;DF595,L596+DG595,DG595)</f>
        <v>22.628</v>
      </c>
      <c r="DH596" s="209">
        <f>IF(AND(L596&gt;DH$3,$C596="W"),1+DH595,0+DH595)</f>
        <v>16</v>
      </c>
      <c r="DI596" s="198">
        <f>IF(DH596&gt;DH595,L596+DI595,DI595)</f>
        <v>85.45999999999999</v>
      </c>
      <c r="DJ596" t="s" s="306">
        <f>IF($D595="","",$D595)</f>
        <v>431</v>
      </c>
      <c r="DK596" s="232"/>
    </row>
    <row r="597" ht="14.55" customHeight="1">
      <c r="A597" s="149"/>
      <c r="B597" s="150"/>
      <c r="C597" t="s" s="233">
        <v>56</v>
      </c>
      <c r="D597" s="152"/>
      <c r="E597" s="153"/>
      <c r="F597" s="155"/>
      <c r="G597" s="234"/>
      <c r="H597" s="156"/>
      <c r="I597" s="354">
        <v>1</v>
      </c>
      <c r="J597" s="236"/>
      <c r="K597" t="s" s="351">
        <v>44</v>
      </c>
      <c r="L597" s="352">
        <v>1.558</v>
      </c>
      <c r="M597" s="239">
        <v>8.359999999999999</v>
      </c>
      <c r="N597" s="161"/>
      <c r="O597" s="335">
        <f>IF(OR(AE595="",AE596=""),"",IF(L597&gt;0,ROUND(IF(M597&gt;0,M597,IF(M595&gt;0,ROUND((M595*AE597)/AE595,IF(N595=0,2,IF(N595=0.1,1,0))),IF(M596&gt;0,ROUND((M596*AE597)/AE596,IF(N595=0,2,IF(N595=0.1,1,0))),IF(M597&gt;0,M597,0)))),2),""))</f>
        <v>8.359999999999999</v>
      </c>
      <c r="P597" s="309">
        <f>IF(I596="Lay",O596*(L596/(L596-1))-O596,IF(I595="Lay",O595*(L595/(L595-1))-O595,IF(OR(L597="",O597=""),"",IF($C597="1/2W",O597/2+O597/2*L597,IF($C597="1/2L",O597/2,(O597*L597-O597)*(1-_xlfn.XLOOKUP(K597,'Janeiro 2023 - Valor Real'!A3:A15,'Janeiro 2023 - Valor Real'!C3:C15,0))+O597)))))</f>
        <v>13.02488</v>
      </c>
      <c r="Q597" s="336">
        <f>IF(K597="","",IF(_xlfn.XLOOKUP(K597,K$124:K370,DJ$124:DJ370,0,,-1)=DJ597,_xlfn.XLOOKUP(K597,K$124:K370,Q$124:Q370,1,,-1)+1,1))</f>
        <v>1</v>
      </c>
      <c r="R597" s="337">
        <f>IF(K597="","",_xlfn.XLOOKUP(K597,K$124:K370,R$124:R370,0,,-1)+IF($C597=" ",1,0))</f>
        <v>0</v>
      </c>
      <c r="S597" s="166"/>
      <c r="T597" s="155"/>
      <c r="U597" s="155"/>
      <c r="V597" s="166"/>
      <c r="W597" s="155"/>
      <c r="X597" s="167"/>
      <c r="Y597" s="128"/>
      <c r="Z597" s="129"/>
      <c r="AA597" s="129"/>
      <c r="AB597" s="129"/>
      <c r="AC597" s="129"/>
      <c r="AD597" s="244">
        <f>((L596/(L596-1)-1))</f>
        <v>0.182149362477231</v>
      </c>
      <c r="AE597" s="338">
        <f>IF(L597="","",(SUM(((L595-1)*(1-_xlfn.XLOOKUP(K595,'Janeiro 2023 - Valor Real'!A3:A15,'Janeiro 2023 - Valor Real'!C3:C15,0))+1),((L596-1)*(1-_xlfn.XLOOKUP(K596,'Janeiro 2023 - Valor Real'!A3:A15,'Janeiro 2023 - Valor Real'!C3:C15,0))+1),((L597-1)*(1-_xlfn.XLOOKUP(K597,'Janeiro 2023 - Valor Real'!A3:A15,'Janeiro 2023 - Valor Real'!C3:C15,0))+1))/((L597-1)*(1-_xlfn.XLOOKUP(K597,'Janeiro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Real'!C3:C15,0))+1))/((L595-1)*(1-_xlfn.XLOOKUP(K595,'Janeiro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Real'!C3:C15,0))+1))/((L596-1)*(1-_xlfn.XLOOKUP(K596,'Janeiro 2023 - Valor Real'!A3:A15,'Janeiro 2023 - Valor Real'!C3:C15,0))+1)+SUM(((L595-1)*(1-_xlfn.XLOOKUP(K595,'Janeiro 2023 - Valor Real'!A3:A15,'Janeiro 2023 - Valor Real'!C3:C15,0))+1),((L596-1)*(1-_xlfn.XLOOKUP(K596,'Janeiro 2023 - Valor Real'!A3:A15,'Janeiro 2023 - Valor Real'!C3:C15,0))+1),((L597-1)*(1-_xlfn.XLOOKUP(K597,'Janeiro 2023 - Valor Real'!A3:A15,'Janeiro 2023 - Valor Real'!C3:C15,0))+1))/((L597-1)*(1-_xlfn.XLOOKUP(K597,'Janeiro 2023 - Valor Real'!A3:A15,'Janeiro 2023 - Valor Real'!C3:C15,0))+1)))</f>
        <v>0.686600735677231</v>
      </c>
      <c r="AF597" s="197">
        <f>IF($K597=AF$3,ROUND(IF(OR($C597="W",$C597="1/2W",$C597="1/2L"),$P597-$O597,IF($C597="X",0,-$O597)),2),0)</f>
        <v>0</v>
      </c>
      <c r="AG597" s="198">
        <f>IF($K597=AG$3,ROUND(IF(OR($C597="W",$C597="1/2W",$C597="1/2L"),$P597-$O597,IF($C597="X",0,-$O597)),2),0)</f>
        <v>0</v>
      </c>
      <c r="AH597" s="198">
        <f>IF($K597=AH$3,ROUND(IF(OR($C597="W",$C597="1/2W",$C597="1/2L"),$P597-$O597,IF($C597="X",0,-$O597)),2),0)</f>
        <v>0</v>
      </c>
      <c r="AI597" s="198">
        <f>IF($K597=AI$3,ROUND(IF(OR($C597="W",$C597="1/2W",$C597="1/2L"),$P597-$O597,IF($C597="X",0,-$O597)),2),0)</f>
        <v>0</v>
      </c>
      <c r="AJ597" s="198">
        <f>IF($K597=AJ$3,ROUND(IF(OR($C597="W",$C597="1/2W",$C597="1/2L"),$P597-$O597,IF($C597="X",0,-$O597)),2),0)</f>
        <v>0</v>
      </c>
      <c r="AK597" s="198">
        <f>IF($K597=AK$3,ROUND(IF(OR($C597="W",$C597="1/2W",$C597="1/2L"),$P597-$O597,IF($C597="X",0,-$O597)),2),0)</f>
        <v>0</v>
      </c>
      <c r="AL597" s="198">
        <f>IF($K597=AL$3,ROUND(IF(OR($C597="W",$C597="1/2W",$C597="1/2L"),$P597-$O597,IF($C597="X",0,-$O597)),2),0)</f>
        <v>0</v>
      </c>
      <c r="AM597" s="198">
        <f>IF($K597=AM$3,ROUND(IF(OR($C597="W",$C597="1/2W",$C597="1/2L"),$P597-$O597,IF($C597="X",0,-$O597)),2),0)</f>
        <v>4.66</v>
      </c>
      <c r="AN597" s="198">
        <f>IF($K597=AN$3,ROUND(IF(OR($C597="W",$C597="1/2W",$C597="1/2L"),$P597-$O597,IF($C597="X",0,-$O597)),2),0)</f>
        <v>0</v>
      </c>
      <c r="AO597" s="198">
        <f>IF($K597=AO$3,ROUND(IF(OR($C597="W",$C597="1/2W",$C597="1/2L"),$P597-$O597,IF($C597="X",0,-$O597)),2),0)</f>
        <v>0</v>
      </c>
      <c r="AP597" s="198">
        <f>IF($K597=AP$3,ROUND(IF(OR($C597="W",$C597="1/2W",$C597="1/2L"),$P597-$O597,IF($C597="X",0,-$O597)),2),0)</f>
        <v>0</v>
      </c>
      <c r="AQ597" s="198">
        <f>IF($K597=AQ$3,ROUND(IF(OR($C597="W",$C597="1/2W",$C597="1/2L"),$P597-$O597,IF($C597="X",0,-$O597)),2),0)</f>
        <v>0</v>
      </c>
      <c r="AR597" s="199">
        <f>IF($K597=AR$3,ROUND(IF(OR($C597="W",$C597="1/2W",$C597="1/2L"),$P597-$O597,IF($C597="X",0,-$O597)),2),0)</f>
        <v>0</v>
      </c>
      <c r="AS597" s="197">
        <f>IF(AND($B595=" ",$K597=AS$3),$O597,0)</f>
        <v>0</v>
      </c>
      <c r="AT597" s="198">
        <f>IF(AND($B595=" ",K597=AT$3),$O597,0)</f>
        <v>0</v>
      </c>
      <c r="AU597" s="198">
        <f>IF(AND($B595=" ",$K597=AU$3),$O597,0)</f>
        <v>0</v>
      </c>
      <c r="AV597" s="198">
        <f>IF(AND($B595=" ",$K597=AV$3),$O597,0)</f>
        <v>0</v>
      </c>
      <c r="AW597" s="198">
        <f>IF(AND($B595=" ",$K597=AW$3),$O597,0)</f>
        <v>0</v>
      </c>
      <c r="AX597" s="198">
        <f>IF(AND($B595=" ",$K597=AX$3),$O597,0)</f>
        <v>0</v>
      </c>
      <c r="AY597" s="200">
        <f>IF(AND($B595=" ",$K597=AY$3),$O597,0)</f>
        <v>0</v>
      </c>
      <c r="AZ597" s="201">
        <f>IF(AND($B595=" ",$K597=AZ$3),$O597,0)</f>
        <v>0</v>
      </c>
      <c r="BA597" s="201">
        <f>IF(AND($B595=" ",$K597=BA$3),$O597,0)</f>
        <v>0</v>
      </c>
      <c r="BB597" s="201">
        <f>IF(AND($B595=" ",$K597=BB$3),$O597,0)</f>
        <v>0</v>
      </c>
      <c r="BC597" s="202">
        <f>IF(AND($B595=" ",$K597=BC$3),$O597,0)</f>
        <v>0</v>
      </c>
      <c r="BD597" s="198">
        <f>IF(AND($B595=" ",$K597=BD$3),$O597,0)</f>
        <v>0</v>
      </c>
      <c r="BE597" s="199">
        <f>IF(AND($B595=" ",$K597=BE$3),$O597,0)</f>
        <v>0</v>
      </c>
      <c r="BF597" s="197">
        <f>IF($K597=BF$3,IF($C597="X",0,$O597),0)</f>
        <v>0</v>
      </c>
      <c r="BG597" s="198">
        <f>IF($K597=BG$3,IF($C597="X",0,$O597),0)</f>
        <v>0</v>
      </c>
      <c r="BH597" s="198">
        <f>IF($K597=BH$3,IF($C597="X",0,$O597),0)</f>
        <v>0</v>
      </c>
      <c r="BI597" s="198">
        <f>IF($K597=BI$3,IF($C597="X",0,$O597),0)</f>
        <v>0</v>
      </c>
      <c r="BJ597" s="198">
        <f>IF($K597=BJ$3,IF($C597="X",0,$O597),0)</f>
        <v>0</v>
      </c>
      <c r="BK597" s="198">
        <f>IF($K597=BK$3,IF($C597="X",0,$O597),0)</f>
        <v>0</v>
      </c>
      <c r="BL597" s="198">
        <f>IF($K597=BL$3,IF($C597="X",0,$O597),0)</f>
        <v>0</v>
      </c>
      <c r="BM597" s="200">
        <f>IF($K597=BM$3,IF($C597="X",0,$O597),0)</f>
        <v>8.359999999999999</v>
      </c>
      <c r="BN597" s="201">
        <f>IF($K597=BN$3,IF($C597="X",0,$O597),0)</f>
        <v>0</v>
      </c>
      <c r="BO597" s="201">
        <f>IF($K597=BO$3,IF($C597="X",0,$O597),0)</f>
        <v>0</v>
      </c>
      <c r="BP597" s="201">
        <f>IF($K597=BP$3,IF($C597="X",0,$O597),0)</f>
        <v>0</v>
      </c>
      <c r="BQ597" s="202">
        <f>IF($K597=BQ$3,IF($C597="X",0,$O597),0)</f>
        <v>0</v>
      </c>
      <c r="BR597" s="199">
        <f>IF($K597=BR$3,IF($C597="X",0,$O597),0)</f>
        <v>0</v>
      </c>
      <c r="BS597" s="228"/>
      <c r="BT597" s="229"/>
      <c r="BU597" s="140"/>
      <c r="BV597" s="229"/>
      <c r="BW597" s="140"/>
      <c r="BX597" s="140"/>
      <c r="BY597" s="140"/>
      <c r="BZ597" s="229"/>
      <c r="CA597" s="140"/>
      <c r="CB597" s="140"/>
      <c r="CC597" s="140"/>
      <c r="CD597" s="141"/>
      <c r="CE597" s="142"/>
      <c r="CF597" s="230">
        <f>IF(CF$3=$K597,IF($C597="W",1,IF($C597="1/2W",0.5,0)),0)</f>
        <v>0</v>
      </c>
      <c r="CG597" s="231">
        <f>IF(CF$3=$K597,IF($C597="L",1,IF($C597="1/2L",0.5,0)),0)</f>
        <v>0</v>
      </c>
      <c r="CH597" s="231">
        <f>IF(CH$3=$K597,IF($C597="W",1,IF($C597="1/2W",0.5,0)),0)</f>
        <v>0</v>
      </c>
      <c r="CI597" s="231">
        <f>IF(CH$3=$K597,IF($C597="L",1,IF($C597="1/2L",0.5,0)),0)</f>
        <v>0</v>
      </c>
      <c r="CJ597" s="231">
        <f>IF(CJ$3=$K597,IF($C597="W",1,IF($C597="1/2W",0.5,0)),0)</f>
        <v>0</v>
      </c>
      <c r="CK597" s="231">
        <f>IF(CJ$3=$K597,IF($C597="L",1,IF($C597="1/2L",0.5,0)),0)</f>
        <v>0</v>
      </c>
      <c r="CL597" s="231">
        <f>IF(CL$3=$K597,IF($C597="W",1,IF($C597="1/2W",0.5,0)),0)</f>
        <v>0</v>
      </c>
      <c r="CM597" s="231">
        <f>IF(CL$3=$K597,IF($C597="L",1,IF($C597="1/2L",0.5,0)),0)</f>
        <v>0</v>
      </c>
      <c r="CN597" s="231">
        <f>IF(CN$3=$K597,IF($C597="W",1,IF($C597="1/2W",0.5,0)),0)</f>
        <v>0</v>
      </c>
      <c r="CO597" s="231">
        <f>IF(CN$3=$K597,IF($C597="L",1,IF($C597="1/2L",0.5,0)),0)</f>
        <v>0</v>
      </c>
      <c r="CP597" s="231">
        <f>IF(CP$3=$K597,IF($C597="W",1,IF($C597="1/2W",0.5,0)),0)</f>
        <v>0</v>
      </c>
      <c r="CQ597" s="231">
        <f>IF(CP$3=$K597,IF($C597="L",1,IF($C597="1/2L",0.5,0)),0)</f>
        <v>0</v>
      </c>
      <c r="CR597" s="231">
        <f>IF(CR$3=$K597,IF($C597="W",1,IF($C597="1/2W",0.5,0)),0)</f>
        <v>0</v>
      </c>
      <c r="CS597" s="231">
        <f>IF(CR$3=$K597,IF($C597="L",1,IF($C597="1/2L",0.5,0)),0)</f>
        <v>0</v>
      </c>
      <c r="CT597" s="208">
        <f>IF(CT$3=$K597,IF($C597="W",1,IF($C597="1/2W",0.5,0)),0)</f>
        <v>1</v>
      </c>
      <c r="CU597" s="209">
        <f>IF(CT$3=$K597,IF($C597="L",1,IF($C597="1/2L",0.5,0)),0)</f>
        <v>0</v>
      </c>
      <c r="CV597" s="209">
        <f>IF(CV$3=$K597,IF($C597="W",1,IF($C597="1/2W",0.5,0)),0)</f>
        <v>0</v>
      </c>
      <c r="CW597" s="209">
        <f>IF(CV$3=$K597,IF($C597="L",1,IF($C597="1/2L",0.5,0)),0)</f>
        <v>0</v>
      </c>
      <c r="CX597" s="209">
        <f>IF(CX$3=$K597,IF($C597="W",1,IF($C597="1/2W",0.5,0)),0)</f>
        <v>0</v>
      </c>
      <c r="CY597" s="209">
        <f>IF(CX$3=$K597,IF($C597="L",1,IF($C597="1/2L",0.5,0)),0)</f>
        <v>0</v>
      </c>
      <c r="CZ597" s="209">
        <f>IF(CZ$3=$K597,IF($C597="W",1,IF($C597="1/2W",0.5,0)),0)</f>
        <v>0</v>
      </c>
      <c r="DA597" s="209">
        <f>IF(CZ$3=$K597,IF($C597="L",1,IF($C597="1/2L",0.5,0)),0)</f>
        <v>0</v>
      </c>
      <c r="DB597" s="209">
        <f>IF(DB$3=$K597,IF($C597="W",1,IF($C597="1/2W",0.5,0)),0)</f>
        <v>0</v>
      </c>
      <c r="DC597" s="209">
        <f>IF(DB$3=$K597,IF($C597="L",1,IF($C597="1/2L",0.5,0)),0)</f>
        <v>0</v>
      </c>
      <c r="DD597" s="209">
        <f>IF(DD$3=$K597,IF($C597="W",1,IF($C597="1/2W",0.5,0)),0)</f>
        <v>0</v>
      </c>
      <c r="DE597" s="210">
        <f>IF(DD$3=$K597,IF($C597="L",1,IF($C597="1/2L",0.5,0)),0)</f>
        <v>0</v>
      </c>
      <c r="DF597" s="211">
        <f>IF(AND(L597&lt;DF$3,$C597="W"),1+DF596,DF596)</f>
        <v>17</v>
      </c>
      <c r="DG597" s="198">
        <f>IF(DF597&gt;DF596,L597+DG596,DG596)</f>
        <v>22.628</v>
      </c>
      <c r="DH597" s="209">
        <f>IF(AND(L597&gt;DH$3,$C597="W"),1+DH596,0+DH596)</f>
        <v>16</v>
      </c>
      <c r="DI597" s="198">
        <f>IF(DH597&gt;DH596,L597+DI596,DI596)</f>
        <v>85.45999999999999</v>
      </c>
      <c r="DJ597" t="s" s="306">
        <f>IF($D595="","",$D595)</f>
        <v>431</v>
      </c>
      <c r="DK597" s="232"/>
    </row>
    <row r="598" ht="14.55" customHeight="1">
      <c r="A598" s="246">
        <f>$A595+1</f>
        <v>199</v>
      </c>
      <c r="B598" t="s" s="247">
        <f>IF(AND(_xlfn.XLOOKUP(H598,H$107:H377,G$107:G377,0)=G598,_xlfn.XLOOKUP("TempoBet",K598:K600,L598:L600,0)&gt;0),"X",IF(OR(C598="W",C599="W",C600="W",C598="1/2W",C599="1/2W",C600="1/2W",C598="1/2L",C599="1/2L",C600="1/2L"),"OK",IF(OR(C598="L",C599="L",C600="L"),"LOSS",IF(OR(C598="X",C599="X",C600="X"),"Anulado"," "))))</f>
        <v>50</v>
      </c>
      <c r="C598" t="s" s="248">
        <v>51</v>
      </c>
      <c r="D598" t="s" s="303">
        <f>IF(G598="","",$D595)</f>
        <v>431</v>
      </c>
      <c r="E598" t="s" s="250">
        <v>124</v>
      </c>
      <c r="F598" t="s" s="251">
        <f>IF(G598="","",IF(OR(AND($C598&lt;&gt;" ",$C599=" "),AND($C599&lt;&gt;" ",$C598=" "),AND(L600&gt;0,OR(AND($C600&lt;&gt;" ",OR($C598=" ",$C599=" ")),AND($C600=" ",OR($C598&lt;&gt;" ",$C599&lt;&gt;" "))))),IF(SUM(F$4:F597)=0,1,LARGE(F$4:F597,1)+1),IF(MONTH(G598)=MONTH(TODAY()),IF(AND(DAY(G598)&lt;DAY(TODAY()),$B598=" "),IF(SUM(F$4:F597)=0,1,LARGE(F$4:F597,1)+1),IF($B598=" ",IF(AND(DAY(G598)=DAY(TODAY()),HOUR(G598)&lt;=HOUR(NOW())+1),IF(AND(HOUR(G598)+2&lt;=HOUR(NOW()),DAY(G598)&lt;=DAY(TODAY()),MINUTE(G598)&lt;=MINUTE(NOW())),IF(SUM(F$4:F597)=0,1,LARGE(F$4:F597,1)+1),IF(OR(MINUTE(G598)&lt;=MINUTE(NOW()),HOUR(G598)&lt;=HOUR(NOW())),"!!!","")),""),"")),"")))</f>
      </c>
      <c r="G598" s="252">
        <v>44955.541666666664</v>
      </c>
      <c r="H598" t="s" s="253">
        <v>444</v>
      </c>
      <c r="I598" t="s" s="254">
        <v>65</v>
      </c>
      <c r="J598" s="255">
        <v>10</v>
      </c>
      <c r="K598" t="s" s="256">
        <v>48</v>
      </c>
      <c r="L598" s="257">
        <v>3.05</v>
      </c>
      <c r="M598" s="258"/>
      <c r="N598" s="259">
        <v>0</v>
      </c>
      <c r="O598" s="260">
        <f>IF(OR(AE598="",AE599=""),"",ROUND(IF(L600&gt;0,IF(M598&gt;0,M598,IF(M599&gt;0,ROUND((M599*AE598)/AE599,IF(N598=0,2,IF(N598=0.1,1,0))),ROUND((M600*AE598)/AE600,IF(N598=0,2,IF(N598=0.1,1,0))))),IF(M598&gt;0,M598,ROUND((M599*AE598)/AE599,IF(N598=0,2,IF(N598=0.1,1,0))))),2))</f>
        <v>5.62</v>
      </c>
      <c r="P598" s="261">
        <f>IF(OR(L598="",O598=""),"",IF($C598="1/2W",O598/2+O598/2*L598,IF($C598="1/2L",O598/2,IF(I598="Lay",(O598*(L598/(L598-1))-O598)*(1-_xlfn.XLOOKUP(K598,'Janeiro 2023 - Valor Real'!A3:A15,'Janeiro 2023 - Valor Real'!C3:C15,0))+O598,(O598*L598-O598)*(1-_xlfn.XLOOKUP(K598,'Janeiro 2023 - Valor Real'!A3:A15,'Janeiro 2023 - Valor Real'!C3:C15,0))+O598))))</f>
        <v>17.141</v>
      </c>
      <c r="Q598" s="262">
        <f>IF(K598="","",IF(_xlfn.XLOOKUP(K598,K$107:K377,DJ$107:DJ377,0,,-1)=DJ598,_xlfn.XLOOKUP(K598,K$107:K377,Q$107:Q377,1,,-1)+1,1))</f>
        <v>1</v>
      </c>
      <c r="R598" s="263">
        <f>IF(K598="","",_xlfn.XLOOKUP(K598,K$107:K377,R$107:R377,0,,-1)+IF($C598=" ",1,0))</f>
        <v>0</v>
      </c>
      <c r="S598" s="264">
        <f>IF($B598="Anulado",0,ROUND(IF(OR($B598="LOSS",$B598="OK"),IF(OR($C598="W",$C598="1/2W",$C598="1/2L"),P598-O598,IF($C598="L",-O598,0))+IF(OR($C599="W",$C599="1/2W",$C599="1/2L"),P599-O599,IF($C599="L",-O599,0))+IF(OR($C600="W",$C600="1/2W",$C600="1/2L"),P600-O600,IF($C600="L",-O600,0)),IF(AND(OR($C598="W",$C598="1/2W",$C598="1/2L"),C599="W"),P598+P599-SUM(O598:O600)+_xlfn.XLOOKUP("X",C598:C600,O598:O600,0),IF(AND(C598=TRUE,C600="W"),P598+P600-SUM(O598:O600),IF(AND(C599="W",C600="W"),P599+P600-SUM(O598:O600)+_xlfn.XLOOKUP("X",C598:C600,O598:O600,0),IF(L600&gt;0,IF(OR($C598="W",$C598="1/2W",$C598="1/2L"),P598-SUM(O598:O600)+_xlfn.XLOOKUP("X",C598:C600,O598:O600,0),IF(OR($C598="W",$C598="1/2W",$C598="1/2L"),P599-SUM(O598:O600)+_xlfn.XLOOKUP("X",C598:C600,O598:O600,0),IF(OR($C598="W",$C598="1/2W",$C598="1/2L"),P600-SUM(O598:O600)+_xlfn.XLOOKUP("X",C598:C600,O598:O600,0),IF(SUM(P598:P600)/3-SUM(O598:O600)+_xlfn.XLOOKUP("X",C598:C600,O598:O600,0)&gt;0,SUM(P598:P600)/3-SUM(O598:O600)+_xlfn.XLOOKUP("X",C598:C600,O598:O600,0),LARGE(P598:P600,1)-SUM(O598:O600))))),IF(OR($C598="W",$C598="1/2W",$C598="1/2L"),P598-SUM(O598:O599)+_xlfn.XLOOKUP("X",C598:C600,O598:O600,0),IF(OR($C598="W",$C598="1/2W",$C598="1/2L"),P599-SUM(O598:O599)+_xlfn.XLOOKUP("X",C598:C600,O598:O600,0),SUM(P598:P599)/2-SUM(O598:O599)+_xlfn.XLOOKUP("X",C598:C600,O598:O600,0)))))))),2))</f>
        <v>1.13</v>
      </c>
      <c r="T598" s="265">
        <f>IF(S598=0,0,S598/SUM(O598:O600))</f>
        <v>0.07062499999999999</v>
      </c>
      <c r="U598" s="266">
        <f>IF($D598=$D595,IF(OR($B598="LOSS",$B598="OK",$B598="Anulada"),S598,0)+U595,IF(OR($B598="LOSS",$B598="OK",$B598="Anulada"),S598,0))</f>
        <v>12.64</v>
      </c>
      <c r="V598" s="266">
        <f>IF($D598="",0,IF($D598=$D595,IF($B598=" ",IF(I600="",IF(OR(AND(I598="DNB1",I599="DNB2"),AND(OR(I598="DNB1",I598="DNB2"),J599=0),AND(OR(I599="DNB1",I599="DNB2"),J598=0),AND(I598="DNB2",I599="DNB1"),AND(IF(J598=0,(J598+1)/ROUND(J598+1,0),J598/ROUND(J598,0))=1,IF(J599=0,(J599+1)/ROUND(IF(J599="",0,J599)+1,0),IF(J599="",0,J599)/ROUND(IF(J599="",1,J599),0))=1,OR(J598&lt;&gt;""),J599&lt;&gt;"")),0,IF(S598&lt;0,IF(I600="",SMALL(P598:P599,1)-SUM(O598:O599),0),SMALL(P598:P599,1)-SUM(O598:O599))),IF(S598&lt;0,IF(I600="",SMALL(P598:P600,1)-SUM(O598:O600),0),LARGE(P598:P600,1)-SUM(O598:O600))),S598)+V595,IF(I600="",IF(OR(AND(I598="DNB1",I599="DNB2"),AND(OR(I598="DNB1",I598="DNB2"),J599=0),AND(OR(I599="DNB1",I599="DNB2"),J598=0),AND(I598="DNB2",I599="DNB1"),AND(IF(J598=0,(J598+1)/ROUND(J598+1,0),J598/ROUND(J598,0))=1,IF(J599=0,(IF(J599="",0,J599)+1)/ROUND(IF(J599="",0,J599)+1,0),IF(J599="",0,J599)/ROUND(IF(J599="",0,J599)+1,0))=1,OR(J598&lt;&gt;""),J599&lt;&gt;"")),0,IF(S598&lt;0,IF(I600="",SMALL(P598:P599,1)-SUM(O598:O599),0),SMALL(P598:P600,1)-SUM(O598:O600))),IF(S598&lt;0,IF(I600="",SMALL(P598:P600,1)-SUM(O598:O600),0),LARGE(P598:P600,1)-SUM(O598:O600)))))</f>
        <v>12.612</v>
      </c>
      <c r="W598" s="266">
        <f>IF($D598=$D595,IF(S598&lt;0,IF(I600="",S598,0),S598)+W595,S598)</f>
        <v>12.64</v>
      </c>
      <c r="X598" t="s" s="267">
        <f>IF(OR(SUM(R598:R600)=0,V598=W598),ROUND(IF(W598=0,0,W598/Y598)*100,2)&amp;"%",ROUND(IF(V598=0,0,V598/Y598)*100,2)&amp;"% a "&amp;ROUND(IF(W598=0,0,W598/Y598)*100,2)&amp;"%")</f>
        <v>445</v>
      </c>
      <c r="Y598" s="268">
        <f>IF($D598=$D595,Y595+SUM(O598:O600),SUM(O598:O600))</f>
        <v>192.05</v>
      </c>
      <c r="Z598" s="266">
        <f>IF($B598=" ",SUM(O598:O600),0)+Z595</f>
        <v>0</v>
      </c>
      <c r="AA598" s="266">
        <f>IF(G598="","",IF($B598="Anulado",LARGE(P598:P600,1)-SUM(O598:O600)+AA595,AA595))</f>
        <v>24.9665076923077</v>
      </c>
      <c r="AB598" s="266">
        <f>IF($D598="","",AB595+S598)</f>
        <v>400.97</v>
      </c>
      <c r="AC598" s="269">
        <f>IF($D598="","",IF($B598=" ",IF(DAY(G598)=DAY(TODAY()),1+AC595,0+AC595),0+AC595))</f>
        <v>0</v>
      </c>
      <c r="AD598" s="270">
        <f>(1-_xlfn.XLOOKUP(K596,'Janeiro 2023 - Valor Real'!A3:A15,'Janeiro 2023 - Valor Real'!C3:C15,0))+1</f>
        <v>2</v>
      </c>
      <c r="AE598" s="271">
        <f>IF(L598="","",IF(L600&gt;0,(SUM(((L598-1)*(1-_xlfn.XLOOKUP(K598,'Janeiro 2023 - Valor Real'!A3:A15,'Janeiro 2023 - Valor Real'!C3:C15,0))+1),((L599-1)*(1-_xlfn.XLOOKUP(K599,'Janeiro 2023 - Valor Real'!A3:A15,'Janeiro 2023 - Valor Real'!C3:C15,0))+1),((L600-1)*(1-_xlfn.XLOOKUP(K600,'Janeiro 2023 - Valor Real'!A3:A15,'Janeiro 2023 - Valor Real'!C3:C15,0))+1))/((L598-1)*(1-_xlfn.XLOOKUP(K598,'Janeiro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Real'!C3:C15,0))+1))/((L598-1)*(1-_xlfn.XLOOKUP(K598,'Janeiro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Real'!C3:C15,0))+1))/((L599-1)*(1-_xlfn.XLOOKUP(K599,'Janeiro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Real'!C3:C15,0))+1))/((L600-1)*(1-_xlfn.XLOOKUP(K600,'Janeiro 2023 - Valor Real'!A3:A15,'Janeiro 2023 - Valor Real'!C3:C15,0))+1)),IF(I598="Lay",IF(I599="Lay",((L599/(L599-1)-1)*(1-_xlfn.XLOOKUP(K599,'Janeiro 2023 - Valor Real'!A3:A15,'Janeiro 2023 - Valor Real'!C3:C15,0))+1)/(((L599/(L599-1)-1)*(1-_xlfn.XLOOKUP(K599,'Janeiro 2023 - Valor Real'!A3:A15,'Janeiro 2023 - Valor Real'!C3:C15,0))+1)+((L598/(L598-1)-1)*(1-_xlfn.XLOOKUP(K598,'Janeiro 2023 - Valor Real'!A3:A15,'Janeiro 2023 - Valor Real'!C3:C15,0))+1)),((L599-1)*(1-_xlfn.XLOOKUP(K599,'Janeiro 2023 - Valor Real'!A3:A15,'Janeiro 2023 - Valor Real'!C3:C15,0))+1)/(((L599-1)*(1-_xlfn.XLOOKUP(K599,'Janeiro 2023 - Valor Real'!A3:A15,'Janeiro 2023 - Valor Real'!C3:C15,0))+1)+((L598/(L598-1)-1)*(1-_xlfn.XLOOKUP(K598,'Janeiro 2023 - Valor Real'!A3:A15,'Janeiro 2023 - Valor Real'!C3:C15,0))+1))),IF(I599="Lay",(((L599/(L599-1)-1)*(1-_xlfn.XLOOKUP(K599,'Janeiro 2023 - Valor Real'!A3:A15,'Janeiro 2023 - Valor Real'!C3:C15,0))+1))/(((L598-1)*(1-_xlfn.XLOOKUP(K598,'Janeiro 2023 - Valor Real'!A3:A15,'Janeiro 2023 - Valor Real'!C3:C15,0))+1)+((L599/(L599-1)-1)*(1-_xlfn.XLOOKUP(K599,'Janeiro 2023 - Valor Real'!A3:A15,'Janeiro 2023 - Valor Real'!C3:C15,0))+1)),((L599-1)*(1-_xlfn.XLOOKUP(K599,'Janeiro 2023 - Valor Real'!A3:A15,'Janeiro 2023 - Valor Real'!C3:C15,0))+1)/(((L599-1)*(1-_xlfn.XLOOKUP(K599,'Janeiro 2023 - Valor Real'!A3:A15,'Janeiro 2023 - Valor Real'!C3:C15,0))+1)+((L598-1)*(1-_xlfn.XLOOKUP(K598,'Janeiro 2023 - Valor Real'!A3:A15,'Janeiro 2023 - Valor Real'!C3:C15,0))+1))))))</f>
        <v>0.351063829787234</v>
      </c>
      <c r="AF598" s="132">
        <f>IF($K598=AF$3,ROUND(IF(OR($C598="W",$C598="1/2W",$C598="1/2L"),$P598-$O598,IF($C598="X",0,-$O598)),2),0)</f>
        <v>0</v>
      </c>
      <c r="AG598" s="133">
        <f>IF($K598=AG$3,ROUND(IF(OR($C598="W",$C598="1/2W",$C598="1/2L"),$P598-$O598,IF($C598="X",0,-$O598)),2),0)</f>
        <v>0</v>
      </c>
      <c r="AH598" s="133">
        <f>IF($K598=AH$3,ROUND(IF(OR($C598="W",$C598="1/2W",$C598="1/2L"),$P598-$O598,IF($C598="X",0,-$O598)),2),0)</f>
        <v>0</v>
      </c>
      <c r="AI598" s="133">
        <f>IF($K598=AI$3,ROUND(IF(OR($C598="W",$C598="1/2W",$C598="1/2L"),$P598-$O598,IF($C598="X",0,-$O598)),2),0)</f>
        <v>0</v>
      </c>
      <c r="AJ598" s="133">
        <f>IF($K598=AJ$3,ROUND(IF(OR($C598="W",$C598="1/2W",$C598="1/2L"),$P598-$O598,IF($C598="X",0,-$O598)),2),0)</f>
        <v>0</v>
      </c>
      <c r="AK598" s="133">
        <f>IF($K598=AK$3,ROUND(IF(OR($C598="W",$C598="1/2W",$C598="1/2L"),$P598-$O598,IF($C598="X",0,-$O598)),2),0)</f>
        <v>0</v>
      </c>
      <c r="AL598" s="133">
        <f>IF($K598=AL$3,ROUND(IF(OR($C598="W",$C598="1/2W",$C598="1/2L"),$P598-$O598,IF($C598="X",0,-$O598)),2),0)</f>
        <v>0</v>
      </c>
      <c r="AM598" s="133">
        <f>IF($K598=AM$3,ROUND(IF(OR($C598="W",$C598="1/2W",$C598="1/2L"),$P598-$O598,IF($C598="X",0,-$O598)),2),0)</f>
        <v>0</v>
      </c>
      <c r="AN598" s="133">
        <f>IF($K598=AN$3,ROUND(IF(OR($C598="W",$C598="1/2W",$C598="1/2L"),$P598-$O598,IF($C598="X",0,-$O598)),2),0)</f>
        <v>0</v>
      </c>
      <c r="AO598" s="133">
        <f>IF($K598=AO$3,ROUND(IF(OR($C598="W",$C598="1/2W",$C598="1/2L"),$P598-$O598,IF($C598="X",0,-$O598)),2),0)</f>
        <v>0</v>
      </c>
      <c r="AP598" s="133">
        <f>IF($K598=AP$3,ROUND(IF(OR($C598="W",$C598="1/2W",$C598="1/2L"),$P598-$O598,IF($C598="X",0,-$O598)),2),0)</f>
        <v>0</v>
      </c>
      <c r="AQ598" s="133">
        <f>IF($K598=AQ$3,ROUND(IF(OR($C598="W",$C598="1/2W",$C598="1/2L"),$P598-$O598,IF($C598="X",0,-$O598)),2),0)</f>
        <v>-5.62</v>
      </c>
      <c r="AR598" s="134">
        <f>IF($K598=AR$3,ROUND(IF(OR($C598="W",$C598="1/2W",$C598="1/2L"),$P598-$O598,IF($C598="X",0,-$O598)),2),0)</f>
        <v>0</v>
      </c>
      <c r="AS598" s="132">
        <f>IF(AND($B598=" ",$K598=AS$3),$O598,0)</f>
        <v>0</v>
      </c>
      <c r="AT598" s="133">
        <f>IF(AND($B598=" ",$K598=AT$3),$O598,0)</f>
        <v>0</v>
      </c>
      <c r="AU598" s="133">
        <f>IF(AND($B598=" ",$K598=AU$3),$O598,0)</f>
        <v>0</v>
      </c>
      <c r="AV598" s="133">
        <f>IF(AND($B598=" ",$K598=AV$3),$O598,0)</f>
        <v>0</v>
      </c>
      <c r="AW598" s="133">
        <f>IF(AND($B598=" ",$K598=AW$3),$O598,0)</f>
        <v>0</v>
      </c>
      <c r="AX598" s="133">
        <f>IF(AND($B598=" ",$K598=AX$3),$O598,0)</f>
        <v>0</v>
      </c>
      <c r="AY598" s="135">
        <f>IF(AND($B598=" ",$K598=AY$3),$O598,0)</f>
        <v>0</v>
      </c>
      <c r="AZ598" s="136">
        <f>IF(AND($B598=" ",$K598=AZ$3),$O598,0)</f>
        <v>0</v>
      </c>
      <c r="BA598" s="136">
        <f>IF(AND($B598=" ",$K598=BA$3),$O598,0)</f>
        <v>0</v>
      </c>
      <c r="BB598" s="136">
        <f>IF(AND($B598=" ",$K598=BB$3),$O598,0)</f>
        <v>0</v>
      </c>
      <c r="BC598" s="137">
        <f>IF(AND($B598=" ",$K598=BC$3),$O598,0)</f>
        <v>0</v>
      </c>
      <c r="BD598" s="133">
        <f>IF(AND($B598=" ",$K598=BD$3),$O598,0)</f>
        <v>0</v>
      </c>
      <c r="BE598" s="134">
        <f>IF(AND($B598=" ",$K598=BE$3),$O598,0)</f>
        <v>0</v>
      </c>
      <c r="BF598" s="132">
        <f>IF($K598=BF$3,IF($C598="X",0,$O598),0)</f>
        <v>0</v>
      </c>
      <c r="BG598" s="133">
        <f>IF($K598=BG$3,IF($C598="X",0,$O598),0)</f>
        <v>0</v>
      </c>
      <c r="BH598" s="133">
        <f>IF($K598=BH$3,IF($C598="X",0,$O598),0)</f>
        <v>0</v>
      </c>
      <c r="BI598" s="133">
        <f>IF($K598=BI$3,IF($C598="X",0,$O598),0)</f>
        <v>0</v>
      </c>
      <c r="BJ598" s="133">
        <f>IF($K598=BJ$3,IF($C598="X",0,$O598),0)</f>
        <v>0</v>
      </c>
      <c r="BK598" s="133">
        <f>IF($K598=BK$3,IF($C598="X",0,$O598),0)</f>
        <v>0</v>
      </c>
      <c r="BL598" s="133">
        <f>IF($K598=BL$3,IF($C598="X",0,$O598),0)</f>
        <v>0</v>
      </c>
      <c r="BM598" s="135">
        <f>IF($K598=BM$3,IF($C598="X",0,$O598),0)</f>
        <v>0</v>
      </c>
      <c r="BN598" s="136">
        <f>IF($K598=BN$3,IF($C598="X",0,$O598),0)</f>
        <v>0</v>
      </c>
      <c r="BO598" s="136">
        <f>IF($K598=BO$3,IF($C598="X",0,$O598),0)</f>
        <v>0</v>
      </c>
      <c r="BP598" s="136">
        <f>IF($K598=BP$3,IF($C598="X",0,$O598),0)</f>
        <v>0</v>
      </c>
      <c r="BQ598" s="137">
        <f>IF($K598=BQ$3,IF($C598="X",0,$O598),0)</f>
        <v>5.62</v>
      </c>
      <c r="BR598" s="134">
        <f>IF($K598=BR$3,IF($C598="X",0,$O598),0)</f>
        <v>0</v>
      </c>
      <c r="BS598" s="170">
        <f>IF($B598="LOSS",IF(AND($K598=BS$3,$C598="L"),-$O598,0)+IF(AND($K599=BS$3,$C599="L"),-$O599,0)+IF(AND($K600=BS$3,$C600="L"),-$O600,0),IF(OR(AND($K598=BS$3,OR($C598="W",$C598="1/2W")),AND($K599=BS$3,OR($C599="W",$C599="1/2W")),AND($K600=BS$3,OR($C600="W",$C600="1/2W"))),$S598,0))</f>
        <v>0</v>
      </c>
      <c r="BT598" s="272">
        <f>IF($B598="LOSS",IF(AND($K598=BT$3,$C598="L"),-$O598,0)+IF(AND($K599=BT$3,$C599="L"),-$O599,0)+IF(AND($K599=BT$3,$C600="L"),-$O600,0),IF(OR(AND($K599=BT$3,OR($C598="W",$C598="1/2W")),AND($K599=BT$3,OR($C599="W",$C599="1/2W")),AND($K599=BT$3,OR($C600="W",$C600="1/2W"))),$S598,0))</f>
        <v>0</v>
      </c>
      <c r="BU598" s="136">
        <f>IF($B598="LOSS",IF(AND($K598=BU$3,$C598="L"),-$O598,0)+IF(AND($K599=BU$3,$C599="L"),-$O599,0)+IF(AND($K599=BU$3,$C600="L"),-$O600,0),IF(OR(AND($K599=BU$3,OR($C598="W",$C598="1/2W")),AND($K599=BU$3,OR($C599="W",$C599="1/2W")),AND($K599=BU$3,OR($C600="W",$C600="1/2W"))),$S598,0))</f>
        <v>0</v>
      </c>
      <c r="BV598" s="136">
        <f>IF($B598="LOSS",IF(AND($K598=BV$3,$C598="L"),-$O598,0)+IF(AND($K599=BV$3,$C599="L"),-$O599,0)+IF(AND($K600=BV$3,$C600="L"),-$O600,0),IF(OR(AND($K598=BV$3,OR($C598="W",$C598="1/2W")),AND($K599=BV$3,OR($C599="W",$C599="1/2W")),AND($K600=BV$3,OR($C600="W",$C600="1/2W"))),$S598,0))</f>
        <v>0</v>
      </c>
      <c r="BW598" s="136">
        <f>IF($B598="LOSS",IF(AND($K598=BW$3,$C598="L"),-$O598,0)+IF(AND($K599=BW$3,$C599="L"),-$O599,0)+IF(AND($K600=BW$3,$C600="L"),-$O600,0),IF(OR(AND($K598=BW$3,OR($C598="W",$C598="1/2W")),AND($K599=BW$3,OR($C599="W",$C599="1/2W")),AND($K600=BW$3,OR($C600="W",$C600="1/2W"))),$S598,0))</f>
        <v>1.13</v>
      </c>
      <c r="BX598" s="136">
        <f>IF($B598="LOSS",IF(AND($K598=BX$3,$C598="L"),-$O598,0)+IF(AND($K599=BX$3,$C599="L"),-$O599,0)+IF(AND($K600=BX$3,$C600="L"),-$O600,0),IF(OR(AND($K598=BX$3,OR($C598="W",$C598="1/2W")),AND($K599=BX$3,OR($C599="W",$C599="1/2W")),AND($K600=BX$3,OR($C600="W",$C600="1/2W"))),$S598,0))</f>
        <v>0</v>
      </c>
      <c r="BY598" s="136">
        <f>IF($B598="LOSS",IF(AND($K598=BY$3,$C598="L"),-$O598,0)+IF(AND($K599=BY$3,$C599="L"),-$O599,0)+IF(AND($K600=BY$3,$C600="L"),-$O600,0),IF(OR(AND($K598=BY$3,OR($C598="W",$C598="1/2W")),AND($K599=BY$3,OR($C599="W",$C599="1/2W")),AND($K600=BY$3,OR($C600="W",$C600="1/2W"))),$S598,0))</f>
        <v>0</v>
      </c>
      <c r="BZ598" s="136">
        <f>IF($B598="LOSS",IF(AND($K598=BZ$3,$C598="L"),-$O598,0)+IF(AND($K599=BZ$3,$C599="L"),-$O599,0)+IF(AND($K600=BZ$3,$C600="L"),-$O600,0),IF(OR(AND($K598=BZ$3,OR($C598="W",$C598="1/2W")),AND($K599=BZ$3,OR($C599="W",$C599="1/2W")),AND($K600=BZ$3,OR($C600="W",$C600="1/2W"))),$S598,0))</f>
        <v>0</v>
      </c>
      <c r="CA598" s="136">
        <f>IF($B598="LOSS",IF(AND($K598=CA$3,$C598="L"),-$O598,0)+IF(AND($K599=CA$3,$C599="L"),-$O599,0)+IF(AND($K600=CA$3,$C600="L"),-$O600,0),IF(OR(AND($K598=CA$3,OR($C598="W",$C598="1/2W")),AND($K599=CA$3,OR($C599="W",$C599="1/2W")),AND($K600=CA$3,OR($C600="W",$C600="1/2W"))),$S598,0))</f>
        <v>0</v>
      </c>
      <c r="CB598" s="136">
        <f>IF($B598="LOSS",IF(AND($K598=CB$3,$C598="L"),-$O598,0)+IF(AND($K599=CB$3,$C599="L"),-$O599,0)+IF(AND($K600=CB$3,$C600="L"),-$O600,0),IF(OR(AND($K598=CB$3,OR($C598="W",$C598="1/2W")),AND($K599=CB$3,OR($C599="W",$C599="1/2W")),AND($K600=CB$3,OR($C600="W",$C600="1/2W"))),$S598,0))</f>
        <v>0</v>
      </c>
      <c r="CC598" s="136">
        <f>IF($B598="LOSS",IF(AND($K598=CC$3,$C598="L"),-$O598,0)+IF(AND($K599=CC$3,$C599="L"),-$O599,0)+IF(AND($K600=CC$3,$C600="L"),-$O600,0),IF(OR(AND($K598=CC$3,OR($C598="W",$C598="1/2W")),AND($K599=CC$3,OR($C599="W",$C599="1/2W")),AND($K600=CC$3,OR($C600="W",$C600="1/2W"))),$S598,0))</f>
        <v>0</v>
      </c>
      <c r="CD598" s="137">
        <f>IF($B598="LOSS",IF(AND($K598=CD$3,$C598="L"),-$O598,0)+IF(AND($K599=CD$3,$C599="L"),-$O599,0)+IF(AND($K600=CD$3,$C600="L"),-$O600,0),IF(OR(AND($K598=CD$3,OR($C598="W",$C598="1/2W")),AND($K599=CD$3,OR($C599="W",$C599="1/2W")),AND($K600=CD$3,OR($C600="W",$C600="1/2W"))),$S598,0))</f>
        <v>0</v>
      </c>
      <c r="CE598" s="134">
        <f>IF($B598="LOSS",IF(AND($K598=CE$3,$C598="L"),-$O598,0)+IF(AND($K599=CE$3,$C599="L"),-$O599,0)+IF(AND($K600=CE$3,$C600="L"),-$O600,0),IF(OR(AND($K598=CE$3,OR($C598="W",$C598="1/2W")),AND($K599=CE$3,OR($C599="W",$C599="1/2W")),AND($K600=CE$3,OR($C600="W",$C600="1/2W"))),$S598,0))</f>
        <v>0</v>
      </c>
      <c r="CF598" s="273">
        <f>IF(CF$3=$K598,IF($C598="W",1,IF($C598="1/2W",0.5,0)),0)</f>
        <v>0</v>
      </c>
      <c r="CG598" s="274">
        <f>IF(CF$3=$K598,IF($C598="L",1,IF($C598="1/2L",0.5,0)),0)</f>
        <v>0</v>
      </c>
      <c r="CH598" s="274">
        <f>IF(CH$3=$K598,IF($C598="W",1,IF($C598="1/2W",0.5,0)),0)</f>
        <v>0</v>
      </c>
      <c r="CI598" s="274">
        <f>IF(CH$3=$K598,IF($C598="L",1,IF($C598="1/2L",0.5,0)),0)</f>
        <v>0</v>
      </c>
      <c r="CJ598" s="274">
        <f>IF(CJ$3=$K598,IF($C598="W",1,IF($C598="1/2W",0.5,0)),0)</f>
        <v>0</v>
      </c>
      <c r="CK598" s="274">
        <f>IF(CJ$3=$K598,IF($C598="L",1,IF($C598="1/2L",0.5,0)),0)</f>
        <v>0</v>
      </c>
      <c r="CL598" s="274">
        <f>IF(CL$3=$K598,IF($C598="W",1,IF($C598="1/2W",0.5,0)),0)</f>
        <v>0</v>
      </c>
      <c r="CM598" s="274">
        <f>IF(CL$3=$K598,IF($C598="L",1,IF($C598="1/2L",0.5,0)),0)</f>
        <v>0</v>
      </c>
      <c r="CN598" s="274">
        <f>IF(CN$3=$K598,IF($C598="W",1,IF($C598="1/2W",0.5,0)),0)</f>
        <v>0</v>
      </c>
      <c r="CO598" s="274">
        <f>IF(CN$3=$K598,IF($C598="L",1,IF($C598="1/2L",0.5,0)),0)</f>
        <v>0</v>
      </c>
      <c r="CP598" s="274">
        <f>IF(CP$3=$K598,IF($C598="W",1,IF($C598="1/2W",0.5,0)),0)</f>
        <v>0</v>
      </c>
      <c r="CQ598" s="274">
        <f>IF(CP$3=$K598,IF($C598="L",1,IF($C598="1/2L",0.5,0)),0)</f>
        <v>0</v>
      </c>
      <c r="CR598" s="274">
        <f>IF(CR$3=$K598,IF($C598="W",1,IF($C598="1/2W",0.5,0)),0)</f>
        <v>0</v>
      </c>
      <c r="CS598" s="274">
        <f>IF(CR$3=$K598,IF($C598="L",1,IF($C598="1/2L",0.5,0)),0)</f>
        <v>0</v>
      </c>
      <c r="CT598" s="145">
        <f>IF(CT$3=$K598,IF($C598="W",1,IF($C598="1/2W",0.5,0)),0)</f>
        <v>0</v>
      </c>
      <c r="CU598" s="146">
        <f>IF(CT$3=$K598,IF($C598="L",1,IF($C598="1/2L",0.5,0)),0)</f>
        <v>0</v>
      </c>
      <c r="CV598" s="146">
        <f>IF(CV$3=$K598,IF($C598="W",1,IF($C598="1/2W",0.5,0)),0)</f>
        <v>0</v>
      </c>
      <c r="CW598" s="146">
        <f>IF(CV$3=$K598,IF($C598="L",1,IF($C598="1/2L",0.5,0)),0)</f>
        <v>0</v>
      </c>
      <c r="CX598" s="146">
        <f>IF(CX$3=$K598,IF($C598="W",1,IF($C598="1/2W",0.5,0)),0)</f>
        <v>0</v>
      </c>
      <c r="CY598" s="146">
        <f>IF(CX$3=$K598,IF($C598="L",1,IF($C598="1/2L",0.5,0)),0)</f>
        <v>0</v>
      </c>
      <c r="CZ598" s="146">
        <f>IF(CZ$3=$K598,IF($C598="W",1,IF($C598="1/2W",0.5,0)),0)</f>
        <v>0</v>
      </c>
      <c r="DA598" s="146">
        <f>IF(CZ$3=$K598,IF($C598="L",1,IF($C598="1/2L",0.5,0)),0)</f>
        <v>0</v>
      </c>
      <c r="DB598" s="146">
        <f>IF(DB$3=$K598,IF($C598="W",1,IF($C598="1/2W",0.5,0)),0)</f>
        <v>0</v>
      </c>
      <c r="DC598" s="146">
        <f>IF(DB$3=$K598,IF($C598="L",1,IF($C598="1/2L",0.5,0)),0)</f>
        <v>1</v>
      </c>
      <c r="DD598" s="146">
        <f>IF(DD$3=$K598,IF($C598="W",1,IF($C598="1/2W",0.5,0)),0)</f>
        <v>0</v>
      </c>
      <c r="DE598" s="147">
        <f>IF(DD$3=$K598,IF($C598="L",1,IF($C598="1/2L",0.5,0)),0)</f>
        <v>0</v>
      </c>
      <c r="DF598" s="143">
        <f>IF(AND(L598&lt;DF$3,$C598="W"),1+DF597,DF597)</f>
        <v>17</v>
      </c>
      <c r="DG598" s="133">
        <f>IF(DF598&gt;DF597,L598+DG597,DG597)</f>
        <v>22.628</v>
      </c>
      <c r="DH598" s="146">
        <f>IF(AND(L598&gt;DH$3,$C598="W"),1+DH597,0+DH597)</f>
        <v>16</v>
      </c>
      <c r="DI598" s="133">
        <f>IF(DH598&gt;DH597,L598+DI597,DI597)</f>
        <v>85.45999999999999</v>
      </c>
      <c r="DJ598" t="s" s="304">
        <f>IF($D598="","",$D598)</f>
        <v>431</v>
      </c>
      <c r="DK598" s="146">
        <f>IF(AND($B598=" ",$D598&lt;&gt;""),1,0)</f>
        <v>0</v>
      </c>
    </row>
    <row r="599" ht="14.55" customHeight="1">
      <c r="A599" s="107"/>
      <c r="B599" s="108"/>
      <c r="C599" t="s" s="109">
        <v>56</v>
      </c>
      <c r="D599" s="110"/>
      <c r="E599" s="111"/>
      <c r="F599" s="113"/>
      <c r="G599" s="252"/>
      <c r="H599" s="114"/>
      <c r="I599" t="s" s="275">
        <v>67</v>
      </c>
      <c r="J599" s="276">
        <f>IF(OR(I598="TO",I598="TU",I598="TO1",I598="TU1",I598="TO2",I598="TU2"),J598,IF(OR(I598="AH1",I598="AH2"),IF(OR(I599="AH1",I599="AH2"),-J598,IF(OR(I599="EH1",I599="EH2"),-J598+0.5,"")),IF(OR(I598="EH1",I598="EH2"),IF(OR(I599="AH1",I599="AH2"),-J598+0.5,IF(OR(I599="EH1",I599="EH2"),-J598+1,"")),IF(AND(OR(I598="DNB1",I598="DNB2"),OR(I599="AH1",I599="AH2")),0,IF(AND(I598="Not ScoreBoth",OR(I599="TO1",I599="TO2")),0.5,"")))))</f>
        <v>10</v>
      </c>
      <c r="K599" t="s" s="117">
        <v>41</v>
      </c>
      <c r="L599" s="277">
        <v>1.65</v>
      </c>
      <c r="M599" s="278">
        <v>10.38</v>
      </c>
      <c r="N599" s="120"/>
      <c r="O599" s="121">
        <f>IF(OR(AE598="",AE599=""),"",ROUND(IF(L600&gt;0,IF(M599&gt;0,M599,IF(M598&gt;0,IF(N598=TRUE,ROUND((M598*AE599)/AE598,0),(M598*AE599)/AE598),IF(M599&gt;0,ROUND(M599,IF(N598=0,2,IF(N598=0.1,1,0))),IF(M600&gt;0,ROUND(O600*AE599/AE600,IF(N598=0,2,IF(N598=0.1,1,0))),0)))),IF(M599&gt;0,M599,ROUND((M598*AE599)/AE598,IF(N598=0,2,IF(N598=0.1,1,0))))),2))</f>
        <v>10.38</v>
      </c>
      <c r="P599" s="122">
        <f>IF(OR(L599="",O599=""),"",IF($C599="1/2W",O599/2+O599/2*L599,IF($C599="1/2L",O599/2,IF(I599="Lay",((O599*(L599/(L599-1)))-O599)*(1-_xlfn.XLOOKUP(K599,'Janeiro 2023 - Valor Real'!A3:A15,'Janeiro 2023 - Valor Real'!C3:C15,0))+O599,(O599*L599-O599)*(1-_xlfn.XLOOKUP(K599,'Janeiro 2023 - Valor Real'!A3:A15,'Janeiro 2023 - Valor Real'!C3:C15,0))+O599))))</f>
        <v>17.127</v>
      </c>
      <c r="Q599" s="279">
        <f>IF(K599="","",IF(_xlfn.XLOOKUP(K599,K$120:K378,DJ$120:DJ378,0,,-1)=DJ599,_xlfn.XLOOKUP(K599,K$120:K378,Q$120:Q378,1,,-1)+1,1))</f>
        <v>1</v>
      </c>
      <c r="R599" s="280">
        <f>IF(K599="","",_xlfn.XLOOKUP(K599,K$120:K378,R$120:R378,0,,-1)+IF($C599=" ",1,0))</f>
        <v>0</v>
      </c>
      <c r="S599" s="125"/>
      <c r="T599" s="126"/>
      <c r="U599" s="126"/>
      <c r="V599" s="224"/>
      <c r="W599" s="126"/>
      <c r="X599" s="127"/>
      <c r="Y599" s="128"/>
      <c r="Z599" s="129"/>
      <c r="AA599" s="129"/>
      <c r="AB599" s="129"/>
      <c r="AC599" s="129"/>
      <c r="AD599" s="130"/>
      <c r="AE599" s="131">
        <f>IF(L599="","",IF(L600&gt;0,(SUM(((L598-1)*(1-_xlfn.XLOOKUP(K598,'Janeiro 2023 - Valor Real'!A3:A15,'Janeiro 2023 - Valor Real'!C3:C15,0))+1),((L599-1)*(1-_xlfn.XLOOKUP(K599,'Janeiro 2023 - Valor Real'!A3:A15,'Janeiro 2023 - Valor Real'!C3:C15,0))+1),((L600-1)*(1-_xlfn.XLOOKUP(K600,'Janeiro 2023 - Valor Real'!A3:A15,'Janeiro 2023 - Valor Real'!C3:C15,0))+1))/((L599-1)*(1-_xlfn.XLOOKUP(K599,'Janeiro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Real'!C3:C15,0))+1))/((L598-1)*(1-_xlfn.XLOOKUP(K598,'Janeiro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Real'!C3:C15,0))+1))/((L599-1)*(1-_xlfn.XLOOKUP(K599,'Janeiro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Real'!C3:C15,0))+1))/((L600-1)*(1-_xlfn.XLOOKUP(K600,'Janeiro 2023 - Valor Real'!A3:A15,'Janeiro 2023 - Valor Real'!C3:C15,0))+1)),IF(I599="Lay",IF(I598="Lay",((L598/(L598-1)-1)*(1-_xlfn.XLOOKUP(K598,'Janeiro 2023 - Valor Real'!A3:A15,'Janeiro 2023 - Valor Real'!C3:C15,0))+1)/(((L598/(L598-1)-1)*(1-_xlfn.XLOOKUP(K598,'Janeiro 2023 - Valor Real'!A3:A15,'Janeiro 2023 - Valor Real'!C3:C15,0))+1)+((L599/(L599-1)-1)*(1-_xlfn.XLOOKUP(K599,'Janeiro 2023 - Valor Real'!A3:A15,'Janeiro 2023 - Valor Real'!C3:C15,0))+1)),((L598-1)*(1-_xlfn.XLOOKUP(K598,'Janeiro 2023 - Valor Real'!A3:A15,'Janeiro 2023 - Valor Real'!C3:C15,0))+1)/(((L598-1)*(1-_xlfn.XLOOKUP(K598,'Janeiro 2023 - Valor Real'!A3:A15,'Janeiro 2023 - Valor Real'!C3:C15,0))+1)+((L599/(L599-1)-1)*(1-_xlfn.XLOOKUP(K599,'Janeiro 2023 - Valor Real'!A3:A15,'Janeiro 2023 - Valor Real'!C3:C15,0))+1))),IF(I598="Lay",((L598/(L598-1)-1)*(1-_xlfn.XLOOKUP(K598,'Janeiro 2023 - Valor Real'!A3:A15,'Janeiro 2023 - Valor Real'!C3:C15,0))+1)/((((L598/(L598-1)-1)*(1-_xlfn.XLOOKUP(K598,'Janeiro 2023 - Valor Real'!A3:A15,'Janeiro 2023 - Valor Real'!C3:C15,0))+1))+((L599-1)*(1-_xlfn.XLOOKUP(K599,'Janeiro 2023 - Valor Real'!A3:A15,'Janeiro 2023 - Valor Real'!C3:C15,0))+1)),((L598-1)*(1-_xlfn.XLOOKUP(K598,'Janeiro 2023 - Valor Real'!A3:A15,'Janeiro 2023 - Valor Real'!C3:C15,0))+1)/(((L598-1)*(1-_xlfn.XLOOKUP(K598,'Janeiro 2023 - Valor Real'!A3:A15,'Janeiro 2023 - Valor Real'!C3:C15,0))+1)+((L599-1)*(1-_xlfn.XLOOKUP(K599,'Janeiro 2023 - Valor Real'!A3:A15,'Janeiro 2023 - Valor Real'!C3:C15,0))+1))))))</f>
        <v>0.648936170212766</v>
      </c>
      <c r="AF599" s="132">
        <f>IF($K599=AF$3,ROUND(IF(OR($C599="W",$C599="1/2W",$C599="1/2L"),$P599-$O599,IF($C599="X",0,-$O599)),2),0)</f>
        <v>0</v>
      </c>
      <c r="AG599" s="133">
        <f>IF($K599=AG$3,ROUND(IF(OR($C599="W",$C599="1/2W",$C599="1/2L"),$P599-$O599,IF($C599="X",0,-$O599)),2),0)</f>
        <v>0</v>
      </c>
      <c r="AH599" s="133">
        <f>IF($K599=AH$3,ROUND(IF(OR($C599="W",$C599="1/2W",$C599="1/2L"),$P599-$O599,IF($C599="X",0,-$O599)),2),0)</f>
        <v>0</v>
      </c>
      <c r="AI599" s="133">
        <f>IF($K599=AI$3,ROUND(IF(OR($C599="W",$C599="1/2W",$C599="1/2L"),$P599-$O599,IF($C599="X",0,-$O599)),2),0)</f>
        <v>0</v>
      </c>
      <c r="AJ599" s="133">
        <f>IF($K599=AJ$3,ROUND(IF(OR($C599="W",$C599="1/2W",$C599="1/2L"),$P599-$O599,IF($C599="X",0,-$O599)),2),0)</f>
        <v>6.75</v>
      </c>
      <c r="AK599" s="133">
        <f>IF($K599=AK$3,ROUND(IF(OR($C599="W",$C599="1/2W",$C599="1/2L"),$P599-$O599,IF($C599="X",0,-$O599)),2),0)</f>
        <v>0</v>
      </c>
      <c r="AL599" s="133">
        <f>IF($K599=AL$3,ROUND(IF(OR($C599="W",$C599="1/2W",$C599="1/2L"),$P599-$O599,IF($C599="X",0,-$O599)),2),0)</f>
        <v>0</v>
      </c>
      <c r="AM599" s="133">
        <f>IF($K599=AM$3,ROUND(IF(OR($C599="W",$C599="1/2W",$C599="1/2L"),$P599-$O599,IF($C599="X",0,-$O599)),2),0)</f>
        <v>0</v>
      </c>
      <c r="AN599" s="133">
        <f>IF($K599=AN$3,ROUND(IF(OR($C599="W",$C599="1/2W",$C599="1/2L"),$P599-$O599,IF($C599="X",0,-$O599)),2),0)</f>
        <v>0</v>
      </c>
      <c r="AO599" s="133">
        <f>IF($K599=AO$3,ROUND(IF(OR($C599="W",$C599="1/2W",$C599="1/2L"),$P599-$O599,IF($C599="X",0,-$O599)),2),0)</f>
        <v>0</v>
      </c>
      <c r="AP599" s="133">
        <f>IF($K599=AP$3,ROUND(IF(OR($C599="W",$C599="1/2W",$C599="1/2L"),$P599-$O599,IF($C599="X",0,-$O599)),2),0)</f>
        <v>0</v>
      </c>
      <c r="AQ599" s="133">
        <f>IF($K599=AQ$3,ROUND(IF(OR($C599="W",$C599="1/2W",$C599="1/2L"),$P599-$O599,IF($C599="X",0,-$O599)),2),0)</f>
        <v>0</v>
      </c>
      <c r="AR599" s="134">
        <f>IF($K599=AR$3,ROUND(IF(OR($C599="W",$C599="1/2W",$C599="1/2L"),$P599-$O599,IF($C599="X",0,-$O599)),2),0)</f>
        <v>0</v>
      </c>
      <c r="AS599" s="132">
        <f>IF(AND($B598=" ",$K599=AS$3),$O599,0)</f>
        <v>0</v>
      </c>
      <c r="AT599" s="133">
        <f>IF(AND($B598=" ",K599=AT$3),$O599,0)</f>
        <v>0</v>
      </c>
      <c r="AU599" s="133">
        <f>IF(AND($B598=" ",$K599=AU$3),$O599,0)</f>
        <v>0</v>
      </c>
      <c r="AV599" s="133">
        <f>IF(AND($B598=" ",$K599=AV$3),$O599,0)</f>
        <v>0</v>
      </c>
      <c r="AW599" s="133">
        <f>IF(AND($B598=" ",$K599=AW$3),$O599,0)</f>
        <v>0</v>
      </c>
      <c r="AX599" s="133">
        <f>IF(AND($B598=" ",$K599=AX$3),$O599,0)</f>
        <v>0</v>
      </c>
      <c r="AY599" s="135">
        <f>IF(AND($B598=" ",$K599=AY$3),$O599,0)</f>
        <v>0</v>
      </c>
      <c r="AZ599" s="136">
        <f>IF(AND($B598=" ",$K599=AZ$3),$O599,0)</f>
        <v>0</v>
      </c>
      <c r="BA599" s="136">
        <f>IF(AND($B598=" ",$K599=BA$3),$O599,0)</f>
        <v>0</v>
      </c>
      <c r="BB599" s="136">
        <f>IF(AND($B598=" ",$K599=BB$3),$O599,0)</f>
        <v>0</v>
      </c>
      <c r="BC599" s="137">
        <f>IF(AND($B598=" ",$K599=BC$3),$O599,0)</f>
        <v>0</v>
      </c>
      <c r="BD599" s="133">
        <f>IF(AND($B598=" ",$K599=BD$3),$O599,0)</f>
        <v>0</v>
      </c>
      <c r="BE599" s="134">
        <f>IF(AND($B598=" ",$K599=BE$3),$O599,0)</f>
        <v>0</v>
      </c>
      <c r="BF599" s="132">
        <f>IF($K599=BF$3,IF($C599="X",0,$O599),0)</f>
        <v>0</v>
      </c>
      <c r="BG599" s="281">
        <f>IF($K599=BG$3,IF($C599="X",0,$O599),0)</f>
        <v>0</v>
      </c>
      <c r="BH599" s="133">
        <f>IF($K599=BH$3,IF($C599="X",0,$O599),0)</f>
        <v>0</v>
      </c>
      <c r="BI599" s="133">
        <f>IF($K599=BI$3,IF($C599="X",0,$O599),0)</f>
        <v>0</v>
      </c>
      <c r="BJ599" s="133">
        <f>IF($K599=BJ$3,IF($C599="X",0,$O599),0)</f>
        <v>10.38</v>
      </c>
      <c r="BK599" s="133">
        <f>IF($K599=BK$3,IF($C599="X",0,$O599),0)</f>
        <v>0</v>
      </c>
      <c r="BL599" s="133">
        <f>IF($K599=BL$3,IF($C599="X",0,$O599),0)</f>
        <v>0</v>
      </c>
      <c r="BM599" s="135">
        <f>IF($K599=BM$3,IF($C599="X",0,$O599),0)</f>
        <v>0</v>
      </c>
      <c r="BN599" s="136">
        <f>IF($K599=BN$3,IF($C599="X",0,$O599),0)</f>
        <v>0</v>
      </c>
      <c r="BO599" s="136">
        <f>IF($K599=BO$3,IF($C599="X",0,$O599),0)</f>
        <v>0</v>
      </c>
      <c r="BP599" s="136">
        <f>IF($K599=BP$3,IF($C599="X",0,$O599),0)</f>
        <v>0</v>
      </c>
      <c r="BQ599" s="137">
        <f>IF($K599=BQ$3,IF($C599="X",0,$O599),0)</f>
        <v>0</v>
      </c>
      <c r="BR599" s="134">
        <f>IF($K599=BR$3,IF($C599="X",0,$O599),0)</f>
        <v>0</v>
      </c>
      <c r="BS599" s="282"/>
      <c r="BT599" s="283"/>
      <c r="BU599" s="140"/>
      <c r="BV599" s="283"/>
      <c r="BW599" s="140"/>
      <c r="BX599" s="140"/>
      <c r="BY599" s="140"/>
      <c r="BZ599" s="283"/>
      <c r="CA599" s="140"/>
      <c r="CB599" s="140"/>
      <c r="CC599" s="140"/>
      <c r="CD599" s="141"/>
      <c r="CE599" s="142"/>
      <c r="CF599" s="284">
        <f>IF(CF$3=$K599,IF($C599="W",1,IF($C599="1/2W",0.5,0)),0)</f>
        <v>0</v>
      </c>
      <c r="CG599" s="285">
        <f>IF(CF$3=$K599,IF($C599="L",1,IF($C599="1/2L",0.5,0)),0)</f>
        <v>0</v>
      </c>
      <c r="CH599" s="285">
        <f>IF(CH$3=$K599,IF($C599="W",1,IF($C599="1/2W",0.5,0)),0)</f>
        <v>0</v>
      </c>
      <c r="CI599" s="285">
        <f>IF(CH$3=$K599,IF($C599="L",1,IF($C599="1/2L",0.5,0)),0)</f>
        <v>0</v>
      </c>
      <c r="CJ599" s="285">
        <f>IF(CJ$3=$K599,IF($C599="W",1,IF($C599="1/2W",0.5,0)),0)</f>
        <v>0</v>
      </c>
      <c r="CK599" s="285">
        <f>IF(CJ$3=$K599,IF($C599="L",1,IF($C599="1/2L",0.5,0)),0)</f>
        <v>0</v>
      </c>
      <c r="CL599" s="285">
        <f>IF(CL$3=$K599,IF($C599="W",1,IF($C599="1/2W",0.5,0)),0)</f>
        <v>0</v>
      </c>
      <c r="CM599" s="285">
        <f>IF(CL$3=$K599,IF($C599="L",1,IF($C599="1/2L",0.5,0)),0)</f>
        <v>0</v>
      </c>
      <c r="CN599" s="285">
        <f>IF(CN$3=$K599,IF($C599="W",1,IF($C599="1/2W",0.5,0)),0)</f>
        <v>1</v>
      </c>
      <c r="CO599" s="285">
        <f>IF(CN$3=$K599,IF($C599="L",1,IF($C599="1/2L",0.5,0)),0)</f>
        <v>0</v>
      </c>
      <c r="CP599" s="285">
        <f>IF(CP$3=$K599,IF($C599="W",1,IF($C599="1/2W",0.5,0)),0)</f>
        <v>0</v>
      </c>
      <c r="CQ599" s="285">
        <f>IF(CP$3=$K599,IF($C599="L",1,IF($C599="1/2L",0.5,0)),0)</f>
        <v>0</v>
      </c>
      <c r="CR599" s="285">
        <f>IF(CR$3=$K599,IF($C599="W",1,IF($C599="1/2W",0.5,0)),0)</f>
        <v>0</v>
      </c>
      <c r="CS599" s="285">
        <f>IF(CR$3=$K599,IF($C599="L",1,IF($C599="1/2L",0.5,0)),0)</f>
        <v>0</v>
      </c>
      <c r="CT599" s="145">
        <f>IF(CT$3=$K599,IF($C599="W",1,IF($C599="1/2W",0.5,0)),0)</f>
        <v>0</v>
      </c>
      <c r="CU599" s="146">
        <f>IF(CT$3=$K599,IF($C599="L",1,IF($C599="1/2L",0.5,0)),0)</f>
        <v>0</v>
      </c>
      <c r="CV599" s="146">
        <f>IF(CV$3=$K599,IF($C599="W",1,IF($C599="1/2W",0.5,0)),0)</f>
        <v>0</v>
      </c>
      <c r="CW599" s="146">
        <f>IF(CV$3=$K599,IF($C599="L",1,IF($C599="1/2L",0.5,0)),0)</f>
        <v>0</v>
      </c>
      <c r="CX599" s="146">
        <f>IF(CX$3=$K599,IF($C599="W",1,IF($C599="1/2W",0.5,0)),0)</f>
        <v>0</v>
      </c>
      <c r="CY599" s="146">
        <f>IF(CX$3=$K599,IF($C599="L",1,IF($C599="1/2L",0.5,0)),0)</f>
        <v>0</v>
      </c>
      <c r="CZ599" s="146">
        <f>IF(CZ$3=$K599,IF($C599="W",1,IF($C599="1/2W",0.5,0)),0)</f>
        <v>0</v>
      </c>
      <c r="DA599" s="146">
        <f>IF(CZ$3=$K599,IF($C599="L",1,IF($C599="1/2L",0.5,0)),0)</f>
        <v>0</v>
      </c>
      <c r="DB599" s="146">
        <f>IF(DB$3=$K599,IF($C599="W",1,IF($C599="1/2W",0.5,0)),0)</f>
        <v>0</v>
      </c>
      <c r="DC599" s="146">
        <f>IF(DB$3=$K599,IF($C599="L",1,IF($C599="1/2L",0.5,0)),0)</f>
        <v>0</v>
      </c>
      <c r="DD599" s="146">
        <f>IF(DD$3=$K599,IF($C599="W",1,IF($C599="1/2W",0.5,0)),0)</f>
        <v>0</v>
      </c>
      <c r="DE599" s="147">
        <f>IF(DD$3=$K599,IF($C599="L",1,IF($C599="1/2L",0.5,0)),0)</f>
        <v>0</v>
      </c>
      <c r="DF599" s="143">
        <f>IF(AND(L599&lt;DF$3,$C599="W"),1+DF598,DF598)</f>
        <v>17</v>
      </c>
      <c r="DG599" s="133">
        <f>IF(DF599&gt;DF598,L599+DG598,DG598)</f>
        <v>22.628</v>
      </c>
      <c r="DH599" s="146">
        <f>IF(AND(L599&gt;DH$3,$C599="W"),1+DH598,0+DH598)</f>
        <v>16</v>
      </c>
      <c r="DI599" s="133">
        <f>IF(DH599&gt;DH598,L599+DI598,DI598)</f>
        <v>85.45999999999999</v>
      </c>
      <c r="DJ599" t="s" s="304">
        <f>IF($D598="","",$D598)</f>
        <v>431</v>
      </c>
      <c r="DK599" s="286"/>
    </row>
    <row r="600" ht="14.55" customHeight="1">
      <c r="A600" s="149"/>
      <c r="B600" s="150"/>
      <c r="C600" t="s" s="151">
        <v>58</v>
      </c>
      <c r="D600" s="152"/>
      <c r="E600" s="153"/>
      <c r="F600" s="155"/>
      <c r="G600" s="252"/>
      <c r="H600" s="156"/>
      <c r="I600" s="287"/>
      <c r="J600" s="288"/>
      <c r="K600" s="156"/>
      <c r="L600" s="289"/>
      <c r="M600" s="290"/>
      <c r="N600" s="161"/>
      <c r="O600" t="s" s="162">
        <f>IF(OR(AE598="",AE599=""),"",IF(L600&gt;0,ROUND(IF(M600&gt;0,M600,IF(M598&gt;0,ROUND((M598*AE600)/AE598,IF(N598=0,2,IF(N598=0.1,1,0))),IF(M599&gt;0,ROUND((M599*AE600)/AE599,IF(N598=0,2,IF(N598=0.1,1,0))),IF(M600&gt;0,M600,0)))),2),""))</f>
      </c>
      <c r="P600" t="s" s="163">
        <f>IF(I599="Lay",O599*(L599/(L599-1))-O599,IF(I598="Lay",O598*(L598/(L598-1))-O598,IF(OR(L600="",O600=""),"",IF($C600="1/2W",O600/2+O600/2*L600,IF($C600="1/2L",O600/2,(O600*L600-O600)*(1-_xlfn.XLOOKUP(K600,'Janeiro 2023 - Valor Real'!A3:A15,'Janeiro 2023 - Valor Real'!C3:C15,0))+O600)))))</f>
      </c>
      <c r="Q600" t="s" s="154">
        <f>IF(K600="","",IF(_xlfn.XLOOKUP(K600,K$121:K379,DJ$121:DJ379,0,,-1)=DJ600,_xlfn.XLOOKUP(K600,K$121:K379,Q$121:Q379,1,,-1)+1,1))</f>
      </c>
      <c r="R600" t="s" s="163">
        <f>IF(K600="","",_xlfn.XLOOKUP(K600,K$121:K379,R$121:R379,0,,-1)+IF($C600=" ",1,0))</f>
      </c>
      <c r="S600" s="166"/>
      <c r="T600" s="155"/>
      <c r="U600" s="155"/>
      <c r="V600" s="166"/>
      <c r="W600" s="155"/>
      <c r="X600" s="167"/>
      <c r="Y600" s="128"/>
      <c r="Z600" s="129"/>
      <c r="AA600" s="129"/>
      <c r="AB600" s="129"/>
      <c r="AC600" s="129"/>
      <c r="AD600" s="168"/>
      <c r="AE600" t="s" s="169">
        <f>IF(L600="","",(SUM(((L598-1)*(1-_xlfn.XLOOKUP(K598,'Janeiro 2023 - Valor Real'!A3:A15,'Janeiro 2023 - Valor Real'!C3:C15,0))+1),((L599-1)*(1-_xlfn.XLOOKUP(K599,'Janeiro 2023 - Valor Real'!A3:A15,'Janeiro 2023 - Valor Real'!C3:C15,0))+1),((L600-1)*(1-_xlfn.XLOOKUP(K600,'Janeiro 2023 - Valor Real'!A3:A15,'Janeiro 2023 - Valor Real'!C3:C15,0))+1))/((L600-1)*(1-_xlfn.XLOOKUP(K600,'Janeiro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Real'!C3:C15,0))+1))/((L598-1)*(1-_xlfn.XLOOKUP(K598,'Janeiro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Real'!C3:C15,0))+1))/((L599-1)*(1-_xlfn.XLOOKUP(K599,'Janeiro 2023 - Valor Real'!A3:A15,'Janeiro 2023 - Valor Real'!C3:C15,0))+1)+SUM(((L598-1)*(1-_xlfn.XLOOKUP(K598,'Janeiro 2023 - Valor Real'!A3:A15,'Janeiro 2023 - Valor Real'!C3:C15,0))+1),((L599-1)*(1-_xlfn.XLOOKUP(K599,'Janeiro 2023 - Valor Real'!A3:A15,'Janeiro 2023 - Valor Real'!C3:C15,0))+1),((L600-1)*(1-_xlfn.XLOOKUP(K600,'Janeiro 2023 - Valor Real'!A3:A15,'Janeiro 2023 - Valor Real'!C3:C15,0))+1))/((L600-1)*(1-_xlfn.XLOOKUP(K600,'Janeiro 2023 - Valor Real'!A3:A15,'Janeiro 2023 - Valor Real'!C3:C15,0))+1)))</f>
      </c>
      <c r="AF600" s="132">
        <f>IF($K600=AF$3,ROUND(IF(OR($C600="W",$C600="1/2W",$C600="1/2L"),$P600-$O600,IF($C600="X",0,-$O600)),2),0)</f>
        <v>0</v>
      </c>
      <c r="AG600" s="133">
        <f>IF($K600=AG$3,ROUND(IF(OR($C600="W",$C600="1/2W",$C600="1/2L"),$P600-$O600,IF($C600="X",0,-$O600)),2),0)</f>
        <v>0</v>
      </c>
      <c r="AH600" s="133">
        <f>IF($K600=AH$3,ROUND(IF(OR($C600="W",$C600="1/2W",$C600="1/2L"),$P600-$O600,IF($C600="X",0,-$O600)),2),0)</f>
        <v>0</v>
      </c>
      <c r="AI600" s="133">
        <f>IF($K600=AI$3,ROUND(IF(OR($C600="W",$C600="1/2W",$C600="1/2L"),$P600-$O600,IF($C600="X",0,-$O600)),2),0)</f>
        <v>0</v>
      </c>
      <c r="AJ600" s="133">
        <f>IF($K600=AJ$3,ROUND(IF(OR($C600="W",$C600="1/2W",$C600="1/2L"),$P600-$O600,IF($C600="X",0,-$O600)),2),0)</f>
        <v>0</v>
      </c>
      <c r="AK600" s="133">
        <f>IF($K600=AK$3,ROUND(IF(OR($C600="W",$C600="1/2W",$C600="1/2L"),$P600-$O600,IF($C600="X",0,-$O600)),2),0)</f>
        <v>0</v>
      </c>
      <c r="AL600" s="133">
        <f>IF($K600=AL$3,ROUND(IF(OR($C600="W",$C600="1/2W",$C600="1/2L"),$P600-$O600,IF($C600="X",0,-$O600)),2),0)</f>
        <v>0</v>
      </c>
      <c r="AM600" s="133">
        <f>IF($K600=AM$3,ROUND(IF(OR($C600="W",$C600="1/2W",$C600="1/2L"),$P600-$O600,IF($C600="X",0,-$O600)),2),0)</f>
        <v>0</v>
      </c>
      <c r="AN600" s="133">
        <f>IF($K600=AN$3,ROUND(IF(OR($C600="W",$C600="1/2W",$C600="1/2L"),$P600-$O600,IF($C600="X",0,-$O600)),2),0)</f>
        <v>0</v>
      </c>
      <c r="AO600" s="133">
        <f>IF($K600=AO$3,ROUND(IF(OR($C600="W",$C600="1/2W",$C600="1/2L"),$P600-$O600,IF($C600="X",0,-$O600)),2),0)</f>
        <v>0</v>
      </c>
      <c r="AP600" s="133">
        <f>IF($K600=AP$3,ROUND(IF(OR($C600="W",$C600="1/2W",$C600="1/2L"),$P600-$O600,IF($C600="X",0,-$O600)),2),0)</f>
        <v>0</v>
      </c>
      <c r="AQ600" s="133">
        <f>IF($K600=AQ$3,ROUND(IF(OR($C600="W",$C600="1/2W",$C600="1/2L"),$P600-$O600,IF($C600="X",0,-$O600)),2),0)</f>
        <v>0</v>
      </c>
      <c r="AR600" s="134">
        <f>IF($K600=AR$3,ROUND(IF(OR($C600="W",$C600="1/2W",$C600="1/2L"),$P600-$O600,IF($C600="X",0,-$O600)),2),0)</f>
        <v>0</v>
      </c>
      <c r="AS600" s="132">
        <f>IF(AND($B598=" ",$K600=AS$3),$O600,0)</f>
        <v>0</v>
      </c>
      <c r="AT600" s="133">
        <f>IF(AND($B598=" ",K600=AT$3),$O600,0)</f>
        <v>0</v>
      </c>
      <c r="AU600" s="133">
        <f>IF(AND($B598=" ",$K600=AU$3),$O600,0)</f>
        <v>0</v>
      </c>
      <c r="AV600" s="133">
        <f>IF(AND($B598=" ",$K600=AV$3),$O600,0)</f>
        <v>0</v>
      </c>
      <c r="AW600" s="133">
        <f>IF(AND($B598=" ",$K600=AW$3),$O600,0)</f>
        <v>0</v>
      </c>
      <c r="AX600" s="133">
        <f>IF(AND($B598=" ",$K600=AX$3),$O600,0)</f>
        <v>0</v>
      </c>
      <c r="AY600" s="135">
        <f>IF(AND($B598=" ",$K600=AY$3),$O600,0)</f>
        <v>0</v>
      </c>
      <c r="AZ600" s="136">
        <f>IF(AND($B598=" ",$K600=AZ$3),$O600,0)</f>
        <v>0</v>
      </c>
      <c r="BA600" s="136">
        <f>IF(AND($B598=" ",$K600=BA$3),$O600,0)</f>
        <v>0</v>
      </c>
      <c r="BB600" s="136">
        <f>IF(AND($B598=" ",$K600=BB$3),$O600,0)</f>
        <v>0</v>
      </c>
      <c r="BC600" s="137">
        <f>IF(AND($B598=" ",$K600=BC$3),$O600,0)</f>
        <v>0</v>
      </c>
      <c r="BD600" s="133">
        <f>IF(AND($B598=" ",$K600=BD$3),$O600,0)</f>
        <v>0</v>
      </c>
      <c r="BE600" s="134">
        <f>IF(AND($B598=" ",$K600=BE$3),$O600,0)</f>
        <v>0</v>
      </c>
      <c r="BF600" s="132">
        <f>IF($K600=BF$3,IF($C600="X",0,$O600),0)</f>
        <v>0</v>
      </c>
      <c r="BG600" s="281">
        <f>IF($K600=BG$3,IF($C600="X",0,$O600),0)</f>
        <v>0</v>
      </c>
      <c r="BH600" s="133">
        <f>IF($K600=BH$3,IF($C600="X",0,$O600),0)</f>
        <v>0</v>
      </c>
      <c r="BI600" s="133">
        <f>IF($K600=BI$3,IF($C600="X",0,$O600),0)</f>
        <v>0</v>
      </c>
      <c r="BJ600" s="133">
        <f>IF($K600=BJ$3,IF($C600="X",0,$O600),0)</f>
        <v>0</v>
      </c>
      <c r="BK600" s="133">
        <f>IF($K600=BK$3,IF($C600="X",0,$O600),0)</f>
        <v>0</v>
      </c>
      <c r="BL600" s="133">
        <f>IF($K600=BL$3,IF($C600="X",0,$O600),0)</f>
        <v>0</v>
      </c>
      <c r="BM600" s="135">
        <f>IF($K600=BM$3,IF($C600="X",0,$O600),0)</f>
        <v>0</v>
      </c>
      <c r="BN600" s="136">
        <f>IF($K600=BN$3,IF($C600="X",0,$O600),0)</f>
        <v>0</v>
      </c>
      <c r="BO600" s="136">
        <f>IF($K600=BO$3,IF($C600="X",0,$O600),0)</f>
        <v>0</v>
      </c>
      <c r="BP600" s="136">
        <f>IF($K600=BP$3,IF($C600="X",0,$O600),0)</f>
        <v>0</v>
      </c>
      <c r="BQ600" s="137">
        <f>IF($K600=BQ$3,IF($C600="X",0,$O600),0)</f>
        <v>0</v>
      </c>
      <c r="BR600" s="134">
        <f>IF($K600=BR$3,IF($C600="X",0,$O600),0)</f>
        <v>0</v>
      </c>
      <c r="BS600" s="282"/>
      <c r="BT600" s="283"/>
      <c r="BU600" s="140"/>
      <c r="BV600" s="283"/>
      <c r="BW600" s="140"/>
      <c r="BX600" s="140"/>
      <c r="BY600" s="140"/>
      <c r="BZ600" s="283"/>
      <c r="CA600" s="140"/>
      <c r="CB600" s="140"/>
      <c r="CC600" s="140"/>
      <c r="CD600" s="141"/>
      <c r="CE600" s="142"/>
      <c r="CF600" s="284">
        <f>IF(CF$3=$K600,IF($C600="W",1,IF($C600="1/2W",0.5,0)),0)</f>
        <v>0</v>
      </c>
      <c r="CG600" s="285">
        <f>IF(CF$3=$K600,IF($C600="L",1,IF($C600="1/2L",0.5,0)),0)</f>
        <v>0</v>
      </c>
      <c r="CH600" s="285">
        <f>IF(CH$3=$K600,IF($C600="W",1,IF($C600="1/2W",0.5,0)),0)</f>
        <v>0</v>
      </c>
      <c r="CI600" s="285">
        <f>IF(CH$3=$K600,IF($C600="L",1,IF($C600="1/2L",0.5,0)),0)</f>
        <v>0</v>
      </c>
      <c r="CJ600" s="285">
        <f>IF(CJ$3=$K600,IF($C600="W",1,IF($C600="1/2W",0.5,0)),0)</f>
        <v>0</v>
      </c>
      <c r="CK600" s="285">
        <f>IF(CJ$3=$K600,IF($C600="L",1,IF($C600="1/2L",0.5,0)),0)</f>
        <v>0</v>
      </c>
      <c r="CL600" s="285">
        <f>IF(CL$3=$K600,IF($C600="W",1,IF($C600="1/2W",0.5,0)),0)</f>
        <v>0</v>
      </c>
      <c r="CM600" s="285">
        <f>IF(CL$3=$K600,IF($C600="L",1,IF($C600="1/2L",0.5,0)),0)</f>
        <v>0</v>
      </c>
      <c r="CN600" s="285">
        <f>IF(CN$3=$K600,IF($C600="W",1,IF($C600="1/2W",0.5,0)),0)</f>
        <v>0</v>
      </c>
      <c r="CO600" s="285">
        <f>IF(CN$3=$K600,IF($C600="L",1,IF($C600="1/2L",0.5,0)),0)</f>
        <v>0</v>
      </c>
      <c r="CP600" s="285">
        <f>IF(CP$3=$K600,IF($C600="W",1,IF($C600="1/2W",0.5,0)),0)</f>
        <v>0</v>
      </c>
      <c r="CQ600" s="285">
        <f>IF(CP$3=$K600,IF($C600="L",1,IF($C600="1/2L",0.5,0)),0)</f>
        <v>0</v>
      </c>
      <c r="CR600" s="285">
        <f>IF(CR$3=$K600,IF($C600="W",1,IF($C600="1/2W",0.5,0)),0)</f>
        <v>0</v>
      </c>
      <c r="CS600" s="285">
        <f>IF(CR$3=$K600,IF($C600="L",1,IF($C600="1/2L",0.5,0)),0)</f>
        <v>0</v>
      </c>
      <c r="CT600" s="145">
        <f>IF(CT$3=$K600,IF($C600="W",1,IF($C600="1/2W",0.5,0)),0)</f>
        <v>0</v>
      </c>
      <c r="CU600" s="146">
        <f>IF(CT$3=$K600,IF($C600="L",1,IF($C600="1/2L",0.5,0)),0)</f>
        <v>0</v>
      </c>
      <c r="CV600" s="146">
        <f>IF(CV$3=$K600,IF($C600="W",1,IF($C600="1/2W",0.5,0)),0)</f>
        <v>0</v>
      </c>
      <c r="CW600" s="146">
        <f>IF(CV$3=$K600,IF($C600="L",1,IF($C600="1/2L",0.5,0)),0)</f>
        <v>0</v>
      </c>
      <c r="CX600" s="146">
        <f>IF(CX$3=$K600,IF($C600="W",1,IF($C600="1/2W",0.5,0)),0)</f>
        <v>0</v>
      </c>
      <c r="CY600" s="146">
        <f>IF(CX$3=$K600,IF($C600="L",1,IF($C600="1/2L",0.5,0)),0)</f>
        <v>0</v>
      </c>
      <c r="CZ600" s="146">
        <f>IF(CZ$3=$K600,IF($C600="W",1,IF($C600="1/2W",0.5,0)),0)</f>
        <v>0</v>
      </c>
      <c r="DA600" s="146">
        <f>IF(CZ$3=$K600,IF($C600="L",1,IF($C600="1/2L",0.5,0)),0)</f>
        <v>0</v>
      </c>
      <c r="DB600" s="146">
        <f>IF(DB$3=$K600,IF($C600="W",1,IF($C600="1/2W",0.5,0)),0)</f>
        <v>0</v>
      </c>
      <c r="DC600" s="146">
        <f>IF(DB$3=$K600,IF($C600="L",1,IF($C600="1/2L",0.5,0)),0)</f>
        <v>0</v>
      </c>
      <c r="DD600" s="146">
        <f>IF(DD$3=$K600,IF($C600="W",1,IF($C600="1/2W",0.5,0)),0)</f>
        <v>0</v>
      </c>
      <c r="DE600" s="147">
        <f>IF(DD$3=$K600,IF($C600="L",1,IF($C600="1/2L",0.5,0)),0)</f>
        <v>0</v>
      </c>
      <c r="DF600" s="143">
        <f>IF(AND(L600&lt;DF$3,$C600="W"),1+DF599,DF599)</f>
        <v>17</v>
      </c>
      <c r="DG600" s="133">
        <f>IF(DF600&gt;DF599,L600+DG599,DG599)</f>
        <v>22.628</v>
      </c>
      <c r="DH600" s="146">
        <f>IF(AND(L600&gt;DH$3,$C600="W"),1+DH599,0+DH599)</f>
        <v>16</v>
      </c>
      <c r="DI600" s="133">
        <f>IF(DH600&gt;DH599,L600+DI599,DI599)</f>
        <v>85.45999999999999</v>
      </c>
      <c r="DJ600" t="s" s="304">
        <f>IF($D598="","",$D598)</f>
        <v>431</v>
      </c>
      <c r="DK600" s="286"/>
    </row>
    <row r="601" ht="14.55" customHeight="1">
      <c r="A601" s="171">
        <f>$A598+1</f>
        <v>200</v>
      </c>
      <c r="B601" t="s" s="172">
        <f>IF(AND(_xlfn.XLOOKUP(H601,H$122:H374,G$122:G374,0)=G601,_xlfn.XLOOKUP("TempoBet",K601:K603,L601:L603,0)&gt;0),"X",IF(OR(C601="W",C602="W",C603="W",C601="1/2W",C602="1/2W",C603="1/2W",C601="1/2L",C602="1/2L",C603="1/2L"),"OK",IF(OR(C601="L",C602="L",C603="L"),"LOSS",IF(OR(C601="X",C602="X",C603="X"),"Anulado"," "))))</f>
        <v>50</v>
      </c>
      <c r="C601" t="s" s="173">
        <v>51</v>
      </c>
      <c r="D601" t="s" s="305">
        <f>IF(G601="","",$D598)</f>
        <v>431</v>
      </c>
      <c r="E601" t="s" s="175">
        <f>IF(G601=""," ","– "&amp;COUNTIF(D$4:D603,$D601))</f>
        <v>127</v>
      </c>
      <c r="F601" t="s" s="176">
        <f>IF(G601="","",IF(OR(AND($C601&lt;&gt;" ",$C602=" "),AND($C602&lt;&gt;" ",$C601=" "),AND(L603&gt;0,OR(AND($C603&lt;&gt;" ",OR($C601=" ",$C602=" ")),AND($C603=" ",OR($C601&lt;&gt;" ",$C602&lt;&gt;" "))))),IF(SUM(F$4:F600)=0,1,LARGE(F$4:F600,1)+1),IF(MONTH(G601)=MONTH(TODAY()),IF(AND(DAY(G601)&lt;DAY(TODAY()),$B601=" "),IF(SUM(F$4:F600)=0,1,LARGE(F$4:F600,1)+1),IF($B601=" ",IF(AND(DAY(G601)=DAY(TODAY()),HOUR(G601)&lt;=HOUR(NOW())+1),IF(AND(HOUR(G601)+2&lt;=HOUR(NOW()),DAY(G601)&lt;=DAY(TODAY()),MINUTE(G601)&lt;=MINUTE(NOW())),IF(SUM(F$4:F600)=0,1,LARGE(F$4:F600,1)+1),IF(OR(MINUTE(G601)&lt;=MINUTE(NOW()),HOUR(G601)&lt;=HOUR(NOW())),"!!!","")),""),"")),"")))</f>
      </c>
      <c r="G601" s="177">
        <v>44955.541666666664</v>
      </c>
      <c r="H601" t="s" s="178">
        <v>444</v>
      </c>
      <c r="I601" t="s" s="179">
        <v>65</v>
      </c>
      <c r="J601" s="291">
        <v>9.5</v>
      </c>
      <c r="K601" t="s" s="181">
        <v>48</v>
      </c>
      <c r="L601" s="182">
        <v>2.4</v>
      </c>
      <c r="M601" s="183"/>
      <c r="N601" s="184">
        <v>0.1</v>
      </c>
      <c r="O601" s="185">
        <f>IF(OR(AE601="",AE602=""),"",ROUND(IF(L603&gt;0,IF(M601&gt;0,M601,IF(M602&gt;0,ROUND((M602*AE601)/AE602,IF(N601=0,2,IF(N601=0.1,1,0))),ROUND((M603*AE601)/AE603,IF(N601=0,2,IF(N601=0.1,1,0))))),IF(M601&gt;0,M601,ROUND((M602*AE601)/AE602,IF(N601=0,2,IF(N601=0.1,1,0))))),2))</f>
        <v>6</v>
      </c>
      <c r="P601" s="186">
        <f>IF(OR(L601="",O601=""),"",IF($C601="1/2W",O601/2+O601/2*L601,IF($C601="1/2L",O601/2,IF(I601="Lay",(O601*(L601/(L601-1))-O601)*(1-_xlfn.XLOOKUP(K601,'Janeiro 2023 - Valor Real'!A3:A15,'Janeiro 2023 - Valor Real'!C3:C15,0))+O601,(O601*L601-O601)*(1-_xlfn.XLOOKUP(K601,'Janeiro 2023 - Valor Real'!A3:A15,'Janeiro 2023 - Valor Real'!C3:C15,0))+O601))))</f>
        <v>14.4</v>
      </c>
      <c r="Q601" s="187">
        <f>IF(K601="","",IF(_xlfn.XLOOKUP(K601,K$122:K374,DJ$122:DJ374,0,,-1)=DJ601,_xlfn.XLOOKUP(K601,K$122:K374,Q$122:Q374,1,,-1)+1,1))</f>
        <v>1</v>
      </c>
      <c r="R601" s="188">
        <f>IF(K601="","",_xlfn.XLOOKUP(K601,K$122:K374,R$122:R374,0,,-1)+IF($C601=" ",1,0))</f>
        <v>0</v>
      </c>
      <c r="S601" s="189">
        <f>IF($B601="Anulado",0,ROUND(IF(OR($B601="LOSS",$B601="OK"),IF(OR($C601="W",$C601="1/2W",$C601="1/2L"),P601-O601,IF($C601="L",-O601,0))+IF(OR($C602="W",$C602="1/2W",$C602="1/2L"),P602-O602,IF($C602="L",-O602,0))+IF(OR($C603="W",$C603="1/2W",$C603="1/2L"),P603-O603,IF($C603="L",-O603,0)),IF(AND(OR($C601="W",$C601="1/2W",$C601="1/2L"),C602="W"),P601+P602-SUM(O601:O603)+_xlfn.XLOOKUP("X",C601:C603,O601:O603,0),IF(AND(C601=TRUE,C603="W"),P601+P603-SUM(O601:O603),IF(AND(C602="W",C603="W"),P602+P603-SUM(O601:O603)+_xlfn.XLOOKUP("X",C601:C603,O601:O603,0),IF(L603&gt;0,IF(OR($C601="W",$C601="1/2W",$C601="1/2L"),P601-SUM(O601:O603)+_xlfn.XLOOKUP("X",C601:C603,O601:O603,0),IF(OR($C601="W",$C601="1/2W",$C601="1/2L"),P602-SUM(O601:O603)+_xlfn.XLOOKUP("X",C601:C603,O601:O603,0),IF(OR($C601="W",$C601="1/2W",$C601="1/2L"),P603-SUM(O601:O603)+_xlfn.XLOOKUP("X",C601:C603,O601:O603,0),IF(SUM(P601:P603)/3-SUM(O601:O603)+_xlfn.XLOOKUP("X",C601:C603,O601:O603,0)&gt;0,SUM(P601:P603)/3-SUM(O601:O603)+_xlfn.XLOOKUP("X",C601:C603,O601:O603,0),LARGE(P601:P603,1)-SUM(O601:O603))))),IF(OR($C601="W",$C601="1/2W",$C601="1/2L"),P601-SUM(O601:O602)+_xlfn.XLOOKUP("X",C601:C603,O601:O603,0),IF(OR($C601="W",$C601="1/2W",$C601="1/2L"),P602-SUM(O601:O602)+_xlfn.XLOOKUP("X",C601:C603,O601:O603,0),SUM(P601:P602)/2-SUM(O601:O602)+_xlfn.XLOOKUP("X",C601:C603,O601:O603,0)))))))),2))</f>
        <v>0.75</v>
      </c>
      <c r="T601" s="190">
        <f>IF(S601=0,0,S601/SUM(O601:O603))</f>
        <v>0.0548646671543526</v>
      </c>
      <c r="U601" s="191">
        <f>IF($D601=$D598,IF(OR($B601="LOSS",$B601="OK",$B601="Anulada"),S601,0)+U598,IF(OR($B601="LOSS",$B601="OK",$B601="Anulada"),S601,0))</f>
        <v>13.39</v>
      </c>
      <c r="V601" s="191">
        <f>IF($D601="",0,IF($D601=$D598,IF($B601=" ",IF(I603="",IF(OR(AND(I601="DNB1",I602="DNB2"),AND(OR(I601="DNB1",I601="DNB2"),J602=0),AND(OR(I602="DNB1",I602="DNB2"),J601=0),AND(I601="DNB2",I602="DNB1"),AND(IF(J601=0,(J601+1)/ROUND(J601+1,0),J601/ROUND(J601,0))=1,IF(J602=0,(J602+1)/ROUND(IF(J602="",0,J602)+1,0),IF(J602="",0,J602)/ROUND(IF(J602="",1,J602),0))=1,OR(J601&lt;&gt;""),J602&lt;&gt;"")),0,IF(S601&lt;0,IF(I603="",SMALL(P601:P602,1)-SUM(O601:O602),0),SMALL(P601:P602,1)-SUM(O601:O602))),IF(S601&lt;0,IF(I603="",SMALL(P601:P603,1)-SUM(O601:O603),0),LARGE(P601:P603,1)-SUM(O601:O603))),S601)+V598,IF(I603="",IF(OR(AND(I601="DNB1",I602="DNB2"),AND(OR(I601="DNB1",I601="DNB2"),J602=0),AND(OR(I602="DNB1",I602="DNB2"),J601=0),AND(I601="DNB2",I602="DNB1"),AND(IF(J601=0,(J601+1)/ROUND(J601+1,0),J601/ROUND(J601,0))=1,IF(J602=0,(IF(J602="",0,J602)+1)/ROUND(IF(J602="",0,J602)+1,0),IF(J602="",0,J602)/ROUND(IF(J602="",0,J602)+1,0))=1,OR(J601&lt;&gt;""),J602&lt;&gt;"")),0,IF(S601&lt;0,IF(I603="",SMALL(P601:P602,1)-SUM(O601:O602),0),SMALL(P601:P603,1)-SUM(O601:O603))),IF(S601&lt;0,IF(I603="",SMALL(P601:P603,1)-SUM(O601:O603),0),LARGE(P601:P603,1)-SUM(O601:O603)))))</f>
        <v>13.362</v>
      </c>
      <c r="W601" s="191">
        <f>IF($D601=$D598,IF(S601&lt;0,IF(I603="",S601,0),S601)+W598,S601)</f>
        <v>13.39</v>
      </c>
      <c r="X601" t="s" s="192">
        <f>IF(OR(SUM(R601:R603)=0,V601=W601),ROUND(IF(W601=0,0,W601/Y601)*100,2)&amp;"%",ROUND(IF(V601=0,0,V601/Y601)*100,2)&amp;"% a "&amp;ROUND(IF(W601=0,0,W601/Y601)*100,2)&amp;"%")</f>
        <v>430</v>
      </c>
      <c r="Y601" s="193">
        <f>IF($D601=$D598,Y598+SUM(O601:O603),SUM(O601:O603))</f>
        <v>205.72</v>
      </c>
      <c r="Z601" s="191">
        <f>IF($B601=" ",SUM(O601:O603),0)+Z598</f>
        <v>0</v>
      </c>
      <c r="AA601" s="191">
        <f>IF(G601="","",IF($B601="Anulado",LARGE(P601:P603,1)-SUM(O601:O603)+AA598,AA598))</f>
        <v>24.9665076923077</v>
      </c>
      <c r="AB601" s="191">
        <f>IF($D601="","",AB598+S601)</f>
        <v>401.72</v>
      </c>
      <c r="AC601" s="194">
        <f>IF($D601="","",IF($B601=" ",IF(DAY(G601)=DAY(TODAY()),1+AC598,0+AC598),0+AC598))</f>
        <v>0</v>
      </c>
      <c r="AD601" s="195">
        <f>(((L602/(L602-1)-1)*(1-_xlfn.XLOOKUP(K602,'Janeiro 2023 - Valor Real'!A3:A15,'Janeiro 2023 - Valor Real'!C3:C15,0))+1))/(((L601-1)*(1-_xlfn.XLOOKUP(K601,'Janeiro 2023 - Valor Real'!A3:A15,'Janeiro 2023 - Valor Real'!C3:C15,0))+1)+((L602/(L602-1)-1)*(1-_xlfn.XLOOKUP(K602,'Janeiro 2023 - Valor Real'!A3:A15,'Janeiro 2023 - Valor Real'!C3:C15,0))+1))</f>
        <v>0.470941883767535</v>
      </c>
      <c r="AE601" s="196">
        <f>IF(L601="","",IF(L603&gt;0,(SUM(((L601-1)*(1-_xlfn.XLOOKUP(K601,'Janeiro 2023 - Valor Real'!A3:A15,'Janeiro 2023 - Valor Real'!C3:C15,0))+1),((L602-1)*(1-_xlfn.XLOOKUP(K602,'Janeiro 2023 - Valor Real'!A3:A15,'Janeiro 2023 - Valor Real'!C3:C15,0))+1),((L603-1)*(1-_xlfn.XLOOKUP(K603,'Janeiro 2023 - Valor Real'!A3:A15,'Janeiro 2023 - Valor Real'!C3:C15,0))+1))/((L601-1)*(1-_xlfn.XLOOKUP(K601,'Janeiro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Real'!C3:C15,0))+1))/((L601-1)*(1-_xlfn.XLOOKUP(K601,'Janeiro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Real'!C3:C15,0))+1))/((L602-1)*(1-_xlfn.XLOOKUP(K602,'Janeiro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Real'!C3:C15,0))+1))/((L603-1)*(1-_xlfn.XLOOKUP(K603,'Janeiro 2023 - Valor Real'!A3:A15,'Janeiro 2023 - Valor Real'!C3:C15,0))+1)),IF(I601="Lay",IF(I602="Lay",((L602/(L602-1)-1)*(1-_xlfn.XLOOKUP(K602,'Janeiro 2023 - Valor Real'!A3:A15,'Janeiro 2023 - Valor Real'!C3:C15,0))+1)/(((L602/(L602-1)-1)*(1-_xlfn.XLOOKUP(K602,'Janeiro 2023 - Valor Real'!A3:A15,'Janeiro 2023 - Valor Real'!C3:C15,0))+1)+((L601/(L601-1)-1)*(1-_xlfn.XLOOKUP(K601,'Janeiro 2023 - Valor Real'!A3:A15,'Janeiro 2023 - Valor Real'!C3:C15,0))+1)),((L602-1)*(1-_xlfn.XLOOKUP(K602,'Janeiro 2023 - Valor Real'!A3:A15,'Janeiro 2023 - Valor Real'!C3:C15,0))+1)/(((L602-1)*(1-_xlfn.XLOOKUP(K602,'Janeiro 2023 - Valor Real'!A3:A15,'Janeiro 2023 - Valor Real'!C3:C15,0))+1)+((L601/(L601-1)-1)*(1-_xlfn.XLOOKUP(K601,'Janeiro 2023 - Valor Real'!A3:A15,'Janeiro 2023 - Valor Real'!C3:C15,0))+1))),IF(I602="Lay",(((L602/(L602-1)-1)*(1-_xlfn.XLOOKUP(K602,'Janeiro 2023 - Valor Real'!A3:A15,'Janeiro 2023 - Valor Real'!C3:C15,0))+1))/(((L601-1)*(1-_xlfn.XLOOKUP(K601,'Janeiro 2023 - Valor Real'!A3:A15,'Janeiro 2023 - Valor Real'!C3:C15,0))+1)+((L602/(L602-1)-1)*(1-_xlfn.XLOOKUP(K602,'Janeiro 2023 - Valor Real'!A3:A15,'Janeiro 2023 - Valor Real'!C3:C15,0))+1)),((L602-1)*(1-_xlfn.XLOOKUP(K602,'Janeiro 2023 - Valor Real'!A3:A15,'Janeiro 2023 - Valor Real'!C3:C15,0))+1)/(((L602-1)*(1-_xlfn.XLOOKUP(K602,'Janeiro 2023 - Valor Real'!A3:A15,'Janeiro 2023 - Valor Real'!C3:C15,0))+1)+((L601-1)*(1-_xlfn.XLOOKUP(K601,'Janeiro 2023 - Valor Real'!A3:A15,'Janeiro 2023 - Valor Real'!C3:C15,0))+1))))))</f>
        <v>0.439252336448598</v>
      </c>
      <c r="AF601" s="197">
        <f>IF($K601=AF$3,ROUND(IF(OR($C601="W",$C601="1/2W",$C601="1/2L"),$P601-$O601,IF($C601="X",0,-$O601)),2),0)</f>
        <v>0</v>
      </c>
      <c r="AG601" s="198">
        <f>IF($K601=AG$3,ROUND(IF(OR($C601="W",$C601="1/2W",$C601="1/2L"),$P601-$O601,IF($C601="X",0,-$O601)),2),0)</f>
        <v>0</v>
      </c>
      <c r="AH601" s="198">
        <f>IF($K601=AH$3,ROUND(IF(OR($C601="W",$C601="1/2W",$C601="1/2L"),$P601-$O601,IF($C601="X",0,-$O601)),2),0)</f>
        <v>0</v>
      </c>
      <c r="AI601" s="198">
        <f>IF($K601=AI$3,ROUND(IF(OR($C601="W",$C601="1/2W",$C601="1/2L"),$P601-$O601,IF($C601="X",0,-$O601)),2),0)</f>
        <v>0</v>
      </c>
      <c r="AJ601" s="198">
        <f>IF($K601=AJ$3,ROUND(IF(OR($C601="W",$C601="1/2W",$C601="1/2L"),$P601-$O601,IF($C601="X",0,-$O601)),2),0)</f>
        <v>0</v>
      </c>
      <c r="AK601" s="198">
        <f>IF($K601=AK$3,ROUND(IF(OR($C601="W",$C601="1/2W",$C601="1/2L"),$P601-$O601,IF($C601="X",0,-$O601)),2),0)</f>
        <v>0</v>
      </c>
      <c r="AL601" s="198">
        <f>IF($K601=AL$3,ROUND(IF(OR($C601="W",$C601="1/2W",$C601="1/2L"),$P601-$O601,IF($C601="X",0,-$O601)),2),0)</f>
        <v>0</v>
      </c>
      <c r="AM601" s="198">
        <f>IF($K601=AM$3,ROUND(IF(OR($C601="W",$C601="1/2W",$C601="1/2L"),$P601-$O601,IF($C601="X",0,-$O601)),2),0)</f>
        <v>0</v>
      </c>
      <c r="AN601" s="198">
        <f>IF($K601=AN$3,ROUND(IF(OR($C601="W",$C601="1/2W",$C601="1/2L"),$P601-$O601,IF($C601="X",0,-$O601)),2),0)</f>
        <v>0</v>
      </c>
      <c r="AO601" s="198">
        <f>IF($K601=AO$3,ROUND(IF(OR($C601="W",$C601="1/2W",$C601="1/2L"),$P601-$O601,IF($C601="X",0,-$O601)),2),0)</f>
        <v>0</v>
      </c>
      <c r="AP601" s="198">
        <f>IF($K601=AP$3,ROUND(IF(OR($C601="W",$C601="1/2W",$C601="1/2L"),$P601-$O601,IF($C601="X",0,-$O601)),2),0)</f>
        <v>0</v>
      </c>
      <c r="AQ601" s="198">
        <f>IF($K601=AQ$3,ROUND(IF(OR($C601="W",$C601="1/2W",$C601="1/2L"),$P601-$O601,IF($C601="X",0,-$O601)),2),0)</f>
        <v>-6</v>
      </c>
      <c r="AR601" s="199">
        <f>IF($K601=AR$3,ROUND(IF(OR($C601="W",$C601="1/2W",$C601="1/2L"),$P601-$O601,IF($C601="X",0,-$O601)),2),0)</f>
        <v>0</v>
      </c>
      <c r="AS601" s="197">
        <f>IF(AND($B601=" ",$K601=AS$3),$O601,0)</f>
        <v>0</v>
      </c>
      <c r="AT601" s="198">
        <f>IF(AND($B601=" ",$K601=AT$3),$O601,0)</f>
        <v>0</v>
      </c>
      <c r="AU601" s="198">
        <f>IF(AND($B601=" ",$K601=AU$3),$O601,0)</f>
        <v>0</v>
      </c>
      <c r="AV601" s="198">
        <f>IF(AND($B601=" ",$K601=AV$3),$O601,0)</f>
        <v>0</v>
      </c>
      <c r="AW601" s="198">
        <f>IF(AND($B601=" ",$K601=AW$3),$O601,0)</f>
        <v>0</v>
      </c>
      <c r="AX601" s="198">
        <f>IF(AND($B601=" ",$K601=AX$3),$O601,0)</f>
        <v>0</v>
      </c>
      <c r="AY601" s="200">
        <f>IF(AND($B601=" ",$K601=AY$3),$O601,0)</f>
        <v>0</v>
      </c>
      <c r="AZ601" s="201">
        <f>IF(AND($B601=" ",$K601=AZ$3),$O601,0)</f>
        <v>0</v>
      </c>
      <c r="BA601" s="201">
        <f>IF(AND($B601=" ",$K601=BA$3),$O601,0)</f>
        <v>0</v>
      </c>
      <c r="BB601" s="201">
        <f>IF(AND($B601=" ",$K601=BB$3),$O601,0)</f>
        <v>0</v>
      </c>
      <c r="BC601" s="202">
        <f>IF(AND($B601=" ",$K601=BC$3),$O601,0)</f>
        <v>0</v>
      </c>
      <c r="BD601" s="198">
        <f>IF(AND($B601=" ",$K601=BD$3),$O601,0)</f>
        <v>0</v>
      </c>
      <c r="BE601" s="199">
        <f>IF(AND($B601=" ",$K601=BE$3),$O601,0)</f>
        <v>0</v>
      </c>
      <c r="BF601" s="203">
        <f>IF($K601=BF$3,IF($C601="X",0,$O601),0)</f>
        <v>0</v>
      </c>
      <c r="BG601" s="198">
        <f>IF($K601=BG$3,IF($C601="X",0,$O601),0)</f>
        <v>0</v>
      </c>
      <c r="BH601" s="198">
        <f>IF($K601=BH$3,IF($C601="X",0,$O601),0)</f>
        <v>0</v>
      </c>
      <c r="BI601" s="198">
        <f>IF($K601=BI$3,IF($C601="X",0,$O601),0)</f>
        <v>0</v>
      </c>
      <c r="BJ601" s="198">
        <f>IF($K601=BJ$3,IF($C601="X",0,$O601),0)</f>
        <v>0</v>
      </c>
      <c r="BK601" s="198">
        <f>IF($K601=BK$3,IF($C601="X",0,$O601),0)</f>
        <v>0</v>
      </c>
      <c r="BL601" s="198">
        <f>IF($K601=BL$3,IF($C601="X",0,$O601),0)</f>
        <v>0</v>
      </c>
      <c r="BM601" s="200">
        <f>IF($K601=BM$3,IF($C601="X",0,$O601),0)</f>
        <v>0</v>
      </c>
      <c r="BN601" s="201">
        <f>IF($K601=BN$3,IF($C601="X",0,$O601),0)</f>
        <v>0</v>
      </c>
      <c r="BO601" s="201">
        <f>IF($K601=BO$3,IF($C601="X",0,$O601),0)</f>
        <v>0</v>
      </c>
      <c r="BP601" s="201">
        <f>IF($K601=BP$3,IF($C601="X",0,$O601),0)</f>
        <v>0</v>
      </c>
      <c r="BQ601" s="202">
        <f>IF($K601=BQ$3,IF($C601="X",0,$O601),0)</f>
        <v>6</v>
      </c>
      <c r="BR601" s="199">
        <f>IF($K601=BR$3,IF($C601="X",0,$O601),0)</f>
        <v>0</v>
      </c>
      <c r="BS601" s="204">
        <f>IF($B601="LOSS",IF(AND($K601=BS$3,$C601="L"),-$O601,0)+IF(AND($K602=BS$3,$C602="L"),-$O602,0)+IF(AND($K603=BS$3,$C603="L"),-$O603,0),IF(OR(AND($K601=BS$3,OR($C601="W",$C601="1/2W")),AND($K602=BS$3,OR($C602="W",$C602="1/2W")),AND($K603=BS$3,OR($C603="W",$C603="1/2W"))),$S601,0))</f>
        <v>0</v>
      </c>
      <c r="BT601" s="201">
        <f>IF($B601="LOSS",IF(AND($K601=BT$3,$C601="L"),-$O601,0)+IF(AND($K602=BT$3,$C602="L"),-$O602,0)+IF(AND($K602=BT$3,$C603="L"),-$O603,0),IF(OR(AND($K602=BT$3,OR($C601="W",$C601="1/2W")),AND($K602=BT$3,OR($C602="W",$C602="1/2W")),AND($K602=BT$3,OR($C603="W",$C603="1/2W"))),$S601,0))</f>
        <v>0</v>
      </c>
      <c r="BU601" s="201">
        <f>IF($B601="LOSS",IF(AND($K601=BU$3,$C601="L"),-$O601,0)+IF(AND($K602=BU$3,$C602="L"),-$O602,0)+IF(AND($K602=BU$3,$C603="L"),-$O603,0),IF(OR(AND($K602=BU$3,OR($C601="W",$C601="1/2W")),AND($K602=BU$3,OR($C602="W",$C602="1/2W")),AND($K602=BU$3,OR($C603="W",$C603="1/2W"))),$S601,0))</f>
        <v>0</v>
      </c>
      <c r="BV601" s="201">
        <f>IF($B601="LOSS",IF(AND($K601=BV$3,$C601="L"),-$O601,0)+IF(AND($K602=BV$3,$C602="L"),-$O602,0)+IF(AND($K603=BV$3,$C603="L"),-$O603,0),IF(OR(AND($K601=BV$3,OR($C601="W",$C601="1/2W")),AND($K602=BV$3,OR($C602="W",$C602="1/2W")),AND($K603=BV$3,OR($C603="W",$C603="1/2W"))),$S601,0))</f>
        <v>0</v>
      </c>
      <c r="BW601" s="201">
        <f>IF($B601="LOSS",IF(AND($K601=BW$3,$C601="L"),-$O601,0)+IF(AND($K602=BW$3,$C602="L"),-$O602,0)+IF(AND($K603=BW$3,$C603="L"),-$O603,0),IF(OR(AND($K601=BW$3,OR($C601="W",$C601="1/2W")),AND($K602=BW$3,OR($C602="W",$C602="1/2W")),AND($K603=BW$3,OR($C603="W",$C603="1/2W"))),$S601,0))</f>
        <v>0.75</v>
      </c>
      <c r="BX601" s="201">
        <f>IF($B601="LOSS",IF(AND($K601=BX$3,$C601="L"),-$O601,0)+IF(AND($K602=BX$3,$C602="L"),-$O602,0)+IF(AND($K603=BX$3,$C603="L"),-$O603,0),IF(OR(AND($K601=BX$3,OR($C601="W",$C601="1/2W")),AND($K602=BX$3,OR($C602="W",$C602="1/2W")),AND($K603=BX$3,OR($C603="W",$C603="1/2W"))),$S601,0))</f>
        <v>0</v>
      </c>
      <c r="BY601" s="201">
        <f>IF($B601="LOSS",IF(AND($K601=BY$3,$C601="L"),-$O601,0)+IF(AND($K602=BY$3,$C602="L"),-$O602,0)+IF(AND($K603=BY$3,$C603="L"),-$O603,0),IF(OR(AND($K601=BY$3,OR($C601="W",$C601="1/2W")),AND($K602=BY$3,OR($C602="W",$C602="1/2W")),AND($K603=BY$3,OR($C603="W",$C603="1/2W"))),$S601,0))</f>
        <v>0</v>
      </c>
      <c r="BZ601" s="205">
        <f>IF($B601="LOSS",IF(AND($K601=BZ$3,$C601="L"),-$O601,0)+IF(AND($K602=BZ$3,$C602="L"),-$O602,0)+IF(AND($K603=BZ$3,$C603="L"),-$O603,0),IF(OR(AND($K601=BZ$3,OR($C601="W",$C601="1/2W")),AND($K602=BZ$3,OR($C602="W",$C602="1/2W")),AND($K603=BZ$3,OR($C603="W",$C603="1/2W"))),$S601,0))</f>
        <v>0</v>
      </c>
      <c r="CA601" s="205">
        <f>IF($B601="LOSS",IF(AND($K601=CA$3,$C601="L"),-$O601,0)+IF(AND($K602=CA$3,$C602="L"),-$O602,0)+IF(AND($K603=CA$3,$C603="L"),-$O603,0),IF(OR(AND($K601=CA$3,OR($C601="W",$C601="1/2W")),AND($K602=CA$3,OR($C602="W",$C602="1/2W")),AND($K603=CA$3,OR($C603="W",$C603="1/2W"))),$S601,0))</f>
        <v>0</v>
      </c>
      <c r="CB601" s="205">
        <f>IF($B601="LOSS",IF(AND($K601=CB$3,$C601="L"),-$O601,0)+IF(AND($K602=CB$3,$C602="L"),-$O602,0)+IF(AND($K603=CB$3,$C603="L"),-$O603,0),IF(OR(AND($K601=CB$3,OR($C601="W",$C601="1/2W")),AND($K602=CB$3,OR($C602="W",$C602="1/2W")),AND($K603=CB$3,OR($C603="W",$C603="1/2W"))),$S601,0))</f>
        <v>0</v>
      </c>
      <c r="CC601" s="205">
        <f>IF($B601="LOSS",IF(AND($K601=CC$3,$C601="L"),-$O601,0)+IF(AND($K602=CC$3,$C602="L"),-$O602,0)+IF(AND($K603=CC$3,$C603="L"),-$O603,0),IF(OR(AND($K601=CC$3,OR($C601="W",$C601="1/2W")),AND($K602=CC$3,OR($C602="W",$C602="1/2W")),AND($K603=CC$3,OR($C603="W",$C603="1/2W"))),$S601,0))</f>
        <v>0</v>
      </c>
      <c r="CD601" s="202">
        <f>IF($B601="LOSS",IF(AND($K601=CD$3,$C601="L"),-$O601,0)+IF(AND($K602=CD$3,$C602="L"),-$O602,0)+IF(AND($K603=CD$3,$C603="L"),-$O603,0),IF(OR(AND($K601=CD$3,OR($C601="W",$C601="1/2W")),AND($K602=CD$3,OR($C602="W",$C602="1/2W")),AND($K603=CD$3,OR($C603="W",$C603="1/2W"))),$S601,0))</f>
        <v>0</v>
      </c>
      <c r="CE601" s="199">
        <f>IF($B601="LOSS",IF(AND($K601=CE$3,$C601="L"),-$O601,0)+IF(AND($K602=CE$3,$C602="L"),-$O602,0)+IF(AND($K603=CE$3,$C603="L"),-$O603,0),IF(OR(AND($K601=CE$3,OR($C601="W",$C601="1/2W")),AND($K602=CE$3,OR($C602="W",$C602="1/2W")),AND($K603=CE$3,OR($C603="W",$C603="1/2W"))),$S601,0))</f>
        <v>0</v>
      </c>
      <c r="CF601" s="206">
        <f>IF(CF$3=$K601,IF($C601="W",1,IF($C601="1/2W",0.5,0)),0)</f>
        <v>0</v>
      </c>
      <c r="CG601" s="207">
        <f>IF(CF$3=$K601,IF($C601="L",1,IF($C601="1/2L",0.5,0)),0)</f>
        <v>0</v>
      </c>
      <c r="CH601" s="207">
        <f>IF(CH$3=$K601,IF($C601="W",1,IF($C601="1/2W",0.5,0)),0)</f>
        <v>0</v>
      </c>
      <c r="CI601" s="207">
        <f>IF(CH$3=$K601,IF($C601="L",1,IF($C601="1/2L",0.5,0)),0)</f>
        <v>0</v>
      </c>
      <c r="CJ601" s="207">
        <f>IF(CJ$3=$K601,IF($C601="W",1,IF($C601="1/2W",0.5,0)),0)</f>
        <v>0</v>
      </c>
      <c r="CK601" s="207">
        <f>IF(CJ$3=$K601,IF($C601="L",1,IF($C601="1/2L",0.5,0)),0)</f>
        <v>0</v>
      </c>
      <c r="CL601" s="207">
        <f>IF(CL$3=$K601,IF($C601="W",1,IF($C601="1/2W",0.5,0)),0)</f>
        <v>0</v>
      </c>
      <c r="CM601" s="207">
        <f>IF(CL$3=$K601,IF($C601="L",1,IF($C601="1/2L",0.5,0)),0)</f>
        <v>0</v>
      </c>
      <c r="CN601" s="207">
        <f>IF(CN$3=$K601,IF($C601="W",1,IF($C601="1/2W",0.5,0)),0)</f>
        <v>0</v>
      </c>
      <c r="CO601" s="207">
        <f>IF(CN$3=$K601,IF($C601="L",1,IF($C601="1/2L",0.5,0)),0)</f>
        <v>0</v>
      </c>
      <c r="CP601" s="207">
        <f>IF(CP$3=$K601,IF($C601="W",1,IF($C601="1/2W",0.5,0)),0)</f>
        <v>0</v>
      </c>
      <c r="CQ601" s="207">
        <f>IF(CP$3=$K601,IF($C601="L",1,IF($C601="1/2L",0.5,0)),0)</f>
        <v>0</v>
      </c>
      <c r="CR601" s="207">
        <f>IF(CR$3=$K601,IF($C601="W",1,IF($C601="1/2W",0.5,0)),0)</f>
        <v>0</v>
      </c>
      <c r="CS601" s="207">
        <f>IF(CR$3=$K601,IF($C601="L",1,IF($C601="1/2L",0.5,0)),0)</f>
        <v>0</v>
      </c>
      <c r="CT601" s="208">
        <f>IF(CT$3=$K601,IF($C601="W",1,IF($C601="1/2W",0.5,0)),0)</f>
        <v>0</v>
      </c>
      <c r="CU601" s="209">
        <f>IF(CT$3=$K601,IF($C601="L",1,IF($C601="1/2L",0.5,0)),0)</f>
        <v>0</v>
      </c>
      <c r="CV601" s="209">
        <f>IF(CV$3=$K601,IF($C601="W",1,IF($C601="1/2W",0.5,0)),0)</f>
        <v>0</v>
      </c>
      <c r="CW601" s="209">
        <f>IF(CV$3=$K601,IF($C601="L",1,IF($C601="1/2L",0.5,0)),0)</f>
        <v>0</v>
      </c>
      <c r="CX601" s="209">
        <f>IF(CX$3=$K601,IF($C601="W",1,IF($C601="1/2W",0.5,0)),0)</f>
        <v>0</v>
      </c>
      <c r="CY601" s="209">
        <f>IF(CX$3=$K601,IF($C601="L",1,IF($C601="1/2L",0.5,0)),0)</f>
        <v>0</v>
      </c>
      <c r="CZ601" s="209">
        <f>IF(CZ$3=$K601,IF($C601="W",1,IF($C601="1/2W",0.5,0)),0)</f>
        <v>0</v>
      </c>
      <c r="DA601" s="209">
        <f>IF(CZ$3=$K601,IF($C601="L",1,IF($C601="1/2L",0.5,0)),0)</f>
        <v>0</v>
      </c>
      <c r="DB601" s="209">
        <f>IF(DB$3=$K601,IF($C601="W",1,IF($C601="1/2W",0.5,0)),0)</f>
        <v>0</v>
      </c>
      <c r="DC601" s="209">
        <f>IF(DB$3=$K601,IF($C601="L",1,IF($C601="1/2L",0.5,0)),0)</f>
        <v>1</v>
      </c>
      <c r="DD601" s="209">
        <f>IF(DD$3=$K601,IF($C601="W",1,IF($C601="1/2W",0.5,0)),0)</f>
        <v>0</v>
      </c>
      <c r="DE601" s="210">
        <f>IF(DD$3=$K601,IF($C601="L",1,IF($C601="1/2L",0.5,0)),0)</f>
        <v>0</v>
      </c>
      <c r="DF601" s="211">
        <f>IF(AND(L601&lt;DF$3,$C601="W"),1+DF600,DF600)</f>
        <v>17</v>
      </c>
      <c r="DG601" s="198">
        <f>IF(DF601&gt;DF600,L601+DG600,DG600)</f>
        <v>22.628</v>
      </c>
      <c r="DH601" s="209">
        <f>IF(AND(L601&gt;DH$3,$C601="W"),1+DH600,0+DH600)</f>
        <v>16</v>
      </c>
      <c r="DI601" s="198">
        <f>IF(DH601&gt;DH600,L601+DI600,DI600)</f>
        <v>85.45999999999999</v>
      </c>
      <c r="DJ601" t="s" s="306">
        <f>IF($D601="","",$D601)</f>
        <v>431</v>
      </c>
      <c r="DK601" s="209">
        <f>IF(AND($B601=" ",$D601&lt;&gt;""),1,0)</f>
        <v>0</v>
      </c>
    </row>
    <row r="602" ht="14.55" customHeight="1">
      <c r="A602" s="107"/>
      <c r="B602" s="108"/>
      <c r="C602" t="s" s="213">
        <v>56</v>
      </c>
      <c r="D602" s="110"/>
      <c r="E602" s="111"/>
      <c r="F602" s="113"/>
      <c r="G602" s="214"/>
      <c r="H602" s="114"/>
      <c r="I602" t="s" s="215">
        <v>67</v>
      </c>
      <c r="J602" s="296">
        <f>IF(OR(I601="TO",I601="TU",I601="TO1",I601="TU1",I601="TO2",I601="TU2"),J601,IF(OR(I601="AH1",I601="AH2"),IF(OR(I602="AH1",I602="AH2"),-J601,IF(OR(I602="EH1",I602="EH2"),-J601+0.5,"")),IF(OR(I601="EH1",I601="EH2"),IF(OR(I602="AH1",I602="AH2"),-J601+0.5,IF(OR(I602="EH1",I602="EH2"),-J601+1,"")),IF(AND(OR(I601="DNB1",I601="DNB2"),OR(I602="AH1",I602="AH2")),0,IF(AND(I601="Not ScoreBoth",OR(I602="TO1",I602="TO2")),0.5,"")))))</f>
        <v>9.5</v>
      </c>
      <c r="K602" t="s" s="217">
        <v>41</v>
      </c>
      <c r="L602" s="218">
        <v>1.88</v>
      </c>
      <c r="M602" s="219">
        <v>7.67</v>
      </c>
      <c r="N602" s="120"/>
      <c r="O602" s="220">
        <f>IF(OR(AE601="",AE602=""),"",ROUND(IF(L603&gt;0,IF(M602&gt;0,M602,IF(M601&gt;0,IF(N601=TRUE,ROUND((M601*AE602)/AE601,0),(M601*AE602)/AE601),IF(M602&gt;0,ROUND(M602,IF(N601=0,2,IF(N601=0.1,1,0))),IF(M603&gt;0,ROUND(O603*AE602/AE603,IF(N601=0,2,IF(N601=0.1,1,0))),0)))),IF(M602&gt;0,M602,ROUND((M601*AE602)/AE601,IF(N601=0,2,IF(N601=0.1,1,0))))),2))</f>
        <v>7.67</v>
      </c>
      <c r="P602" s="221">
        <f>IF(OR(L602="",O602=""),"",IF($C602="1/2W",O602/2+O602/2*L602,IF($C602="1/2L",O602/2,IF(I602="Lay",((O602*(L602/(L602-1)))-O602)*(1-_xlfn.XLOOKUP(K602,'Janeiro 2023 - Valor Real'!A3:A15,'Janeiro 2023 - Valor Real'!C3:C15,0))+O602,(O602*L602-O602)*(1-_xlfn.XLOOKUP(K602,'Janeiro 2023 - Valor Real'!A3:A15,'Janeiro 2023 - Valor Real'!C3:C15,0))+O602))))</f>
        <v>14.4196</v>
      </c>
      <c r="Q602" s="222">
        <f>IF(K602="","",IF(_xlfn.XLOOKUP(K602,K$123:K375,DJ$123:DJ375,0,,-1)=DJ602,_xlfn.XLOOKUP(K602,K$123:K375,Q$123:Q375,1,,-1)+1,1))</f>
        <v>1</v>
      </c>
      <c r="R602" s="223">
        <f>IF(K602="","",_xlfn.XLOOKUP(K602,K$123:K375,R$123:R375,0,,-1)+IF($C602=" ",1,0))</f>
        <v>0</v>
      </c>
      <c r="S602" s="125"/>
      <c r="T602" s="126"/>
      <c r="U602" s="126"/>
      <c r="V602" s="224"/>
      <c r="W602" s="126"/>
      <c r="X602" s="127"/>
      <c r="Y602" s="128"/>
      <c r="Z602" s="129"/>
      <c r="AA602" s="129"/>
      <c r="AB602" s="129"/>
      <c r="AC602" s="129"/>
      <c r="AD602" s="225">
        <f>(((L602/(L602-1)-1)*(1-_xlfn.XLOOKUP(K602,'Janeiro 2023 - Valor Real'!A3:A15,'Janeiro 2023 - Valor Real'!C3:C15,0))+1))</f>
        <v>2.13636363636364</v>
      </c>
      <c r="AE602" s="226">
        <f>IF(L602="","",IF(L603&gt;0,(SUM(((L601-1)*(1-_xlfn.XLOOKUP(K601,'Janeiro 2023 - Valor Real'!A3:A15,'Janeiro 2023 - Valor Real'!C3:C15,0))+1),((L602-1)*(1-_xlfn.XLOOKUP(K602,'Janeiro 2023 - Valor Real'!A3:A15,'Janeiro 2023 - Valor Real'!C3:C15,0))+1),((L603-1)*(1-_xlfn.XLOOKUP(K603,'Janeiro 2023 - Valor Real'!A3:A15,'Janeiro 2023 - Valor Real'!C3:C15,0))+1))/((L602-1)*(1-_xlfn.XLOOKUP(K602,'Janeiro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Real'!C3:C15,0))+1))/((L601-1)*(1-_xlfn.XLOOKUP(K601,'Janeiro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Real'!C3:C15,0))+1))/((L602-1)*(1-_xlfn.XLOOKUP(K602,'Janeiro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Real'!C3:C15,0))+1))/((L603-1)*(1-_xlfn.XLOOKUP(K603,'Janeiro 2023 - Valor Real'!A3:A15,'Janeiro 2023 - Valor Real'!C3:C15,0))+1)),IF(I602="Lay",IF(I601="Lay",((L601/(L601-1)-1)*(1-_xlfn.XLOOKUP(K601,'Janeiro 2023 - Valor Real'!A3:A15,'Janeiro 2023 - Valor Real'!C3:C15,0))+1)/(((L601/(L601-1)-1)*(1-_xlfn.XLOOKUP(K601,'Janeiro 2023 - Valor Real'!A3:A15,'Janeiro 2023 - Valor Real'!C3:C15,0))+1)+((L602/(L602-1)-1)*(1-_xlfn.XLOOKUP(K602,'Janeiro 2023 - Valor Real'!A3:A15,'Janeiro 2023 - Valor Real'!C3:C15,0))+1)),((L601-1)*(1-_xlfn.XLOOKUP(K601,'Janeiro 2023 - Valor Real'!A3:A15,'Janeiro 2023 - Valor Real'!C3:C15,0))+1)/(((L601-1)*(1-_xlfn.XLOOKUP(K601,'Janeiro 2023 - Valor Real'!A3:A15,'Janeiro 2023 - Valor Real'!C3:C15,0))+1)+((L602/(L602-1)-1)*(1-_xlfn.XLOOKUP(K602,'Janeiro 2023 - Valor Real'!A3:A15,'Janeiro 2023 - Valor Real'!C3:C15,0))+1))),IF(I601="Lay",((L601/(L601-1)-1)*(1-_xlfn.XLOOKUP(K601,'Janeiro 2023 - Valor Real'!A3:A15,'Janeiro 2023 - Valor Real'!C3:C15,0))+1)/((((L601/(L601-1)-1)*(1-_xlfn.XLOOKUP(K601,'Janeiro 2023 - Valor Real'!A3:A15,'Janeiro 2023 - Valor Real'!C3:C15,0))+1))+((L602-1)*(1-_xlfn.XLOOKUP(K602,'Janeiro 2023 - Valor Real'!A3:A15,'Janeiro 2023 - Valor Real'!C3:C15,0))+1)),((L601-1)*(1-_xlfn.XLOOKUP(K601,'Janeiro 2023 - Valor Real'!A3:A15,'Janeiro 2023 - Valor Real'!C3:C15,0))+1)/(((L601-1)*(1-_xlfn.XLOOKUP(K601,'Janeiro 2023 - Valor Real'!A3:A15,'Janeiro 2023 - Valor Real'!C3:C15,0))+1)+((L602-1)*(1-_xlfn.XLOOKUP(K602,'Janeiro 2023 - Valor Real'!A3:A15,'Janeiro 2023 - Valor Real'!C3:C15,0))+1))))))</f>
        <v>0.560747663551402</v>
      </c>
      <c r="AF602" s="197">
        <f>IF($K602=AF$3,ROUND(IF(OR($C602="W",$C602="1/2W",$C602="1/2L"),$P602-$O602,IF($C602="X",0,-$O602)),2),0)</f>
        <v>0</v>
      </c>
      <c r="AG602" s="198">
        <f>IF($K602=AG$3,ROUND(IF(OR($C602="W",$C602="1/2W",$C602="1/2L"),$P602-$O602,IF($C602="X",0,-$O602)),2),0)</f>
        <v>0</v>
      </c>
      <c r="AH602" s="198">
        <f>IF($K602=AH$3,ROUND(IF(OR($C602="W",$C602="1/2W",$C602="1/2L"),$P602-$O602,IF($C602="X",0,-$O602)),2),0)</f>
        <v>0</v>
      </c>
      <c r="AI602" s="198">
        <f>IF($K602=AI$3,ROUND(IF(OR($C602="W",$C602="1/2W",$C602="1/2L"),$P602-$O602,IF($C602="X",0,-$O602)),2),0)</f>
        <v>0</v>
      </c>
      <c r="AJ602" s="198">
        <f>IF($K602=AJ$3,ROUND(IF(OR($C602="W",$C602="1/2W",$C602="1/2L"),$P602-$O602,IF($C602="X",0,-$O602)),2),0)</f>
        <v>6.75</v>
      </c>
      <c r="AK602" s="198">
        <f>IF($K602=AK$3,ROUND(IF(OR($C602="W",$C602="1/2W",$C602="1/2L"),$P602-$O602,IF($C602="X",0,-$O602)),2),0)</f>
        <v>0</v>
      </c>
      <c r="AL602" s="198">
        <f>IF($K602=AL$3,ROUND(IF(OR($C602="W",$C602="1/2W",$C602="1/2L"),$P602-$O602,IF($C602="X",0,-$O602)),2),0)</f>
        <v>0</v>
      </c>
      <c r="AM602" s="198">
        <f>IF($K602=AM$3,ROUND(IF(OR($C602="W",$C602="1/2W",$C602="1/2L"),$P602-$O602,IF($C602="X",0,-$O602)),2),0)</f>
        <v>0</v>
      </c>
      <c r="AN602" s="198">
        <f>IF($K602=AN$3,ROUND(IF(OR($C602="W",$C602="1/2W",$C602="1/2L"),$P602-$O602,IF($C602="X",0,-$O602)),2),0)</f>
        <v>0</v>
      </c>
      <c r="AO602" s="198">
        <f>IF($K602=AO$3,ROUND(IF(OR($C602="W",$C602="1/2W",$C602="1/2L"),$P602-$O602,IF($C602="X",0,-$O602)),2),0)</f>
        <v>0</v>
      </c>
      <c r="AP602" s="198">
        <f>IF($K602=AP$3,ROUND(IF(OR($C602="W",$C602="1/2W",$C602="1/2L"),$P602-$O602,IF($C602="X",0,-$O602)),2),0)</f>
        <v>0</v>
      </c>
      <c r="AQ602" s="198">
        <f>IF($K602=AQ$3,ROUND(IF(OR($C602="W",$C602="1/2W",$C602="1/2L"),$P602-$O602,IF($C602="X",0,-$O602)),2),0)</f>
        <v>0</v>
      </c>
      <c r="AR602" s="199">
        <f>IF($K602=AR$3,ROUND(IF(OR($C602="W",$C602="1/2W",$C602="1/2L"),$P602-$O602,IF($C602="X",0,-$O602)),2),0)</f>
        <v>0</v>
      </c>
      <c r="AS602" s="197">
        <f>IF(AND($B601=" ",$K602=AS$3),$O602,0)</f>
        <v>0</v>
      </c>
      <c r="AT602" s="198">
        <f>IF(AND($B601=" ",K602=AT$3),$O602,0)</f>
        <v>0</v>
      </c>
      <c r="AU602" s="198">
        <f>IF(AND($B601=" ",$K602=AU$3),$O602,0)</f>
        <v>0</v>
      </c>
      <c r="AV602" s="198">
        <f>IF(AND($B601=" ",$K602=AV$3),$O602,0)</f>
        <v>0</v>
      </c>
      <c r="AW602" s="198">
        <f>IF(AND($B601=" ",$K602=AW$3),$O602,0)</f>
        <v>0</v>
      </c>
      <c r="AX602" s="198">
        <f>IF(AND($B601=" ",$K602=AX$3),$O602,0)</f>
        <v>0</v>
      </c>
      <c r="AY602" s="200">
        <f>IF(AND($B601=" ",$K602=AY$3),$O602,0)</f>
        <v>0</v>
      </c>
      <c r="AZ602" s="201">
        <f>IF(AND($B601=" ",$K602=AZ$3),$O602,0)</f>
        <v>0</v>
      </c>
      <c r="BA602" s="201">
        <f>IF(AND($B601=" ",$K602=BA$3),$O602,0)</f>
        <v>0</v>
      </c>
      <c r="BB602" s="201">
        <f>IF(AND($B601=" ",$K602=BB$3),$O602,0)</f>
        <v>0</v>
      </c>
      <c r="BC602" s="202">
        <f>IF(AND($B601=" ",$K602=BC$3),$O602,0)</f>
        <v>0</v>
      </c>
      <c r="BD602" s="198">
        <f>IF(AND($B601=" ",$K602=BD$3),$O602,0)</f>
        <v>0</v>
      </c>
      <c r="BE602" s="199">
        <f>IF(AND($B601=" ",$K602=BE$3),$O602,0)</f>
        <v>0</v>
      </c>
      <c r="BF602" s="197">
        <f>IF($K602=BF$3,IF($C602="X",0,$O602),0)</f>
        <v>0</v>
      </c>
      <c r="BG602" s="198">
        <f>IF($K602=BG$3,IF($C602="X",0,$O602),0)</f>
        <v>0</v>
      </c>
      <c r="BH602" s="198">
        <f>IF($K602=BH$3,IF($C602="X",0,$O602),0)</f>
        <v>0</v>
      </c>
      <c r="BI602" s="198">
        <f>IF($K602=BI$3,IF($C602="X",0,$O602),0)</f>
        <v>0</v>
      </c>
      <c r="BJ602" s="198">
        <f>IF($K602=BJ$3,IF($C602="X",0,$O602),0)</f>
        <v>7.67</v>
      </c>
      <c r="BK602" s="198">
        <f>IF($K602=BK$3,IF($C602="X",0,$O602),0)</f>
        <v>0</v>
      </c>
      <c r="BL602" s="198">
        <f>IF($K602=BL$3,IF($C602="X",0,$O602),0)</f>
        <v>0</v>
      </c>
      <c r="BM602" s="227">
        <f>IF($K602=BM$3,IF($C602="X",0,$O602),0)</f>
        <v>0</v>
      </c>
      <c r="BN602" s="205">
        <f>IF($K602=BN$3,IF($C602="X",0,$O602),0)</f>
        <v>0</v>
      </c>
      <c r="BO602" s="205">
        <f>IF($K602=BO$3,IF($C602="X",0,$O602),0)</f>
        <v>0</v>
      </c>
      <c r="BP602" s="205">
        <f>IF($K602=BP$3,IF($C602="X",0,$O602),0)</f>
        <v>0</v>
      </c>
      <c r="BQ602" s="202">
        <f>IF($K602=BQ$3,IF($C602="X",0,$O602),0)</f>
        <v>0</v>
      </c>
      <c r="BR602" s="199">
        <f>IF($K602=BR$3,IF($C602="X",0,$O602),0)</f>
        <v>0</v>
      </c>
      <c r="BS602" s="228"/>
      <c r="BT602" s="229"/>
      <c r="BU602" s="140"/>
      <c r="BV602" s="229"/>
      <c r="BW602" s="140"/>
      <c r="BX602" s="140"/>
      <c r="BY602" s="140"/>
      <c r="BZ602" s="229"/>
      <c r="CA602" s="140"/>
      <c r="CB602" s="140"/>
      <c r="CC602" s="140"/>
      <c r="CD602" s="141"/>
      <c r="CE602" s="142"/>
      <c r="CF602" s="230">
        <f>IF(CF$3=$K602,IF($C602="W",1,IF($C602="1/2W",0.5,0)),0)</f>
        <v>0</v>
      </c>
      <c r="CG602" s="231">
        <f>IF(CF$3=$K602,IF($C602="L",1,IF($C602="1/2L",0.5,0)),0)</f>
        <v>0</v>
      </c>
      <c r="CH602" s="231">
        <f>IF(CH$3=$K602,IF($C602="W",1,IF($C602="1/2W",0.5,0)),0)</f>
        <v>0</v>
      </c>
      <c r="CI602" s="231">
        <f>IF(CH$3=$K602,IF($C602="L",1,IF($C602="1/2L",0.5,0)),0)</f>
        <v>0</v>
      </c>
      <c r="CJ602" s="231">
        <f>IF(CJ$3=$K602,IF($C602="W",1,IF($C602="1/2W",0.5,0)),0)</f>
        <v>0</v>
      </c>
      <c r="CK602" s="231">
        <f>IF(CJ$3=$K602,IF($C602="L",1,IF($C602="1/2L",0.5,0)),0)</f>
        <v>0</v>
      </c>
      <c r="CL602" s="231">
        <f>IF(CL$3=$K602,IF($C602="W",1,IF($C602="1/2W",0.5,0)),0)</f>
        <v>0</v>
      </c>
      <c r="CM602" s="231">
        <f>IF(CL$3=$K602,IF($C602="L",1,IF($C602="1/2L",0.5,0)),0)</f>
        <v>0</v>
      </c>
      <c r="CN602" s="231">
        <f>IF(CN$3=$K602,IF($C602="W",1,IF($C602="1/2W",0.5,0)),0)</f>
        <v>1</v>
      </c>
      <c r="CO602" s="231">
        <f>IF(CN$3=$K602,IF($C602="L",1,IF($C602="1/2L",0.5,0)),0)</f>
        <v>0</v>
      </c>
      <c r="CP602" s="231">
        <f>IF(CP$3=$K602,IF($C602="W",1,IF($C602="1/2W",0.5,0)),0)</f>
        <v>0</v>
      </c>
      <c r="CQ602" s="231">
        <f>IF(CP$3=$K602,IF($C602="L",1,IF($C602="1/2L",0.5,0)),0)</f>
        <v>0</v>
      </c>
      <c r="CR602" s="231">
        <f>IF(CR$3=$K602,IF($C602="W",1,IF($C602="1/2W",0.5,0)),0)</f>
        <v>0</v>
      </c>
      <c r="CS602" s="231">
        <f>IF(CR$3=$K602,IF($C602="L",1,IF($C602="1/2L",0.5,0)),0)</f>
        <v>0</v>
      </c>
      <c r="CT602" s="208">
        <f>IF(CT$3=$K602,IF($C602="W",1,IF($C602="1/2W",0.5,0)),0)</f>
        <v>0</v>
      </c>
      <c r="CU602" s="209">
        <f>IF(CT$3=$K602,IF($C602="L",1,IF($C602="1/2L",0.5,0)),0)</f>
        <v>0</v>
      </c>
      <c r="CV602" s="209">
        <f>IF(CV$3=$K602,IF($C602="W",1,IF($C602="1/2W",0.5,0)),0)</f>
        <v>0</v>
      </c>
      <c r="CW602" s="209">
        <f>IF(CV$3=$K602,IF($C602="L",1,IF($C602="1/2L",0.5,0)),0)</f>
        <v>0</v>
      </c>
      <c r="CX602" s="209">
        <f>IF(CX$3=$K602,IF($C602="W",1,IF($C602="1/2W",0.5,0)),0)</f>
        <v>0</v>
      </c>
      <c r="CY602" s="209">
        <f>IF(CX$3=$K602,IF($C602="L",1,IF($C602="1/2L",0.5,0)),0)</f>
        <v>0</v>
      </c>
      <c r="CZ602" s="209">
        <f>IF(CZ$3=$K602,IF($C602="W",1,IF($C602="1/2W",0.5,0)),0)</f>
        <v>0</v>
      </c>
      <c r="DA602" s="209">
        <f>IF(CZ$3=$K602,IF($C602="L",1,IF($C602="1/2L",0.5,0)),0)</f>
        <v>0</v>
      </c>
      <c r="DB602" s="209">
        <f>IF(DB$3=$K602,IF($C602="W",1,IF($C602="1/2W",0.5,0)),0)</f>
        <v>0</v>
      </c>
      <c r="DC602" s="209">
        <f>IF(DB$3=$K602,IF($C602="L",1,IF($C602="1/2L",0.5,0)),0)</f>
        <v>0</v>
      </c>
      <c r="DD602" s="209">
        <f>IF(DD$3=$K602,IF($C602="W",1,IF($C602="1/2W",0.5,0)),0)</f>
        <v>0</v>
      </c>
      <c r="DE602" s="210">
        <f>IF(DD$3=$K602,IF($C602="L",1,IF($C602="1/2L",0.5,0)),0)</f>
        <v>0</v>
      </c>
      <c r="DF602" s="211">
        <f>IF(AND(L602&lt;DF$3,$C602="W"),1+DF601,DF601)</f>
        <v>17</v>
      </c>
      <c r="DG602" s="198">
        <f>IF(DF602&gt;DF601,L602+DG601,DG601)</f>
        <v>22.628</v>
      </c>
      <c r="DH602" s="209">
        <f>IF(AND(L602&gt;DH$3,$C602="W"),1+DH601,0+DH601)</f>
        <v>16</v>
      </c>
      <c r="DI602" s="198">
        <f>IF(DH602&gt;DH601,L602+DI601,DI601)</f>
        <v>85.45999999999999</v>
      </c>
      <c r="DJ602" t="s" s="306">
        <f>IF($D601="","",$D601)</f>
        <v>431</v>
      </c>
      <c r="DK602" s="232"/>
    </row>
    <row r="603" ht="14.55" customHeight="1">
      <c r="A603" s="149"/>
      <c r="B603" s="150"/>
      <c r="C603" t="s" s="233">
        <v>58</v>
      </c>
      <c r="D603" s="152"/>
      <c r="E603" s="153"/>
      <c r="F603" s="155"/>
      <c r="G603" s="234"/>
      <c r="H603" s="156"/>
      <c r="I603" s="235"/>
      <c r="J603" s="236"/>
      <c r="K603" s="237"/>
      <c r="L603" s="238"/>
      <c r="M603" s="239"/>
      <c r="N603" s="161"/>
      <c r="O603" t="s" s="240">
        <f>IF(OR(AE601="",AE602=""),"",IF(L603&gt;0,ROUND(IF(M603&gt;0,M603,IF(M601&gt;0,ROUND((M601*AE603)/AE601,IF(N601=0,2,IF(N601=0.1,1,0))),IF(M602&gt;0,ROUND((M602*AE603)/AE602,IF(N601=0,2,IF(N601=0.1,1,0))),IF(M603&gt;0,M603,0)))),2),""))</f>
      </c>
      <c r="P603" t="s" s="241">
        <f>IF(I602="Lay",O602*(L602/(L602-1))-O602,IF(I601="Lay",O601*(L601/(L601-1))-O601,IF(OR(L603="",O603=""),"",IF($C603="1/2W",O603/2+O603/2*L603,IF($C603="1/2L",O603/2,(O603*L603-O603)*(1-_xlfn.XLOOKUP(K603,'Janeiro 2023 - Valor Real'!A3:A15,'Janeiro 2023 - Valor Real'!C3:C15,0))+O603)))))</f>
      </c>
      <c r="Q603" t="s" s="242">
        <f>IF(K603="","",IF(_xlfn.XLOOKUP(K603,K$124:K376,DJ$124:DJ376,0,,-1)=DJ603,_xlfn.XLOOKUP(K603,K$124:K376,Q$124:Q376,1,,-1)+1,1))</f>
      </c>
      <c r="R603" t="s" s="243">
        <f>IF(K603="","",_xlfn.XLOOKUP(K603,K$124:K376,R$124:R376,0,,-1)+IF($C603=" ",1,0))</f>
      </c>
      <c r="S603" s="166"/>
      <c r="T603" s="155"/>
      <c r="U603" s="155"/>
      <c r="V603" s="166"/>
      <c r="W603" s="155"/>
      <c r="X603" s="167"/>
      <c r="Y603" s="128"/>
      <c r="Z603" s="129"/>
      <c r="AA603" s="129"/>
      <c r="AB603" s="129"/>
      <c r="AC603" s="129"/>
      <c r="AD603" s="244">
        <f>((L602/(L602-1)-1))</f>
        <v>1.13636363636364</v>
      </c>
      <c r="AE603" t="s" s="245">
        <f>IF(L603="","",(SUM(((L601-1)*(1-_xlfn.XLOOKUP(K601,'Janeiro 2023 - Valor Real'!A3:A15,'Janeiro 2023 - Valor Real'!C3:C15,0))+1),((L602-1)*(1-_xlfn.XLOOKUP(K602,'Janeiro 2023 - Valor Real'!A3:A15,'Janeiro 2023 - Valor Real'!C3:C15,0))+1),((L603-1)*(1-_xlfn.XLOOKUP(K603,'Janeiro 2023 - Valor Real'!A3:A15,'Janeiro 2023 - Valor Real'!C3:C15,0))+1))/((L603-1)*(1-_xlfn.XLOOKUP(K603,'Janeiro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Real'!C3:C15,0))+1))/((L601-1)*(1-_xlfn.XLOOKUP(K601,'Janeiro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Real'!C3:C15,0))+1))/((L602-1)*(1-_xlfn.XLOOKUP(K602,'Janeiro 2023 - Valor Real'!A3:A15,'Janeiro 2023 - Valor Real'!C3:C15,0))+1)+SUM(((L601-1)*(1-_xlfn.XLOOKUP(K601,'Janeiro 2023 - Valor Real'!A3:A15,'Janeiro 2023 - Valor Real'!C3:C15,0))+1),((L602-1)*(1-_xlfn.XLOOKUP(K602,'Janeiro 2023 - Valor Real'!A3:A15,'Janeiro 2023 - Valor Real'!C3:C15,0))+1),((L603-1)*(1-_xlfn.XLOOKUP(K603,'Janeiro 2023 - Valor Real'!A3:A15,'Janeiro 2023 - Valor Real'!C3:C15,0))+1))/((L603-1)*(1-_xlfn.XLOOKUP(K603,'Janeiro 2023 - Valor Real'!A3:A15,'Janeiro 2023 - Valor Real'!C3:C15,0))+1)))</f>
      </c>
      <c r="AF603" s="197">
        <f>IF($K603=AF$3,ROUND(IF(OR($C603="W",$C603="1/2W",$C603="1/2L"),$P603-$O603,IF($C603="X",0,-$O603)),2),0)</f>
        <v>0</v>
      </c>
      <c r="AG603" s="198">
        <f>IF($K603=AG$3,ROUND(IF(OR($C603="W",$C603="1/2W",$C603="1/2L"),$P603-$O603,IF($C603="X",0,-$O603)),2),0)</f>
        <v>0</v>
      </c>
      <c r="AH603" s="198">
        <f>IF($K603=AH$3,ROUND(IF(OR($C603="W",$C603="1/2W",$C603="1/2L"),$P603-$O603,IF($C603="X",0,-$O603)),2),0)</f>
        <v>0</v>
      </c>
      <c r="AI603" s="198">
        <f>IF($K603=AI$3,ROUND(IF(OR($C603="W",$C603="1/2W",$C603="1/2L"),$P603-$O603,IF($C603="X",0,-$O603)),2),0)</f>
        <v>0</v>
      </c>
      <c r="AJ603" s="198">
        <f>IF($K603=AJ$3,ROUND(IF(OR($C603="W",$C603="1/2W",$C603="1/2L"),$P603-$O603,IF($C603="X",0,-$O603)),2),0)</f>
        <v>0</v>
      </c>
      <c r="AK603" s="198">
        <f>IF($K603=AK$3,ROUND(IF(OR($C603="W",$C603="1/2W",$C603="1/2L"),$P603-$O603,IF($C603="X",0,-$O603)),2),0)</f>
        <v>0</v>
      </c>
      <c r="AL603" s="198">
        <f>IF($K603=AL$3,ROUND(IF(OR($C603="W",$C603="1/2W",$C603="1/2L"),$P603-$O603,IF($C603="X",0,-$O603)),2),0)</f>
        <v>0</v>
      </c>
      <c r="AM603" s="198">
        <f>IF($K603=AM$3,ROUND(IF(OR($C603="W",$C603="1/2W",$C603="1/2L"),$P603-$O603,IF($C603="X",0,-$O603)),2),0)</f>
        <v>0</v>
      </c>
      <c r="AN603" s="198">
        <f>IF($K603=AN$3,ROUND(IF(OR($C603="W",$C603="1/2W",$C603="1/2L"),$P603-$O603,IF($C603="X",0,-$O603)),2),0)</f>
        <v>0</v>
      </c>
      <c r="AO603" s="198">
        <f>IF($K603=AO$3,ROUND(IF(OR($C603="W",$C603="1/2W",$C603="1/2L"),$P603-$O603,IF($C603="X",0,-$O603)),2),0)</f>
        <v>0</v>
      </c>
      <c r="AP603" s="198">
        <f>IF($K603=AP$3,ROUND(IF(OR($C603="W",$C603="1/2W",$C603="1/2L"),$P603-$O603,IF($C603="X",0,-$O603)),2),0)</f>
        <v>0</v>
      </c>
      <c r="AQ603" s="198">
        <f>IF($K603=AQ$3,ROUND(IF(OR($C603="W",$C603="1/2W",$C603="1/2L"),$P603-$O603,IF($C603="X",0,-$O603)),2),0)</f>
        <v>0</v>
      </c>
      <c r="AR603" s="199">
        <f>IF($K603=AR$3,ROUND(IF(OR($C603="W",$C603="1/2W",$C603="1/2L"),$P603-$O603,IF($C603="X",0,-$O603)),2),0)</f>
        <v>0</v>
      </c>
      <c r="AS603" s="197">
        <f>IF(AND($B601=" ",$K603=AS$3),$O603,0)</f>
        <v>0</v>
      </c>
      <c r="AT603" s="198">
        <f>IF(AND($B601=" ",K603=AT$3),$O603,0)</f>
        <v>0</v>
      </c>
      <c r="AU603" s="198">
        <f>IF(AND($B601=" ",$K603=AU$3),$O603,0)</f>
        <v>0</v>
      </c>
      <c r="AV603" s="198">
        <f>IF(AND($B601=" ",$K603=AV$3),$O603,0)</f>
        <v>0</v>
      </c>
      <c r="AW603" s="198">
        <f>IF(AND($B601=" ",$K603=AW$3),$O603,0)</f>
        <v>0</v>
      </c>
      <c r="AX603" s="198">
        <f>IF(AND($B601=" ",$K603=AX$3),$O603,0)</f>
        <v>0</v>
      </c>
      <c r="AY603" s="200">
        <f>IF(AND($B601=" ",$K603=AY$3),$O603,0)</f>
        <v>0</v>
      </c>
      <c r="AZ603" s="201">
        <f>IF(AND($B601=" ",$K603=AZ$3),$O603,0)</f>
        <v>0</v>
      </c>
      <c r="BA603" s="201">
        <f>IF(AND($B601=" ",$K603=BA$3),$O603,0)</f>
        <v>0</v>
      </c>
      <c r="BB603" s="201">
        <f>IF(AND($B601=" ",$K603=BB$3),$O603,0)</f>
        <v>0</v>
      </c>
      <c r="BC603" s="202">
        <f>IF(AND($B601=" ",$K603=BC$3),$O603,0)</f>
        <v>0</v>
      </c>
      <c r="BD603" s="198">
        <f>IF(AND($B601=" ",$K603=BD$3),$O603,0)</f>
        <v>0</v>
      </c>
      <c r="BE603" s="199">
        <f>IF(AND($B601=" ",$K603=BE$3),$O603,0)</f>
        <v>0</v>
      </c>
      <c r="BF603" s="197">
        <f>IF($K603=BF$3,IF($C603="X",0,$O603),0)</f>
        <v>0</v>
      </c>
      <c r="BG603" s="198">
        <f>IF($K603=BG$3,IF($C603="X",0,$O603),0)</f>
        <v>0</v>
      </c>
      <c r="BH603" s="198">
        <f>IF($K603=BH$3,IF($C603="X",0,$O603),0)</f>
        <v>0</v>
      </c>
      <c r="BI603" s="198">
        <f>IF($K603=BI$3,IF($C603="X",0,$O603),0)</f>
        <v>0</v>
      </c>
      <c r="BJ603" s="198">
        <f>IF($K603=BJ$3,IF($C603="X",0,$O603),0)</f>
        <v>0</v>
      </c>
      <c r="BK603" s="198">
        <f>IF($K603=BK$3,IF($C603="X",0,$O603),0)</f>
        <v>0</v>
      </c>
      <c r="BL603" s="198">
        <f>IF($K603=BL$3,IF($C603="X",0,$O603),0)</f>
        <v>0</v>
      </c>
      <c r="BM603" s="200">
        <f>IF($K603=BM$3,IF($C603="X",0,$O603),0)</f>
        <v>0</v>
      </c>
      <c r="BN603" s="201">
        <f>IF($K603=BN$3,IF($C603="X",0,$O603),0)</f>
        <v>0</v>
      </c>
      <c r="BO603" s="201">
        <f>IF($K603=BO$3,IF($C603="X",0,$O603),0)</f>
        <v>0</v>
      </c>
      <c r="BP603" s="201">
        <f>IF($K603=BP$3,IF($C603="X",0,$O603),0)</f>
        <v>0</v>
      </c>
      <c r="BQ603" s="202">
        <f>IF($K603=BQ$3,IF($C603="X",0,$O603),0)</f>
        <v>0</v>
      </c>
      <c r="BR603" s="199">
        <f>IF($K603=BR$3,IF($C603="X",0,$O603),0)</f>
        <v>0</v>
      </c>
      <c r="BS603" s="228"/>
      <c r="BT603" s="229"/>
      <c r="BU603" s="140"/>
      <c r="BV603" s="229"/>
      <c r="BW603" s="140"/>
      <c r="BX603" s="140"/>
      <c r="BY603" s="140"/>
      <c r="BZ603" s="229"/>
      <c r="CA603" s="140"/>
      <c r="CB603" s="140"/>
      <c r="CC603" s="140"/>
      <c r="CD603" s="141"/>
      <c r="CE603" s="142"/>
      <c r="CF603" s="230">
        <f>IF(CF$3=$K603,IF($C603="W",1,IF($C603="1/2W",0.5,0)),0)</f>
        <v>0</v>
      </c>
      <c r="CG603" s="231">
        <f>IF(CF$3=$K603,IF($C603="L",1,IF($C603="1/2L",0.5,0)),0)</f>
        <v>0</v>
      </c>
      <c r="CH603" s="231">
        <f>IF(CH$3=$K603,IF($C603="W",1,IF($C603="1/2W",0.5,0)),0)</f>
        <v>0</v>
      </c>
      <c r="CI603" s="231">
        <f>IF(CH$3=$K603,IF($C603="L",1,IF($C603="1/2L",0.5,0)),0)</f>
        <v>0</v>
      </c>
      <c r="CJ603" s="231">
        <f>IF(CJ$3=$K603,IF($C603="W",1,IF($C603="1/2W",0.5,0)),0)</f>
        <v>0</v>
      </c>
      <c r="CK603" s="231">
        <f>IF(CJ$3=$K603,IF($C603="L",1,IF($C603="1/2L",0.5,0)),0)</f>
        <v>0</v>
      </c>
      <c r="CL603" s="231">
        <f>IF(CL$3=$K603,IF($C603="W",1,IF($C603="1/2W",0.5,0)),0)</f>
        <v>0</v>
      </c>
      <c r="CM603" s="231">
        <f>IF(CL$3=$K603,IF($C603="L",1,IF($C603="1/2L",0.5,0)),0)</f>
        <v>0</v>
      </c>
      <c r="CN603" s="231">
        <f>IF(CN$3=$K603,IF($C603="W",1,IF($C603="1/2W",0.5,0)),0)</f>
        <v>0</v>
      </c>
      <c r="CO603" s="231">
        <f>IF(CN$3=$K603,IF($C603="L",1,IF($C603="1/2L",0.5,0)),0)</f>
        <v>0</v>
      </c>
      <c r="CP603" s="231">
        <f>IF(CP$3=$K603,IF($C603="W",1,IF($C603="1/2W",0.5,0)),0)</f>
        <v>0</v>
      </c>
      <c r="CQ603" s="231">
        <f>IF(CP$3=$K603,IF($C603="L",1,IF($C603="1/2L",0.5,0)),0)</f>
        <v>0</v>
      </c>
      <c r="CR603" s="231">
        <f>IF(CR$3=$K603,IF($C603="W",1,IF($C603="1/2W",0.5,0)),0)</f>
        <v>0</v>
      </c>
      <c r="CS603" s="231">
        <f>IF(CR$3=$K603,IF($C603="L",1,IF($C603="1/2L",0.5,0)),0)</f>
        <v>0</v>
      </c>
      <c r="CT603" s="208">
        <f>IF(CT$3=$K603,IF($C603="W",1,IF($C603="1/2W",0.5,0)),0)</f>
        <v>0</v>
      </c>
      <c r="CU603" s="209">
        <f>IF(CT$3=$K603,IF($C603="L",1,IF($C603="1/2L",0.5,0)),0)</f>
        <v>0</v>
      </c>
      <c r="CV603" s="209">
        <f>IF(CV$3=$K603,IF($C603="W",1,IF($C603="1/2W",0.5,0)),0)</f>
        <v>0</v>
      </c>
      <c r="CW603" s="209">
        <f>IF(CV$3=$K603,IF($C603="L",1,IF($C603="1/2L",0.5,0)),0)</f>
        <v>0</v>
      </c>
      <c r="CX603" s="209">
        <f>IF(CX$3=$K603,IF($C603="W",1,IF($C603="1/2W",0.5,0)),0)</f>
        <v>0</v>
      </c>
      <c r="CY603" s="209">
        <f>IF(CX$3=$K603,IF($C603="L",1,IF($C603="1/2L",0.5,0)),0)</f>
        <v>0</v>
      </c>
      <c r="CZ603" s="209">
        <f>IF(CZ$3=$K603,IF($C603="W",1,IF($C603="1/2W",0.5,0)),0)</f>
        <v>0</v>
      </c>
      <c r="DA603" s="209">
        <f>IF(CZ$3=$K603,IF($C603="L",1,IF($C603="1/2L",0.5,0)),0)</f>
        <v>0</v>
      </c>
      <c r="DB603" s="209">
        <f>IF(DB$3=$K603,IF($C603="W",1,IF($C603="1/2W",0.5,0)),0)</f>
        <v>0</v>
      </c>
      <c r="DC603" s="209">
        <f>IF(DB$3=$K603,IF($C603="L",1,IF($C603="1/2L",0.5,0)),0)</f>
        <v>0</v>
      </c>
      <c r="DD603" s="209">
        <f>IF(DD$3=$K603,IF($C603="W",1,IF($C603="1/2W",0.5,0)),0)</f>
        <v>0</v>
      </c>
      <c r="DE603" s="210">
        <f>IF(DD$3=$K603,IF($C603="L",1,IF($C603="1/2L",0.5,0)),0)</f>
        <v>0</v>
      </c>
      <c r="DF603" s="211">
        <f>IF(AND(L603&lt;DF$3,$C603="W"),1+DF602,DF602)</f>
        <v>17</v>
      </c>
      <c r="DG603" s="198">
        <f>IF(DF603&gt;DF602,L603+DG602,DG602)</f>
        <v>22.628</v>
      </c>
      <c r="DH603" s="209">
        <f>IF(AND(L603&gt;DH$3,$C603="W"),1+DH602,0+DH602)</f>
        <v>16</v>
      </c>
      <c r="DI603" s="198">
        <f>IF(DH603&gt;DH602,L603+DI602,DI602)</f>
        <v>85.45999999999999</v>
      </c>
      <c r="DJ603" t="s" s="306">
        <f>IF($D601="","",$D601)</f>
        <v>431</v>
      </c>
      <c r="DK603" s="232"/>
    </row>
    <row r="604" ht="14.55" customHeight="1">
      <c r="A604" s="246">
        <f>$A601+1</f>
        <v>201</v>
      </c>
      <c r="B604" t="s" s="247">
        <f>IF(AND(_xlfn.XLOOKUP(H604,H$107:H383,G$107:G383,0)=G604,_xlfn.XLOOKUP("TempoBet",K604:K606,L604:L606,0)&gt;0),"X",IF(OR(C604="W",C605="W",C606="W",C604="1/2W",C605="1/2W",C606="1/2W",C604="1/2L",C605="1/2L",C606="1/2L"),"OK",IF(OR(C604="L",C605="L",C606="L"),"LOSS",IF(OR(C604="X",C605="X",C606="X"),"Anulado"," "))))</f>
        <v>50</v>
      </c>
      <c r="C604" t="s" s="248">
        <v>56</v>
      </c>
      <c r="D604" t="s" s="303">
        <f>IF(G604="","",$D601)</f>
        <v>431</v>
      </c>
      <c r="E604" t="s" s="250">
        <v>130</v>
      </c>
      <c r="F604" t="s" s="251">
        <f>IF(G604="","",IF(OR(AND($C604&lt;&gt;" ",$C605=" "),AND($C605&lt;&gt;" ",$C604=" "),AND(L606&gt;0,OR(AND($C606&lt;&gt;" ",OR($C604=" ",$C605=" ")),AND($C606=" ",OR($C604&lt;&gt;" ",$C605&lt;&gt;" "))))),IF(SUM(F$4:F603)=0,1,LARGE(F$4:F603,1)+1),IF(MONTH(G604)=MONTH(TODAY()),IF(AND(DAY(G604)&lt;DAY(TODAY()),$B604=" "),IF(SUM(F$4:F603)=0,1,LARGE(F$4:F603,1)+1),IF($B604=" ",IF(AND(DAY(G604)=DAY(TODAY()),HOUR(G604)&lt;=HOUR(NOW())+1),IF(AND(HOUR(G604)+2&lt;=HOUR(NOW()),DAY(G604)&lt;=DAY(TODAY()),MINUTE(G604)&lt;=MINUTE(NOW())),IF(SUM(F$4:F603)=0,1,LARGE(F$4:F603,1)+1),IF(OR(MINUTE(G604)&lt;=MINUTE(NOW()),HOUR(G604)&lt;=HOUR(NOW())),"!!!","")),""),"")),"")))</f>
      </c>
      <c r="G604" s="252">
        <v>44953.829861111109</v>
      </c>
      <c r="H604" t="s" s="253">
        <v>446</v>
      </c>
      <c r="I604" t="s" s="254">
        <v>54</v>
      </c>
      <c r="J604" s="255">
        <v>1.5</v>
      </c>
      <c r="K604" t="s" s="256">
        <v>38</v>
      </c>
      <c r="L604" s="257">
        <v>2.1</v>
      </c>
      <c r="M604" s="258"/>
      <c r="N604" s="259">
        <v>0</v>
      </c>
      <c r="O604" s="260">
        <f>IF(OR(AE604="",AE605=""),"",ROUND(IF(L606&gt;0,IF(M604&gt;0,M604,IF(M605&gt;0,ROUND((M605*AE604)/AE605,IF(N604=0,2,IF(N604=0.1,1,0))),ROUND((M606*AE604)/AE606,IF(N604=0,2,IF(N604=0.1,1,0))))),IF(M604&gt;0,M604,ROUND((M605*AE604)/AE605,IF(N604=0,2,IF(N604=0.1,1,0))))),2))</f>
        <v>5.67</v>
      </c>
      <c r="P604" s="261">
        <f>IF(OR(L604="",O604=""),"",IF($C604="1/2W",O604/2+O604/2*L604,IF($C604="1/2L",O604/2,IF(I604="Lay",(O604*(L604/(L604-1))-O604)*(1-_xlfn.XLOOKUP(K604,'Janeiro 2023 - Valor Real'!A3:A15,'Janeiro 2023 - Valor Real'!C3:C15,0))+O604,(O604*L604-O604)*(1-_xlfn.XLOOKUP(K604,'Janeiro 2023 - Valor Real'!A3:A15,'Janeiro 2023 - Valor Real'!C3:C15,0))+O604))))</f>
        <v>11.907</v>
      </c>
      <c r="Q604" s="262">
        <f>IF(K604="","",IF(_xlfn.XLOOKUP(K604,K$107:K383,DJ$107:DJ383,0,,-1)=DJ604,_xlfn.XLOOKUP(K604,K$107:K383,Q$107:Q383,1,,-1)+1,1))</f>
        <v>1</v>
      </c>
      <c r="R604" s="263">
        <f>IF(K604="","",_xlfn.XLOOKUP(K604,K$107:K383,R$107:R383,0,,-1)+IF($C604=" ",1,0))</f>
        <v>0</v>
      </c>
      <c r="S604" s="264">
        <f>IF($B604="Anulado",0,ROUND(IF(OR($B604="LOSS",$B604="OK"),IF(OR($C604="W",$C604="1/2W",$C604="1/2L"),P604-O604,IF($C604="L",-O604,0))+IF(OR($C605="W",$C605="1/2W",$C605="1/2L"),P605-O605,IF($C605="L",-O605,0))+IF(OR($C606="W",$C606="1/2W",$C606="1/2L"),P606-O606,IF($C606="L",-O606,0)),IF(AND(OR($C604="W",$C604="1/2W",$C604="1/2L"),C605="W"),P604+P605-SUM(O604:O606)+_xlfn.XLOOKUP("X",C604:C606,O604:O606,0),IF(AND(C604=TRUE,C606="W"),P604+P606-SUM(O604:O606),IF(AND(C605="W",C606="W"),P605+P606-SUM(O604:O606)+_xlfn.XLOOKUP("X",C604:C606,O604:O606,0),IF(L606&gt;0,IF(OR($C604="W",$C604="1/2W",$C604="1/2L"),P604-SUM(O604:O606)+_xlfn.XLOOKUP("X",C604:C606,O604:O606,0),IF(OR($C604="W",$C604="1/2W",$C604="1/2L"),P605-SUM(O604:O606)+_xlfn.XLOOKUP("X",C604:C606,O604:O606,0),IF(OR($C604="W",$C604="1/2W",$C604="1/2L"),P606-SUM(O604:O606)+_xlfn.XLOOKUP("X",C604:C606,O604:O606,0),IF(SUM(P604:P606)/3-SUM(O604:O606)+_xlfn.XLOOKUP("X",C604:C606,O604:O606,0)&gt;0,SUM(P604:P606)/3-SUM(O604:O606)+_xlfn.XLOOKUP("X",C604:C606,O604:O606,0),LARGE(P604:P606,1)-SUM(O604:O606))))),IF(OR($C604="W",$C604="1/2W",$C604="1/2L"),P604-SUM(O604:O605)+_xlfn.XLOOKUP("X",C604:C606,O604:O606,0),IF(OR($C604="W",$C604="1/2W",$C604="1/2L"),P605-SUM(O604:O605)+_xlfn.XLOOKUP("X",C604:C606,O604:O606,0),SUM(P604:P605)/2-SUM(O604:O605)+_xlfn.XLOOKUP("X",C604:C606,O604:O606,0)))))))),2))</f>
        <v>0.7</v>
      </c>
      <c r="T604" s="265">
        <f>IF(S604=0,0,S604/SUM(O604:O606))</f>
        <v>0.0624442462087422</v>
      </c>
      <c r="U604" s="266">
        <f>IF($D604=$D601,IF(OR($B604="LOSS",$B604="OK",$B604="Anulada"),S604,0)+U601,IF(OR($B604="LOSS",$B604="OK",$B604="Anulada"),S604,0))</f>
        <v>14.09</v>
      </c>
      <c r="V604" s="266">
        <f>IF($D604="",0,IF($D604=$D601,IF($B604=" ",IF(I606="",IF(OR(AND(I604="DNB1",I605="DNB2"),AND(OR(I604="DNB1",I604="DNB2"),J605=0),AND(OR(I605="DNB1",I605="DNB2"),J604=0),AND(I604="DNB2",I605="DNB1"),AND(IF(J604=0,(J604+1)/ROUND(J604+1,0),J604/ROUND(J604,0))=1,IF(J605=0,(J605+1)/ROUND(IF(J605="",0,J605)+1,0),IF(J605="",0,J605)/ROUND(IF(J605="",1,J605),0))=1,OR(J604&lt;&gt;""),J605&lt;&gt;"")),0,IF(S604&lt;0,IF(I606="",SMALL(P604:P605,1)-SUM(O604:O605),0),SMALL(P604:P605,1)-SUM(O604:O605))),IF(S604&lt;0,IF(I606="",SMALL(P604:P606,1)-SUM(O604:O606),0),LARGE(P604:P606,1)-SUM(O604:O606))),S604)+V601,IF(I606="",IF(OR(AND(I604="DNB1",I605="DNB2"),AND(OR(I604="DNB1",I604="DNB2"),J605=0),AND(OR(I605="DNB1",I605="DNB2"),J604=0),AND(I604="DNB2",I605="DNB1"),AND(IF(J604=0,(J604+1)/ROUND(J604+1,0),J604/ROUND(J604,0))=1,IF(J605=0,(IF(J605="",0,J605)+1)/ROUND(IF(J605="",0,J605)+1,0),IF(J605="",0,J605)/ROUND(IF(J605="",0,J605)+1,0))=1,OR(J604&lt;&gt;""),J605&lt;&gt;"")),0,IF(S604&lt;0,IF(I606="",SMALL(P604:P605,1)-SUM(O604:O605),0),SMALL(P604:P606,1)-SUM(O604:O606))),IF(S604&lt;0,IF(I606="",SMALL(P604:P606,1)-SUM(O604:O606),0),LARGE(P604:P606,1)-SUM(O604:O606)))))</f>
        <v>14.062</v>
      </c>
      <c r="W604" s="266">
        <f>IF($D604=$D601,IF(S604&lt;0,IF(I606="",S604,0),S604)+W601,S604)</f>
        <v>14.09</v>
      </c>
      <c r="X604" t="s" s="267">
        <f>IF(OR(SUM(R604:R606)=0,V604=W604),ROUND(IF(W604=0,0,W604/Y604)*100,2)&amp;"%",ROUND(IF(V604=0,0,V604/Y604)*100,2)&amp;"% a "&amp;ROUND(IF(W604=0,0,W604/Y604)*100,2)&amp;"%")</f>
        <v>447</v>
      </c>
      <c r="Y604" s="268">
        <f>IF($D604=$D601,Y601+SUM(O604:O606),SUM(O604:O606))</f>
        <v>216.93</v>
      </c>
      <c r="Z604" s="266">
        <f>IF($B604=" ",SUM(O604:O606),0)+Z601</f>
        <v>0</v>
      </c>
      <c r="AA604" s="266">
        <f>IF(G604="","",IF($B604="Anulado",LARGE(P604:P606,1)-SUM(O604:O606)+AA601,AA601))</f>
        <v>24.9665076923077</v>
      </c>
      <c r="AB604" s="266">
        <f>IF($D604="","",AB601+S604)</f>
        <v>402.42</v>
      </c>
      <c r="AC604" s="269">
        <f>IF($D604="","",IF($B604=" ",IF(DAY(G604)=DAY(TODAY()),1+AC601,0+AC601),0+AC601))</f>
        <v>0</v>
      </c>
      <c r="AD604" s="270">
        <f>(1-_xlfn.XLOOKUP(K602,'Janeiro 2023 - Valor Real'!A3:A15,'Janeiro 2023 - Valor Real'!C3:C15,0))+1</f>
        <v>2</v>
      </c>
      <c r="AE604" s="271">
        <f>IF(L604="","",IF(L606&gt;0,(SUM(((L604-1)*(1-_xlfn.XLOOKUP(K604,'Janeiro 2023 - Valor Real'!A3:A15,'Janeiro 2023 - Valor Real'!C3:C15,0))+1),((L605-1)*(1-_xlfn.XLOOKUP(K605,'Janeiro 2023 - Valor Real'!A3:A15,'Janeiro 2023 - Valor Real'!C3:C15,0))+1),((L606-1)*(1-_xlfn.XLOOKUP(K606,'Janeiro 2023 - Valor Real'!A3:A15,'Janeiro 2023 - Valor Real'!C3:C15,0))+1))/((L604-1)*(1-_xlfn.XLOOKUP(K604,'Janeiro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Real'!C3:C15,0))+1))/((L604-1)*(1-_xlfn.XLOOKUP(K604,'Janeiro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Real'!C3:C15,0))+1))/((L605-1)*(1-_xlfn.XLOOKUP(K605,'Janeiro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Real'!C3:C15,0))+1))/((L606-1)*(1-_xlfn.XLOOKUP(K606,'Janeiro 2023 - Valor Real'!A3:A15,'Janeiro 2023 - Valor Real'!C3:C15,0))+1)),IF(I604="Lay",IF(I605="Lay",((L605/(L605-1)-1)*(1-_xlfn.XLOOKUP(K605,'Janeiro 2023 - Valor Real'!A3:A15,'Janeiro 2023 - Valor Real'!C3:C15,0))+1)/(((L605/(L605-1)-1)*(1-_xlfn.XLOOKUP(K605,'Janeiro 2023 - Valor Real'!A3:A15,'Janeiro 2023 - Valor Real'!C3:C15,0))+1)+((L604/(L604-1)-1)*(1-_xlfn.XLOOKUP(K604,'Janeiro 2023 - Valor Real'!A3:A15,'Janeiro 2023 - Valor Real'!C3:C15,0))+1)),((L605-1)*(1-_xlfn.XLOOKUP(K605,'Janeiro 2023 - Valor Real'!A3:A15,'Janeiro 2023 - Valor Real'!C3:C15,0))+1)/(((L605-1)*(1-_xlfn.XLOOKUP(K605,'Janeiro 2023 - Valor Real'!A3:A15,'Janeiro 2023 - Valor Real'!C3:C15,0))+1)+((L604/(L604-1)-1)*(1-_xlfn.XLOOKUP(K604,'Janeiro 2023 - Valor Real'!A3:A15,'Janeiro 2023 - Valor Real'!C3:C15,0))+1))),IF(I605="Lay",(((L605/(L605-1)-1)*(1-_xlfn.XLOOKUP(K605,'Janeiro 2023 - Valor Real'!A3:A15,'Janeiro 2023 - Valor Real'!C3:C15,0))+1))/(((L604-1)*(1-_xlfn.XLOOKUP(K604,'Janeiro 2023 - Valor Real'!A3:A15,'Janeiro 2023 - Valor Real'!C3:C15,0))+1)+((L605/(L605-1)-1)*(1-_xlfn.XLOOKUP(K605,'Janeiro 2023 - Valor Real'!A3:A15,'Janeiro 2023 - Valor Real'!C3:C15,0))+1)),((L605-1)*(1-_xlfn.XLOOKUP(K605,'Janeiro 2023 - Valor Real'!A3:A15,'Janeiro 2023 - Valor Real'!C3:C15,0))+1)/(((L605-1)*(1-_xlfn.XLOOKUP(K605,'Janeiro 2023 - Valor Real'!A3:A15,'Janeiro 2023 - Valor Real'!C3:C15,0))+1)+((L604-1)*(1-_xlfn.XLOOKUP(K604,'Janeiro 2023 - Valor Real'!A3:A15,'Janeiro 2023 - Valor Real'!C3:C15,0))+1))))))</f>
        <v>0.505882352941176</v>
      </c>
      <c r="AF604" s="132">
        <f>IF($K604=AF$3,ROUND(IF(OR($C604="W",$C604="1/2W",$C604="1/2L"),$P604-$O604,IF($C604="X",0,-$O604)),2),0)</f>
        <v>0</v>
      </c>
      <c r="AG604" s="133">
        <f>IF($K604=AG$3,ROUND(IF(OR($C604="W",$C604="1/2W",$C604="1/2L"),$P604-$O604,IF($C604="X",0,-$O604)),2),0)</f>
        <v>6.24</v>
      </c>
      <c r="AH604" s="133">
        <f>IF($K604=AH$3,ROUND(IF(OR($C604="W",$C604="1/2W",$C604="1/2L"),$P604-$O604,IF($C604="X",0,-$O604)),2),0)</f>
        <v>0</v>
      </c>
      <c r="AI604" s="133">
        <f>IF($K604=AI$3,ROUND(IF(OR($C604="W",$C604="1/2W",$C604="1/2L"),$P604-$O604,IF($C604="X",0,-$O604)),2),0)</f>
        <v>0</v>
      </c>
      <c r="AJ604" s="133">
        <f>IF($K604=AJ$3,ROUND(IF(OR($C604="W",$C604="1/2W",$C604="1/2L"),$P604-$O604,IF($C604="X",0,-$O604)),2),0)</f>
        <v>0</v>
      </c>
      <c r="AK604" s="133">
        <f>IF($K604=AK$3,ROUND(IF(OR($C604="W",$C604="1/2W",$C604="1/2L"),$P604-$O604,IF($C604="X",0,-$O604)),2),0)</f>
        <v>0</v>
      </c>
      <c r="AL604" s="133">
        <f>IF($K604=AL$3,ROUND(IF(OR($C604="W",$C604="1/2W",$C604="1/2L"),$P604-$O604,IF($C604="X",0,-$O604)),2),0)</f>
        <v>0</v>
      </c>
      <c r="AM604" s="133">
        <f>IF($K604=AM$3,ROUND(IF(OR($C604="W",$C604="1/2W",$C604="1/2L"),$P604-$O604,IF($C604="X",0,-$O604)),2),0)</f>
        <v>0</v>
      </c>
      <c r="AN604" s="133">
        <f>IF($K604=AN$3,ROUND(IF(OR($C604="W",$C604="1/2W",$C604="1/2L"),$P604-$O604,IF($C604="X",0,-$O604)),2),0)</f>
        <v>0</v>
      </c>
      <c r="AO604" s="133">
        <f>IF($K604=AO$3,ROUND(IF(OR($C604="W",$C604="1/2W",$C604="1/2L"),$P604-$O604,IF($C604="X",0,-$O604)),2),0)</f>
        <v>0</v>
      </c>
      <c r="AP604" s="133">
        <f>IF($K604=AP$3,ROUND(IF(OR($C604="W",$C604="1/2W",$C604="1/2L"),$P604-$O604,IF($C604="X",0,-$O604)),2),0)</f>
        <v>0</v>
      </c>
      <c r="AQ604" s="133">
        <f>IF($K604=AQ$3,ROUND(IF(OR($C604="W",$C604="1/2W",$C604="1/2L"),$P604-$O604,IF($C604="X",0,-$O604)),2),0)</f>
        <v>0</v>
      </c>
      <c r="AR604" s="134">
        <f>IF($K604=AR$3,ROUND(IF(OR($C604="W",$C604="1/2W",$C604="1/2L"),$P604-$O604,IF($C604="X",0,-$O604)),2),0)</f>
        <v>0</v>
      </c>
      <c r="AS604" s="132">
        <f>IF(AND($B604=" ",$K604=AS$3),$O604,0)</f>
        <v>0</v>
      </c>
      <c r="AT604" s="133">
        <f>IF(AND($B604=" ",$K604=AT$3),$O604,0)</f>
        <v>0</v>
      </c>
      <c r="AU604" s="133">
        <f>IF(AND($B604=" ",$K604=AU$3),$O604,0)</f>
        <v>0</v>
      </c>
      <c r="AV604" s="133">
        <f>IF(AND($B604=" ",$K604=AV$3),$O604,0)</f>
        <v>0</v>
      </c>
      <c r="AW604" s="133">
        <f>IF(AND($B604=" ",$K604=AW$3),$O604,0)</f>
        <v>0</v>
      </c>
      <c r="AX604" s="133">
        <f>IF(AND($B604=" ",$K604=AX$3),$O604,0)</f>
        <v>0</v>
      </c>
      <c r="AY604" s="135">
        <f>IF(AND($B604=" ",$K604=AY$3),$O604,0)</f>
        <v>0</v>
      </c>
      <c r="AZ604" s="136">
        <f>IF(AND($B604=" ",$K604=AZ$3),$O604,0)</f>
        <v>0</v>
      </c>
      <c r="BA604" s="136">
        <f>IF(AND($B604=" ",$K604=BA$3),$O604,0)</f>
        <v>0</v>
      </c>
      <c r="BB604" s="136">
        <f>IF(AND($B604=" ",$K604=BB$3),$O604,0)</f>
        <v>0</v>
      </c>
      <c r="BC604" s="137">
        <f>IF(AND($B604=" ",$K604=BC$3),$O604,0)</f>
        <v>0</v>
      </c>
      <c r="BD604" s="133">
        <f>IF(AND($B604=" ",$K604=BD$3),$O604,0)</f>
        <v>0</v>
      </c>
      <c r="BE604" s="134">
        <f>IF(AND($B604=" ",$K604=BE$3),$O604,0)</f>
        <v>0</v>
      </c>
      <c r="BF604" s="132">
        <f>IF($K604=BF$3,IF($C604="X",0,$O604),0)</f>
        <v>0</v>
      </c>
      <c r="BG604" s="133">
        <f>IF($K604=BG$3,IF($C604="X",0,$O604),0)</f>
        <v>5.67</v>
      </c>
      <c r="BH604" s="133">
        <f>IF($K604=BH$3,IF($C604="X",0,$O604),0)</f>
        <v>0</v>
      </c>
      <c r="BI604" s="133">
        <f>IF($K604=BI$3,IF($C604="X",0,$O604),0)</f>
        <v>0</v>
      </c>
      <c r="BJ604" s="133">
        <f>IF($K604=BJ$3,IF($C604="X",0,$O604),0)</f>
        <v>0</v>
      </c>
      <c r="BK604" s="133">
        <f>IF($K604=BK$3,IF($C604="X",0,$O604),0)</f>
        <v>0</v>
      </c>
      <c r="BL604" s="133">
        <f>IF($K604=BL$3,IF($C604="X",0,$O604),0)</f>
        <v>0</v>
      </c>
      <c r="BM604" s="135">
        <f>IF($K604=BM$3,IF($C604="X",0,$O604),0)</f>
        <v>0</v>
      </c>
      <c r="BN604" s="136">
        <f>IF($K604=BN$3,IF($C604="X",0,$O604),0)</f>
        <v>0</v>
      </c>
      <c r="BO604" s="136">
        <f>IF($K604=BO$3,IF($C604="X",0,$O604),0)</f>
        <v>0</v>
      </c>
      <c r="BP604" s="136">
        <f>IF($K604=BP$3,IF($C604="X",0,$O604),0)</f>
        <v>0</v>
      </c>
      <c r="BQ604" s="137">
        <f>IF($K604=BQ$3,IF($C604="X",0,$O604),0)</f>
        <v>0</v>
      </c>
      <c r="BR604" s="134">
        <f>IF($K604=BR$3,IF($C604="X",0,$O604),0)</f>
        <v>0</v>
      </c>
      <c r="BS604" s="170">
        <f>IF($B604="LOSS",IF(AND($K604=BS$3,$C604="L"),-$O604,0)+IF(AND($K605=BS$3,$C605="L"),-$O605,0)+IF(AND($K606=BS$3,$C606="L"),-$O606,0),IF(OR(AND($K604=BS$3,OR($C604="W",$C604="1/2W")),AND($K605=BS$3,OR($C605="W",$C605="1/2W")),AND($K606=BS$3,OR($C606="W",$C606="1/2W"))),$S604,0))</f>
        <v>0</v>
      </c>
      <c r="BT604" s="272">
        <f>IF($B604="LOSS",IF(AND($K604=BT$3,$C604="L"),-$O604,0)+IF(AND($K605=BT$3,$C605="L"),-$O605,0)+IF(AND($K605=BT$3,$C606="L"),-$O606,0),IF(OR(AND($K605=BT$3,OR($C604="W",$C604="1/2W")),AND($K605=BT$3,OR($C605="W",$C605="1/2W")),AND($K605=BT$3,OR($C606="W",$C606="1/2W"))),$S604,0))</f>
        <v>0</v>
      </c>
      <c r="BU604" s="136">
        <f>IF($B604="LOSS",IF(AND($K604=BU$3,$C604="L"),-$O604,0)+IF(AND($K605=BU$3,$C605="L"),-$O605,0)+IF(AND($K605=BU$3,$C606="L"),-$O606,0),IF(OR(AND($K605=BU$3,OR($C604="W",$C604="1/2W")),AND($K605=BU$3,OR($C605="W",$C605="1/2W")),AND($K605=BU$3,OR($C606="W",$C606="1/2W"))),$S604,0))</f>
        <v>0</v>
      </c>
      <c r="BV604" s="136">
        <f>IF($B604="LOSS",IF(AND($K604=BV$3,$C604="L"),-$O604,0)+IF(AND($K605=BV$3,$C605="L"),-$O605,0)+IF(AND($K606=BV$3,$C606="L"),-$O606,0),IF(OR(AND($K604=BV$3,OR($C604="W",$C604="1/2W")),AND($K605=BV$3,OR($C605="W",$C605="1/2W")),AND($K606=BV$3,OR($C606="W",$C606="1/2W"))),$S604,0))</f>
        <v>0</v>
      </c>
      <c r="BW604" s="136">
        <f>IF($B604="LOSS",IF(AND($K604=BW$3,$C604="L"),-$O604,0)+IF(AND($K605=BW$3,$C605="L"),-$O605,0)+IF(AND($K606=BW$3,$C606="L"),-$O606,0),IF(OR(AND($K604=BW$3,OR($C604="W",$C604="1/2W")),AND($K605=BW$3,OR($C605="W",$C605="1/2W")),AND($K606=BW$3,OR($C606="W",$C606="1/2W"))),$S604,0))</f>
        <v>0</v>
      </c>
      <c r="BX604" s="136">
        <f>IF($B604="LOSS",IF(AND($K604=BX$3,$C604="L"),-$O604,0)+IF(AND($K605=BX$3,$C605="L"),-$O605,0)+IF(AND($K606=BX$3,$C606="L"),-$O606,0),IF(OR(AND($K604=BX$3,OR($C604="W",$C604="1/2W")),AND($K605=BX$3,OR($C605="W",$C605="1/2W")),AND($K606=BX$3,OR($C606="W",$C606="1/2W"))),$S604,0))</f>
        <v>0</v>
      </c>
      <c r="BY604" s="136">
        <f>IF($B604="LOSS",IF(AND($K604=BY$3,$C604="L"),-$O604,0)+IF(AND($K605=BY$3,$C605="L"),-$O605,0)+IF(AND($K606=BY$3,$C606="L"),-$O606,0),IF(OR(AND($K604=BY$3,OR($C604="W",$C604="1/2W")),AND($K605=BY$3,OR($C605="W",$C605="1/2W")),AND($K606=BY$3,OR($C606="W",$C606="1/2W"))),$S604,0))</f>
        <v>0</v>
      </c>
      <c r="BZ604" s="136">
        <f>IF($B604="LOSS",IF(AND($K604=BZ$3,$C604="L"),-$O604,0)+IF(AND($K605=BZ$3,$C605="L"),-$O605,0)+IF(AND($K606=BZ$3,$C606="L"),-$O606,0),IF(OR(AND($K604=BZ$3,OR($C604="W",$C604="1/2W")),AND($K605=BZ$3,OR($C605="W",$C605="1/2W")),AND($K606=BZ$3,OR($C606="W",$C606="1/2W"))),$S604,0))</f>
        <v>0</v>
      </c>
      <c r="CA604" s="136">
        <f>IF($B604="LOSS",IF(AND($K604=CA$3,$C604="L"),-$O604,0)+IF(AND($K605=CA$3,$C605="L"),-$O605,0)+IF(AND($K606=CA$3,$C606="L"),-$O606,0),IF(OR(AND($K604=CA$3,OR($C604="W",$C604="1/2W")),AND($K605=CA$3,OR($C605="W",$C605="1/2W")),AND($K606=CA$3,OR($C606="W",$C606="1/2W"))),$S604,0))</f>
        <v>0</v>
      </c>
      <c r="CB604" s="136">
        <f>IF($B604="LOSS",IF(AND($K604=CB$3,$C604="L"),-$O604,0)+IF(AND($K605=CB$3,$C605="L"),-$O605,0)+IF(AND($K606=CB$3,$C606="L"),-$O606,0),IF(OR(AND($K604=CB$3,OR($C604="W",$C604="1/2W")),AND($K605=CB$3,OR($C605="W",$C605="1/2W")),AND($K606=CB$3,OR($C606="W",$C606="1/2W"))),$S604,0))</f>
        <v>0</v>
      </c>
      <c r="CC604" s="136">
        <f>IF($B604="LOSS",IF(AND($K604=CC$3,$C604="L"),-$O604,0)+IF(AND($K605=CC$3,$C605="L"),-$O605,0)+IF(AND($K606=CC$3,$C606="L"),-$O606,0),IF(OR(AND($K604=CC$3,OR($C604="W",$C604="1/2W")),AND($K605=CC$3,OR($C605="W",$C605="1/2W")),AND($K606=CC$3,OR($C606="W",$C606="1/2W"))),$S604,0))</f>
        <v>0</v>
      </c>
      <c r="CD604" s="137">
        <f>IF($B604="LOSS",IF(AND($K604=CD$3,$C604="L"),-$O604,0)+IF(AND($K605=CD$3,$C605="L"),-$O605,0)+IF(AND($K606=CD$3,$C606="L"),-$O606,0),IF(OR(AND($K604=CD$3,OR($C604="W",$C604="1/2W")),AND($K605=CD$3,OR($C605="W",$C605="1/2W")),AND($K606=CD$3,OR($C606="W",$C606="1/2W"))),$S604,0))</f>
        <v>0</v>
      </c>
      <c r="CE604" s="134">
        <f>IF($B604="LOSS",IF(AND($K604=CE$3,$C604="L"),-$O604,0)+IF(AND($K605=CE$3,$C605="L"),-$O605,0)+IF(AND($K606=CE$3,$C606="L"),-$O606,0),IF(OR(AND($K604=CE$3,OR($C604="W",$C604="1/2W")),AND($K605=CE$3,OR($C605="W",$C605="1/2W")),AND($K606=CE$3,OR($C606="W",$C606="1/2W"))),$S604,0))</f>
        <v>0</v>
      </c>
      <c r="CF604" s="273">
        <f>IF(CF$3=$K604,IF($C604="W",1,IF($C604="1/2W",0.5,0)),0)</f>
        <v>0</v>
      </c>
      <c r="CG604" s="274">
        <f>IF(CF$3=$K604,IF($C604="L",1,IF($C604="1/2L",0.5,0)),0)</f>
        <v>0</v>
      </c>
      <c r="CH604" s="274">
        <f>IF(CH$3=$K604,IF($C604="W",1,IF($C604="1/2W",0.5,0)),0)</f>
        <v>1</v>
      </c>
      <c r="CI604" s="274">
        <f>IF(CH$3=$K604,IF($C604="L",1,IF($C604="1/2L",0.5,0)),0)</f>
        <v>0</v>
      </c>
      <c r="CJ604" s="274">
        <f>IF(CJ$3=$K604,IF($C604="W",1,IF($C604="1/2W",0.5,0)),0)</f>
        <v>0</v>
      </c>
      <c r="CK604" s="274">
        <f>IF(CJ$3=$K604,IF($C604="L",1,IF($C604="1/2L",0.5,0)),0)</f>
        <v>0</v>
      </c>
      <c r="CL604" s="274">
        <f>IF(CL$3=$K604,IF($C604="W",1,IF($C604="1/2W",0.5,0)),0)</f>
        <v>0</v>
      </c>
      <c r="CM604" s="274">
        <f>IF(CL$3=$K604,IF($C604="L",1,IF($C604="1/2L",0.5,0)),0)</f>
        <v>0</v>
      </c>
      <c r="CN604" s="274">
        <f>IF(CN$3=$K604,IF($C604="W",1,IF($C604="1/2W",0.5,0)),0)</f>
        <v>0</v>
      </c>
      <c r="CO604" s="274">
        <f>IF(CN$3=$K604,IF($C604="L",1,IF($C604="1/2L",0.5,0)),0)</f>
        <v>0</v>
      </c>
      <c r="CP604" s="274">
        <f>IF(CP$3=$K604,IF($C604="W",1,IF($C604="1/2W",0.5,0)),0)</f>
        <v>0</v>
      </c>
      <c r="CQ604" s="274">
        <f>IF(CP$3=$K604,IF($C604="L",1,IF($C604="1/2L",0.5,0)),0)</f>
        <v>0</v>
      </c>
      <c r="CR604" s="274">
        <f>IF(CR$3=$K604,IF($C604="W",1,IF($C604="1/2W",0.5,0)),0)</f>
        <v>0</v>
      </c>
      <c r="CS604" s="274">
        <f>IF(CR$3=$K604,IF($C604="L",1,IF($C604="1/2L",0.5,0)),0)</f>
        <v>0</v>
      </c>
      <c r="CT604" s="145">
        <f>IF(CT$3=$K604,IF($C604="W",1,IF($C604="1/2W",0.5,0)),0)</f>
        <v>0</v>
      </c>
      <c r="CU604" s="146">
        <f>IF(CT$3=$K604,IF($C604="L",1,IF($C604="1/2L",0.5,0)),0)</f>
        <v>0</v>
      </c>
      <c r="CV604" s="146">
        <f>IF(CV$3=$K604,IF($C604="W",1,IF($C604="1/2W",0.5,0)),0)</f>
        <v>0</v>
      </c>
      <c r="CW604" s="146">
        <f>IF(CV$3=$K604,IF($C604="L",1,IF($C604="1/2L",0.5,0)),0)</f>
        <v>0</v>
      </c>
      <c r="CX604" s="146">
        <f>IF(CX$3=$K604,IF($C604="W",1,IF($C604="1/2W",0.5,0)),0)</f>
        <v>0</v>
      </c>
      <c r="CY604" s="146">
        <f>IF(CX$3=$K604,IF($C604="L",1,IF($C604="1/2L",0.5,0)),0)</f>
        <v>0</v>
      </c>
      <c r="CZ604" s="146">
        <f>IF(CZ$3=$K604,IF($C604="W",1,IF($C604="1/2W",0.5,0)),0)</f>
        <v>0</v>
      </c>
      <c r="DA604" s="146">
        <f>IF(CZ$3=$K604,IF($C604="L",1,IF($C604="1/2L",0.5,0)),0)</f>
        <v>0</v>
      </c>
      <c r="DB604" s="146">
        <f>IF(DB$3=$K604,IF($C604="W",1,IF($C604="1/2W",0.5,0)),0)</f>
        <v>0</v>
      </c>
      <c r="DC604" s="146">
        <f>IF(DB$3=$K604,IF($C604="L",1,IF($C604="1/2L",0.5,0)),0)</f>
        <v>0</v>
      </c>
      <c r="DD604" s="146">
        <f>IF(DD$3=$K604,IF($C604="W",1,IF($C604="1/2W",0.5,0)),0)</f>
        <v>0</v>
      </c>
      <c r="DE604" s="147">
        <f>IF(DD$3=$K604,IF($C604="L",1,IF($C604="1/2L",0.5,0)),0)</f>
        <v>0</v>
      </c>
      <c r="DF604" s="143">
        <f>IF(AND(L604&lt;DF$3,$C604="W"),1+DF603,DF603)</f>
        <v>17</v>
      </c>
      <c r="DG604" s="133">
        <f>IF(DF604&gt;DF603,L604+DG603,DG603)</f>
        <v>22.628</v>
      </c>
      <c r="DH604" s="146">
        <f>IF(AND(L604&gt;DH$3,$C604="W"),1+DH603,0+DH603)</f>
        <v>16</v>
      </c>
      <c r="DI604" s="133">
        <f>IF(DH604&gt;DH603,L604+DI603,DI603)</f>
        <v>85.45999999999999</v>
      </c>
      <c r="DJ604" t="s" s="304">
        <f>IF($D604="","",$D604)</f>
        <v>431</v>
      </c>
      <c r="DK604" s="146">
        <f>IF(AND($B604=" ",$D604&lt;&gt;""),1,0)</f>
        <v>0</v>
      </c>
    </row>
    <row r="605" ht="14.55" customHeight="1">
      <c r="A605" s="107"/>
      <c r="B605" s="108"/>
      <c r="C605" t="s" s="109">
        <v>51</v>
      </c>
      <c r="D605" s="110"/>
      <c r="E605" s="111"/>
      <c r="F605" s="113"/>
      <c r="G605" s="252"/>
      <c r="H605" s="114"/>
      <c r="I605" t="s" s="275">
        <v>57</v>
      </c>
      <c r="J605" s="276">
        <f>IF(OR(I604="TO",I604="TU",I604="TO1",I604="TU1",I604="TO2",I604="TU2"),J604,IF(OR(I604="AH1",I604="AH2"),IF(OR(I605="AH1",I605="AH2"),-J604,IF(OR(I605="EH1",I605="EH2"),-J604+0.5,"")),IF(OR(I604="EH1",I604="EH2"),IF(OR(I605="AH1",I605="AH2"),-J604+0.5,IF(OR(I605="EH1",I605="EH2"),-J604+1,"")),IF(AND(OR(I604="DNB1",I604="DNB2"),OR(I605="AH1",I605="AH2")),0,IF(AND(I604="Not ScoreBoth",OR(I605="TO1",I605="TO2")),0.5,"")))))</f>
        <v>-1.5</v>
      </c>
      <c r="K605" t="s" s="117">
        <v>40</v>
      </c>
      <c r="L605" s="277">
        <v>2.15</v>
      </c>
      <c r="M605" s="278">
        <v>5.54</v>
      </c>
      <c r="N605" s="120"/>
      <c r="O605" s="121">
        <f>IF(OR(AE604="",AE605=""),"",ROUND(IF(L606&gt;0,IF(M605&gt;0,M605,IF(M604&gt;0,IF(N604=TRUE,ROUND((M604*AE605)/AE604,0),(M604*AE605)/AE604),IF(M605&gt;0,ROUND(M605,IF(N604=0,2,IF(N604=0.1,1,0))),IF(M606&gt;0,ROUND(O606*AE605/AE606,IF(N604=0,2,IF(N604=0.1,1,0))),0)))),IF(M605&gt;0,M605,ROUND((M604*AE605)/AE604,IF(N604=0,2,IF(N604=0.1,1,0))))),2))</f>
        <v>5.54</v>
      </c>
      <c r="P605" s="122">
        <f>IF(OR(L605="",O605=""),"",IF($C605="1/2W",O605/2+O605/2*L605,IF($C605="1/2L",O605/2,IF(I605="Lay",((O605*(L605/(L605-1)))-O605)*(1-_xlfn.XLOOKUP(K605,'Janeiro 2023 - Valor Real'!A3:A15,'Janeiro 2023 - Valor Real'!C3:C15,0))+O605,(O605*L605-O605)*(1-_xlfn.XLOOKUP(K605,'Janeiro 2023 - Valor Real'!A3:A15,'Janeiro 2023 - Valor Real'!C3:C15,0))+O605))))</f>
        <v>11.911</v>
      </c>
      <c r="Q605" s="279">
        <f>IF(K605="","",IF(_xlfn.XLOOKUP(K605,K$120:K384,DJ$120:DJ384,0,,-1)=DJ605,_xlfn.XLOOKUP(K605,K$120:K384,Q$120:Q384,1,,-1)+1,1))</f>
        <v>1</v>
      </c>
      <c r="R605" s="280">
        <f>IF(K605="","",_xlfn.XLOOKUP(K605,K$120:K384,R$120:R384,0,,-1)+IF($C605=" ",1,0))</f>
        <v>0</v>
      </c>
      <c r="S605" s="125"/>
      <c r="T605" s="126"/>
      <c r="U605" s="126"/>
      <c r="V605" s="224"/>
      <c r="W605" s="126"/>
      <c r="X605" s="127"/>
      <c r="Y605" s="128"/>
      <c r="Z605" s="129"/>
      <c r="AA605" s="129"/>
      <c r="AB605" s="129"/>
      <c r="AC605" s="129"/>
      <c r="AD605" s="130"/>
      <c r="AE605" s="131">
        <f>IF(L605="","",IF(L606&gt;0,(SUM(((L604-1)*(1-_xlfn.XLOOKUP(K604,'Janeiro 2023 - Valor Real'!A3:A15,'Janeiro 2023 - Valor Real'!C3:C15,0))+1),((L605-1)*(1-_xlfn.XLOOKUP(K605,'Janeiro 2023 - Valor Real'!A3:A15,'Janeiro 2023 - Valor Real'!C3:C15,0))+1),((L606-1)*(1-_xlfn.XLOOKUP(K606,'Janeiro 2023 - Valor Real'!A3:A15,'Janeiro 2023 - Valor Real'!C3:C15,0))+1))/((L605-1)*(1-_xlfn.XLOOKUP(K605,'Janeiro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Real'!C3:C15,0))+1))/((L604-1)*(1-_xlfn.XLOOKUP(K604,'Janeiro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Real'!C3:C15,0))+1))/((L605-1)*(1-_xlfn.XLOOKUP(K605,'Janeiro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Real'!C3:C15,0))+1))/((L606-1)*(1-_xlfn.XLOOKUP(K606,'Janeiro 2023 - Valor Real'!A3:A15,'Janeiro 2023 - Valor Real'!C3:C15,0))+1)),IF(I605="Lay",IF(I604="Lay",((L604/(L604-1)-1)*(1-_xlfn.XLOOKUP(K604,'Janeiro 2023 - Valor Real'!A3:A15,'Janeiro 2023 - Valor Real'!C3:C15,0))+1)/(((L604/(L604-1)-1)*(1-_xlfn.XLOOKUP(K604,'Janeiro 2023 - Valor Real'!A3:A15,'Janeiro 2023 - Valor Real'!C3:C15,0))+1)+((L605/(L605-1)-1)*(1-_xlfn.XLOOKUP(K605,'Janeiro 2023 - Valor Real'!A3:A15,'Janeiro 2023 - Valor Real'!C3:C15,0))+1)),((L604-1)*(1-_xlfn.XLOOKUP(K604,'Janeiro 2023 - Valor Real'!A3:A15,'Janeiro 2023 - Valor Real'!C3:C15,0))+1)/(((L604-1)*(1-_xlfn.XLOOKUP(K604,'Janeiro 2023 - Valor Real'!A3:A15,'Janeiro 2023 - Valor Real'!C3:C15,0))+1)+((L605/(L605-1)-1)*(1-_xlfn.XLOOKUP(K605,'Janeiro 2023 - Valor Real'!A3:A15,'Janeiro 2023 - Valor Real'!C3:C15,0))+1))),IF(I604="Lay",((L604/(L604-1)-1)*(1-_xlfn.XLOOKUP(K604,'Janeiro 2023 - Valor Real'!A3:A15,'Janeiro 2023 - Valor Real'!C3:C15,0))+1)/((((L604/(L604-1)-1)*(1-_xlfn.XLOOKUP(K604,'Janeiro 2023 - Valor Real'!A3:A15,'Janeiro 2023 - Valor Real'!C3:C15,0))+1))+((L605-1)*(1-_xlfn.XLOOKUP(K605,'Janeiro 2023 - Valor Real'!A3:A15,'Janeiro 2023 - Valor Real'!C3:C15,0))+1)),((L604-1)*(1-_xlfn.XLOOKUP(K604,'Janeiro 2023 - Valor Real'!A3:A15,'Janeiro 2023 - Valor Real'!C3:C15,0))+1)/(((L604-1)*(1-_xlfn.XLOOKUP(K604,'Janeiro 2023 - Valor Real'!A3:A15,'Janeiro 2023 - Valor Real'!C3:C15,0))+1)+((L605-1)*(1-_xlfn.XLOOKUP(K605,'Janeiro 2023 - Valor Real'!A3:A15,'Janeiro 2023 - Valor Real'!C3:C15,0))+1))))))</f>
        <v>0.494117647058824</v>
      </c>
      <c r="AF605" s="132">
        <f>IF($K605=AF$3,ROUND(IF(OR($C605="W",$C605="1/2W",$C605="1/2L"),$P605-$O605,IF($C605="X",0,-$O605)),2),0)</f>
        <v>0</v>
      </c>
      <c r="AG605" s="133">
        <f>IF($K605=AG$3,ROUND(IF(OR($C605="W",$C605="1/2W",$C605="1/2L"),$P605-$O605,IF($C605="X",0,-$O605)),2),0)</f>
        <v>0</v>
      </c>
      <c r="AH605" s="133">
        <f>IF($K605=AH$3,ROUND(IF(OR($C605="W",$C605="1/2W",$C605="1/2L"),$P605-$O605,IF($C605="X",0,-$O605)),2),0)</f>
        <v>0</v>
      </c>
      <c r="AI605" s="133">
        <f>IF($K605=AI$3,ROUND(IF(OR($C605="W",$C605="1/2W",$C605="1/2L"),$P605-$O605,IF($C605="X",0,-$O605)),2),0)</f>
        <v>-5.54</v>
      </c>
      <c r="AJ605" s="133">
        <f>IF($K605=AJ$3,ROUND(IF(OR($C605="W",$C605="1/2W",$C605="1/2L"),$P605-$O605,IF($C605="X",0,-$O605)),2),0)</f>
        <v>0</v>
      </c>
      <c r="AK605" s="133">
        <f>IF($K605=AK$3,ROUND(IF(OR($C605="W",$C605="1/2W",$C605="1/2L"),$P605-$O605,IF($C605="X",0,-$O605)),2),0)</f>
        <v>0</v>
      </c>
      <c r="AL605" s="133">
        <f>IF($K605=AL$3,ROUND(IF(OR($C605="W",$C605="1/2W",$C605="1/2L"),$P605-$O605,IF($C605="X",0,-$O605)),2),0)</f>
        <v>0</v>
      </c>
      <c r="AM605" s="133">
        <f>IF($K605=AM$3,ROUND(IF(OR($C605="W",$C605="1/2W",$C605="1/2L"),$P605-$O605,IF($C605="X",0,-$O605)),2),0)</f>
        <v>0</v>
      </c>
      <c r="AN605" s="133">
        <f>IF($K605=AN$3,ROUND(IF(OR($C605="W",$C605="1/2W",$C605="1/2L"),$P605-$O605,IF($C605="X",0,-$O605)),2),0)</f>
        <v>0</v>
      </c>
      <c r="AO605" s="133">
        <f>IF($K605=AO$3,ROUND(IF(OR($C605="W",$C605="1/2W",$C605="1/2L"),$P605-$O605,IF($C605="X",0,-$O605)),2),0)</f>
        <v>0</v>
      </c>
      <c r="AP605" s="133">
        <f>IF($K605=AP$3,ROUND(IF(OR($C605="W",$C605="1/2W",$C605="1/2L"),$P605-$O605,IF($C605="X",0,-$O605)),2),0)</f>
        <v>0</v>
      </c>
      <c r="AQ605" s="133">
        <f>IF($K605=AQ$3,ROUND(IF(OR($C605="W",$C605="1/2W",$C605="1/2L"),$P605-$O605,IF($C605="X",0,-$O605)),2),0)</f>
        <v>0</v>
      </c>
      <c r="AR605" s="134">
        <f>IF($K605=AR$3,ROUND(IF(OR($C605="W",$C605="1/2W",$C605="1/2L"),$P605-$O605,IF($C605="X",0,-$O605)),2),0)</f>
        <v>0</v>
      </c>
      <c r="AS605" s="132">
        <f>IF(AND($B604=" ",$K605=AS$3),$O605,0)</f>
        <v>0</v>
      </c>
      <c r="AT605" s="133">
        <f>IF(AND($B604=" ",K605=AT$3),$O605,0)</f>
        <v>0</v>
      </c>
      <c r="AU605" s="133">
        <f>IF(AND($B604=" ",$K605=AU$3),$O605,0)</f>
        <v>0</v>
      </c>
      <c r="AV605" s="133">
        <f>IF(AND($B604=" ",$K605=AV$3),$O605,0)</f>
        <v>0</v>
      </c>
      <c r="AW605" s="133">
        <f>IF(AND($B604=" ",$K605=AW$3),$O605,0)</f>
        <v>0</v>
      </c>
      <c r="AX605" s="133">
        <f>IF(AND($B604=" ",$K605=AX$3),$O605,0)</f>
        <v>0</v>
      </c>
      <c r="AY605" s="135">
        <f>IF(AND($B604=" ",$K605=AY$3),$O605,0)</f>
        <v>0</v>
      </c>
      <c r="AZ605" s="136">
        <f>IF(AND($B604=" ",$K605=AZ$3),$O605,0)</f>
        <v>0</v>
      </c>
      <c r="BA605" s="136">
        <f>IF(AND($B604=" ",$K605=BA$3),$O605,0)</f>
        <v>0</v>
      </c>
      <c r="BB605" s="136">
        <f>IF(AND($B604=" ",$K605=BB$3),$O605,0)</f>
        <v>0</v>
      </c>
      <c r="BC605" s="137">
        <f>IF(AND($B604=" ",$K605=BC$3),$O605,0)</f>
        <v>0</v>
      </c>
      <c r="BD605" s="133">
        <f>IF(AND($B604=" ",$K605=BD$3),$O605,0)</f>
        <v>0</v>
      </c>
      <c r="BE605" s="134">
        <f>IF(AND($B604=" ",$K605=BE$3),$O605,0)</f>
        <v>0</v>
      </c>
      <c r="BF605" s="132">
        <f>IF($K605=BF$3,IF($C605="X",0,$O605),0)</f>
        <v>0</v>
      </c>
      <c r="BG605" s="281">
        <f>IF($K605=BG$3,IF($C605="X",0,$O605),0)</f>
        <v>0</v>
      </c>
      <c r="BH605" s="133">
        <f>IF($K605=BH$3,IF($C605="X",0,$O605),0)</f>
        <v>0</v>
      </c>
      <c r="BI605" s="133">
        <f>IF($K605=BI$3,IF($C605="X",0,$O605),0)</f>
        <v>5.54</v>
      </c>
      <c r="BJ605" s="133">
        <f>IF($K605=BJ$3,IF($C605="X",0,$O605),0)</f>
        <v>0</v>
      </c>
      <c r="BK605" s="133">
        <f>IF($K605=BK$3,IF($C605="X",0,$O605),0)</f>
        <v>0</v>
      </c>
      <c r="BL605" s="133">
        <f>IF($K605=BL$3,IF($C605="X",0,$O605),0)</f>
        <v>0</v>
      </c>
      <c r="BM605" s="135">
        <f>IF($K605=BM$3,IF($C605="X",0,$O605),0)</f>
        <v>0</v>
      </c>
      <c r="BN605" s="136">
        <f>IF($K605=BN$3,IF($C605="X",0,$O605),0)</f>
        <v>0</v>
      </c>
      <c r="BO605" s="136">
        <f>IF($K605=BO$3,IF($C605="X",0,$O605),0)</f>
        <v>0</v>
      </c>
      <c r="BP605" s="136">
        <f>IF($K605=BP$3,IF($C605="X",0,$O605),0)</f>
        <v>0</v>
      </c>
      <c r="BQ605" s="137">
        <f>IF($K605=BQ$3,IF($C605="X",0,$O605),0)</f>
        <v>0</v>
      </c>
      <c r="BR605" s="134">
        <f>IF($K605=BR$3,IF($C605="X",0,$O605),0)</f>
        <v>0</v>
      </c>
      <c r="BS605" s="282"/>
      <c r="BT605" s="283"/>
      <c r="BU605" s="140"/>
      <c r="BV605" s="283"/>
      <c r="BW605" s="140"/>
      <c r="BX605" s="140"/>
      <c r="BY605" s="140"/>
      <c r="BZ605" s="283"/>
      <c r="CA605" s="140"/>
      <c r="CB605" s="140"/>
      <c r="CC605" s="140"/>
      <c r="CD605" s="141"/>
      <c r="CE605" s="142"/>
      <c r="CF605" s="284">
        <f>IF(CF$3=$K605,IF($C605="W",1,IF($C605="1/2W",0.5,0)),0)</f>
        <v>0</v>
      </c>
      <c r="CG605" s="285">
        <f>IF(CF$3=$K605,IF($C605="L",1,IF($C605="1/2L",0.5,0)),0)</f>
        <v>0</v>
      </c>
      <c r="CH605" s="285">
        <f>IF(CH$3=$K605,IF($C605="W",1,IF($C605="1/2W",0.5,0)),0)</f>
        <v>0</v>
      </c>
      <c r="CI605" s="285">
        <f>IF(CH$3=$K605,IF($C605="L",1,IF($C605="1/2L",0.5,0)),0)</f>
        <v>0</v>
      </c>
      <c r="CJ605" s="285">
        <f>IF(CJ$3=$K605,IF($C605="W",1,IF($C605="1/2W",0.5,0)),0)</f>
        <v>0</v>
      </c>
      <c r="CK605" s="285">
        <f>IF(CJ$3=$K605,IF($C605="L",1,IF($C605="1/2L",0.5,0)),0)</f>
        <v>0</v>
      </c>
      <c r="CL605" s="285">
        <f>IF(CL$3=$K605,IF($C605="W",1,IF($C605="1/2W",0.5,0)),0)</f>
        <v>0</v>
      </c>
      <c r="CM605" s="285">
        <f>IF(CL$3=$K605,IF($C605="L",1,IF($C605="1/2L",0.5,0)),0)</f>
        <v>1</v>
      </c>
      <c r="CN605" s="285">
        <f>IF(CN$3=$K605,IF($C605="W",1,IF($C605="1/2W",0.5,0)),0)</f>
        <v>0</v>
      </c>
      <c r="CO605" s="285">
        <f>IF(CN$3=$K605,IF($C605="L",1,IF($C605="1/2L",0.5,0)),0)</f>
        <v>0</v>
      </c>
      <c r="CP605" s="285">
        <f>IF(CP$3=$K605,IF($C605="W",1,IF($C605="1/2W",0.5,0)),0)</f>
        <v>0</v>
      </c>
      <c r="CQ605" s="285">
        <f>IF(CP$3=$K605,IF($C605="L",1,IF($C605="1/2L",0.5,0)),0)</f>
        <v>0</v>
      </c>
      <c r="CR605" s="285">
        <f>IF(CR$3=$K605,IF($C605="W",1,IF($C605="1/2W",0.5,0)),0)</f>
        <v>0</v>
      </c>
      <c r="CS605" s="285">
        <f>IF(CR$3=$K605,IF($C605="L",1,IF($C605="1/2L",0.5,0)),0)</f>
        <v>0</v>
      </c>
      <c r="CT605" s="145">
        <f>IF(CT$3=$K605,IF($C605="W",1,IF($C605="1/2W",0.5,0)),0)</f>
        <v>0</v>
      </c>
      <c r="CU605" s="146">
        <f>IF(CT$3=$K605,IF($C605="L",1,IF($C605="1/2L",0.5,0)),0)</f>
        <v>0</v>
      </c>
      <c r="CV605" s="146">
        <f>IF(CV$3=$K605,IF($C605="W",1,IF($C605="1/2W",0.5,0)),0)</f>
        <v>0</v>
      </c>
      <c r="CW605" s="146">
        <f>IF(CV$3=$K605,IF($C605="L",1,IF($C605="1/2L",0.5,0)),0)</f>
        <v>0</v>
      </c>
      <c r="CX605" s="146">
        <f>IF(CX$3=$K605,IF($C605="W",1,IF($C605="1/2W",0.5,0)),0)</f>
        <v>0</v>
      </c>
      <c r="CY605" s="146">
        <f>IF(CX$3=$K605,IF($C605="L",1,IF($C605="1/2L",0.5,0)),0)</f>
        <v>0</v>
      </c>
      <c r="CZ605" s="146">
        <f>IF(CZ$3=$K605,IF($C605="W",1,IF($C605="1/2W",0.5,0)),0)</f>
        <v>0</v>
      </c>
      <c r="DA605" s="146">
        <f>IF(CZ$3=$K605,IF($C605="L",1,IF($C605="1/2L",0.5,0)),0)</f>
        <v>0</v>
      </c>
      <c r="DB605" s="146">
        <f>IF(DB$3=$K605,IF($C605="W",1,IF($C605="1/2W",0.5,0)),0)</f>
        <v>0</v>
      </c>
      <c r="DC605" s="146">
        <f>IF(DB$3=$K605,IF($C605="L",1,IF($C605="1/2L",0.5,0)),0)</f>
        <v>0</v>
      </c>
      <c r="DD605" s="146">
        <f>IF(DD$3=$K605,IF($C605="W",1,IF($C605="1/2W",0.5,0)),0)</f>
        <v>0</v>
      </c>
      <c r="DE605" s="147">
        <f>IF(DD$3=$K605,IF($C605="L",1,IF($C605="1/2L",0.5,0)),0)</f>
        <v>0</v>
      </c>
      <c r="DF605" s="143">
        <f>IF(AND(L605&lt;DF$3,$C605="W"),1+DF604,DF604)</f>
        <v>17</v>
      </c>
      <c r="DG605" s="133">
        <f>IF(DF605&gt;DF604,L605+DG604,DG604)</f>
        <v>22.628</v>
      </c>
      <c r="DH605" s="146">
        <f>IF(AND(L605&gt;DH$3,$C605="W"),1+DH604,0+DH604)</f>
        <v>16</v>
      </c>
      <c r="DI605" s="133">
        <f>IF(DH605&gt;DH604,L605+DI604,DI604)</f>
        <v>85.45999999999999</v>
      </c>
      <c r="DJ605" t="s" s="304">
        <f>IF($D604="","",$D604)</f>
        <v>431</v>
      </c>
      <c r="DK605" s="286"/>
    </row>
    <row r="606" ht="14.55" customHeight="1">
      <c r="A606" s="149"/>
      <c r="B606" s="150"/>
      <c r="C606" t="s" s="151">
        <v>58</v>
      </c>
      <c r="D606" s="152"/>
      <c r="E606" s="153"/>
      <c r="F606" s="155"/>
      <c r="G606" s="252"/>
      <c r="H606" s="156"/>
      <c r="I606" s="287"/>
      <c r="J606" s="288"/>
      <c r="K606" s="156"/>
      <c r="L606" s="289"/>
      <c r="M606" s="290"/>
      <c r="N606" s="161"/>
      <c r="O606" t="s" s="162">
        <f>IF(OR(AE604="",AE605=""),"",IF(L606&gt;0,ROUND(IF(M606&gt;0,M606,IF(M604&gt;0,ROUND((M604*AE606)/AE604,IF(N604=0,2,IF(N604=0.1,1,0))),IF(M605&gt;0,ROUND((M605*AE606)/AE605,IF(N604=0,2,IF(N604=0.1,1,0))),IF(M606&gt;0,M606,0)))),2),""))</f>
      </c>
      <c r="P606" t="s" s="163">
        <f>IF(I605="Lay",O605*(L605/(L605-1))-O605,IF(I604="Lay",O604*(L604/(L604-1))-O604,IF(OR(L606="",O606=""),"",IF($C606="1/2W",O606/2+O606/2*L606,IF($C606="1/2L",O606/2,(O606*L606-O606)*(1-_xlfn.XLOOKUP(K606,'Janeiro 2023 - Valor Real'!A3:A15,'Janeiro 2023 - Valor Real'!C3:C15,0))+O606)))))</f>
      </c>
      <c r="Q606" t="s" s="154">
        <f>IF(K606="","",IF(_xlfn.XLOOKUP(K606,K$121:K385,DJ$121:DJ385,0,,-1)=DJ606,_xlfn.XLOOKUP(K606,K$121:K385,Q$121:Q385,1,,-1)+1,1))</f>
      </c>
      <c r="R606" t="s" s="163">
        <f>IF(K606="","",_xlfn.XLOOKUP(K606,K$121:K385,R$121:R385,0,,-1)+IF($C606=" ",1,0))</f>
      </c>
      <c r="S606" s="166"/>
      <c r="T606" s="155"/>
      <c r="U606" s="155"/>
      <c r="V606" s="166"/>
      <c r="W606" s="155"/>
      <c r="X606" s="167"/>
      <c r="Y606" s="128"/>
      <c r="Z606" s="129"/>
      <c r="AA606" s="129"/>
      <c r="AB606" s="129"/>
      <c r="AC606" s="129"/>
      <c r="AD606" s="168"/>
      <c r="AE606" t="s" s="169">
        <f>IF(L606="","",(SUM(((L604-1)*(1-_xlfn.XLOOKUP(K604,'Janeiro 2023 - Valor Real'!A3:A15,'Janeiro 2023 - Valor Real'!C3:C15,0))+1),((L605-1)*(1-_xlfn.XLOOKUP(K605,'Janeiro 2023 - Valor Real'!A3:A15,'Janeiro 2023 - Valor Real'!C3:C15,0))+1),((L606-1)*(1-_xlfn.XLOOKUP(K606,'Janeiro 2023 - Valor Real'!A3:A15,'Janeiro 2023 - Valor Real'!C3:C15,0))+1))/((L606-1)*(1-_xlfn.XLOOKUP(K606,'Janeiro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Real'!C3:C15,0))+1))/((L604-1)*(1-_xlfn.XLOOKUP(K604,'Janeiro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Real'!C3:C15,0))+1))/((L605-1)*(1-_xlfn.XLOOKUP(K605,'Janeiro 2023 - Valor Real'!A3:A15,'Janeiro 2023 - Valor Real'!C3:C15,0))+1)+SUM(((L604-1)*(1-_xlfn.XLOOKUP(K604,'Janeiro 2023 - Valor Real'!A3:A15,'Janeiro 2023 - Valor Real'!C3:C15,0))+1),((L605-1)*(1-_xlfn.XLOOKUP(K605,'Janeiro 2023 - Valor Real'!A3:A15,'Janeiro 2023 - Valor Real'!C3:C15,0))+1),((L606-1)*(1-_xlfn.XLOOKUP(K606,'Janeiro 2023 - Valor Real'!A3:A15,'Janeiro 2023 - Valor Real'!C3:C15,0))+1))/((L606-1)*(1-_xlfn.XLOOKUP(K606,'Janeiro 2023 - Valor Real'!A3:A15,'Janeiro 2023 - Valor Real'!C3:C15,0))+1)))</f>
      </c>
      <c r="AF606" s="132">
        <f>IF($K606=AF$3,ROUND(IF(OR($C606="W",$C606="1/2W",$C606="1/2L"),$P606-$O606,IF($C606="X",0,-$O606)),2),0)</f>
        <v>0</v>
      </c>
      <c r="AG606" s="133">
        <f>IF($K606=AG$3,ROUND(IF(OR($C606="W",$C606="1/2W",$C606="1/2L"),$P606-$O606,IF($C606="X",0,-$O606)),2),0)</f>
        <v>0</v>
      </c>
      <c r="AH606" s="133">
        <f>IF($K606=AH$3,ROUND(IF(OR($C606="W",$C606="1/2W",$C606="1/2L"),$P606-$O606,IF($C606="X",0,-$O606)),2),0)</f>
        <v>0</v>
      </c>
      <c r="AI606" s="133">
        <f>IF($K606=AI$3,ROUND(IF(OR($C606="W",$C606="1/2W",$C606="1/2L"),$P606-$O606,IF($C606="X",0,-$O606)),2),0)</f>
        <v>0</v>
      </c>
      <c r="AJ606" s="133">
        <f>IF($K606=AJ$3,ROUND(IF(OR($C606="W",$C606="1/2W",$C606="1/2L"),$P606-$O606,IF($C606="X",0,-$O606)),2),0)</f>
        <v>0</v>
      </c>
      <c r="AK606" s="133">
        <f>IF($K606=AK$3,ROUND(IF(OR($C606="W",$C606="1/2W",$C606="1/2L"),$P606-$O606,IF($C606="X",0,-$O606)),2),0)</f>
        <v>0</v>
      </c>
      <c r="AL606" s="133">
        <f>IF($K606=AL$3,ROUND(IF(OR($C606="W",$C606="1/2W",$C606="1/2L"),$P606-$O606,IF($C606="X",0,-$O606)),2),0)</f>
        <v>0</v>
      </c>
      <c r="AM606" s="133">
        <f>IF($K606=AM$3,ROUND(IF(OR($C606="W",$C606="1/2W",$C606="1/2L"),$P606-$O606,IF($C606="X",0,-$O606)),2),0)</f>
        <v>0</v>
      </c>
      <c r="AN606" s="133">
        <f>IF($K606=AN$3,ROUND(IF(OR($C606="W",$C606="1/2W",$C606="1/2L"),$P606-$O606,IF($C606="X",0,-$O606)),2),0)</f>
        <v>0</v>
      </c>
      <c r="AO606" s="133">
        <f>IF($K606=AO$3,ROUND(IF(OR($C606="W",$C606="1/2W",$C606="1/2L"),$P606-$O606,IF($C606="X",0,-$O606)),2),0)</f>
        <v>0</v>
      </c>
      <c r="AP606" s="133">
        <f>IF($K606=AP$3,ROUND(IF(OR($C606="W",$C606="1/2W",$C606="1/2L"),$P606-$O606,IF($C606="X",0,-$O606)),2),0)</f>
        <v>0</v>
      </c>
      <c r="AQ606" s="133">
        <f>IF($K606=AQ$3,ROUND(IF(OR($C606="W",$C606="1/2W",$C606="1/2L"),$P606-$O606,IF($C606="X",0,-$O606)),2),0)</f>
        <v>0</v>
      </c>
      <c r="AR606" s="134">
        <f>IF($K606=AR$3,ROUND(IF(OR($C606="W",$C606="1/2W",$C606="1/2L"),$P606-$O606,IF($C606="X",0,-$O606)),2),0)</f>
        <v>0</v>
      </c>
      <c r="AS606" s="132">
        <f>IF(AND($B604=" ",$K606=AS$3),$O606,0)</f>
        <v>0</v>
      </c>
      <c r="AT606" s="133">
        <f>IF(AND($B604=" ",K606=AT$3),$O606,0)</f>
        <v>0</v>
      </c>
      <c r="AU606" s="133">
        <f>IF(AND($B604=" ",$K606=AU$3),$O606,0)</f>
        <v>0</v>
      </c>
      <c r="AV606" s="133">
        <f>IF(AND($B604=" ",$K606=AV$3),$O606,0)</f>
        <v>0</v>
      </c>
      <c r="AW606" s="133">
        <f>IF(AND($B604=" ",$K606=AW$3),$O606,0)</f>
        <v>0</v>
      </c>
      <c r="AX606" s="133">
        <f>IF(AND($B604=" ",$K606=AX$3),$O606,0)</f>
        <v>0</v>
      </c>
      <c r="AY606" s="135">
        <f>IF(AND($B604=" ",$K606=AY$3),$O606,0)</f>
        <v>0</v>
      </c>
      <c r="AZ606" s="136">
        <f>IF(AND($B604=" ",$K606=AZ$3),$O606,0)</f>
        <v>0</v>
      </c>
      <c r="BA606" s="136">
        <f>IF(AND($B604=" ",$K606=BA$3),$O606,0)</f>
        <v>0</v>
      </c>
      <c r="BB606" s="136">
        <f>IF(AND($B604=" ",$K606=BB$3),$O606,0)</f>
        <v>0</v>
      </c>
      <c r="BC606" s="137">
        <f>IF(AND($B604=" ",$K606=BC$3),$O606,0)</f>
        <v>0</v>
      </c>
      <c r="BD606" s="133">
        <f>IF(AND($B604=" ",$K606=BD$3),$O606,0)</f>
        <v>0</v>
      </c>
      <c r="BE606" s="134">
        <f>IF(AND($B604=" ",$K606=BE$3),$O606,0)</f>
        <v>0</v>
      </c>
      <c r="BF606" s="132">
        <f>IF($K606=BF$3,IF($C606="X",0,$O606),0)</f>
        <v>0</v>
      </c>
      <c r="BG606" s="281">
        <f>IF($K606=BG$3,IF($C606="X",0,$O606),0)</f>
        <v>0</v>
      </c>
      <c r="BH606" s="133">
        <f>IF($K606=BH$3,IF($C606="X",0,$O606),0)</f>
        <v>0</v>
      </c>
      <c r="BI606" s="133">
        <f>IF($K606=BI$3,IF($C606="X",0,$O606),0)</f>
        <v>0</v>
      </c>
      <c r="BJ606" s="133">
        <f>IF($K606=BJ$3,IF($C606="X",0,$O606),0)</f>
        <v>0</v>
      </c>
      <c r="BK606" s="133">
        <f>IF($K606=BK$3,IF($C606="X",0,$O606),0)</f>
        <v>0</v>
      </c>
      <c r="BL606" s="133">
        <f>IF($K606=BL$3,IF($C606="X",0,$O606),0)</f>
        <v>0</v>
      </c>
      <c r="BM606" s="135">
        <f>IF($K606=BM$3,IF($C606="X",0,$O606),0)</f>
        <v>0</v>
      </c>
      <c r="BN606" s="136">
        <f>IF($K606=BN$3,IF($C606="X",0,$O606),0)</f>
        <v>0</v>
      </c>
      <c r="BO606" s="136">
        <f>IF($K606=BO$3,IF($C606="X",0,$O606),0)</f>
        <v>0</v>
      </c>
      <c r="BP606" s="136">
        <f>IF($K606=BP$3,IF($C606="X",0,$O606),0)</f>
        <v>0</v>
      </c>
      <c r="BQ606" s="137">
        <f>IF($K606=BQ$3,IF($C606="X",0,$O606),0)</f>
        <v>0</v>
      </c>
      <c r="BR606" s="134">
        <f>IF($K606=BR$3,IF($C606="X",0,$O606),0)</f>
        <v>0</v>
      </c>
      <c r="BS606" s="282"/>
      <c r="BT606" s="283"/>
      <c r="BU606" s="140"/>
      <c r="BV606" s="283"/>
      <c r="BW606" s="140"/>
      <c r="BX606" s="140"/>
      <c r="BY606" s="140"/>
      <c r="BZ606" s="283"/>
      <c r="CA606" s="140"/>
      <c r="CB606" s="140"/>
      <c r="CC606" s="140"/>
      <c r="CD606" s="141"/>
      <c r="CE606" s="142"/>
      <c r="CF606" s="284">
        <f>IF(CF$3=$K606,IF($C606="W",1,IF($C606="1/2W",0.5,0)),0)</f>
        <v>0</v>
      </c>
      <c r="CG606" s="285">
        <f>IF(CF$3=$K606,IF($C606="L",1,IF($C606="1/2L",0.5,0)),0)</f>
        <v>0</v>
      </c>
      <c r="CH606" s="285">
        <f>IF(CH$3=$K606,IF($C606="W",1,IF($C606="1/2W",0.5,0)),0)</f>
        <v>0</v>
      </c>
      <c r="CI606" s="285">
        <f>IF(CH$3=$K606,IF($C606="L",1,IF($C606="1/2L",0.5,0)),0)</f>
        <v>0</v>
      </c>
      <c r="CJ606" s="285">
        <f>IF(CJ$3=$K606,IF($C606="W",1,IF($C606="1/2W",0.5,0)),0)</f>
        <v>0</v>
      </c>
      <c r="CK606" s="285">
        <f>IF(CJ$3=$K606,IF($C606="L",1,IF($C606="1/2L",0.5,0)),0)</f>
        <v>0</v>
      </c>
      <c r="CL606" s="285">
        <f>IF(CL$3=$K606,IF($C606="W",1,IF($C606="1/2W",0.5,0)),0)</f>
        <v>0</v>
      </c>
      <c r="CM606" s="285">
        <f>IF(CL$3=$K606,IF($C606="L",1,IF($C606="1/2L",0.5,0)),0)</f>
        <v>0</v>
      </c>
      <c r="CN606" s="285">
        <f>IF(CN$3=$K606,IF($C606="W",1,IF($C606="1/2W",0.5,0)),0)</f>
        <v>0</v>
      </c>
      <c r="CO606" s="285">
        <f>IF(CN$3=$K606,IF($C606="L",1,IF($C606="1/2L",0.5,0)),0)</f>
        <v>0</v>
      </c>
      <c r="CP606" s="285">
        <f>IF(CP$3=$K606,IF($C606="W",1,IF($C606="1/2W",0.5,0)),0)</f>
        <v>0</v>
      </c>
      <c r="CQ606" s="285">
        <f>IF(CP$3=$K606,IF($C606="L",1,IF($C606="1/2L",0.5,0)),0)</f>
        <v>0</v>
      </c>
      <c r="CR606" s="285">
        <f>IF(CR$3=$K606,IF($C606="W",1,IF($C606="1/2W",0.5,0)),0)</f>
        <v>0</v>
      </c>
      <c r="CS606" s="285">
        <f>IF(CR$3=$K606,IF($C606="L",1,IF($C606="1/2L",0.5,0)),0)</f>
        <v>0</v>
      </c>
      <c r="CT606" s="145">
        <f>IF(CT$3=$K606,IF($C606="W",1,IF($C606="1/2W",0.5,0)),0)</f>
        <v>0</v>
      </c>
      <c r="CU606" s="146">
        <f>IF(CT$3=$K606,IF($C606="L",1,IF($C606="1/2L",0.5,0)),0)</f>
        <v>0</v>
      </c>
      <c r="CV606" s="146">
        <f>IF(CV$3=$K606,IF($C606="W",1,IF($C606="1/2W",0.5,0)),0)</f>
        <v>0</v>
      </c>
      <c r="CW606" s="146">
        <f>IF(CV$3=$K606,IF($C606="L",1,IF($C606="1/2L",0.5,0)),0)</f>
        <v>0</v>
      </c>
      <c r="CX606" s="146">
        <f>IF(CX$3=$K606,IF($C606="W",1,IF($C606="1/2W",0.5,0)),0)</f>
        <v>0</v>
      </c>
      <c r="CY606" s="146">
        <f>IF(CX$3=$K606,IF($C606="L",1,IF($C606="1/2L",0.5,0)),0)</f>
        <v>0</v>
      </c>
      <c r="CZ606" s="146">
        <f>IF(CZ$3=$K606,IF($C606="W",1,IF($C606="1/2W",0.5,0)),0)</f>
        <v>0</v>
      </c>
      <c r="DA606" s="146">
        <f>IF(CZ$3=$K606,IF($C606="L",1,IF($C606="1/2L",0.5,0)),0)</f>
        <v>0</v>
      </c>
      <c r="DB606" s="146">
        <f>IF(DB$3=$K606,IF($C606="W",1,IF($C606="1/2W",0.5,0)),0)</f>
        <v>0</v>
      </c>
      <c r="DC606" s="146">
        <f>IF(DB$3=$K606,IF($C606="L",1,IF($C606="1/2L",0.5,0)),0)</f>
        <v>0</v>
      </c>
      <c r="DD606" s="146">
        <f>IF(DD$3=$K606,IF($C606="W",1,IF($C606="1/2W",0.5,0)),0)</f>
        <v>0</v>
      </c>
      <c r="DE606" s="147">
        <f>IF(DD$3=$K606,IF($C606="L",1,IF($C606="1/2L",0.5,0)),0)</f>
        <v>0</v>
      </c>
      <c r="DF606" s="143">
        <f>IF(AND(L606&lt;DF$3,$C606="W"),1+DF605,DF605)</f>
        <v>17</v>
      </c>
      <c r="DG606" s="133">
        <f>IF(DF606&gt;DF605,L606+DG605,DG605)</f>
        <v>22.628</v>
      </c>
      <c r="DH606" s="146">
        <f>IF(AND(L606&gt;DH$3,$C606="W"),1+DH605,0+DH605)</f>
        <v>16</v>
      </c>
      <c r="DI606" s="133">
        <f>IF(DH606&gt;DH605,L606+DI605,DI605)</f>
        <v>85.45999999999999</v>
      </c>
      <c r="DJ606" t="s" s="304">
        <f>IF($D604="","",$D604)</f>
        <v>431</v>
      </c>
      <c r="DK606" s="286"/>
    </row>
    <row r="607" ht="14.55" customHeight="1">
      <c r="A607" s="171">
        <f>$A604+1</f>
        <v>202</v>
      </c>
      <c r="B607" t="s" s="172">
        <f>IF(AND(_xlfn.XLOOKUP(H607,H$122:H380,G$122:G380,0)=G607,_xlfn.XLOOKUP("TempoBet",K607:K609,L607:L609,0)&gt;0),"X",IF(OR(C607="W",C608="W",C609="W",C607="1/2W",C608="1/2W",C609="1/2W",C607="1/2L",C608="1/2L",C609="1/2L"),"OK",IF(OR(C607="L",C608="L",C609="L"),"LOSS",IF(OR(C607="X",C608="X",C609="X"),"Anulado"," "))))</f>
        <v>50</v>
      </c>
      <c r="C607" t="s" s="173">
        <v>51</v>
      </c>
      <c r="D607" t="s" s="305">
        <f>IF(G607="","",$D604)</f>
        <v>431</v>
      </c>
      <c r="E607" t="s" s="175">
        <f>IF(G607=""," ","– "&amp;COUNTIF(D$4:D609,$D607))</f>
        <v>133</v>
      </c>
      <c r="F607" t="s" s="176">
        <f>IF(G607="","",IF(OR(AND($C607&lt;&gt;" ",$C608=" "),AND($C608&lt;&gt;" ",$C607=" "),AND(L609&gt;0,OR(AND($C609&lt;&gt;" ",OR($C607=" ",$C608=" ")),AND($C609=" ",OR($C607&lt;&gt;" ",$C608&lt;&gt;" "))))),IF(SUM(F$4:F606)=0,1,LARGE(F$4:F606,1)+1),IF(MONTH(G607)=MONTH(TODAY()),IF(AND(DAY(G607)&lt;DAY(TODAY()),$B607=" "),IF(SUM(F$4:F606)=0,1,LARGE(F$4:F606,1)+1),IF($B607=" ",IF(AND(DAY(G607)=DAY(TODAY()),HOUR(G607)&lt;=HOUR(NOW())+1),IF(AND(HOUR(G607)+2&lt;=HOUR(NOW()),DAY(G607)&lt;=DAY(TODAY()),MINUTE(G607)&lt;=MINUTE(NOW())),IF(SUM(F$4:F606)=0,1,LARGE(F$4:F606,1)+1),IF(OR(MINUTE(G607)&lt;=MINUTE(NOW()),HOUR(G607)&lt;=HOUR(NOW())),"!!!","")),""),"")),"")))</f>
      </c>
      <c r="G607" s="177">
        <v>44954.802083333336</v>
      </c>
      <c r="H607" t="s" s="178">
        <v>448</v>
      </c>
      <c r="I607" t="s" s="179">
        <v>65</v>
      </c>
      <c r="J607" s="291">
        <v>4.5</v>
      </c>
      <c r="K607" t="s" s="181">
        <v>38</v>
      </c>
      <c r="L607" s="182">
        <v>2.7</v>
      </c>
      <c r="M607" s="183">
        <v>5.1</v>
      </c>
      <c r="N607" s="184">
        <v>0.1</v>
      </c>
      <c r="O607" s="185">
        <f>IF(OR(AE607="",AE608=""),"",ROUND(IF(L609&gt;0,IF(M607&gt;0,M607,IF(M608&gt;0,ROUND((M608*AE607)/AE608,IF(N607=0,2,IF(N607=0.1,1,0))),ROUND((M609*AE607)/AE609,IF(N607=0,2,IF(N607=0.1,1,0))))),IF(M607&gt;0,M607,ROUND((M608*AE607)/AE608,IF(N607=0,2,IF(N607=0.1,1,0))))),2))</f>
        <v>5.1</v>
      </c>
      <c r="P607" s="186">
        <f>IF(OR(L607="",O607=""),"",IF($C607="1/2W",O607/2+O607/2*L607,IF($C607="1/2L",O607/2,IF(I607="Lay",(O607*(L607/(L607-1))-O607)*(1-_xlfn.XLOOKUP(K607,'Janeiro 2023 - Valor Real'!A3:A15,'Janeiro 2023 - Valor Real'!C3:C15,0))+O607,(O607*L607-O607)*(1-_xlfn.XLOOKUP(K607,'Janeiro 2023 - Valor Real'!A3:A15,'Janeiro 2023 - Valor Real'!C3:C15,0))+O607))))</f>
        <v>13.77</v>
      </c>
      <c r="Q607" s="187">
        <f>IF(K607="","",IF(_xlfn.XLOOKUP(K607,K$122:K380,DJ$122:DJ380,0,,-1)=DJ607,_xlfn.XLOOKUP(K607,K$122:K380,Q$122:Q380,1,,-1)+1,1))</f>
        <v>1</v>
      </c>
      <c r="R607" s="188">
        <f>IF(K607="","",_xlfn.XLOOKUP(K607,K$122:K380,R$122:R380,0,,-1)+IF($C607=" ",1,0))</f>
        <v>0</v>
      </c>
      <c r="S607" s="189">
        <f>IF($B607="Anulado",0,ROUND(IF(OR($B607="LOSS",$B607="OK"),IF(OR($C607="W",$C607="1/2W",$C607="1/2L"),P607-O607,IF($C607="L",-O607,0))+IF(OR($C608="W",$C608="1/2W",$C608="1/2L"),P608-O608,IF($C608="L",-O608,0))+IF(OR($C609="W",$C609="1/2W",$C609="1/2L"),P609-O609,IF($C609="L",-O609,0)),IF(AND(OR($C607="W",$C607="1/2W",$C607="1/2L"),C608="W"),P607+P608-SUM(O607:O609)+_xlfn.XLOOKUP("X",C607:C609,O607:O609,0),IF(AND(C607=TRUE,C609="W"),P607+P609-SUM(O607:O609),IF(AND(C608="W",C609="W"),P608+P609-SUM(O607:O609)+_xlfn.XLOOKUP("X",C607:C609,O607:O609,0),IF(L609&gt;0,IF(OR($C607="W",$C607="1/2W",$C607="1/2L"),P607-SUM(O607:O609)+_xlfn.XLOOKUP("X",C607:C609,O607:O609,0),IF(OR($C607="W",$C607="1/2W",$C607="1/2L"),P608-SUM(O607:O609)+_xlfn.XLOOKUP("X",C607:C609,O607:O609,0),IF(OR($C607="W",$C607="1/2W",$C607="1/2L"),P609-SUM(O607:O609)+_xlfn.XLOOKUP("X",C607:C609,O607:O609,0),IF(SUM(P607:P609)/3-SUM(O607:O609)+_xlfn.XLOOKUP("X",C607:C609,O607:O609,0)&gt;0,SUM(P607:P609)/3-SUM(O607:O609)+_xlfn.XLOOKUP("X",C607:C609,O607:O609,0),LARGE(P607:P609,1)-SUM(O607:O609))))),IF(OR($C607="W",$C607="1/2W",$C607="1/2L"),P607-SUM(O607:O608)+_xlfn.XLOOKUP("X",C607:C609,O607:O609,0),IF(OR($C607="W",$C607="1/2W",$C607="1/2L"),P608-SUM(O607:O608)+_xlfn.XLOOKUP("X",C607:C609,O607:O609,0),SUM(P607:P608)/2-SUM(O607:O608)+_xlfn.XLOOKUP("X",C607:C609,O607:O609,0)))))))),2))</f>
        <v>0.66</v>
      </c>
      <c r="T607" s="190">
        <f>IF(S607=0,0,S607/SUM(O607:O609))</f>
        <v>0.050381679389313</v>
      </c>
      <c r="U607" s="191">
        <f>IF($D607=$D604,IF(OR($B607="LOSS",$B607="OK",$B607="Anulada"),S607,0)+U604,IF(OR($B607="LOSS",$B607="OK",$B607="Anulada"),S607,0))</f>
        <v>14.75</v>
      </c>
      <c r="V607" s="191">
        <f>IF($D607="",0,IF($D607=$D604,IF($B607=" ",IF(I609="",IF(OR(AND(I607="DNB1",I608="DNB2"),AND(OR(I607="DNB1",I607="DNB2"),J608=0),AND(OR(I608="DNB1",I608="DNB2"),J607=0),AND(I607="DNB2",I608="DNB1"),AND(IF(J607=0,(J607+1)/ROUND(J607+1,0),J607/ROUND(J607,0))=1,IF(J608=0,(J608+1)/ROUND(IF(J608="",0,J608)+1,0),IF(J608="",0,J608)/ROUND(IF(J608="",1,J608),0))=1,OR(J607&lt;&gt;""),J608&lt;&gt;"")),0,IF(S607&lt;0,IF(I609="",SMALL(P607:P608,1)-SUM(O607:O608),0),SMALL(P607:P608,1)-SUM(O607:O608))),IF(S607&lt;0,IF(I609="",SMALL(P607:P609,1)-SUM(O607:O609),0),LARGE(P607:P609,1)-SUM(O607:O609))),S607)+V604,IF(I609="",IF(OR(AND(I607="DNB1",I608="DNB2"),AND(OR(I607="DNB1",I607="DNB2"),J608=0),AND(OR(I608="DNB1",I608="DNB2"),J607=0),AND(I607="DNB2",I608="DNB1"),AND(IF(J607=0,(J607+1)/ROUND(J607+1,0),J607/ROUND(J607,0))=1,IF(J608=0,(IF(J608="",0,J608)+1)/ROUND(IF(J608="",0,J608)+1,0),IF(J608="",0,J608)/ROUND(IF(J608="",0,J608)+1,0))=1,OR(J607&lt;&gt;""),J608&lt;&gt;"")),0,IF(S607&lt;0,IF(I609="",SMALL(P607:P608,1)-SUM(O607:O608),0),SMALL(P607:P609,1)-SUM(O607:O609))),IF(S607&lt;0,IF(I609="",SMALL(P607:P609,1)-SUM(O607:O609),0),LARGE(P607:P609,1)-SUM(O607:O609)))))</f>
        <v>14.722</v>
      </c>
      <c r="W607" s="191">
        <f>IF($D607=$D604,IF(S607&lt;0,IF(I609="",S607,0),S607)+W604,S607)</f>
        <v>14.75</v>
      </c>
      <c r="X607" t="s" s="192">
        <f>IF(OR(SUM(R607:R609)=0,V607=W607),ROUND(IF(W607=0,0,W607/Y607)*100,2)&amp;"%",ROUND(IF(V607=0,0,V607/Y607)*100,2)&amp;"% a "&amp;ROUND(IF(W607=0,0,W607/Y607)*100,2)&amp;"%")</f>
        <v>449</v>
      </c>
      <c r="Y607" s="193">
        <f>IF($D607=$D604,Y604+SUM(O607:O609),SUM(O607:O609))</f>
        <v>230.03</v>
      </c>
      <c r="Z607" s="191">
        <f>IF($B607=" ",SUM(O607:O609),0)+Z604</f>
        <v>0</v>
      </c>
      <c r="AA607" s="191">
        <f>IF(G607="","",IF($B607="Anulado",LARGE(P607:P609,1)-SUM(O607:O609)+AA604,AA604))</f>
        <v>24.9665076923077</v>
      </c>
      <c r="AB607" s="191">
        <f>IF($D607="","",AB604+S607)</f>
        <v>403.08</v>
      </c>
      <c r="AC607" s="194">
        <f>IF($D607="","",IF($B607=" ",IF(DAY(G607)=DAY(TODAY()),1+AC604,0+AC604),0+AC604))</f>
        <v>0</v>
      </c>
      <c r="AD607" s="195">
        <f>(((L608/(L608-1)-1)*(1-_xlfn.XLOOKUP(K608,'Janeiro 2023 - Valor Real'!A3:A15,'Janeiro 2023 - Valor Real'!C3:C15,0))+1))/(((L607-1)*(1-_xlfn.XLOOKUP(K607,'Janeiro 2023 - Valor Real'!A3:A15,'Janeiro 2023 - Valor Real'!C3:C15,0))+1)+((L608/(L608-1)-1)*(1-_xlfn.XLOOKUP(K608,'Janeiro 2023 - Valor Real'!A3:A15,'Janeiro 2023 - Valor Real'!C3:C15,0))+1))</f>
        <v>0.46943231441048</v>
      </c>
      <c r="AE607" s="196">
        <f>IF(L607="","",IF(L609&gt;0,(SUM(((L607-1)*(1-_xlfn.XLOOKUP(K607,'Janeiro 2023 - Valor Real'!A3:A15,'Janeiro 2023 - Valor Real'!C3:C15,0))+1),((L608-1)*(1-_xlfn.XLOOKUP(K608,'Janeiro 2023 - Valor Real'!A3:A15,'Janeiro 2023 - Valor Real'!C3:C15,0))+1),((L609-1)*(1-_xlfn.XLOOKUP(K609,'Janeiro 2023 - Valor Real'!A3:A15,'Janeiro 2023 - Valor Real'!C3:C15,0))+1))/((L607-1)*(1-_xlfn.XLOOKUP(K607,'Janeiro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Real'!C3:C15,0))+1))/((L607-1)*(1-_xlfn.XLOOKUP(K607,'Janeiro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Real'!C3:C15,0))+1))/((L608-1)*(1-_xlfn.XLOOKUP(K608,'Janeiro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Real'!C3:C15,0))+1))/((L609-1)*(1-_xlfn.XLOOKUP(K609,'Janeiro 2023 - Valor Real'!A3:A15,'Janeiro 2023 - Valor Real'!C3:C15,0))+1)),IF(I607="Lay",IF(I608="Lay",((L608/(L608-1)-1)*(1-_xlfn.XLOOKUP(K608,'Janeiro 2023 - Valor Real'!A3:A15,'Janeiro 2023 - Valor Real'!C3:C15,0))+1)/(((L608/(L608-1)-1)*(1-_xlfn.XLOOKUP(K608,'Janeiro 2023 - Valor Real'!A3:A15,'Janeiro 2023 - Valor Real'!C3:C15,0))+1)+((L607/(L607-1)-1)*(1-_xlfn.XLOOKUP(K607,'Janeiro 2023 - Valor Real'!A3:A15,'Janeiro 2023 - Valor Real'!C3:C15,0))+1)),((L608-1)*(1-_xlfn.XLOOKUP(K608,'Janeiro 2023 - Valor Real'!A3:A15,'Janeiro 2023 - Valor Real'!C3:C15,0))+1)/(((L608-1)*(1-_xlfn.XLOOKUP(K608,'Janeiro 2023 - Valor Real'!A3:A15,'Janeiro 2023 - Valor Real'!C3:C15,0))+1)+((L607/(L607-1)-1)*(1-_xlfn.XLOOKUP(K607,'Janeiro 2023 - Valor Real'!A3:A15,'Janeiro 2023 - Valor Real'!C3:C15,0))+1))),IF(I608="Lay",(((L608/(L608-1)-1)*(1-_xlfn.XLOOKUP(K608,'Janeiro 2023 - Valor Real'!A3:A15,'Janeiro 2023 - Valor Real'!C3:C15,0))+1))/(((L607-1)*(1-_xlfn.XLOOKUP(K607,'Janeiro 2023 - Valor Real'!A3:A15,'Janeiro 2023 - Valor Real'!C3:C15,0))+1)+((L608/(L608-1)-1)*(1-_xlfn.XLOOKUP(K608,'Janeiro 2023 - Valor Real'!A3:A15,'Janeiro 2023 - Valor Real'!C3:C15,0))+1)),((L608-1)*(1-_xlfn.XLOOKUP(K608,'Janeiro 2023 - Valor Real'!A3:A15,'Janeiro 2023 - Valor Real'!C3:C15,0))+1)/(((L608-1)*(1-_xlfn.XLOOKUP(K608,'Janeiro 2023 - Valor Real'!A3:A15,'Janeiro 2023 - Valor Real'!C3:C15,0))+1)+((L607-1)*(1-_xlfn.XLOOKUP(K607,'Janeiro 2023 - Valor Real'!A3:A15,'Janeiro 2023 - Valor Real'!C3:C15,0))+1))))))</f>
        <v>0.389140271493213</v>
      </c>
      <c r="AF607" s="197">
        <f>IF($K607=AF$3,ROUND(IF(OR($C607="W",$C607="1/2W",$C607="1/2L"),$P607-$O607,IF($C607="X",0,-$O607)),2),0)</f>
        <v>0</v>
      </c>
      <c r="AG607" s="198">
        <f>IF($K607=AG$3,ROUND(IF(OR($C607="W",$C607="1/2W",$C607="1/2L"),$P607-$O607,IF($C607="X",0,-$O607)),2),0)</f>
        <v>-5.1</v>
      </c>
      <c r="AH607" s="198">
        <f>IF($K607=AH$3,ROUND(IF(OR($C607="W",$C607="1/2W",$C607="1/2L"),$P607-$O607,IF($C607="X",0,-$O607)),2),0)</f>
        <v>0</v>
      </c>
      <c r="AI607" s="198">
        <f>IF($K607=AI$3,ROUND(IF(OR($C607="W",$C607="1/2W",$C607="1/2L"),$P607-$O607,IF($C607="X",0,-$O607)),2),0)</f>
        <v>0</v>
      </c>
      <c r="AJ607" s="198">
        <f>IF($K607=AJ$3,ROUND(IF(OR($C607="W",$C607="1/2W",$C607="1/2L"),$P607-$O607,IF($C607="X",0,-$O607)),2),0)</f>
        <v>0</v>
      </c>
      <c r="AK607" s="198">
        <f>IF($K607=AK$3,ROUND(IF(OR($C607="W",$C607="1/2W",$C607="1/2L"),$P607-$O607,IF($C607="X",0,-$O607)),2),0)</f>
        <v>0</v>
      </c>
      <c r="AL607" s="198">
        <f>IF($K607=AL$3,ROUND(IF(OR($C607="W",$C607="1/2W",$C607="1/2L"),$P607-$O607,IF($C607="X",0,-$O607)),2),0)</f>
        <v>0</v>
      </c>
      <c r="AM607" s="198">
        <f>IF($K607=AM$3,ROUND(IF(OR($C607="W",$C607="1/2W",$C607="1/2L"),$P607-$O607,IF($C607="X",0,-$O607)),2),0)</f>
        <v>0</v>
      </c>
      <c r="AN607" s="198">
        <f>IF($K607=AN$3,ROUND(IF(OR($C607="W",$C607="1/2W",$C607="1/2L"),$P607-$O607,IF($C607="X",0,-$O607)),2),0)</f>
        <v>0</v>
      </c>
      <c r="AO607" s="198">
        <f>IF($K607=AO$3,ROUND(IF(OR($C607="W",$C607="1/2W",$C607="1/2L"),$P607-$O607,IF($C607="X",0,-$O607)),2),0)</f>
        <v>0</v>
      </c>
      <c r="AP607" s="198">
        <f>IF($K607=AP$3,ROUND(IF(OR($C607="W",$C607="1/2W",$C607="1/2L"),$P607-$O607,IF($C607="X",0,-$O607)),2),0)</f>
        <v>0</v>
      </c>
      <c r="AQ607" s="198">
        <f>IF($K607=AQ$3,ROUND(IF(OR($C607="W",$C607="1/2W",$C607="1/2L"),$P607-$O607,IF($C607="X",0,-$O607)),2),0)</f>
        <v>0</v>
      </c>
      <c r="AR607" s="199">
        <f>IF($K607=AR$3,ROUND(IF(OR($C607="W",$C607="1/2W",$C607="1/2L"),$P607-$O607,IF($C607="X",0,-$O607)),2),0)</f>
        <v>0</v>
      </c>
      <c r="AS607" s="197">
        <f>IF(AND($B607=" ",$K607=AS$3),$O607,0)</f>
        <v>0</v>
      </c>
      <c r="AT607" s="198">
        <f>IF(AND($B607=" ",$K607=AT$3),$O607,0)</f>
        <v>0</v>
      </c>
      <c r="AU607" s="198">
        <f>IF(AND($B607=" ",$K607=AU$3),$O607,0)</f>
        <v>0</v>
      </c>
      <c r="AV607" s="198">
        <f>IF(AND($B607=" ",$K607=AV$3),$O607,0)</f>
        <v>0</v>
      </c>
      <c r="AW607" s="198">
        <f>IF(AND($B607=" ",$K607=AW$3),$O607,0)</f>
        <v>0</v>
      </c>
      <c r="AX607" s="198">
        <f>IF(AND($B607=" ",$K607=AX$3),$O607,0)</f>
        <v>0</v>
      </c>
      <c r="AY607" s="200">
        <f>IF(AND($B607=" ",$K607=AY$3),$O607,0)</f>
        <v>0</v>
      </c>
      <c r="AZ607" s="201">
        <f>IF(AND($B607=" ",$K607=AZ$3),$O607,0)</f>
        <v>0</v>
      </c>
      <c r="BA607" s="201">
        <f>IF(AND($B607=" ",$K607=BA$3),$O607,0)</f>
        <v>0</v>
      </c>
      <c r="BB607" s="201">
        <f>IF(AND($B607=" ",$K607=BB$3),$O607,0)</f>
        <v>0</v>
      </c>
      <c r="BC607" s="202">
        <f>IF(AND($B607=" ",$K607=BC$3),$O607,0)</f>
        <v>0</v>
      </c>
      <c r="BD607" s="198">
        <f>IF(AND($B607=" ",$K607=BD$3),$O607,0)</f>
        <v>0</v>
      </c>
      <c r="BE607" s="199">
        <f>IF(AND($B607=" ",$K607=BE$3),$O607,0)</f>
        <v>0</v>
      </c>
      <c r="BF607" s="203">
        <f>IF($K607=BF$3,IF($C607="X",0,$O607),0)</f>
        <v>0</v>
      </c>
      <c r="BG607" s="198">
        <f>IF($K607=BG$3,IF($C607="X",0,$O607),0)</f>
        <v>5.1</v>
      </c>
      <c r="BH607" s="198">
        <f>IF($K607=BH$3,IF($C607="X",0,$O607),0)</f>
        <v>0</v>
      </c>
      <c r="BI607" s="198">
        <f>IF($K607=BI$3,IF($C607="X",0,$O607),0)</f>
        <v>0</v>
      </c>
      <c r="BJ607" s="198">
        <f>IF($K607=BJ$3,IF($C607="X",0,$O607),0)</f>
        <v>0</v>
      </c>
      <c r="BK607" s="198">
        <f>IF($K607=BK$3,IF($C607="X",0,$O607),0)</f>
        <v>0</v>
      </c>
      <c r="BL607" s="198">
        <f>IF($K607=BL$3,IF($C607="X",0,$O607),0)</f>
        <v>0</v>
      </c>
      <c r="BM607" s="200">
        <f>IF($K607=BM$3,IF($C607="X",0,$O607),0)</f>
        <v>0</v>
      </c>
      <c r="BN607" s="201">
        <f>IF($K607=BN$3,IF($C607="X",0,$O607),0)</f>
        <v>0</v>
      </c>
      <c r="BO607" s="201">
        <f>IF($K607=BO$3,IF($C607="X",0,$O607),0)</f>
        <v>0</v>
      </c>
      <c r="BP607" s="201">
        <f>IF($K607=BP$3,IF($C607="X",0,$O607),0)</f>
        <v>0</v>
      </c>
      <c r="BQ607" s="202">
        <f>IF($K607=BQ$3,IF($C607="X",0,$O607),0)</f>
        <v>0</v>
      </c>
      <c r="BR607" s="199">
        <f>IF($K607=BR$3,IF($C607="X",0,$O607),0)</f>
        <v>0</v>
      </c>
      <c r="BS607" s="204">
        <f>IF($B607="LOSS",IF(AND($K607=BS$3,$C607="L"),-$O607,0)+IF(AND($K608=BS$3,$C608="L"),-$O608,0)+IF(AND($K609=BS$3,$C609="L"),-$O609,0),IF(OR(AND($K607=BS$3,OR($C607="W",$C607="1/2W")),AND($K608=BS$3,OR($C608="W",$C608="1/2W")),AND($K609=BS$3,OR($C609="W",$C609="1/2W"))),$S607,0))</f>
        <v>0</v>
      </c>
      <c r="BT607" s="201">
        <f>IF($B607="LOSS",IF(AND($K607=BT$3,$C607="L"),-$O607,0)+IF(AND($K608=BT$3,$C608="L"),-$O608,0)+IF(AND($K608=BT$3,$C609="L"),-$O609,0),IF(OR(AND($K608=BT$3,OR($C607="W",$C607="1/2W")),AND($K608=BT$3,OR($C608="W",$C608="1/2W")),AND($K608=BT$3,OR($C609="W",$C609="1/2W"))),$S607,0))</f>
        <v>0</v>
      </c>
      <c r="BU607" s="201">
        <f>IF($B607="LOSS",IF(AND($K607=BU$3,$C607="L"),-$O607,0)+IF(AND($K608=BU$3,$C608="L"),-$O608,0)+IF(AND($K608=BU$3,$C609="L"),-$O609,0),IF(OR(AND($K608=BU$3,OR($C607="W",$C607="1/2W")),AND($K608=BU$3,OR($C608="W",$C608="1/2W")),AND($K608=BU$3,OR($C609="W",$C609="1/2W"))),$S607,0))</f>
        <v>0</v>
      </c>
      <c r="BV607" s="201">
        <f>IF($B607="LOSS",IF(AND($K607=BV$3,$C607="L"),-$O607,0)+IF(AND($K608=BV$3,$C608="L"),-$O608,0)+IF(AND($K609=BV$3,$C609="L"),-$O609,0),IF(OR(AND($K607=BV$3,OR($C607="W",$C607="1/2W")),AND($K608=BV$3,OR($C608="W",$C608="1/2W")),AND($K609=BV$3,OR($C609="W",$C609="1/2W"))),$S607,0))</f>
        <v>0</v>
      </c>
      <c r="BW607" s="201">
        <f>IF($B607="LOSS",IF(AND($K607=BW$3,$C607="L"),-$O607,0)+IF(AND($K608=BW$3,$C608="L"),-$O608,0)+IF(AND($K609=BW$3,$C609="L"),-$O609,0),IF(OR(AND($K607=BW$3,OR($C607="W",$C607="1/2W")),AND($K608=BW$3,OR($C608="W",$C608="1/2W")),AND($K609=BW$3,OR($C609="W",$C609="1/2W"))),$S607,0))</f>
        <v>0</v>
      </c>
      <c r="BX607" s="201">
        <f>IF($B607="LOSS",IF(AND($K607=BX$3,$C607="L"),-$O607,0)+IF(AND($K608=BX$3,$C608="L"),-$O608,0)+IF(AND($K609=BX$3,$C609="L"),-$O609,0),IF(OR(AND($K607=BX$3,OR($C607="W",$C607="1/2W")),AND($K608=BX$3,OR($C608="W",$C608="1/2W")),AND($K609=BX$3,OR($C609="W",$C609="1/2W"))),$S607,0))</f>
        <v>0</v>
      </c>
      <c r="BY607" s="201">
        <f>IF($B607="LOSS",IF(AND($K607=BY$3,$C607="L"),-$O607,0)+IF(AND($K608=BY$3,$C608="L"),-$O608,0)+IF(AND($K609=BY$3,$C609="L"),-$O609,0),IF(OR(AND($K607=BY$3,OR($C607="W",$C607="1/2W")),AND($K608=BY$3,OR($C608="W",$C608="1/2W")),AND($K609=BY$3,OR($C609="W",$C609="1/2W"))),$S607,0))</f>
        <v>0</v>
      </c>
      <c r="BZ607" s="205">
        <f>IF($B607="LOSS",IF(AND($K607=BZ$3,$C607="L"),-$O607,0)+IF(AND($K608=BZ$3,$C608="L"),-$O608,0)+IF(AND($K609=BZ$3,$C609="L"),-$O609,0),IF(OR(AND($K607=BZ$3,OR($C607="W",$C607="1/2W")),AND($K608=BZ$3,OR($C608="W",$C608="1/2W")),AND($K609=BZ$3,OR($C609="W",$C609="1/2W"))),$S607,0))</f>
        <v>0</v>
      </c>
      <c r="CA607" s="205">
        <f>IF($B607="LOSS",IF(AND($K607=CA$3,$C607="L"),-$O607,0)+IF(AND($K608=CA$3,$C608="L"),-$O608,0)+IF(AND($K609=CA$3,$C609="L"),-$O609,0),IF(OR(AND($K607=CA$3,OR($C607="W",$C607="1/2W")),AND($K608=CA$3,OR($C608="W",$C608="1/2W")),AND($K609=CA$3,OR($C609="W",$C609="1/2W"))),$S607,0))</f>
        <v>0</v>
      </c>
      <c r="CB607" s="205">
        <f>IF($B607="LOSS",IF(AND($K607=CB$3,$C607="L"),-$O607,0)+IF(AND($K608=CB$3,$C608="L"),-$O608,0)+IF(AND($K609=CB$3,$C609="L"),-$O609,0),IF(OR(AND($K607=CB$3,OR($C607="W",$C607="1/2W")),AND($K608=CB$3,OR($C608="W",$C608="1/2W")),AND($K609=CB$3,OR($C609="W",$C609="1/2W"))),$S607,0))</f>
        <v>0</v>
      </c>
      <c r="CC607" s="205">
        <f>IF($B607="LOSS",IF(AND($K607=CC$3,$C607="L"),-$O607,0)+IF(AND($K608=CC$3,$C608="L"),-$O608,0)+IF(AND($K609=CC$3,$C609="L"),-$O609,0),IF(OR(AND($K607=CC$3,OR($C607="W",$C607="1/2W")),AND($K608=CC$3,OR($C608="W",$C608="1/2W")),AND($K609=CC$3,OR($C609="W",$C609="1/2W"))),$S607,0))</f>
        <v>0</v>
      </c>
      <c r="CD607" s="202">
        <f>IF($B607="LOSS",IF(AND($K607=CD$3,$C607="L"),-$O607,0)+IF(AND($K608=CD$3,$C608="L"),-$O608,0)+IF(AND($K609=CD$3,$C609="L"),-$O609,0),IF(OR(AND($K607=CD$3,OR($C607="W",$C607="1/2W")),AND($K608=CD$3,OR($C608="W",$C608="1/2W")),AND($K609=CD$3,OR($C609="W",$C609="1/2W"))),$S607,0))</f>
        <v>0.66</v>
      </c>
      <c r="CE607" s="199">
        <f>IF($B607="LOSS",IF(AND($K607=CE$3,$C607="L"),-$O607,0)+IF(AND($K608=CE$3,$C608="L"),-$O608,0)+IF(AND($K609=CE$3,$C609="L"),-$O609,0),IF(OR(AND($K607=CE$3,OR($C607="W",$C607="1/2W")),AND($K608=CE$3,OR($C608="W",$C608="1/2W")),AND($K609=CE$3,OR($C609="W",$C609="1/2W"))),$S607,0))</f>
        <v>0</v>
      </c>
      <c r="CF607" s="206">
        <f>IF(CF$3=$K607,IF($C607="W",1,IF($C607="1/2W",0.5,0)),0)</f>
        <v>0</v>
      </c>
      <c r="CG607" s="207">
        <f>IF(CF$3=$K607,IF($C607="L",1,IF($C607="1/2L",0.5,0)),0)</f>
        <v>0</v>
      </c>
      <c r="CH607" s="207">
        <f>IF(CH$3=$K607,IF($C607="W",1,IF($C607="1/2W",0.5,0)),0)</f>
        <v>0</v>
      </c>
      <c r="CI607" s="207">
        <f>IF(CH$3=$K607,IF($C607="L",1,IF($C607="1/2L",0.5,0)),0)</f>
        <v>1</v>
      </c>
      <c r="CJ607" s="207">
        <f>IF(CJ$3=$K607,IF($C607="W",1,IF($C607="1/2W",0.5,0)),0)</f>
        <v>0</v>
      </c>
      <c r="CK607" s="207">
        <f>IF(CJ$3=$K607,IF($C607="L",1,IF($C607="1/2L",0.5,0)),0)</f>
        <v>0</v>
      </c>
      <c r="CL607" s="207">
        <f>IF(CL$3=$K607,IF($C607="W",1,IF($C607="1/2W",0.5,0)),0)</f>
        <v>0</v>
      </c>
      <c r="CM607" s="207">
        <f>IF(CL$3=$K607,IF($C607="L",1,IF($C607="1/2L",0.5,0)),0)</f>
        <v>0</v>
      </c>
      <c r="CN607" s="207">
        <f>IF(CN$3=$K607,IF($C607="W",1,IF($C607="1/2W",0.5,0)),0)</f>
        <v>0</v>
      </c>
      <c r="CO607" s="207">
        <f>IF(CN$3=$K607,IF($C607="L",1,IF($C607="1/2L",0.5,0)),0)</f>
        <v>0</v>
      </c>
      <c r="CP607" s="207">
        <f>IF(CP$3=$K607,IF($C607="W",1,IF($C607="1/2W",0.5,0)),0)</f>
        <v>0</v>
      </c>
      <c r="CQ607" s="207">
        <f>IF(CP$3=$K607,IF($C607="L",1,IF($C607="1/2L",0.5,0)),0)</f>
        <v>0</v>
      </c>
      <c r="CR607" s="207">
        <f>IF(CR$3=$K607,IF($C607="W",1,IF($C607="1/2W",0.5,0)),0)</f>
        <v>0</v>
      </c>
      <c r="CS607" s="207">
        <f>IF(CR$3=$K607,IF($C607="L",1,IF($C607="1/2L",0.5,0)),0)</f>
        <v>0</v>
      </c>
      <c r="CT607" s="208">
        <f>IF(CT$3=$K607,IF($C607="W",1,IF($C607="1/2W",0.5,0)),0)</f>
        <v>0</v>
      </c>
      <c r="CU607" s="209">
        <f>IF(CT$3=$K607,IF($C607="L",1,IF($C607="1/2L",0.5,0)),0)</f>
        <v>0</v>
      </c>
      <c r="CV607" s="209">
        <f>IF(CV$3=$K607,IF($C607="W",1,IF($C607="1/2W",0.5,0)),0)</f>
        <v>0</v>
      </c>
      <c r="CW607" s="209">
        <f>IF(CV$3=$K607,IF($C607="L",1,IF($C607="1/2L",0.5,0)),0)</f>
        <v>0</v>
      </c>
      <c r="CX607" s="209">
        <f>IF(CX$3=$K607,IF($C607="W",1,IF($C607="1/2W",0.5,0)),0)</f>
        <v>0</v>
      </c>
      <c r="CY607" s="209">
        <f>IF(CX$3=$K607,IF($C607="L",1,IF($C607="1/2L",0.5,0)),0)</f>
        <v>0</v>
      </c>
      <c r="CZ607" s="209">
        <f>IF(CZ$3=$K607,IF($C607="W",1,IF($C607="1/2W",0.5,0)),0)</f>
        <v>0</v>
      </c>
      <c r="DA607" s="209">
        <f>IF(CZ$3=$K607,IF($C607="L",1,IF($C607="1/2L",0.5,0)),0)</f>
        <v>0</v>
      </c>
      <c r="DB607" s="209">
        <f>IF(DB$3=$K607,IF($C607="W",1,IF($C607="1/2W",0.5,0)),0)</f>
        <v>0</v>
      </c>
      <c r="DC607" s="209">
        <f>IF(DB$3=$K607,IF($C607="L",1,IF($C607="1/2L",0.5,0)),0)</f>
        <v>0</v>
      </c>
      <c r="DD607" s="209">
        <f>IF(DD$3=$K607,IF($C607="W",1,IF($C607="1/2W",0.5,0)),0)</f>
        <v>0</v>
      </c>
      <c r="DE607" s="210">
        <f>IF(DD$3=$K607,IF($C607="L",1,IF($C607="1/2L",0.5,0)),0)</f>
        <v>0</v>
      </c>
      <c r="DF607" s="211">
        <f>IF(AND(L607&lt;DF$3,$C607="W"),1+DF606,DF606)</f>
        <v>17</v>
      </c>
      <c r="DG607" s="198">
        <f>IF(DF607&gt;DF606,L607+DG606,DG606)</f>
        <v>22.628</v>
      </c>
      <c r="DH607" s="209">
        <f>IF(AND(L607&gt;DH$3,$C607="W"),1+DH606,0+DH606)</f>
        <v>16</v>
      </c>
      <c r="DI607" s="198">
        <f>IF(DH607&gt;DH606,L607+DI606,DI606)</f>
        <v>85.45999999999999</v>
      </c>
      <c r="DJ607" t="s" s="306">
        <f>IF($D607="","",$D607)</f>
        <v>431</v>
      </c>
      <c r="DK607" s="209">
        <f>IF(AND($B607=" ",$D607&lt;&gt;""),1,0)</f>
        <v>0</v>
      </c>
    </row>
    <row r="608" ht="14.55" customHeight="1">
      <c r="A608" s="107"/>
      <c r="B608" s="108"/>
      <c r="C608" t="s" s="213">
        <v>56</v>
      </c>
      <c r="D608" s="110"/>
      <c r="E608" s="111"/>
      <c r="F608" s="113"/>
      <c r="G608" s="214"/>
      <c r="H608" s="114"/>
      <c r="I608" t="s" s="215">
        <v>67</v>
      </c>
      <c r="J608" s="296">
        <f>IF(OR(I607="TO",I607="TU",I607="TO1",I607="TU1",I607="TO2",I607="TU2"),J607,IF(OR(I607="AH1",I607="AH2"),IF(OR(I608="AH1",I608="AH2"),-J607,IF(OR(I608="EH1",I608="EH2"),-J607+0.5,"")),IF(OR(I607="EH1",I607="EH2"),IF(OR(I608="AH1",I608="AH2"),-J607+0.5,IF(OR(I608="EH1",I608="EH2"),-J607+1,"")),IF(AND(OR(I607="DNB1",I607="DNB2"),OR(I608="AH1",I608="AH2")),0,IF(AND(I607="Not ScoreBoth",OR(I608="TO1",I608="TO2")),0.5,"")))))</f>
        <v>4.5</v>
      </c>
      <c r="K608" t="s" s="217">
        <v>48</v>
      </c>
      <c r="L608" s="218">
        <v>1.72</v>
      </c>
      <c r="M608" s="219"/>
      <c r="N608" s="120"/>
      <c r="O608" s="220">
        <f>IF(OR(AE607="",AE608=""),"",ROUND(IF(L609&gt;0,IF(M608&gt;0,M608,IF(M607&gt;0,IF(N607=TRUE,ROUND((M607*AE608)/AE607,0),(M607*AE608)/AE607),IF(M608&gt;0,ROUND(M608,IF(N607=0,2,IF(N607=0.1,1,0))),IF(M609&gt;0,ROUND(O609*AE608/AE609,IF(N607=0,2,IF(N607=0.1,1,0))),0)))),IF(M608&gt;0,M608,ROUND((M607*AE608)/AE607,IF(N607=0,2,IF(N607=0.1,1,0))))),2))</f>
        <v>8</v>
      </c>
      <c r="P608" s="221">
        <f>IF(OR(L608="",O608=""),"",IF($C608="1/2W",O608/2+O608/2*L608,IF($C608="1/2L",O608/2,IF(I608="Lay",((O608*(L608/(L608-1)))-O608)*(1-_xlfn.XLOOKUP(K608,'Janeiro 2023 - Valor Real'!A3:A15,'Janeiro 2023 - Valor Real'!C3:C15,0))+O608,(O608*L608-O608)*(1-_xlfn.XLOOKUP(K608,'Janeiro 2023 - Valor Real'!A3:A15,'Janeiro 2023 - Valor Real'!C3:C15,0))+O608))))</f>
        <v>13.76</v>
      </c>
      <c r="Q608" s="222">
        <f>IF(K608="","",IF(_xlfn.XLOOKUP(K608,K$123:K381,DJ$123:DJ381,0,,-1)=DJ608,_xlfn.XLOOKUP(K608,K$123:K381,Q$123:Q381,1,,-1)+1,1))</f>
        <v>1</v>
      </c>
      <c r="R608" s="223">
        <f>IF(K608="","",_xlfn.XLOOKUP(K608,K$123:K381,R$123:R381,0,,-1)+IF($C608=" ",1,0))</f>
        <v>0</v>
      </c>
      <c r="S608" s="125"/>
      <c r="T608" s="126"/>
      <c r="U608" s="126"/>
      <c r="V608" s="224"/>
      <c r="W608" s="126"/>
      <c r="X608" s="127"/>
      <c r="Y608" s="128"/>
      <c r="Z608" s="129"/>
      <c r="AA608" s="129"/>
      <c r="AB608" s="129"/>
      <c r="AC608" s="129"/>
      <c r="AD608" s="225">
        <f>(((L608/(L608-1)-1)*(1-_xlfn.XLOOKUP(K608,'Janeiro 2023 - Valor Real'!A3:A15,'Janeiro 2023 - Valor Real'!C3:C15,0))+1))</f>
        <v>2.38888888888889</v>
      </c>
      <c r="AE608" s="226">
        <f>IF(L608="","",IF(L609&gt;0,(SUM(((L607-1)*(1-_xlfn.XLOOKUP(K607,'Janeiro 2023 - Valor Real'!A3:A15,'Janeiro 2023 - Valor Real'!C3:C15,0))+1),((L608-1)*(1-_xlfn.XLOOKUP(K608,'Janeiro 2023 - Valor Real'!A3:A15,'Janeiro 2023 - Valor Real'!C3:C15,0))+1),((L609-1)*(1-_xlfn.XLOOKUP(K609,'Janeiro 2023 - Valor Real'!A3:A15,'Janeiro 2023 - Valor Real'!C3:C15,0))+1))/((L608-1)*(1-_xlfn.XLOOKUP(K608,'Janeiro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Real'!C3:C15,0))+1))/((L607-1)*(1-_xlfn.XLOOKUP(K607,'Janeiro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Real'!C3:C15,0))+1))/((L608-1)*(1-_xlfn.XLOOKUP(K608,'Janeiro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Real'!C3:C15,0))+1))/((L609-1)*(1-_xlfn.XLOOKUP(K609,'Janeiro 2023 - Valor Real'!A3:A15,'Janeiro 2023 - Valor Real'!C3:C15,0))+1)),IF(I608="Lay",IF(I607="Lay",((L607/(L607-1)-1)*(1-_xlfn.XLOOKUP(K607,'Janeiro 2023 - Valor Real'!A3:A15,'Janeiro 2023 - Valor Real'!C3:C15,0))+1)/(((L607/(L607-1)-1)*(1-_xlfn.XLOOKUP(K607,'Janeiro 2023 - Valor Real'!A3:A15,'Janeiro 2023 - Valor Real'!C3:C15,0))+1)+((L608/(L608-1)-1)*(1-_xlfn.XLOOKUP(K608,'Janeiro 2023 - Valor Real'!A3:A15,'Janeiro 2023 - Valor Real'!C3:C15,0))+1)),((L607-1)*(1-_xlfn.XLOOKUP(K607,'Janeiro 2023 - Valor Real'!A3:A15,'Janeiro 2023 - Valor Real'!C3:C15,0))+1)/(((L607-1)*(1-_xlfn.XLOOKUP(K607,'Janeiro 2023 - Valor Real'!A3:A15,'Janeiro 2023 - Valor Real'!C3:C15,0))+1)+((L608/(L608-1)-1)*(1-_xlfn.XLOOKUP(K608,'Janeiro 2023 - Valor Real'!A3:A15,'Janeiro 2023 - Valor Real'!C3:C15,0))+1))),IF(I607="Lay",((L607/(L607-1)-1)*(1-_xlfn.XLOOKUP(K607,'Janeiro 2023 - Valor Real'!A3:A15,'Janeiro 2023 - Valor Real'!C3:C15,0))+1)/((((L607/(L607-1)-1)*(1-_xlfn.XLOOKUP(K607,'Janeiro 2023 - Valor Real'!A3:A15,'Janeiro 2023 - Valor Real'!C3:C15,0))+1))+((L608-1)*(1-_xlfn.XLOOKUP(K608,'Janeiro 2023 - Valor Real'!A3:A15,'Janeiro 2023 - Valor Real'!C3:C15,0))+1)),((L607-1)*(1-_xlfn.XLOOKUP(K607,'Janeiro 2023 - Valor Real'!A3:A15,'Janeiro 2023 - Valor Real'!C3:C15,0))+1)/(((L607-1)*(1-_xlfn.XLOOKUP(K607,'Janeiro 2023 - Valor Real'!A3:A15,'Janeiro 2023 - Valor Real'!C3:C15,0))+1)+((L608-1)*(1-_xlfn.XLOOKUP(K608,'Janeiro 2023 - Valor Real'!A3:A15,'Janeiro 2023 - Valor Real'!C3:C15,0))+1))))))</f>
        <v>0.610859728506787</v>
      </c>
      <c r="AF608" s="197">
        <f>IF($K608=AF$3,ROUND(IF(OR($C608="W",$C608="1/2W",$C608="1/2L"),$P608-$O608,IF($C608="X",0,-$O608)),2),0)</f>
        <v>0</v>
      </c>
      <c r="AG608" s="198">
        <f>IF($K608=AG$3,ROUND(IF(OR($C608="W",$C608="1/2W",$C608="1/2L"),$P608-$O608,IF($C608="X",0,-$O608)),2),0)</f>
        <v>0</v>
      </c>
      <c r="AH608" s="198">
        <f>IF($K608=AH$3,ROUND(IF(OR($C608="W",$C608="1/2W",$C608="1/2L"),$P608-$O608,IF($C608="X",0,-$O608)),2),0)</f>
        <v>0</v>
      </c>
      <c r="AI608" s="198">
        <f>IF($K608=AI$3,ROUND(IF(OR($C608="W",$C608="1/2W",$C608="1/2L"),$P608-$O608,IF($C608="X",0,-$O608)),2),0)</f>
        <v>0</v>
      </c>
      <c r="AJ608" s="198">
        <f>IF($K608=AJ$3,ROUND(IF(OR($C608="W",$C608="1/2W",$C608="1/2L"),$P608-$O608,IF($C608="X",0,-$O608)),2),0)</f>
        <v>0</v>
      </c>
      <c r="AK608" s="198">
        <f>IF($K608=AK$3,ROUND(IF(OR($C608="W",$C608="1/2W",$C608="1/2L"),$P608-$O608,IF($C608="X",0,-$O608)),2),0)</f>
        <v>0</v>
      </c>
      <c r="AL608" s="198">
        <f>IF($K608=AL$3,ROUND(IF(OR($C608="W",$C608="1/2W",$C608="1/2L"),$P608-$O608,IF($C608="X",0,-$O608)),2),0)</f>
        <v>0</v>
      </c>
      <c r="AM608" s="198">
        <f>IF($K608=AM$3,ROUND(IF(OR($C608="W",$C608="1/2W",$C608="1/2L"),$P608-$O608,IF($C608="X",0,-$O608)),2),0)</f>
        <v>0</v>
      </c>
      <c r="AN608" s="198">
        <f>IF($K608=AN$3,ROUND(IF(OR($C608="W",$C608="1/2W",$C608="1/2L"),$P608-$O608,IF($C608="X",0,-$O608)),2),0)</f>
        <v>0</v>
      </c>
      <c r="AO608" s="198">
        <f>IF($K608=AO$3,ROUND(IF(OR($C608="W",$C608="1/2W",$C608="1/2L"),$P608-$O608,IF($C608="X",0,-$O608)),2),0)</f>
        <v>0</v>
      </c>
      <c r="AP608" s="198">
        <f>IF($K608=AP$3,ROUND(IF(OR($C608="W",$C608="1/2W",$C608="1/2L"),$P608-$O608,IF($C608="X",0,-$O608)),2),0)</f>
        <v>0</v>
      </c>
      <c r="AQ608" s="198">
        <f>IF($K608=AQ$3,ROUND(IF(OR($C608="W",$C608="1/2W",$C608="1/2L"),$P608-$O608,IF($C608="X",0,-$O608)),2),0)</f>
        <v>5.76</v>
      </c>
      <c r="AR608" s="199">
        <f>IF($K608=AR$3,ROUND(IF(OR($C608="W",$C608="1/2W",$C608="1/2L"),$P608-$O608,IF($C608="X",0,-$O608)),2),0)</f>
        <v>0</v>
      </c>
      <c r="AS608" s="197">
        <f>IF(AND($B607=" ",$K608=AS$3),$O608,0)</f>
        <v>0</v>
      </c>
      <c r="AT608" s="198">
        <f>IF(AND($B607=" ",K608=AT$3),$O608,0)</f>
        <v>0</v>
      </c>
      <c r="AU608" s="198">
        <f>IF(AND($B607=" ",$K608=AU$3),$O608,0)</f>
        <v>0</v>
      </c>
      <c r="AV608" s="198">
        <f>IF(AND($B607=" ",$K608=AV$3),$O608,0)</f>
        <v>0</v>
      </c>
      <c r="AW608" s="198">
        <f>IF(AND($B607=" ",$K608=AW$3),$O608,0)</f>
        <v>0</v>
      </c>
      <c r="AX608" s="198">
        <f>IF(AND($B607=" ",$K608=AX$3),$O608,0)</f>
        <v>0</v>
      </c>
      <c r="AY608" s="200">
        <f>IF(AND($B607=" ",$K608=AY$3),$O608,0)</f>
        <v>0</v>
      </c>
      <c r="AZ608" s="201">
        <f>IF(AND($B607=" ",$K608=AZ$3),$O608,0)</f>
        <v>0</v>
      </c>
      <c r="BA608" s="201">
        <f>IF(AND($B607=" ",$K608=BA$3),$O608,0)</f>
        <v>0</v>
      </c>
      <c r="BB608" s="201">
        <f>IF(AND($B607=" ",$K608=BB$3),$O608,0)</f>
        <v>0</v>
      </c>
      <c r="BC608" s="202">
        <f>IF(AND($B607=" ",$K608=BC$3),$O608,0)</f>
        <v>0</v>
      </c>
      <c r="BD608" s="198">
        <f>IF(AND($B607=" ",$K608=BD$3),$O608,0)</f>
        <v>0</v>
      </c>
      <c r="BE608" s="199">
        <f>IF(AND($B607=" ",$K608=BE$3),$O608,0)</f>
        <v>0</v>
      </c>
      <c r="BF608" s="197">
        <f>IF($K608=BF$3,IF($C608="X",0,$O608),0)</f>
        <v>0</v>
      </c>
      <c r="BG608" s="198">
        <f>IF($K608=BG$3,IF($C608="X",0,$O608),0)</f>
        <v>0</v>
      </c>
      <c r="BH608" s="198">
        <f>IF($K608=BH$3,IF($C608="X",0,$O608),0)</f>
        <v>0</v>
      </c>
      <c r="BI608" s="198">
        <f>IF($K608=BI$3,IF($C608="X",0,$O608),0)</f>
        <v>0</v>
      </c>
      <c r="BJ608" s="198">
        <f>IF($K608=BJ$3,IF($C608="X",0,$O608),0)</f>
        <v>0</v>
      </c>
      <c r="BK608" s="198">
        <f>IF($K608=BK$3,IF($C608="X",0,$O608),0)</f>
        <v>0</v>
      </c>
      <c r="BL608" s="198">
        <f>IF($K608=BL$3,IF($C608="X",0,$O608),0)</f>
        <v>0</v>
      </c>
      <c r="BM608" s="227">
        <f>IF($K608=BM$3,IF($C608="X",0,$O608),0)</f>
        <v>0</v>
      </c>
      <c r="BN608" s="205">
        <f>IF($K608=BN$3,IF($C608="X",0,$O608),0)</f>
        <v>0</v>
      </c>
      <c r="BO608" s="205">
        <f>IF($K608=BO$3,IF($C608="X",0,$O608),0)</f>
        <v>0</v>
      </c>
      <c r="BP608" s="205">
        <f>IF($K608=BP$3,IF($C608="X",0,$O608),0)</f>
        <v>0</v>
      </c>
      <c r="BQ608" s="202">
        <f>IF($K608=BQ$3,IF($C608="X",0,$O608),0)</f>
        <v>8</v>
      </c>
      <c r="BR608" s="199">
        <f>IF($K608=BR$3,IF($C608="X",0,$O608),0)</f>
        <v>0</v>
      </c>
      <c r="BS608" s="228"/>
      <c r="BT608" s="229"/>
      <c r="BU608" s="140"/>
      <c r="BV608" s="229"/>
      <c r="BW608" s="140"/>
      <c r="BX608" s="140"/>
      <c r="BY608" s="140"/>
      <c r="BZ608" s="229"/>
      <c r="CA608" s="140"/>
      <c r="CB608" s="140"/>
      <c r="CC608" s="140"/>
      <c r="CD608" s="141"/>
      <c r="CE608" s="142"/>
      <c r="CF608" s="230">
        <f>IF(CF$3=$K608,IF($C608="W",1,IF($C608="1/2W",0.5,0)),0)</f>
        <v>0</v>
      </c>
      <c r="CG608" s="231">
        <f>IF(CF$3=$K608,IF($C608="L",1,IF($C608="1/2L",0.5,0)),0)</f>
        <v>0</v>
      </c>
      <c r="CH608" s="231">
        <f>IF(CH$3=$K608,IF($C608="W",1,IF($C608="1/2W",0.5,0)),0)</f>
        <v>0</v>
      </c>
      <c r="CI608" s="231">
        <f>IF(CH$3=$K608,IF($C608="L",1,IF($C608="1/2L",0.5,0)),0)</f>
        <v>0</v>
      </c>
      <c r="CJ608" s="231">
        <f>IF(CJ$3=$K608,IF($C608="W",1,IF($C608="1/2W",0.5,0)),0)</f>
        <v>0</v>
      </c>
      <c r="CK608" s="231">
        <f>IF(CJ$3=$K608,IF($C608="L",1,IF($C608="1/2L",0.5,0)),0)</f>
        <v>0</v>
      </c>
      <c r="CL608" s="231">
        <f>IF(CL$3=$K608,IF($C608="W",1,IF($C608="1/2W",0.5,0)),0)</f>
        <v>0</v>
      </c>
      <c r="CM608" s="231">
        <f>IF(CL$3=$K608,IF($C608="L",1,IF($C608="1/2L",0.5,0)),0)</f>
        <v>0</v>
      </c>
      <c r="CN608" s="231">
        <f>IF(CN$3=$K608,IF($C608="W",1,IF($C608="1/2W",0.5,0)),0)</f>
        <v>0</v>
      </c>
      <c r="CO608" s="231">
        <f>IF(CN$3=$K608,IF($C608="L",1,IF($C608="1/2L",0.5,0)),0)</f>
        <v>0</v>
      </c>
      <c r="CP608" s="231">
        <f>IF(CP$3=$K608,IF($C608="W",1,IF($C608="1/2W",0.5,0)),0)</f>
        <v>0</v>
      </c>
      <c r="CQ608" s="231">
        <f>IF(CP$3=$K608,IF($C608="L",1,IF($C608="1/2L",0.5,0)),0)</f>
        <v>0</v>
      </c>
      <c r="CR608" s="231">
        <f>IF(CR$3=$K608,IF($C608="W",1,IF($C608="1/2W",0.5,0)),0)</f>
        <v>0</v>
      </c>
      <c r="CS608" s="231">
        <f>IF(CR$3=$K608,IF($C608="L",1,IF($C608="1/2L",0.5,0)),0)</f>
        <v>0</v>
      </c>
      <c r="CT608" s="208">
        <f>IF(CT$3=$K608,IF($C608="W",1,IF($C608="1/2W",0.5,0)),0)</f>
        <v>0</v>
      </c>
      <c r="CU608" s="209">
        <f>IF(CT$3=$K608,IF($C608="L",1,IF($C608="1/2L",0.5,0)),0)</f>
        <v>0</v>
      </c>
      <c r="CV608" s="209">
        <f>IF(CV$3=$K608,IF($C608="W",1,IF($C608="1/2W",0.5,0)),0)</f>
        <v>0</v>
      </c>
      <c r="CW608" s="209">
        <f>IF(CV$3=$K608,IF($C608="L",1,IF($C608="1/2L",0.5,0)),0)</f>
        <v>0</v>
      </c>
      <c r="CX608" s="209">
        <f>IF(CX$3=$K608,IF($C608="W",1,IF($C608="1/2W",0.5,0)),0)</f>
        <v>0</v>
      </c>
      <c r="CY608" s="209">
        <f>IF(CX$3=$K608,IF($C608="L",1,IF($C608="1/2L",0.5,0)),0)</f>
        <v>0</v>
      </c>
      <c r="CZ608" s="209">
        <f>IF(CZ$3=$K608,IF($C608="W",1,IF($C608="1/2W",0.5,0)),0)</f>
        <v>0</v>
      </c>
      <c r="DA608" s="209">
        <f>IF(CZ$3=$K608,IF($C608="L",1,IF($C608="1/2L",0.5,0)),0)</f>
        <v>0</v>
      </c>
      <c r="DB608" s="209">
        <f>IF(DB$3=$K608,IF($C608="W",1,IF($C608="1/2W",0.5,0)),0)</f>
        <v>1</v>
      </c>
      <c r="DC608" s="209">
        <f>IF(DB$3=$K608,IF($C608="L",1,IF($C608="1/2L",0.5,0)),0)</f>
        <v>0</v>
      </c>
      <c r="DD608" s="209">
        <f>IF(DD$3=$K608,IF($C608="W",1,IF($C608="1/2W",0.5,0)),0)</f>
        <v>0</v>
      </c>
      <c r="DE608" s="210">
        <f>IF(DD$3=$K608,IF($C608="L",1,IF($C608="1/2L",0.5,0)),0)</f>
        <v>0</v>
      </c>
      <c r="DF608" s="211">
        <f>IF(AND(L608&lt;DF$3,$C608="W"),1+DF607,DF607)</f>
        <v>17</v>
      </c>
      <c r="DG608" s="198">
        <f>IF(DF608&gt;DF607,L608+DG607,DG607)</f>
        <v>22.628</v>
      </c>
      <c r="DH608" s="209">
        <f>IF(AND(L608&gt;DH$3,$C608="W"),1+DH607,0+DH607)</f>
        <v>16</v>
      </c>
      <c r="DI608" s="198">
        <f>IF(DH608&gt;DH607,L608+DI607,DI607)</f>
        <v>85.45999999999999</v>
      </c>
      <c r="DJ608" t="s" s="306">
        <f>IF($D607="","",$D607)</f>
        <v>431</v>
      </c>
      <c r="DK608" s="232"/>
    </row>
    <row r="609" ht="14.55" customHeight="1">
      <c r="A609" s="149"/>
      <c r="B609" s="150"/>
      <c r="C609" t="s" s="233">
        <v>58</v>
      </c>
      <c r="D609" s="152"/>
      <c r="E609" s="153"/>
      <c r="F609" s="155"/>
      <c r="G609" s="234"/>
      <c r="H609" s="156"/>
      <c r="I609" s="235"/>
      <c r="J609" s="236"/>
      <c r="K609" s="237"/>
      <c r="L609" s="238"/>
      <c r="M609" s="239"/>
      <c r="N609" s="161"/>
      <c r="O609" t="s" s="240">
        <f>IF(OR(AE607="",AE608=""),"",IF(L609&gt;0,ROUND(IF(M609&gt;0,M609,IF(M607&gt;0,ROUND((M607*AE609)/AE607,IF(N607=0,2,IF(N607=0.1,1,0))),IF(M608&gt;0,ROUND((M608*AE609)/AE608,IF(N607=0,2,IF(N607=0.1,1,0))),IF(M609&gt;0,M609,0)))),2),""))</f>
      </c>
      <c r="P609" t="s" s="241">
        <f>IF(I608="Lay",O608*(L608/(L608-1))-O608,IF(I607="Lay",O607*(L607/(L607-1))-O607,IF(OR(L609="",O609=""),"",IF($C609="1/2W",O609/2+O609/2*L609,IF($C609="1/2L",O609/2,(O609*L609-O609)*(1-_xlfn.XLOOKUP(K609,'Janeiro 2023 - Valor Real'!A3:A15,'Janeiro 2023 - Valor Real'!C3:C15,0))+O609)))))</f>
      </c>
      <c r="Q609" t="s" s="242">
        <f>IF(K609="","",IF(_xlfn.XLOOKUP(K609,K$124:K382,DJ$124:DJ382,0,,-1)=DJ609,_xlfn.XLOOKUP(K609,K$124:K382,Q$124:Q382,1,,-1)+1,1))</f>
      </c>
      <c r="R609" t="s" s="243">
        <f>IF(K609="","",_xlfn.XLOOKUP(K609,K$124:K382,R$124:R382,0,,-1)+IF($C609=" ",1,0))</f>
      </c>
      <c r="S609" s="166"/>
      <c r="T609" s="155"/>
      <c r="U609" s="155"/>
      <c r="V609" s="166"/>
      <c r="W609" s="155"/>
      <c r="X609" s="167"/>
      <c r="Y609" s="128"/>
      <c r="Z609" s="129"/>
      <c r="AA609" s="129"/>
      <c r="AB609" s="129"/>
      <c r="AC609" s="129"/>
      <c r="AD609" s="244">
        <f>((L608/(L608-1)-1))</f>
        <v>1.38888888888889</v>
      </c>
      <c r="AE609" t="s" s="245">
        <f>IF(L609="","",(SUM(((L607-1)*(1-_xlfn.XLOOKUP(K607,'Janeiro 2023 - Valor Real'!A3:A15,'Janeiro 2023 - Valor Real'!C3:C15,0))+1),((L608-1)*(1-_xlfn.XLOOKUP(K608,'Janeiro 2023 - Valor Real'!A3:A15,'Janeiro 2023 - Valor Real'!C3:C15,0))+1),((L609-1)*(1-_xlfn.XLOOKUP(K609,'Janeiro 2023 - Valor Real'!A3:A15,'Janeiro 2023 - Valor Real'!C3:C15,0))+1))/((L609-1)*(1-_xlfn.XLOOKUP(K609,'Janeiro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Real'!C3:C15,0))+1))/((L607-1)*(1-_xlfn.XLOOKUP(K607,'Janeiro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Real'!C3:C15,0))+1))/((L608-1)*(1-_xlfn.XLOOKUP(K608,'Janeiro 2023 - Valor Real'!A3:A15,'Janeiro 2023 - Valor Real'!C3:C15,0))+1)+SUM(((L607-1)*(1-_xlfn.XLOOKUP(K607,'Janeiro 2023 - Valor Real'!A3:A15,'Janeiro 2023 - Valor Real'!C3:C15,0))+1),((L608-1)*(1-_xlfn.XLOOKUP(K608,'Janeiro 2023 - Valor Real'!A3:A15,'Janeiro 2023 - Valor Real'!C3:C15,0))+1),((L609-1)*(1-_xlfn.XLOOKUP(K609,'Janeiro 2023 - Valor Real'!A3:A15,'Janeiro 2023 - Valor Real'!C3:C15,0))+1))/((L609-1)*(1-_xlfn.XLOOKUP(K609,'Janeiro 2023 - Valor Real'!A3:A15,'Janeiro 2023 - Valor Real'!C3:C15,0))+1)))</f>
      </c>
      <c r="AF609" s="197">
        <f>IF($K609=AF$3,ROUND(IF(OR($C609="W",$C609="1/2W",$C609="1/2L"),$P609-$O609,IF($C609="X",0,-$O609)),2),0)</f>
        <v>0</v>
      </c>
      <c r="AG609" s="198">
        <f>IF($K609=AG$3,ROUND(IF(OR($C609="W",$C609="1/2W",$C609="1/2L"),$P609-$O609,IF($C609="X",0,-$O609)),2),0)</f>
        <v>0</v>
      </c>
      <c r="AH609" s="198">
        <f>IF($K609=AH$3,ROUND(IF(OR($C609="W",$C609="1/2W",$C609="1/2L"),$P609-$O609,IF($C609="X",0,-$O609)),2),0)</f>
        <v>0</v>
      </c>
      <c r="AI609" s="198">
        <f>IF($K609=AI$3,ROUND(IF(OR($C609="W",$C609="1/2W",$C609="1/2L"),$P609-$O609,IF($C609="X",0,-$O609)),2),0)</f>
        <v>0</v>
      </c>
      <c r="AJ609" s="198">
        <f>IF($K609=AJ$3,ROUND(IF(OR($C609="W",$C609="1/2W",$C609="1/2L"),$P609-$O609,IF($C609="X",0,-$O609)),2),0)</f>
        <v>0</v>
      </c>
      <c r="AK609" s="198">
        <f>IF($K609=AK$3,ROUND(IF(OR($C609="W",$C609="1/2W",$C609="1/2L"),$P609-$O609,IF($C609="X",0,-$O609)),2),0)</f>
        <v>0</v>
      </c>
      <c r="AL609" s="198">
        <f>IF($K609=AL$3,ROUND(IF(OR($C609="W",$C609="1/2W",$C609="1/2L"),$P609-$O609,IF($C609="X",0,-$O609)),2),0)</f>
        <v>0</v>
      </c>
      <c r="AM609" s="198">
        <f>IF($K609=AM$3,ROUND(IF(OR($C609="W",$C609="1/2W",$C609="1/2L"),$P609-$O609,IF($C609="X",0,-$O609)),2),0)</f>
        <v>0</v>
      </c>
      <c r="AN609" s="198">
        <f>IF($K609=AN$3,ROUND(IF(OR($C609="W",$C609="1/2W",$C609="1/2L"),$P609-$O609,IF($C609="X",0,-$O609)),2),0)</f>
        <v>0</v>
      </c>
      <c r="AO609" s="198">
        <f>IF($K609=AO$3,ROUND(IF(OR($C609="W",$C609="1/2W",$C609="1/2L"),$P609-$O609,IF($C609="X",0,-$O609)),2),0)</f>
        <v>0</v>
      </c>
      <c r="AP609" s="198">
        <f>IF($K609=AP$3,ROUND(IF(OR($C609="W",$C609="1/2W",$C609="1/2L"),$P609-$O609,IF($C609="X",0,-$O609)),2),0)</f>
        <v>0</v>
      </c>
      <c r="AQ609" s="198">
        <f>IF($K609=AQ$3,ROUND(IF(OR($C609="W",$C609="1/2W",$C609="1/2L"),$P609-$O609,IF($C609="X",0,-$O609)),2),0)</f>
        <v>0</v>
      </c>
      <c r="AR609" s="199">
        <f>IF($K609=AR$3,ROUND(IF(OR($C609="W",$C609="1/2W",$C609="1/2L"),$P609-$O609,IF($C609="X",0,-$O609)),2),0)</f>
        <v>0</v>
      </c>
      <c r="AS609" s="197">
        <f>IF(AND($B607=" ",$K609=AS$3),$O609,0)</f>
        <v>0</v>
      </c>
      <c r="AT609" s="198">
        <f>IF(AND($B607=" ",K609=AT$3),$O609,0)</f>
        <v>0</v>
      </c>
      <c r="AU609" s="198">
        <f>IF(AND($B607=" ",$K609=AU$3),$O609,0)</f>
        <v>0</v>
      </c>
      <c r="AV609" s="198">
        <f>IF(AND($B607=" ",$K609=AV$3),$O609,0)</f>
        <v>0</v>
      </c>
      <c r="AW609" s="198">
        <f>IF(AND($B607=" ",$K609=AW$3),$O609,0)</f>
        <v>0</v>
      </c>
      <c r="AX609" s="198">
        <f>IF(AND($B607=" ",$K609=AX$3),$O609,0)</f>
        <v>0</v>
      </c>
      <c r="AY609" s="200">
        <f>IF(AND($B607=" ",$K609=AY$3),$O609,0)</f>
        <v>0</v>
      </c>
      <c r="AZ609" s="201">
        <f>IF(AND($B607=" ",$K609=AZ$3),$O609,0)</f>
        <v>0</v>
      </c>
      <c r="BA609" s="201">
        <f>IF(AND($B607=" ",$K609=BA$3),$O609,0)</f>
        <v>0</v>
      </c>
      <c r="BB609" s="201">
        <f>IF(AND($B607=" ",$K609=BB$3),$O609,0)</f>
        <v>0</v>
      </c>
      <c r="BC609" s="202">
        <f>IF(AND($B607=" ",$K609=BC$3),$O609,0)</f>
        <v>0</v>
      </c>
      <c r="BD609" s="198">
        <f>IF(AND($B607=" ",$K609=BD$3),$O609,0)</f>
        <v>0</v>
      </c>
      <c r="BE609" s="199">
        <f>IF(AND($B607=" ",$K609=BE$3),$O609,0)</f>
        <v>0</v>
      </c>
      <c r="BF609" s="197">
        <f>IF($K609=BF$3,IF($C609="X",0,$O609),0)</f>
        <v>0</v>
      </c>
      <c r="BG609" s="198">
        <f>IF($K609=BG$3,IF($C609="X",0,$O609),0)</f>
        <v>0</v>
      </c>
      <c r="BH609" s="198">
        <f>IF($K609=BH$3,IF($C609="X",0,$O609),0)</f>
        <v>0</v>
      </c>
      <c r="BI609" s="198">
        <f>IF($K609=BI$3,IF($C609="X",0,$O609),0)</f>
        <v>0</v>
      </c>
      <c r="BJ609" s="198">
        <f>IF($K609=BJ$3,IF($C609="X",0,$O609),0)</f>
        <v>0</v>
      </c>
      <c r="BK609" s="198">
        <f>IF($K609=BK$3,IF($C609="X",0,$O609),0)</f>
        <v>0</v>
      </c>
      <c r="BL609" s="198">
        <f>IF($K609=BL$3,IF($C609="X",0,$O609),0)</f>
        <v>0</v>
      </c>
      <c r="BM609" s="200">
        <f>IF($K609=BM$3,IF($C609="X",0,$O609),0)</f>
        <v>0</v>
      </c>
      <c r="BN609" s="201">
        <f>IF($K609=BN$3,IF($C609="X",0,$O609),0)</f>
        <v>0</v>
      </c>
      <c r="BO609" s="201">
        <f>IF($K609=BO$3,IF($C609="X",0,$O609),0)</f>
        <v>0</v>
      </c>
      <c r="BP609" s="201">
        <f>IF($K609=BP$3,IF($C609="X",0,$O609),0)</f>
        <v>0</v>
      </c>
      <c r="BQ609" s="202">
        <f>IF($K609=BQ$3,IF($C609="X",0,$O609),0)</f>
        <v>0</v>
      </c>
      <c r="BR609" s="199">
        <f>IF($K609=BR$3,IF($C609="X",0,$O609),0)</f>
        <v>0</v>
      </c>
      <c r="BS609" s="228"/>
      <c r="BT609" s="229"/>
      <c r="BU609" s="140"/>
      <c r="BV609" s="229"/>
      <c r="BW609" s="140"/>
      <c r="BX609" s="140"/>
      <c r="BY609" s="140"/>
      <c r="BZ609" s="229"/>
      <c r="CA609" s="140"/>
      <c r="CB609" s="140"/>
      <c r="CC609" s="140"/>
      <c r="CD609" s="141"/>
      <c r="CE609" s="142"/>
      <c r="CF609" s="230">
        <f>IF(CF$3=$K609,IF($C609="W",1,IF($C609="1/2W",0.5,0)),0)</f>
        <v>0</v>
      </c>
      <c r="CG609" s="231">
        <f>IF(CF$3=$K609,IF($C609="L",1,IF($C609="1/2L",0.5,0)),0)</f>
        <v>0</v>
      </c>
      <c r="CH609" s="231">
        <f>IF(CH$3=$K609,IF($C609="W",1,IF($C609="1/2W",0.5,0)),0)</f>
        <v>0</v>
      </c>
      <c r="CI609" s="231">
        <f>IF(CH$3=$K609,IF($C609="L",1,IF($C609="1/2L",0.5,0)),0)</f>
        <v>0</v>
      </c>
      <c r="CJ609" s="231">
        <f>IF(CJ$3=$K609,IF($C609="W",1,IF($C609="1/2W",0.5,0)),0)</f>
        <v>0</v>
      </c>
      <c r="CK609" s="231">
        <f>IF(CJ$3=$K609,IF($C609="L",1,IF($C609="1/2L",0.5,0)),0)</f>
        <v>0</v>
      </c>
      <c r="CL609" s="231">
        <f>IF(CL$3=$K609,IF($C609="W",1,IF($C609="1/2W",0.5,0)),0)</f>
        <v>0</v>
      </c>
      <c r="CM609" s="231">
        <f>IF(CL$3=$K609,IF($C609="L",1,IF($C609="1/2L",0.5,0)),0)</f>
        <v>0</v>
      </c>
      <c r="CN609" s="231">
        <f>IF(CN$3=$K609,IF($C609="W",1,IF($C609="1/2W",0.5,0)),0)</f>
        <v>0</v>
      </c>
      <c r="CO609" s="231">
        <f>IF(CN$3=$K609,IF($C609="L",1,IF($C609="1/2L",0.5,0)),0)</f>
        <v>0</v>
      </c>
      <c r="CP609" s="231">
        <f>IF(CP$3=$K609,IF($C609="W",1,IF($C609="1/2W",0.5,0)),0)</f>
        <v>0</v>
      </c>
      <c r="CQ609" s="231">
        <f>IF(CP$3=$K609,IF($C609="L",1,IF($C609="1/2L",0.5,0)),0)</f>
        <v>0</v>
      </c>
      <c r="CR609" s="231">
        <f>IF(CR$3=$K609,IF($C609="W",1,IF($C609="1/2W",0.5,0)),0)</f>
        <v>0</v>
      </c>
      <c r="CS609" s="231">
        <f>IF(CR$3=$K609,IF($C609="L",1,IF($C609="1/2L",0.5,0)),0)</f>
        <v>0</v>
      </c>
      <c r="CT609" s="208">
        <f>IF(CT$3=$K609,IF($C609="W",1,IF($C609="1/2W",0.5,0)),0)</f>
        <v>0</v>
      </c>
      <c r="CU609" s="209">
        <f>IF(CT$3=$K609,IF($C609="L",1,IF($C609="1/2L",0.5,0)),0)</f>
        <v>0</v>
      </c>
      <c r="CV609" s="209">
        <f>IF(CV$3=$K609,IF($C609="W",1,IF($C609="1/2W",0.5,0)),0)</f>
        <v>0</v>
      </c>
      <c r="CW609" s="209">
        <f>IF(CV$3=$K609,IF($C609="L",1,IF($C609="1/2L",0.5,0)),0)</f>
        <v>0</v>
      </c>
      <c r="CX609" s="209">
        <f>IF(CX$3=$K609,IF($C609="W",1,IF($C609="1/2W",0.5,0)),0)</f>
        <v>0</v>
      </c>
      <c r="CY609" s="209">
        <f>IF(CX$3=$K609,IF($C609="L",1,IF($C609="1/2L",0.5,0)),0)</f>
        <v>0</v>
      </c>
      <c r="CZ609" s="209">
        <f>IF(CZ$3=$K609,IF($C609="W",1,IF($C609="1/2W",0.5,0)),0)</f>
        <v>0</v>
      </c>
      <c r="DA609" s="209">
        <f>IF(CZ$3=$K609,IF($C609="L",1,IF($C609="1/2L",0.5,0)),0)</f>
        <v>0</v>
      </c>
      <c r="DB609" s="209">
        <f>IF(DB$3=$K609,IF($C609="W",1,IF($C609="1/2W",0.5,0)),0)</f>
        <v>0</v>
      </c>
      <c r="DC609" s="209">
        <f>IF(DB$3=$K609,IF($C609="L",1,IF($C609="1/2L",0.5,0)),0)</f>
        <v>0</v>
      </c>
      <c r="DD609" s="209">
        <f>IF(DD$3=$K609,IF($C609="W",1,IF($C609="1/2W",0.5,0)),0)</f>
        <v>0</v>
      </c>
      <c r="DE609" s="210">
        <f>IF(DD$3=$K609,IF($C609="L",1,IF($C609="1/2L",0.5,0)),0)</f>
        <v>0</v>
      </c>
      <c r="DF609" s="211">
        <f>IF(AND(L609&lt;DF$3,$C609="W"),1+DF608,DF608)</f>
        <v>17</v>
      </c>
      <c r="DG609" s="198">
        <f>IF(DF609&gt;DF608,L609+DG608,DG608)</f>
        <v>22.628</v>
      </c>
      <c r="DH609" s="209">
        <f>IF(AND(L609&gt;DH$3,$C609="W"),1+DH608,0+DH608)</f>
        <v>16</v>
      </c>
      <c r="DI609" s="198">
        <f>IF(DH609&gt;DH608,L609+DI608,DI608)</f>
        <v>85.45999999999999</v>
      </c>
      <c r="DJ609" t="s" s="306">
        <f>IF($D607="","",$D607)</f>
        <v>431</v>
      </c>
      <c r="DK609" s="232"/>
    </row>
    <row r="610" ht="14.55" customHeight="1">
      <c r="A610" s="246">
        <f>$A607+1</f>
        <v>203</v>
      </c>
      <c r="B610" t="s" s="247">
        <f>IF(AND(_xlfn.XLOOKUP(H610,H$107:H389,G$107:G389,0)=G610,_xlfn.XLOOKUP("TempoBet",K610:K612,L610:L612,0)&gt;0),"X",IF(OR(C610="W",C611="W",C612="W",C610="1/2W",C611="1/2W",C612="1/2W",C610="1/2L",C611="1/2L",C612="1/2L"),"OK",IF(OR(C610="L",C611="L",C612="L"),"LOSS",IF(OR(C610="X",C611="X",C612="X"),"Anulado"," "))))</f>
        <v>24</v>
      </c>
      <c r="C610" t="s" s="248">
        <v>114</v>
      </c>
      <c r="D610" t="s" s="303">
        <f>IF(G610="","",$D607)</f>
        <v>431</v>
      </c>
      <c r="E610" t="s" s="250">
        <v>135</v>
      </c>
      <c r="F610" t="s" s="251">
        <f>IF(G610="","",IF(OR(AND($C610&lt;&gt;" ",$C611=" "),AND($C611&lt;&gt;" ",$C610=" "),AND(L612&gt;0,OR(AND($C612&lt;&gt;" ",OR($C610=" ",$C611=" ")),AND($C612=" ",OR($C610&lt;&gt;" ",$C611&lt;&gt;" "))))),IF(SUM(F$4:F609)=0,1,LARGE(F$4:F609,1)+1),IF(MONTH(G610)=MONTH(TODAY()),IF(AND(DAY(G610)&lt;DAY(TODAY()),$B610=" "),IF(SUM(F$4:F609)=0,1,LARGE(F$4:F609,1)+1),IF($B610=" ",IF(AND(DAY(G610)=DAY(TODAY()),HOUR(G610)&lt;=HOUR(NOW())+1),IF(AND(HOUR(G610)+2&lt;=HOUR(NOW()),DAY(G610)&lt;=DAY(TODAY()),MINUTE(G610)&lt;=MINUTE(NOW())),IF(SUM(F$4:F609)=0,1,LARGE(F$4:F609,1)+1),IF(OR(MINUTE(G610)&lt;=MINUTE(NOW()),HOUR(G610)&lt;=HOUR(NOW())),"!!!","")),""),"")),"")))</f>
      </c>
      <c r="G610" s="252">
        <v>44954.645833333336</v>
      </c>
      <c r="H610" t="s" s="253">
        <v>450</v>
      </c>
      <c r="I610" t="s" s="254">
        <v>65</v>
      </c>
      <c r="J610" s="255">
        <v>9</v>
      </c>
      <c r="K610" t="s" s="256">
        <v>37</v>
      </c>
      <c r="L610" s="257">
        <v>1.825</v>
      </c>
      <c r="M610" s="258">
        <v>9.1</v>
      </c>
      <c r="N610" s="259">
        <v>0</v>
      </c>
      <c r="O610" s="260">
        <f>IF(OR(AE610="",AE611=""),"",ROUND(IF(L612&gt;0,IF(M610&gt;0,M610,IF(M611&gt;0,ROUND((M611*AE610)/AE611,IF(N610=0,2,IF(N610=0.1,1,0))),ROUND((M612*AE610)/AE612,IF(N610=0,2,IF(N610=0.1,1,0))))),IF(M610&gt;0,M610,ROUND((M611*AE610)/AE611,IF(N610=0,2,IF(N610=0.1,1,0))))),2))</f>
        <v>9.1</v>
      </c>
      <c r="P610" s="261">
        <f>IF(OR(L610="",O610=""),"",IF($C610="1/2W",O610/2+O610/2*L610,IF($C610="1/2L",O610/2,IF(I610="Lay",(O610*(L610/(L610-1))-O610)*(1-_xlfn.XLOOKUP(K610,'Janeiro 2023 - Valor Real'!A3:A15,'Janeiro 2023 - Valor Real'!C3:C15,0))+O610,(O610*L610-O610)*(1-_xlfn.XLOOKUP(K610,'Janeiro 2023 - Valor Real'!A3:A15,'Janeiro 2023 - Valor Real'!C3:C15,0))+O610))))</f>
        <v>16.6075</v>
      </c>
      <c r="Q610" s="262">
        <f>IF(K610="","",IF(_xlfn.XLOOKUP(K610,K$107:K389,DJ$107:DJ389,0,,-1)=DJ610,_xlfn.XLOOKUP(K610,K$107:K389,Q$107:Q389,1,,-1)+1,1))</f>
        <v>1</v>
      </c>
      <c r="R610" s="263">
        <f>IF(K610="","",_xlfn.XLOOKUP(K610,K$107:K389,R$107:R389,0,,-1)+IF($C610=" ",1,0))</f>
        <v>0</v>
      </c>
      <c r="S610" s="264">
        <f>IF($B610="Anulado",0,ROUND(IF(OR($B610="LOSS",$B610="OK"),IF(OR($C610="W",$C610="1/2W",$C610="1/2L"),P610-O610,IF($C610="L",-O610,0))+IF(OR($C611="W",$C611="1/2W",$C611="1/2L"),P611-O611,IF($C611="L",-O611,0))+IF(OR($C612="W",$C612="1/2W",$C612="1/2L"),P612-O612,IF($C612="L",-O612,0)),IF(AND(OR($C610="W",$C610="1/2W",$C610="1/2L"),C611="W"),P610+P611-SUM(O610:O612)+_xlfn.XLOOKUP("X",C610:C612,O610:O612,0),IF(AND(C610=TRUE,C612="W"),P610+P612-SUM(O610:O612),IF(AND(C611="W",C612="W"),P611+P612-SUM(O610:O612)+_xlfn.XLOOKUP("X",C610:C612,O610:O612,0),IF(L612&gt;0,IF(OR($C610="W",$C610="1/2W",$C610="1/2L"),P610-SUM(O610:O612)+_xlfn.XLOOKUP("X",C610:C612,O610:O612,0),IF(OR($C610="W",$C610="1/2W",$C610="1/2L"),P611-SUM(O610:O612)+_xlfn.XLOOKUP("X",C610:C612,O610:O612,0),IF(OR($C610="W",$C610="1/2W",$C610="1/2L"),P612-SUM(O610:O612)+_xlfn.XLOOKUP("X",C610:C612,O610:O612,0),IF(SUM(P610:P612)/3-SUM(O610:O612)+_xlfn.XLOOKUP("X",C610:C612,O610:O612,0)&gt;0,SUM(P610:P612)/3-SUM(O610:O612)+_xlfn.XLOOKUP("X",C610:C612,O610:O612,0),LARGE(P610:P612,1)-SUM(O610:O612))))),IF(OR($C610="W",$C610="1/2W",$C610="1/2L"),P610-SUM(O610:O611)+_xlfn.XLOOKUP("X",C610:C612,O610:O612,0),IF(OR($C610="W",$C610="1/2W",$C610="1/2L"),P611-SUM(O610:O611)+_xlfn.XLOOKUP("X",C610:C612,O610:O612,0),SUM(P610:P611)/2-SUM(O610:O611)+_xlfn.XLOOKUP("X",C610:C612,O610:O612,0)))))))),2))</f>
        <v>0</v>
      </c>
      <c r="T610" s="265">
        <f>IF(S610=0,0,S610/SUM(O610:O612))</f>
        <v>0</v>
      </c>
      <c r="U610" s="266">
        <f>IF($D610=$D607,IF(OR($B610="LOSS",$B610="OK",$B610="Anulada"),S610,0)+U607,IF(OR($B610="LOSS",$B610="OK",$B610="Anulada"),S610,0))</f>
        <v>14.75</v>
      </c>
      <c r="V610" s="266">
        <f>IF($D610="",0,IF($D610=$D607,IF($B610=" ",IF(I612="",IF(OR(AND(I610="DNB1",I611="DNB2"),AND(OR(I610="DNB1",I610="DNB2"),J611=0),AND(OR(I611="DNB1",I611="DNB2"),J610=0),AND(I610="DNB2",I611="DNB1"),AND(IF(J610=0,(J610+1)/ROUND(J610+1,0),J610/ROUND(J610,0))=1,IF(J611=0,(J611+1)/ROUND(IF(J611="",0,J611)+1,0),IF(J611="",0,J611)/ROUND(IF(J611="",1,J611),0))=1,OR(J610&lt;&gt;""),J611&lt;&gt;"")),0,IF(S610&lt;0,IF(I612="",SMALL(P610:P611,1)-SUM(O610:O611),0),SMALL(P610:P611,1)-SUM(O610:O611))),IF(S610&lt;0,IF(I612="",SMALL(P610:P612,1)-SUM(O610:O612),0),LARGE(P610:P612,1)-SUM(O610:O612))),S610)+V607,IF(I612="",IF(OR(AND(I610="DNB1",I611="DNB2"),AND(OR(I610="DNB1",I610="DNB2"),J611=0),AND(OR(I611="DNB1",I611="DNB2"),J610=0),AND(I610="DNB2",I611="DNB1"),AND(IF(J610=0,(J610+1)/ROUND(J610+1,0),J610/ROUND(J610,0))=1,IF(J611=0,(IF(J611="",0,J611)+1)/ROUND(IF(J611="",0,J611)+1,0),IF(J611="",0,J611)/ROUND(IF(J611="",0,J611)+1,0))=1,OR(J610&lt;&gt;""),J611&lt;&gt;"")),0,IF(S610&lt;0,IF(I612="",SMALL(P610:P611,1)-SUM(O610:O611),0),SMALL(P610:P612,1)-SUM(O610:O612))),IF(S610&lt;0,IF(I612="",SMALL(P610:P612,1)-SUM(O610:O612),0),LARGE(P610:P612,1)-SUM(O610:O612)))))</f>
        <v>14.722</v>
      </c>
      <c r="W610" s="266">
        <f>IF($D610=$D607,IF(S610&lt;0,IF(I612="",S610,0),S610)+W607,S610)</f>
        <v>14.75</v>
      </c>
      <c r="X610" t="s" s="267">
        <f>IF(OR(SUM(R610:R612)=0,V610=W610),ROUND(IF(W610=0,0,W610/Y610)*100,2)&amp;"%",ROUND(IF(V610=0,0,V610/Y610)*100,2)&amp;"% a "&amp;ROUND(IF(W610=0,0,W610/Y610)*100,2)&amp;"%")</f>
        <v>451</v>
      </c>
      <c r="Y610" s="268">
        <f>IF($D610=$D607,Y607+SUM(O610:O612),SUM(O610:O612))</f>
        <v>244.73</v>
      </c>
      <c r="Z610" s="266">
        <f>IF($B610=" ",SUM(O610:O612),0)+Z607</f>
        <v>0</v>
      </c>
      <c r="AA610" s="266">
        <f>IF(G610="","",IF($B610="Anulado",LARGE(P610:P612,1)-SUM(O610:O612)+AA607,AA607))</f>
        <v>26.8740076923077</v>
      </c>
      <c r="AB610" s="266">
        <f>IF($D610="","",AB607+S610)</f>
        <v>403.08</v>
      </c>
      <c r="AC610" s="269">
        <f>IF($D610="","",IF($B610=" ",IF(DAY(G610)=DAY(TODAY()),1+AC607,0+AC607),0+AC607))</f>
        <v>0</v>
      </c>
      <c r="AD610" s="270">
        <f>(1-_xlfn.XLOOKUP(K608,'Janeiro 2023 - Valor Real'!A3:A15,'Janeiro 2023 - Valor Real'!C3:C15,0))+1</f>
        <v>2</v>
      </c>
      <c r="AE610" s="271">
        <f>IF(L610="","",IF(L612&gt;0,(SUM(((L610-1)*(1-_xlfn.XLOOKUP(K610,'Janeiro 2023 - Valor Real'!A3:A15,'Janeiro 2023 - Valor Real'!C3:C15,0))+1),((L611-1)*(1-_xlfn.XLOOKUP(K611,'Janeiro 2023 - Valor Real'!A3:A15,'Janeiro 2023 - Valor Real'!C3:C15,0))+1),((L612-1)*(1-_xlfn.XLOOKUP(K612,'Janeiro 2023 - Valor Real'!A3:A15,'Janeiro 2023 - Valor Real'!C3:C15,0))+1))/((L610-1)*(1-_xlfn.XLOOKUP(K610,'Janeiro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Real'!C3:C15,0))+1))/((L610-1)*(1-_xlfn.XLOOKUP(K610,'Janeiro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Real'!C3:C15,0))+1))/((L611-1)*(1-_xlfn.XLOOKUP(K611,'Janeiro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Real'!C3:C15,0))+1))/((L612-1)*(1-_xlfn.XLOOKUP(K612,'Janeiro 2023 - Valor Real'!A3:A15,'Janeiro 2023 - Valor Real'!C3:C15,0))+1)),IF(I610="Lay",IF(I611="Lay",((L611/(L611-1)-1)*(1-_xlfn.XLOOKUP(K611,'Janeiro 2023 - Valor Real'!A3:A15,'Janeiro 2023 - Valor Real'!C3:C15,0))+1)/(((L611/(L611-1)-1)*(1-_xlfn.XLOOKUP(K611,'Janeiro 2023 - Valor Real'!A3:A15,'Janeiro 2023 - Valor Real'!C3:C15,0))+1)+((L610/(L610-1)-1)*(1-_xlfn.XLOOKUP(K610,'Janeiro 2023 - Valor Real'!A3:A15,'Janeiro 2023 - Valor Real'!C3:C15,0))+1)),((L611-1)*(1-_xlfn.XLOOKUP(K611,'Janeiro 2023 - Valor Real'!A3:A15,'Janeiro 2023 - Valor Real'!C3:C15,0))+1)/(((L611-1)*(1-_xlfn.XLOOKUP(K611,'Janeiro 2023 - Valor Real'!A3:A15,'Janeiro 2023 - Valor Real'!C3:C15,0))+1)+((L610/(L610-1)-1)*(1-_xlfn.XLOOKUP(K610,'Janeiro 2023 - Valor Real'!A3:A15,'Janeiro 2023 - Valor Real'!C3:C15,0))+1))),IF(I611="Lay",(((L611/(L611-1)-1)*(1-_xlfn.XLOOKUP(K611,'Janeiro 2023 - Valor Real'!A3:A15,'Janeiro 2023 - Valor Real'!C3:C15,0))+1))/(((L610-1)*(1-_xlfn.XLOOKUP(K610,'Janeiro 2023 - Valor Real'!A3:A15,'Janeiro 2023 - Valor Real'!C3:C15,0))+1)+((L611/(L611-1)-1)*(1-_xlfn.XLOOKUP(K611,'Janeiro 2023 - Valor Real'!A3:A15,'Janeiro 2023 - Valor Real'!C3:C15,0))+1)),((L611-1)*(1-_xlfn.XLOOKUP(K611,'Janeiro 2023 - Valor Real'!A3:A15,'Janeiro 2023 - Valor Real'!C3:C15,0))+1)/(((L611-1)*(1-_xlfn.XLOOKUP(K611,'Janeiro 2023 - Valor Real'!A3:A15,'Janeiro 2023 - Valor Real'!C3:C15,0))+1)+((L610-1)*(1-_xlfn.XLOOKUP(K610,'Janeiro 2023 - Valor Real'!A3:A15,'Janeiro 2023 - Valor Real'!C3:C15,0))+1))))))</f>
        <v>0.444162436548223</v>
      </c>
      <c r="AF610" s="132">
        <f>IF($K610=AF$3,ROUND(IF(OR($C610="W",$C610="1/2W",$C610="1/2L"),$P610-$O610,IF($C610="X",0,-$O610)),2),0)</f>
        <v>0</v>
      </c>
      <c r="AG610" s="133">
        <f>IF($K610=AG$3,ROUND(IF(OR($C610="W",$C610="1/2W",$C610="1/2L"),$P610-$O610,IF($C610="X",0,-$O610)),2),0)</f>
        <v>0</v>
      </c>
      <c r="AH610" s="133">
        <f>IF($K610=AH$3,ROUND(IF(OR($C610="W",$C610="1/2W",$C610="1/2L"),$P610-$O610,IF($C610="X",0,-$O610)),2),0)</f>
        <v>0</v>
      </c>
      <c r="AI610" s="133">
        <f>IF($K610=AI$3,ROUND(IF(OR($C610="W",$C610="1/2W",$C610="1/2L"),$P610-$O610,IF($C610="X",0,-$O610)),2),0)</f>
        <v>0</v>
      </c>
      <c r="AJ610" s="133">
        <f>IF($K610=AJ$3,ROUND(IF(OR($C610="W",$C610="1/2W",$C610="1/2L"),$P610-$O610,IF($C610="X",0,-$O610)),2),0)</f>
        <v>0</v>
      </c>
      <c r="AK610" s="133">
        <f>IF($K610=AK$3,ROUND(IF(OR($C610="W",$C610="1/2W",$C610="1/2L"),$P610-$O610,IF($C610="X",0,-$O610)),2),0)</f>
        <v>0</v>
      </c>
      <c r="AL610" s="133">
        <f>IF($K610=AL$3,ROUND(IF(OR($C610="W",$C610="1/2W",$C610="1/2L"),$P610-$O610,IF($C610="X",0,-$O610)),2),0)</f>
        <v>0</v>
      </c>
      <c r="AM610" s="133">
        <f>IF($K610=AM$3,ROUND(IF(OR($C610="W",$C610="1/2W",$C610="1/2L"),$P610-$O610,IF($C610="X",0,-$O610)),2),0)</f>
        <v>0</v>
      </c>
      <c r="AN610" s="133">
        <f>IF($K610=AN$3,ROUND(IF(OR($C610="W",$C610="1/2W",$C610="1/2L"),$P610-$O610,IF($C610="X",0,-$O610)),2),0)</f>
        <v>0</v>
      </c>
      <c r="AO610" s="133">
        <f>IF($K610=AO$3,ROUND(IF(OR($C610="W",$C610="1/2W",$C610="1/2L"),$P610-$O610,IF($C610="X",0,-$O610)),2),0)</f>
        <v>0</v>
      </c>
      <c r="AP610" s="133">
        <f>IF($K610=AP$3,ROUND(IF(OR($C610="W",$C610="1/2W",$C610="1/2L"),$P610-$O610,IF($C610="X",0,-$O610)),2),0)</f>
        <v>0</v>
      </c>
      <c r="AQ610" s="133">
        <f>IF($K610=AQ$3,ROUND(IF(OR($C610="W",$C610="1/2W",$C610="1/2L"),$P610-$O610,IF($C610="X",0,-$O610)),2),0)</f>
        <v>0</v>
      </c>
      <c r="AR610" s="134">
        <f>IF($K610=AR$3,ROUND(IF(OR($C610="W",$C610="1/2W",$C610="1/2L"),$P610-$O610,IF($C610="X",0,-$O610)),2),0)</f>
        <v>0</v>
      </c>
      <c r="AS610" s="132">
        <f>IF(AND($B610=" ",$K610=AS$3),$O610,0)</f>
        <v>0</v>
      </c>
      <c r="AT610" s="133">
        <f>IF(AND($B610=" ",$K610=AT$3),$O610,0)</f>
        <v>0</v>
      </c>
      <c r="AU610" s="133">
        <f>IF(AND($B610=" ",$K610=AU$3),$O610,0)</f>
        <v>0</v>
      </c>
      <c r="AV610" s="133">
        <f>IF(AND($B610=" ",$K610=AV$3),$O610,0)</f>
        <v>0</v>
      </c>
      <c r="AW610" s="133">
        <f>IF(AND($B610=" ",$K610=AW$3),$O610,0)</f>
        <v>0</v>
      </c>
      <c r="AX610" s="133">
        <f>IF(AND($B610=" ",$K610=AX$3),$O610,0)</f>
        <v>0</v>
      </c>
      <c r="AY610" s="135">
        <f>IF(AND($B610=" ",$K610=AY$3),$O610,0)</f>
        <v>0</v>
      </c>
      <c r="AZ610" s="136">
        <f>IF(AND($B610=" ",$K610=AZ$3),$O610,0)</f>
        <v>0</v>
      </c>
      <c r="BA610" s="136">
        <f>IF(AND($B610=" ",$K610=BA$3),$O610,0)</f>
        <v>0</v>
      </c>
      <c r="BB610" s="136">
        <f>IF(AND($B610=" ",$K610=BB$3),$O610,0)</f>
        <v>0</v>
      </c>
      <c r="BC610" s="137">
        <f>IF(AND($B610=" ",$K610=BC$3),$O610,0)</f>
        <v>0</v>
      </c>
      <c r="BD610" s="133">
        <f>IF(AND($B610=" ",$K610=BD$3),$O610,0)</f>
        <v>0</v>
      </c>
      <c r="BE610" s="134">
        <f>IF(AND($B610=" ",$K610=BE$3),$O610,0)</f>
        <v>0</v>
      </c>
      <c r="BF610" s="132">
        <f>IF($K610=BF$3,IF($C610="X",0,$O610),0)</f>
        <v>0</v>
      </c>
      <c r="BG610" s="133">
        <f>IF($K610=BG$3,IF($C610="X",0,$O610),0)</f>
        <v>0</v>
      </c>
      <c r="BH610" s="133">
        <f>IF($K610=BH$3,IF($C610="X",0,$O610),0)</f>
        <v>0</v>
      </c>
      <c r="BI610" s="133">
        <f>IF($K610=BI$3,IF($C610="X",0,$O610),0)</f>
        <v>0</v>
      </c>
      <c r="BJ610" s="133">
        <f>IF($K610=BJ$3,IF($C610="X",0,$O610),0)</f>
        <v>0</v>
      </c>
      <c r="BK610" s="133">
        <f>IF($K610=BK$3,IF($C610="X",0,$O610),0)</f>
        <v>0</v>
      </c>
      <c r="BL610" s="133">
        <f>IF($K610=BL$3,IF($C610="X",0,$O610),0)</f>
        <v>0</v>
      </c>
      <c r="BM610" s="135">
        <f>IF($K610=BM$3,IF($C610="X",0,$O610),0)</f>
        <v>0</v>
      </c>
      <c r="BN610" s="136">
        <f>IF($K610=BN$3,IF($C610="X",0,$O610),0)</f>
        <v>0</v>
      </c>
      <c r="BO610" s="136">
        <f>IF($K610=BO$3,IF($C610="X",0,$O610),0)</f>
        <v>0</v>
      </c>
      <c r="BP610" s="136">
        <f>IF($K610=BP$3,IF($C610="X",0,$O610),0)</f>
        <v>0</v>
      </c>
      <c r="BQ610" s="137">
        <f>IF($K610=BQ$3,IF($C610="X",0,$O610),0)</f>
        <v>0</v>
      </c>
      <c r="BR610" s="134">
        <f>IF($K610=BR$3,IF($C610="X",0,$O610),0)</f>
        <v>0</v>
      </c>
      <c r="BS610" s="170">
        <f>IF($B610="LOSS",IF(AND($K610=BS$3,$C610="L"),-$O610,0)+IF(AND($K611=BS$3,$C611="L"),-$O611,0)+IF(AND($K612=BS$3,$C612="L"),-$O612,0),IF(OR(AND($K610=BS$3,OR($C610="W",$C610="1/2W")),AND($K611=BS$3,OR($C611="W",$C611="1/2W")),AND($K612=BS$3,OR($C612="W",$C612="1/2W"))),$S610,0))</f>
        <v>0</v>
      </c>
      <c r="BT610" s="272">
        <f>IF($B610="LOSS",IF(AND($K610=BT$3,$C610="L"),-$O610,0)+IF(AND($K611=BT$3,$C611="L"),-$O611,0)+IF(AND($K611=BT$3,$C612="L"),-$O612,0),IF(OR(AND($K611=BT$3,OR($C610="W",$C610="1/2W")),AND($K611=BT$3,OR($C611="W",$C611="1/2W")),AND($K611=BT$3,OR($C612="W",$C612="1/2W"))),$S610,0))</f>
        <v>0</v>
      </c>
      <c r="BU610" s="136">
        <f>IF($B610="LOSS",IF(AND($K610=BU$3,$C610="L"),-$O610,0)+IF(AND($K611=BU$3,$C611="L"),-$O611,0)+IF(AND($K611=BU$3,$C612="L"),-$O612,0),IF(OR(AND($K611=BU$3,OR($C610="W",$C610="1/2W")),AND($K611=BU$3,OR($C611="W",$C611="1/2W")),AND($K611=BU$3,OR($C612="W",$C612="1/2W"))),$S610,0))</f>
        <v>0</v>
      </c>
      <c r="BV610" s="136">
        <f>IF($B610="LOSS",IF(AND($K610=BV$3,$C610="L"),-$O610,0)+IF(AND($K611=BV$3,$C611="L"),-$O611,0)+IF(AND($K612=BV$3,$C612="L"),-$O612,0),IF(OR(AND($K610=BV$3,OR($C610="W",$C610="1/2W")),AND($K611=BV$3,OR($C611="W",$C611="1/2W")),AND($K612=BV$3,OR($C612="W",$C612="1/2W"))),$S610,0))</f>
        <v>0</v>
      </c>
      <c r="BW610" s="136">
        <f>IF($B610="LOSS",IF(AND($K610=BW$3,$C610="L"),-$O610,0)+IF(AND($K611=BW$3,$C611="L"),-$O611,0)+IF(AND($K612=BW$3,$C612="L"),-$O612,0),IF(OR(AND($K610=BW$3,OR($C610="W",$C610="1/2W")),AND($K611=BW$3,OR($C611="W",$C611="1/2W")),AND($K612=BW$3,OR($C612="W",$C612="1/2W"))),$S610,0))</f>
        <v>0</v>
      </c>
      <c r="BX610" s="136">
        <f>IF($B610="LOSS",IF(AND($K610=BX$3,$C610="L"),-$O610,0)+IF(AND($K611=BX$3,$C611="L"),-$O611,0)+IF(AND($K612=BX$3,$C612="L"),-$O612,0),IF(OR(AND($K610=BX$3,OR($C610="W",$C610="1/2W")),AND($K611=BX$3,OR($C611="W",$C611="1/2W")),AND($K612=BX$3,OR($C612="W",$C612="1/2W"))),$S610,0))</f>
        <v>0</v>
      </c>
      <c r="BY610" s="136">
        <f>IF($B610="LOSS",IF(AND($K610=BY$3,$C610="L"),-$O610,0)+IF(AND($K611=BY$3,$C611="L"),-$O611,0)+IF(AND($K612=BY$3,$C612="L"),-$O612,0),IF(OR(AND($K610=BY$3,OR($C610="W",$C610="1/2W")),AND($K611=BY$3,OR($C611="W",$C611="1/2W")),AND($K612=BY$3,OR($C612="W",$C612="1/2W"))),$S610,0))</f>
        <v>0</v>
      </c>
      <c r="BZ610" s="136">
        <f>IF($B610="LOSS",IF(AND($K610=BZ$3,$C610="L"),-$O610,0)+IF(AND($K611=BZ$3,$C611="L"),-$O611,0)+IF(AND($K612=BZ$3,$C612="L"),-$O612,0),IF(OR(AND($K610=BZ$3,OR($C610="W",$C610="1/2W")),AND($K611=BZ$3,OR($C611="W",$C611="1/2W")),AND($K612=BZ$3,OR($C612="W",$C612="1/2W"))),$S610,0))</f>
        <v>0</v>
      </c>
      <c r="CA610" s="136">
        <f>IF($B610="LOSS",IF(AND($K610=CA$3,$C610="L"),-$O610,0)+IF(AND($K611=CA$3,$C611="L"),-$O611,0)+IF(AND($K612=CA$3,$C612="L"),-$O612,0),IF(OR(AND($K610=CA$3,OR($C610="W",$C610="1/2W")),AND($K611=CA$3,OR($C611="W",$C611="1/2W")),AND($K612=CA$3,OR($C612="W",$C612="1/2W"))),$S610,0))</f>
        <v>0</v>
      </c>
      <c r="CB610" s="136">
        <f>IF($B610="LOSS",IF(AND($K610=CB$3,$C610="L"),-$O610,0)+IF(AND($K611=CB$3,$C611="L"),-$O611,0)+IF(AND($K612=CB$3,$C612="L"),-$O612,0),IF(OR(AND($K610=CB$3,OR($C610="W",$C610="1/2W")),AND($K611=CB$3,OR($C611="W",$C611="1/2W")),AND($K612=CB$3,OR($C612="W",$C612="1/2W"))),$S610,0))</f>
        <v>0</v>
      </c>
      <c r="CC610" s="136">
        <f>IF($B610="LOSS",IF(AND($K610=CC$3,$C610="L"),-$O610,0)+IF(AND($K611=CC$3,$C611="L"),-$O611,0)+IF(AND($K612=CC$3,$C612="L"),-$O612,0),IF(OR(AND($K610=CC$3,OR($C610="W",$C610="1/2W")),AND($K611=CC$3,OR($C611="W",$C611="1/2W")),AND($K612=CC$3,OR($C612="W",$C612="1/2W"))),$S610,0))</f>
        <v>0</v>
      </c>
      <c r="CD610" s="137">
        <f>IF($B610="LOSS",IF(AND($K610=CD$3,$C610="L"),-$O610,0)+IF(AND($K611=CD$3,$C611="L"),-$O611,0)+IF(AND($K612=CD$3,$C612="L"),-$O612,0),IF(OR(AND($K610=CD$3,OR($C610="W",$C610="1/2W")),AND($K611=CD$3,OR($C611="W",$C611="1/2W")),AND($K612=CD$3,OR($C612="W",$C612="1/2W"))),$S610,0))</f>
        <v>0</v>
      </c>
      <c r="CE610" s="134">
        <f>IF($B610="LOSS",IF(AND($K610=CE$3,$C610="L"),-$O610,0)+IF(AND($K611=CE$3,$C611="L"),-$O611,0)+IF(AND($K612=CE$3,$C612="L"),-$O612,0),IF(OR(AND($K610=CE$3,OR($C610="W",$C610="1/2W")),AND($K611=CE$3,OR($C611="W",$C611="1/2W")),AND($K612=CE$3,OR($C612="W",$C612="1/2W"))),$S610,0))</f>
        <v>0</v>
      </c>
      <c r="CF610" s="273">
        <f>IF(CF$3=$K610,IF($C610="W",1,IF($C610="1/2W",0.5,0)),0)</f>
        <v>0</v>
      </c>
      <c r="CG610" s="274">
        <f>IF(CF$3=$K610,IF($C610="L",1,IF($C610="1/2L",0.5,0)),0)</f>
        <v>0</v>
      </c>
      <c r="CH610" s="274">
        <f>IF(CH$3=$K610,IF($C610="W",1,IF($C610="1/2W",0.5,0)),0)</f>
        <v>0</v>
      </c>
      <c r="CI610" s="274">
        <f>IF(CH$3=$K610,IF($C610="L",1,IF($C610="1/2L",0.5,0)),0)</f>
        <v>0</v>
      </c>
      <c r="CJ610" s="274">
        <f>IF(CJ$3=$K610,IF($C610="W",1,IF($C610="1/2W",0.5,0)),0)</f>
        <v>0</v>
      </c>
      <c r="CK610" s="274">
        <f>IF(CJ$3=$K610,IF($C610="L",1,IF($C610="1/2L",0.5,0)),0)</f>
        <v>0</v>
      </c>
      <c r="CL610" s="274">
        <f>IF(CL$3=$K610,IF($C610="W",1,IF($C610="1/2W",0.5,0)),0)</f>
        <v>0</v>
      </c>
      <c r="CM610" s="274">
        <f>IF(CL$3=$K610,IF($C610="L",1,IF($C610="1/2L",0.5,0)),0)</f>
        <v>0</v>
      </c>
      <c r="CN610" s="274">
        <f>IF(CN$3=$K610,IF($C610="W",1,IF($C610="1/2W",0.5,0)),0)</f>
        <v>0</v>
      </c>
      <c r="CO610" s="274">
        <f>IF(CN$3=$K610,IF($C610="L",1,IF($C610="1/2L",0.5,0)),0)</f>
        <v>0</v>
      </c>
      <c r="CP610" s="274">
        <f>IF(CP$3=$K610,IF($C610="W",1,IF($C610="1/2W",0.5,0)),0)</f>
        <v>0</v>
      </c>
      <c r="CQ610" s="274">
        <f>IF(CP$3=$K610,IF($C610="L",1,IF($C610="1/2L",0.5,0)),0)</f>
        <v>0</v>
      </c>
      <c r="CR610" s="274">
        <f>IF(CR$3=$K610,IF($C610="W",1,IF($C610="1/2W",0.5,0)),0)</f>
        <v>0</v>
      </c>
      <c r="CS610" s="274">
        <f>IF(CR$3=$K610,IF($C610="L",1,IF($C610="1/2L",0.5,0)),0)</f>
        <v>0</v>
      </c>
      <c r="CT610" s="145">
        <f>IF(CT$3=$K610,IF($C610="W",1,IF($C610="1/2W",0.5,0)),0)</f>
        <v>0</v>
      </c>
      <c r="CU610" s="146">
        <f>IF(CT$3=$K610,IF($C610="L",1,IF($C610="1/2L",0.5,0)),0)</f>
        <v>0</v>
      </c>
      <c r="CV610" s="146">
        <f>IF(CV$3=$K610,IF($C610="W",1,IF($C610="1/2W",0.5,0)),0)</f>
        <v>0</v>
      </c>
      <c r="CW610" s="146">
        <f>IF(CV$3=$K610,IF($C610="L",1,IF($C610="1/2L",0.5,0)),0)</f>
        <v>0</v>
      </c>
      <c r="CX610" s="146">
        <f>IF(CX$3=$K610,IF($C610="W",1,IF($C610="1/2W",0.5,0)),0)</f>
        <v>0</v>
      </c>
      <c r="CY610" s="146">
        <f>IF(CX$3=$K610,IF($C610="L",1,IF($C610="1/2L",0.5,0)),0)</f>
        <v>0</v>
      </c>
      <c r="CZ610" s="146">
        <f>IF(CZ$3=$K610,IF($C610="W",1,IF($C610="1/2W",0.5,0)),0)</f>
        <v>0</v>
      </c>
      <c r="DA610" s="146">
        <f>IF(CZ$3=$K610,IF($C610="L",1,IF($C610="1/2L",0.5,0)),0)</f>
        <v>0</v>
      </c>
      <c r="DB610" s="146">
        <f>IF(DB$3=$K610,IF($C610="W",1,IF($C610="1/2W",0.5,0)),0)</f>
        <v>0</v>
      </c>
      <c r="DC610" s="146">
        <f>IF(DB$3=$K610,IF($C610="L",1,IF($C610="1/2L",0.5,0)),0)</f>
        <v>0</v>
      </c>
      <c r="DD610" s="146">
        <f>IF(DD$3=$K610,IF($C610="W",1,IF($C610="1/2W",0.5,0)),0)</f>
        <v>0</v>
      </c>
      <c r="DE610" s="147">
        <f>IF(DD$3=$K610,IF($C610="L",1,IF($C610="1/2L",0.5,0)),0)</f>
        <v>0</v>
      </c>
      <c r="DF610" s="143">
        <f>IF(AND(L610&lt;DF$3,$C610="W"),1+DF609,DF609)</f>
        <v>17</v>
      </c>
      <c r="DG610" s="133">
        <f>IF(DF610&gt;DF609,L610+DG609,DG609)</f>
        <v>22.628</v>
      </c>
      <c r="DH610" s="146">
        <f>IF(AND(L610&gt;DH$3,$C610="W"),1+DH609,0+DH609)</f>
        <v>16</v>
      </c>
      <c r="DI610" s="133">
        <f>IF(DH610&gt;DH609,L610+DI609,DI609)</f>
        <v>85.45999999999999</v>
      </c>
      <c r="DJ610" t="s" s="304">
        <f>IF($D610="","",$D610)</f>
        <v>431</v>
      </c>
      <c r="DK610" s="146">
        <f>IF(AND($B610=" ",$D610&lt;&gt;""),1,0)</f>
        <v>0</v>
      </c>
    </row>
    <row r="611" ht="14.55" customHeight="1">
      <c r="A611" s="107"/>
      <c r="B611" s="108"/>
      <c r="C611" t="s" s="109">
        <v>114</v>
      </c>
      <c r="D611" s="110"/>
      <c r="E611" s="111"/>
      <c r="F611" s="113"/>
      <c r="G611" s="252"/>
      <c r="H611" s="114"/>
      <c r="I611" t="s" s="275">
        <v>67</v>
      </c>
      <c r="J611" s="276">
        <v>9.5</v>
      </c>
      <c r="K611" t="s" s="117">
        <v>38</v>
      </c>
      <c r="L611" s="277">
        <v>2.5</v>
      </c>
      <c r="M611" s="278">
        <v>3</v>
      </c>
      <c r="N611" s="120"/>
      <c r="O611" s="121">
        <f>IF(OR(AE610="",AE611=""),"",ROUND(IF(L612&gt;0,IF(M611&gt;0,M611,IF(M610&gt;0,IF(N610=TRUE,ROUND((M610*AE611)/AE610,0),(M610*AE611)/AE610),IF(M611&gt;0,ROUND(M611,IF(N610=0,2,IF(N610=0.1,1,0))),IF(M612&gt;0,ROUND(O612*AE611/AE612,IF(N610=0,2,IF(N610=0.1,1,0))),0)))),IF(M611&gt;0,M611,ROUND((M610*AE611)/AE610,IF(N610=0,2,IF(N610=0.1,1,0))))),2))</f>
        <v>3</v>
      </c>
      <c r="P611" s="122">
        <f>IF(OR(L611="",O611=""),"",IF($C611="1/2W",O611/2+O611/2*L611,IF($C611="1/2L",O611/2,IF(I611="Lay",((O611*(L611/(L611-1)))-O611)*(1-_xlfn.XLOOKUP(K611,'Janeiro 2023 - Valor Real'!A3:A15,'Janeiro 2023 - Valor Real'!C3:C15,0))+O611,(O611*L611-O611)*(1-_xlfn.XLOOKUP(K611,'Janeiro 2023 - Valor Real'!A3:A15,'Janeiro 2023 - Valor Real'!C3:C15,0))+O611))))</f>
        <v>7.5</v>
      </c>
      <c r="Q611" s="279">
        <f>IF(K611="","",IF(_xlfn.XLOOKUP(K611,K$120:K390,DJ$120:DJ390,0,,-1)=DJ611,_xlfn.XLOOKUP(K611,K$120:K390,Q$120:Q390,1,,-1)+1,1))</f>
        <v>1</v>
      </c>
      <c r="R611" s="280">
        <f>IF(K611="","",_xlfn.XLOOKUP(K611,K$120:K390,R$120:R390,0,,-1)+IF($C611=" ",1,0))</f>
        <v>0</v>
      </c>
      <c r="S611" s="125"/>
      <c r="T611" s="126"/>
      <c r="U611" s="126"/>
      <c r="V611" s="224"/>
      <c r="W611" s="126"/>
      <c r="X611" s="127"/>
      <c r="Y611" s="128"/>
      <c r="Z611" s="129"/>
      <c r="AA611" s="129"/>
      <c r="AB611" s="129"/>
      <c r="AC611" s="129"/>
      <c r="AD611" s="130"/>
      <c r="AE611" s="131">
        <f>IF(L611="","",IF(L612&gt;0,(SUM(((L610-1)*(1-_xlfn.XLOOKUP(K610,'Janeiro 2023 - Valor Real'!A3:A15,'Janeiro 2023 - Valor Real'!C3:C15,0))+1),((L611-1)*(1-_xlfn.XLOOKUP(K611,'Janeiro 2023 - Valor Real'!A3:A15,'Janeiro 2023 - Valor Real'!C3:C15,0))+1),((L612-1)*(1-_xlfn.XLOOKUP(K612,'Janeiro 2023 - Valor Real'!A3:A15,'Janeiro 2023 - Valor Real'!C3:C15,0))+1))/((L611-1)*(1-_xlfn.XLOOKUP(K611,'Janeiro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Real'!C3:C15,0))+1))/((L610-1)*(1-_xlfn.XLOOKUP(K610,'Janeiro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Real'!C3:C15,0))+1))/((L611-1)*(1-_xlfn.XLOOKUP(K611,'Janeiro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Real'!C3:C15,0))+1))/((L612-1)*(1-_xlfn.XLOOKUP(K612,'Janeiro 2023 - Valor Real'!A3:A15,'Janeiro 2023 - Valor Real'!C3:C15,0))+1)),IF(I611="Lay",IF(I610="Lay",((L610/(L610-1)-1)*(1-_xlfn.XLOOKUP(K610,'Janeiro 2023 - Valor Real'!A3:A15,'Janeiro 2023 - Valor Real'!C3:C15,0))+1)/(((L610/(L610-1)-1)*(1-_xlfn.XLOOKUP(K610,'Janeiro 2023 - Valor Real'!A3:A15,'Janeiro 2023 - Valor Real'!C3:C15,0))+1)+((L611/(L611-1)-1)*(1-_xlfn.XLOOKUP(K611,'Janeiro 2023 - Valor Real'!A3:A15,'Janeiro 2023 - Valor Real'!C3:C15,0))+1)),((L610-1)*(1-_xlfn.XLOOKUP(K610,'Janeiro 2023 - Valor Real'!A3:A15,'Janeiro 2023 - Valor Real'!C3:C15,0))+1)/(((L610-1)*(1-_xlfn.XLOOKUP(K610,'Janeiro 2023 - Valor Real'!A3:A15,'Janeiro 2023 - Valor Real'!C3:C15,0))+1)+((L611/(L611-1)-1)*(1-_xlfn.XLOOKUP(K611,'Janeiro 2023 - Valor Real'!A3:A15,'Janeiro 2023 - Valor Real'!C3:C15,0))+1))),IF(I610="Lay",((L610/(L610-1)-1)*(1-_xlfn.XLOOKUP(K610,'Janeiro 2023 - Valor Real'!A3:A15,'Janeiro 2023 - Valor Real'!C3:C15,0))+1)/((((L610/(L610-1)-1)*(1-_xlfn.XLOOKUP(K610,'Janeiro 2023 - Valor Real'!A3:A15,'Janeiro 2023 - Valor Real'!C3:C15,0))+1))+((L611-1)*(1-_xlfn.XLOOKUP(K611,'Janeiro 2023 - Valor Real'!A3:A15,'Janeiro 2023 - Valor Real'!C3:C15,0))+1)),((L610-1)*(1-_xlfn.XLOOKUP(K610,'Janeiro 2023 - Valor Real'!A3:A15,'Janeiro 2023 - Valor Real'!C3:C15,0))+1)/(((L610-1)*(1-_xlfn.XLOOKUP(K610,'Janeiro 2023 - Valor Real'!A3:A15,'Janeiro 2023 - Valor Real'!C3:C15,0))+1)+((L611-1)*(1-_xlfn.XLOOKUP(K611,'Janeiro 2023 - Valor Real'!A3:A15,'Janeiro 2023 - Valor Real'!C3:C15,0))+1))))))</f>
        <v>0.324238578680203</v>
      </c>
      <c r="AF611" s="132">
        <f>IF($K611=AF$3,ROUND(IF(OR($C611="W",$C611="1/2W",$C611="1/2L"),$P611-$O611,IF($C611="X",0,-$O611)),2),0)</f>
        <v>0</v>
      </c>
      <c r="AG611" s="133">
        <f>IF($K611=AG$3,ROUND(IF(OR($C611="W",$C611="1/2W",$C611="1/2L"),$P611-$O611,IF($C611="X",0,-$O611)),2),0)</f>
        <v>0</v>
      </c>
      <c r="AH611" s="133">
        <f>IF($K611=AH$3,ROUND(IF(OR($C611="W",$C611="1/2W",$C611="1/2L"),$P611-$O611,IF($C611="X",0,-$O611)),2),0)</f>
        <v>0</v>
      </c>
      <c r="AI611" s="133">
        <f>IF($K611=AI$3,ROUND(IF(OR($C611="W",$C611="1/2W",$C611="1/2L"),$P611-$O611,IF($C611="X",0,-$O611)),2),0)</f>
        <v>0</v>
      </c>
      <c r="AJ611" s="133">
        <f>IF($K611=AJ$3,ROUND(IF(OR($C611="W",$C611="1/2W",$C611="1/2L"),$P611-$O611,IF($C611="X",0,-$O611)),2),0)</f>
        <v>0</v>
      </c>
      <c r="AK611" s="133">
        <f>IF($K611=AK$3,ROUND(IF(OR($C611="W",$C611="1/2W",$C611="1/2L"),$P611-$O611,IF($C611="X",0,-$O611)),2),0)</f>
        <v>0</v>
      </c>
      <c r="AL611" s="133">
        <f>IF($K611=AL$3,ROUND(IF(OR($C611="W",$C611="1/2W",$C611="1/2L"),$P611-$O611,IF($C611="X",0,-$O611)),2),0)</f>
        <v>0</v>
      </c>
      <c r="AM611" s="133">
        <f>IF($K611=AM$3,ROUND(IF(OR($C611="W",$C611="1/2W",$C611="1/2L"),$P611-$O611,IF($C611="X",0,-$O611)),2),0)</f>
        <v>0</v>
      </c>
      <c r="AN611" s="133">
        <f>IF($K611=AN$3,ROUND(IF(OR($C611="W",$C611="1/2W",$C611="1/2L"),$P611-$O611,IF($C611="X",0,-$O611)),2),0)</f>
        <v>0</v>
      </c>
      <c r="AO611" s="133">
        <f>IF($K611=AO$3,ROUND(IF(OR($C611="W",$C611="1/2W",$C611="1/2L"),$P611-$O611,IF($C611="X",0,-$O611)),2),0)</f>
        <v>0</v>
      </c>
      <c r="AP611" s="133">
        <f>IF($K611=AP$3,ROUND(IF(OR($C611="W",$C611="1/2W",$C611="1/2L"),$P611-$O611,IF($C611="X",0,-$O611)),2),0)</f>
        <v>0</v>
      </c>
      <c r="AQ611" s="133">
        <f>IF($K611=AQ$3,ROUND(IF(OR($C611="W",$C611="1/2W",$C611="1/2L"),$P611-$O611,IF($C611="X",0,-$O611)),2),0)</f>
        <v>0</v>
      </c>
      <c r="AR611" s="134">
        <f>IF($K611=AR$3,ROUND(IF(OR($C611="W",$C611="1/2W",$C611="1/2L"),$P611-$O611,IF($C611="X",0,-$O611)),2),0)</f>
        <v>0</v>
      </c>
      <c r="AS611" s="132">
        <f>IF(AND($B610=" ",$K611=AS$3),$O611,0)</f>
        <v>0</v>
      </c>
      <c r="AT611" s="133">
        <f>IF(AND($B610=" ",K611=AT$3),$O611,0)</f>
        <v>0</v>
      </c>
      <c r="AU611" s="133">
        <f>IF(AND($B610=" ",$K611=AU$3),$O611,0)</f>
        <v>0</v>
      </c>
      <c r="AV611" s="133">
        <f>IF(AND($B610=" ",$K611=AV$3),$O611,0)</f>
        <v>0</v>
      </c>
      <c r="AW611" s="133">
        <f>IF(AND($B610=" ",$K611=AW$3),$O611,0)</f>
        <v>0</v>
      </c>
      <c r="AX611" s="133">
        <f>IF(AND($B610=" ",$K611=AX$3),$O611,0)</f>
        <v>0</v>
      </c>
      <c r="AY611" s="135">
        <f>IF(AND($B610=" ",$K611=AY$3),$O611,0)</f>
        <v>0</v>
      </c>
      <c r="AZ611" s="136">
        <f>IF(AND($B610=" ",$K611=AZ$3),$O611,0)</f>
        <v>0</v>
      </c>
      <c r="BA611" s="136">
        <f>IF(AND($B610=" ",$K611=BA$3),$O611,0)</f>
        <v>0</v>
      </c>
      <c r="BB611" s="136">
        <f>IF(AND($B610=" ",$K611=BB$3),$O611,0)</f>
        <v>0</v>
      </c>
      <c r="BC611" s="137">
        <f>IF(AND($B610=" ",$K611=BC$3),$O611,0)</f>
        <v>0</v>
      </c>
      <c r="BD611" s="133">
        <f>IF(AND($B610=" ",$K611=BD$3),$O611,0)</f>
        <v>0</v>
      </c>
      <c r="BE611" s="134">
        <f>IF(AND($B610=" ",$K611=BE$3),$O611,0)</f>
        <v>0</v>
      </c>
      <c r="BF611" s="132">
        <f>IF($K611=BF$3,IF($C611="X",0,$O611),0)</f>
        <v>0</v>
      </c>
      <c r="BG611" s="281">
        <f>IF($K611=BG$3,IF($C611="X",0,$O611),0)</f>
        <v>0</v>
      </c>
      <c r="BH611" s="133">
        <f>IF($K611=BH$3,IF($C611="X",0,$O611),0)</f>
        <v>0</v>
      </c>
      <c r="BI611" s="133">
        <f>IF($K611=BI$3,IF($C611="X",0,$O611),0)</f>
        <v>0</v>
      </c>
      <c r="BJ611" s="133">
        <f>IF($K611=BJ$3,IF($C611="X",0,$O611),0)</f>
        <v>0</v>
      </c>
      <c r="BK611" s="133">
        <f>IF($K611=BK$3,IF($C611="X",0,$O611),0)</f>
        <v>0</v>
      </c>
      <c r="BL611" s="133">
        <f>IF($K611=BL$3,IF($C611="X",0,$O611),0)</f>
        <v>0</v>
      </c>
      <c r="BM611" s="135">
        <f>IF($K611=BM$3,IF($C611="X",0,$O611),0)</f>
        <v>0</v>
      </c>
      <c r="BN611" s="136">
        <f>IF($K611=BN$3,IF($C611="X",0,$O611),0)</f>
        <v>0</v>
      </c>
      <c r="BO611" s="136">
        <f>IF($K611=BO$3,IF($C611="X",0,$O611),0)</f>
        <v>0</v>
      </c>
      <c r="BP611" s="136">
        <f>IF($K611=BP$3,IF($C611="X",0,$O611),0)</f>
        <v>0</v>
      </c>
      <c r="BQ611" s="137">
        <f>IF($K611=BQ$3,IF($C611="X",0,$O611),0)</f>
        <v>0</v>
      </c>
      <c r="BR611" s="134">
        <f>IF($K611=BR$3,IF($C611="X",0,$O611),0)</f>
        <v>0</v>
      </c>
      <c r="BS611" s="282"/>
      <c r="BT611" s="283"/>
      <c r="BU611" s="140"/>
      <c r="BV611" s="283"/>
      <c r="BW611" s="140"/>
      <c r="BX611" s="140"/>
      <c r="BY611" s="140"/>
      <c r="BZ611" s="283"/>
      <c r="CA611" s="140"/>
      <c r="CB611" s="140"/>
      <c r="CC611" s="140"/>
      <c r="CD611" s="141"/>
      <c r="CE611" s="142"/>
      <c r="CF611" s="284">
        <f>IF(CF$3=$K611,IF($C611="W",1,IF($C611="1/2W",0.5,0)),0)</f>
        <v>0</v>
      </c>
      <c r="CG611" s="285">
        <f>IF(CF$3=$K611,IF($C611="L",1,IF($C611="1/2L",0.5,0)),0)</f>
        <v>0</v>
      </c>
      <c r="CH611" s="285">
        <f>IF(CH$3=$K611,IF($C611="W",1,IF($C611="1/2W",0.5,0)),0)</f>
        <v>0</v>
      </c>
      <c r="CI611" s="285">
        <f>IF(CH$3=$K611,IF($C611="L",1,IF($C611="1/2L",0.5,0)),0)</f>
        <v>0</v>
      </c>
      <c r="CJ611" s="285">
        <f>IF(CJ$3=$K611,IF($C611="W",1,IF($C611="1/2W",0.5,0)),0)</f>
        <v>0</v>
      </c>
      <c r="CK611" s="285">
        <f>IF(CJ$3=$K611,IF($C611="L",1,IF($C611="1/2L",0.5,0)),0)</f>
        <v>0</v>
      </c>
      <c r="CL611" s="285">
        <f>IF(CL$3=$K611,IF($C611="W",1,IF($C611="1/2W",0.5,0)),0)</f>
        <v>0</v>
      </c>
      <c r="CM611" s="285">
        <f>IF(CL$3=$K611,IF($C611="L",1,IF($C611="1/2L",0.5,0)),0)</f>
        <v>0</v>
      </c>
      <c r="CN611" s="285">
        <f>IF(CN$3=$K611,IF($C611="W",1,IF($C611="1/2W",0.5,0)),0)</f>
        <v>0</v>
      </c>
      <c r="CO611" s="285">
        <f>IF(CN$3=$K611,IF($C611="L",1,IF($C611="1/2L",0.5,0)),0)</f>
        <v>0</v>
      </c>
      <c r="CP611" s="285">
        <f>IF(CP$3=$K611,IF($C611="W",1,IF($C611="1/2W",0.5,0)),0)</f>
        <v>0</v>
      </c>
      <c r="CQ611" s="285">
        <f>IF(CP$3=$K611,IF($C611="L",1,IF($C611="1/2L",0.5,0)),0)</f>
        <v>0</v>
      </c>
      <c r="CR611" s="285">
        <f>IF(CR$3=$K611,IF($C611="W",1,IF($C611="1/2W",0.5,0)),0)</f>
        <v>0</v>
      </c>
      <c r="CS611" s="285">
        <f>IF(CR$3=$K611,IF($C611="L",1,IF($C611="1/2L",0.5,0)),0)</f>
        <v>0</v>
      </c>
      <c r="CT611" s="145">
        <f>IF(CT$3=$K611,IF($C611="W",1,IF($C611="1/2W",0.5,0)),0)</f>
        <v>0</v>
      </c>
      <c r="CU611" s="146">
        <f>IF(CT$3=$K611,IF($C611="L",1,IF($C611="1/2L",0.5,0)),0)</f>
        <v>0</v>
      </c>
      <c r="CV611" s="146">
        <f>IF(CV$3=$K611,IF($C611="W",1,IF($C611="1/2W",0.5,0)),0)</f>
        <v>0</v>
      </c>
      <c r="CW611" s="146">
        <f>IF(CV$3=$K611,IF($C611="L",1,IF($C611="1/2L",0.5,0)),0)</f>
        <v>0</v>
      </c>
      <c r="CX611" s="146">
        <f>IF(CX$3=$K611,IF($C611="W",1,IF($C611="1/2W",0.5,0)),0)</f>
        <v>0</v>
      </c>
      <c r="CY611" s="146">
        <f>IF(CX$3=$K611,IF($C611="L",1,IF($C611="1/2L",0.5,0)),0)</f>
        <v>0</v>
      </c>
      <c r="CZ611" s="146">
        <f>IF(CZ$3=$K611,IF($C611="W",1,IF($C611="1/2W",0.5,0)),0)</f>
        <v>0</v>
      </c>
      <c r="DA611" s="146">
        <f>IF(CZ$3=$K611,IF($C611="L",1,IF($C611="1/2L",0.5,0)),0)</f>
        <v>0</v>
      </c>
      <c r="DB611" s="146">
        <f>IF(DB$3=$K611,IF($C611="W",1,IF($C611="1/2W",0.5,0)),0)</f>
        <v>0</v>
      </c>
      <c r="DC611" s="146">
        <f>IF(DB$3=$K611,IF($C611="L",1,IF($C611="1/2L",0.5,0)),0)</f>
        <v>0</v>
      </c>
      <c r="DD611" s="146">
        <f>IF(DD$3=$K611,IF($C611="W",1,IF($C611="1/2W",0.5,0)),0)</f>
        <v>0</v>
      </c>
      <c r="DE611" s="147">
        <f>IF(DD$3=$K611,IF($C611="L",1,IF($C611="1/2L",0.5,0)),0)</f>
        <v>0</v>
      </c>
      <c r="DF611" s="143">
        <f>IF(AND(L611&lt;DF$3,$C611="W"),1+DF610,DF610)</f>
        <v>17</v>
      </c>
      <c r="DG611" s="133">
        <f>IF(DF611&gt;DF610,L611+DG610,DG610)</f>
        <v>22.628</v>
      </c>
      <c r="DH611" s="146">
        <f>IF(AND(L611&gt;DH$3,$C611="W"),1+DH610,0+DH610)</f>
        <v>16</v>
      </c>
      <c r="DI611" s="133">
        <f>IF(DH611&gt;DH610,L611+DI610,DI610)</f>
        <v>85.45999999999999</v>
      </c>
      <c r="DJ611" t="s" s="304">
        <f>IF($D610="","",$D610)</f>
        <v>431</v>
      </c>
      <c r="DK611" s="286"/>
    </row>
    <row r="612" ht="14.55" customHeight="1">
      <c r="A612" s="149"/>
      <c r="B612" s="150"/>
      <c r="C612" t="s" s="151">
        <v>114</v>
      </c>
      <c r="D612" s="152"/>
      <c r="E612" s="153"/>
      <c r="F612" s="155"/>
      <c r="G612" s="252"/>
      <c r="H612" s="156"/>
      <c r="I612" t="s" s="347">
        <v>67</v>
      </c>
      <c r="J612" s="348">
        <v>8.5</v>
      </c>
      <c r="K612" t="s" s="341">
        <v>38</v>
      </c>
      <c r="L612" s="342">
        <v>3.5</v>
      </c>
      <c r="M612" s="290">
        <v>2.6</v>
      </c>
      <c r="N612" s="161"/>
      <c r="O612" s="343">
        <f>IF(OR(AE610="",AE611=""),"",IF(L612&gt;0,ROUND(IF(M612&gt;0,M612,IF(M610&gt;0,ROUND((M610*AE612)/AE610,IF(N610=0,2,IF(N610=0.1,1,0))),IF(M611&gt;0,ROUND((M611*AE612)/AE611,IF(N610=0,2,IF(N610=0.1,1,0))),IF(M612&gt;0,M612,0)))),2),""))</f>
        <v>2.6</v>
      </c>
      <c r="P612" s="297">
        <f>IF(I611="Lay",O611*(L611/(L611-1))-O611,IF(I610="Lay",O610*(L610/(L610-1))-O610,IF(OR(L612="",O612=""),"",IF($C612="1/2W",O612/2+O612/2*L612,IF($C612="1/2L",O612/2,(O612*L612-O612)*(1-_xlfn.XLOOKUP(K612,'Janeiro 2023 - Valor Real'!A3:A15,'Janeiro 2023 - Valor Real'!C3:C15,0))+O612)))))</f>
        <v>9.1</v>
      </c>
      <c r="Q612" s="344">
        <f>IF(K612="","",IF(_xlfn.XLOOKUP(K612,K$121:K391,DJ$121:DJ391,0,,-1)=DJ612,_xlfn.XLOOKUP(K612,K$121:K391,Q$121:Q391,1,,-1)+1,1))</f>
        <v>1</v>
      </c>
      <c r="R612" s="345">
        <f>IF(K612="","",_xlfn.XLOOKUP(K612,K$121:K391,R$121:R391,0,,-1)+IF($C612=" ",1,0))</f>
        <v>0</v>
      </c>
      <c r="S612" s="166"/>
      <c r="T612" s="155"/>
      <c r="U612" s="155"/>
      <c r="V612" s="166"/>
      <c r="W612" s="155"/>
      <c r="X612" s="167"/>
      <c r="Y612" s="128"/>
      <c r="Z612" s="129"/>
      <c r="AA612" s="129"/>
      <c r="AB612" s="129"/>
      <c r="AC612" s="129"/>
      <c r="AD612" s="168"/>
      <c r="AE612" s="346">
        <f>IF(L612="","",(SUM(((L610-1)*(1-_xlfn.XLOOKUP(K610,'Janeiro 2023 - Valor Real'!A3:A15,'Janeiro 2023 - Valor Real'!C3:C15,0))+1),((L611-1)*(1-_xlfn.XLOOKUP(K611,'Janeiro 2023 - Valor Real'!A3:A15,'Janeiro 2023 - Valor Real'!C3:C15,0))+1),((L612-1)*(1-_xlfn.XLOOKUP(K612,'Janeiro 2023 - Valor Real'!A3:A15,'Janeiro 2023 - Valor Real'!C3:C15,0))+1))/((L612-1)*(1-_xlfn.XLOOKUP(K612,'Janeiro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Real'!C3:C15,0))+1))/((L610-1)*(1-_xlfn.XLOOKUP(K610,'Janeiro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Real'!C3:C15,0))+1))/((L611-1)*(1-_xlfn.XLOOKUP(K611,'Janeiro 2023 - Valor Real'!A3:A15,'Janeiro 2023 - Valor Real'!C3:C15,0))+1)+SUM(((L610-1)*(1-_xlfn.XLOOKUP(K610,'Janeiro 2023 - Valor Real'!A3:A15,'Janeiro 2023 - Valor Real'!C3:C15,0))+1),((L611-1)*(1-_xlfn.XLOOKUP(K611,'Janeiro 2023 - Valor Real'!A3:A15,'Janeiro 2023 - Valor Real'!C3:C15,0))+1),((L612-1)*(1-_xlfn.XLOOKUP(K612,'Janeiro 2023 - Valor Real'!A3:A15,'Janeiro 2023 - Valor Real'!C3:C15,0))+1))/((L612-1)*(1-_xlfn.XLOOKUP(K612,'Janeiro 2023 - Valor Real'!A3:A15,'Janeiro 2023 - Valor Real'!C3:C15,0))+1)))</f>
        <v>0.231598984771574</v>
      </c>
      <c r="AF612" s="132">
        <f>IF($K612=AF$3,ROUND(IF(OR($C612="W",$C612="1/2W",$C612="1/2L"),$P612-$O612,IF($C612="X",0,-$O612)),2),0)</f>
        <v>0</v>
      </c>
      <c r="AG612" s="133">
        <f>IF($K612=AG$3,ROUND(IF(OR($C612="W",$C612="1/2W",$C612="1/2L"),$P612-$O612,IF($C612="X",0,-$O612)),2),0)</f>
        <v>0</v>
      </c>
      <c r="AH612" s="133">
        <f>IF($K612=AH$3,ROUND(IF(OR($C612="W",$C612="1/2W",$C612="1/2L"),$P612-$O612,IF($C612="X",0,-$O612)),2),0)</f>
        <v>0</v>
      </c>
      <c r="AI612" s="133">
        <f>IF($K612=AI$3,ROUND(IF(OR($C612="W",$C612="1/2W",$C612="1/2L"),$P612-$O612,IF($C612="X",0,-$O612)),2),0)</f>
        <v>0</v>
      </c>
      <c r="AJ612" s="133">
        <f>IF($K612=AJ$3,ROUND(IF(OR($C612="W",$C612="1/2W",$C612="1/2L"),$P612-$O612,IF($C612="X",0,-$O612)),2),0)</f>
        <v>0</v>
      </c>
      <c r="AK612" s="133">
        <f>IF($K612=AK$3,ROUND(IF(OR($C612="W",$C612="1/2W",$C612="1/2L"),$P612-$O612,IF($C612="X",0,-$O612)),2),0)</f>
        <v>0</v>
      </c>
      <c r="AL612" s="133">
        <f>IF($K612=AL$3,ROUND(IF(OR($C612="W",$C612="1/2W",$C612="1/2L"),$P612-$O612,IF($C612="X",0,-$O612)),2),0)</f>
        <v>0</v>
      </c>
      <c r="AM612" s="133">
        <f>IF($K612=AM$3,ROUND(IF(OR($C612="W",$C612="1/2W",$C612="1/2L"),$P612-$O612,IF($C612="X",0,-$O612)),2),0)</f>
        <v>0</v>
      </c>
      <c r="AN612" s="133">
        <f>IF($K612=AN$3,ROUND(IF(OR($C612="W",$C612="1/2W",$C612="1/2L"),$P612-$O612,IF($C612="X",0,-$O612)),2),0)</f>
        <v>0</v>
      </c>
      <c r="AO612" s="133">
        <f>IF($K612=AO$3,ROUND(IF(OR($C612="W",$C612="1/2W",$C612="1/2L"),$P612-$O612,IF($C612="X",0,-$O612)),2),0)</f>
        <v>0</v>
      </c>
      <c r="AP612" s="133">
        <f>IF($K612=AP$3,ROUND(IF(OR($C612="W",$C612="1/2W",$C612="1/2L"),$P612-$O612,IF($C612="X",0,-$O612)),2),0)</f>
        <v>0</v>
      </c>
      <c r="AQ612" s="133">
        <f>IF($K612=AQ$3,ROUND(IF(OR($C612="W",$C612="1/2W",$C612="1/2L"),$P612-$O612,IF($C612="X",0,-$O612)),2),0)</f>
        <v>0</v>
      </c>
      <c r="AR612" s="134">
        <f>IF($K612=AR$3,ROUND(IF(OR($C612="W",$C612="1/2W",$C612="1/2L"),$P612-$O612,IF($C612="X",0,-$O612)),2),0)</f>
        <v>0</v>
      </c>
      <c r="AS612" s="132">
        <f>IF(AND($B610=" ",$K612=AS$3),$O612,0)</f>
        <v>0</v>
      </c>
      <c r="AT612" s="133">
        <f>IF(AND($B610=" ",K612=AT$3),$O612,0)</f>
        <v>0</v>
      </c>
      <c r="AU612" s="133">
        <f>IF(AND($B610=" ",$K612=AU$3),$O612,0)</f>
        <v>0</v>
      </c>
      <c r="AV612" s="133">
        <f>IF(AND($B610=" ",$K612=AV$3),$O612,0)</f>
        <v>0</v>
      </c>
      <c r="AW612" s="133">
        <f>IF(AND($B610=" ",$K612=AW$3),$O612,0)</f>
        <v>0</v>
      </c>
      <c r="AX612" s="133">
        <f>IF(AND($B610=" ",$K612=AX$3),$O612,0)</f>
        <v>0</v>
      </c>
      <c r="AY612" s="135">
        <f>IF(AND($B610=" ",$K612=AY$3),$O612,0)</f>
        <v>0</v>
      </c>
      <c r="AZ612" s="136">
        <f>IF(AND($B610=" ",$K612=AZ$3),$O612,0)</f>
        <v>0</v>
      </c>
      <c r="BA612" s="136">
        <f>IF(AND($B610=" ",$K612=BA$3),$O612,0)</f>
        <v>0</v>
      </c>
      <c r="BB612" s="136">
        <f>IF(AND($B610=" ",$K612=BB$3),$O612,0)</f>
        <v>0</v>
      </c>
      <c r="BC612" s="137">
        <f>IF(AND($B610=" ",$K612=BC$3),$O612,0)</f>
        <v>0</v>
      </c>
      <c r="BD612" s="133">
        <f>IF(AND($B610=" ",$K612=BD$3),$O612,0)</f>
        <v>0</v>
      </c>
      <c r="BE612" s="134">
        <f>IF(AND($B610=" ",$K612=BE$3),$O612,0)</f>
        <v>0</v>
      </c>
      <c r="BF612" s="132">
        <f>IF($K612=BF$3,IF($C612="X",0,$O612),0)</f>
        <v>0</v>
      </c>
      <c r="BG612" s="281">
        <f>IF($K612=BG$3,IF($C612="X",0,$O612),0)</f>
        <v>0</v>
      </c>
      <c r="BH612" s="133">
        <f>IF($K612=BH$3,IF($C612="X",0,$O612),0)</f>
        <v>0</v>
      </c>
      <c r="BI612" s="133">
        <f>IF($K612=BI$3,IF($C612="X",0,$O612),0)</f>
        <v>0</v>
      </c>
      <c r="BJ612" s="133">
        <f>IF($K612=BJ$3,IF($C612="X",0,$O612),0)</f>
        <v>0</v>
      </c>
      <c r="BK612" s="133">
        <f>IF($K612=BK$3,IF($C612="X",0,$O612),0)</f>
        <v>0</v>
      </c>
      <c r="BL612" s="133">
        <f>IF($K612=BL$3,IF($C612="X",0,$O612),0)</f>
        <v>0</v>
      </c>
      <c r="BM612" s="135">
        <f>IF($K612=BM$3,IF($C612="X",0,$O612),0)</f>
        <v>0</v>
      </c>
      <c r="BN612" s="136">
        <f>IF($K612=BN$3,IF($C612="X",0,$O612),0)</f>
        <v>0</v>
      </c>
      <c r="BO612" s="136">
        <f>IF($K612=BO$3,IF($C612="X",0,$O612),0)</f>
        <v>0</v>
      </c>
      <c r="BP612" s="136">
        <f>IF($K612=BP$3,IF($C612="X",0,$O612),0)</f>
        <v>0</v>
      </c>
      <c r="BQ612" s="137">
        <f>IF($K612=BQ$3,IF($C612="X",0,$O612),0)</f>
        <v>0</v>
      </c>
      <c r="BR612" s="134">
        <f>IF($K612=BR$3,IF($C612="X",0,$O612),0)</f>
        <v>0</v>
      </c>
      <c r="BS612" s="282"/>
      <c r="BT612" s="283"/>
      <c r="BU612" s="140"/>
      <c r="BV612" s="283"/>
      <c r="BW612" s="140"/>
      <c r="BX612" s="140"/>
      <c r="BY612" s="140"/>
      <c r="BZ612" s="283"/>
      <c r="CA612" s="140"/>
      <c r="CB612" s="140"/>
      <c r="CC612" s="140"/>
      <c r="CD612" s="141"/>
      <c r="CE612" s="142"/>
      <c r="CF612" s="284">
        <f>IF(CF$3=$K612,IF($C612="W",1,IF($C612="1/2W",0.5,0)),0)</f>
        <v>0</v>
      </c>
      <c r="CG612" s="285">
        <f>IF(CF$3=$K612,IF($C612="L",1,IF($C612="1/2L",0.5,0)),0)</f>
        <v>0</v>
      </c>
      <c r="CH612" s="285">
        <f>IF(CH$3=$K612,IF($C612="W",1,IF($C612="1/2W",0.5,0)),0)</f>
        <v>0</v>
      </c>
      <c r="CI612" s="285">
        <f>IF(CH$3=$K612,IF($C612="L",1,IF($C612="1/2L",0.5,0)),0)</f>
        <v>0</v>
      </c>
      <c r="CJ612" s="285">
        <f>IF(CJ$3=$K612,IF($C612="W",1,IF($C612="1/2W",0.5,0)),0)</f>
        <v>0</v>
      </c>
      <c r="CK612" s="285">
        <f>IF(CJ$3=$K612,IF($C612="L",1,IF($C612="1/2L",0.5,0)),0)</f>
        <v>0</v>
      </c>
      <c r="CL612" s="285">
        <f>IF(CL$3=$K612,IF($C612="W",1,IF($C612="1/2W",0.5,0)),0)</f>
        <v>0</v>
      </c>
      <c r="CM612" s="285">
        <f>IF(CL$3=$K612,IF($C612="L",1,IF($C612="1/2L",0.5,0)),0)</f>
        <v>0</v>
      </c>
      <c r="CN612" s="285">
        <f>IF(CN$3=$K612,IF($C612="W",1,IF($C612="1/2W",0.5,0)),0)</f>
        <v>0</v>
      </c>
      <c r="CO612" s="285">
        <f>IF(CN$3=$K612,IF($C612="L",1,IF($C612="1/2L",0.5,0)),0)</f>
        <v>0</v>
      </c>
      <c r="CP612" s="285">
        <f>IF(CP$3=$K612,IF($C612="W",1,IF($C612="1/2W",0.5,0)),0)</f>
        <v>0</v>
      </c>
      <c r="CQ612" s="285">
        <f>IF(CP$3=$K612,IF($C612="L",1,IF($C612="1/2L",0.5,0)),0)</f>
        <v>0</v>
      </c>
      <c r="CR612" s="285">
        <f>IF(CR$3=$K612,IF($C612="W",1,IF($C612="1/2W",0.5,0)),0)</f>
        <v>0</v>
      </c>
      <c r="CS612" s="285">
        <f>IF(CR$3=$K612,IF($C612="L",1,IF($C612="1/2L",0.5,0)),0)</f>
        <v>0</v>
      </c>
      <c r="CT612" s="145">
        <f>IF(CT$3=$K612,IF($C612="W",1,IF($C612="1/2W",0.5,0)),0)</f>
        <v>0</v>
      </c>
      <c r="CU612" s="146">
        <f>IF(CT$3=$K612,IF($C612="L",1,IF($C612="1/2L",0.5,0)),0)</f>
        <v>0</v>
      </c>
      <c r="CV612" s="146">
        <f>IF(CV$3=$K612,IF($C612="W",1,IF($C612="1/2W",0.5,0)),0)</f>
        <v>0</v>
      </c>
      <c r="CW612" s="146">
        <f>IF(CV$3=$K612,IF($C612="L",1,IF($C612="1/2L",0.5,0)),0)</f>
        <v>0</v>
      </c>
      <c r="CX612" s="146">
        <f>IF(CX$3=$K612,IF($C612="W",1,IF($C612="1/2W",0.5,0)),0)</f>
        <v>0</v>
      </c>
      <c r="CY612" s="146">
        <f>IF(CX$3=$K612,IF($C612="L",1,IF($C612="1/2L",0.5,0)),0)</f>
        <v>0</v>
      </c>
      <c r="CZ612" s="146">
        <f>IF(CZ$3=$K612,IF($C612="W",1,IF($C612="1/2W",0.5,0)),0)</f>
        <v>0</v>
      </c>
      <c r="DA612" s="146">
        <f>IF(CZ$3=$K612,IF($C612="L",1,IF($C612="1/2L",0.5,0)),0)</f>
        <v>0</v>
      </c>
      <c r="DB612" s="146">
        <f>IF(DB$3=$K612,IF($C612="W",1,IF($C612="1/2W",0.5,0)),0)</f>
        <v>0</v>
      </c>
      <c r="DC612" s="146">
        <f>IF(DB$3=$K612,IF($C612="L",1,IF($C612="1/2L",0.5,0)),0)</f>
        <v>0</v>
      </c>
      <c r="DD612" s="146">
        <f>IF(DD$3=$K612,IF($C612="W",1,IF($C612="1/2W",0.5,0)),0)</f>
        <v>0</v>
      </c>
      <c r="DE612" s="147">
        <f>IF(DD$3=$K612,IF($C612="L",1,IF($C612="1/2L",0.5,0)),0)</f>
        <v>0</v>
      </c>
      <c r="DF612" s="143">
        <f>IF(AND(L612&lt;DF$3,$C612="W"),1+DF611,DF611)</f>
        <v>17</v>
      </c>
      <c r="DG612" s="133">
        <f>IF(DF612&gt;DF611,L612+DG611,DG611)</f>
        <v>22.628</v>
      </c>
      <c r="DH612" s="146">
        <f>IF(AND(L612&gt;DH$3,$C612="W"),1+DH611,0+DH611)</f>
        <v>16</v>
      </c>
      <c r="DI612" s="133">
        <f>IF(DH612&gt;DH611,L612+DI611,DI611)</f>
        <v>85.45999999999999</v>
      </c>
      <c r="DJ612" t="s" s="304">
        <f>IF($D610="","",$D610)</f>
        <v>431</v>
      </c>
      <c r="DK612" s="286"/>
    </row>
    <row r="613" ht="14.55" customHeight="1">
      <c r="A613" s="171">
        <f>$A610+1</f>
        <v>204</v>
      </c>
      <c r="B613" t="s" s="172">
        <f>IF(AND(_xlfn.XLOOKUP(H613,H$122:H386,G$122:G386,0)=G613,_xlfn.XLOOKUP("TempoBet",K613:K615,L613:L615,0)&gt;0),"X",IF(OR(C613="W",C614="W",C615="W",C613="1/2W",C614="1/2W",C615="1/2W",C613="1/2L",C614="1/2L",C615="1/2L"),"OK",IF(OR(C613="L",C614="L",C615="L"),"LOSS",IF(OR(C613="X",C614="X",C615="X"),"Anulado"," "))))</f>
        <v>50</v>
      </c>
      <c r="C613" t="s" s="173">
        <v>56</v>
      </c>
      <c r="D613" t="s" s="305">
        <f>IF(G613="","",$D610)</f>
        <v>431</v>
      </c>
      <c r="E613" t="s" s="175">
        <f>IF(G613=""," ","– "&amp;COUNTIF(D$4:D615,$D613))</f>
        <v>93</v>
      </c>
      <c r="F613" t="s" s="176">
        <f>IF(G613="","",IF(OR(AND($C613&lt;&gt;" ",$C614=" "),AND($C614&lt;&gt;" ",$C613=" "),AND(L615&gt;0,OR(AND($C615&lt;&gt;" ",OR($C613=" ",$C614=" ")),AND($C615=" ",OR($C613&lt;&gt;" ",$C614&lt;&gt;" "))))),IF(SUM(F$4:F612)=0,1,LARGE(F$4:F612,1)+1),IF(MONTH(G613)=MONTH(TODAY()),IF(AND(DAY(G613)&lt;DAY(TODAY()),$B613=" "),IF(SUM(F$4:F612)=0,1,LARGE(F$4:F612,1)+1),IF($B613=" ",IF(AND(DAY(G613)=DAY(TODAY()),HOUR(G613)&lt;=HOUR(NOW())+1),IF(AND(HOUR(G613)+2&lt;=HOUR(NOW()),DAY(G613)&lt;=DAY(TODAY()),MINUTE(G613)&lt;=MINUTE(NOW())),IF(SUM(F$4:F612)=0,1,LARGE(F$4:F612,1)+1),IF(OR(MINUTE(G613)&lt;=MINUTE(NOW()),HOUR(G613)&lt;=HOUR(NOW())),"!!!","")),""),"")),"")))</f>
      </c>
      <c r="G613" s="177">
        <v>44953.604166666664</v>
      </c>
      <c r="H613" t="s" s="178">
        <v>452</v>
      </c>
      <c r="I613" t="s" s="179">
        <v>65</v>
      </c>
      <c r="J613" s="291">
        <v>10</v>
      </c>
      <c r="K613" t="s" s="181">
        <v>37</v>
      </c>
      <c r="L613" s="182">
        <v>1.9</v>
      </c>
      <c r="M613" s="183">
        <v>33.75</v>
      </c>
      <c r="N613" s="184">
        <v>0</v>
      </c>
      <c r="O613" s="185">
        <f>IF(OR(AE613="",AE614=""),"",ROUND(IF(L615&gt;0,IF(M613&gt;0,M613,IF(M614&gt;0,ROUND((M614*AE613)/AE614,IF(N613=0,2,IF(N613=0.1,1,0))),ROUND((M615*AE613)/AE615,IF(N613=0,2,IF(N613=0.1,1,0))))),IF(M613&gt;0,M613,ROUND((M614*AE613)/AE614,IF(N613=0,2,IF(N613=0.1,1,0))))),2))</f>
        <v>33.75</v>
      </c>
      <c r="P613" s="186">
        <f>IF(OR(L613="",O613=""),"",IF($C613="1/2W",O613/2+O613/2*L613,IF($C613="1/2L",O613/2,IF(I613="Lay",(O613*(L613/(L613-1))-O613)*(1-_xlfn.XLOOKUP(K613,'Janeiro 2023 - Valor Real'!A3:A15,'Janeiro 2023 - Valor Real'!C3:C15,0))+O613,(O613*L613-O613)*(1-_xlfn.XLOOKUP(K613,'Janeiro 2023 - Valor Real'!A3:A15,'Janeiro 2023 - Valor Real'!C3:C15,0))+O613))))</f>
        <v>64.125</v>
      </c>
      <c r="Q613" s="187">
        <f>IF(K613="","",IF(_xlfn.XLOOKUP(K613,K$122:K386,DJ$122:DJ386,0,,-1)=DJ613,_xlfn.XLOOKUP(K613,K$122:K386,Q$122:Q386,1,,-1)+1,1))</f>
        <v>1</v>
      </c>
      <c r="R613" s="188">
        <f>IF(K613="","",_xlfn.XLOOKUP(K613,K$122:K386,R$122:R386,0,,-1)+IF($C613=" ",1,0))</f>
        <v>0</v>
      </c>
      <c r="S613" s="189">
        <f>IF($B613="Anulado",0,ROUND(IF(OR($B613="LOSS",$B613="OK"),IF(OR($C613="W",$C613="1/2W",$C613="1/2L"),P613-O613,IF($C613="L",-O613,0))+IF(OR($C614="W",$C614="1/2W",$C614="1/2L"),P614-O614,IF($C614="L",-O614,0))+IF(OR($C615="W",$C615="1/2W",$C615="1/2L"),P615-O615,IF($C615="L",-O615,0)),IF(AND(OR($C613="W",$C613="1/2W",$C613="1/2L"),C614="W"),P613+P614-SUM(O613:O615)+_xlfn.XLOOKUP("X",C613:C615,O613:O615,0),IF(AND(C613=TRUE,C615="W"),P613+P615-SUM(O613:O615),IF(AND(C614="W",C615="W"),P614+P615-SUM(O613:O615)+_xlfn.XLOOKUP("X",C613:C615,O613:O615,0),IF(L615&gt;0,IF(OR($C613="W",$C613="1/2W",$C613="1/2L"),P613-SUM(O613:O615)+_xlfn.XLOOKUP("X",C613:C615,O613:O615,0),IF(OR($C613="W",$C613="1/2W",$C613="1/2L"),P614-SUM(O613:O615)+_xlfn.XLOOKUP("X",C613:C615,O613:O615,0),IF(OR($C613="W",$C613="1/2W",$C613="1/2L"),P615-SUM(O613:O615)+_xlfn.XLOOKUP("X",C613:C615,O613:O615,0),IF(SUM(P613:P615)/3-SUM(O613:O615)+_xlfn.XLOOKUP("X",C613:C615,O613:O615,0)&gt;0,SUM(P613:P615)/3-SUM(O613:O615)+_xlfn.XLOOKUP("X",C613:C615,O613:O615,0),LARGE(P613:P615,1)-SUM(O613:O615))))),IF(OR($C613="W",$C613="1/2W",$C613="1/2L"),P613-SUM(O613:O614)+_xlfn.XLOOKUP("X",C613:C615,O613:O615,0),IF(OR($C613="W",$C613="1/2W",$C613="1/2L"),P614-SUM(O613:O614)+_xlfn.XLOOKUP("X",C613:C615,O613:O615,0),SUM(P613:P614)/2-SUM(O613:O614)+_xlfn.XLOOKUP("X",C613:C615,O613:O615,0)))))))),2))</f>
        <v>5.91</v>
      </c>
      <c r="T613" s="190">
        <f>IF(S613=0,0,S613/SUM(O613:O615))</f>
        <v>0.101511508072827</v>
      </c>
      <c r="U613" s="191">
        <f>IF($D613=$D610,IF(OR($B613="LOSS",$B613="OK",$B613="Anulada"),S613,0)+U610,IF(OR($B613="LOSS",$B613="OK",$B613="Anulada"),S613,0))</f>
        <v>20.66</v>
      </c>
      <c r="V613" s="191">
        <f>IF($D613="",0,IF($D613=$D610,IF($B613=" ",IF(I615="",IF(OR(AND(I613="DNB1",I614="DNB2"),AND(OR(I613="DNB1",I613="DNB2"),J614=0),AND(OR(I614="DNB1",I614="DNB2"),J613=0),AND(I613="DNB2",I614="DNB1"),AND(IF(J613=0,(J613+1)/ROUND(J613+1,0),J613/ROUND(J613,0))=1,IF(J614=0,(J614+1)/ROUND(IF(J614="",0,J614)+1,0),IF(J614="",0,J614)/ROUND(IF(J614="",1,J614),0))=1,OR(J613&lt;&gt;""),J614&lt;&gt;"")),0,IF(S613&lt;0,IF(I615="",SMALL(P613:P614,1)-SUM(O613:O614),0),SMALL(P613:P614,1)-SUM(O613:O614))),IF(S613&lt;0,IF(I615="",SMALL(P613:P615,1)-SUM(O613:O615),0),LARGE(P613:P615,1)-SUM(O613:O615))),S613)+V610,IF(I615="",IF(OR(AND(I613="DNB1",I614="DNB2"),AND(OR(I613="DNB1",I613="DNB2"),J614=0),AND(OR(I614="DNB1",I614="DNB2"),J613=0),AND(I613="DNB2",I614="DNB1"),AND(IF(J613=0,(J613+1)/ROUND(J613+1,0),J613/ROUND(J613,0))=1,IF(J614=0,(IF(J614="",0,J614)+1)/ROUND(IF(J614="",0,J614)+1,0),IF(J614="",0,J614)/ROUND(IF(J614="",0,J614)+1,0))=1,OR(J613&lt;&gt;""),J614&lt;&gt;"")),0,IF(S613&lt;0,IF(I615="",SMALL(P613:P614,1)-SUM(O613:O614),0),SMALL(P613:P615,1)-SUM(O613:O615))),IF(S613&lt;0,IF(I615="",SMALL(P613:P615,1)-SUM(O613:O615),0),LARGE(P613:P615,1)-SUM(O613:O615)))))</f>
        <v>20.632</v>
      </c>
      <c r="W613" s="191">
        <f>IF($D613=$D610,IF(S613&lt;0,IF(I615="",S613,0),S613)+W610,S613)</f>
        <v>20.66</v>
      </c>
      <c r="X613" t="s" s="192">
        <f>IF(OR(SUM(R613:R615)=0,V613=W613),ROUND(IF(W613=0,0,W613/Y613)*100,2)&amp;"%",ROUND(IF(V613=0,0,V613/Y613)*100,2)&amp;"% a "&amp;ROUND(IF(W613=0,0,W613/Y613)*100,2)&amp;"%")</f>
        <v>92</v>
      </c>
      <c r="Y613" s="193">
        <f>IF($D613=$D610,Y610+SUM(O613:O615),SUM(O613:O615))</f>
        <v>302.95</v>
      </c>
      <c r="Z613" s="191">
        <f>IF($B613=" ",SUM(O613:O615),0)+Z610</f>
        <v>0</v>
      </c>
      <c r="AA613" s="191">
        <f>IF(G613="","",IF($B613="Anulado",LARGE(P613:P615,1)-SUM(O613:O615)+AA610,AA610))</f>
        <v>26.8740076923077</v>
      </c>
      <c r="AB613" s="191">
        <f>IF($D613="","",AB610+S613)</f>
        <v>408.99</v>
      </c>
      <c r="AC613" s="194">
        <f>IF($D613="","",IF($B613=" ",IF(DAY(G613)=DAY(TODAY()),1+AC610,0+AC610),0+AC610))</f>
        <v>0</v>
      </c>
      <c r="AD613" s="195">
        <f>(((L614/(L614-1)-1)*(1-_xlfn.XLOOKUP(K614,'Janeiro 2023 - Valor Real'!A3:A15,'Janeiro 2023 - Valor Real'!C3:C15,0))+1))/(((L613-1)*(1-_xlfn.XLOOKUP(K613,'Janeiro 2023 - Valor Real'!A3:A15,'Janeiro 2023 - Valor Real'!C3:C15,0))+1)+((L614/(L614-1)-1)*(1-_xlfn.XLOOKUP(K614,'Janeiro 2023 - Valor Real'!A3:A15,'Janeiro 2023 - Valor Real'!C3:C15,0))+1))</f>
        <v>0.375586854460094</v>
      </c>
      <c r="AE613" s="196">
        <f>IF(L613="","",IF(L615&gt;0,(SUM(((L613-1)*(1-_xlfn.XLOOKUP(K613,'Janeiro 2023 - Valor Real'!A3:A15,'Janeiro 2023 - Valor Real'!C3:C15,0))+1),((L614-1)*(1-_xlfn.XLOOKUP(K614,'Janeiro 2023 - Valor Real'!A3:A15,'Janeiro 2023 - Valor Real'!C3:C15,0))+1),((L615-1)*(1-_xlfn.XLOOKUP(K615,'Janeiro 2023 - Valor Real'!A3:A15,'Janeiro 2023 - Valor Real'!C3:C15,0))+1))/((L613-1)*(1-_xlfn.XLOOKUP(K613,'Janeiro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Real'!C3:C15,0))+1))/((L613-1)*(1-_xlfn.XLOOKUP(K613,'Janeiro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Real'!C3:C15,0))+1))/((L614-1)*(1-_xlfn.XLOOKUP(K614,'Janeiro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Real'!C3:C15,0))+1))/((L615-1)*(1-_xlfn.XLOOKUP(K615,'Janeiro 2023 - Valor Real'!A3:A15,'Janeiro 2023 - Valor Real'!C3:C15,0))+1)),IF(I613="Lay",IF(I614="Lay",((L614/(L614-1)-1)*(1-_xlfn.XLOOKUP(K614,'Janeiro 2023 - Valor Real'!A3:A15,'Janeiro 2023 - Valor Real'!C3:C15,0))+1)/(((L614/(L614-1)-1)*(1-_xlfn.XLOOKUP(K614,'Janeiro 2023 - Valor Real'!A3:A15,'Janeiro 2023 - Valor Real'!C3:C15,0))+1)+((L613/(L613-1)-1)*(1-_xlfn.XLOOKUP(K613,'Janeiro 2023 - Valor Real'!A3:A15,'Janeiro 2023 - Valor Real'!C3:C15,0))+1)),((L614-1)*(1-_xlfn.XLOOKUP(K614,'Janeiro 2023 - Valor Real'!A3:A15,'Janeiro 2023 - Valor Real'!C3:C15,0))+1)/(((L614-1)*(1-_xlfn.XLOOKUP(K614,'Janeiro 2023 - Valor Real'!A3:A15,'Janeiro 2023 - Valor Real'!C3:C15,0))+1)+((L613/(L613-1)-1)*(1-_xlfn.XLOOKUP(K613,'Janeiro 2023 - Valor Real'!A3:A15,'Janeiro 2023 - Valor Real'!C3:C15,0))+1))),IF(I614="Lay",(((L614/(L614-1)-1)*(1-_xlfn.XLOOKUP(K614,'Janeiro 2023 - Valor Real'!A3:A15,'Janeiro 2023 - Valor Real'!C3:C15,0))+1))/(((L613-1)*(1-_xlfn.XLOOKUP(K613,'Janeiro 2023 - Valor Real'!A3:A15,'Janeiro 2023 - Valor Real'!C3:C15,0))+1)+((L614/(L614-1)-1)*(1-_xlfn.XLOOKUP(K614,'Janeiro 2023 - Valor Real'!A3:A15,'Janeiro 2023 - Valor Real'!C3:C15,0))+1)),((L614-1)*(1-_xlfn.XLOOKUP(K614,'Janeiro 2023 - Valor Real'!A3:A15,'Janeiro 2023 - Valor Real'!C3:C15,0))+1)/(((L614-1)*(1-_xlfn.XLOOKUP(K614,'Janeiro 2023 - Valor Real'!A3:A15,'Janeiro 2023 - Valor Real'!C3:C15,0))+1)+((L613-1)*(1-_xlfn.XLOOKUP(K613,'Janeiro 2023 - Valor Real'!A3:A15,'Janeiro 2023 - Valor Real'!C3:C15,0))+1))))))</f>
        <v>0.540422750054478</v>
      </c>
      <c r="AF613" s="197">
        <f>IF($K613=AF$3,ROUND(IF(OR($C613="W",$C613="1/2W",$C613="1/2L"),$P613-$O613,IF($C613="X",0,-$O613)),2),0)</f>
        <v>30.38</v>
      </c>
      <c r="AG613" s="198">
        <f>IF($K613=AG$3,ROUND(IF(OR($C613="W",$C613="1/2W",$C613="1/2L"),$P613-$O613,IF($C613="X",0,-$O613)),2),0)</f>
        <v>0</v>
      </c>
      <c r="AH613" s="198">
        <f>IF($K613=AH$3,ROUND(IF(OR($C613="W",$C613="1/2W",$C613="1/2L"),$P613-$O613,IF($C613="X",0,-$O613)),2),0)</f>
        <v>0</v>
      </c>
      <c r="AI613" s="198">
        <f>IF($K613=AI$3,ROUND(IF(OR($C613="W",$C613="1/2W",$C613="1/2L"),$P613-$O613,IF($C613="X",0,-$O613)),2),0)</f>
        <v>0</v>
      </c>
      <c r="AJ613" s="198">
        <f>IF($K613=AJ$3,ROUND(IF(OR($C613="W",$C613="1/2W",$C613="1/2L"),$P613-$O613,IF($C613="X",0,-$O613)),2),0)</f>
        <v>0</v>
      </c>
      <c r="AK613" s="198">
        <f>IF($K613=AK$3,ROUND(IF(OR($C613="W",$C613="1/2W",$C613="1/2L"),$P613-$O613,IF($C613="X",0,-$O613)),2),0)</f>
        <v>0</v>
      </c>
      <c r="AL613" s="198">
        <f>IF($K613=AL$3,ROUND(IF(OR($C613="W",$C613="1/2W",$C613="1/2L"),$P613-$O613,IF($C613="X",0,-$O613)),2),0)</f>
        <v>0</v>
      </c>
      <c r="AM613" s="198">
        <f>IF($K613=AM$3,ROUND(IF(OR($C613="W",$C613="1/2W",$C613="1/2L"),$P613-$O613,IF($C613="X",0,-$O613)),2),0)</f>
        <v>0</v>
      </c>
      <c r="AN613" s="198">
        <f>IF($K613=AN$3,ROUND(IF(OR($C613="W",$C613="1/2W",$C613="1/2L"),$P613-$O613,IF($C613="X",0,-$O613)),2),0)</f>
        <v>0</v>
      </c>
      <c r="AO613" s="198">
        <f>IF($K613=AO$3,ROUND(IF(OR($C613="W",$C613="1/2W",$C613="1/2L"),$P613-$O613,IF($C613="X",0,-$O613)),2),0)</f>
        <v>0</v>
      </c>
      <c r="AP613" s="198">
        <f>IF($K613=AP$3,ROUND(IF(OR($C613="W",$C613="1/2W",$C613="1/2L"),$P613-$O613,IF($C613="X",0,-$O613)),2),0)</f>
        <v>0</v>
      </c>
      <c r="AQ613" s="198">
        <f>IF($K613=AQ$3,ROUND(IF(OR($C613="W",$C613="1/2W",$C613="1/2L"),$P613-$O613,IF($C613="X",0,-$O613)),2),0)</f>
        <v>0</v>
      </c>
      <c r="AR613" s="199">
        <f>IF($K613=AR$3,ROUND(IF(OR($C613="W",$C613="1/2W",$C613="1/2L"),$P613-$O613,IF($C613="X",0,-$O613)),2),0)</f>
        <v>0</v>
      </c>
      <c r="AS613" s="197">
        <f>IF(AND($B613=" ",$K613=AS$3),$O613,0)</f>
        <v>0</v>
      </c>
      <c r="AT613" s="198">
        <f>IF(AND($B613=" ",$K613=AT$3),$O613,0)</f>
        <v>0</v>
      </c>
      <c r="AU613" s="198">
        <f>IF(AND($B613=" ",$K613=AU$3),$O613,0)</f>
        <v>0</v>
      </c>
      <c r="AV613" s="198">
        <f>IF(AND($B613=" ",$K613=AV$3),$O613,0)</f>
        <v>0</v>
      </c>
      <c r="AW613" s="198">
        <f>IF(AND($B613=" ",$K613=AW$3),$O613,0)</f>
        <v>0</v>
      </c>
      <c r="AX613" s="198">
        <f>IF(AND($B613=" ",$K613=AX$3),$O613,0)</f>
        <v>0</v>
      </c>
      <c r="AY613" s="200">
        <f>IF(AND($B613=" ",$K613=AY$3),$O613,0)</f>
        <v>0</v>
      </c>
      <c r="AZ613" s="201">
        <f>IF(AND($B613=" ",$K613=AZ$3),$O613,0)</f>
        <v>0</v>
      </c>
      <c r="BA613" s="201">
        <f>IF(AND($B613=" ",$K613=BA$3),$O613,0)</f>
        <v>0</v>
      </c>
      <c r="BB613" s="201">
        <f>IF(AND($B613=" ",$K613=BB$3),$O613,0)</f>
        <v>0</v>
      </c>
      <c r="BC613" s="202">
        <f>IF(AND($B613=" ",$K613=BC$3),$O613,0)</f>
        <v>0</v>
      </c>
      <c r="BD613" s="198">
        <f>IF(AND($B613=" ",$K613=BD$3),$O613,0)</f>
        <v>0</v>
      </c>
      <c r="BE613" s="199">
        <f>IF(AND($B613=" ",$K613=BE$3),$O613,0)</f>
        <v>0</v>
      </c>
      <c r="BF613" s="203">
        <f>IF($K613=BF$3,IF($C613="X",0,$O613),0)</f>
        <v>33.75</v>
      </c>
      <c r="BG613" s="198">
        <f>IF($K613=BG$3,IF($C613="X",0,$O613),0)</f>
        <v>0</v>
      </c>
      <c r="BH613" s="198">
        <f>IF($K613=BH$3,IF($C613="X",0,$O613),0)</f>
        <v>0</v>
      </c>
      <c r="BI613" s="198">
        <f>IF($K613=BI$3,IF($C613="X",0,$O613),0)</f>
        <v>0</v>
      </c>
      <c r="BJ613" s="198">
        <f>IF($K613=BJ$3,IF($C613="X",0,$O613),0)</f>
        <v>0</v>
      </c>
      <c r="BK613" s="198">
        <f>IF($K613=BK$3,IF($C613="X",0,$O613),0)</f>
        <v>0</v>
      </c>
      <c r="BL613" s="198">
        <f>IF($K613=BL$3,IF($C613="X",0,$O613),0)</f>
        <v>0</v>
      </c>
      <c r="BM613" s="200">
        <f>IF($K613=BM$3,IF($C613="X",0,$O613),0)</f>
        <v>0</v>
      </c>
      <c r="BN613" s="201">
        <f>IF($K613=BN$3,IF($C613="X",0,$O613),0)</f>
        <v>0</v>
      </c>
      <c r="BO613" s="201">
        <f>IF($K613=BO$3,IF($C613="X",0,$O613),0)</f>
        <v>0</v>
      </c>
      <c r="BP613" s="201">
        <f>IF($K613=BP$3,IF($C613="X",0,$O613),0)</f>
        <v>0</v>
      </c>
      <c r="BQ613" s="202">
        <f>IF($K613=BQ$3,IF($C613="X",0,$O613),0)</f>
        <v>0</v>
      </c>
      <c r="BR613" s="199">
        <f>IF($K613=BR$3,IF($C613="X",0,$O613),0)</f>
        <v>0</v>
      </c>
      <c r="BS613" s="204">
        <f>IF($B613="LOSS",IF(AND($K613=BS$3,$C613="L"),-$O613,0)+IF(AND($K614=BS$3,$C614="L"),-$O614,0)+IF(AND($K615=BS$3,$C615="L"),-$O615,0),IF(OR(AND($K613=BS$3,OR($C613="W",$C613="1/2W")),AND($K614=BS$3,OR($C614="W",$C614="1/2W")),AND($K615=BS$3,OR($C615="W",$C615="1/2W"))),$S613,0))</f>
        <v>5.91</v>
      </c>
      <c r="BT613" s="201">
        <f>IF($B613="LOSS",IF(AND($K613=BT$3,$C613="L"),-$O613,0)+IF(AND($K614=BT$3,$C614="L"),-$O614,0)+IF(AND($K614=BT$3,$C615="L"),-$O615,0),IF(OR(AND($K614=BT$3,OR($C613="W",$C613="1/2W")),AND($K614=BT$3,OR($C614="W",$C614="1/2W")),AND($K614=BT$3,OR($C615="W",$C615="1/2W"))),$S613,0))</f>
        <v>0</v>
      </c>
      <c r="BU613" s="201">
        <f>IF($B613="LOSS",IF(AND($K613=BU$3,$C613="L"),-$O613,0)+IF(AND($K614=BU$3,$C614="L"),-$O614,0)+IF(AND($K614=BU$3,$C615="L"),-$O615,0),IF(OR(AND($K614=BU$3,OR($C613="W",$C613="1/2W")),AND($K614=BU$3,OR($C614="W",$C614="1/2W")),AND($K614=BU$3,OR($C615="W",$C615="1/2W"))),$S613,0))</f>
        <v>0</v>
      </c>
      <c r="BV613" s="201">
        <f>IF($B613="LOSS",IF(AND($K613=BV$3,$C613="L"),-$O613,0)+IF(AND($K614=BV$3,$C614="L"),-$O614,0)+IF(AND($K615=BV$3,$C615="L"),-$O615,0),IF(OR(AND($K613=BV$3,OR($C613="W",$C613="1/2W")),AND($K614=BV$3,OR($C614="W",$C614="1/2W")),AND($K615=BV$3,OR($C615="W",$C615="1/2W"))),$S613,0))</f>
        <v>0</v>
      </c>
      <c r="BW613" s="201">
        <f>IF($B613="LOSS",IF(AND($K613=BW$3,$C613="L"),-$O613,0)+IF(AND($K614=BW$3,$C614="L"),-$O614,0)+IF(AND($K615=BW$3,$C615="L"),-$O615,0),IF(OR(AND($K613=BW$3,OR($C613="W",$C613="1/2W")),AND($K614=BW$3,OR($C614="W",$C614="1/2W")),AND($K615=BW$3,OR($C615="W",$C615="1/2W"))),$S613,0))</f>
        <v>0</v>
      </c>
      <c r="BX613" s="201">
        <f>IF($B613="LOSS",IF(AND($K613=BX$3,$C613="L"),-$O613,0)+IF(AND($K614=BX$3,$C614="L"),-$O614,0)+IF(AND($K615=BX$3,$C615="L"),-$O615,0),IF(OR(AND($K613=BX$3,OR($C613="W",$C613="1/2W")),AND($K614=BX$3,OR($C614="W",$C614="1/2W")),AND($K615=BX$3,OR($C615="W",$C615="1/2W"))),$S613,0))</f>
        <v>0</v>
      </c>
      <c r="BY613" s="201">
        <f>IF($B613="LOSS",IF(AND($K613=BY$3,$C613="L"),-$O613,0)+IF(AND($K614=BY$3,$C614="L"),-$O614,0)+IF(AND($K615=BY$3,$C615="L"),-$O615,0),IF(OR(AND($K613=BY$3,OR($C613="W",$C613="1/2W")),AND($K614=BY$3,OR($C614="W",$C614="1/2W")),AND($K615=BY$3,OR($C615="W",$C615="1/2W"))),$S613,0))</f>
        <v>0</v>
      </c>
      <c r="BZ613" s="205">
        <f>IF($B613="LOSS",IF(AND($K613=BZ$3,$C613="L"),-$O613,0)+IF(AND($K614=BZ$3,$C614="L"),-$O614,0)+IF(AND($K615=BZ$3,$C615="L"),-$O615,0),IF(OR(AND($K613=BZ$3,OR($C613="W",$C613="1/2W")),AND($K614=BZ$3,OR($C614="W",$C614="1/2W")),AND($K615=BZ$3,OR($C615="W",$C615="1/2W"))),$S613,0))</f>
        <v>0</v>
      </c>
      <c r="CA613" s="205">
        <f>IF($B613="LOSS",IF(AND($K613=CA$3,$C613="L"),-$O613,0)+IF(AND($K614=CA$3,$C614="L"),-$O614,0)+IF(AND($K615=CA$3,$C615="L"),-$O615,0),IF(OR(AND($K613=CA$3,OR($C613="W",$C613="1/2W")),AND($K614=CA$3,OR($C614="W",$C614="1/2W")),AND($K615=CA$3,OR($C615="W",$C615="1/2W"))),$S613,0))</f>
        <v>0</v>
      </c>
      <c r="CB613" s="205">
        <f>IF($B613="LOSS",IF(AND($K613=CB$3,$C613="L"),-$O613,0)+IF(AND($K614=CB$3,$C614="L"),-$O614,0)+IF(AND($K615=CB$3,$C615="L"),-$O615,0),IF(OR(AND($K613=CB$3,OR($C613="W",$C613="1/2W")),AND($K614=CB$3,OR($C614="W",$C614="1/2W")),AND($K615=CB$3,OR($C615="W",$C615="1/2W"))),$S613,0))</f>
        <v>0</v>
      </c>
      <c r="CC613" s="205">
        <f>IF($B613="LOSS",IF(AND($K613=CC$3,$C613="L"),-$O613,0)+IF(AND($K614=CC$3,$C614="L"),-$O614,0)+IF(AND($K615=CC$3,$C615="L"),-$O615,0),IF(OR(AND($K613=CC$3,OR($C613="W",$C613="1/2W")),AND($K614=CC$3,OR($C614="W",$C614="1/2W")),AND($K615=CC$3,OR($C615="W",$C615="1/2W"))),$S613,0))</f>
        <v>0</v>
      </c>
      <c r="CD613" s="202">
        <f>IF($B613="LOSS",IF(AND($K613=CD$3,$C613="L"),-$O613,0)+IF(AND($K614=CD$3,$C614="L"),-$O614,0)+IF(AND($K615=CD$3,$C615="L"),-$O615,0),IF(OR(AND($K613=CD$3,OR($C613="W",$C613="1/2W")),AND($K614=CD$3,OR($C614="W",$C614="1/2W")),AND($K615=CD$3,OR($C615="W",$C615="1/2W"))),$S613,0))</f>
        <v>0</v>
      </c>
      <c r="CE613" s="199">
        <f>IF($B613="LOSS",IF(AND($K613=CE$3,$C613="L"),-$O613,0)+IF(AND($K614=CE$3,$C614="L"),-$O614,0)+IF(AND($K615=CE$3,$C615="L"),-$O615,0),IF(OR(AND($K613=CE$3,OR($C613="W",$C613="1/2W")),AND($K614=CE$3,OR($C614="W",$C614="1/2W")),AND($K615=CE$3,OR($C615="W",$C615="1/2W"))),$S613,0))</f>
        <v>0</v>
      </c>
      <c r="CF613" s="206">
        <f>IF(CF$3=$K613,IF($C613="W",1,IF($C613="1/2W",0.5,0)),0)</f>
        <v>1</v>
      </c>
      <c r="CG613" s="207">
        <f>IF(CF$3=$K613,IF($C613="L",1,IF($C613="1/2L",0.5,0)),0)</f>
        <v>0</v>
      </c>
      <c r="CH613" s="207">
        <f>IF(CH$3=$K613,IF($C613="W",1,IF($C613="1/2W",0.5,0)),0)</f>
        <v>0</v>
      </c>
      <c r="CI613" s="207">
        <f>IF(CH$3=$K613,IF($C613="L",1,IF($C613="1/2L",0.5,0)),0)</f>
        <v>0</v>
      </c>
      <c r="CJ613" s="207">
        <f>IF(CJ$3=$K613,IF($C613="W",1,IF($C613="1/2W",0.5,0)),0)</f>
        <v>0</v>
      </c>
      <c r="CK613" s="207">
        <f>IF(CJ$3=$K613,IF($C613="L",1,IF($C613="1/2L",0.5,0)),0)</f>
        <v>0</v>
      </c>
      <c r="CL613" s="207">
        <f>IF(CL$3=$K613,IF($C613="W",1,IF($C613="1/2W",0.5,0)),0)</f>
        <v>0</v>
      </c>
      <c r="CM613" s="207">
        <f>IF(CL$3=$K613,IF($C613="L",1,IF($C613="1/2L",0.5,0)),0)</f>
        <v>0</v>
      </c>
      <c r="CN613" s="207">
        <f>IF(CN$3=$K613,IF($C613="W",1,IF($C613="1/2W",0.5,0)),0)</f>
        <v>0</v>
      </c>
      <c r="CO613" s="207">
        <f>IF(CN$3=$K613,IF($C613="L",1,IF($C613="1/2L",0.5,0)),0)</f>
        <v>0</v>
      </c>
      <c r="CP613" s="207">
        <f>IF(CP$3=$K613,IF($C613="W",1,IF($C613="1/2W",0.5,0)),0)</f>
        <v>0</v>
      </c>
      <c r="CQ613" s="207">
        <f>IF(CP$3=$K613,IF($C613="L",1,IF($C613="1/2L",0.5,0)),0)</f>
        <v>0</v>
      </c>
      <c r="CR613" s="207">
        <f>IF(CR$3=$K613,IF($C613="W",1,IF($C613="1/2W",0.5,0)),0)</f>
        <v>0</v>
      </c>
      <c r="CS613" s="207">
        <f>IF(CR$3=$K613,IF($C613="L",1,IF($C613="1/2L",0.5,0)),0)</f>
        <v>0</v>
      </c>
      <c r="CT613" s="208">
        <f>IF(CT$3=$K613,IF($C613="W",1,IF($C613="1/2W",0.5,0)),0)</f>
        <v>0</v>
      </c>
      <c r="CU613" s="209">
        <f>IF(CT$3=$K613,IF($C613="L",1,IF($C613="1/2L",0.5,0)),0)</f>
        <v>0</v>
      </c>
      <c r="CV613" s="209">
        <f>IF(CV$3=$K613,IF($C613="W",1,IF($C613="1/2W",0.5,0)),0)</f>
        <v>0</v>
      </c>
      <c r="CW613" s="209">
        <f>IF(CV$3=$K613,IF($C613="L",1,IF($C613="1/2L",0.5,0)),0)</f>
        <v>0</v>
      </c>
      <c r="CX613" s="209">
        <f>IF(CX$3=$K613,IF($C613="W",1,IF($C613="1/2W",0.5,0)),0)</f>
        <v>0</v>
      </c>
      <c r="CY613" s="209">
        <f>IF(CX$3=$K613,IF($C613="L",1,IF($C613="1/2L",0.5,0)),0)</f>
        <v>0</v>
      </c>
      <c r="CZ613" s="209">
        <f>IF(CZ$3=$K613,IF($C613="W",1,IF($C613="1/2W",0.5,0)),0)</f>
        <v>0</v>
      </c>
      <c r="DA613" s="209">
        <f>IF(CZ$3=$K613,IF($C613="L",1,IF($C613="1/2L",0.5,0)),0)</f>
        <v>0</v>
      </c>
      <c r="DB613" s="209">
        <f>IF(DB$3=$K613,IF($C613="W",1,IF($C613="1/2W",0.5,0)),0)</f>
        <v>0</v>
      </c>
      <c r="DC613" s="209">
        <f>IF(DB$3=$K613,IF($C613="L",1,IF($C613="1/2L",0.5,0)),0)</f>
        <v>0</v>
      </c>
      <c r="DD613" s="209">
        <f>IF(DD$3=$K613,IF($C613="W",1,IF($C613="1/2W",0.5,0)),0)</f>
        <v>0</v>
      </c>
      <c r="DE613" s="210">
        <f>IF(DD$3=$K613,IF($C613="L",1,IF($C613="1/2L",0.5,0)),0)</f>
        <v>0</v>
      </c>
      <c r="DF613" s="211">
        <f>IF(AND(L613&lt;DF$3,$C613="W"),1+DF612,DF612)</f>
        <v>17</v>
      </c>
      <c r="DG613" s="198">
        <f>IF(DF613&gt;DF612,L613+DG612,DG612)</f>
        <v>22.628</v>
      </c>
      <c r="DH613" s="209">
        <f>IF(AND(L613&gt;DH$3,$C613="W"),1+DH612,0+DH612)</f>
        <v>16</v>
      </c>
      <c r="DI613" s="198">
        <f>IF(DH613&gt;DH612,L613+DI612,DI612)</f>
        <v>85.45999999999999</v>
      </c>
      <c r="DJ613" t="s" s="306">
        <f>IF($D613="","",$D613)</f>
        <v>431</v>
      </c>
      <c r="DK613" s="209">
        <f>IF(AND($B613=" ",$D613&lt;&gt;""),1,0)</f>
        <v>0</v>
      </c>
    </row>
    <row r="614" ht="14.55" customHeight="1">
      <c r="A614" s="107"/>
      <c r="B614" s="108"/>
      <c r="C614" t="s" s="213">
        <v>51</v>
      </c>
      <c r="D614" s="110"/>
      <c r="E614" s="111"/>
      <c r="F614" s="113"/>
      <c r="G614" s="214"/>
      <c r="H614" s="114"/>
      <c r="I614" s="332"/>
      <c r="J614" s="296">
        <v>10</v>
      </c>
      <c r="K614" t="s" s="217">
        <v>37</v>
      </c>
      <c r="L614" s="218">
        <v>8</v>
      </c>
      <c r="M614" s="219">
        <v>3.8</v>
      </c>
      <c r="N614" s="120"/>
      <c r="O614" s="220">
        <f>IF(OR(AE613="",AE614=""),"",ROUND(IF(L615&gt;0,IF(M614&gt;0,M614,IF(M613&gt;0,IF(N613=TRUE,ROUND((M613*AE614)/AE613,0),(M613*AE614)/AE613),IF(M614&gt;0,ROUND(M614,IF(N613=0,2,IF(N613=0.1,1,0))),IF(M615&gt;0,ROUND(O615*AE614/AE615,IF(N613=0,2,IF(N613=0.1,1,0))),0)))),IF(M614&gt;0,M614,ROUND((M613*AE614)/AE613,IF(N613=0,2,IF(N613=0.1,1,0))))),2))</f>
        <v>3.8</v>
      </c>
      <c r="P614" s="221">
        <f>IF(OR(L614="",O614=""),"",IF($C614="1/2W",O614/2+O614/2*L614,IF($C614="1/2L",O614/2,IF(I614="Lay",((O614*(L614/(L614-1)))-O614)*(1-_xlfn.XLOOKUP(K614,'Janeiro 2023 - Valor Real'!A3:A15,'Janeiro 2023 - Valor Real'!C3:C15,0))+O614,(O614*L614-O614)*(1-_xlfn.XLOOKUP(K614,'Janeiro 2023 - Valor Real'!A3:A15,'Janeiro 2023 - Valor Real'!C3:C15,0))+O614))))</f>
        <v>30.4</v>
      </c>
      <c r="Q614" s="222">
        <f>IF(K614="","",IF(_xlfn.XLOOKUP(K614,K$123:K387,DJ$123:DJ387,0,,-1)=DJ614,_xlfn.XLOOKUP(K614,K$123:K387,Q$123:Q387,1,,-1)+1,1))</f>
        <v>1</v>
      </c>
      <c r="R614" s="223">
        <f>IF(K614="","",_xlfn.XLOOKUP(K614,K$123:K387,R$123:R387,0,,-1)+IF($C614=" ",1,0))</f>
        <v>0</v>
      </c>
      <c r="S614" s="125"/>
      <c r="T614" s="126"/>
      <c r="U614" s="126"/>
      <c r="V614" s="224"/>
      <c r="W614" s="126"/>
      <c r="X614" s="127"/>
      <c r="Y614" s="128"/>
      <c r="Z614" s="129"/>
      <c r="AA614" s="129"/>
      <c r="AB614" s="129"/>
      <c r="AC614" s="129"/>
      <c r="AD614" s="225">
        <f>(((L614/(L614-1)-1)*(1-_xlfn.XLOOKUP(K614,'Janeiro 2023 - Valor Real'!A3:A15,'Janeiro 2023 - Valor Real'!C3:C15,0))+1))</f>
        <v>1.14285714285714</v>
      </c>
      <c r="AE614" s="226">
        <f>IF(L614="","",IF(L615&gt;0,(SUM(((L613-1)*(1-_xlfn.XLOOKUP(K613,'Janeiro 2023 - Valor Real'!A3:A15,'Janeiro 2023 - Valor Real'!C3:C15,0))+1),((L614-1)*(1-_xlfn.XLOOKUP(K614,'Janeiro 2023 - Valor Real'!A3:A15,'Janeiro 2023 - Valor Real'!C3:C15,0))+1),((L615-1)*(1-_xlfn.XLOOKUP(K615,'Janeiro 2023 - Valor Real'!A3:A15,'Janeiro 2023 - Valor Real'!C3:C15,0))+1))/((L614-1)*(1-_xlfn.XLOOKUP(K614,'Janeiro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Real'!C3:C15,0))+1))/((L613-1)*(1-_xlfn.XLOOKUP(K613,'Janeiro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Real'!C3:C15,0))+1))/((L614-1)*(1-_xlfn.XLOOKUP(K614,'Janeiro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Real'!C3:C15,0))+1))/((L615-1)*(1-_xlfn.XLOOKUP(K615,'Janeiro 2023 - Valor Real'!A3:A15,'Janeiro 2023 - Valor Real'!C3:C15,0))+1)),IF(I614="Lay",IF(I613="Lay",((L613/(L613-1)-1)*(1-_xlfn.XLOOKUP(K613,'Janeiro 2023 - Valor Real'!A3:A15,'Janeiro 2023 - Valor Real'!C3:C15,0))+1)/(((L613/(L613-1)-1)*(1-_xlfn.XLOOKUP(K613,'Janeiro 2023 - Valor Real'!A3:A15,'Janeiro 2023 - Valor Real'!C3:C15,0))+1)+((L614/(L614-1)-1)*(1-_xlfn.XLOOKUP(K614,'Janeiro 2023 - Valor Real'!A3:A15,'Janeiro 2023 - Valor Real'!C3:C15,0))+1)),((L613-1)*(1-_xlfn.XLOOKUP(K613,'Janeiro 2023 - Valor Real'!A3:A15,'Janeiro 2023 - Valor Real'!C3:C15,0))+1)/(((L613-1)*(1-_xlfn.XLOOKUP(K613,'Janeiro 2023 - Valor Real'!A3:A15,'Janeiro 2023 - Valor Real'!C3:C15,0))+1)+((L614/(L614-1)-1)*(1-_xlfn.XLOOKUP(K614,'Janeiro 2023 - Valor Real'!A3:A15,'Janeiro 2023 - Valor Real'!C3:C15,0))+1))),IF(I613="Lay",((L613/(L613-1)-1)*(1-_xlfn.XLOOKUP(K613,'Janeiro 2023 - Valor Real'!A3:A15,'Janeiro 2023 - Valor Real'!C3:C15,0))+1)/((((L613/(L613-1)-1)*(1-_xlfn.XLOOKUP(K613,'Janeiro 2023 - Valor Real'!A3:A15,'Janeiro 2023 - Valor Real'!C3:C15,0))+1))+((L614-1)*(1-_xlfn.XLOOKUP(K614,'Janeiro 2023 - Valor Real'!A3:A15,'Janeiro 2023 - Valor Real'!C3:C15,0))+1)),((L613-1)*(1-_xlfn.XLOOKUP(K613,'Janeiro 2023 - Valor Real'!A3:A15,'Janeiro 2023 - Valor Real'!C3:C15,0))+1)/(((L613-1)*(1-_xlfn.XLOOKUP(K613,'Janeiro 2023 - Valor Real'!A3:A15,'Janeiro 2023 - Valor Real'!C3:C15,0))+1)+((L614-1)*(1-_xlfn.XLOOKUP(K614,'Janeiro 2023 - Valor Real'!A3:A15,'Janeiro 2023 - Valor Real'!C3:C15,0))+1))))))</f>
        <v>0.128350403137939</v>
      </c>
      <c r="AF614" s="197">
        <f>IF($K614=AF$3,ROUND(IF(OR($C614="W",$C614="1/2W",$C614="1/2L"),$P614-$O614,IF($C614="X",0,-$O614)),2),0)</f>
        <v>-3.8</v>
      </c>
      <c r="AG614" s="198">
        <f>IF($K614=AG$3,ROUND(IF(OR($C614="W",$C614="1/2W",$C614="1/2L"),$P614-$O614,IF($C614="X",0,-$O614)),2),0)</f>
        <v>0</v>
      </c>
      <c r="AH614" s="198">
        <f>IF($K614=AH$3,ROUND(IF(OR($C614="W",$C614="1/2W",$C614="1/2L"),$P614-$O614,IF($C614="X",0,-$O614)),2),0)</f>
        <v>0</v>
      </c>
      <c r="AI614" s="198">
        <f>IF($K614=AI$3,ROUND(IF(OR($C614="W",$C614="1/2W",$C614="1/2L"),$P614-$O614,IF($C614="X",0,-$O614)),2),0)</f>
        <v>0</v>
      </c>
      <c r="AJ614" s="198">
        <f>IF($K614=AJ$3,ROUND(IF(OR($C614="W",$C614="1/2W",$C614="1/2L"),$P614-$O614,IF($C614="X",0,-$O614)),2),0)</f>
        <v>0</v>
      </c>
      <c r="AK614" s="198">
        <f>IF($K614=AK$3,ROUND(IF(OR($C614="W",$C614="1/2W",$C614="1/2L"),$P614-$O614,IF($C614="X",0,-$O614)),2),0)</f>
        <v>0</v>
      </c>
      <c r="AL614" s="198">
        <f>IF($K614=AL$3,ROUND(IF(OR($C614="W",$C614="1/2W",$C614="1/2L"),$P614-$O614,IF($C614="X",0,-$O614)),2),0)</f>
        <v>0</v>
      </c>
      <c r="AM614" s="198">
        <f>IF($K614=AM$3,ROUND(IF(OR($C614="W",$C614="1/2W",$C614="1/2L"),$P614-$O614,IF($C614="X",0,-$O614)),2),0)</f>
        <v>0</v>
      </c>
      <c r="AN614" s="198">
        <f>IF($K614=AN$3,ROUND(IF(OR($C614="W",$C614="1/2W",$C614="1/2L"),$P614-$O614,IF($C614="X",0,-$O614)),2),0)</f>
        <v>0</v>
      </c>
      <c r="AO614" s="198">
        <f>IF($K614=AO$3,ROUND(IF(OR($C614="W",$C614="1/2W",$C614="1/2L"),$P614-$O614,IF($C614="X",0,-$O614)),2),0)</f>
        <v>0</v>
      </c>
      <c r="AP614" s="198">
        <f>IF($K614=AP$3,ROUND(IF(OR($C614="W",$C614="1/2W",$C614="1/2L"),$P614-$O614,IF($C614="X",0,-$O614)),2),0)</f>
        <v>0</v>
      </c>
      <c r="AQ614" s="198">
        <f>IF($K614=AQ$3,ROUND(IF(OR($C614="W",$C614="1/2W",$C614="1/2L"),$P614-$O614,IF($C614="X",0,-$O614)),2),0)</f>
        <v>0</v>
      </c>
      <c r="AR614" s="199">
        <f>IF($K614=AR$3,ROUND(IF(OR($C614="W",$C614="1/2W",$C614="1/2L"),$P614-$O614,IF($C614="X",0,-$O614)),2),0)</f>
        <v>0</v>
      </c>
      <c r="AS614" s="197">
        <f>IF(AND($B613=" ",$K614=AS$3),$O614,0)</f>
        <v>0</v>
      </c>
      <c r="AT614" s="198">
        <f>IF(AND($B613=" ",K614=AT$3),$O614,0)</f>
        <v>0</v>
      </c>
      <c r="AU614" s="198">
        <f>IF(AND($B613=" ",$K614=AU$3),$O614,0)</f>
        <v>0</v>
      </c>
      <c r="AV614" s="198">
        <f>IF(AND($B613=" ",$K614=AV$3),$O614,0)</f>
        <v>0</v>
      </c>
      <c r="AW614" s="198">
        <f>IF(AND($B613=" ",$K614=AW$3),$O614,0)</f>
        <v>0</v>
      </c>
      <c r="AX614" s="198">
        <f>IF(AND($B613=" ",$K614=AX$3),$O614,0)</f>
        <v>0</v>
      </c>
      <c r="AY614" s="200">
        <f>IF(AND($B613=" ",$K614=AY$3),$O614,0)</f>
        <v>0</v>
      </c>
      <c r="AZ614" s="201">
        <f>IF(AND($B613=" ",$K614=AZ$3),$O614,0)</f>
        <v>0</v>
      </c>
      <c r="BA614" s="201">
        <f>IF(AND($B613=" ",$K614=BA$3),$O614,0)</f>
        <v>0</v>
      </c>
      <c r="BB614" s="201">
        <f>IF(AND($B613=" ",$K614=BB$3),$O614,0)</f>
        <v>0</v>
      </c>
      <c r="BC614" s="202">
        <f>IF(AND($B613=" ",$K614=BC$3),$O614,0)</f>
        <v>0</v>
      </c>
      <c r="BD614" s="198">
        <f>IF(AND($B613=" ",$K614=BD$3),$O614,0)</f>
        <v>0</v>
      </c>
      <c r="BE614" s="199">
        <f>IF(AND($B613=" ",$K614=BE$3),$O614,0)</f>
        <v>0</v>
      </c>
      <c r="BF614" s="197">
        <f>IF($K614=BF$3,IF($C614="X",0,$O614),0)</f>
        <v>3.8</v>
      </c>
      <c r="BG614" s="198">
        <f>IF($K614=BG$3,IF($C614="X",0,$O614),0)</f>
        <v>0</v>
      </c>
      <c r="BH614" s="198">
        <f>IF($K614=BH$3,IF($C614="X",0,$O614),0)</f>
        <v>0</v>
      </c>
      <c r="BI614" s="198">
        <f>IF($K614=BI$3,IF($C614="X",0,$O614),0)</f>
        <v>0</v>
      </c>
      <c r="BJ614" s="198">
        <f>IF($K614=BJ$3,IF($C614="X",0,$O614),0)</f>
        <v>0</v>
      </c>
      <c r="BK614" s="198">
        <f>IF($K614=BK$3,IF($C614="X",0,$O614),0)</f>
        <v>0</v>
      </c>
      <c r="BL614" s="198">
        <f>IF($K614=BL$3,IF($C614="X",0,$O614),0)</f>
        <v>0</v>
      </c>
      <c r="BM614" s="227">
        <f>IF($K614=BM$3,IF($C614="X",0,$O614),0)</f>
        <v>0</v>
      </c>
      <c r="BN614" s="205">
        <f>IF($K614=BN$3,IF($C614="X",0,$O614),0)</f>
        <v>0</v>
      </c>
      <c r="BO614" s="205">
        <f>IF($K614=BO$3,IF($C614="X",0,$O614),0)</f>
        <v>0</v>
      </c>
      <c r="BP614" s="205">
        <f>IF($K614=BP$3,IF($C614="X",0,$O614),0)</f>
        <v>0</v>
      </c>
      <c r="BQ614" s="202">
        <f>IF($K614=BQ$3,IF($C614="X",0,$O614),0)</f>
        <v>0</v>
      </c>
      <c r="BR614" s="199">
        <f>IF($K614=BR$3,IF($C614="X",0,$O614),0)</f>
        <v>0</v>
      </c>
      <c r="BS614" s="228"/>
      <c r="BT614" s="229"/>
      <c r="BU614" s="140"/>
      <c r="BV614" s="229"/>
      <c r="BW614" s="140"/>
      <c r="BX614" s="140"/>
      <c r="BY614" s="140"/>
      <c r="BZ614" s="229"/>
      <c r="CA614" s="140"/>
      <c r="CB614" s="140"/>
      <c r="CC614" s="140"/>
      <c r="CD614" s="141"/>
      <c r="CE614" s="142"/>
      <c r="CF614" s="230">
        <f>IF(CF$3=$K614,IF($C614="W",1,IF($C614="1/2W",0.5,0)),0)</f>
        <v>0</v>
      </c>
      <c r="CG614" s="231">
        <f>IF(CF$3=$K614,IF($C614="L",1,IF($C614="1/2L",0.5,0)),0)</f>
        <v>1</v>
      </c>
      <c r="CH614" s="231">
        <f>IF(CH$3=$K614,IF($C614="W",1,IF($C614="1/2W",0.5,0)),0)</f>
        <v>0</v>
      </c>
      <c r="CI614" s="231">
        <f>IF(CH$3=$K614,IF($C614="L",1,IF($C614="1/2L",0.5,0)),0)</f>
        <v>0</v>
      </c>
      <c r="CJ614" s="231">
        <f>IF(CJ$3=$K614,IF($C614="W",1,IF($C614="1/2W",0.5,0)),0)</f>
        <v>0</v>
      </c>
      <c r="CK614" s="231">
        <f>IF(CJ$3=$K614,IF($C614="L",1,IF($C614="1/2L",0.5,0)),0)</f>
        <v>0</v>
      </c>
      <c r="CL614" s="231">
        <f>IF(CL$3=$K614,IF($C614="W",1,IF($C614="1/2W",0.5,0)),0)</f>
        <v>0</v>
      </c>
      <c r="CM614" s="231">
        <f>IF(CL$3=$K614,IF($C614="L",1,IF($C614="1/2L",0.5,0)),0)</f>
        <v>0</v>
      </c>
      <c r="CN614" s="231">
        <f>IF(CN$3=$K614,IF($C614="W",1,IF($C614="1/2W",0.5,0)),0)</f>
        <v>0</v>
      </c>
      <c r="CO614" s="231">
        <f>IF(CN$3=$K614,IF($C614="L",1,IF($C614="1/2L",0.5,0)),0)</f>
        <v>0</v>
      </c>
      <c r="CP614" s="231">
        <f>IF(CP$3=$K614,IF($C614="W",1,IF($C614="1/2W",0.5,0)),0)</f>
        <v>0</v>
      </c>
      <c r="CQ614" s="231">
        <f>IF(CP$3=$K614,IF($C614="L",1,IF($C614="1/2L",0.5,0)),0)</f>
        <v>0</v>
      </c>
      <c r="CR614" s="231">
        <f>IF(CR$3=$K614,IF($C614="W",1,IF($C614="1/2W",0.5,0)),0)</f>
        <v>0</v>
      </c>
      <c r="CS614" s="231">
        <f>IF(CR$3=$K614,IF($C614="L",1,IF($C614="1/2L",0.5,0)),0)</f>
        <v>0</v>
      </c>
      <c r="CT614" s="208">
        <f>IF(CT$3=$K614,IF($C614="W",1,IF($C614="1/2W",0.5,0)),0)</f>
        <v>0</v>
      </c>
      <c r="CU614" s="209">
        <f>IF(CT$3=$K614,IF($C614="L",1,IF($C614="1/2L",0.5,0)),0)</f>
        <v>0</v>
      </c>
      <c r="CV614" s="209">
        <f>IF(CV$3=$K614,IF($C614="W",1,IF($C614="1/2W",0.5,0)),0)</f>
        <v>0</v>
      </c>
      <c r="CW614" s="209">
        <f>IF(CV$3=$K614,IF($C614="L",1,IF($C614="1/2L",0.5,0)),0)</f>
        <v>0</v>
      </c>
      <c r="CX614" s="209">
        <f>IF(CX$3=$K614,IF($C614="W",1,IF($C614="1/2W",0.5,0)),0)</f>
        <v>0</v>
      </c>
      <c r="CY614" s="209">
        <f>IF(CX$3=$K614,IF($C614="L",1,IF($C614="1/2L",0.5,0)),0)</f>
        <v>0</v>
      </c>
      <c r="CZ614" s="209">
        <f>IF(CZ$3=$K614,IF($C614="W",1,IF($C614="1/2W",0.5,0)),0)</f>
        <v>0</v>
      </c>
      <c r="DA614" s="209">
        <f>IF(CZ$3=$K614,IF($C614="L",1,IF($C614="1/2L",0.5,0)),0)</f>
        <v>0</v>
      </c>
      <c r="DB614" s="209">
        <f>IF(DB$3=$K614,IF($C614="W",1,IF($C614="1/2W",0.5,0)),0)</f>
        <v>0</v>
      </c>
      <c r="DC614" s="209">
        <f>IF(DB$3=$K614,IF($C614="L",1,IF($C614="1/2L",0.5,0)),0)</f>
        <v>0</v>
      </c>
      <c r="DD614" s="209">
        <f>IF(DD$3=$K614,IF($C614="W",1,IF($C614="1/2W",0.5,0)),0)</f>
        <v>0</v>
      </c>
      <c r="DE614" s="210">
        <f>IF(DD$3=$K614,IF($C614="L",1,IF($C614="1/2L",0.5,0)),0)</f>
        <v>0</v>
      </c>
      <c r="DF614" s="211">
        <f>IF(AND(L614&lt;DF$3,$C614="W"),1+DF613,DF613)</f>
        <v>17</v>
      </c>
      <c r="DG614" s="198">
        <f>IF(DF614&gt;DF613,L614+DG613,DG613)</f>
        <v>22.628</v>
      </c>
      <c r="DH614" s="209">
        <f>IF(AND(L614&gt;DH$3,$C614="W"),1+DH613,0+DH613)</f>
        <v>16</v>
      </c>
      <c r="DI614" s="198">
        <f>IF(DH614&gt;DH613,L614+DI613,DI613)</f>
        <v>85.45999999999999</v>
      </c>
      <c r="DJ614" t="s" s="306">
        <f>IF($D613="","",$D613)</f>
        <v>431</v>
      </c>
      <c r="DK614" s="232"/>
    </row>
    <row r="615" ht="14.55" customHeight="1">
      <c r="A615" s="149"/>
      <c r="B615" s="150"/>
      <c r="C615" t="s" s="233">
        <v>51</v>
      </c>
      <c r="D615" s="152"/>
      <c r="E615" s="153"/>
      <c r="F615" s="155"/>
      <c r="G615" s="234"/>
      <c r="H615" s="156"/>
      <c r="I615" t="s" s="349">
        <v>67</v>
      </c>
      <c r="J615" s="350">
        <v>9.5</v>
      </c>
      <c r="K615" t="s" s="351">
        <v>38</v>
      </c>
      <c r="L615" s="352">
        <v>3.1</v>
      </c>
      <c r="M615" s="239">
        <v>20.67</v>
      </c>
      <c r="N615" s="161"/>
      <c r="O615" s="335">
        <f>IF(OR(AE613="",AE614=""),"",IF(L615&gt;0,ROUND(IF(M615&gt;0,M615,IF(M613&gt;0,ROUND((M613*AE615)/AE613,IF(N613=0,2,IF(N613=0.1,1,0))),IF(M614&gt;0,ROUND((M614*AE615)/AE614,IF(N613=0,2,IF(N613=0.1,1,0))),IF(M615&gt;0,M615,0)))),2),""))</f>
        <v>20.67</v>
      </c>
      <c r="P615" s="309">
        <f>IF(I614="Lay",O614*(L614/(L614-1))-O614,IF(I613="Lay",O613*(L613/(L613-1))-O613,IF(OR(L615="",O615=""),"",IF($C615="1/2W",O615/2+O615/2*L615,IF($C615="1/2L",O615/2,(O615*L615-O615)*(1-_xlfn.XLOOKUP(K615,'Janeiro 2023 - Valor Real'!A3:A15,'Janeiro 2023 - Valor Real'!C3:C15,0))+O615)))))</f>
        <v>64.077</v>
      </c>
      <c r="Q615" s="336">
        <f>IF(K615="","",IF(_xlfn.XLOOKUP(K615,K$124:K388,DJ$124:DJ388,0,,-1)=DJ615,_xlfn.XLOOKUP(K615,K$124:K388,Q$124:Q388,1,,-1)+1,1))</f>
        <v>1</v>
      </c>
      <c r="R615" s="337">
        <f>IF(K615="","",_xlfn.XLOOKUP(K615,K$124:K388,R$124:R388,0,,-1)+IF($C615=" ",1,0))</f>
        <v>0</v>
      </c>
      <c r="S615" s="166"/>
      <c r="T615" s="155"/>
      <c r="U615" s="155"/>
      <c r="V615" s="166"/>
      <c r="W615" s="155"/>
      <c r="X615" s="167"/>
      <c r="Y615" s="128"/>
      <c r="Z615" s="129"/>
      <c r="AA615" s="129"/>
      <c r="AB615" s="129"/>
      <c r="AC615" s="129"/>
      <c r="AD615" s="244">
        <f>((L614/(L614-1)-1))</f>
        <v>0.142857142857143</v>
      </c>
      <c r="AE615" s="338">
        <f>IF(L615="","",(SUM(((L613-1)*(1-_xlfn.XLOOKUP(K613,'Janeiro 2023 - Valor Real'!A3:A15,'Janeiro 2023 - Valor Real'!C3:C15,0))+1),((L614-1)*(1-_xlfn.XLOOKUP(K614,'Janeiro 2023 - Valor Real'!A3:A15,'Janeiro 2023 - Valor Real'!C3:C15,0))+1),((L615-1)*(1-_xlfn.XLOOKUP(K615,'Janeiro 2023 - Valor Real'!A3:A15,'Janeiro 2023 - Valor Real'!C3:C15,0))+1))/((L615-1)*(1-_xlfn.XLOOKUP(K615,'Janeiro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Real'!C3:C15,0))+1))/((L613-1)*(1-_xlfn.XLOOKUP(K613,'Janeiro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Real'!C3:C15,0))+1))/((L614-1)*(1-_xlfn.XLOOKUP(K614,'Janeiro 2023 - Valor Real'!A3:A15,'Janeiro 2023 - Valor Real'!C3:C15,0))+1)+SUM(((L613-1)*(1-_xlfn.XLOOKUP(K613,'Janeiro 2023 - Valor Real'!A3:A15,'Janeiro 2023 - Valor Real'!C3:C15,0))+1),((L614-1)*(1-_xlfn.XLOOKUP(K614,'Janeiro 2023 - Valor Real'!A3:A15,'Janeiro 2023 - Valor Real'!C3:C15,0))+1),((L615-1)*(1-_xlfn.XLOOKUP(K615,'Janeiro 2023 - Valor Real'!A3:A15,'Janeiro 2023 - Valor Real'!C3:C15,0))+1))/((L615-1)*(1-_xlfn.XLOOKUP(K615,'Janeiro 2023 - Valor Real'!A3:A15,'Janeiro 2023 - Valor Real'!C3:C15,0))+1)))</f>
        <v>0.331226846807583</v>
      </c>
      <c r="AF615" s="197">
        <f>IF($K615=AF$3,ROUND(IF(OR($C615="W",$C615="1/2W",$C615="1/2L"),$P615-$O615,IF($C615="X",0,-$O615)),2),0)</f>
        <v>0</v>
      </c>
      <c r="AG615" s="198">
        <f>IF($K615=AG$3,ROUND(IF(OR($C615="W",$C615="1/2W",$C615="1/2L"),$P615-$O615,IF($C615="X",0,-$O615)),2),0)</f>
        <v>-20.67</v>
      </c>
      <c r="AH615" s="198">
        <f>IF($K615=AH$3,ROUND(IF(OR($C615="W",$C615="1/2W",$C615="1/2L"),$P615-$O615,IF($C615="X",0,-$O615)),2),0)</f>
        <v>0</v>
      </c>
      <c r="AI615" s="198">
        <f>IF($K615=AI$3,ROUND(IF(OR($C615="W",$C615="1/2W",$C615="1/2L"),$P615-$O615,IF($C615="X",0,-$O615)),2),0)</f>
        <v>0</v>
      </c>
      <c r="AJ615" s="198">
        <f>IF($K615=AJ$3,ROUND(IF(OR($C615="W",$C615="1/2W",$C615="1/2L"),$P615-$O615,IF($C615="X",0,-$O615)),2),0)</f>
        <v>0</v>
      </c>
      <c r="AK615" s="198">
        <f>IF($K615=AK$3,ROUND(IF(OR($C615="W",$C615="1/2W",$C615="1/2L"),$P615-$O615,IF($C615="X",0,-$O615)),2),0)</f>
        <v>0</v>
      </c>
      <c r="AL615" s="198">
        <f>IF($K615=AL$3,ROUND(IF(OR($C615="W",$C615="1/2W",$C615="1/2L"),$P615-$O615,IF($C615="X",0,-$O615)),2),0)</f>
        <v>0</v>
      </c>
      <c r="AM615" s="198">
        <f>IF($K615=AM$3,ROUND(IF(OR($C615="W",$C615="1/2W",$C615="1/2L"),$P615-$O615,IF($C615="X",0,-$O615)),2),0)</f>
        <v>0</v>
      </c>
      <c r="AN615" s="198">
        <f>IF($K615=AN$3,ROUND(IF(OR($C615="W",$C615="1/2W",$C615="1/2L"),$P615-$O615,IF($C615="X",0,-$O615)),2),0)</f>
        <v>0</v>
      </c>
      <c r="AO615" s="198">
        <f>IF($K615=AO$3,ROUND(IF(OR($C615="W",$C615="1/2W",$C615="1/2L"),$P615-$O615,IF($C615="X",0,-$O615)),2),0)</f>
        <v>0</v>
      </c>
      <c r="AP615" s="198">
        <f>IF($K615=AP$3,ROUND(IF(OR($C615="W",$C615="1/2W",$C615="1/2L"),$P615-$O615,IF($C615="X",0,-$O615)),2),0)</f>
        <v>0</v>
      </c>
      <c r="AQ615" s="198">
        <f>IF($K615=AQ$3,ROUND(IF(OR($C615="W",$C615="1/2W",$C615="1/2L"),$P615-$O615,IF($C615="X",0,-$O615)),2),0)</f>
        <v>0</v>
      </c>
      <c r="AR615" s="199">
        <f>IF($K615=AR$3,ROUND(IF(OR($C615="W",$C615="1/2W",$C615="1/2L"),$P615-$O615,IF($C615="X",0,-$O615)),2),0)</f>
        <v>0</v>
      </c>
      <c r="AS615" s="197">
        <f>IF(AND($B613=" ",$K615=AS$3),$O615,0)</f>
        <v>0</v>
      </c>
      <c r="AT615" s="198">
        <f>IF(AND($B613=" ",K615=AT$3),$O615,0)</f>
        <v>0</v>
      </c>
      <c r="AU615" s="198">
        <f>IF(AND($B613=" ",$K615=AU$3),$O615,0)</f>
        <v>0</v>
      </c>
      <c r="AV615" s="198">
        <f>IF(AND($B613=" ",$K615=AV$3),$O615,0)</f>
        <v>0</v>
      </c>
      <c r="AW615" s="198">
        <f>IF(AND($B613=" ",$K615=AW$3),$O615,0)</f>
        <v>0</v>
      </c>
      <c r="AX615" s="198">
        <f>IF(AND($B613=" ",$K615=AX$3),$O615,0)</f>
        <v>0</v>
      </c>
      <c r="AY615" s="200">
        <f>IF(AND($B613=" ",$K615=AY$3),$O615,0)</f>
        <v>0</v>
      </c>
      <c r="AZ615" s="201">
        <f>IF(AND($B613=" ",$K615=AZ$3),$O615,0)</f>
        <v>0</v>
      </c>
      <c r="BA615" s="201">
        <f>IF(AND($B613=" ",$K615=BA$3),$O615,0)</f>
        <v>0</v>
      </c>
      <c r="BB615" s="201">
        <f>IF(AND($B613=" ",$K615=BB$3),$O615,0)</f>
        <v>0</v>
      </c>
      <c r="BC615" s="202">
        <f>IF(AND($B613=" ",$K615=BC$3),$O615,0)</f>
        <v>0</v>
      </c>
      <c r="BD615" s="198">
        <f>IF(AND($B613=" ",$K615=BD$3),$O615,0)</f>
        <v>0</v>
      </c>
      <c r="BE615" s="199">
        <f>IF(AND($B613=" ",$K615=BE$3),$O615,0)</f>
        <v>0</v>
      </c>
      <c r="BF615" s="197">
        <f>IF($K615=BF$3,IF($C615="X",0,$O615),0)</f>
        <v>0</v>
      </c>
      <c r="BG615" s="198">
        <f>IF($K615=BG$3,IF($C615="X",0,$O615),0)</f>
        <v>20.67</v>
      </c>
      <c r="BH615" s="198">
        <f>IF($K615=BH$3,IF($C615="X",0,$O615),0)</f>
        <v>0</v>
      </c>
      <c r="BI615" s="198">
        <f>IF($K615=BI$3,IF($C615="X",0,$O615),0)</f>
        <v>0</v>
      </c>
      <c r="BJ615" s="198">
        <f>IF($K615=BJ$3,IF($C615="X",0,$O615),0)</f>
        <v>0</v>
      </c>
      <c r="BK615" s="198">
        <f>IF($K615=BK$3,IF($C615="X",0,$O615),0)</f>
        <v>0</v>
      </c>
      <c r="BL615" s="198">
        <f>IF($K615=BL$3,IF($C615="X",0,$O615),0)</f>
        <v>0</v>
      </c>
      <c r="BM615" s="200">
        <f>IF($K615=BM$3,IF($C615="X",0,$O615),0)</f>
        <v>0</v>
      </c>
      <c r="BN615" s="201">
        <f>IF($K615=BN$3,IF($C615="X",0,$O615),0)</f>
        <v>0</v>
      </c>
      <c r="BO615" s="201">
        <f>IF($K615=BO$3,IF($C615="X",0,$O615),0)</f>
        <v>0</v>
      </c>
      <c r="BP615" s="201">
        <f>IF($K615=BP$3,IF($C615="X",0,$O615),0)</f>
        <v>0</v>
      </c>
      <c r="BQ615" s="202">
        <f>IF($K615=BQ$3,IF($C615="X",0,$O615),0)</f>
        <v>0</v>
      </c>
      <c r="BR615" s="199">
        <f>IF($K615=BR$3,IF($C615="X",0,$O615),0)</f>
        <v>0</v>
      </c>
      <c r="BS615" s="228"/>
      <c r="BT615" s="229"/>
      <c r="BU615" s="140"/>
      <c r="BV615" s="229"/>
      <c r="BW615" s="140"/>
      <c r="BX615" s="140"/>
      <c r="BY615" s="140"/>
      <c r="BZ615" s="229"/>
      <c r="CA615" s="140"/>
      <c r="CB615" s="140"/>
      <c r="CC615" s="140"/>
      <c r="CD615" s="141"/>
      <c r="CE615" s="142"/>
      <c r="CF615" s="230">
        <f>IF(CF$3=$K615,IF($C615="W",1,IF($C615="1/2W",0.5,0)),0)</f>
        <v>0</v>
      </c>
      <c r="CG615" s="231">
        <f>IF(CF$3=$K615,IF($C615="L",1,IF($C615="1/2L",0.5,0)),0)</f>
        <v>0</v>
      </c>
      <c r="CH615" s="231">
        <f>IF(CH$3=$K615,IF($C615="W",1,IF($C615="1/2W",0.5,0)),0)</f>
        <v>0</v>
      </c>
      <c r="CI615" s="231">
        <f>IF(CH$3=$K615,IF($C615="L",1,IF($C615="1/2L",0.5,0)),0)</f>
        <v>1</v>
      </c>
      <c r="CJ615" s="231">
        <f>IF(CJ$3=$K615,IF($C615="W",1,IF($C615="1/2W",0.5,0)),0)</f>
        <v>0</v>
      </c>
      <c r="CK615" s="231">
        <f>IF(CJ$3=$K615,IF($C615="L",1,IF($C615="1/2L",0.5,0)),0)</f>
        <v>0</v>
      </c>
      <c r="CL615" s="231">
        <f>IF(CL$3=$K615,IF($C615="W",1,IF($C615="1/2W",0.5,0)),0)</f>
        <v>0</v>
      </c>
      <c r="CM615" s="231">
        <f>IF(CL$3=$K615,IF($C615="L",1,IF($C615="1/2L",0.5,0)),0)</f>
        <v>0</v>
      </c>
      <c r="CN615" s="231">
        <f>IF(CN$3=$K615,IF($C615="W",1,IF($C615="1/2W",0.5,0)),0)</f>
        <v>0</v>
      </c>
      <c r="CO615" s="231">
        <f>IF(CN$3=$K615,IF($C615="L",1,IF($C615="1/2L",0.5,0)),0)</f>
        <v>0</v>
      </c>
      <c r="CP615" s="231">
        <f>IF(CP$3=$K615,IF($C615="W",1,IF($C615="1/2W",0.5,0)),0)</f>
        <v>0</v>
      </c>
      <c r="CQ615" s="231">
        <f>IF(CP$3=$K615,IF($C615="L",1,IF($C615="1/2L",0.5,0)),0)</f>
        <v>0</v>
      </c>
      <c r="CR615" s="231">
        <f>IF(CR$3=$K615,IF($C615="W",1,IF($C615="1/2W",0.5,0)),0)</f>
        <v>0</v>
      </c>
      <c r="CS615" s="231">
        <f>IF(CR$3=$K615,IF($C615="L",1,IF($C615="1/2L",0.5,0)),0)</f>
        <v>0</v>
      </c>
      <c r="CT615" s="208">
        <f>IF(CT$3=$K615,IF($C615="W",1,IF($C615="1/2W",0.5,0)),0)</f>
        <v>0</v>
      </c>
      <c r="CU615" s="209">
        <f>IF(CT$3=$K615,IF($C615="L",1,IF($C615="1/2L",0.5,0)),0)</f>
        <v>0</v>
      </c>
      <c r="CV615" s="209">
        <f>IF(CV$3=$K615,IF($C615="W",1,IF($C615="1/2W",0.5,0)),0)</f>
        <v>0</v>
      </c>
      <c r="CW615" s="209">
        <f>IF(CV$3=$K615,IF($C615="L",1,IF($C615="1/2L",0.5,0)),0)</f>
        <v>0</v>
      </c>
      <c r="CX615" s="209">
        <f>IF(CX$3=$K615,IF($C615="W",1,IF($C615="1/2W",0.5,0)),0)</f>
        <v>0</v>
      </c>
      <c r="CY615" s="209">
        <f>IF(CX$3=$K615,IF($C615="L",1,IF($C615="1/2L",0.5,0)),0)</f>
        <v>0</v>
      </c>
      <c r="CZ615" s="209">
        <f>IF(CZ$3=$K615,IF($C615="W",1,IF($C615="1/2W",0.5,0)),0)</f>
        <v>0</v>
      </c>
      <c r="DA615" s="209">
        <f>IF(CZ$3=$K615,IF($C615="L",1,IF($C615="1/2L",0.5,0)),0)</f>
        <v>0</v>
      </c>
      <c r="DB615" s="209">
        <f>IF(DB$3=$K615,IF($C615="W",1,IF($C615="1/2W",0.5,0)),0)</f>
        <v>0</v>
      </c>
      <c r="DC615" s="209">
        <f>IF(DB$3=$K615,IF($C615="L",1,IF($C615="1/2L",0.5,0)),0)</f>
        <v>0</v>
      </c>
      <c r="DD615" s="209">
        <f>IF(DD$3=$K615,IF($C615="W",1,IF($C615="1/2W",0.5,0)),0)</f>
        <v>0</v>
      </c>
      <c r="DE615" s="210">
        <f>IF(DD$3=$K615,IF($C615="L",1,IF($C615="1/2L",0.5,0)),0)</f>
        <v>0</v>
      </c>
      <c r="DF615" s="211">
        <f>IF(AND(L615&lt;DF$3,$C615="W"),1+DF614,DF614)</f>
        <v>17</v>
      </c>
      <c r="DG615" s="198">
        <f>IF(DF615&gt;DF614,L615+DG614,DG614)</f>
        <v>22.628</v>
      </c>
      <c r="DH615" s="209">
        <f>IF(AND(L615&gt;DH$3,$C615="W"),1+DH614,0+DH614)</f>
        <v>16</v>
      </c>
      <c r="DI615" s="198">
        <f>IF(DH615&gt;DH614,L615+DI614,DI614)</f>
        <v>85.45999999999999</v>
      </c>
      <c r="DJ615" t="s" s="306">
        <f>IF($D613="","",$D613)</f>
        <v>431</v>
      </c>
      <c r="DK615" s="232"/>
    </row>
    <row r="616" ht="14.55" customHeight="1">
      <c r="A616" s="246">
        <f>$A613+1</f>
        <v>205</v>
      </c>
      <c r="B616" t="s" s="247">
        <f>IF(AND(_xlfn.XLOOKUP(H616,H$107:H395,G$107:G395,0)=G616,_xlfn.XLOOKUP("TempoBet",K616:K618,L616:L618,0)&gt;0),"X",IF(OR(C616="W",C617="W",C618="W",C616="1/2W",C617="1/2W",C618="1/2W",C616="1/2L",C617="1/2L",C618="1/2L"),"OK",IF(OR(C616="L",C617="L",C618="L"),"LOSS",IF(OR(C616="X",C617="X",C618="X"),"Anulado"," "))))</f>
        <v>50</v>
      </c>
      <c r="C616" t="s" s="248">
        <v>51</v>
      </c>
      <c r="D616" t="s" s="303">
        <f>IF(G616="","",$D613)</f>
        <v>431</v>
      </c>
      <c r="E616" t="s" s="250">
        <v>96</v>
      </c>
      <c r="F616" t="s" s="251">
        <f>IF(G616="","",IF(OR(AND($C616&lt;&gt;" ",$C617=" "),AND($C617&lt;&gt;" ",$C616=" "),AND(L618&gt;0,OR(AND($C618&lt;&gt;" ",OR($C616=" ",$C617=" ")),AND($C618=" ",OR($C616&lt;&gt;" ",$C617&lt;&gt;" "))))),IF(SUM(F$4:F615)=0,1,LARGE(F$4:F615,1)+1),IF(MONTH(G616)=MONTH(TODAY()),IF(AND(DAY(G616)&lt;DAY(TODAY()),$B616=" "),IF(SUM(F$4:F615)=0,1,LARGE(F$4:F615,1)+1),IF($B616=" ",IF(AND(DAY(G616)=DAY(TODAY()),HOUR(G616)&lt;=HOUR(NOW())+1),IF(AND(HOUR(G616)+2&lt;=HOUR(NOW()),DAY(G616)&lt;=DAY(TODAY()),MINUTE(G616)&lt;=MINUTE(NOW())),IF(SUM(F$4:F615)=0,1,LARGE(F$4:F615,1)+1),IF(OR(MINUTE(G616)&lt;=MINUTE(NOW()),HOUR(G616)&lt;=HOUR(NOW())),"!!!","")),""),"")),"")))</f>
      </c>
      <c r="G616" s="252">
        <v>44954.802083333336</v>
      </c>
      <c r="H616" t="s" s="253">
        <v>448</v>
      </c>
      <c r="I616" t="s" s="254">
        <v>65</v>
      </c>
      <c r="J616" s="255">
        <v>10.5</v>
      </c>
      <c r="K616" t="s" s="256">
        <v>38</v>
      </c>
      <c r="L616" s="257">
        <v>2.8</v>
      </c>
      <c r="M616" s="258">
        <v>9.67</v>
      </c>
      <c r="N616" s="259">
        <v>0</v>
      </c>
      <c r="O616" s="260">
        <f>IF(OR(AE616="",AE617=""),"",ROUND(IF(L618&gt;0,IF(M616&gt;0,M616,IF(M617&gt;0,ROUND((M617*AE616)/AE617,IF(N616=0,2,IF(N616=0.1,1,0))),ROUND((M618*AE616)/AE618,IF(N616=0,2,IF(N616=0.1,1,0))))),IF(M616&gt;0,M616,ROUND((M617*AE616)/AE617,IF(N616=0,2,IF(N616=0.1,1,0))))),2))</f>
        <v>9.67</v>
      </c>
      <c r="P616" s="261">
        <f>IF(OR(L616="",O616=""),"",IF($C616="1/2W",O616/2+O616/2*L616,IF($C616="1/2L",O616/2,IF(I616="Lay",(O616*(L616/(L616-1))-O616)*(1-_xlfn.XLOOKUP(K616,'Janeiro 2023 - Valor Real'!A3:A15,'Janeiro 2023 - Valor Real'!C3:C15,0))+O616,(O616*L616-O616)*(1-_xlfn.XLOOKUP(K616,'Janeiro 2023 - Valor Real'!A3:A15,'Janeiro 2023 - Valor Real'!C3:C15,0))+O616))))</f>
        <v>27.076</v>
      </c>
      <c r="Q616" s="262">
        <f>IF(K616="","",IF(_xlfn.XLOOKUP(K616,K$107:K395,DJ$107:DJ395,0,,-1)=DJ616,_xlfn.XLOOKUP(K616,K$107:K395,Q$107:Q395,1,,-1)+1,1))</f>
        <v>1</v>
      </c>
      <c r="R616" s="263">
        <f>IF(K616="","",_xlfn.XLOOKUP(K616,K$107:K395,R$107:R395,0,,-1)+IF($C616=" ",1,0))</f>
        <v>0</v>
      </c>
      <c r="S616" s="264">
        <f>IF($B616="Anulado",0,ROUND(IF(OR($B616="LOSS",$B616="OK"),IF(OR($C616="W",$C616="1/2W",$C616="1/2L"),P616-O616,IF($C616="L",-O616,0))+IF(OR($C617="W",$C617="1/2W",$C617="1/2L"),P617-O617,IF($C617="L",-O617,0))+IF(OR($C618="W",$C618="1/2W",$C618="1/2L"),P618-O618,IF($C618="L",-O618,0)),IF(AND(OR($C616="W",$C616="1/2W",$C616="1/2L"),C617="W"),P616+P617-SUM(O616:O618)+_xlfn.XLOOKUP("X",C616:C618,O616:O618,0),IF(AND(C616=TRUE,C618="W"),P616+P618-SUM(O616:O618),IF(AND(C617="W",C618="W"),P617+P618-SUM(O616:O618)+_xlfn.XLOOKUP("X",C616:C618,O616:O618,0),IF(L618&gt;0,IF(OR($C616="W",$C616="1/2W",$C616="1/2L"),P616-SUM(O616:O618)+_xlfn.XLOOKUP("X",C616:C618,O616:O618,0),IF(OR($C616="W",$C616="1/2W",$C616="1/2L"),P617-SUM(O616:O618)+_xlfn.XLOOKUP("X",C616:C618,O616:O618,0),IF(OR($C616="W",$C616="1/2W",$C616="1/2L"),P618-SUM(O616:O618)+_xlfn.XLOOKUP("X",C616:C618,O616:O618,0),IF(SUM(P616:P618)/3-SUM(O616:O618)+_xlfn.XLOOKUP("X",C616:C618,O616:O618,0)&gt;0,SUM(P616:P618)/3-SUM(O616:O618)+_xlfn.XLOOKUP("X",C616:C618,O616:O618,0),LARGE(P616:P618,1)-SUM(O616:O618))))),IF(OR($C616="W",$C616="1/2W",$C616="1/2L"),P616-SUM(O616:O617)+_xlfn.XLOOKUP("X",C616:C618,O616:O618,0),IF(OR($C616="W",$C616="1/2W",$C616="1/2L"),P617-SUM(O616:O617)+_xlfn.XLOOKUP("X",C616:C618,O616:O618,0),SUM(P616:P617)/2-SUM(O616:O617)+_xlfn.XLOOKUP("X",C616:C618,O616:O618,0)))))))),2))</f>
        <v>0.91</v>
      </c>
      <c r="T616" s="265">
        <f>IF(S616=0,0,S616/SUM(O616:O618))</f>
        <v>0.034772640427971</v>
      </c>
      <c r="U616" s="266">
        <f>IF($D616=$D613,IF(OR($B616="LOSS",$B616="OK",$B616="Anulada"),S616,0)+U613,IF(OR($B616="LOSS",$B616="OK",$B616="Anulada"),S616,0))</f>
        <v>21.57</v>
      </c>
      <c r="V616" s="266">
        <f>IF($D616="",0,IF($D616=$D613,IF($B616=" ",IF(I618="",IF(OR(AND(I616="DNB1",I617="DNB2"),AND(OR(I616="DNB1",I616="DNB2"),J617=0),AND(OR(I617="DNB1",I617="DNB2"),J616=0),AND(I616="DNB2",I617="DNB1"),AND(IF(J616=0,(J616+1)/ROUND(J616+1,0),J616/ROUND(J616,0))=1,IF(J617=0,(J617+1)/ROUND(IF(J617="",0,J617)+1,0),IF(J617="",0,J617)/ROUND(IF(J617="",1,J617),0))=1,OR(J616&lt;&gt;""),J617&lt;&gt;"")),0,IF(S616&lt;0,IF(I618="",SMALL(P616:P617,1)-SUM(O616:O617),0),SMALL(P616:P617,1)-SUM(O616:O617))),IF(S616&lt;0,IF(I618="",SMALL(P616:P618,1)-SUM(O616:O618),0),LARGE(P616:P618,1)-SUM(O616:O618))),S616)+V613,IF(I618="",IF(OR(AND(I616="DNB1",I617="DNB2"),AND(OR(I616="DNB1",I616="DNB2"),J617=0),AND(OR(I617="DNB1",I617="DNB2"),J616=0),AND(I616="DNB2",I617="DNB1"),AND(IF(J616=0,(J616+1)/ROUND(J616+1,0),J616/ROUND(J616,0))=1,IF(J617=0,(IF(J617="",0,J617)+1)/ROUND(IF(J617="",0,J617)+1,0),IF(J617="",0,J617)/ROUND(IF(J617="",0,J617)+1,0))=1,OR(J616&lt;&gt;""),J617&lt;&gt;"")),0,IF(S616&lt;0,IF(I618="",SMALL(P616:P617,1)-SUM(O616:O617),0),SMALL(P616:P618,1)-SUM(O616:O618))),IF(S616&lt;0,IF(I618="",SMALL(P616:P618,1)-SUM(O616:O618),0),LARGE(P616:P618,1)-SUM(O616:O618)))))</f>
        <v>21.542</v>
      </c>
      <c r="W616" s="266">
        <f>IF($D616=$D613,IF(S616&lt;0,IF(I618="",S616,0),S616)+W613,S616)</f>
        <v>21.57</v>
      </c>
      <c r="X616" t="s" s="267">
        <f>IF(OR(SUM(R616:R618)=0,V616=W616),ROUND(IF(W616=0,0,W616/Y616)*100,2)&amp;"%",ROUND(IF(V616=0,0,V616/Y616)*100,2)&amp;"% a "&amp;ROUND(IF(W616=0,0,W616/Y616)*100,2)&amp;"%")</f>
        <v>453</v>
      </c>
      <c r="Y616" s="268">
        <f>IF($D616=$D613,Y613+SUM(O616:O618),SUM(O616:O618))</f>
        <v>329.12</v>
      </c>
      <c r="Z616" s="266">
        <f>IF($B616=" ",SUM(O616:O618),0)+Z613</f>
        <v>0</v>
      </c>
      <c r="AA616" s="266">
        <f>IF(G616="","",IF($B616="Anulado",LARGE(P616:P618,1)-SUM(O616:O618)+AA613,AA613))</f>
        <v>26.8740076923077</v>
      </c>
      <c r="AB616" s="266">
        <f>IF($D616="","",AB613+S616)</f>
        <v>409.9</v>
      </c>
      <c r="AC616" s="269">
        <f>IF($D616="","",IF($B616=" ",IF(DAY(G616)=DAY(TODAY()),1+AC613,0+AC613),0+AC613))</f>
        <v>0</v>
      </c>
      <c r="AD616" s="270">
        <f>(1-_xlfn.XLOOKUP(K614,'Janeiro 2023 - Valor Real'!A3:A15,'Janeiro 2023 - Valor Real'!C3:C15,0))+1</f>
        <v>2</v>
      </c>
      <c r="AE616" s="271">
        <f>IF(L616="","",IF(L618&gt;0,(SUM(((L616-1)*(1-_xlfn.XLOOKUP(K616,'Janeiro 2023 - Valor Real'!A3:A15,'Janeiro 2023 - Valor Real'!C3:C15,0))+1),((L617-1)*(1-_xlfn.XLOOKUP(K617,'Janeiro 2023 - Valor Real'!A3:A15,'Janeiro 2023 - Valor Real'!C3:C15,0))+1),((L618-1)*(1-_xlfn.XLOOKUP(K618,'Janeiro 2023 - Valor Real'!A3:A15,'Janeiro 2023 - Valor Real'!C3:C15,0))+1))/((L616-1)*(1-_xlfn.XLOOKUP(K616,'Janeiro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Real'!C3:C15,0))+1))/((L616-1)*(1-_xlfn.XLOOKUP(K616,'Janeiro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Real'!C3:C15,0))+1))/((L617-1)*(1-_xlfn.XLOOKUP(K617,'Janeiro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Real'!C3:C15,0))+1))/((L618-1)*(1-_xlfn.XLOOKUP(K618,'Janeiro 2023 - Valor Real'!A3:A15,'Janeiro 2023 - Valor Real'!C3:C15,0))+1)),IF(I616="Lay",IF(I617="Lay",((L617/(L617-1)-1)*(1-_xlfn.XLOOKUP(K617,'Janeiro 2023 - Valor Real'!A3:A15,'Janeiro 2023 - Valor Real'!C3:C15,0))+1)/(((L617/(L617-1)-1)*(1-_xlfn.XLOOKUP(K617,'Janeiro 2023 - Valor Real'!A3:A15,'Janeiro 2023 - Valor Real'!C3:C15,0))+1)+((L616/(L616-1)-1)*(1-_xlfn.XLOOKUP(K616,'Janeiro 2023 - Valor Real'!A3:A15,'Janeiro 2023 - Valor Real'!C3:C15,0))+1)),((L617-1)*(1-_xlfn.XLOOKUP(K617,'Janeiro 2023 - Valor Real'!A3:A15,'Janeiro 2023 - Valor Real'!C3:C15,0))+1)/(((L617-1)*(1-_xlfn.XLOOKUP(K617,'Janeiro 2023 - Valor Real'!A3:A15,'Janeiro 2023 - Valor Real'!C3:C15,0))+1)+((L616/(L616-1)-1)*(1-_xlfn.XLOOKUP(K616,'Janeiro 2023 - Valor Real'!A3:A15,'Janeiro 2023 - Valor Real'!C3:C15,0))+1))),IF(I617="Lay",(((L617/(L617-1)-1)*(1-_xlfn.XLOOKUP(K617,'Janeiro 2023 - Valor Real'!A3:A15,'Janeiro 2023 - Valor Real'!C3:C15,0))+1))/(((L616-1)*(1-_xlfn.XLOOKUP(K616,'Janeiro 2023 - Valor Real'!A3:A15,'Janeiro 2023 - Valor Real'!C3:C15,0))+1)+((L617/(L617-1)-1)*(1-_xlfn.XLOOKUP(K617,'Janeiro 2023 - Valor Real'!A3:A15,'Janeiro 2023 - Valor Real'!C3:C15,0))+1)),((L617-1)*(1-_xlfn.XLOOKUP(K617,'Janeiro 2023 - Valor Real'!A3:A15,'Janeiro 2023 - Valor Real'!C3:C15,0))+1)/(((L617-1)*(1-_xlfn.XLOOKUP(K617,'Janeiro 2023 - Valor Real'!A3:A15,'Janeiro 2023 - Valor Real'!C3:C15,0))+1)+((L616-1)*(1-_xlfn.XLOOKUP(K616,'Janeiro 2023 - Valor Real'!A3:A15,'Janeiro 2023 - Valor Real'!C3:C15,0))+1))))))</f>
        <v>0.369511371312767</v>
      </c>
      <c r="AF616" s="132">
        <f>IF($K616=AF$3,ROUND(IF(OR($C616="W",$C616="1/2W",$C616="1/2L"),$P616-$O616,IF($C616="X",0,-$O616)),2),0)</f>
        <v>0</v>
      </c>
      <c r="AG616" s="133">
        <f>IF($K616=AG$3,ROUND(IF(OR($C616="W",$C616="1/2W",$C616="1/2L"),$P616-$O616,IF($C616="X",0,-$O616)),2),0)</f>
        <v>-9.67</v>
      </c>
      <c r="AH616" s="133">
        <f>IF($K616=AH$3,ROUND(IF(OR($C616="W",$C616="1/2W",$C616="1/2L"),$P616-$O616,IF($C616="X",0,-$O616)),2),0)</f>
        <v>0</v>
      </c>
      <c r="AI616" s="133">
        <f>IF($K616=AI$3,ROUND(IF(OR($C616="W",$C616="1/2W",$C616="1/2L"),$P616-$O616,IF($C616="X",0,-$O616)),2),0)</f>
        <v>0</v>
      </c>
      <c r="AJ616" s="133">
        <f>IF($K616=AJ$3,ROUND(IF(OR($C616="W",$C616="1/2W",$C616="1/2L"),$P616-$O616,IF($C616="X",0,-$O616)),2),0)</f>
        <v>0</v>
      </c>
      <c r="AK616" s="133">
        <f>IF($K616=AK$3,ROUND(IF(OR($C616="W",$C616="1/2W",$C616="1/2L"),$P616-$O616,IF($C616="X",0,-$O616)),2),0)</f>
        <v>0</v>
      </c>
      <c r="AL616" s="133">
        <f>IF($K616=AL$3,ROUND(IF(OR($C616="W",$C616="1/2W",$C616="1/2L"),$P616-$O616,IF($C616="X",0,-$O616)),2),0)</f>
        <v>0</v>
      </c>
      <c r="AM616" s="133">
        <f>IF($K616=AM$3,ROUND(IF(OR($C616="W",$C616="1/2W",$C616="1/2L"),$P616-$O616,IF($C616="X",0,-$O616)),2),0)</f>
        <v>0</v>
      </c>
      <c r="AN616" s="133">
        <f>IF($K616=AN$3,ROUND(IF(OR($C616="W",$C616="1/2W",$C616="1/2L"),$P616-$O616,IF($C616="X",0,-$O616)),2),0)</f>
        <v>0</v>
      </c>
      <c r="AO616" s="133">
        <f>IF($K616=AO$3,ROUND(IF(OR($C616="W",$C616="1/2W",$C616="1/2L"),$P616-$O616,IF($C616="X",0,-$O616)),2),0)</f>
        <v>0</v>
      </c>
      <c r="AP616" s="133">
        <f>IF($K616=AP$3,ROUND(IF(OR($C616="W",$C616="1/2W",$C616="1/2L"),$P616-$O616,IF($C616="X",0,-$O616)),2),0)</f>
        <v>0</v>
      </c>
      <c r="AQ616" s="133">
        <f>IF($K616=AQ$3,ROUND(IF(OR($C616="W",$C616="1/2W",$C616="1/2L"),$P616-$O616,IF($C616="X",0,-$O616)),2),0)</f>
        <v>0</v>
      </c>
      <c r="AR616" s="134">
        <f>IF($K616=AR$3,ROUND(IF(OR($C616="W",$C616="1/2W",$C616="1/2L"),$P616-$O616,IF($C616="X",0,-$O616)),2),0)</f>
        <v>0</v>
      </c>
      <c r="AS616" s="132">
        <f>IF(AND($B616=" ",$K616=AS$3),$O616,0)</f>
        <v>0</v>
      </c>
      <c r="AT616" s="133">
        <f>IF(AND($B616=" ",$K616=AT$3),$O616,0)</f>
        <v>0</v>
      </c>
      <c r="AU616" s="133">
        <f>IF(AND($B616=" ",$K616=AU$3),$O616,0)</f>
        <v>0</v>
      </c>
      <c r="AV616" s="133">
        <f>IF(AND($B616=" ",$K616=AV$3),$O616,0)</f>
        <v>0</v>
      </c>
      <c r="AW616" s="133">
        <f>IF(AND($B616=" ",$K616=AW$3),$O616,0)</f>
        <v>0</v>
      </c>
      <c r="AX616" s="133">
        <f>IF(AND($B616=" ",$K616=AX$3),$O616,0)</f>
        <v>0</v>
      </c>
      <c r="AY616" s="135">
        <f>IF(AND($B616=" ",$K616=AY$3),$O616,0)</f>
        <v>0</v>
      </c>
      <c r="AZ616" s="136">
        <f>IF(AND($B616=" ",$K616=AZ$3),$O616,0)</f>
        <v>0</v>
      </c>
      <c r="BA616" s="136">
        <f>IF(AND($B616=" ",$K616=BA$3),$O616,0)</f>
        <v>0</v>
      </c>
      <c r="BB616" s="136">
        <f>IF(AND($B616=" ",$K616=BB$3),$O616,0)</f>
        <v>0</v>
      </c>
      <c r="BC616" s="137">
        <f>IF(AND($B616=" ",$K616=BC$3),$O616,0)</f>
        <v>0</v>
      </c>
      <c r="BD616" s="133">
        <f>IF(AND($B616=" ",$K616=BD$3),$O616,0)</f>
        <v>0</v>
      </c>
      <c r="BE616" s="134">
        <f>IF(AND($B616=" ",$K616=BE$3),$O616,0)</f>
        <v>0</v>
      </c>
      <c r="BF616" s="132">
        <f>IF($K616=BF$3,IF($C616="X",0,$O616),0)</f>
        <v>0</v>
      </c>
      <c r="BG616" s="133">
        <f>IF($K616=BG$3,IF($C616="X",0,$O616),0)</f>
        <v>9.67</v>
      </c>
      <c r="BH616" s="133">
        <f>IF($K616=BH$3,IF($C616="X",0,$O616),0)</f>
        <v>0</v>
      </c>
      <c r="BI616" s="133">
        <f>IF($K616=BI$3,IF($C616="X",0,$O616),0)</f>
        <v>0</v>
      </c>
      <c r="BJ616" s="133">
        <f>IF($K616=BJ$3,IF($C616="X",0,$O616),0)</f>
        <v>0</v>
      </c>
      <c r="BK616" s="133">
        <f>IF($K616=BK$3,IF($C616="X",0,$O616),0)</f>
        <v>0</v>
      </c>
      <c r="BL616" s="133">
        <f>IF($K616=BL$3,IF($C616="X",0,$O616),0)</f>
        <v>0</v>
      </c>
      <c r="BM616" s="135">
        <f>IF($K616=BM$3,IF($C616="X",0,$O616),0)</f>
        <v>0</v>
      </c>
      <c r="BN616" s="136">
        <f>IF($K616=BN$3,IF($C616="X",0,$O616),0)</f>
        <v>0</v>
      </c>
      <c r="BO616" s="136">
        <f>IF($K616=BO$3,IF($C616="X",0,$O616),0)</f>
        <v>0</v>
      </c>
      <c r="BP616" s="136">
        <f>IF($K616=BP$3,IF($C616="X",0,$O616),0)</f>
        <v>0</v>
      </c>
      <c r="BQ616" s="137">
        <f>IF($K616=BQ$3,IF($C616="X",0,$O616),0)</f>
        <v>0</v>
      </c>
      <c r="BR616" s="134">
        <f>IF($K616=BR$3,IF($C616="X",0,$O616),0)</f>
        <v>0</v>
      </c>
      <c r="BS616" s="170">
        <f>IF($B616="LOSS",IF(AND($K616=BS$3,$C616="L"),-$O616,0)+IF(AND($K617=BS$3,$C617="L"),-$O617,0)+IF(AND($K618=BS$3,$C618="L"),-$O618,0),IF(OR(AND($K616=BS$3,OR($C616="W",$C616="1/2W")),AND($K617=BS$3,OR($C617="W",$C617="1/2W")),AND($K618=BS$3,OR($C618="W",$C618="1/2W"))),$S616,0))</f>
        <v>0</v>
      </c>
      <c r="BT616" s="272">
        <f>IF($B616="LOSS",IF(AND($K616=BT$3,$C616="L"),-$O616,0)+IF(AND($K617=BT$3,$C617="L"),-$O617,0)+IF(AND($K617=BT$3,$C618="L"),-$O618,0),IF(OR(AND($K617=BT$3,OR($C616="W",$C616="1/2W")),AND($K617=BT$3,OR($C617="W",$C617="1/2W")),AND($K617=BT$3,OR($C618="W",$C618="1/2W"))),$S616,0))</f>
        <v>0</v>
      </c>
      <c r="BU616" s="136">
        <f>IF($B616="LOSS",IF(AND($K616=BU$3,$C616="L"),-$O616,0)+IF(AND($K617=BU$3,$C617="L"),-$O617,0)+IF(AND($K617=BU$3,$C618="L"),-$O618,0),IF(OR(AND($K617=BU$3,OR($C616="W",$C616="1/2W")),AND($K617=BU$3,OR($C617="W",$C617="1/2W")),AND($K617=BU$3,OR($C618="W",$C618="1/2W"))),$S616,0))</f>
        <v>0</v>
      </c>
      <c r="BV616" s="136">
        <f>IF($B616="LOSS",IF(AND($K616=BV$3,$C616="L"),-$O616,0)+IF(AND($K617=BV$3,$C617="L"),-$O617,0)+IF(AND($K618=BV$3,$C618="L"),-$O618,0),IF(OR(AND($K616=BV$3,OR($C616="W",$C616="1/2W")),AND($K617=BV$3,OR($C617="W",$C617="1/2W")),AND($K618=BV$3,OR($C618="W",$C618="1/2W"))),$S616,0))</f>
        <v>0</v>
      </c>
      <c r="BW616" s="136">
        <f>IF($B616="LOSS",IF(AND($K616=BW$3,$C616="L"),-$O616,0)+IF(AND($K617=BW$3,$C617="L"),-$O617,0)+IF(AND($K618=BW$3,$C618="L"),-$O618,0),IF(OR(AND($K616=BW$3,OR($C616="W",$C616="1/2W")),AND($K617=BW$3,OR($C617="W",$C617="1/2W")),AND($K618=BW$3,OR($C618="W",$C618="1/2W"))),$S616,0))</f>
        <v>0</v>
      </c>
      <c r="BX616" s="136">
        <f>IF($B616="LOSS",IF(AND($K616=BX$3,$C616="L"),-$O616,0)+IF(AND($K617=BX$3,$C617="L"),-$O617,0)+IF(AND($K618=BX$3,$C618="L"),-$O618,0),IF(OR(AND($K616=BX$3,OR($C616="W",$C616="1/2W")),AND($K617=BX$3,OR($C617="W",$C617="1/2W")),AND($K618=BX$3,OR($C618="W",$C618="1/2W"))),$S616,0))</f>
        <v>0</v>
      </c>
      <c r="BY616" s="136">
        <f>IF($B616="LOSS",IF(AND($K616=BY$3,$C616="L"),-$O616,0)+IF(AND($K617=BY$3,$C617="L"),-$O617,0)+IF(AND($K618=BY$3,$C618="L"),-$O618,0),IF(OR(AND($K616=BY$3,OR($C616="W",$C616="1/2W")),AND($K617=BY$3,OR($C617="W",$C617="1/2W")),AND($K618=BY$3,OR($C618="W",$C618="1/2W"))),$S616,0))</f>
        <v>0</v>
      </c>
      <c r="BZ616" s="136">
        <f>IF($B616="LOSS",IF(AND($K616=BZ$3,$C616="L"),-$O616,0)+IF(AND($K617=BZ$3,$C617="L"),-$O617,0)+IF(AND($K618=BZ$3,$C618="L"),-$O618,0),IF(OR(AND($K616=BZ$3,OR($C616="W",$C616="1/2W")),AND($K617=BZ$3,OR($C617="W",$C617="1/2W")),AND($K618=BZ$3,OR($C618="W",$C618="1/2W"))),$S616,0))</f>
        <v>0.91</v>
      </c>
      <c r="CA616" s="136">
        <f>IF($B616="LOSS",IF(AND($K616=CA$3,$C616="L"),-$O616,0)+IF(AND($K617=CA$3,$C617="L"),-$O617,0)+IF(AND($K618=CA$3,$C618="L"),-$O618,0),IF(OR(AND($K616=CA$3,OR($C616="W",$C616="1/2W")),AND($K617=CA$3,OR($C617="W",$C617="1/2W")),AND($K618=CA$3,OR($C618="W",$C618="1/2W"))),$S616,0))</f>
        <v>0</v>
      </c>
      <c r="CB616" s="136">
        <f>IF($B616="LOSS",IF(AND($K616=CB$3,$C616="L"),-$O616,0)+IF(AND($K617=CB$3,$C617="L"),-$O617,0)+IF(AND($K618=CB$3,$C618="L"),-$O618,0),IF(OR(AND($K616=CB$3,OR($C616="W",$C616="1/2W")),AND($K617=CB$3,OR($C617="W",$C617="1/2W")),AND($K618=CB$3,OR($C618="W",$C618="1/2W"))),$S616,0))</f>
        <v>0</v>
      </c>
      <c r="CC616" s="136">
        <f>IF($B616="LOSS",IF(AND($K616=CC$3,$C616="L"),-$O616,0)+IF(AND($K617=CC$3,$C617="L"),-$O617,0)+IF(AND($K618=CC$3,$C618="L"),-$O618,0),IF(OR(AND($K616=CC$3,OR($C616="W",$C616="1/2W")),AND($K617=CC$3,OR($C617="W",$C617="1/2W")),AND($K618=CC$3,OR($C618="W",$C618="1/2W"))),$S616,0))</f>
        <v>0</v>
      </c>
      <c r="CD616" s="137">
        <f>IF($B616="LOSS",IF(AND($K616=CD$3,$C616="L"),-$O616,0)+IF(AND($K617=CD$3,$C617="L"),-$O617,0)+IF(AND($K618=CD$3,$C618="L"),-$O618,0),IF(OR(AND($K616=CD$3,OR($C616="W",$C616="1/2W")),AND($K617=CD$3,OR($C617="W",$C617="1/2W")),AND($K618=CD$3,OR($C618="W",$C618="1/2W"))),$S616,0))</f>
        <v>0</v>
      </c>
      <c r="CE616" s="134">
        <f>IF($B616="LOSS",IF(AND($K616=CE$3,$C616="L"),-$O616,0)+IF(AND($K617=CE$3,$C617="L"),-$O617,0)+IF(AND($K618=CE$3,$C618="L"),-$O618,0),IF(OR(AND($K616=CE$3,OR($C616="W",$C616="1/2W")),AND($K617=CE$3,OR($C617="W",$C617="1/2W")),AND($K618=CE$3,OR($C618="W",$C618="1/2W"))),$S616,0))</f>
        <v>0</v>
      </c>
      <c r="CF616" s="273">
        <f>IF(CF$3=$K616,IF($C616="W",1,IF($C616="1/2W",0.5,0)),0)</f>
        <v>0</v>
      </c>
      <c r="CG616" s="274">
        <f>IF(CF$3=$K616,IF($C616="L",1,IF($C616="1/2L",0.5,0)),0)</f>
        <v>0</v>
      </c>
      <c r="CH616" s="274">
        <f>IF(CH$3=$K616,IF($C616="W",1,IF($C616="1/2W",0.5,0)),0)</f>
        <v>0</v>
      </c>
      <c r="CI616" s="274">
        <f>IF(CH$3=$K616,IF($C616="L",1,IF($C616="1/2L",0.5,0)),0)</f>
        <v>1</v>
      </c>
      <c r="CJ616" s="274">
        <f>IF(CJ$3=$K616,IF($C616="W",1,IF($C616="1/2W",0.5,0)),0)</f>
        <v>0</v>
      </c>
      <c r="CK616" s="274">
        <f>IF(CJ$3=$K616,IF($C616="L",1,IF($C616="1/2L",0.5,0)),0)</f>
        <v>0</v>
      </c>
      <c r="CL616" s="274">
        <f>IF(CL$3=$K616,IF($C616="W",1,IF($C616="1/2W",0.5,0)),0)</f>
        <v>0</v>
      </c>
      <c r="CM616" s="274">
        <f>IF(CL$3=$K616,IF($C616="L",1,IF($C616="1/2L",0.5,0)),0)</f>
        <v>0</v>
      </c>
      <c r="CN616" s="274">
        <f>IF(CN$3=$K616,IF($C616="W",1,IF($C616="1/2W",0.5,0)),0)</f>
        <v>0</v>
      </c>
      <c r="CO616" s="274">
        <f>IF(CN$3=$K616,IF($C616="L",1,IF($C616="1/2L",0.5,0)),0)</f>
        <v>0</v>
      </c>
      <c r="CP616" s="274">
        <f>IF(CP$3=$K616,IF($C616="W",1,IF($C616="1/2W",0.5,0)),0)</f>
        <v>0</v>
      </c>
      <c r="CQ616" s="274">
        <f>IF(CP$3=$K616,IF($C616="L",1,IF($C616="1/2L",0.5,0)),0)</f>
        <v>0</v>
      </c>
      <c r="CR616" s="274">
        <f>IF(CR$3=$K616,IF($C616="W",1,IF($C616="1/2W",0.5,0)),0)</f>
        <v>0</v>
      </c>
      <c r="CS616" s="274">
        <f>IF(CR$3=$K616,IF($C616="L",1,IF($C616="1/2L",0.5,0)),0)</f>
        <v>0</v>
      </c>
      <c r="CT616" s="145">
        <f>IF(CT$3=$K616,IF($C616="W",1,IF($C616="1/2W",0.5,0)),0)</f>
        <v>0</v>
      </c>
      <c r="CU616" s="146">
        <f>IF(CT$3=$K616,IF($C616="L",1,IF($C616="1/2L",0.5,0)),0)</f>
        <v>0</v>
      </c>
      <c r="CV616" s="146">
        <f>IF(CV$3=$K616,IF($C616="W",1,IF($C616="1/2W",0.5,0)),0)</f>
        <v>0</v>
      </c>
      <c r="CW616" s="146">
        <f>IF(CV$3=$K616,IF($C616="L",1,IF($C616="1/2L",0.5,0)),0)</f>
        <v>0</v>
      </c>
      <c r="CX616" s="146">
        <f>IF(CX$3=$K616,IF($C616="W",1,IF($C616="1/2W",0.5,0)),0)</f>
        <v>0</v>
      </c>
      <c r="CY616" s="146">
        <f>IF(CX$3=$K616,IF($C616="L",1,IF($C616="1/2L",0.5,0)),0)</f>
        <v>0</v>
      </c>
      <c r="CZ616" s="146">
        <f>IF(CZ$3=$K616,IF($C616="W",1,IF($C616="1/2W",0.5,0)),0)</f>
        <v>0</v>
      </c>
      <c r="DA616" s="146">
        <f>IF(CZ$3=$K616,IF($C616="L",1,IF($C616="1/2L",0.5,0)),0)</f>
        <v>0</v>
      </c>
      <c r="DB616" s="146">
        <f>IF(DB$3=$K616,IF($C616="W",1,IF($C616="1/2W",0.5,0)),0)</f>
        <v>0</v>
      </c>
      <c r="DC616" s="146">
        <f>IF(DB$3=$K616,IF($C616="L",1,IF($C616="1/2L",0.5,0)),0)</f>
        <v>0</v>
      </c>
      <c r="DD616" s="146">
        <f>IF(DD$3=$K616,IF($C616="W",1,IF($C616="1/2W",0.5,0)),0)</f>
        <v>0</v>
      </c>
      <c r="DE616" s="147">
        <f>IF(DD$3=$K616,IF($C616="L",1,IF($C616="1/2L",0.5,0)),0)</f>
        <v>0</v>
      </c>
      <c r="DF616" s="143">
        <f>IF(AND(L616&lt;DF$3,$C616="W"),1+DF615,DF615)</f>
        <v>17</v>
      </c>
      <c r="DG616" s="133">
        <f>IF(DF616&gt;DF615,L616+DG615,DG615)</f>
        <v>22.628</v>
      </c>
      <c r="DH616" s="146">
        <f>IF(AND(L616&gt;DH$3,$C616="W"),1+DH615,0+DH615)</f>
        <v>16</v>
      </c>
      <c r="DI616" s="133">
        <f>IF(DH616&gt;DH615,L616+DI615,DI615)</f>
        <v>85.45999999999999</v>
      </c>
      <c r="DJ616" t="s" s="304">
        <f>IF($D616="","",$D616)</f>
        <v>431</v>
      </c>
      <c r="DK616" s="146">
        <f>IF(AND($B616=" ",$D616&lt;&gt;""),1,0)</f>
        <v>0</v>
      </c>
    </row>
    <row r="617" ht="14.55" customHeight="1">
      <c r="A617" s="107"/>
      <c r="B617" s="108"/>
      <c r="C617" t="s" s="109">
        <v>56</v>
      </c>
      <c r="D617" s="110"/>
      <c r="E617" s="111"/>
      <c r="F617" s="113"/>
      <c r="G617" s="252"/>
      <c r="H617" s="114"/>
      <c r="I617" t="s" s="275">
        <v>67</v>
      </c>
      <c r="J617" s="276">
        <f>IF(OR(I616="TO",I616="TU",I616="TO1",I616="TU1",I616="TO2",I616="TU2"),J616,IF(OR(I616="AH1",I616="AH2"),IF(OR(I617="AH1",I617="AH2"),-J616,IF(OR(I617="EH1",I617="EH2"),-J616+0.5,"")),IF(OR(I616="EH1",I616="EH2"),IF(OR(I617="AH1",I617="AH2"),-J616+0.5,IF(OR(I617="EH1",I617="EH2"),-J616+1,"")),IF(AND(OR(I616="DNB1",I616="DNB2"),OR(I617="AH1",I617="AH2")),0,IF(AND(I616="Not ScoreBoth",OR(I617="TO1",I617="TO2")),0.5,"")))))</f>
        <v>10.5</v>
      </c>
      <c r="K617" t="s" s="117">
        <v>44</v>
      </c>
      <c r="L617" s="277">
        <v>1.641</v>
      </c>
      <c r="M617" s="278"/>
      <c r="N617" s="120"/>
      <c r="O617" s="121">
        <f>IF(OR(AE616="",AE617=""),"",ROUND(IF(L618&gt;0,IF(M617&gt;0,M617,IF(M616&gt;0,IF(N616=TRUE,ROUND((M616*AE617)/AE616,0),(M616*AE617)/AE616),IF(M617&gt;0,ROUND(M617,IF(N616=0,2,IF(N616=0.1,1,0))),IF(M618&gt;0,ROUND(O618*AE617/AE618,IF(N616=0,2,IF(N616=0.1,1,0))),0)))),IF(M617&gt;0,M617,ROUND((M616*AE617)/AE616,IF(N616=0,2,IF(N616=0.1,1,0))))),2))</f>
        <v>16.5</v>
      </c>
      <c r="P617" s="122">
        <f>IF(OR(L617="",O617=""),"",IF($C617="1/2W",O617/2+O617/2*L617,IF($C617="1/2L",O617/2,IF(I617="Lay",((O617*(L617/(L617-1)))-O617)*(1-_xlfn.XLOOKUP(K617,'Janeiro 2023 - Valor Real'!A3:A15,'Janeiro 2023 - Valor Real'!C3:C15,0))+O617,(O617*L617-O617)*(1-_xlfn.XLOOKUP(K617,'Janeiro 2023 - Valor Real'!A3:A15,'Janeiro 2023 - Valor Real'!C3:C15,0))+O617))))</f>
        <v>27.0765</v>
      </c>
      <c r="Q617" s="279">
        <f>IF(K617="","",IF(_xlfn.XLOOKUP(K617,K$120:K396,DJ$120:DJ396,0,,-1)=DJ617,_xlfn.XLOOKUP(K617,K$120:K396,Q$120:Q396,1,,-1)+1,1))</f>
        <v>1</v>
      </c>
      <c r="R617" s="280">
        <f>IF(K617="","",_xlfn.XLOOKUP(K617,K$120:K396,R$120:R396,0,,-1)+IF($C617=" ",1,0))</f>
        <v>0</v>
      </c>
      <c r="S617" s="125"/>
      <c r="T617" s="126"/>
      <c r="U617" s="126"/>
      <c r="V617" s="224"/>
      <c r="W617" s="126"/>
      <c r="X617" s="127"/>
      <c r="Y617" s="128"/>
      <c r="Z617" s="129"/>
      <c r="AA617" s="129"/>
      <c r="AB617" s="129"/>
      <c r="AC617" s="129"/>
      <c r="AD617" s="130"/>
      <c r="AE617" s="131">
        <f>IF(L617="","",IF(L618&gt;0,(SUM(((L616-1)*(1-_xlfn.XLOOKUP(K616,'Janeiro 2023 - Valor Real'!A3:A15,'Janeiro 2023 - Valor Real'!C3:C15,0))+1),((L617-1)*(1-_xlfn.XLOOKUP(K617,'Janeiro 2023 - Valor Real'!A3:A15,'Janeiro 2023 - Valor Real'!C3:C15,0))+1),((L618-1)*(1-_xlfn.XLOOKUP(K618,'Janeiro 2023 - Valor Real'!A3:A15,'Janeiro 2023 - Valor Real'!C3:C15,0))+1))/((L617-1)*(1-_xlfn.XLOOKUP(K617,'Janeiro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Real'!C3:C15,0))+1))/((L616-1)*(1-_xlfn.XLOOKUP(K616,'Janeiro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Real'!C3:C15,0))+1))/((L617-1)*(1-_xlfn.XLOOKUP(K617,'Janeiro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Real'!C3:C15,0))+1))/((L618-1)*(1-_xlfn.XLOOKUP(K618,'Janeiro 2023 - Valor Real'!A3:A15,'Janeiro 2023 - Valor Real'!C3:C15,0))+1)),IF(I617="Lay",IF(I616="Lay",((L616/(L616-1)-1)*(1-_xlfn.XLOOKUP(K616,'Janeiro 2023 - Valor Real'!A3:A15,'Janeiro 2023 - Valor Real'!C3:C15,0))+1)/(((L616/(L616-1)-1)*(1-_xlfn.XLOOKUP(K616,'Janeiro 2023 - Valor Real'!A3:A15,'Janeiro 2023 - Valor Real'!C3:C15,0))+1)+((L617/(L617-1)-1)*(1-_xlfn.XLOOKUP(K617,'Janeiro 2023 - Valor Real'!A3:A15,'Janeiro 2023 - Valor Real'!C3:C15,0))+1)),((L616-1)*(1-_xlfn.XLOOKUP(K616,'Janeiro 2023 - Valor Real'!A3:A15,'Janeiro 2023 - Valor Real'!C3:C15,0))+1)/(((L616-1)*(1-_xlfn.XLOOKUP(K616,'Janeiro 2023 - Valor Real'!A3:A15,'Janeiro 2023 - Valor Real'!C3:C15,0))+1)+((L617/(L617-1)-1)*(1-_xlfn.XLOOKUP(K617,'Janeiro 2023 - Valor Real'!A3:A15,'Janeiro 2023 - Valor Real'!C3:C15,0))+1))),IF(I616="Lay",((L616/(L616-1)-1)*(1-_xlfn.XLOOKUP(K616,'Janeiro 2023 - Valor Real'!A3:A15,'Janeiro 2023 - Valor Real'!C3:C15,0))+1)/((((L616/(L616-1)-1)*(1-_xlfn.XLOOKUP(K616,'Janeiro 2023 - Valor Real'!A3:A15,'Janeiro 2023 - Valor Real'!C3:C15,0))+1))+((L617-1)*(1-_xlfn.XLOOKUP(K617,'Janeiro 2023 - Valor Real'!A3:A15,'Janeiro 2023 - Valor Real'!C3:C15,0))+1)),((L616-1)*(1-_xlfn.XLOOKUP(K616,'Janeiro 2023 - Valor Real'!A3:A15,'Janeiro 2023 - Valor Real'!C3:C15,0))+1)/(((L616-1)*(1-_xlfn.XLOOKUP(K616,'Janeiro 2023 - Valor Real'!A3:A15,'Janeiro 2023 - Valor Real'!C3:C15,0))+1)+((L617-1)*(1-_xlfn.XLOOKUP(K617,'Janeiro 2023 - Valor Real'!A3:A15,'Janeiro 2023 - Valor Real'!C3:C15,0))+1))))))</f>
        <v>0.630488628687233</v>
      </c>
      <c r="AF617" s="132">
        <f>IF($K617=AF$3,ROUND(IF(OR($C617="W",$C617="1/2W",$C617="1/2L"),$P617-$O617,IF($C617="X",0,-$O617)),2),0)</f>
        <v>0</v>
      </c>
      <c r="AG617" s="133">
        <f>IF($K617=AG$3,ROUND(IF(OR($C617="W",$C617="1/2W",$C617="1/2L"),$P617-$O617,IF($C617="X",0,-$O617)),2),0)</f>
        <v>0</v>
      </c>
      <c r="AH617" s="133">
        <f>IF($K617=AH$3,ROUND(IF(OR($C617="W",$C617="1/2W",$C617="1/2L"),$P617-$O617,IF($C617="X",0,-$O617)),2),0)</f>
        <v>0</v>
      </c>
      <c r="AI617" s="133">
        <f>IF($K617=AI$3,ROUND(IF(OR($C617="W",$C617="1/2W",$C617="1/2L"),$P617-$O617,IF($C617="X",0,-$O617)),2),0)</f>
        <v>0</v>
      </c>
      <c r="AJ617" s="133">
        <f>IF($K617=AJ$3,ROUND(IF(OR($C617="W",$C617="1/2W",$C617="1/2L"),$P617-$O617,IF($C617="X",0,-$O617)),2),0)</f>
        <v>0</v>
      </c>
      <c r="AK617" s="133">
        <f>IF($K617=AK$3,ROUND(IF(OR($C617="W",$C617="1/2W",$C617="1/2L"),$P617-$O617,IF($C617="X",0,-$O617)),2),0)</f>
        <v>0</v>
      </c>
      <c r="AL617" s="133">
        <f>IF($K617=AL$3,ROUND(IF(OR($C617="W",$C617="1/2W",$C617="1/2L"),$P617-$O617,IF($C617="X",0,-$O617)),2),0)</f>
        <v>0</v>
      </c>
      <c r="AM617" s="133">
        <f>IF($K617=AM$3,ROUND(IF(OR($C617="W",$C617="1/2W",$C617="1/2L"),$P617-$O617,IF($C617="X",0,-$O617)),2),0)</f>
        <v>10.58</v>
      </c>
      <c r="AN617" s="133">
        <f>IF($K617=AN$3,ROUND(IF(OR($C617="W",$C617="1/2W",$C617="1/2L"),$P617-$O617,IF($C617="X",0,-$O617)),2),0)</f>
        <v>0</v>
      </c>
      <c r="AO617" s="133">
        <f>IF($K617=AO$3,ROUND(IF(OR($C617="W",$C617="1/2W",$C617="1/2L"),$P617-$O617,IF($C617="X",0,-$O617)),2),0)</f>
        <v>0</v>
      </c>
      <c r="AP617" s="133">
        <f>IF($K617=AP$3,ROUND(IF(OR($C617="W",$C617="1/2W",$C617="1/2L"),$P617-$O617,IF($C617="X",0,-$O617)),2),0)</f>
        <v>0</v>
      </c>
      <c r="AQ617" s="133">
        <f>IF($K617=AQ$3,ROUND(IF(OR($C617="W",$C617="1/2W",$C617="1/2L"),$P617-$O617,IF($C617="X",0,-$O617)),2),0)</f>
        <v>0</v>
      </c>
      <c r="AR617" s="134">
        <f>IF($K617=AR$3,ROUND(IF(OR($C617="W",$C617="1/2W",$C617="1/2L"),$P617-$O617,IF($C617="X",0,-$O617)),2),0)</f>
        <v>0</v>
      </c>
      <c r="AS617" s="132">
        <f>IF(AND($B616=" ",$K617=AS$3),$O617,0)</f>
        <v>0</v>
      </c>
      <c r="AT617" s="133">
        <f>IF(AND($B616=" ",K617=AT$3),$O617,0)</f>
        <v>0</v>
      </c>
      <c r="AU617" s="133">
        <f>IF(AND($B616=" ",$K617=AU$3),$O617,0)</f>
        <v>0</v>
      </c>
      <c r="AV617" s="133">
        <f>IF(AND($B616=" ",$K617=AV$3),$O617,0)</f>
        <v>0</v>
      </c>
      <c r="AW617" s="133">
        <f>IF(AND($B616=" ",$K617=AW$3),$O617,0)</f>
        <v>0</v>
      </c>
      <c r="AX617" s="133">
        <f>IF(AND($B616=" ",$K617=AX$3),$O617,0)</f>
        <v>0</v>
      </c>
      <c r="AY617" s="135">
        <f>IF(AND($B616=" ",$K617=AY$3),$O617,0)</f>
        <v>0</v>
      </c>
      <c r="AZ617" s="136">
        <f>IF(AND($B616=" ",$K617=AZ$3),$O617,0)</f>
        <v>0</v>
      </c>
      <c r="BA617" s="136">
        <f>IF(AND($B616=" ",$K617=BA$3),$O617,0)</f>
        <v>0</v>
      </c>
      <c r="BB617" s="136">
        <f>IF(AND($B616=" ",$K617=BB$3),$O617,0)</f>
        <v>0</v>
      </c>
      <c r="BC617" s="137">
        <f>IF(AND($B616=" ",$K617=BC$3),$O617,0)</f>
        <v>0</v>
      </c>
      <c r="BD617" s="133">
        <f>IF(AND($B616=" ",$K617=BD$3),$O617,0)</f>
        <v>0</v>
      </c>
      <c r="BE617" s="134">
        <f>IF(AND($B616=" ",$K617=BE$3),$O617,0)</f>
        <v>0</v>
      </c>
      <c r="BF617" s="132">
        <f>IF($K617=BF$3,IF($C617="X",0,$O617),0)</f>
        <v>0</v>
      </c>
      <c r="BG617" s="281">
        <f>IF($K617=BG$3,IF($C617="X",0,$O617),0)</f>
        <v>0</v>
      </c>
      <c r="BH617" s="133">
        <f>IF($K617=BH$3,IF($C617="X",0,$O617),0)</f>
        <v>0</v>
      </c>
      <c r="BI617" s="133">
        <f>IF($K617=BI$3,IF($C617="X",0,$O617),0)</f>
        <v>0</v>
      </c>
      <c r="BJ617" s="133">
        <f>IF($K617=BJ$3,IF($C617="X",0,$O617),0)</f>
        <v>0</v>
      </c>
      <c r="BK617" s="133">
        <f>IF($K617=BK$3,IF($C617="X",0,$O617),0)</f>
        <v>0</v>
      </c>
      <c r="BL617" s="133">
        <f>IF($K617=BL$3,IF($C617="X",0,$O617),0)</f>
        <v>0</v>
      </c>
      <c r="BM617" s="135">
        <f>IF($K617=BM$3,IF($C617="X",0,$O617),0)</f>
        <v>16.5</v>
      </c>
      <c r="BN617" s="136">
        <f>IF($K617=BN$3,IF($C617="X",0,$O617),0)</f>
        <v>0</v>
      </c>
      <c r="BO617" s="136">
        <f>IF($K617=BO$3,IF($C617="X",0,$O617),0)</f>
        <v>0</v>
      </c>
      <c r="BP617" s="136">
        <f>IF($K617=BP$3,IF($C617="X",0,$O617),0)</f>
        <v>0</v>
      </c>
      <c r="BQ617" s="137">
        <f>IF($K617=BQ$3,IF($C617="X",0,$O617),0)</f>
        <v>0</v>
      </c>
      <c r="BR617" s="134">
        <f>IF($K617=BR$3,IF($C617="X",0,$O617),0)</f>
        <v>0</v>
      </c>
      <c r="BS617" s="282"/>
      <c r="BT617" s="283"/>
      <c r="BU617" s="140"/>
      <c r="BV617" s="283"/>
      <c r="BW617" s="140"/>
      <c r="BX617" s="140"/>
      <c r="BY617" s="140"/>
      <c r="BZ617" s="283"/>
      <c r="CA617" s="140"/>
      <c r="CB617" s="140"/>
      <c r="CC617" s="140"/>
      <c r="CD617" s="141"/>
      <c r="CE617" s="142"/>
      <c r="CF617" s="284">
        <f>IF(CF$3=$K617,IF($C617="W",1,IF($C617="1/2W",0.5,0)),0)</f>
        <v>0</v>
      </c>
      <c r="CG617" s="285">
        <f>IF(CF$3=$K617,IF($C617="L",1,IF($C617="1/2L",0.5,0)),0)</f>
        <v>0</v>
      </c>
      <c r="CH617" s="285">
        <f>IF(CH$3=$K617,IF($C617="W",1,IF($C617="1/2W",0.5,0)),0)</f>
        <v>0</v>
      </c>
      <c r="CI617" s="285">
        <f>IF(CH$3=$K617,IF($C617="L",1,IF($C617="1/2L",0.5,0)),0)</f>
        <v>0</v>
      </c>
      <c r="CJ617" s="285">
        <f>IF(CJ$3=$K617,IF($C617="W",1,IF($C617="1/2W",0.5,0)),0)</f>
        <v>0</v>
      </c>
      <c r="CK617" s="285">
        <f>IF(CJ$3=$K617,IF($C617="L",1,IF($C617="1/2L",0.5,0)),0)</f>
        <v>0</v>
      </c>
      <c r="CL617" s="285">
        <f>IF(CL$3=$K617,IF($C617="W",1,IF($C617="1/2W",0.5,0)),0)</f>
        <v>0</v>
      </c>
      <c r="CM617" s="285">
        <f>IF(CL$3=$K617,IF($C617="L",1,IF($C617="1/2L",0.5,0)),0)</f>
        <v>0</v>
      </c>
      <c r="CN617" s="285">
        <f>IF(CN$3=$K617,IF($C617="W",1,IF($C617="1/2W",0.5,0)),0)</f>
        <v>0</v>
      </c>
      <c r="CO617" s="285">
        <f>IF(CN$3=$K617,IF($C617="L",1,IF($C617="1/2L",0.5,0)),0)</f>
        <v>0</v>
      </c>
      <c r="CP617" s="285">
        <f>IF(CP$3=$K617,IF($C617="W",1,IF($C617="1/2W",0.5,0)),0)</f>
        <v>0</v>
      </c>
      <c r="CQ617" s="285">
        <f>IF(CP$3=$K617,IF($C617="L",1,IF($C617="1/2L",0.5,0)),0)</f>
        <v>0</v>
      </c>
      <c r="CR617" s="285">
        <f>IF(CR$3=$K617,IF($C617="W",1,IF($C617="1/2W",0.5,0)),0)</f>
        <v>0</v>
      </c>
      <c r="CS617" s="285">
        <f>IF(CR$3=$K617,IF($C617="L",1,IF($C617="1/2L",0.5,0)),0)</f>
        <v>0</v>
      </c>
      <c r="CT617" s="145">
        <f>IF(CT$3=$K617,IF($C617="W",1,IF($C617="1/2W",0.5,0)),0)</f>
        <v>1</v>
      </c>
      <c r="CU617" s="146">
        <f>IF(CT$3=$K617,IF($C617="L",1,IF($C617="1/2L",0.5,0)),0)</f>
        <v>0</v>
      </c>
      <c r="CV617" s="146">
        <f>IF(CV$3=$K617,IF($C617="W",1,IF($C617="1/2W",0.5,0)),0)</f>
        <v>0</v>
      </c>
      <c r="CW617" s="146">
        <f>IF(CV$3=$K617,IF($C617="L",1,IF($C617="1/2L",0.5,0)),0)</f>
        <v>0</v>
      </c>
      <c r="CX617" s="146">
        <f>IF(CX$3=$K617,IF($C617="W",1,IF($C617="1/2W",0.5,0)),0)</f>
        <v>0</v>
      </c>
      <c r="CY617" s="146">
        <f>IF(CX$3=$K617,IF($C617="L",1,IF($C617="1/2L",0.5,0)),0)</f>
        <v>0</v>
      </c>
      <c r="CZ617" s="146">
        <f>IF(CZ$3=$K617,IF($C617="W",1,IF($C617="1/2W",0.5,0)),0)</f>
        <v>0</v>
      </c>
      <c r="DA617" s="146">
        <f>IF(CZ$3=$K617,IF($C617="L",1,IF($C617="1/2L",0.5,0)),0)</f>
        <v>0</v>
      </c>
      <c r="DB617" s="146">
        <f>IF(DB$3=$K617,IF($C617="W",1,IF($C617="1/2W",0.5,0)),0)</f>
        <v>0</v>
      </c>
      <c r="DC617" s="146">
        <f>IF(DB$3=$K617,IF($C617="L",1,IF($C617="1/2L",0.5,0)),0)</f>
        <v>0</v>
      </c>
      <c r="DD617" s="146">
        <f>IF(DD$3=$K617,IF($C617="W",1,IF($C617="1/2W",0.5,0)),0)</f>
        <v>0</v>
      </c>
      <c r="DE617" s="147">
        <f>IF(DD$3=$K617,IF($C617="L",1,IF($C617="1/2L",0.5,0)),0)</f>
        <v>0</v>
      </c>
      <c r="DF617" s="143">
        <f>IF(AND(L617&lt;DF$3,$C617="W"),1+DF616,DF616)</f>
        <v>17</v>
      </c>
      <c r="DG617" s="133">
        <f>IF(DF617&gt;DF616,L617+DG616,DG616)</f>
        <v>22.628</v>
      </c>
      <c r="DH617" s="146">
        <f>IF(AND(L617&gt;DH$3,$C617="W"),1+DH616,0+DH616)</f>
        <v>16</v>
      </c>
      <c r="DI617" s="133">
        <f>IF(DH617&gt;DH616,L617+DI616,DI616)</f>
        <v>85.45999999999999</v>
      </c>
      <c r="DJ617" t="s" s="304">
        <f>IF($D616="","",$D616)</f>
        <v>431</v>
      </c>
      <c r="DK617" s="286"/>
    </row>
    <row r="618" ht="14.55" customHeight="1">
      <c r="A618" s="149"/>
      <c r="B618" s="150"/>
      <c r="C618" t="s" s="151">
        <v>58</v>
      </c>
      <c r="D618" s="152"/>
      <c r="E618" s="153"/>
      <c r="F618" s="155"/>
      <c r="G618" s="252"/>
      <c r="H618" s="156"/>
      <c r="I618" s="287"/>
      <c r="J618" s="288"/>
      <c r="K618" s="156"/>
      <c r="L618" s="289"/>
      <c r="M618" s="290"/>
      <c r="N618" s="161"/>
      <c r="O618" t="s" s="162">
        <f>IF(OR(AE616="",AE617=""),"",IF(L618&gt;0,ROUND(IF(M618&gt;0,M618,IF(M616&gt;0,ROUND((M616*AE618)/AE616,IF(N616=0,2,IF(N616=0.1,1,0))),IF(M617&gt;0,ROUND((M617*AE618)/AE617,IF(N616=0,2,IF(N616=0.1,1,0))),IF(M618&gt;0,M618,0)))),2),""))</f>
      </c>
      <c r="P618" t="s" s="163">
        <f>IF(I617="Lay",O617*(L617/(L617-1))-O617,IF(I616="Lay",O616*(L616/(L616-1))-O616,IF(OR(L618="",O618=""),"",IF($C618="1/2W",O618/2+O618/2*L618,IF($C618="1/2L",O618/2,(O618*L618-O618)*(1-_xlfn.XLOOKUP(K618,'Janeiro 2023 - Valor Real'!A3:A15,'Janeiro 2023 - Valor Real'!C3:C15,0))+O618)))))</f>
      </c>
      <c r="Q618" t="s" s="154">
        <f>IF(K618="","",IF(_xlfn.XLOOKUP(K618,K$121:K397,DJ$121:DJ397,0,,-1)=DJ618,_xlfn.XLOOKUP(K618,K$121:K397,Q$121:Q397,1,,-1)+1,1))</f>
      </c>
      <c r="R618" t="s" s="163">
        <f>IF(K618="","",_xlfn.XLOOKUP(K618,K$121:K397,R$121:R397,0,,-1)+IF($C618=" ",1,0))</f>
      </c>
      <c r="S618" s="166"/>
      <c r="T618" s="155"/>
      <c r="U618" s="155"/>
      <c r="V618" s="166"/>
      <c r="W618" s="155"/>
      <c r="X618" s="167"/>
      <c r="Y618" s="128"/>
      <c r="Z618" s="129"/>
      <c r="AA618" s="129"/>
      <c r="AB618" s="129"/>
      <c r="AC618" s="129"/>
      <c r="AD618" s="168"/>
      <c r="AE618" t="s" s="169">
        <f>IF(L618="","",(SUM(((L616-1)*(1-_xlfn.XLOOKUP(K616,'Janeiro 2023 - Valor Real'!A3:A15,'Janeiro 2023 - Valor Real'!C3:C15,0))+1),((L617-1)*(1-_xlfn.XLOOKUP(K617,'Janeiro 2023 - Valor Real'!A3:A15,'Janeiro 2023 - Valor Real'!C3:C15,0))+1),((L618-1)*(1-_xlfn.XLOOKUP(K618,'Janeiro 2023 - Valor Real'!A3:A15,'Janeiro 2023 - Valor Real'!C3:C15,0))+1))/((L618-1)*(1-_xlfn.XLOOKUP(K618,'Janeiro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Real'!C3:C15,0))+1))/((L616-1)*(1-_xlfn.XLOOKUP(K616,'Janeiro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Real'!C3:C15,0))+1))/((L617-1)*(1-_xlfn.XLOOKUP(K617,'Janeiro 2023 - Valor Real'!A3:A15,'Janeiro 2023 - Valor Real'!C3:C15,0))+1)+SUM(((L616-1)*(1-_xlfn.XLOOKUP(K616,'Janeiro 2023 - Valor Real'!A3:A15,'Janeiro 2023 - Valor Real'!C3:C15,0))+1),((L617-1)*(1-_xlfn.XLOOKUP(K617,'Janeiro 2023 - Valor Real'!A3:A15,'Janeiro 2023 - Valor Real'!C3:C15,0))+1),((L618-1)*(1-_xlfn.XLOOKUP(K618,'Janeiro 2023 - Valor Real'!A3:A15,'Janeiro 2023 - Valor Real'!C3:C15,0))+1))/((L618-1)*(1-_xlfn.XLOOKUP(K618,'Janeiro 2023 - Valor Real'!A3:A15,'Janeiro 2023 - Valor Real'!C3:C15,0))+1)))</f>
      </c>
      <c r="AF618" s="132">
        <f>IF($K618=AF$3,ROUND(IF(OR($C618="W",$C618="1/2W",$C618="1/2L"),$P618-$O618,IF($C618="X",0,-$O618)),2),0)</f>
        <v>0</v>
      </c>
      <c r="AG618" s="133">
        <f>IF($K618=AG$3,ROUND(IF(OR($C618="W",$C618="1/2W",$C618="1/2L"),$P618-$O618,IF($C618="X",0,-$O618)),2),0)</f>
        <v>0</v>
      </c>
      <c r="AH618" s="133">
        <f>IF($K618=AH$3,ROUND(IF(OR($C618="W",$C618="1/2W",$C618="1/2L"),$P618-$O618,IF($C618="X",0,-$O618)),2),0)</f>
        <v>0</v>
      </c>
      <c r="AI618" s="133">
        <f>IF($K618=AI$3,ROUND(IF(OR($C618="W",$C618="1/2W",$C618="1/2L"),$P618-$O618,IF($C618="X",0,-$O618)),2),0)</f>
        <v>0</v>
      </c>
      <c r="AJ618" s="133">
        <f>IF($K618=AJ$3,ROUND(IF(OR($C618="W",$C618="1/2W",$C618="1/2L"),$P618-$O618,IF($C618="X",0,-$O618)),2),0)</f>
        <v>0</v>
      </c>
      <c r="AK618" s="133">
        <f>IF($K618=AK$3,ROUND(IF(OR($C618="W",$C618="1/2W",$C618="1/2L"),$P618-$O618,IF($C618="X",0,-$O618)),2),0)</f>
        <v>0</v>
      </c>
      <c r="AL618" s="133">
        <f>IF($K618=AL$3,ROUND(IF(OR($C618="W",$C618="1/2W",$C618="1/2L"),$P618-$O618,IF($C618="X",0,-$O618)),2),0)</f>
        <v>0</v>
      </c>
      <c r="AM618" s="133">
        <f>IF($K618=AM$3,ROUND(IF(OR($C618="W",$C618="1/2W",$C618="1/2L"),$P618-$O618,IF($C618="X",0,-$O618)),2),0)</f>
        <v>0</v>
      </c>
      <c r="AN618" s="133">
        <f>IF($K618=AN$3,ROUND(IF(OR($C618="W",$C618="1/2W",$C618="1/2L"),$P618-$O618,IF($C618="X",0,-$O618)),2),0)</f>
        <v>0</v>
      </c>
      <c r="AO618" s="133">
        <f>IF($K618=AO$3,ROUND(IF(OR($C618="W",$C618="1/2W",$C618="1/2L"),$P618-$O618,IF($C618="X",0,-$O618)),2),0)</f>
        <v>0</v>
      </c>
      <c r="AP618" s="133">
        <f>IF($K618=AP$3,ROUND(IF(OR($C618="W",$C618="1/2W",$C618="1/2L"),$P618-$O618,IF($C618="X",0,-$O618)),2),0)</f>
        <v>0</v>
      </c>
      <c r="AQ618" s="133">
        <f>IF($K618=AQ$3,ROUND(IF(OR($C618="W",$C618="1/2W",$C618="1/2L"),$P618-$O618,IF($C618="X",0,-$O618)),2),0)</f>
        <v>0</v>
      </c>
      <c r="AR618" s="134">
        <f>IF($K618=AR$3,ROUND(IF(OR($C618="W",$C618="1/2W",$C618="1/2L"),$P618-$O618,IF($C618="X",0,-$O618)),2),0)</f>
        <v>0</v>
      </c>
      <c r="AS618" s="132">
        <f>IF(AND($B616=" ",$K618=AS$3),$O618,0)</f>
        <v>0</v>
      </c>
      <c r="AT618" s="133">
        <f>IF(AND($B616=" ",K618=AT$3),$O618,0)</f>
        <v>0</v>
      </c>
      <c r="AU618" s="133">
        <f>IF(AND($B616=" ",$K618=AU$3),$O618,0)</f>
        <v>0</v>
      </c>
      <c r="AV618" s="133">
        <f>IF(AND($B616=" ",$K618=AV$3),$O618,0)</f>
        <v>0</v>
      </c>
      <c r="AW618" s="133">
        <f>IF(AND($B616=" ",$K618=AW$3),$O618,0)</f>
        <v>0</v>
      </c>
      <c r="AX618" s="133">
        <f>IF(AND($B616=" ",$K618=AX$3),$O618,0)</f>
        <v>0</v>
      </c>
      <c r="AY618" s="135">
        <f>IF(AND($B616=" ",$K618=AY$3),$O618,0)</f>
        <v>0</v>
      </c>
      <c r="AZ618" s="136">
        <f>IF(AND($B616=" ",$K618=AZ$3),$O618,0)</f>
        <v>0</v>
      </c>
      <c r="BA618" s="136">
        <f>IF(AND($B616=" ",$K618=BA$3),$O618,0)</f>
        <v>0</v>
      </c>
      <c r="BB618" s="136">
        <f>IF(AND($B616=" ",$K618=BB$3),$O618,0)</f>
        <v>0</v>
      </c>
      <c r="BC618" s="137">
        <f>IF(AND($B616=" ",$K618=BC$3),$O618,0)</f>
        <v>0</v>
      </c>
      <c r="BD618" s="133">
        <f>IF(AND($B616=" ",$K618=BD$3),$O618,0)</f>
        <v>0</v>
      </c>
      <c r="BE618" s="134">
        <f>IF(AND($B616=" ",$K618=BE$3),$O618,0)</f>
        <v>0</v>
      </c>
      <c r="BF618" s="132">
        <f>IF($K618=BF$3,IF($C618="X",0,$O618),0)</f>
        <v>0</v>
      </c>
      <c r="BG618" s="281">
        <f>IF($K618=BG$3,IF($C618="X",0,$O618),0)</f>
        <v>0</v>
      </c>
      <c r="BH618" s="133">
        <f>IF($K618=BH$3,IF($C618="X",0,$O618),0)</f>
        <v>0</v>
      </c>
      <c r="BI618" s="133">
        <f>IF($K618=BI$3,IF($C618="X",0,$O618),0)</f>
        <v>0</v>
      </c>
      <c r="BJ618" s="133">
        <f>IF($K618=BJ$3,IF($C618="X",0,$O618),0)</f>
        <v>0</v>
      </c>
      <c r="BK618" s="133">
        <f>IF($K618=BK$3,IF($C618="X",0,$O618),0)</f>
        <v>0</v>
      </c>
      <c r="BL618" s="133">
        <f>IF($K618=BL$3,IF($C618="X",0,$O618),0)</f>
        <v>0</v>
      </c>
      <c r="BM618" s="135">
        <f>IF($K618=BM$3,IF($C618="X",0,$O618),0)</f>
        <v>0</v>
      </c>
      <c r="BN618" s="136">
        <f>IF($K618=BN$3,IF($C618="X",0,$O618),0)</f>
        <v>0</v>
      </c>
      <c r="BO618" s="136">
        <f>IF($K618=BO$3,IF($C618="X",0,$O618),0)</f>
        <v>0</v>
      </c>
      <c r="BP618" s="136">
        <f>IF($K618=BP$3,IF($C618="X",0,$O618),0)</f>
        <v>0</v>
      </c>
      <c r="BQ618" s="137">
        <f>IF($K618=BQ$3,IF($C618="X",0,$O618),0)</f>
        <v>0</v>
      </c>
      <c r="BR618" s="134">
        <f>IF($K618=BR$3,IF($C618="X",0,$O618),0)</f>
        <v>0</v>
      </c>
      <c r="BS618" s="282"/>
      <c r="BT618" s="283"/>
      <c r="BU618" s="140"/>
      <c r="BV618" s="283"/>
      <c r="BW618" s="140"/>
      <c r="BX618" s="140"/>
      <c r="BY618" s="140"/>
      <c r="BZ618" s="283"/>
      <c r="CA618" s="140"/>
      <c r="CB618" s="140"/>
      <c r="CC618" s="140"/>
      <c r="CD618" s="141"/>
      <c r="CE618" s="142"/>
      <c r="CF618" s="284">
        <f>IF(CF$3=$K618,IF($C618="W",1,IF($C618="1/2W",0.5,0)),0)</f>
        <v>0</v>
      </c>
      <c r="CG618" s="285">
        <f>IF(CF$3=$K618,IF($C618="L",1,IF($C618="1/2L",0.5,0)),0)</f>
        <v>0</v>
      </c>
      <c r="CH618" s="285">
        <f>IF(CH$3=$K618,IF($C618="W",1,IF($C618="1/2W",0.5,0)),0)</f>
        <v>0</v>
      </c>
      <c r="CI618" s="285">
        <f>IF(CH$3=$K618,IF($C618="L",1,IF($C618="1/2L",0.5,0)),0)</f>
        <v>0</v>
      </c>
      <c r="CJ618" s="285">
        <f>IF(CJ$3=$K618,IF($C618="W",1,IF($C618="1/2W",0.5,0)),0)</f>
        <v>0</v>
      </c>
      <c r="CK618" s="285">
        <f>IF(CJ$3=$K618,IF($C618="L",1,IF($C618="1/2L",0.5,0)),0)</f>
        <v>0</v>
      </c>
      <c r="CL618" s="285">
        <f>IF(CL$3=$K618,IF($C618="W",1,IF($C618="1/2W",0.5,0)),0)</f>
        <v>0</v>
      </c>
      <c r="CM618" s="285">
        <f>IF(CL$3=$K618,IF($C618="L",1,IF($C618="1/2L",0.5,0)),0)</f>
        <v>0</v>
      </c>
      <c r="CN618" s="285">
        <f>IF(CN$3=$K618,IF($C618="W",1,IF($C618="1/2W",0.5,0)),0)</f>
        <v>0</v>
      </c>
      <c r="CO618" s="285">
        <f>IF(CN$3=$K618,IF($C618="L",1,IF($C618="1/2L",0.5,0)),0)</f>
        <v>0</v>
      </c>
      <c r="CP618" s="285">
        <f>IF(CP$3=$K618,IF($C618="W",1,IF($C618="1/2W",0.5,0)),0)</f>
        <v>0</v>
      </c>
      <c r="CQ618" s="285">
        <f>IF(CP$3=$K618,IF($C618="L",1,IF($C618="1/2L",0.5,0)),0)</f>
        <v>0</v>
      </c>
      <c r="CR618" s="285">
        <f>IF(CR$3=$K618,IF($C618="W",1,IF($C618="1/2W",0.5,0)),0)</f>
        <v>0</v>
      </c>
      <c r="CS618" s="285">
        <f>IF(CR$3=$K618,IF($C618="L",1,IF($C618="1/2L",0.5,0)),0)</f>
        <v>0</v>
      </c>
      <c r="CT618" s="145">
        <f>IF(CT$3=$K618,IF($C618="W",1,IF($C618="1/2W",0.5,0)),0)</f>
        <v>0</v>
      </c>
      <c r="CU618" s="146">
        <f>IF(CT$3=$K618,IF($C618="L",1,IF($C618="1/2L",0.5,0)),0)</f>
        <v>0</v>
      </c>
      <c r="CV618" s="146">
        <f>IF(CV$3=$K618,IF($C618="W",1,IF($C618="1/2W",0.5,0)),0)</f>
        <v>0</v>
      </c>
      <c r="CW618" s="146">
        <f>IF(CV$3=$K618,IF($C618="L",1,IF($C618="1/2L",0.5,0)),0)</f>
        <v>0</v>
      </c>
      <c r="CX618" s="146">
        <f>IF(CX$3=$K618,IF($C618="W",1,IF($C618="1/2W",0.5,0)),0)</f>
        <v>0</v>
      </c>
      <c r="CY618" s="146">
        <f>IF(CX$3=$K618,IF($C618="L",1,IF($C618="1/2L",0.5,0)),0)</f>
        <v>0</v>
      </c>
      <c r="CZ618" s="146">
        <f>IF(CZ$3=$K618,IF($C618="W",1,IF($C618="1/2W",0.5,0)),0)</f>
        <v>0</v>
      </c>
      <c r="DA618" s="146">
        <f>IF(CZ$3=$K618,IF($C618="L",1,IF($C618="1/2L",0.5,0)),0)</f>
        <v>0</v>
      </c>
      <c r="DB618" s="146">
        <f>IF(DB$3=$K618,IF($C618="W",1,IF($C618="1/2W",0.5,0)),0)</f>
        <v>0</v>
      </c>
      <c r="DC618" s="146">
        <f>IF(DB$3=$K618,IF($C618="L",1,IF($C618="1/2L",0.5,0)),0)</f>
        <v>0</v>
      </c>
      <c r="DD618" s="146">
        <f>IF(DD$3=$K618,IF($C618="W",1,IF($C618="1/2W",0.5,0)),0)</f>
        <v>0</v>
      </c>
      <c r="DE618" s="147">
        <f>IF(DD$3=$K618,IF($C618="L",1,IF($C618="1/2L",0.5,0)),0)</f>
        <v>0</v>
      </c>
      <c r="DF618" s="143">
        <f>IF(AND(L618&lt;DF$3,$C618="W"),1+DF617,DF617)</f>
        <v>17</v>
      </c>
      <c r="DG618" s="133">
        <f>IF(DF618&gt;DF617,L618+DG617,DG617)</f>
        <v>22.628</v>
      </c>
      <c r="DH618" s="146">
        <f>IF(AND(L618&gt;DH$3,$C618="W"),1+DH617,0+DH617)</f>
        <v>16</v>
      </c>
      <c r="DI618" s="133">
        <f>IF(DH618&gt;DH617,L618+DI617,DI617)</f>
        <v>85.45999999999999</v>
      </c>
      <c r="DJ618" t="s" s="304">
        <f>IF($D616="","",$D616)</f>
        <v>431</v>
      </c>
      <c r="DK618" s="286"/>
    </row>
    <row r="619" ht="14.55" customHeight="1">
      <c r="A619" s="171">
        <f>$A616+1</f>
        <v>206</v>
      </c>
      <c r="B619" t="s" s="172">
        <f>IF(AND(_xlfn.XLOOKUP(H619,H$122:H392,G$122:G392,0)=G619,_xlfn.XLOOKUP("TempoBet",K619:K621,L619:L621,0)&gt;0),"X",IF(OR(C619="W",C620="W",C621="W",C619="1/2W",C620="1/2W",C621="1/2W",C619="1/2L",C620="1/2L",C621="1/2L"),"OK",IF(OR(C619="L",C620="L",C621="L"),"LOSS",IF(OR(C619="X",C620="X",C621="X"),"Anulado"," "))))</f>
        <v>50</v>
      </c>
      <c r="C619" t="s" s="173">
        <v>51</v>
      </c>
      <c r="D619" t="s" s="305">
        <f>IF(G619="","",$D616)</f>
        <v>431</v>
      </c>
      <c r="E619" t="s" s="175">
        <f>IF(G619=""," ","– "&amp;COUNTIF(D$4:D621,$D619))</f>
        <v>141</v>
      </c>
      <c r="F619" t="s" s="176">
        <f>IF(G619="","",IF(OR(AND($C619&lt;&gt;" ",$C620=" "),AND($C620&lt;&gt;" ",$C619=" "),AND(L621&gt;0,OR(AND($C621&lt;&gt;" ",OR($C619=" ",$C620=" ")),AND($C621=" ",OR($C619&lt;&gt;" ",$C620&lt;&gt;" "))))),IF(SUM(F$4:F618)=0,1,LARGE(F$4:F618,1)+1),IF(MONTH(G619)=MONTH(TODAY()),IF(AND(DAY(G619)&lt;DAY(TODAY()),$B619=" "),IF(SUM(F$4:F618)=0,1,LARGE(F$4:F618,1)+1),IF($B619=" ",IF(AND(DAY(G619)=DAY(TODAY()),HOUR(G619)&lt;=HOUR(NOW())+1),IF(AND(HOUR(G619)+2&lt;=HOUR(NOW()),DAY(G619)&lt;=DAY(TODAY()),MINUTE(G619)&lt;=MINUTE(NOW())),IF(SUM(F$4:F618)=0,1,LARGE(F$4:F618,1)+1),IF(OR(MINUTE(G619)&lt;=MINUTE(NOW()),HOUR(G619)&lt;=HOUR(NOW())),"!!!","")),""),"")),"")))</f>
      </c>
      <c r="G619" s="177">
        <v>44954.625</v>
      </c>
      <c r="H619" t="s" s="178">
        <v>454</v>
      </c>
      <c r="I619" t="s" s="179">
        <v>65</v>
      </c>
      <c r="J619" s="291">
        <v>3.5</v>
      </c>
      <c r="K619" t="s" s="181">
        <v>38</v>
      </c>
      <c r="L619" s="182">
        <v>2.7</v>
      </c>
      <c r="M619" s="183"/>
      <c r="N619" s="184">
        <v>0</v>
      </c>
      <c r="O619" s="185">
        <f>IF(OR(AE619="",AE620=""),"",ROUND(IF(L621&gt;0,IF(M619&gt;0,M619,IF(M620&gt;0,ROUND((M620*AE619)/AE620,IF(N619=0,2,IF(N619=0.1,1,0))),ROUND((M621*AE619)/AE621,IF(N619=0,2,IF(N619=0.1,1,0))))),IF(M619&gt;0,M619,ROUND((M620*AE619)/AE620,IF(N619=0,2,IF(N619=0.1,1,0))))),2))</f>
        <v>4.65</v>
      </c>
      <c r="P619" s="186">
        <f>IF(OR(L619="",O619=""),"",IF($C619="1/2W",O619/2+O619/2*L619,IF($C619="1/2L",O619/2,IF(I619="Lay",(O619*(L619/(L619-1))-O619)*(1-_xlfn.XLOOKUP(K619,'Janeiro 2023 - Valor Real'!A3:A15,'Janeiro 2023 - Valor Real'!C3:C15,0))+O619,(O619*L619-O619)*(1-_xlfn.XLOOKUP(K619,'Janeiro 2023 - Valor Real'!A3:A15,'Janeiro 2023 - Valor Real'!C3:C15,0))+O619))))</f>
        <v>12.555</v>
      </c>
      <c r="Q619" s="187">
        <f>IF(K619="","",IF(_xlfn.XLOOKUP(K619,K$122:K392,DJ$122:DJ392,0,,-1)=DJ619,_xlfn.XLOOKUP(K619,K$122:K392,Q$122:Q392,1,,-1)+1,1))</f>
        <v>1</v>
      </c>
      <c r="R619" s="188">
        <f>IF(K619="","",_xlfn.XLOOKUP(K619,K$122:K392,R$122:R392,0,,-1)+IF($C619=" ",1,0))</f>
        <v>0</v>
      </c>
      <c r="S619" s="189">
        <f>IF($B619="Anulado",0,ROUND(IF(OR($B619="LOSS",$B619="OK"),IF(OR($C619="W",$C619="1/2W",$C619="1/2L"),P619-O619,IF($C619="L",-O619,0))+IF(OR($C620="W",$C620="1/2W",$C620="1/2L"),P620-O620,IF($C620="L",-O620,0))+IF(OR($C621="W",$C621="1/2W",$C621="1/2L"),P621-O621,IF($C621="L",-O621,0)),IF(AND(OR($C619="W",$C619="1/2W",$C619="1/2L"),C620="W"),P619+P620-SUM(O619:O621)+_xlfn.XLOOKUP("X",C619:C621,O619:O621,0),IF(AND(C619=TRUE,C621="W"),P619+P621-SUM(O619:O621),IF(AND(C620="W",C621="W"),P620+P621-SUM(O619:O621)+_xlfn.XLOOKUP("X",C619:C621,O619:O621,0),IF(L621&gt;0,IF(OR($C619="W",$C619="1/2W",$C619="1/2L"),P619-SUM(O619:O621)+_xlfn.XLOOKUP("X",C619:C621,O619:O621,0),IF(OR($C619="W",$C619="1/2W",$C619="1/2L"),P620-SUM(O619:O621)+_xlfn.XLOOKUP("X",C619:C621,O619:O621,0),IF(OR($C619="W",$C619="1/2W",$C619="1/2L"),P621-SUM(O619:O621)+_xlfn.XLOOKUP("X",C619:C621,O619:O621,0),IF(SUM(P619:P621)/3-SUM(O619:O621)+_xlfn.XLOOKUP("X",C619:C621,O619:O621,0)&gt;0,SUM(P619:P621)/3-SUM(O619:O621)+_xlfn.XLOOKUP("X",C619:C621,O619:O621,0),LARGE(P619:P621,1)-SUM(O619:O621))))),IF(OR($C619="W",$C619="1/2W",$C619="1/2L"),P619-SUM(O619:O620)+_xlfn.XLOOKUP("X",C619:C621,O619:O621,0),IF(OR($C619="W",$C619="1/2W",$C619="1/2L"),P620-SUM(O619:O620)+_xlfn.XLOOKUP("X",C619:C621,O619:O621,0),SUM(P619:P620)/2-SUM(O619:O620)+_xlfn.XLOOKUP("X",C619:C621,O619:O621,0)))))))),2))</f>
        <v>0.97</v>
      </c>
      <c r="T619" s="190">
        <f>IF(S619=0,0,S619/SUM(O619:O621))</f>
        <v>0.0836928386540121</v>
      </c>
      <c r="U619" s="191">
        <f>IF($D619=$D616,IF(OR($B619="LOSS",$B619="OK",$B619="Anulada"),S619,0)+U616,IF(OR($B619="LOSS",$B619="OK",$B619="Anulada"),S619,0))</f>
        <v>22.54</v>
      </c>
      <c r="V619" s="191">
        <f>IF($D619="",0,IF($D619=$D616,IF($B619=" ",IF(I621="",IF(OR(AND(I619="DNB1",I620="DNB2"),AND(OR(I619="DNB1",I619="DNB2"),J620=0),AND(OR(I620="DNB1",I620="DNB2"),J619=0),AND(I619="DNB2",I620="DNB1"),AND(IF(J619=0,(J619+1)/ROUND(J619+1,0),J619/ROUND(J619,0))=1,IF(J620=0,(J620+1)/ROUND(IF(J620="",0,J620)+1,0),IF(J620="",0,J620)/ROUND(IF(J620="",1,J620),0))=1,OR(J619&lt;&gt;""),J620&lt;&gt;"")),0,IF(S619&lt;0,IF(I621="",SMALL(P619:P620,1)-SUM(O619:O620),0),SMALL(P619:P620,1)-SUM(O619:O620))),IF(S619&lt;0,IF(I621="",SMALL(P619:P621,1)-SUM(O619:O621),0),LARGE(P619:P621,1)-SUM(O619:O621))),S619)+V616,IF(I621="",IF(OR(AND(I619="DNB1",I620="DNB2"),AND(OR(I619="DNB1",I619="DNB2"),J620=0),AND(OR(I620="DNB1",I620="DNB2"),J619=0),AND(I619="DNB2",I620="DNB1"),AND(IF(J619=0,(J619+1)/ROUND(J619+1,0),J619/ROUND(J619,0))=1,IF(J620=0,(IF(J620="",0,J620)+1)/ROUND(IF(J620="",0,J620)+1,0),IF(J620="",0,J620)/ROUND(IF(J620="",0,J620)+1,0))=1,OR(J619&lt;&gt;""),J620&lt;&gt;"")),0,IF(S619&lt;0,IF(I621="",SMALL(P619:P620,1)-SUM(O619:O620),0),SMALL(P619:P621,1)-SUM(O619:O621))),IF(S619&lt;0,IF(I621="",SMALL(P619:P621,1)-SUM(O619:O621),0),LARGE(P619:P621,1)-SUM(O619:O621)))))</f>
        <v>22.512</v>
      </c>
      <c r="W619" s="191">
        <f>IF($D619=$D616,IF(S619&lt;0,IF(I621="",S619,0),S619)+W616,S619)</f>
        <v>22.54</v>
      </c>
      <c r="X619" t="s" s="192">
        <f>IF(OR(SUM(R619:R621)=0,V619=W619),ROUND(IF(W619=0,0,W619/Y619)*100,2)&amp;"%",ROUND(IF(V619=0,0,V619/Y619)*100,2)&amp;"% a "&amp;ROUND(IF(W619=0,0,W619/Y619)*100,2)&amp;"%")</f>
        <v>455</v>
      </c>
      <c r="Y619" s="193">
        <f>IF($D619=$D616,Y616+SUM(O619:O621),SUM(O619:O621))</f>
        <v>340.71</v>
      </c>
      <c r="Z619" s="191">
        <f>IF($B619=" ",SUM(O619:O621),0)+Z616</f>
        <v>0</v>
      </c>
      <c r="AA619" s="191">
        <f>IF(G619="","",IF($B619="Anulado",LARGE(P619:P621,1)-SUM(O619:O621)+AA616,AA616))</f>
        <v>26.8740076923077</v>
      </c>
      <c r="AB619" s="191">
        <f>IF($D619="","",AB616+S619)</f>
        <v>410.87</v>
      </c>
      <c r="AC619" s="194">
        <f>IF($D619="","",IF($B619=" ",IF(DAY(G619)=DAY(TODAY()),1+AC616,0+AC616),0+AC616))</f>
        <v>0</v>
      </c>
      <c r="AD619" s="195">
        <f>(((L620/(L620-1)-1)*(1-_xlfn.XLOOKUP(K620,'Janeiro 2023 - Valor Real'!A3:A15,'Janeiro 2023 - Valor Real'!C3:C15,0))+1))/(((L619-1)*(1-_xlfn.XLOOKUP(K619,'Janeiro 2023 - Valor Real'!A3:A15,'Janeiro 2023 - Valor Real'!C3:C15,0))+1)+((L620/(L620-1)-1)*(1-_xlfn.XLOOKUP(K620,'Janeiro 2023 - Valor Real'!A3:A15,'Janeiro 2023 - Valor Real'!C3:C15,0))+1))</f>
        <v>0.452839629722292</v>
      </c>
      <c r="AE619" s="196">
        <f>IF(L619="","",IF(L621&gt;0,(SUM(((L619-1)*(1-_xlfn.XLOOKUP(K619,'Janeiro 2023 - Valor Real'!A3:A15,'Janeiro 2023 - Valor Real'!C3:C15,0))+1),((L620-1)*(1-_xlfn.XLOOKUP(K620,'Janeiro 2023 - Valor Real'!A3:A15,'Janeiro 2023 - Valor Real'!C3:C15,0))+1),((L621-1)*(1-_xlfn.XLOOKUP(K621,'Janeiro 2023 - Valor Real'!A3:A15,'Janeiro 2023 - Valor Real'!C3:C15,0))+1))/((L619-1)*(1-_xlfn.XLOOKUP(K619,'Janeiro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Real'!C3:C15,0))+1))/((L619-1)*(1-_xlfn.XLOOKUP(K619,'Janeiro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Real'!C3:C15,0))+1))/((L620-1)*(1-_xlfn.XLOOKUP(K620,'Janeiro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Real'!C3:C15,0))+1))/((L621-1)*(1-_xlfn.XLOOKUP(K621,'Janeiro 2023 - Valor Real'!A3:A15,'Janeiro 2023 - Valor Real'!C3:C15,0))+1)),IF(I619="Lay",IF(I620="Lay",((L620/(L620-1)-1)*(1-_xlfn.XLOOKUP(K620,'Janeiro 2023 - Valor Real'!A3:A15,'Janeiro 2023 - Valor Real'!C3:C15,0))+1)/(((L620/(L620-1)-1)*(1-_xlfn.XLOOKUP(K620,'Janeiro 2023 - Valor Real'!A3:A15,'Janeiro 2023 - Valor Real'!C3:C15,0))+1)+((L619/(L619-1)-1)*(1-_xlfn.XLOOKUP(K619,'Janeiro 2023 - Valor Real'!A3:A15,'Janeiro 2023 - Valor Real'!C3:C15,0))+1)),((L620-1)*(1-_xlfn.XLOOKUP(K620,'Janeiro 2023 - Valor Real'!A3:A15,'Janeiro 2023 - Valor Real'!C3:C15,0))+1)/(((L620-1)*(1-_xlfn.XLOOKUP(K620,'Janeiro 2023 - Valor Real'!A3:A15,'Janeiro 2023 - Valor Real'!C3:C15,0))+1)+((L619/(L619-1)-1)*(1-_xlfn.XLOOKUP(K619,'Janeiro 2023 - Valor Real'!A3:A15,'Janeiro 2023 - Valor Real'!C3:C15,0))+1))),IF(I620="Lay",(((L620/(L620-1)-1)*(1-_xlfn.XLOOKUP(K620,'Janeiro 2023 - Valor Real'!A3:A15,'Janeiro 2023 - Valor Real'!C3:C15,0))+1))/(((L619-1)*(1-_xlfn.XLOOKUP(K619,'Janeiro 2023 - Valor Real'!A3:A15,'Janeiro 2023 - Valor Real'!C3:C15,0))+1)+((L620/(L620-1)-1)*(1-_xlfn.XLOOKUP(K620,'Janeiro 2023 - Valor Real'!A3:A15,'Janeiro 2023 - Valor Real'!C3:C15,0))+1)),((L620-1)*(1-_xlfn.XLOOKUP(K620,'Janeiro 2023 - Valor Real'!A3:A15,'Janeiro 2023 - Valor Real'!C3:C15,0))+1)/(((L620-1)*(1-_xlfn.XLOOKUP(K620,'Janeiro 2023 - Valor Real'!A3:A15,'Janeiro 2023 - Valor Real'!C3:C15,0))+1)+((L619-1)*(1-_xlfn.XLOOKUP(K619,'Janeiro 2023 - Valor Real'!A3:A15,'Janeiro 2023 - Valor Real'!C3:C15,0))+1))))))</f>
        <v>0.401330376940133</v>
      </c>
      <c r="AF619" s="197">
        <f>IF($K619=AF$3,ROUND(IF(OR($C619="W",$C619="1/2W",$C619="1/2L"),$P619-$O619,IF($C619="X",0,-$O619)),2),0)</f>
        <v>0</v>
      </c>
      <c r="AG619" s="198">
        <f>IF($K619=AG$3,ROUND(IF(OR($C619="W",$C619="1/2W",$C619="1/2L"),$P619-$O619,IF($C619="X",0,-$O619)),2),0)</f>
        <v>-4.65</v>
      </c>
      <c r="AH619" s="198">
        <f>IF($K619=AH$3,ROUND(IF(OR($C619="W",$C619="1/2W",$C619="1/2L"),$P619-$O619,IF($C619="X",0,-$O619)),2),0)</f>
        <v>0</v>
      </c>
      <c r="AI619" s="198">
        <f>IF($K619=AI$3,ROUND(IF(OR($C619="W",$C619="1/2W",$C619="1/2L"),$P619-$O619,IF($C619="X",0,-$O619)),2),0)</f>
        <v>0</v>
      </c>
      <c r="AJ619" s="198">
        <f>IF($K619=AJ$3,ROUND(IF(OR($C619="W",$C619="1/2W",$C619="1/2L"),$P619-$O619,IF($C619="X",0,-$O619)),2),0)</f>
        <v>0</v>
      </c>
      <c r="AK619" s="198">
        <f>IF($K619=AK$3,ROUND(IF(OR($C619="W",$C619="1/2W",$C619="1/2L"),$P619-$O619,IF($C619="X",0,-$O619)),2),0)</f>
        <v>0</v>
      </c>
      <c r="AL619" s="198">
        <f>IF($K619=AL$3,ROUND(IF(OR($C619="W",$C619="1/2W",$C619="1/2L"),$P619-$O619,IF($C619="X",0,-$O619)),2),0)</f>
        <v>0</v>
      </c>
      <c r="AM619" s="198">
        <f>IF($K619=AM$3,ROUND(IF(OR($C619="W",$C619="1/2W",$C619="1/2L"),$P619-$O619,IF($C619="X",0,-$O619)),2),0)</f>
        <v>0</v>
      </c>
      <c r="AN619" s="198">
        <f>IF($K619=AN$3,ROUND(IF(OR($C619="W",$C619="1/2W",$C619="1/2L"),$P619-$O619,IF($C619="X",0,-$O619)),2),0)</f>
        <v>0</v>
      </c>
      <c r="AO619" s="198">
        <f>IF($K619=AO$3,ROUND(IF(OR($C619="W",$C619="1/2W",$C619="1/2L"),$P619-$O619,IF($C619="X",0,-$O619)),2),0)</f>
        <v>0</v>
      </c>
      <c r="AP619" s="198">
        <f>IF($K619=AP$3,ROUND(IF(OR($C619="W",$C619="1/2W",$C619="1/2L"),$P619-$O619,IF($C619="X",0,-$O619)),2),0)</f>
        <v>0</v>
      </c>
      <c r="AQ619" s="198">
        <f>IF($K619=AQ$3,ROUND(IF(OR($C619="W",$C619="1/2W",$C619="1/2L"),$P619-$O619,IF($C619="X",0,-$O619)),2),0)</f>
        <v>0</v>
      </c>
      <c r="AR619" s="199">
        <f>IF($K619=AR$3,ROUND(IF(OR($C619="W",$C619="1/2W",$C619="1/2L"),$P619-$O619,IF($C619="X",0,-$O619)),2),0)</f>
        <v>0</v>
      </c>
      <c r="AS619" s="197">
        <f>IF(AND($B619=" ",$K619=AS$3),$O619,0)</f>
        <v>0</v>
      </c>
      <c r="AT619" s="198">
        <f>IF(AND($B619=" ",$K619=AT$3),$O619,0)</f>
        <v>0</v>
      </c>
      <c r="AU619" s="198">
        <f>IF(AND($B619=" ",$K619=AU$3),$O619,0)</f>
        <v>0</v>
      </c>
      <c r="AV619" s="198">
        <f>IF(AND($B619=" ",$K619=AV$3),$O619,0)</f>
        <v>0</v>
      </c>
      <c r="AW619" s="198">
        <f>IF(AND($B619=" ",$K619=AW$3),$O619,0)</f>
        <v>0</v>
      </c>
      <c r="AX619" s="198">
        <f>IF(AND($B619=" ",$K619=AX$3),$O619,0)</f>
        <v>0</v>
      </c>
      <c r="AY619" s="200">
        <f>IF(AND($B619=" ",$K619=AY$3),$O619,0)</f>
        <v>0</v>
      </c>
      <c r="AZ619" s="201">
        <f>IF(AND($B619=" ",$K619=AZ$3),$O619,0)</f>
        <v>0</v>
      </c>
      <c r="BA619" s="201">
        <f>IF(AND($B619=" ",$K619=BA$3),$O619,0)</f>
        <v>0</v>
      </c>
      <c r="BB619" s="201">
        <f>IF(AND($B619=" ",$K619=BB$3),$O619,0)</f>
        <v>0</v>
      </c>
      <c r="BC619" s="202">
        <f>IF(AND($B619=" ",$K619=BC$3),$O619,0)</f>
        <v>0</v>
      </c>
      <c r="BD619" s="198">
        <f>IF(AND($B619=" ",$K619=BD$3),$O619,0)</f>
        <v>0</v>
      </c>
      <c r="BE619" s="199">
        <f>IF(AND($B619=" ",$K619=BE$3),$O619,0)</f>
        <v>0</v>
      </c>
      <c r="BF619" s="203">
        <f>IF($K619=BF$3,IF($C619="X",0,$O619),0)</f>
        <v>0</v>
      </c>
      <c r="BG619" s="198">
        <f>IF($K619=BG$3,IF($C619="X",0,$O619),0)</f>
        <v>4.65</v>
      </c>
      <c r="BH619" s="198">
        <f>IF($K619=BH$3,IF($C619="X",0,$O619),0)</f>
        <v>0</v>
      </c>
      <c r="BI619" s="198">
        <f>IF($K619=BI$3,IF($C619="X",0,$O619),0)</f>
        <v>0</v>
      </c>
      <c r="BJ619" s="198">
        <f>IF($K619=BJ$3,IF($C619="X",0,$O619),0)</f>
        <v>0</v>
      </c>
      <c r="BK619" s="198">
        <f>IF($K619=BK$3,IF($C619="X",0,$O619),0)</f>
        <v>0</v>
      </c>
      <c r="BL619" s="198">
        <f>IF($K619=BL$3,IF($C619="X",0,$O619),0)</f>
        <v>0</v>
      </c>
      <c r="BM619" s="200">
        <f>IF($K619=BM$3,IF($C619="X",0,$O619),0)</f>
        <v>0</v>
      </c>
      <c r="BN619" s="201">
        <f>IF($K619=BN$3,IF($C619="X",0,$O619),0)</f>
        <v>0</v>
      </c>
      <c r="BO619" s="201">
        <f>IF($K619=BO$3,IF($C619="X",0,$O619),0)</f>
        <v>0</v>
      </c>
      <c r="BP619" s="201">
        <f>IF($K619=BP$3,IF($C619="X",0,$O619),0)</f>
        <v>0</v>
      </c>
      <c r="BQ619" s="202">
        <f>IF($K619=BQ$3,IF($C619="X",0,$O619),0)</f>
        <v>0</v>
      </c>
      <c r="BR619" s="199">
        <f>IF($K619=BR$3,IF($C619="X",0,$O619),0)</f>
        <v>0</v>
      </c>
      <c r="BS619" s="204">
        <f>IF($B619="LOSS",IF(AND($K619=BS$3,$C619="L"),-$O619,0)+IF(AND($K620=BS$3,$C620="L"),-$O620,0)+IF(AND($K621=BS$3,$C621="L"),-$O621,0),IF(OR(AND($K619=BS$3,OR($C619="W",$C619="1/2W")),AND($K620=BS$3,OR($C620="W",$C620="1/2W")),AND($K621=BS$3,OR($C621="W",$C621="1/2W"))),$S619,0))</f>
        <v>0</v>
      </c>
      <c r="BT619" s="201">
        <f>IF($B619="LOSS",IF(AND($K619=BT$3,$C619="L"),-$O619,0)+IF(AND($K620=BT$3,$C620="L"),-$O620,0)+IF(AND($K620=BT$3,$C621="L"),-$O621,0),IF(OR(AND($K620=BT$3,OR($C619="W",$C619="1/2W")),AND($K620=BT$3,OR($C620="W",$C620="1/2W")),AND($K620=BT$3,OR($C621="W",$C621="1/2W"))),$S619,0))</f>
        <v>0</v>
      </c>
      <c r="BU619" s="201">
        <f>IF($B619="LOSS",IF(AND($K619=BU$3,$C619="L"),-$O619,0)+IF(AND($K620=BU$3,$C620="L"),-$O620,0)+IF(AND($K620=BU$3,$C621="L"),-$O621,0),IF(OR(AND($K620=BU$3,OR($C619="W",$C619="1/2W")),AND($K620=BU$3,OR($C620="W",$C620="1/2W")),AND($K620=BU$3,OR($C621="W",$C621="1/2W"))),$S619,0))</f>
        <v>0</v>
      </c>
      <c r="BV619" s="201">
        <f>IF($B619="LOSS",IF(AND($K619=BV$3,$C619="L"),-$O619,0)+IF(AND($K620=BV$3,$C620="L"),-$O620,0)+IF(AND($K621=BV$3,$C621="L"),-$O621,0),IF(OR(AND($K619=BV$3,OR($C619="W",$C619="1/2W")),AND($K620=BV$3,OR($C620="W",$C620="1/2W")),AND($K621=BV$3,OR($C621="W",$C621="1/2W"))),$S619,0))</f>
        <v>0</v>
      </c>
      <c r="BW619" s="201">
        <f>IF($B619="LOSS",IF(AND($K619=BW$3,$C619="L"),-$O619,0)+IF(AND($K620=BW$3,$C620="L"),-$O620,0)+IF(AND($K621=BW$3,$C621="L"),-$O621,0),IF(OR(AND($K619=BW$3,OR($C619="W",$C619="1/2W")),AND($K620=BW$3,OR($C620="W",$C620="1/2W")),AND($K621=BW$3,OR($C621="W",$C621="1/2W"))),$S619,0))</f>
        <v>0.97</v>
      </c>
      <c r="BX619" s="201">
        <f>IF($B619="LOSS",IF(AND($K619=BX$3,$C619="L"),-$O619,0)+IF(AND($K620=BX$3,$C620="L"),-$O620,0)+IF(AND($K621=BX$3,$C621="L"),-$O621,0),IF(OR(AND($K619=BX$3,OR($C619="W",$C619="1/2W")),AND($K620=BX$3,OR($C620="W",$C620="1/2W")),AND($K621=BX$3,OR($C621="W",$C621="1/2W"))),$S619,0))</f>
        <v>0</v>
      </c>
      <c r="BY619" s="201">
        <f>IF($B619="LOSS",IF(AND($K619=BY$3,$C619="L"),-$O619,0)+IF(AND($K620=BY$3,$C620="L"),-$O620,0)+IF(AND($K621=BY$3,$C621="L"),-$O621,0),IF(OR(AND($K619=BY$3,OR($C619="W",$C619="1/2W")),AND($K620=BY$3,OR($C620="W",$C620="1/2W")),AND($K621=BY$3,OR($C621="W",$C621="1/2W"))),$S619,0))</f>
        <v>0</v>
      </c>
      <c r="BZ619" s="205">
        <f>IF($B619="LOSS",IF(AND($K619=BZ$3,$C619="L"),-$O619,0)+IF(AND($K620=BZ$3,$C620="L"),-$O620,0)+IF(AND($K621=BZ$3,$C621="L"),-$O621,0),IF(OR(AND($K619=BZ$3,OR($C619="W",$C619="1/2W")),AND($K620=BZ$3,OR($C620="W",$C620="1/2W")),AND($K621=BZ$3,OR($C621="W",$C621="1/2W"))),$S619,0))</f>
        <v>0</v>
      </c>
      <c r="CA619" s="205">
        <f>IF($B619="LOSS",IF(AND($K619=CA$3,$C619="L"),-$O619,0)+IF(AND($K620=CA$3,$C620="L"),-$O620,0)+IF(AND($K621=CA$3,$C621="L"),-$O621,0),IF(OR(AND($K619=CA$3,OR($C619="W",$C619="1/2W")),AND($K620=CA$3,OR($C620="W",$C620="1/2W")),AND($K621=CA$3,OR($C621="W",$C621="1/2W"))),$S619,0))</f>
        <v>0</v>
      </c>
      <c r="CB619" s="205">
        <f>IF($B619="LOSS",IF(AND($K619=CB$3,$C619="L"),-$O619,0)+IF(AND($K620=CB$3,$C620="L"),-$O620,0)+IF(AND($K621=CB$3,$C621="L"),-$O621,0),IF(OR(AND($K619=CB$3,OR($C619="W",$C619="1/2W")),AND($K620=CB$3,OR($C620="W",$C620="1/2W")),AND($K621=CB$3,OR($C621="W",$C621="1/2W"))),$S619,0))</f>
        <v>0</v>
      </c>
      <c r="CC619" s="205">
        <f>IF($B619="LOSS",IF(AND($K619=CC$3,$C619="L"),-$O619,0)+IF(AND($K620=CC$3,$C620="L"),-$O620,0)+IF(AND($K621=CC$3,$C621="L"),-$O621,0),IF(OR(AND($K619=CC$3,OR($C619="W",$C619="1/2W")),AND($K620=CC$3,OR($C620="W",$C620="1/2W")),AND($K621=CC$3,OR($C621="W",$C621="1/2W"))),$S619,0))</f>
        <v>0</v>
      </c>
      <c r="CD619" s="202">
        <f>IF($B619="LOSS",IF(AND($K619=CD$3,$C619="L"),-$O619,0)+IF(AND($K620=CD$3,$C620="L"),-$O620,0)+IF(AND($K621=CD$3,$C621="L"),-$O621,0),IF(OR(AND($K619=CD$3,OR($C619="W",$C619="1/2W")),AND($K620=CD$3,OR($C620="W",$C620="1/2W")),AND($K621=CD$3,OR($C621="W",$C621="1/2W"))),$S619,0))</f>
        <v>0</v>
      </c>
      <c r="CE619" s="199">
        <f>IF($B619="LOSS",IF(AND($K619=CE$3,$C619="L"),-$O619,0)+IF(AND($K620=CE$3,$C620="L"),-$O620,0)+IF(AND($K621=CE$3,$C621="L"),-$O621,0),IF(OR(AND($K619=CE$3,OR($C619="W",$C619="1/2W")),AND($K620=CE$3,OR($C620="W",$C620="1/2W")),AND($K621=CE$3,OR($C621="W",$C621="1/2W"))),$S619,0))</f>
        <v>0</v>
      </c>
      <c r="CF619" s="206">
        <f>IF(CF$3=$K619,IF($C619="W",1,IF($C619="1/2W",0.5,0)),0)</f>
        <v>0</v>
      </c>
      <c r="CG619" s="207">
        <f>IF(CF$3=$K619,IF($C619="L",1,IF($C619="1/2L",0.5,0)),0)</f>
        <v>0</v>
      </c>
      <c r="CH619" s="207">
        <f>IF(CH$3=$K619,IF($C619="W",1,IF($C619="1/2W",0.5,0)),0)</f>
        <v>0</v>
      </c>
      <c r="CI619" s="207">
        <f>IF(CH$3=$K619,IF($C619="L",1,IF($C619="1/2L",0.5,0)),0)</f>
        <v>1</v>
      </c>
      <c r="CJ619" s="207">
        <f>IF(CJ$3=$K619,IF($C619="W",1,IF($C619="1/2W",0.5,0)),0)</f>
        <v>0</v>
      </c>
      <c r="CK619" s="207">
        <f>IF(CJ$3=$K619,IF($C619="L",1,IF($C619="1/2L",0.5,0)),0)</f>
        <v>0</v>
      </c>
      <c r="CL619" s="207">
        <f>IF(CL$3=$K619,IF($C619="W",1,IF($C619="1/2W",0.5,0)),0)</f>
        <v>0</v>
      </c>
      <c r="CM619" s="207">
        <f>IF(CL$3=$K619,IF($C619="L",1,IF($C619="1/2L",0.5,0)),0)</f>
        <v>0</v>
      </c>
      <c r="CN619" s="207">
        <f>IF(CN$3=$K619,IF($C619="W",1,IF($C619="1/2W",0.5,0)),0)</f>
        <v>0</v>
      </c>
      <c r="CO619" s="207">
        <f>IF(CN$3=$K619,IF($C619="L",1,IF($C619="1/2L",0.5,0)),0)</f>
        <v>0</v>
      </c>
      <c r="CP619" s="207">
        <f>IF(CP$3=$K619,IF($C619="W",1,IF($C619="1/2W",0.5,0)),0)</f>
        <v>0</v>
      </c>
      <c r="CQ619" s="207">
        <f>IF(CP$3=$K619,IF($C619="L",1,IF($C619="1/2L",0.5,0)),0)</f>
        <v>0</v>
      </c>
      <c r="CR619" s="207">
        <f>IF(CR$3=$K619,IF($C619="W",1,IF($C619="1/2W",0.5,0)),0)</f>
        <v>0</v>
      </c>
      <c r="CS619" s="207">
        <f>IF(CR$3=$K619,IF($C619="L",1,IF($C619="1/2L",0.5,0)),0)</f>
        <v>0</v>
      </c>
      <c r="CT619" s="208">
        <f>IF(CT$3=$K619,IF($C619="W",1,IF($C619="1/2W",0.5,0)),0)</f>
        <v>0</v>
      </c>
      <c r="CU619" s="209">
        <f>IF(CT$3=$K619,IF($C619="L",1,IF($C619="1/2L",0.5,0)),0)</f>
        <v>0</v>
      </c>
      <c r="CV619" s="209">
        <f>IF(CV$3=$K619,IF($C619="W",1,IF($C619="1/2W",0.5,0)),0)</f>
        <v>0</v>
      </c>
      <c r="CW619" s="209">
        <f>IF(CV$3=$K619,IF($C619="L",1,IF($C619="1/2L",0.5,0)),0)</f>
        <v>0</v>
      </c>
      <c r="CX619" s="209">
        <f>IF(CX$3=$K619,IF($C619="W",1,IF($C619="1/2W",0.5,0)),0)</f>
        <v>0</v>
      </c>
      <c r="CY619" s="209">
        <f>IF(CX$3=$K619,IF($C619="L",1,IF($C619="1/2L",0.5,0)),0)</f>
        <v>0</v>
      </c>
      <c r="CZ619" s="209">
        <f>IF(CZ$3=$K619,IF($C619="W",1,IF($C619="1/2W",0.5,0)),0)</f>
        <v>0</v>
      </c>
      <c r="DA619" s="209">
        <f>IF(CZ$3=$K619,IF($C619="L",1,IF($C619="1/2L",0.5,0)),0)</f>
        <v>0</v>
      </c>
      <c r="DB619" s="209">
        <f>IF(DB$3=$K619,IF($C619="W",1,IF($C619="1/2W",0.5,0)),0)</f>
        <v>0</v>
      </c>
      <c r="DC619" s="209">
        <f>IF(DB$3=$K619,IF($C619="L",1,IF($C619="1/2L",0.5,0)),0)</f>
        <v>0</v>
      </c>
      <c r="DD619" s="209">
        <f>IF(DD$3=$K619,IF($C619="W",1,IF($C619="1/2W",0.5,0)),0)</f>
        <v>0</v>
      </c>
      <c r="DE619" s="210">
        <f>IF(DD$3=$K619,IF($C619="L",1,IF($C619="1/2L",0.5,0)),0)</f>
        <v>0</v>
      </c>
      <c r="DF619" s="211">
        <f>IF(AND(L619&lt;DF$3,$C619="W"),1+DF618,DF618)</f>
        <v>17</v>
      </c>
      <c r="DG619" s="198">
        <f>IF(DF619&gt;DF618,L619+DG618,DG618)</f>
        <v>22.628</v>
      </c>
      <c r="DH619" s="209">
        <f>IF(AND(L619&gt;DH$3,$C619="W"),1+DH618,0+DH618)</f>
        <v>16</v>
      </c>
      <c r="DI619" s="198">
        <f>IF(DH619&gt;DH618,L619+DI618,DI618)</f>
        <v>85.45999999999999</v>
      </c>
      <c r="DJ619" t="s" s="306">
        <f>IF($D619="","",$D619)</f>
        <v>431</v>
      </c>
      <c r="DK619" s="209">
        <f>IF(AND($B619=" ",$D619&lt;&gt;""),1,0)</f>
        <v>0</v>
      </c>
    </row>
    <row r="620" ht="14.55" customHeight="1">
      <c r="A620" s="107"/>
      <c r="B620" s="108"/>
      <c r="C620" t="s" s="213">
        <v>56</v>
      </c>
      <c r="D620" s="110"/>
      <c r="E620" s="111"/>
      <c r="F620" s="113"/>
      <c r="G620" s="214"/>
      <c r="H620" s="114"/>
      <c r="I620" t="s" s="215">
        <v>67</v>
      </c>
      <c r="J620" s="296">
        <f>IF(OR(I619="TO",I619="TU",I619="TO1",I619="TU1",I619="TO2",I619="TU2"),J619,IF(OR(I619="AH1",I619="AH2"),IF(OR(I620="AH1",I620="AH2"),-J619,IF(OR(I620="EH1",I620="EH2"),-J619+0.5,"")),IF(OR(I619="EH1",I619="EH2"),IF(OR(I620="AH1",I620="AH2"),-J619+0.5,IF(OR(I620="EH1",I620="EH2"),-J619+1,"")),IF(AND(OR(I619="DNB1",I619="DNB2"),OR(I620="AH1",I620="AH2")),0,IF(AND(I619="Not ScoreBoth",OR(I620="TO1",I620="TO2")),0.5,"")))))</f>
        <v>3.5</v>
      </c>
      <c r="K620" t="s" s="217">
        <v>41</v>
      </c>
      <c r="L620" s="218">
        <v>1.81</v>
      </c>
      <c r="M620" s="219">
        <v>6.94</v>
      </c>
      <c r="N620" s="120"/>
      <c r="O620" s="220">
        <f>IF(OR(AE619="",AE620=""),"",ROUND(IF(L621&gt;0,IF(M620&gt;0,M620,IF(M619&gt;0,IF(N619=TRUE,ROUND((M619*AE620)/AE619,0),(M619*AE620)/AE619),IF(M620&gt;0,ROUND(M620,IF(N619=0,2,IF(N619=0.1,1,0))),IF(M621&gt;0,ROUND(O621*AE620/AE621,IF(N619=0,2,IF(N619=0.1,1,0))),0)))),IF(M620&gt;0,M620,ROUND((M619*AE620)/AE619,IF(N619=0,2,IF(N619=0.1,1,0))))),2))</f>
        <v>6.94</v>
      </c>
      <c r="P620" s="221">
        <f>IF(OR(L620="",O620=""),"",IF($C620="1/2W",O620/2+O620/2*L620,IF($C620="1/2L",O620/2,IF(I620="Lay",((O620*(L620/(L620-1)))-O620)*(1-_xlfn.XLOOKUP(K620,'Janeiro 2023 - Valor Real'!A3:A15,'Janeiro 2023 - Valor Real'!C3:C15,0))+O620,(O620*L620-O620)*(1-_xlfn.XLOOKUP(K620,'Janeiro 2023 - Valor Real'!A3:A15,'Janeiro 2023 - Valor Real'!C3:C15,0))+O620))))</f>
        <v>12.5614</v>
      </c>
      <c r="Q620" s="222">
        <f>IF(K620="","",IF(_xlfn.XLOOKUP(K620,K$123:K393,DJ$123:DJ393,0,,-1)=DJ620,_xlfn.XLOOKUP(K620,K$123:K393,Q$123:Q393,1,,-1)+1,1))</f>
        <v>1</v>
      </c>
      <c r="R620" s="223">
        <f>IF(K620="","",_xlfn.XLOOKUP(K620,K$123:K393,R$123:R393,0,,-1)+IF($C620=" ",1,0))</f>
        <v>0</v>
      </c>
      <c r="S620" s="125"/>
      <c r="T620" s="126"/>
      <c r="U620" s="126"/>
      <c r="V620" s="224"/>
      <c r="W620" s="126"/>
      <c r="X620" s="127"/>
      <c r="Y620" s="128"/>
      <c r="Z620" s="129"/>
      <c r="AA620" s="129"/>
      <c r="AB620" s="129"/>
      <c r="AC620" s="129"/>
      <c r="AD620" s="225">
        <f>(((L620/(L620-1)-1)*(1-_xlfn.XLOOKUP(K620,'Janeiro 2023 - Valor Real'!A3:A15,'Janeiro 2023 - Valor Real'!C3:C15,0))+1))</f>
        <v>2.23456790123457</v>
      </c>
      <c r="AE620" s="226">
        <f>IF(L620="","",IF(L621&gt;0,(SUM(((L619-1)*(1-_xlfn.XLOOKUP(K619,'Janeiro 2023 - Valor Real'!A3:A15,'Janeiro 2023 - Valor Real'!C3:C15,0))+1),((L620-1)*(1-_xlfn.XLOOKUP(K620,'Janeiro 2023 - Valor Real'!A3:A15,'Janeiro 2023 - Valor Real'!C3:C15,0))+1),((L621-1)*(1-_xlfn.XLOOKUP(K621,'Janeiro 2023 - Valor Real'!A3:A15,'Janeiro 2023 - Valor Real'!C3:C15,0))+1))/((L620-1)*(1-_xlfn.XLOOKUP(K620,'Janeiro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Real'!C3:C15,0))+1))/((L619-1)*(1-_xlfn.XLOOKUP(K619,'Janeiro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Real'!C3:C15,0))+1))/((L620-1)*(1-_xlfn.XLOOKUP(K620,'Janeiro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Real'!C3:C15,0))+1))/((L621-1)*(1-_xlfn.XLOOKUP(K621,'Janeiro 2023 - Valor Real'!A3:A15,'Janeiro 2023 - Valor Real'!C3:C15,0))+1)),IF(I620="Lay",IF(I619="Lay",((L619/(L619-1)-1)*(1-_xlfn.XLOOKUP(K619,'Janeiro 2023 - Valor Real'!A3:A15,'Janeiro 2023 - Valor Real'!C3:C15,0))+1)/(((L619/(L619-1)-1)*(1-_xlfn.XLOOKUP(K619,'Janeiro 2023 - Valor Real'!A3:A15,'Janeiro 2023 - Valor Real'!C3:C15,0))+1)+((L620/(L620-1)-1)*(1-_xlfn.XLOOKUP(K620,'Janeiro 2023 - Valor Real'!A3:A15,'Janeiro 2023 - Valor Real'!C3:C15,0))+1)),((L619-1)*(1-_xlfn.XLOOKUP(K619,'Janeiro 2023 - Valor Real'!A3:A15,'Janeiro 2023 - Valor Real'!C3:C15,0))+1)/(((L619-1)*(1-_xlfn.XLOOKUP(K619,'Janeiro 2023 - Valor Real'!A3:A15,'Janeiro 2023 - Valor Real'!C3:C15,0))+1)+((L620/(L620-1)-1)*(1-_xlfn.XLOOKUP(K620,'Janeiro 2023 - Valor Real'!A3:A15,'Janeiro 2023 - Valor Real'!C3:C15,0))+1))),IF(I619="Lay",((L619/(L619-1)-1)*(1-_xlfn.XLOOKUP(K619,'Janeiro 2023 - Valor Real'!A3:A15,'Janeiro 2023 - Valor Real'!C3:C15,0))+1)/((((L619/(L619-1)-1)*(1-_xlfn.XLOOKUP(K619,'Janeiro 2023 - Valor Real'!A3:A15,'Janeiro 2023 - Valor Real'!C3:C15,0))+1))+((L620-1)*(1-_xlfn.XLOOKUP(K620,'Janeiro 2023 - Valor Real'!A3:A15,'Janeiro 2023 - Valor Real'!C3:C15,0))+1)),((L619-1)*(1-_xlfn.XLOOKUP(K619,'Janeiro 2023 - Valor Real'!A3:A15,'Janeiro 2023 - Valor Real'!C3:C15,0))+1)/(((L619-1)*(1-_xlfn.XLOOKUP(K619,'Janeiro 2023 - Valor Real'!A3:A15,'Janeiro 2023 - Valor Real'!C3:C15,0))+1)+((L620-1)*(1-_xlfn.XLOOKUP(K620,'Janeiro 2023 - Valor Real'!A3:A15,'Janeiro 2023 - Valor Real'!C3:C15,0))+1))))))</f>
        <v>0.598669623059867</v>
      </c>
      <c r="AF620" s="197">
        <f>IF($K620=AF$3,ROUND(IF(OR($C620="W",$C620="1/2W",$C620="1/2L"),$P620-$O620,IF($C620="X",0,-$O620)),2),0)</f>
        <v>0</v>
      </c>
      <c r="AG620" s="198">
        <f>IF($K620=AG$3,ROUND(IF(OR($C620="W",$C620="1/2W",$C620="1/2L"),$P620-$O620,IF($C620="X",0,-$O620)),2),0)</f>
        <v>0</v>
      </c>
      <c r="AH620" s="198">
        <f>IF($K620=AH$3,ROUND(IF(OR($C620="W",$C620="1/2W",$C620="1/2L"),$P620-$O620,IF($C620="X",0,-$O620)),2),0)</f>
        <v>0</v>
      </c>
      <c r="AI620" s="198">
        <f>IF($K620=AI$3,ROUND(IF(OR($C620="W",$C620="1/2W",$C620="1/2L"),$P620-$O620,IF($C620="X",0,-$O620)),2),0)</f>
        <v>0</v>
      </c>
      <c r="AJ620" s="198">
        <f>IF($K620=AJ$3,ROUND(IF(OR($C620="W",$C620="1/2W",$C620="1/2L"),$P620-$O620,IF($C620="X",0,-$O620)),2),0)</f>
        <v>5.62</v>
      </c>
      <c r="AK620" s="198">
        <f>IF($K620=AK$3,ROUND(IF(OR($C620="W",$C620="1/2W",$C620="1/2L"),$P620-$O620,IF($C620="X",0,-$O620)),2),0)</f>
        <v>0</v>
      </c>
      <c r="AL620" s="198">
        <f>IF($K620=AL$3,ROUND(IF(OR($C620="W",$C620="1/2W",$C620="1/2L"),$P620-$O620,IF($C620="X",0,-$O620)),2),0)</f>
        <v>0</v>
      </c>
      <c r="AM620" s="198">
        <f>IF($K620=AM$3,ROUND(IF(OR($C620="W",$C620="1/2W",$C620="1/2L"),$P620-$O620,IF($C620="X",0,-$O620)),2),0)</f>
        <v>0</v>
      </c>
      <c r="AN620" s="198">
        <f>IF($K620=AN$3,ROUND(IF(OR($C620="W",$C620="1/2W",$C620="1/2L"),$P620-$O620,IF($C620="X",0,-$O620)),2),0)</f>
        <v>0</v>
      </c>
      <c r="AO620" s="198">
        <f>IF($K620=AO$3,ROUND(IF(OR($C620="W",$C620="1/2W",$C620="1/2L"),$P620-$O620,IF($C620="X",0,-$O620)),2),0)</f>
        <v>0</v>
      </c>
      <c r="AP620" s="198">
        <f>IF($K620=AP$3,ROUND(IF(OR($C620="W",$C620="1/2W",$C620="1/2L"),$P620-$O620,IF($C620="X",0,-$O620)),2),0)</f>
        <v>0</v>
      </c>
      <c r="AQ620" s="198">
        <f>IF($K620=AQ$3,ROUND(IF(OR($C620="W",$C620="1/2W",$C620="1/2L"),$P620-$O620,IF($C620="X",0,-$O620)),2),0)</f>
        <v>0</v>
      </c>
      <c r="AR620" s="199">
        <f>IF($K620=AR$3,ROUND(IF(OR($C620="W",$C620="1/2W",$C620="1/2L"),$P620-$O620,IF($C620="X",0,-$O620)),2),0)</f>
        <v>0</v>
      </c>
      <c r="AS620" s="197">
        <f>IF(AND($B619=" ",$K620=AS$3),$O620,0)</f>
        <v>0</v>
      </c>
      <c r="AT620" s="198">
        <f>IF(AND($B619=" ",K620=AT$3),$O620,0)</f>
        <v>0</v>
      </c>
      <c r="AU620" s="198">
        <f>IF(AND($B619=" ",$K620=AU$3),$O620,0)</f>
        <v>0</v>
      </c>
      <c r="AV620" s="198">
        <f>IF(AND($B619=" ",$K620=AV$3),$O620,0)</f>
        <v>0</v>
      </c>
      <c r="AW620" s="198">
        <f>IF(AND($B619=" ",$K620=AW$3),$O620,0)</f>
        <v>0</v>
      </c>
      <c r="AX620" s="198">
        <f>IF(AND($B619=" ",$K620=AX$3),$O620,0)</f>
        <v>0</v>
      </c>
      <c r="AY620" s="200">
        <f>IF(AND($B619=" ",$K620=AY$3),$O620,0)</f>
        <v>0</v>
      </c>
      <c r="AZ620" s="201">
        <f>IF(AND($B619=" ",$K620=AZ$3),$O620,0)</f>
        <v>0</v>
      </c>
      <c r="BA620" s="201">
        <f>IF(AND($B619=" ",$K620=BA$3),$O620,0)</f>
        <v>0</v>
      </c>
      <c r="BB620" s="201">
        <f>IF(AND($B619=" ",$K620=BB$3),$O620,0)</f>
        <v>0</v>
      </c>
      <c r="BC620" s="202">
        <f>IF(AND($B619=" ",$K620=BC$3),$O620,0)</f>
        <v>0</v>
      </c>
      <c r="BD620" s="198">
        <f>IF(AND($B619=" ",$K620=BD$3),$O620,0)</f>
        <v>0</v>
      </c>
      <c r="BE620" s="199">
        <f>IF(AND($B619=" ",$K620=BE$3),$O620,0)</f>
        <v>0</v>
      </c>
      <c r="BF620" s="197">
        <f>IF($K620=BF$3,IF($C620="X",0,$O620),0)</f>
        <v>0</v>
      </c>
      <c r="BG620" s="198">
        <f>IF($K620=BG$3,IF($C620="X",0,$O620),0)</f>
        <v>0</v>
      </c>
      <c r="BH620" s="198">
        <f>IF($K620=BH$3,IF($C620="X",0,$O620),0)</f>
        <v>0</v>
      </c>
      <c r="BI620" s="198">
        <f>IF($K620=BI$3,IF($C620="X",0,$O620),0)</f>
        <v>0</v>
      </c>
      <c r="BJ620" s="198">
        <f>IF($K620=BJ$3,IF($C620="X",0,$O620),0)</f>
        <v>6.94</v>
      </c>
      <c r="BK620" s="198">
        <f>IF($K620=BK$3,IF($C620="X",0,$O620),0)</f>
        <v>0</v>
      </c>
      <c r="BL620" s="198">
        <f>IF($K620=BL$3,IF($C620="X",0,$O620),0)</f>
        <v>0</v>
      </c>
      <c r="BM620" s="227">
        <f>IF($K620=BM$3,IF($C620="X",0,$O620),0)</f>
        <v>0</v>
      </c>
      <c r="BN620" s="205">
        <f>IF($K620=BN$3,IF($C620="X",0,$O620),0)</f>
        <v>0</v>
      </c>
      <c r="BO620" s="205">
        <f>IF($K620=BO$3,IF($C620="X",0,$O620),0)</f>
        <v>0</v>
      </c>
      <c r="BP620" s="205">
        <f>IF($K620=BP$3,IF($C620="X",0,$O620),0)</f>
        <v>0</v>
      </c>
      <c r="BQ620" s="202">
        <f>IF($K620=BQ$3,IF($C620="X",0,$O620),0)</f>
        <v>0</v>
      </c>
      <c r="BR620" s="199">
        <f>IF($K620=BR$3,IF($C620="X",0,$O620),0)</f>
        <v>0</v>
      </c>
      <c r="BS620" s="228"/>
      <c r="BT620" s="229"/>
      <c r="BU620" s="140"/>
      <c r="BV620" s="229"/>
      <c r="BW620" s="140"/>
      <c r="BX620" s="140"/>
      <c r="BY620" s="140"/>
      <c r="BZ620" s="229"/>
      <c r="CA620" s="140"/>
      <c r="CB620" s="140"/>
      <c r="CC620" s="140"/>
      <c r="CD620" s="141"/>
      <c r="CE620" s="142"/>
      <c r="CF620" s="230">
        <f>IF(CF$3=$K620,IF($C620="W",1,IF($C620="1/2W",0.5,0)),0)</f>
        <v>0</v>
      </c>
      <c r="CG620" s="231">
        <f>IF(CF$3=$K620,IF($C620="L",1,IF($C620="1/2L",0.5,0)),0)</f>
        <v>0</v>
      </c>
      <c r="CH620" s="231">
        <f>IF(CH$3=$K620,IF($C620="W",1,IF($C620="1/2W",0.5,0)),0)</f>
        <v>0</v>
      </c>
      <c r="CI620" s="231">
        <f>IF(CH$3=$K620,IF($C620="L",1,IF($C620="1/2L",0.5,0)),0)</f>
        <v>0</v>
      </c>
      <c r="CJ620" s="231">
        <f>IF(CJ$3=$K620,IF($C620="W",1,IF($C620="1/2W",0.5,0)),0)</f>
        <v>0</v>
      </c>
      <c r="CK620" s="231">
        <f>IF(CJ$3=$K620,IF($C620="L",1,IF($C620="1/2L",0.5,0)),0)</f>
        <v>0</v>
      </c>
      <c r="CL620" s="231">
        <f>IF(CL$3=$K620,IF($C620="W",1,IF($C620="1/2W",0.5,0)),0)</f>
        <v>0</v>
      </c>
      <c r="CM620" s="231">
        <f>IF(CL$3=$K620,IF($C620="L",1,IF($C620="1/2L",0.5,0)),0)</f>
        <v>0</v>
      </c>
      <c r="CN620" s="231">
        <f>IF(CN$3=$K620,IF($C620="W",1,IF($C620="1/2W",0.5,0)),0)</f>
        <v>1</v>
      </c>
      <c r="CO620" s="231">
        <f>IF(CN$3=$K620,IF($C620="L",1,IF($C620="1/2L",0.5,0)),0)</f>
        <v>0</v>
      </c>
      <c r="CP620" s="231">
        <f>IF(CP$3=$K620,IF($C620="W",1,IF($C620="1/2W",0.5,0)),0)</f>
        <v>0</v>
      </c>
      <c r="CQ620" s="231">
        <f>IF(CP$3=$K620,IF($C620="L",1,IF($C620="1/2L",0.5,0)),0)</f>
        <v>0</v>
      </c>
      <c r="CR620" s="231">
        <f>IF(CR$3=$K620,IF($C620="W",1,IF($C620="1/2W",0.5,0)),0)</f>
        <v>0</v>
      </c>
      <c r="CS620" s="231">
        <f>IF(CR$3=$K620,IF($C620="L",1,IF($C620="1/2L",0.5,0)),0)</f>
        <v>0</v>
      </c>
      <c r="CT620" s="208">
        <f>IF(CT$3=$K620,IF($C620="W",1,IF($C620="1/2W",0.5,0)),0)</f>
        <v>0</v>
      </c>
      <c r="CU620" s="209">
        <f>IF(CT$3=$K620,IF($C620="L",1,IF($C620="1/2L",0.5,0)),0)</f>
        <v>0</v>
      </c>
      <c r="CV620" s="209">
        <f>IF(CV$3=$K620,IF($C620="W",1,IF($C620="1/2W",0.5,0)),0)</f>
        <v>0</v>
      </c>
      <c r="CW620" s="209">
        <f>IF(CV$3=$K620,IF($C620="L",1,IF($C620="1/2L",0.5,0)),0)</f>
        <v>0</v>
      </c>
      <c r="CX620" s="209">
        <f>IF(CX$3=$K620,IF($C620="W",1,IF($C620="1/2W",0.5,0)),0)</f>
        <v>0</v>
      </c>
      <c r="CY620" s="209">
        <f>IF(CX$3=$K620,IF($C620="L",1,IF($C620="1/2L",0.5,0)),0)</f>
        <v>0</v>
      </c>
      <c r="CZ620" s="209">
        <f>IF(CZ$3=$K620,IF($C620="W",1,IF($C620="1/2W",0.5,0)),0)</f>
        <v>0</v>
      </c>
      <c r="DA620" s="209">
        <f>IF(CZ$3=$K620,IF($C620="L",1,IF($C620="1/2L",0.5,0)),0)</f>
        <v>0</v>
      </c>
      <c r="DB620" s="209">
        <f>IF(DB$3=$K620,IF($C620="W",1,IF($C620="1/2W",0.5,0)),0)</f>
        <v>0</v>
      </c>
      <c r="DC620" s="209">
        <f>IF(DB$3=$K620,IF($C620="L",1,IF($C620="1/2L",0.5,0)),0)</f>
        <v>0</v>
      </c>
      <c r="DD620" s="209">
        <f>IF(DD$3=$K620,IF($C620="W",1,IF($C620="1/2W",0.5,0)),0)</f>
        <v>0</v>
      </c>
      <c r="DE620" s="210">
        <f>IF(DD$3=$K620,IF($C620="L",1,IF($C620="1/2L",0.5,0)),0)</f>
        <v>0</v>
      </c>
      <c r="DF620" s="211">
        <f>IF(AND(L620&lt;DF$3,$C620="W"),1+DF619,DF619)</f>
        <v>17</v>
      </c>
      <c r="DG620" s="198">
        <f>IF(DF620&gt;DF619,L620+DG619,DG619)</f>
        <v>22.628</v>
      </c>
      <c r="DH620" s="209">
        <f>IF(AND(L620&gt;DH$3,$C620="W"),1+DH619,0+DH619)</f>
        <v>16</v>
      </c>
      <c r="DI620" s="198">
        <f>IF(DH620&gt;DH619,L620+DI619,DI619)</f>
        <v>85.45999999999999</v>
      </c>
      <c r="DJ620" t="s" s="306">
        <f>IF($D619="","",$D619)</f>
        <v>431</v>
      </c>
      <c r="DK620" s="232"/>
    </row>
    <row r="621" ht="14.55" customHeight="1">
      <c r="A621" s="149"/>
      <c r="B621" s="150"/>
      <c r="C621" t="s" s="233">
        <v>58</v>
      </c>
      <c r="D621" s="152"/>
      <c r="E621" s="153"/>
      <c r="F621" s="155"/>
      <c r="G621" s="234"/>
      <c r="H621" s="156"/>
      <c r="I621" s="235"/>
      <c r="J621" s="236"/>
      <c r="K621" s="237"/>
      <c r="L621" s="238"/>
      <c r="M621" s="239"/>
      <c r="N621" s="161"/>
      <c r="O621" t="s" s="240">
        <f>IF(OR(AE619="",AE620=""),"",IF(L621&gt;0,ROUND(IF(M621&gt;0,M621,IF(M619&gt;0,ROUND((M619*AE621)/AE619,IF(N619=0,2,IF(N619=0.1,1,0))),IF(M620&gt;0,ROUND((M620*AE621)/AE620,IF(N619=0,2,IF(N619=0.1,1,0))),IF(M621&gt;0,M621,0)))),2),""))</f>
      </c>
      <c r="P621" t="s" s="241">
        <f>IF(I620="Lay",O620*(L620/(L620-1))-O620,IF(I619="Lay",O619*(L619/(L619-1))-O619,IF(OR(L621="",O621=""),"",IF($C621="1/2W",O621/2+O621/2*L621,IF($C621="1/2L",O621/2,(O621*L621-O621)*(1-_xlfn.XLOOKUP(K621,'Janeiro 2023 - Valor Real'!A3:A15,'Janeiro 2023 - Valor Real'!C3:C15,0))+O621)))))</f>
      </c>
      <c r="Q621" t="s" s="242">
        <f>IF(K621="","",IF(_xlfn.XLOOKUP(K621,K$124:K394,DJ$124:DJ394,0,,-1)=DJ621,_xlfn.XLOOKUP(K621,K$124:K394,Q$124:Q394,1,,-1)+1,1))</f>
      </c>
      <c r="R621" t="s" s="243">
        <f>IF(K621="","",_xlfn.XLOOKUP(K621,K$124:K394,R$124:R394,0,,-1)+IF($C621=" ",1,0))</f>
      </c>
      <c r="S621" s="166"/>
      <c r="T621" s="155"/>
      <c r="U621" s="155"/>
      <c r="V621" s="166"/>
      <c r="W621" s="155"/>
      <c r="X621" s="167"/>
      <c r="Y621" s="128"/>
      <c r="Z621" s="129"/>
      <c r="AA621" s="129"/>
      <c r="AB621" s="129"/>
      <c r="AC621" s="129"/>
      <c r="AD621" s="244">
        <f>((L620/(L620-1)-1))</f>
        <v>1.23456790123457</v>
      </c>
      <c r="AE621" t="s" s="245">
        <f>IF(L621="","",(SUM(((L619-1)*(1-_xlfn.XLOOKUP(K619,'Janeiro 2023 - Valor Real'!A3:A15,'Janeiro 2023 - Valor Real'!C3:C15,0))+1),((L620-1)*(1-_xlfn.XLOOKUP(K620,'Janeiro 2023 - Valor Real'!A3:A15,'Janeiro 2023 - Valor Real'!C3:C15,0))+1),((L621-1)*(1-_xlfn.XLOOKUP(K621,'Janeiro 2023 - Valor Real'!A3:A15,'Janeiro 2023 - Valor Real'!C3:C15,0))+1))/((L621-1)*(1-_xlfn.XLOOKUP(K621,'Janeiro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Real'!C3:C15,0))+1))/((L619-1)*(1-_xlfn.XLOOKUP(K619,'Janeiro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Real'!C3:C15,0))+1))/((L620-1)*(1-_xlfn.XLOOKUP(K620,'Janeiro 2023 - Valor Real'!A3:A15,'Janeiro 2023 - Valor Real'!C3:C15,0))+1)+SUM(((L619-1)*(1-_xlfn.XLOOKUP(K619,'Janeiro 2023 - Valor Real'!A3:A15,'Janeiro 2023 - Valor Real'!C3:C15,0))+1),((L620-1)*(1-_xlfn.XLOOKUP(K620,'Janeiro 2023 - Valor Real'!A3:A15,'Janeiro 2023 - Valor Real'!C3:C15,0))+1),((L621-1)*(1-_xlfn.XLOOKUP(K621,'Janeiro 2023 - Valor Real'!A3:A15,'Janeiro 2023 - Valor Real'!C3:C15,0))+1))/((L621-1)*(1-_xlfn.XLOOKUP(K621,'Janeiro 2023 - Valor Real'!A3:A15,'Janeiro 2023 - Valor Real'!C3:C15,0))+1)))</f>
      </c>
      <c r="AF621" s="197">
        <f>IF($K621=AF$3,ROUND(IF(OR($C621="W",$C621="1/2W",$C621="1/2L"),$P621-$O621,IF($C621="X",0,-$O621)),2),0)</f>
        <v>0</v>
      </c>
      <c r="AG621" s="198">
        <f>IF($K621=AG$3,ROUND(IF(OR($C621="W",$C621="1/2W",$C621="1/2L"),$P621-$O621,IF($C621="X",0,-$O621)),2),0)</f>
        <v>0</v>
      </c>
      <c r="AH621" s="198">
        <f>IF($K621=AH$3,ROUND(IF(OR($C621="W",$C621="1/2W",$C621="1/2L"),$P621-$O621,IF($C621="X",0,-$O621)),2),0)</f>
        <v>0</v>
      </c>
      <c r="AI621" s="198">
        <f>IF($K621=AI$3,ROUND(IF(OR($C621="W",$C621="1/2W",$C621="1/2L"),$P621-$O621,IF($C621="X",0,-$O621)),2),0)</f>
        <v>0</v>
      </c>
      <c r="AJ621" s="198">
        <f>IF($K621=AJ$3,ROUND(IF(OR($C621="W",$C621="1/2W",$C621="1/2L"),$P621-$O621,IF($C621="X",0,-$O621)),2),0)</f>
        <v>0</v>
      </c>
      <c r="AK621" s="198">
        <f>IF($K621=AK$3,ROUND(IF(OR($C621="W",$C621="1/2W",$C621="1/2L"),$P621-$O621,IF($C621="X",0,-$O621)),2),0)</f>
        <v>0</v>
      </c>
      <c r="AL621" s="198">
        <f>IF($K621=AL$3,ROUND(IF(OR($C621="W",$C621="1/2W",$C621="1/2L"),$P621-$O621,IF($C621="X",0,-$O621)),2),0)</f>
        <v>0</v>
      </c>
      <c r="AM621" s="198">
        <f>IF($K621=AM$3,ROUND(IF(OR($C621="W",$C621="1/2W",$C621="1/2L"),$P621-$O621,IF($C621="X",0,-$O621)),2),0)</f>
        <v>0</v>
      </c>
      <c r="AN621" s="198">
        <f>IF($K621=AN$3,ROUND(IF(OR($C621="W",$C621="1/2W",$C621="1/2L"),$P621-$O621,IF($C621="X",0,-$O621)),2),0)</f>
        <v>0</v>
      </c>
      <c r="AO621" s="198">
        <f>IF($K621=AO$3,ROUND(IF(OR($C621="W",$C621="1/2W",$C621="1/2L"),$P621-$O621,IF($C621="X",0,-$O621)),2),0)</f>
        <v>0</v>
      </c>
      <c r="AP621" s="198">
        <f>IF($K621=AP$3,ROUND(IF(OR($C621="W",$C621="1/2W",$C621="1/2L"),$P621-$O621,IF($C621="X",0,-$O621)),2),0)</f>
        <v>0</v>
      </c>
      <c r="AQ621" s="198">
        <f>IF($K621=AQ$3,ROUND(IF(OR($C621="W",$C621="1/2W",$C621="1/2L"),$P621-$O621,IF($C621="X",0,-$O621)),2),0)</f>
        <v>0</v>
      </c>
      <c r="AR621" s="199">
        <f>IF($K621=AR$3,ROUND(IF(OR($C621="W",$C621="1/2W",$C621="1/2L"),$P621-$O621,IF($C621="X",0,-$O621)),2),0)</f>
        <v>0</v>
      </c>
      <c r="AS621" s="197">
        <f>IF(AND($B619=" ",$K621=AS$3),$O621,0)</f>
        <v>0</v>
      </c>
      <c r="AT621" s="198">
        <f>IF(AND($B619=" ",K621=AT$3),$O621,0)</f>
        <v>0</v>
      </c>
      <c r="AU621" s="198">
        <f>IF(AND($B619=" ",$K621=AU$3),$O621,0)</f>
        <v>0</v>
      </c>
      <c r="AV621" s="198">
        <f>IF(AND($B619=" ",$K621=AV$3),$O621,0)</f>
        <v>0</v>
      </c>
      <c r="AW621" s="198">
        <f>IF(AND($B619=" ",$K621=AW$3),$O621,0)</f>
        <v>0</v>
      </c>
      <c r="AX621" s="198">
        <f>IF(AND($B619=" ",$K621=AX$3),$O621,0)</f>
        <v>0</v>
      </c>
      <c r="AY621" s="200">
        <f>IF(AND($B619=" ",$K621=AY$3),$O621,0)</f>
        <v>0</v>
      </c>
      <c r="AZ621" s="201">
        <f>IF(AND($B619=" ",$K621=AZ$3),$O621,0)</f>
        <v>0</v>
      </c>
      <c r="BA621" s="201">
        <f>IF(AND($B619=" ",$K621=BA$3),$O621,0)</f>
        <v>0</v>
      </c>
      <c r="BB621" s="201">
        <f>IF(AND($B619=" ",$K621=BB$3),$O621,0)</f>
        <v>0</v>
      </c>
      <c r="BC621" s="202">
        <f>IF(AND($B619=" ",$K621=BC$3),$O621,0)</f>
        <v>0</v>
      </c>
      <c r="BD621" s="198">
        <f>IF(AND($B619=" ",$K621=BD$3),$O621,0)</f>
        <v>0</v>
      </c>
      <c r="BE621" s="199">
        <f>IF(AND($B619=" ",$K621=BE$3),$O621,0)</f>
        <v>0</v>
      </c>
      <c r="BF621" s="197">
        <f>IF($K621=BF$3,IF($C621="X",0,$O621),0)</f>
        <v>0</v>
      </c>
      <c r="BG621" s="198">
        <f>IF($K621=BG$3,IF($C621="X",0,$O621),0)</f>
        <v>0</v>
      </c>
      <c r="BH621" s="198">
        <f>IF($K621=BH$3,IF($C621="X",0,$O621),0)</f>
        <v>0</v>
      </c>
      <c r="BI621" s="198">
        <f>IF($K621=BI$3,IF($C621="X",0,$O621),0)</f>
        <v>0</v>
      </c>
      <c r="BJ621" s="198">
        <f>IF($K621=BJ$3,IF($C621="X",0,$O621),0)</f>
        <v>0</v>
      </c>
      <c r="BK621" s="198">
        <f>IF($K621=BK$3,IF($C621="X",0,$O621),0)</f>
        <v>0</v>
      </c>
      <c r="BL621" s="198">
        <f>IF($K621=BL$3,IF($C621="X",0,$O621),0)</f>
        <v>0</v>
      </c>
      <c r="BM621" s="200">
        <f>IF($K621=BM$3,IF($C621="X",0,$O621),0)</f>
        <v>0</v>
      </c>
      <c r="BN621" s="201">
        <f>IF($K621=BN$3,IF($C621="X",0,$O621),0)</f>
        <v>0</v>
      </c>
      <c r="BO621" s="201">
        <f>IF($K621=BO$3,IF($C621="X",0,$O621),0)</f>
        <v>0</v>
      </c>
      <c r="BP621" s="201">
        <f>IF($K621=BP$3,IF($C621="X",0,$O621),0)</f>
        <v>0</v>
      </c>
      <c r="BQ621" s="202">
        <f>IF($K621=BQ$3,IF($C621="X",0,$O621),0)</f>
        <v>0</v>
      </c>
      <c r="BR621" s="199">
        <f>IF($K621=BR$3,IF($C621="X",0,$O621),0)</f>
        <v>0</v>
      </c>
      <c r="BS621" s="228"/>
      <c r="BT621" s="229"/>
      <c r="BU621" s="140"/>
      <c r="BV621" s="229"/>
      <c r="BW621" s="140"/>
      <c r="BX621" s="140"/>
      <c r="BY621" s="140"/>
      <c r="BZ621" s="229"/>
      <c r="CA621" s="140"/>
      <c r="CB621" s="140"/>
      <c r="CC621" s="140"/>
      <c r="CD621" s="141"/>
      <c r="CE621" s="142"/>
      <c r="CF621" s="230">
        <f>IF(CF$3=$K621,IF($C621="W",1,IF($C621="1/2W",0.5,0)),0)</f>
        <v>0</v>
      </c>
      <c r="CG621" s="231">
        <f>IF(CF$3=$K621,IF($C621="L",1,IF($C621="1/2L",0.5,0)),0)</f>
        <v>0</v>
      </c>
      <c r="CH621" s="231">
        <f>IF(CH$3=$K621,IF($C621="W",1,IF($C621="1/2W",0.5,0)),0)</f>
        <v>0</v>
      </c>
      <c r="CI621" s="231">
        <f>IF(CH$3=$K621,IF($C621="L",1,IF($C621="1/2L",0.5,0)),0)</f>
        <v>0</v>
      </c>
      <c r="CJ621" s="231">
        <f>IF(CJ$3=$K621,IF($C621="W",1,IF($C621="1/2W",0.5,0)),0)</f>
        <v>0</v>
      </c>
      <c r="CK621" s="231">
        <f>IF(CJ$3=$K621,IF($C621="L",1,IF($C621="1/2L",0.5,0)),0)</f>
        <v>0</v>
      </c>
      <c r="CL621" s="231">
        <f>IF(CL$3=$K621,IF($C621="W",1,IF($C621="1/2W",0.5,0)),0)</f>
        <v>0</v>
      </c>
      <c r="CM621" s="231">
        <f>IF(CL$3=$K621,IF($C621="L",1,IF($C621="1/2L",0.5,0)),0)</f>
        <v>0</v>
      </c>
      <c r="CN621" s="231">
        <f>IF(CN$3=$K621,IF($C621="W",1,IF($C621="1/2W",0.5,0)),0)</f>
        <v>0</v>
      </c>
      <c r="CO621" s="231">
        <f>IF(CN$3=$K621,IF($C621="L",1,IF($C621="1/2L",0.5,0)),0)</f>
        <v>0</v>
      </c>
      <c r="CP621" s="231">
        <f>IF(CP$3=$K621,IF($C621="W",1,IF($C621="1/2W",0.5,0)),0)</f>
        <v>0</v>
      </c>
      <c r="CQ621" s="231">
        <f>IF(CP$3=$K621,IF($C621="L",1,IF($C621="1/2L",0.5,0)),0)</f>
        <v>0</v>
      </c>
      <c r="CR621" s="231">
        <f>IF(CR$3=$K621,IF($C621="W",1,IF($C621="1/2W",0.5,0)),0)</f>
        <v>0</v>
      </c>
      <c r="CS621" s="231">
        <f>IF(CR$3=$K621,IF($C621="L",1,IF($C621="1/2L",0.5,0)),0)</f>
        <v>0</v>
      </c>
      <c r="CT621" s="208">
        <f>IF(CT$3=$K621,IF($C621="W",1,IF($C621="1/2W",0.5,0)),0)</f>
        <v>0</v>
      </c>
      <c r="CU621" s="209">
        <f>IF(CT$3=$K621,IF($C621="L",1,IF($C621="1/2L",0.5,0)),0)</f>
        <v>0</v>
      </c>
      <c r="CV621" s="209">
        <f>IF(CV$3=$K621,IF($C621="W",1,IF($C621="1/2W",0.5,0)),0)</f>
        <v>0</v>
      </c>
      <c r="CW621" s="209">
        <f>IF(CV$3=$K621,IF($C621="L",1,IF($C621="1/2L",0.5,0)),0)</f>
        <v>0</v>
      </c>
      <c r="CX621" s="209">
        <f>IF(CX$3=$K621,IF($C621="W",1,IF($C621="1/2W",0.5,0)),0)</f>
        <v>0</v>
      </c>
      <c r="CY621" s="209">
        <f>IF(CX$3=$K621,IF($C621="L",1,IF($C621="1/2L",0.5,0)),0)</f>
        <v>0</v>
      </c>
      <c r="CZ621" s="209">
        <f>IF(CZ$3=$K621,IF($C621="W",1,IF($C621="1/2W",0.5,0)),0)</f>
        <v>0</v>
      </c>
      <c r="DA621" s="209">
        <f>IF(CZ$3=$K621,IF($C621="L",1,IF($C621="1/2L",0.5,0)),0)</f>
        <v>0</v>
      </c>
      <c r="DB621" s="209">
        <f>IF(DB$3=$K621,IF($C621="W",1,IF($C621="1/2W",0.5,0)),0)</f>
        <v>0</v>
      </c>
      <c r="DC621" s="209">
        <f>IF(DB$3=$K621,IF($C621="L",1,IF($C621="1/2L",0.5,0)),0)</f>
        <v>0</v>
      </c>
      <c r="DD621" s="209">
        <f>IF(DD$3=$K621,IF($C621="W",1,IF($C621="1/2W",0.5,0)),0)</f>
        <v>0</v>
      </c>
      <c r="DE621" s="210">
        <f>IF(DD$3=$K621,IF($C621="L",1,IF($C621="1/2L",0.5,0)),0)</f>
        <v>0</v>
      </c>
      <c r="DF621" s="211">
        <f>IF(AND(L621&lt;DF$3,$C621="W"),1+DF620,DF620)</f>
        <v>17</v>
      </c>
      <c r="DG621" s="198">
        <f>IF(DF621&gt;DF620,L621+DG620,DG620)</f>
        <v>22.628</v>
      </c>
      <c r="DH621" s="209">
        <f>IF(AND(L621&gt;DH$3,$C621="W"),1+DH620,0+DH620)</f>
        <v>16</v>
      </c>
      <c r="DI621" s="198">
        <f>IF(DH621&gt;DH620,L621+DI620,DI620)</f>
        <v>85.45999999999999</v>
      </c>
      <c r="DJ621" t="s" s="306">
        <f>IF($D619="","",$D619)</f>
        <v>431</v>
      </c>
      <c r="DK621" s="232"/>
    </row>
    <row r="622" ht="14.55" customHeight="1">
      <c r="A622" s="246">
        <f>$A619+1</f>
        <v>207</v>
      </c>
      <c r="B622" t="s" s="247">
        <f>IF(AND(_xlfn.XLOOKUP(H622,H$107:H401,G$107:G401,0)=G622,_xlfn.XLOOKUP("TempoBet",K622:K624,L622:L624,0)&gt;0),"X",IF(OR(C622="W",C623="W",C624="W",C622="1/2W",C623="1/2W",C624="1/2W",C622="1/2L",C623="1/2L",C624="1/2L"),"OK",IF(OR(C622="L",C623="L",C624="L"),"LOSS",IF(OR(C622="X",C623="X",C624="X"),"Anulado"," "))))</f>
        <v>50</v>
      </c>
      <c r="C622" t="s" s="248">
        <v>56</v>
      </c>
      <c r="D622" t="s" s="303">
        <f>IF(G622="","",$D619)</f>
        <v>431</v>
      </c>
      <c r="E622" t="s" s="250">
        <v>143</v>
      </c>
      <c r="F622" t="s" s="251">
        <f>IF(G622="","",IF(OR(AND($C622&lt;&gt;" ",$C623=" "),AND($C623&lt;&gt;" ",$C622=" "),AND(L624&gt;0,OR(AND($C624&lt;&gt;" ",OR($C622=" ",$C623=" ")),AND($C624=" ",OR($C622&lt;&gt;" ",$C623&lt;&gt;" "))))),IF(SUM(F$4:F621)=0,1,LARGE(F$4:F621,1)+1),IF(MONTH(G622)=MONTH(TODAY()),IF(AND(DAY(G622)&lt;DAY(TODAY()),$B622=" "),IF(SUM(F$4:F621)=0,1,LARGE(F$4:F621,1)+1),IF($B622=" ",IF(AND(DAY(G622)=DAY(TODAY()),HOUR(G622)&lt;=HOUR(NOW())+1),IF(AND(HOUR(G622)+2&lt;=HOUR(NOW()),DAY(G622)&lt;=DAY(TODAY()),MINUTE(G622)&lt;=MINUTE(NOW())),IF(SUM(F$4:F621)=0,1,LARGE(F$4:F621,1)+1),IF(OR(MINUTE(G622)&lt;=MINUTE(NOW()),HOUR(G622)&lt;=HOUR(NOW())),"!!!","")),""),"")),"")))</f>
      </c>
      <c r="G622" s="252">
        <v>44954.697916666664</v>
      </c>
      <c r="H622" t="s" s="253">
        <v>456</v>
      </c>
      <c r="I622" t="s" s="254">
        <v>65</v>
      </c>
      <c r="J622" s="255">
        <v>9</v>
      </c>
      <c r="K622" t="s" s="256">
        <v>41</v>
      </c>
      <c r="L622" s="257">
        <v>2.12</v>
      </c>
      <c r="M622" s="258">
        <v>10</v>
      </c>
      <c r="N622" s="259">
        <v>0</v>
      </c>
      <c r="O622" s="260">
        <f>IF(OR(AE622="",AE623=""),"",ROUND(IF(L624&gt;0,IF(M622&gt;0,M622,IF(M623&gt;0,ROUND((M623*AE622)/AE623,IF(N622=0,2,IF(N622=0.1,1,0))),ROUND((M624*AE622)/AE624,IF(N622=0,2,IF(N622=0.1,1,0))))),IF(M622&gt;0,M622,ROUND((M623*AE622)/AE623,IF(N622=0,2,IF(N622=0.1,1,0))))),2))</f>
        <v>10</v>
      </c>
      <c r="P622" s="261">
        <f>IF(OR(L622="",O622=""),"",IF($C622="1/2W",O622/2+O622/2*L622,IF($C622="1/2L",O622/2,IF(I622="Lay",(O622*(L622/(L622-1))-O622)*(1-_xlfn.XLOOKUP(K622,'Janeiro 2023 - Valor Real'!A3:A15,'Janeiro 2023 - Valor Real'!C3:C15,0))+O622,(O622*L622-O622)*(1-_xlfn.XLOOKUP(K622,'Janeiro 2023 - Valor Real'!A3:A15,'Janeiro 2023 - Valor Real'!C3:C15,0))+O622))))</f>
        <v>21.2</v>
      </c>
      <c r="Q622" s="262">
        <f>IF(K622="","",IF(_xlfn.XLOOKUP(K622,K$107:K401,DJ$107:DJ401,0,,-1)=DJ622,_xlfn.XLOOKUP(K622,K$107:K401,Q$107:Q401,1,,-1)+1,1))</f>
        <v>1</v>
      </c>
      <c r="R622" s="263">
        <f>IF(K622="","",_xlfn.XLOOKUP(K622,K$107:K401,R$107:R401,0,,-1)+IF($C622=" ",1,0))</f>
        <v>0</v>
      </c>
      <c r="S622" s="264">
        <f>IF($B622="Anulado",0,ROUND(IF(OR($B622="LOSS",$B622="OK"),IF(OR($C622="W",$C622="1/2W",$C622="1/2L"),P622-O622,IF($C622="L",-O622,0))+IF(OR($C623="W",$C623="1/2W",$C623="1/2L"),P623-O623,IF($C623="L",-O623,0))+IF(OR($C624="W",$C624="1/2W",$C624="1/2L"),P624-O624,IF($C624="L",-O624,0)),IF(AND(OR($C622="W",$C622="1/2W",$C622="1/2L"),C623="W"),P622+P623-SUM(O622:O624)+_xlfn.XLOOKUP("X",C622:C624,O622:O624,0),IF(AND(C622=TRUE,C624="W"),P622+P624-SUM(O622:O624),IF(AND(C623="W",C624="W"),P623+P624-SUM(O622:O624)+_xlfn.XLOOKUP("X",C622:C624,O622:O624,0),IF(L624&gt;0,IF(OR($C622="W",$C622="1/2W",$C622="1/2L"),P622-SUM(O622:O624)+_xlfn.XLOOKUP("X",C622:C624,O622:O624,0),IF(OR($C622="W",$C622="1/2W",$C622="1/2L"),P623-SUM(O622:O624)+_xlfn.XLOOKUP("X",C622:C624,O622:O624,0),IF(OR($C622="W",$C622="1/2W",$C622="1/2L"),P624-SUM(O622:O624)+_xlfn.XLOOKUP("X",C622:C624,O622:O624,0),IF(SUM(P622:P624)/3-SUM(O622:O624)+_xlfn.XLOOKUP("X",C622:C624,O622:O624,0)&gt;0,SUM(P622:P624)/3-SUM(O622:O624)+_xlfn.XLOOKUP("X",C622:C624,O622:O624,0),LARGE(P622:P624,1)-SUM(O622:O624))))),IF(OR($C622="W",$C622="1/2W",$C622="1/2L"),P622-SUM(O622:O623)+_xlfn.XLOOKUP("X",C622:C624,O622:O624,0),IF(OR($C622="W",$C622="1/2W",$C622="1/2L"),P623-SUM(O622:O623)+_xlfn.XLOOKUP("X",C622:C624,O622:O624,0),SUM(P622:P623)/2-SUM(O622:O623)+_xlfn.XLOOKUP("X",C622:C624,O622:O624,0)))))))),2))</f>
        <v>1.3</v>
      </c>
      <c r="T622" s="265">
        <f>IF(S622=0,0,S622/SUM(O622:O624))</f>
        <v>0.0653266331658291</v>
      </c>
      <c r="U622" s="266">
        <f>IF($D622=$D619,IF(OR($B622="LOSS",$B622="OK",$B622="Anulada"),S622,0)+U619,IF(OR($B622="LOSS",$B622="OK",$B622="Anulada"),S622,0))</f>
        <v>23.84</v>
      </c>
      <c r="V622" s="266">
        <f>IF($D622="",0,IF($D622=$D619,IF($B622=" ",IF(I624="",IF(OR(AND(I622="DNB1",I623="DNB2"),AND(OR(I622="DNB1",I622="DNB2"),J623=0),AND(OR(I623="DNB1",I623="DNB2"),J622=0),AND(I622="DNB2",I623="DNB1"),AND(IF(J622=0,(J622+1)/ROUND(J622+1,0),J622/ROUND(J622,0))=1,IF(J623=0,(J623+1)/ROUND(IF(J623="",0,J623)+1,0),IF(J623="",0,J623)/ROUND(IF(J623="",1,J623),0))=1,OR(J622&lt;&gt;""),J623&lt;&gt;"")),0,IF(S622&lt;0,IF(I624="",SMALL(P622:P623,1)-SUM(O622:O623),0),SMALL(P622:P623,1)-SUM(O622:O623))),IF(S622&lt;0,IF(I624="",SMALL(P622:P624,1)-SUM(O622:O624),0),LARGE(P622:P624,1)-SUM(O622:O624))),S622)+V619,IF(I624="",IF(OR(AND(I622="DNB1",I623="DNB2"),AND(OR(I622="DNB1",I622="DNB2"),J623=0),AND(OR(I623="DNB1",I623="DNB2"),J622=0),AND(I622="DNB2",I623="DNB1"),AND(IF(J622=0,(J622+1)/ROUND(J622+1,0),J622/ROUND(J622,0))=1,IF(J623=0,(IF(J623="",0,J623)+1)/ROUND(IF(J623="",0,J623)+1,0),IF(J623="",0,J623)/ROUND(IF(J623="",0,J623)+1,0))=1,OR(J622&lt;&gt;""),J623&lt;&gt;"")),0,IF(S622&lt;0,IF(I624="",SMALL(P622:P623,1)-SUM(O622:O623),0),SMALL(P622:P624,1)-SUM(O622:O624))),IF(S622&lt;0,IF(I624="",SMALL(P622:P624,1)-SUM(O622:O624),0),LARGE(P622:P624,1)-SUM(O622:O624)))))</f>
        <v>23.812</v>
      </c>
      <c r="W622" s="266">
        <f>IF($D622=$D619,IF(S622&lt;0,IF(I624="",S622,0),S622)+W619,S622)</f>
        <v>23.84</v>
      </c>
      <c r="X622" t="s" s="267">
        <f>IF(OR(SUM(R622:R624)=0,V622=W622),ROUND(IF(W622=0,0,W622/Y622)*100,2)&amp;"%",ROUND(IF(V622=0,0,V622/Y622)*100,2)&amp;"% a "&amp;ROUND(IF(W622=0,0,W622/Y622)*100,2)&amp;"%")</f>
        <v>457</v>
      </c>
      <c r="Y622" s="268">
        <f>IF($D622=$D619,Y619+SUM(O622:O624),SUM(O622:O624))</f>
        <v>360.61</v>
      </c>
      <c r="Z622" s="266">
        <f>IF($B622=" ",SUM(O622:O624),0)+Z619</f>
        <v>0</v>
      </c>
      <c r="AA622" s="266">
        <f>IF(G622="","",IF($B622="Anulado",LARGE(P622:P624,1)-SUM(O622:O624)+AA619,AA619))</f>
        <v>26.8740076923077</v>
      </c>
      <c r="AB622" s="266">
        <f>IF($D622="","",AB619+S622)</f>
        <v>412.17</v>
      </c>
      <c r="AC622" s="269">
        <f>IF($D622="","",IF($B622=" ",IF(DAY(G622)=DAY(TODAY()),1+AC619,0+AC619),0+AC619))</f>
        <v>0</v>
      </c>
      <c r="AD622" s="270">
        <f>(1-_xlfn.XLOOKUP(K620,'Janeiro 2023 - Valor Real'!A3:A15,'Janeiro 2023 - Valor Real'!C3:C15,0))+1</f>
        <v>2</v>
      </c>
      <c r="AE622" s="271">
        <f>IF(L622="","",IF(L624&gt;0,(SUM(((L622-1)*(1-_xlfn.XLOOKUP(K622,'Janeiro 2023 - Valor Real'!A3:A15,'Janeiro 2023 - Valor Real'!C3:C15,0))+1),((L623-1)*(1-_xlfn.XLOOKUP(K623,'Janeiro 2023 - Valor Real'!A3:A15,'Janeiro 2023 - Valor Real'!C3:C15,0))+1),((L624-1)*(1-_xlfn.XLOOKUP(K624,'Janeiro 2023 - Valor Real'!A3:A15,'Janeiro 2023 - Valor Real'!C3:C15,0))+1))/((L622-1)*(1-_xlfn.XLOOKUP(K622,'Janeiro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Real'!C3:C15,0))+1))/((L622-1)*(1-_xlfn.XLOOKUP(K622,'Janeiro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Real'!C3:C15,0))+1))/((L623-1)*(1-_xlfn.XLOOKUP(K623,'Janeiro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Real'!C3:C15,0))+1))/((L624-1)*(1-_xlfn.XLOOKUP(K624,'Janeiro 2023 - Valor Real'!A3:A15,'Janeiro 2023 - Valor Real'!C3:C15,0))+1)),IF(I622="Lay",IF(I623="Lay",((L623/(L623-1)-1)*(1-_xlfn.XLOOKUP(K623,'Janeiro 2023 - Valor Real'!A3:A15,'Janeiro 2023 - Valor Real'!C3:C15,0))+1)/(((L623/(L623-1)-1)*(1-_xlfn.XLOOKUP(K623,'Janeiro 2023 - Valor Real'!A3:A15,'Janeiro 2023 - Valor Real'!C3:C15,0))+1)+((L622/(L622-1)-1)*(1-_xlfn.XLOOKUP(K622,'Janeiro 2023 - Valor Real'!A3:A15,'Janeiro 2023 - Valor Real'!C3:C15,0))+1)),((L623-1)*(1-_xlfn.XLOOKUP(K623,'Janeiro 2023 - Valor Real'!A3:A15,'Janeiro 2023 - Valor Real'!C3:C15,0))+1)/(((L623-1)*(1-_xlfn.XLOOKUP(K623,'Janeiro 2023 - Valor Real'!A3:A15,'Janeiro 2023 - Valor Real'!C3:C15,0))+1)+((L622/(L622-1)-1)*(1-_xlfn.XLOOKUP(K622,'Janeiro 2023 - Valor Real'!A3:A15,'Janeiro 2023 - Valor Real'!C3:C15,0))+1))),IF(I623="Lay",(((L623/(L623-1)-1)*(1-_xlfn.XLOOKUP(K623,'Janeiro 2023 - Valor Real'!A3:A15,'Janeiro 2023 - Valor Real'!C3:C15,0))+1))/(((L622-1)*(1-_xlfn.XLOOKUP(K622,'Janeiro 2023 - Valor Real'!A3:A15,'Janeiro 2023 - Valor Real'!C3:C15,0))+1)+((L623/(L623-1)-1)*(1-_xlfn.XLOOKUP(K623,'Janeiro 2023 - Valor Real'!A3:A15,'Janeiro 2023 - Valor Real'!C3:C15,0))+1)),((L623-1)*(1-_xlfn.XLOOKUP(K623,'Janeiro 2023 - Valor Real'!A3:A15,'Janeiro 2023 - Valor Real'!C3:C15,0))+1)/(((L623-1)*(1-_xlfn.XLOOKUP(K623,'Janeiro 2023 - Valor Real'!A3:A15,'Janeiro 2023 - Valor Real'!C3:C15,0))+1)+((L622-1)*(1-_xlfn.XLOOKUP(K622,'Janeiro 2023 - Valor Real'!A3:A15,'Janeiro 2023 - Valor Real'!C3:C15,0))+1))))))</f>
        <v>0.337405881517261</v>
      </c>
      <c r="AF622" s="132">
        <f>IF($K622=AF$3,ROUND(IF(OR($C622="W",$C622="1/2W",$C622="1/2L"),$P622-$O622,IF($C622="X",0,-$O622)),2),0)</f>
        <v>0</v>
      </c>
      <c r="AG622" s="133">
        <f>IF($K622=AG$3,ROUND(IF(OR($C622="W",$C622="1/2W",$C622="1/2L"),$P622-$O622,IF($C622="X",0,-$O622)),2),0)</f>
        <v>0</v>
      </c>
      <c r="AH622" s="133">
        <f>IF($K622=AH$3,ROUND(IF(OR($C622="W",$C622="1/2W",$C622="1/2L"),$P622-$O622,IF($C622="X",0,-$O622)),2),0)</f>
        <v>0</v>
      </c>
      <c r="AI622" s="133">
        <f>IF($K622=AI$3,ROUND(IF(OR($C622="W",$C622="1/2W",$C622="1/2L"),$P622-$O622,IF($C622="X",0,-$O622)),2),0)</f>
        <v>0</v>
      </c>
      <c r="AJ622" s="133">
        <f>IF($K622=AJ$3,ROUND(IF(OR($C622="W",$C622="1/2W",$C622="1/2L"),$P622-$O622,IF($C622="X",0,-$O622)),2),0)</f>
        <v>11.2</v>
      </c>
      <c r="AK622" s="133">
        <f>IF($K622=AK$3,ROUND(IF(OR($C622="W",$C622="1/2W",$C622="1/2L"),$P622-$O622,IF($C622="X",0,-$O622)),2),0)</f>
        <v>0</v>
      </c>
      <c r="AL622" s="133">
        <f>IF($K622=AL$3,ROUND(IF(OR($C622="W",$C622="1/2W",$C622="1/2L"),$P622-$O622,IF($C622="X",0,-$O622)),2),0)</f>
        <v>0</v>
      </c>
      <c r="AM622" s="133">
        <f>IF($K622=AM$3,ROUND(IF(OR($C622="W",$C622="1/2W",$C622="1/2L"),$P622-$O622,IF($C622="X",0,-$O622)),2),0)</f>
        <v>0</v>
      </c>
      <c r="AN622" s="133">
        <f>IF($K622=AN$3,ROUND(IF(OR($C622="W",$C622="1/2W",$C622="1/2L"),$P622-$O622,IF($C622="X",0,-$O622)),2),0)</f>
        <v>0</v>
      </c>
      <c r="AO622" s="133">
        <f>IF($K622=AO$3,ROUND(IF(OR($C622="W",$C622="1/2W",$C622="1/2L"),$P622-$O622,IF($C622="X",0,-$O622)),2),0)</f>
        <v>0</v>
      </c>
      <c r="AP622" s="133">
        <f>IF($K622=AP$3,ROUND(IF(OR($C622="W",$C622="1/2W",$C622="1/2L"),$P622-$O622,IF($C622="X",0,-$O622)),2),0)</f>
        <v>0</v>
      </c>
      <c r="AQ622" s="133">
        <f>IF($K622=AQ$3,ROUND(IF(OR($C622="W",$C622="1/2W",$C622="1/2L"),$P622-$O622,IF($C622="X",0,-$O622)),2),0)</f>
        <v>0</v>
      </c>
      <c r="AR622" s="134">
        <f>IF($K622=AR$3,ROUND(IF(OR($C622="W",$C622="1/2W",$C622="1/2L"),$P622-$O622,IF($C622="X",0,-$O622)),2),0)</f>
        <v>0</v>
      </c>
      <c r="AS622" s="132">
        <f>IF(AND($B622=" ",$K622=AS$3),$O622,0)</f>
        <v>0</v>
      </c>
      <c r="AT622" s="133">
        <f>IF(AND($B622=" ",$K622=AT$3),$O622,0)</f>
        <v>0</v>
      </c>
      <c r="AU622" s="133">
        <f>IF(AND($B622=" ",$K622=AU$3),$O622,0)</f>
        <v>0</v>
      </c>
      <c r="AV622" s="133">
        <f>IF(AND($B622=" ",$K622=AV$3),$O622,0)</f>
        <v>0</v>
      </c>
      <c r="AW622" s="133">
        <f>IF(AND($B622=" ",$K622=AW$3),$O622,0)</f>
        <v>0</v>
      </c>
      <c r="AX622" s="133">
        <f>IF(AND($B622=" ",$K622=AX$3),$O622,0)</f>
        <v>0</v>
      </c>
      <c r="AY622" s="135">
        <f>IF(AND($B622=" ",$K622=AY$3),$O622,0)</f>
        <v>0</v>
      </c>
      <c r="AZ622" s="136">
        <f>IF(AND($B622=" ",$K622=AZ$3),$O622,0)</f>
        <v>0</v>
      </c>
      <c r="BA622" s="136">
        <f>IF(AND($B622=" ",$K622=BA$3),$O622,0)</f>
        <v>0</v>
      </c>
      <c r="BB622" s="136">
        <f>IF(AND($B622=" ",$K622=BB$3),$O622,0)</f>
        <v>0</v>
      </c>
      <c r="BC622" s="137">
        <f>IF(AND($B622=" ",$K622=BC$3),$O622,0)</f>
        <v>0</v>
      </c>
      <c r="BD622" s="133">
        <f>IF(AND($B622=" ",$K622=BD$3),$O622,0)</f>
        <v>0</v>
      </c>
      <c r="BE622" s="134">
        <f>IF(AND($B622=" ",$K622=BE$3),$O622,0)</f>
        <v>0</v>
      </c>
      <c r="BF622" s="132">
        <f>IF($K622=BF$3,IF($C622="X",0,$O622),0)</f>
        <v>0</v>
      </c>
      <c r="BG622" s="133">
        <f>IF($K622=BG$3,IF($C622="X",0,$O622),0)</f>
        <v>0</v>
      </c>
      <c r="BH622" s="133">
        <f>IF($K622=BH$3,IF($C622="X",0,$O622),0)</f>
        <v>0</v>
      </c>
      <c r="BI622" s="133">
        <f>IF($K622=BI$3,IF($C622="X",0,$O622),0)</f>
        <v>0</v>
      </c>
      <c r="BJ622" s="133">
        <f>IF($K622=BJ$3,IF($C622="X",0,$O622),0)</f>
        <v>10</v>
      </c>
      <c r="BK622" s="133">
        <f>IF($K622=BK$3,IF($C622="X",0,$O622),0)</f>
        <v>0</v>
      </c>
      <c r="BL622" s="133">
        <f>IF($K622=BL$3,IF($C622="X",0,$O622),0)</f>
        <v>0</v>
      </c>
      <c r="BM622" s="135">
        <f>IF($K622=BM$3,IF($C622="X",0,$O622),0)</f>
        <v>0</v>
      </c>
      <c r="BN622" s="136">
        <f>IF($K622=BN$3,IF($C622="X",0,$O622),0)</f>
        <v>0</v>
      </c>
      <c r="BO622" s="136">
        <f>IF($K622=BO$3,IF($C622="X",0,$O622),0)</f>
        <v>0</v>
      </c>
      <c r="BP622" s="136">
        <f>IF($K622=BP$3,IF($C622="X",0,$O622),0)</f>
        <v>0</v>
      </c>
      <c r="BQ622" s="137">
        <f>IF($K622=BQ$3,IF($C622="X",0,$O622),0)</f>
        <v>0</v>
      </c>
      <c r="BR622" s="134">
        <f>IF($K622=BR$3,IF($C622="X",0,$O622),0)</f>
        <v>0</v>
      </c>
      <c r="BS622" s="170">
        <f>IF($B622="LOSS",IF(AND($K622=BS$3,$C622="L"),-$O622,0)+IF(AND($K623=BS$3,$C623="L"),-$O623,0)+IF(AND($K624=BS$3,$C624="L"),-$O624,0),IF(OR(AND($K622=BS$3,OR($C622="W",$C622="1/2W")),AND($K623=BS$3,OR($C623="W",$C623="1/2W")),AND($K624=BS$3,OR($C624="W",$C624="1/2W"))),$S622,0))</f>
        <v>0</v>
      </c>
      <c r="BT622" s="272">
        <f>IF($B622="LOSS",IF(AND($K622=BT$3,$C622="L"),-$O622,0)+IF(AND($K623=BT$3,$C623="L"),-$O623,0)+IF(AND($K623=BT$3,$C624="L"),-$O624,0),IF(OR(AND($K623=BT$3,OR($C622="W",$C622="1/2W")),AND($K623=BT$3,OR($C623="W",$C623="1/2W")),AND($K623=BT$3,OR($C624="W",$C624="1/2W"))),$S622,0))</f>
        <v>1.3</v>
      </c>
      <c r="BU622" s="136">
        <f>IF($B622="LOSS",IF(AND($K622=BU$3,$C622="L"),-$O622,0)+IF(AND($K623=BU$3,$C623="L"),-$O623,0)+IF(AND($K623=BU$3,$C624="L"),-$O624,0),IF(OR(AND($K623=BU$3,OR($C622="W",$C622="1/2W")),AND($K623=BU$3,OR($C623="W",$C623="1/2W")),AND($K623=BU$3,OR($C624="W",$C624="1/2W"))),$S622,0))</f>
        <v>0</v>
      </c>
      <c r="BV622" s="136">
        <f>IF($B622="LOSS",IF(AND($K622=BV$3,$C622="L"),-$O622,0)+IF(AND($K623=BV$3,$C623="L"),-$O623,0)+IF(AND($K624=BV$3,$C624="L"),-$O624,0),IF(OR(AND($K622=BV$3,OR($C622="W",$C622="1/2W")),AND($K623=BV$3,OR($C623="W",$C623="1/2W")),AND($K624=BV$3,OR($C624="W",$C624="1/2W"))),$S622,0))</f>
        <v>0</v>
      </c>
      <c r="BW622" s="136">
        <f>IF($B622="LOSS",IF(AND($K622=BW$3,$C622="L"),-$O622,0)+IF(AND($K623=BW$3,$C623="L"),-$O623,0)+IF(AND($K624=BW$3,$C624="L"),-$O624,0),IF(OR(AND($K622=BW$3,OR($C622="W",$C622="1/2W")),AND($K623=BW$3,OR($C623="W",$C623="1/2W")),AND($K624=BW$3,OR($C624="W",$C624="1/2W"))),$S622,0))</f>
        <v>1.3</v>
      </c>
      <c r="BX622" s="136">
        <f>IF($B622="LOSS",IF(AND($K622=BX$3,$C622="L"),-$O622,0)+IF(AND($K623=BX$3,$C623="L"),-$O623,0)+IF(AND($K624=BX$3,$C624="L"),-$O624,0),IF(OR(AND($K622=BX$3,OR($C622="W",$C622="1/2W")),AND($K623=BX$3,OR($C623="W",$C623="1/2W")),AND($K624=BX$3,OR($C624="W",$C624="1/2W"))),$S622,0))</f>
        <v>0</v>
      </c>
      <c r="BY622" s="136">
        <f>IF($B622="LOSS",IF(AND($K622=BY$3,$C622="L"),-$O622,0)+IF(AND($K623=BY$3,$C623="L"),-$O623,0)+IF(AND($K624=BY$3,$C624="L"),-$O624,0),IF(OR(AND($K622=BY$3,OR($C622="W",$C622="1/2W")),AND($K623=BY$3,OR($C623="W",$C623="1/2W")),AND($K624=BY$3,OR($C624="W",$C624="1/2W"))),$S622,0))</f>
        <v>0</v>
      </c>
      <c r="BZ622" s="136">
        <f>IF($B622="LOSS",IF(AND($K622=BZ$3,$C622="L"),-$O622,0)+IF(AND($K623=BZ$3,$C623="L"),-$O623,0)+IF(AND($K624=BZ$3,$C624="L"),-$O624,0),IF(OR(AND($K622=BZ$3,OR($C622="W",$C622="1/2W")),AND($K623=BZ$3,OR($C623="W",$C623="1/2W")),AND($K624=BZ$3,OR($C624="W",$C624="1/2W"))),$S622,0))</f>
        <v>0</v>
      </c>
      <c r="CA622" s="136">
        <f>IF($B622="LOSS",IF(AND($K622=CA$3,$C622="L"),-$O622,0)+IF(AND($K623=CA$3,$C623="L"),-$O623,0)+IF(AND($K624=CA$3,$C624="L"),-$O624,0),IF(OR(AND($K622=CA$3,OR($C622="W",$C622="1/2W")),AND($K623=CA$3,OR($C623="W",$C623="1/2W")),AND($K624=CA$3,OR($C624="W",$C624="1/2W"))),$S622,0))</f>
        <v>0</v>
      </c>
      <c r="CB622" s="136">
        <f>IF($B622="LOSS",IF(AND($K622=CB$3,$C622="L"),-$O622,0)+IF(AND($K623=CB$3,$C623="L"),-$O623,0)+IF(AND($K624=CB$3,$C624="L"),-$O624,0),IF(OR(AND($K622=CB$3,OR($C622="W",$C622="1/2W")),AND($K623=CB$3,OR($C623="W",$C623="1/2W")),AND($K624=CB$3,OR($C624="W",$C624="1/2W"))),$S622,0))</f>
        <v>0</v>
      </c>
      <c r="CC622" s="136">
        <f>IF($B622="LOSS",IF(AND($K622=CC$3,$C622="L"),-$O622,0)+IF(AND($K623=CC$3,$C623="L"),-$O623,0)+IF(AND($K624=CC$3,$C624="L"),-$O624,0),IF(OR(AND($K622=CC$3,OR($C622="W",$C622="1/2W")),AND($K623=CC$3,OR($C623="W",$C623="1/2W")),AND($K624=CC$3,OR($C624="W",$C624="1/2W"))),$S622,0))</f>
        <v>0</v>
      </c>
      <c r="CD622" s="137">
        <f>IF($B622="LOSS",IF(AND($K622=CD$3,$C622="L"),-$O622,0)+IF(AND($K623=CD$3,$C623="L"),-$O623,0)+IF(AND($K624=CD$3,$C624="L"),-$O624,0),IF(OR(AND($K622=CD$3,OR($C622="W",$C622="1/2W")),AND($K623=CD$3,OR($C623="W",$C623="1/2W")),AND($K624=CD$3,OR($C624="W",$C624="1/2W"))),$S622,0))</f>
        <v>0</v>
      </c>
      <c r="CE622" s="134">
        <f>IF($B622="LOSS",IF(AND($K622=CE$3,$C622="L"),-$O622,0)+IF(AND($K623=CE$3,$C623="L"),-$O623,0)+IF(AND($K624=CE$3,$C624="L"),-$O624,0),IF(OR(AND($K622=CE$3,OR($C622="W",$C622="1/2W")),AND($K623=CE$3,OR($C623="W",$C623="1/2W")),AND($K624=CE$3,OR($C624="W",$C624="1/2W"))),$S622,0))</f>
        <v>0</v>
      </c>
      <c r="CF622" s="273">
        <f>IF(CF$3=$K622,IF($C622="W",1,IF($C622="1/2W",0.5,0)),0)</f>
        <v>0</v>
      </c>
      <c r="CG622" s="274">
        <f>IF(CF$3=$K622,IF($C622="L",1,IF($C622="1/2L",0.5,0)),0)</f>
        <v>0</v>
      </c>
      <c r="CH622" s="274">
        <f>IF(CH$3=$K622,IF($C622="W",1,IF($C622="1/2W",0.5,0)),0)</f>
        <v>0</v>
      </c>
      <c r="CI622" s="274">
        <f>IF(CH$3=$K622,IF($C622="L",1,IF($C622="1/2L",0.5,0)),0)</f>
        <v>0</v>
      </c>
      <c r="CJ622" s="274">
        <f>IF(CJ$3=$K622,IF($C622="W",1,IF($C622="1/2W",0.5,0)),0)</f>
        <v>0</v>
      </c>
      <c r="CK622" s="274">
        <f>IF(CJ$3=$K622,IF($C622="L",1,IF($C622="1/2L",0.5,0)),0)</f>
        <v>0</v>
      </c>
      <c r="CL622" s="274">
        <f>IF(CL$3=$K622,IF($C622="W",1,IF($C622="1/2W",0.5,0)),0)</f>
        <v>0</v>
      </c>
      <c r="CM622" s="274">
        <f>IF(CL$3=$K622,IF($C622="L",1,IF($C622="1/2L",0.5,0)),0)</f>
        <v>0</v>
      </c>
      <c r="CN622" s="274">
        <f>IF(CN$3=$K622,IF($C622="W",1,IF($C622="1/2W",0.5,0)),0)</f>
        <v>1</v>
      </c>
      <c r="CO622" s="274">
        <f>IF(CN$3=$K622,IF($C622="L",1,IF($C622="1/2L",0.5,0)),0)</f>
        <v>0</v>
      </c>
      <c r="CP622" s="274">
        <f>IF(CP$3=$K622,IF($C622="W",1,IF($C622="1/2W",0.5,0)),0)</f>
        <v>0</v>
      </c>
      <c r="CQ622" s="274">
        <f>IF(CP$3=$K622,IF($C622="L",1,IF($C622="1/2L",0.5,0)),0)</f>
        <v>0</v>
      </c>
      <c r="CR622" s="274">
        <f>IF(CR$3=$K622,IF($C622="W",1,IF($C622="1/2W",0.5,0)),0)</f>
        <v>0</v>
      </c>
      <c r="CS622" s="274">
        <f>IF(CR$3=$K622,IF($C622="L",1,IF($C622="1/2L",0.5,0)),0)</f>
        <v>0</v>
      </c>
      <c r="CT622" s="145">
        <f>IF(CT$3=$K622,IF($C622="W",1,IF($C622="1/2W",0.5,0)),0)</f>
        <v>0</v>
      </c>
      <c r="CU622" s="146">
        <f>IF(CT$3=$K622,IF($C622="L",1,IF($C622="1/2L",0.5,0)),0)</f>
        <v>0</v>
      </c>
      <c r="CV622" s="146">
        <f>IF(CV$3=$K622,IF($C622="W",1,IF($C622="1/2W",0.5,0)),0)</f>
        <v>0</v>
      </c>
      <c r="CW622" s="146">
        <f>IF(CV$3=$K622,IF($C622="L",1,IF($C622="1/2L",0.5,0)),0)</f>
        <v>0</v>
      </c>
      <c r="CX622" s="146">
        <f>IF(CX$3=$K622,IF($C622="W",1,IF($C622="1/2W",0.5,0)),0)</f>
        <v>0</v>
      </c>
      <c r="CY622" s="146">
        <f>IF(CX$3=$K622,IF($C622="L",1,IF($C622="1/2L",0.5,0)),0)</f>
        <v>0</v>
      </c>
      <c r="CZ622" s="146">
        <f>IF(CZ$3=$K622,IF($C622="W",1,IF($C622="1/2W",0.5,0)),0)</f>
        <v>0</v>
      </c>
      <c r="DA622" s="146">
        <f>IF(CZ$3=$K622,IF($C622="L",1,IF($C622="1/2L",0.5,0)),0)</f>
        <v>0</v>
      </c>
      <c r="DB622" s="146">
        <f>IF(DB$3=$K622,IF($C622="W",1,IF($C622="1/2W",0.5,0)),0)</f>
        <v>0</v>
      </c>
      <c r="DC622" s="146">
        <f>IF(DB$3=$K622,IF($C622="L",1,IF($C622="1/2L",0.5,0)),0)</f>
        <v>0</v>
      </c>
      <c r="DD622" s="146">
        <f>IF(DD$3=$K622,IF($C622="W",1,IF($C622="1/2W",0.5,0)),0)</f>
        <v>0</v>
      </c>
      <c r="DE622" s="147">
        <f>IF(DD$3=$K622,IF($C622="L",1,IF($C622="1/2L",0.5,0)),0)</f>
        <v>0</v>
      </c>
      <c r="DF622" s="143">
        <f>IF(AND(L622&lt;DF$3,$C622="W"),1+DF621,DF621)</f>
        <v>17</v>
      </c>
      <c r="DG622" s="133">
        <f>IF(DF622&gt;DF621,L622+DG621,DG621)</f>
        <v>22.628</v>
      </c>
      <c r="DH622" s="146">
        <f>IF(AND(L622&gt;DH$3,$C622="W"),1+DH621,0+DH621)</f>
        <v>16</v>
      </c>
      <c r="DI622" s="133">
        <f>IF(DH622&gt;DH621,L622+DI621,DI621)</f>
        <v>85.45999999999999</v>
      </c>
      <c r="DJ622" t="s" s="304">
        <f>IF($D622="","",$D622)</f>
        <v>431</v>
      </c>
      <c r="DK622" s="146">
        <f>IF(AND($B622=" ",$D622&lt;&gt;""),1,0)</f>
        <v>0</v>
      </c>
    </row>
    <row r="623" ht="14.55" customHeight="1">
      <c r="A623" s="107"/>
      <c r="B623" s="108"/>
      <c r="C623" t="s" s="109">
        <v>51</v>
      </c>
      <c r="D623" s="110"/>
      <c r="E623" s="111"/>
      <c r="F623" s="113"/>
      <c r="G623" s="252"/>
      <c r="H623" s="114"/>
      <c r="I623" t="s" s="275">
        <v>67</v>
      </c>
      <c r="J623" s="276">
        <v>9.5</v>
      </c>
      <c r="K623" t="s" s="117">
        <v>38</v>
      </c>
      <c r="L623" s="277">
        <v>1.9</v>
      </c>
      <c r="M623" s="278">
        <v>5.9</v>
      </c>
      <c r="N623" s="120"/>
      <c r="O623" s="121">
        <f>IF(OR(AE622="",AE623=""),"",ROUND(IF(L624&gt;0,IF(M623&gt;0,M623,IF(M622&gt;0,IF(N622=TRUE,ROUND((M622*AE623)/AE622,0),(M622*AE623)/AE622),IF(M623&gt;0,ROUND(M623,IF(N622=0,2,IF(N622=0.1,1,0))),IF(M624&gt;0,ROUND(O624*AE623/AE624,IF(N622=0,2,IF(N622=0.1,1,0))),0)))),IF(M623&gt;0,M623,ROUND((M622*AE623)/AE622,IF(N622=0,2,IF(N622=0.1,1,0))))),2))</f>
        <v>5.9</v>
      </c>
      <c r="P623" s="122">
        <f>IF(OR(L623="",O623=""),"",IF($C623="1/2W",O623/2+O623/2*L623,IF($C623="1/2L",O623/2,IF(I623="Lay",((O623*(L623/(L623-1)))-O623)*(1-_xlfn.XLOOKUP(K623,'Janeiro 2023 - Valor Real'!A3:A15,'Janeiro 2023 - Valor Real'!C3:C15,0))+O623,(O623*L623-O623)*(1-_xlfn.XLOOKUP(K623,'Janeiro 2023 - Valor Real'!A3:A15,'Janeiro 2023 - Valor Real'!C3:C15,0))+O623))))</f>
        <v>11.21</v>
      </c>
      <c r="Q623" s="279">
        <f>IF(K623="","",IF(_xlfn.XLOOKUP(K623,K$120:K402,DJ$120:DJ402,0,,-1)=DJ623,_xlfn.XLOOKUP(K623,K$120:K402,Q$120:Q402,1,,-1)+1,1))</f>
        <v>1</v>
      </c>
      <c r="R623" s="280">
        <f>IF(K623="","",_xlfn.XLOOKUP(K623,K$120:K402,R$120:R402,0,,-1)+IF($C623=" ",1,0))</f>
        <v>0</v>
      </c>
      <c r="S623" s="125"/>
      <c r="T623" s="126"/>
      <c r="U623" s="126"/>
      <c r="V623" s="224"/>
      <c r="W623" s="126"/>
      <c r="X623" s="127"/>
      <c r="Y623" s="128"/>
      <c r="Z623" s="129"/>
      <c r="AA623" s="129"/>
      <c r="AB623" s="129"/>
      <c r="AC623" s="129"/>
      <c r="AD623" s="130"/>
      <c r="AE623" s="131">
        <f>IF(L623="","",IF(L624&gt;0,(SUM(((L622-1)*(1-_xlfn.XLOOKUP(K622,'Janeiro 2023 - Valor Real'!A3:A15,'Janeiro 2023 - Valor Real'!C3:C15,0))+1),((L623-1)*(1-_xlfn.XLOOKUP(K623,'Janeiro 2023 - Valor Real'!A3:A15,'Janeiro 2023 - Valor Real'!C3:C15,0))+1),((L624-1)*(1-_xlfn.XLOOKUP(K624,'Janeiro 2023 - Valor Real'!A3:A15,'Janeiro 2023 - Valor Real'!C3:C15,0))+1))/((L623-1)*(1-_xlfn.XLOOKUP(K623,'Janeiro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Real'!C3:C15,0))+1))/((L622-1)*(1-_xlfn.XLOOKUP(K622,'Janeiro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Real'!C3:C15,0))+1))/((L623-1)*(1-_xlfn.XLOOKUP(K623,'Janeiro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Real'!C3:C15,0))+1))/((L624-1)*(1-_xlfn.XLOOKUP(K624,'Janeiro 2023 - Valor Real'!A3:A15,'Janeiro 2023 - Valor Real'!C3:C15,0))+1)),IF(I623="Lay",IF(I622="Lay",((L622/(L622-1)-1)*(1-_xlfn.XLOOKUP(K622,'Janeiro 2023 - Valor Real'!A3:A15,'Janeiro 2023 - Valor Real'!C3:C15,0))+1)/(((L622/(L622-1)-1)*(1-_xlfn.XLOOKUP(K622,'Janeiro 2023 - Valor Real'!A3:A15,'Janeiro 2023 - Valor Real'!C3:C15,0))+1)+((L623/(L623-1)-1)*(1-_xlfn.XLOOKUP(K623,'Janeiro 2023 - Valor Real'!A3:A15,'Janeiro 2023 - Valor Real'!C3:C15,0))+1)),((L622-1)*(1-_xlfn.XLOOKUP(K622,'Janeiro 2023 - Valor Real'!A3:A15,'Janeiro 2023 - Valor Real'!C3:C15,0))+1)/(((L622-1)*(1-_xlfn.XLOOKUP(K622,'Janeiro 2023 - Valor Real'!A3:A15,'Janeiro 2023 - Valor Real'!C3:C15,0))+1)+((L623/(L623-1)-1)*(1-_xlfn.XLOOKUP(K623,'Janeiro 2023 - Valor Real'!A3:A15,'Janeiro 2023 - Valor Real'!C3:C15,0))+1))),IF(I622="Lay",((L622/(L622-1)-1)*(1-_xlfn.XLOOKUP(K622,'Janeiro 2023 - Valor Real'!A3:A15,'Janeiro 2023 - Valor Real'!C3:C15,0))+1)/((((L622/(L622-1)-1)*(1-_xlfn.XLOOKUP(K622,'Janeiro 2023 - Valor Real'!A3:A15,'Janeiro 2023 - Valor Real'!C3:C15,0))+1))+((L623-1)*(1-_xlfn.XLOOKUP(K623,'Janeiro 2023 - Valor Real'!A3:A15,'Janeiro 2023 - Valor Real'!C3:C15,0))+1)),((L622-1)*(1-_xlfn.XLOOKUP(K622,'Janeiro 2023 - Valor Real'!A3:A15,'Janeiro 2023 - Valor Real'!C3:C15,0))+1)/(((L622-1)*(1-_xlfn.XLOOKUP(K622,'Janeiro 2023 - Valor Real'!A3:A15,'Janeiro 2023 - Valor Real'!C3:C15,0))+1)+((L623-1)*(1-_xlfn.XLOOKUP(K623,'Janeiro 2023 - Valor Real'!A3:A15,'Janeiro 2023 - Valor Real'!C3:C15,0))+1))))))</f>
        <v>0.376473930956102</v>
      </c>
      <c r="AF623" s="132">
        <f>IF($K623=AF$3,ROUND(IF(OR($C623="W",$C623="1/2W",$C623="1/2L"),$P623-$O623,IF($C623="X",0,-$O623)),2),0)</f>
        <v>0</v>
      </c>
      <c r="AG623" s="133">
        <f>IF($K623=AG$3,ROUND(IF(OR($C623="W",$C623="1/2W",$C623="1/2L"),$P623-$O623,IF($C623="X",0,-$O623)),2),0)</f>
        <v>-5.9</v>
      </c>
      <c r="AH623" s="133">
        <f>IF($K623=AH$3,ROUND(IF(OR($C623="W",$C623="1/2W",$C623="1/2L"),$P623-$O623,IF($C623="X",0,-$O623)),2),0)</f>
        <v>0</v>
      </c>
      <c r="AI623" s="133">
        <f>IF($K623=AI$3,ROUND(IF(OR($C623="W",$C623="1/2W",$C623="1/2L"),$P623-$O623,IF($C623="X",0,-$O623)),2),0)</f>
        <v>0</v>
      </c>
      <c r="AJ623" s="133">
        <f>IF($K623=AJ$3,ROUND(IF(OR($C623="W",$C623="1/2W",$C623="1/2L"),$P623-$O623,IF($C623="X",0,-$O623)),2),0)</f>
        <v>0</v>
      </c>
      <c r="AK623" s="133">
        <f>IF($K623=AK$3,ROUND(IF(OR($C623="W",$C623="1/2W",$C623="1/2L"),$P623-$O623,IF($C623="X",0,-$O623)),2),0)</f>
        <v>0</v>
      </c>
      <c r="AL623" s="133">
        <f>IF($K623=AL$3,ROUND(IF(OR($C623="W",$C623="1/2W",$C623="1/2L"),$P623-$O623,IF($C623="X",0,-$O623)),2),0)</f>
        <v>0</v>
      </c>
      <c r="AM623" s="133">
        <f>IF($K623=AM$3,ROUND(IF(OR($C623="W",$C623="1/2W",$C623="1/2L"),$P623-$O623,IF($C623="X",0,-$O623)),2),0)</f>
        <v>0</v>
      </c>
      <c r="AN623" s="133">
        <f>IF($K623=AN$3,ROUND(IF(OR($C623="W",$C623="1/2W",$C623="1/2L"),$P623-$O623,IF($C623="X",0,-$O623)),2),0)</f>
        <v>0</v>
      </c>
      <c r="AO623" s="133">
        <f>IF($K623=AO$3,ROUND(IF(OR($C623="W",$C623="1/2W",$C623="1/2L"),$P623-$O623,IF($C623="X",0,-$O623)),2),0)</f>
        <v>0</v>
      </c>
      <c r="AP623" s="133">
        <f>IF($K623=AP$3,ROUND(IF(OR($C623="W",$C623="1/2W",$C623="1/2L"),$P623-$O623,IF($C623="X",0,-$O623)),2),0)</f>
        <v>0</v>
      </c>
      <c r="AQ623" s="133">
        <f>IF($K623=AQ$3,ROUND(IF(OR($C623="W",$C623="1/2W",$C623="1/2L"),$P623-$O623,IF($C623="X",0,-$O623)),2),0)</f>
        <v>0</v>
      </c>
      <c r="AR623" s="134">
        <f>IF($K623=AR$3,ROUND(IF(OR($C623="W",$C623="1/2W",$C623="1/2L"),$P623-$O623,IF($C623="X",0,-$O623)),2),0)</f>
        <v>0</v>
      </c>
      <c r="AS623" s="132">
        <f>IF(AND($B622=" ",$K623=AS$3),$O623,0)</f>
        <v>0</v>
      </c>
      <c r="AT623" s="133">
        <f>IF(AND($B622=" ",K623=AT$3),$O623,0)</f>
        <v>0</v>
      </c>
      <c r="AU623" s="133">
        <f>IF(AND($B622=" ",$K623=AU$3),$O623,0)</f>
        <v>0</v>
      </c>
      <c r="AV623" s="133">
        <f>IF(AND($B622=" ",$K623=AV$3),$O623,0)</f>
        <v>0</v>
      </c>
      <c r="AW623" s="133">
        <f>IF(AND($B622=" ",$K623=AW$3),$O623,0)</f>
        <v>0</v>
      </c>
      <c r="AX623" s="133">
        <f>IF(AND($B622=" ",$K623=AX$3),$O623,0)</f>
        <v>0</v>
      </c>
      <c r="AY623" s="135">
        <f>IF(AND($B622=" ",$K623=AY$3),$O623,0)</f>
        <v>0</v>
      </c>
      <c r="AZ623" s="136">
        <f>IF(AND($B622=" ",$K623=AZ$3),$O623,0)</f>
        <v>0</v>
      </c>
      <c r="BA623" s="136">
        <f>IF(AND($B622=" ",$K623=BA$3),$O623,0)</f>
        <v>0</v>
      </c>
      <c r="BB623" s="136">
        <f>IF(AND($B622=" ",$K623=BB$3),$O623,0)</f>
        <v>0</v>
      </c>
      <c r="BC623" s="137">
        <f>IF(AND($B622=" ",$K623=BC$3),$O623,0)</f>
        <v>0</v>
      </c>
      <c r="BD623" s="133">
        <f>IF(AND($B622=" ",$K623=BD$3),$O623,0)</f>
        <v>0</v>
      </c>
      <c r="BE623" s="134">
        <f>IF(AND($B622=" ",$K623=BE$3),$O623,0)</f>
        <v>0</v>
      </c>
      <c r="BF623" s="132">
        <f>IF($K623=BF$3,IF($C623="X",0,$O623),0)</f>
        <v>0</v>
      </c>
      <c r="BG623" s="281">
        <f>IF($K623=BG$3,IF($C623="X",0,$O623),0)</f>
        <v>5.9</v>
      </c>
      <c r="BH623" s="133">
        <f>IF($K623=BH$3,IF($C623="X",0,$O623),0)</f>
        <v>0</v>
      </c>
      <c r="BI623" s="133">
        <f>IF($K623=BI$3,IF($C623="X",0,$O623),0)</f>
        <v>0</v>
      </c>
      <c r="BJ623" s="133">
        <f>IF($K623=BJ$3,IF($C623="X",0,$O623),0)</f>
        <v>0</v>
      </c>
      <c r="BK623" s="133">
        <f>IF($K623=BK$3,IF($C623="X",0,$O623),0)</f>
        <v>0</v>
      </c>
      <c r="BL623" s="133">
        <f>IF($K623=BL$3,IF($C623="X",0,$O623),0)</f>
        <v>0</v>
      </c>
      <c r="BM623" s="135">
        <f>IF($K623=BM$3,IF($C623="X",0,$O623),0)</f>
        <v>0</v>
      </c>
      <c r="BN623" s="136">
        <f>IF($K623=BN$3,IF($C623="X",0,$O623),0)</f>
        <v>0</v>
      </c>
      <c r="BO623" s="136">
        <f>IF($K623=BO$3,IF($C623="X",0,$O623),0)</f>
        <v>0</v>
      </c>
      <c r="BP623" s="136">
        <f>IF($K623=BP$3,IF($C623="X",0,$O623),0)</f>
        <v>0</v>
      </c>
      <c r="BQ623" s="137">
        <f>IF($K623=BQ$3,IF($C623="X",0,$O623),0)</f>
        <v>0</v>
      </c>
      <c r="BR623" s="134">
        <f>IF($K623=BR$3,IF($C623="X",0,$O623),0)</f>
        <v>0</v>
      </c>
      <c r="BS623" s="282"/>
      <c r="BT623" s="283"/>
      <c r="BU623" s="140"/>
      <c r="BV623" s="283"/>
      <c r="BW623" s="140"/>
      <c r="BX623" s="140"/>
      <c r="BY623" s="140"/>
      <c r="BZ623" s="283"/>
      <c r="CA623" s="140"/>
      <c r="CB623" s="140"/>
      <c r="CC623" s="140"/>
      <c r="CD623" s="141"/>
      <c r="CE623" s="142"/>
      <c r="CF623" s="284">
        <f>IF(CF$3=$K623,IF($C623="W",1,IF($C623="1/2W",0.5,0)),0)</f>
        <v>0</v>
      </c>
      <c r="CG623" s="285">
        <f>IF(CF$3=$K623,IF($C623="L",1,IF($C623="1/2L",0.5,0)),0)</f>
        <v>0</v>
      </c>
      <c r="CH623" s="285">
        <f>IF(CH$3=$K623,IF($C623="W",1,IF($C623="1/2W",0.5,0)),0)</f>
        <v>0</v>
      </c>
      <c r="CI623" s="285">
        <f>IF(CH$3=$K623,IF($C623="L",1,IF($C623="1/2L",0.5,0)),0)</f>
        <v>1</v>
      </c>
      <c r="CJ623" s="285">
        <f>IF(CJ$3=$K623,IF($C623="W",1,IF($C623="1/2W",0.5,0)),0)</f>
        <v>0</v>
      </c>
      <c r="CK623" s="285">
        <f>IF(CJ$3=$K623,IF($C623="L",1,IF($C623="1/2L",0.5,0)),0)</f>
        <v>0</v>
      </c>
      <c r="CL623" s="285">
        <f>IF(CL$3=$K623,IF($C623="W",1,IF($C623="1/2W",0.5,0)),0)</f>
        <v>0</v>
      </c>
      <c r="CM623" s="285">
        <f>IF(CL$3=$K623,IF($C623="L",1,IF($C623="1/2L",0.5,0)),0)</f>
        <v>0</v>
      </c>
      <c r="CN623" s="285">
        <f>IF(CN$3=$K623,IF($C623="W",1,IF($C623="1/2W",0.5,0)),0)</f>
        <v>0</v>
      </c>
      <c r="CO623" s="285">
        <f>IF(CN$3=$K623,IF($C623="L",1,IF($C623="1/2L",0.5,0)),0)</f>
        <v>0</v>
      </c>
      <c r="CP623" s="285">
        <f>IF(CP$3=$K623,IF($C623="W",1,IF($C623="1/2W",0.5,0)),0)</f>
        <v>0</v>
      </c>
      <c r="CQ623" s="285">
        <f>IF(CP$3=$K623,IF($C623="L",1,IF($C623="1/2L",0.5,0)),0)</f>
        <v>0</v>
      </c>
      <c r="CR623" s="285">
        <f>IF(CR$3=$K623,IF($C623="W",1,IF($C623="1/2W",0.5,0)),0)</f>
        <v>0</v>
      </c>
      <c r="CS623" s="285">
        <f>IF(CR$3=$K623,IF($C623="L",1,IF($C623="1/2L",0.5,0)),0)</f>
        <v>0</v>
      </c>
      <c r="CT623" s="145">
        <f>IF(CT$3=$K623,IF($C623="W",1,IF($C623="1/2W",0.5,0)),0)</f>
        <v>0</v>
      </c>
      <c r="CU623" s="146">
        <f>IF(CT$3=$K623,IF($C623="L",1,IF($C623="1/2L",0.5,0)),0)</f>
        <v>0</v>
      </c>
      <c r="CV623" s="146">
        <f>IF(CV$3=$K623,IF($C623="W",1,IF($C623="1/2W",0.5,0)),0)</f>
        <v>0</v>
      </c>
      <c r="CW623" s="146">
        <f>IF(CV$3=$K623,IF($C623="L",1,IF($C623="1/2L",0.5,0)),0)</f>
        <v>0</v>
      </c>
      <c r="CX623" s="146">
        <f>IF(CX$3=$K623,IF($C623="W",1,IF($C623="1/2W",0.5,0)),0)</f>
        <v>0</v>
      </c>
      <c r="CY623" s="146">
        <f>IF(CX$3=$K623,IF($C623="L",1,IF($C623="1/2L",0.5,0)),0)</f>
        <v>0</v>
      </c>
      <c r="CZ623" s="146">
        <f>IF(CZ$3=$K623,IF($C623="W",1,IF($C623="1/2W",0.5,0)),0)</f>
        <v>0</v>
      </c>
      <c r="DA623" s="146">
        <f>IF(CZ$3=$K623,IF($C623="L",1,IF($C623="1/2L",0.5,0)),0)</f>
        <v>0</v>
      </c>
      <c r="DB623" s="146">
        <f>IF(DB$3=$K623,IF($C623="W",1,IF($C623="1/2W",0.5,0)),0)</f>
        <v>0</v>
      </c>
      <c r="DC623" s="146">
        <f>IF(DB$3=$K623,IF($C623="L",1,IF($C623="1/2L",0.5,0)),0)</f>
        <v>0</v>
      </c>
      <c r="DD623" s="146">
        <f>IF(DD$3=$K623,IF($C623="W",1,IF($C623="1/2W",0.5,0)),0)</f>
        <v>0</v>
      </c>
      <c r="DE623" s="147">
        <f>IF(DD$3=$K623,IF($C623="L",1,IF($C623="1/2L",0.5,0)),0)</f>
        <v>0</v>
      </c>
      <c r="DF623" s="143">
        <f>IF(AND(L623&lt;DF$3,$C623="W"),1+DF622,DF622)</f>
        <v>17</v>
      </c>
      <c r="DG623" s="133">
        <f>IF(DF623&gt;DF622,L623+DG622,DG622)</f>
        <v>22.628</v>
      </c>
      <c r="DH623" s="146">
        <f>IF(AND(L623&gt;DH$3,$C623="W"),1+DH622,0+DH622)</f>
        <v>16</v>
      </c>
      <c r="DI623" s="133">
        <f>IF(DH623&gt;DH622,L623+DI622,DI622)</f>
        <v>85.45999999999999</v>
      </c>
      <c r="DJ623" t="s" s="304">
        <f>IF($D622="","",$D622)</f>
        <v>431</v>
      </c>
      <c r="DK623" s="286"/>
    </row>
    <row r="624" ht="14.55" customHeight="1">
      <c r="A624" s="149"/>
      <c r="B624" s="150"/>
      <c r="C624" t="s" s="151">
        <v>51</v>
      </c>
      <c r="D624" s="152"/>
      <c r="E624" s="153"/>
      <c r="F624" s="155"/>
      <c r="G624" s="252"/>
      <c r="H624" s="156"/>
      <c r="I624" t="s" s="347">
        <v>65</v>
      </c>
      <c r="J624" s="348">
        <v>8.5</v>
      </c>
      <c r="K624" t="s" s="341">
        <v>38</v>
      </c>
      <c r="L624" s="342">
        <v>2.5</v>
      </c>
      <c r="M624" s="290">
        <v>4</v>
      </c>
      <c r="N624" s="161"/>
      <c r="O624" s="343">
        <f>IF(OR(AE622="",AE623=""),"",IF(L624&gt;0,ROUND(IF(M624&gt;0,M624,IF(M622&gt;0,ROUND((M622*AE624)/AE622,IF(N622=0,2,IF(N622=0.1,1,0))),IF(M623&gt;0,ROUND((M623*AE624)/AE623,IF(N622=0,2,IF(N622=0.1,1,0))),IF(M624&gt;0,M624,0)))),2),""))</f>
        <v>4</v>
      </c>
      <c r="P624" s="297">
        <f>IF(I623="Lay",O623*(L623/(L623-1))-O623,IF(I622="Lay",O622*(L622/(L622-1))-O622,IF(OR(L624="",O624=""),"",IF($C624="1/2W",O624/2+O624/2*L624,IF($C624="1/2L",O624/2,(O624*L624-O624)*(1-_xlfn.XLOOKUP(K624,'Janeiro 2023 - Valor Real'!A3:A15,'Janeiro 2023 - Valor Real'!C3:C15,0))+O624)))))</f>
        <v>10</v>
      </c>
      <c r="Q624" s="344">
        <f>IF(K624="","",IF(_xlfn.XLOOKUP(K624,K$121:K403,DJ$121:DJ403,0,,-1)=DJ624,_xlfn.XLOOKUP(K624,K$121:K403,Q$121:Q403,1,,-1)+1,1))</f>
        <v>1</v>
      </c>
      <c r="R624" s="345">
        <f>IF(K624="","",_xlfn.XLOOKUP(K624,K$121:K403,R$121:R403,0,,-1)+IF($C624=" ",1,0))</f>
        <v>0</v>
      </c>
      <c r="S624" s="166"/>
      <c r="T624" s="155"/>
      <c r="U624" s="155"/>
      <c r="V624" s="166"/>
      <c r="W624" s="155"/>
      <c r="X624" s="167"/>
      <c r="Y624" s="128"/>
      <c r="Z624" s="129"/>
      <c r="AA624" s="129"/>
      <c r="AB624" s="129"/>
      <c r="AC624" s="129"/>
      <c r="AD624" s="168"/>
      <c r="AE624" s="346">
        <f>IF(L624="","",(SUM(((L622-1)*(1-_xlfn.XLOOKUP(K622,'Janeiro 2023 - Valor Real'!A3:A15,'Janeiro 2023 - Valor Real'!C3:C15,0))+1),((L623-1)*(1-_xlfn.XLOOKUP(K623,'Janeiro 2023 - Valor Real'!A3:A15,'Janeiro 2023 - Valor Real'!C3:C15,0))+1),((L624-1)*(1-_xlfn.XLOOKUP(K624,'Janeiro 2023 - Valor Real'!A3:A15,'Janeiro 2023 - Valor Real'!C3:C15,0))+1))/((L624-1)*(1-_xlfn.XLOOKUP(K624,'Janeiro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Real'!C3:C15,0))+1))/((L622-1)*(1-_xlfn.XLOOKUP(K622,'Janeiro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Real'!C3:C15,0))+1))/((L623-1)*(1-_xlfn.XLOOKUP(K623,'Janeiro 2023 - Valor Real'!A3:A15,'Janeiro 2023 - Valor Real'!C3:C15,0))+1)+SUM(((L622-1)*(1-_xlfn.XLOOKUP(K622,'Janeiro 2023 - Valor Real'!A3:A15,'Janeiro 2023 - Valor Real'!C3:C15,0))+1),((L623-1)*(1-_xlfn.XLOOKUP(K623,'Janeiro 2023 - Valor Real'!A3:A15,'Janeiro 2023 - Valor Real'!C3:C15,0))+1),((L624-1)*(1-_xlfn.XLOOKUP(K624,'Janeiro 2023 - Valor Real'!A3:A15,'Janeiro 2023 - Valor Real'!C3:C15,0))+1))/((L624-1)*(1-_xlfn.XLOOKUP(K624,'Janeiro 2023 - Valor Real'!A3:A15,'Janeiro 2023 - Valor Real'!C3:C15,0))+1)))</f>
        <v>0.286120187526637</v>
      </c>
      <c r="AF624" s="132">
        <f>IF($K624=AF$3,ROUND(IF(OR($C624="W",$C624="1/2W",$C624="1/2L"),$P624-$O624,IF($C624="X",0,-$O624)),2),0)</f>
        <v>0</v>
      </c>
      <c r="AG624" s="133">
        <f>IF($K624=AG$3,ROUND(IF(OR($C624="W",$C624="1/2W",$C624="1/2L"),$P624-$O624,IF($C624="X",0,-$O624)),2),0)</f>
        <v>-4</v>
      </c>
      <c r="AH624" s="133">
        <f>IF($K624=AH$3,ROUND(IF(OR($C624="W",$C624="1/2W",$C624="1/2L"),$P624-$O624,IF($C624="X",0,-$O624)),2),0)</f>
        <v>0</v>
      </c>
      <c r="AI624" s="133">
        <f>IF($K624=AI$3,ROUND(IF(OR($C624="W",$C624="1/2W",$C624="1/2L"),$P624-$O624,IF($C624="X",0,-$O624)),2),0)</f>
        <v>0</v>
      </c>
      <c r="AJ624" s="133">
        <f>IF($K624=AJ$3,ROUND(IF(OR($C624="W",$C624="1/2W",$C624="1/2L"),$P624-$O624,IF($C624="X",0,-$O624)),2),0)</f>
        <v>0</v>
      </c>
      <c r="AK624" s="133">
        <f>IF($K624=AK$3,ROUND(IF(OR($C624="W",$C624="1/2W",$C624="1/2L"),$P624-$O624,IF($C624="X",0,-$O624)),2),0)</f>
        <v>0</v>
      </c>
      <c r="AL624" s="133">
        <f>IF($K624=AL$3,ROUND(IF(OR($C624="W",$C624="1/2W",$C624="1/2L"),$P624-$O624,IF($C624="X",0,-$O624)),2),0)</f>
        <v>0</v>
      </c>
      <c r="AM624" s="133">
        <f>IF($K624=AM$3,ROUND(IF(OR($C624="W",$C624="1/2W",$C624="1/2L"),$P624-$O624,IF($C624="X",0,-$O624)),2),0)</f>
        <v>0</v>
      </c>
      <c r="AN624" s="133">
        <f>IF($K624=AN$3,ROUND(IF(OR($C624="W",$C624="1/2W",$C624="1/2L"),$P624-$O624,IF($C624="X",0,-$O624)),2),0)</f>
        <v>0</v>
      </c>
      <c r="AO624" s="133">
        <f>IF($K624=AO$3,ROUND(IF(OR($C624="W",$C624="1/2W",$C624="1/2L"),$P624-$O624,IF($C624="X",0,-$O624)),2),0)</f>
        <v>0</v>
      </c>
      <c r="AP624" s="133">
        <f>IF($K624=AP$3,ROUND(IF(OR($C624="W",$C624="1/2W",$C624="1/2L"),$P624-$O624,IF($C624="X",0,-$O624)),2),0)</f>
        <v>0</v>
      </c>
      <c r="AQ624" s="133">
        <f>IF($K624=AQ$3,ROUND(IF(OR($C624="W",$C624="1/2W",$C624="1/2L"),$P624-$O624,IF($C624="X",0,-$O624)),2),0)</f>
        <v>0</v>
      </c>
      <c r="AR624" s="134">
        <f>IF($K624=AR$3,ROUND(IF(OR($C624="W",$C624="1/2W",$C624="1/2L"),$P624-$O624,IF($C624="X",0,-$O624)),2),0)</f>
        <v>0</v>
      </c>
      <c r="AS624" s="132">
        <f>IF(AND($B622=" ",$K624=AS$3),$O624,0)</f>
        <v>0</v>
      </c>
      <c r="AT624" s="133">
        <f>IF(AND($B622=" ",K624=AT$3),$O624,0)</f>
        <v>0</v>
      </c>
      <c r="AU624" s="133">
        <f>IF(AND($B622=" ",$K624=AU$3),$O624,0)</f>
        <v>0</v>
      </c>
      <c r="AV624" s="133">
        <f>IF(AND($B622=" ",$K624=AV$3),$O624,0)</f>
        <v>0</v>
      </c>
      <c r="AW624" s="133">
        <f>IF(AND($B622=" ",$K624=AW$3),$O624,0)</f>
        <v>0</v>
      </c>
      <c r="AX624" s="133">
        <f>IF(AND($B622=" ",$K624=AX$3),$O624,0)</f>
        <v>0</v>
      </c>
      <c r="AY624" s="135">
        <f>IF(AND($B622=" ",$K624=AY$3),$O624,0)</f>
        <v>0</v>
      </c>
      <c r="AZ624" s="136">
        <f>IF(AND($B622=" ",$K624=AZ$3),$O624,0)</f>
        <v>0</v>
      </c>
      <c r="BA624" s="136">
        <f>IF(AND($B622=" ",$K624=BA$3),$O624,0)</f>
        <v>0</v>
      </c>
      <c r="BB624" s="136">
        <f>IF(AND($B622=" ",$K624=BB$3),$O624,0)</f>
        <v>0</v>
      </c>
      <c r="BC624" s="137">
        <f>IF(AND($B622=" ",$K624=BC$3),$O624,0)</f>
        <v>0</v>
      </c>
      <c r="BD624" s="133">
        <f>IF(AND($B622=" ",$K624=BD$3),$O624,0)</f>
        <v>0</v>
      </c>
      <c r="BE624" s="134">
        <f>IF(AND($B622=" ",$K624=BE$3),$O624,0)</f>
        <v>0</v>
      </c>
      <c r="BF624" s="132">
        <f>IF($K624=BF$3,IF($C624="X",0,$O624),0)</f>
        <v>0</v>
      </c>
      <c r="BG624" s="281">
        <f>IF($K624=BG$3,IF($C624="X",0,$O624),0)</f>
        <v>4</v>
      </c>
      <c r="BH624" s="133">
        <f>IF($K624=BH$3,IF($C624="X",0,$O624),0)</f>
        <v>0</v>
      </c>
      <c r="BI624" s="133">
        <f>IF($K624=BI$3,IF($C624="X",0,$O624),0)</f>
        <v>0</v>
      </c>
      <c r="BJ624" s="133">
        <f>IF($K624=BJ$3,IF($C624="X",0,$O624),0)</f>
        <v>0</v>
      </c>
      <c r="BK624" s="133">
        <f>IF($K624=BK$3,IF($C624="X",0,$O624),0)</f>
        <v>0</v>
      </c>
      <c r="BL624" s="133">
        <f>IF($K624=BL$3,IF($C624="X",0,$O624),0)</f>
        <v>0</v>
      </c>
      <c r="BM624" s="135">
        <f>IF($K624=BM$3,IF($C624="X",0,$O624),0)</f>
        <v>0</v>
      </c>
      <c r="BN624" s="136">
        <f>IF($K624=BN$3,IF($C624="X",0,$O624),0)</f>
        <v>0</v>
      </c>
      <c r="BO624" s="136">
        <f>IF($K624=BO$3,IF($C624="X",0,$O624),0)</f>
        <v>0</v>
      </c>
      <c r="BP624" s="136">
        <f>IF($K624=BP$3,IF($C624="X",0,$O624),0)</f>
        <v>0</v>
      </c>
      <c r="BQ624" s="137">
        <f>IF($K624=BQ$3,IF($C624="X",0,$O624),0)</f>
        <v>0</v>
      </c>
      <c r="BR624" s="134">
        <f>IF($K624=BR$3,IF($C624="X",0,$O624),0)</f>
        <v>0</v>
      </c>
      <c r="BS624" s="282"/>
      <c r="BT624" s="283"/>
      <c r="BU624" s="140"/>
      <c r="BV624" s="283"/>
      <c r="BW624" s="140"/>
      <c r="BX624" s="140"/>
      <c r="BY624" s="140"/>
      <c r="BZ624" s="283"/>
      <c r="CA624" s="140"/>
      <c r="CB624" s="140"/>
      <c r="CC624" s="140"/>
      <c r="CD624" s="141"/>
      <c r="CE624" s="142"/>
      <c r="CF624" s="284">
        <f>IF(CF$3=$K624,IF($C624="W",1,IF($C624="1/2W",0.5,0)),0)</f>
        <v>0</v>
      </c>
      <c r="CG624" s="285">
        <f>IF(CF$3=$K624,IF($C624="L",1,IF($C624="1/2L",0.5,0)),0)</f>
        <v>0</v>
      </c>
      <c r="CH624" s="285">
        <f>IF(CH$3=$K624,IF($C624="W",1,IF($C624="1/2W",0.5,0)),0)</f>
        <v>0</v>
      </c>
      <c r="CI624" s="285">
        <f>IF(CH$3=$K624,IF($C624="L",1,IF($C624="1/2L",0.5,0)),0)</f>
        <v>1</v>
      </c>
      <c r="CJ624" s="285">
        <f>IF(CJ$3=$K624,IF($C624="W",1,IF($C624="1/2W",0.5,0)),0)</f>
        <v>0</v>
      </c>
      <c r="CK624" s="285">
        <f>IF(CJ$3=$K624,IF($C624="L",1,IF($C624="1/2L",0.5,0)),0)</f>
        <v>0</v>
      </c>
      <c r="CL624" s="285">
        <f>IF(CL$3=$K624,IF($C624="W",1,IF($C624="1/2W",0.5,0)),0)</f>
        <v>0</v>
      </c>
      <c r="CM624" s="285">
        <f>IF(CL$3=$K624,IF($C624="L",1,IF($C624="1/2L",0.5,0)),0)</f>
        <v>0</v>
      </c>
      <c r="CN624" s="285">
        <f>IF(CN$3=$K624,IF($C624="W",1,IF($C624="1/2W",0.5,0)),0)</f>
        <v>0</v>
      </c>
      <c r="CO624" s="285">
        <f>IF(CN$3=$K624,IF($C624="L",1,IF($C624="1/2L",0.5,0)),0)</f>
        <v>0</v>
      </c>
      <c r="CP624" s="285">
        <f>IF(CP$3=$K624,IF($C624="W",1,IF($C624="1/2W",0.5,0)),0)</f>
        <v>0</v>
      </c>
      <c r="CQ624" s="285">
        <f>IF(CP$3=$K624,IF($C624="L",1,IF($C624="1/2L",0.5,0)),0)</f>
        <v>0</v>
      </c>
      <c r="CR624" s="285">
        <f>IF(CR$3=$K624,IF($C624="W",1,IF($C624="1/2W",0.5,0)),0)</f>
        <v>0</v>
      </c>
      <c r="CS624" s="285">
        <f>IF(CR$3=$K624,IF($C624="L",1,IF($C624="1/2L",0.5,0)),0)</f>
        <v>0</v>
      </c>
      <c r="CT624" s="145">
        <f>IF(CT$3=$K624,IF($C624="W",1,IF($C624="1/2W",0.5,0)),0)</f>
        <v>0</v>
      </c>
      <c r="CU624" s="146">
        <f>IF(CT$3=$K624,IF($C624="L",1,IF($C624="1/2L",0.5,0)),0)</f>
        <v>0</v>
      </c>
      <c r="CV624" s="146">
        <f>IF(CV$3=$K624,IF($C624="W",1,IF($C624="1/2W",0.5,0)),0)</f>
        <v>0</v>
      </c>
      <c r="CW624" s="146">
        <f>IF(CV$3=$K624,IF($C624="L",1,IF($C624="1/2L",0.5,0)),0)</f>
        <v>0</v>
      </c>
      <c r="CX624" s="146">
        <f>IF(CX$3=$K624,IF($C624="W",1,IF($C624="1/2W",0.5,0)),0)</f>
        <v>0</v>
      </c>
      <c r="CY624" s="146">
        <f>IF(CX$3=$K624,IF($C624="L",1,IF($C624="1/2L",0.5,0)),0)</f>
        <v>0</v>
      </c>
      <c r="CZ624" s="146">
        <f>IF(CZ$3=$K624,IF($C624="W",1,IF($C624="1/2W",0.5,0)),0)</f>
        <v>0</v>
      </c>
      <c r="DA624" s="146">
        <f>IF(CZ$3=$K624,IF($C624="L",1,IF($C624="1/2L",0.5,0)),0)</f>
        <v>0</v>
      </c>
      <c r="DB624" s="146">
        <f>IF(DB$3=$K624,IF($C624="W",1,IF($C624="1/2W",0.5,0)),0)</f>
        <v>0</v>
      </c>
      <c r="DC624" s="146">
        <f>IF(DB$3=$K624,IF($C624="L",1,IF($C624="1/2L",0.5,0)),0)</f>
        <v>0</v>
      </c>
      <c r="DD624" s="146">
        <f>IF(DD$3=$K624,IF($C624="W",1,IF($C624="1/2W",0.5,0)),0)</f>
        <v>0</v>
      </c>
      <c r="DE624" s="147">
        <f>IF(DD$3=$K624,IF($C624="L",1,IF($C624="1/2L",0.5,0)),0)</f>
        <v>0</v>
      </c>
      <c r="DF624" s="143">
        <f>IF(AND(L624&lt;DF$3,$C624="W"),1+DF623,DF623)</f>
        <v>17</v>
      </c>
      <c r="DG624" s="133">
        <f>IF(DF624&gt;DF623,L624+DG623,DG623)</f>
        <v>22.628</v>
      </c>
      <c r="DH624" s="146">
        <f>IF(AND(L624&gt;DH$3,$C624="W"),1+DH623,0+DH623)</f>
        <v>16</v>
      </c>
      <c r="DI624" s="133">
        <f>IF(DH624&gt;DH623,L624+DI623,DI623)</f>
        <v>85.45999999999999</v>
      </c>
      <c r="DJ624" t="s" s="304">
        <f>IF($D622="","",$D622)</f>
        <v>431</v>
      </c>
      <c r="DK624" s="286"/>
    </row>
    <row r="625" ht="14.55" customHeight="1">
      <c r="A625" s="171">
        <f>$A622+1</f>
        <v>208</v>
      </c>
      <c r="B625" t="s" s="172">
        <f>IF(AND(_xlfn.XLOOKUP(H625,H$122:H398,G$122:G398,0)=G625,_xlfn.XLOOKUP("TempoBet",K625:K627,L625:L627,0)&gt;0),"X",IF(OR(C625="W",C626="W",C627="W",C625="1/2W",C626="1/2W",C627="1/2W",C625="1/2L",C626="1/2L",C627="1/2L"),"OK",IF(OR(C625="L",C626="L",C627="L"),"LOSS",IF(OR(C625="X",C626="X",C627="X"),"Anulado"," "))))</f>
        <v>50</v>
      </c>
      <c r="C625" t="s" s="173">
        <v>56</v>
      </c>
      <c r="D625" t="s" s="305">
        <f>IF(G625="","",$D622)</f>
        <v>431</v>
      </c>
      <c r="E625" t="s" s="175">
        <f>IF(G625=""," ","– "&amp;COUNTIF(D$4:D627,$D625))</f>
        <v>145</v>
      </c>
      <c r="F625" t="s" s="176">
        <f>IF(G625="","",IF(OR(AND($C625&lt;&gt;" ",$C626=" "),AND($C626&lt;&gt;" ",$C625=" "),AND(L627&gt;0,OR(AND($C627&lt;&gt;" ",OR($C625=" ",$C626=" ")),AND($C627=" ",OR($C625&lt;&gt;" ",$C626&lt;&gt;" "))))),IF(SUM(F$4:F624)=0,1,LARGE(F$4:F624,1)+1),IF(MONTH(G625)=MONTH(TODAY()),IF(AND(DAY(G625)&lt;DAY(TODAY()),$B625=" "),IF(SUM(F$4:F624)=0,1,LARGE(F$4:F624,1)+1),IF($B625=" ",IF(AND(DAY(G625)=DAY(TODAY()),HOUR(G625)&lt;=HOUR(NOW())+1),IF(AND(HOUR(G625)+2&lt;=HOUR(NOW()),DAY(G625)&lt;=DAY(TODAY()),MINUTE(G625)&lt;=MINUTE(NOW())),IF(SUM(F$4:F624)=0,1,LARGE(F$4:F624,1)+1),IF(OR(MINUTE(G625)&lt;=MINUTE(NOW()),HOUR(G625)&lt;=HOUR(NOW())),"!!!","")),""),"")),"")))</f>
      </c>
      <c r="G625" s="177">
        <v>44954.75</v>
      </c>
      <c r="H625" t="s" s="178">
        <v>458</v>
      </c>
      <c r="I625" t="s" s="179">
        <v>65</v>
      </c>
      <c r="J625" s="291">
        <v>6.5</v>
      </c>
      <c r="K625" t="s" s="181">
        <v>38</v>
      </c>
      <c r="L625" s="182">
        <v>2.2</v>
      </c>
      <c r="M625" s="183">
        <v>5.44</v>
      </c>
      <c r="N625" s="184">
        <v>0.1</v>
      </c>
      <c r="O625" s="185">
        <f>IF(OR(AE625="",AE626=""),"",ROUND(IF(L627&gt;0,IF(M625&gt;0,M625,IF(M626&gt;0,ROUND((M626*AE625)/AE626,IF(N625=0,2,IF(N625=0.1,1,0))),ROUND((M627*AE625)/AE627,IF(N625=0,2,IF(N625=0.1,1,0))))),IF(M625&gt;0,M625,ROUND((M626*AE625)/AE626,IF(N625=0,2,IF(N625=0.1,1,0))))),2))</f>
        <v>5.44</v>
      </c>
      <c r="P625" s="186">
        <f>IF(OR(L625="",O625=""),"",IF($C625="1/2W",O625/2+O625/2*L625,IF($C625="1/2L",O625/2,IF(I625="Lay",(O625*(L625/(L625-1))-O625)*(1-_xlfn.XLOOKUP(K625,'Janeiro 2023 - Valor Real'!A3:A15,'Janeiro 2023 - Valor Real'!C3:C15,0))+O625,(O625*L625-O625)*(1-_xlfn.XLOOKUP(K625,'Janeiro 2023 - Valor Real'!A3:A15,'Janeiro 2023 - Valor Real'!C3:C15,0))+O625))))</f>
        <v>11.968</v>
      </c>
      <c r="Q625" s="187">
        <f>IF(K625="","",IF(_xlfn.XLOOKUP(K625,K$122:K398,DJ$122:DJ398,0,,-1)=DJ625,_xlfn.XLOOKUP(K625,K$122:K398,Q$122:Q398,1,,-1)+1,1))</f>
        <v>1</v>
      </c>
      <c r="R625" s="188">
        <f>IF(K625="","",_xlfn.XLOOKUP(K625,K$122:K398,R$122:R398,0,,-1)+IF($C625=" ",1,0))</f>
        <v>0</v>
      </c>
      <c r="S625" s="189">
        <f>IF($B625="Anulado",0,ROUND(IF(OR($B625="LOSS",$B625="OK"),IF(OR($C625="W",$C625="1/2W",$C625="1/2L"),P625-O625,IF($C625="L",-O625,0))+IF(OR($C626="W",$C626="1/2W",$C626="1/2L"),P626-O626,IF($C626="L",-O626,0))+IF(OR($C627="W",$C627="1/2W",$C627="1/2L"),P627-O627,IF($C627="L",-O627,0)),IF(AND(OR($C625="W",$C625="1/2W",$C625="1/2L"),C626="W"),P625+P626-SUM(O625:O627)+_xlfn.XLOOKUP("X",C625:C627,O625:O627,0),IF(AND(C625=TRUE,C627="W"),P625+P627-SUM(O625:O627),IF(AND(C626="W",C627="W"),P626+P627-SUM(O625:O627)+_xlfn.XLOOKUP("X",C625:C627,O625:O627,0),IF(L627&gt;0,IF(OR($C625="W",$C625="1/2W",$C625="1/2L"),P625-SUM(O625:O627)+_xlfn.XLOOKUP("X",C625:C627,O625:O627,0),IF(OR($C625="W",$C625="1/2W",$C625="1/2L"),P626-SUM(O625:O627)+_xlfn.XLOOKUP("X",C625:C627,O625:O627,0),IF(OR($C625="W",$C625="1/2W",$C625="1/2L"),P627-SUM(O625:O627)+_xlfn.XLOOKUP("X",C625:C627,O625:O627,0),IF(SUM(P625:P627)/3-SUM(O625:O627)+_xlfn.XLOOKUP("X",C625:C627,O625:O627,0)&gt;0,SUM(P625:P627)/3-SUM(O625:O627)+_xlfn.XLOOKUP("X",C625:C627,O625:O627,0),LARGE(P625:P627,1)-SUM(O625:O627))))),IF(OR($C625="W",$C625="1/2W",$C625="1/2L"),P625-SUM(O625:O626)+_xlfn.XLOOKUP("X",C625:C627,O625:O627,0),IF(OR($C625="W",$C625="1/2W",$C625="1/2L"),P626-SUM(O625:O626)+_xlfn.XLOOKUP("X",C625:C627,O625:O627,0),SUM(P625:P626)/2-SUM(O625:O626)+_xlfn.XLOOKUP("X",C625:C627,O625:O627,0)))))))),2))</f>
        <v>0.53</v>
      </c>
      <c r="T625" s="190">
        <f>IF(S625=0,0,S625/SUM(O625:O627))</f>
        <v>0.0463286713286713</v>
      </c>
      <c r="U625" s="191">
        <f>IF($D625=$D622,IF(OR($B625="LOSS",$B625="OK",$B625="Anulada"),S625,0)+U622,IF(OR($B625="LOSS",$B625="OK",$B625="Anulada"),S625,0))</f>
        <v>24.37</v>
      </c>
      <c r="V625" s="191">
        <f>IF($D625="",0,IF($D625=$D622,IF($B625=" ",IF(I627="",IF(OR(AND(I625="DNB1",I626="DNB2"),AND(OR(I625="DNB1",I625="DNB2"),J626=0),AND(OR(I626="DNB1",I626="DNB2"),J625=0),AND(I625="DNB2",I626="DNB1"),AND(IF(J625=0,(J625+1)/ROUND(J625+1,0),J625/ROUND(J625,0))=1,IF(J626=0,(J626+1)/ROUND(IF(J626="",0,J626)+1,0),IF(J626="",0,J626)/ROUND(IF(J626="",1,J626),0))=1,OR(J625&lt;&gt;""),J626&lt;&gt;"")),0,IF(S625&lt;0,IF(I627="",SMALL(P625:P626,1)-SUM(O625:O626),0),SMALL(P625:P626,1)-SUM(O625:O626))),IF(S625&lt;0,IF(I627="",SMALL(P625:P627,1)-SUM(O625:O627),0),LARGE(P625:P627,1)-SUM(O625:O627))),S625)+V622,IF(I627="",IF(OR(AND(I625="DNB1",I626="DNB2"),AND(OR(I625="DNB1",I625="DNB2"),J626=0),AND(OR(I626="DNB1",I626="DNB2"),J625=0),AND(I625="DNB2",I626="DNB1"),AND(IF(J625=0,(J625+1)/ROUND(J625+1,0),J625/ROUND(J625,0))=1,IF(J626=0,(IF(J626="",0,J626)+1)/ROUND(IF(J626="",0,J626)+1,0),IF(J626="",0,J626)/ROUND(IF(J626="",0,J626)+1,0))=1,OR(J625&lt;&gt;""),J626&lt;&gt;"")),0,IF(S625&lt;0,IF(I627="",SMALL(P625:P626,1)-SUM(O625:O626),0),SMALL(P625:P627,1)-SUM(O625:O627))),IF(S625&lt;0,IF(I627="",SMALL(P625:P627,1)-SUM(O625:O627),0),LARGE(P625:P627,1)-SUM(O625:O627)))))</f>
        <v>24.342</v>
      </c>
      <c r="W625" s="191">
        <f>IF($D625=$D622,IF(S625&lt;0,IF(I627="",S625,0),S625)+W622,S625)</f>
        <v>24.37</v>
      </c>
      <c r="X625" t="s" s="192">
        <f>IF(OR(SUM(R625:R627)=0,V625=W625),ROUND(IF(W625=0,0,W625/Y625)*100,2)&amp;"%",ROUND(IF(V625=0,0,V625/Y625)*100,2)&amp;"% a "&amp;ROUND(IF(W625=0,0,W625/Y625)*100,2)&amp;"%")</f>
        <v>453</v>
      </c>
      <c r="Y625" s="193">
        <f>IF($D625=$D622,Y622+SUM(O625:O627),SUM(O625:O627))</f>
        <v>372.05</v>
      </c>
      <c r="Z625" s="191">
        <f>IF($B625=" ",SUM(O625:O627),0)+Z622</f>
        <v>0</v>
      </c>
      <c r="AA625" s="191">
        <f>IF(G625="","",IF($B625="Anulado",LARGE(P625:P627,1)-SUM(O625:O627)+AA622,AA622))</f>
        <v>26.8740076923077</v>
      </c>
      <c r="AB625" s="191">
        <f>IF($D625="","",AB622+S625)</f>
        <v>412.7</v>
      </c>
      <c r="AC625" s="194">
        <f>IF($D625="","",IF($B625=" ",IF(DAY(G625)=DAY(TODAY()),1+AC622,0+AC622),0+AC622))</f>
        <v>0</v>
      </c>
      <c r="AD625" s="195">
        <f>(((L626/(L626-1)-1)*(1-_xlfn.XLOOKUP(K626,'Janeiro 2023 - Valor Real'!A3:A15,'Janeiro 2023 - Valor Real'!C3:C15,0))+1))/(((L625-1)*(1-_xlfn.XLOOKUP(K625,'Janeiro 2023 - Valor Real'!A3:A15,'Janeiro 2023 - Valor Real'!C3:C15,0))+1)+((L626/(L626-1)-1)*(1-_xlfn.XLOOKUP(K626,'Janeiro 2023 - Valor Real'!A3:A15,'Janeiro 2023 - Valor Real'!C3:C15,0))+1))</f>
        <v>0.476190476190476</v>
      </c>
      <c r="AE625" s="196">
        <f>IF(L625="","",IF(L627&gt;0,(SUM(((L625-1)*(1-_xlfn.XLOOKUP(K625,'Janeiro 2023 - Valor Real'!A3:A15,'Janeiro 2023 - Valor Real'!C3:C15,0))+1),((L626-1)*(1-_xlfn.XLOOKUP(K626,'Janeiro 2023 - Valor Real'!A3:A15,'Janeiro 2023 - Valor Real'!C3:C15,0))+1),((L627-1)*(1-_xlfn.XLOOKUP(K627,'Janeiro 2023 - Valor Real'!A3:A15,'Janeiro 2023 - Valor Real'!C3:C15,0))+1))/((L625-1)*(1-_xlfn.XLOOKUP(K625,'Janeiro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Real'!C3:C15,0))+1))/((L625-1)*(1-_xlfn.XLOOKUP(K625,'Janeiro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Real'!C3:C15,0))+1))/((L626-1)*(1-_xlfn.XLOOKUP(K626,'Janeiro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Real'!C3:C15,0))+1))/((L627-1)*(1-_xlfn.XLOOKUP(K627,'Janeiro 2023 - Valor Real'!A3:A15,'Janeiro 2023 - Valor Real'!C3:C15,0))+1)),IF(I625="Lay",IF(I626="Lay",((L626/(L626-1)-1)*(1-_xlfn.XLOOKUP(K626,'Janeiro 2023 - Valor Real'!A3:A15,'Janeiro 2023 - Valor Real'!C3:C15,0))+1)/(((L626/(L626-1)-1)*(1-_xlfn.XLOOKUP(K626,'Janeiro 2023 - Valor Real'!A3:A15,'Janeiro 2023 - Valor Real'!C3:C15,0))+1)+((L625/(L625-1)-1)*(1-_xlfn.XLOOKUP(K625,'Janeiro 2023 - Valor Real'!A3:A15,'Janeiro 2023 - Valor Real'!C3:C15,0))+1)),((L626-1)*(1-_xlfn.XLOOKUP(K626,'Janeiro 2023 - Valor Real'!A3:A15,'Janeiro 2023 - Valor Real'!C3:C15,0))+1)/(((L626-1)*(1-_xlfn.XLOOKUP(K626,'Janeiro 2023 - Valor Real'!A3:A15,'Janeiro 2023 - Valor Real'!C3:C15,0))+1)+((L625/(L625-1)-1)*(1-_xlfn.XLOOKUP(K625,'Janeiro 2023 - Valor Real'!A3:A15,'Janeiro 2023 - Valor Real'!C3:C15,0))+1))),IF(I626="Lay",(((L626/(L626-1)-1)*(1-_xlfn.XLOOKUP(K626,'Janeiro 2023 - Valor Real'!A3:A15,'Janeiro 2023 - Valor Real'!C3:C15,0))+1))/(((L625-1)*(1-_xlfn.XLOOKUP(K625,'Janeiro 2023 - Valor Real'!A3:A15,'Janeiro 2023 - Valor Real'!C3:C15,0))+1)+((L626/(L626-1)-1)*(1-_xlfn.XLOOKUP(K626,'Janeiro 2023 - Valor Real'!A3:A15,'Janeiro 2023 - Valor Real'!C3:C15,0))+1)),((L626-1)*(1-_xlfn.XLOOKUP(K626,'Janeiro 2023 - Valor Real'!A3:A15,'Janeiro 2023 - Valor Real'!C3:C15,0))+1)/(((L626-1)*(1-_xlfn.XLOOKUP(K626,'Janeiro 2023 - Valor Real'!A3:A15,'Janeiro 2023 - Valor Real'!C3:C15,0))+1)+((L625-1)*(1-_xlfn.XLOOKUP(K625,'Janeiro 2023 - Valor Real'!A3:A15,'Janeiro 2023 - Valor Real'!C3:C15,0))+1))))))</f>
        <v>0.476190476190476</v>
      </c>
      <c r="AF625" s="197">
        <f>IF($K625=AF$3,ROUND(IF(OR($C625="W",$C625="1/2W",$C625="1/2L"),$P625-$O625,IF($C625="X",0,-$O625)),2),0)</f>
        <v>0</v>
      </c>
      <c r="AG625" s="198">
        <f>IF($K625=AG$3,ROUND(IF(OR($C625="W",$C625="1/2W",$C625="1/2L"),$P625-$O625,IF($C625="X",0,-$O625)),2),0)</f>
        <v>6.53</v>
      </c>
      <c r="AH625" s="198">
        <f>IF($K625=AH$3,ROUND(IF(OR($C625="W",$C625="1/2W",$C625="1/2L"),$P625-$O625,IF($C625="X",0,-$O625)),2),0)</f>
        <v>0</v>
      </c>
      <c r="AI625" s="198">
        <f>IF($K625=AI$3,ROUND(IF(OR($C625="W",$C625="1/2W",$C625="1/2L"),$P625-$O625,IF($C625="X",0,-$O625)),2),0)</f>
        <v>0</v>
      </c>
      <c r="AJ625" s="198">
        <f>IF($K625=AJ$3,ROUND(IF(OR($C625="W",$C625="1/2W",$C625="1/2L"),$P625-$O625,IF($C625="X",0,-$O625)),2),0)</f>
        <v>0</v>
      </c>
      <c r="AK625" s="198">
        <f>IF($K625=AK$3,ROUND(IF(OR($C625="W",$C625="1/2W",$C625="1/2L"),$P625-$O625,IF($C625="X",0,-$O625)),2),0)</f>
        <v>0</v>
      </c>
      <c r="AL625" s="198">
        <f>IF($K625=AL$3,ROUND(IF(OR($C625="W",$C625="1/2W",$C625="1/2L"),$P625-$O625,IF($C625="X",0,-$O625)),2),0)</f>
        <v>0</v>
      </c>
      <c r="AM625" s="198">
        <f>IF($K625=AM$3,ROUND(IF(OR($C625="W",$C625="1/2W",$C625="1/2L"),$P625-$O625,IF($C625="X",0,-$O625)),2),0)</f>
        <v>0</v>
      </c>
      <c r="AN625" s="198">
        <f>IF($K625=AN$3,ROUND(IF(OR($C625="W",$C625="1/2W",$C625="1/2L"),$P625-$O625,IF($C625="X",0,-$O625)),2),0)</f>
        <v>0</v>
      </c>
      <c r="AO625" s="198">
        <f>IF($K625=AO$3,ROUND(IF(OR($C625="W",$C625="1/2W",$C625="1/2L"),$P625-$O625,IF($C625="X",0,-$O625)),2),0)</f>
        <v>0</v>
      </c>
      <c r="AP625" s="198">
        <f>IF($K625=AP$3,ROUND(IF(OR($C625="W",$C625="1/2W",$C625="1/2L"),$P625-$O625,IF($C625="X",0,-$O625)),2),0)</f>
        <v>0</v>
      </c>
      <c r="AQ625" s="198">
        <f>IF($K625=AQ$3,ROUND(IF(OR($C625="W",$C625="1/2W",$C625="1/2L"),$P625-$O625,IF($C625="X",0,-$O625)),2),0)</f>
        <v>0</v>
      </c>
      <c r="AR625" s="199">
        <f>IF($K625=AR$3,ROUND(IF(OR($C625="W",$C625="1/2W",$C625="1/2L"),$P625-$O625,IF($C625="X",0,-$O625)),2),0)</f>
        <v>0</v>
      </c>
      <c r="AS625" s="197">
        <f>IF(AND($B625=" ",$K625=AS$3),$O625,0)</f>
        <v>0</v>
      </c>
      <c r="AT625" s="198">
        <f>IF(AND($B625=" ",$K625=AT$3),$O625,0)</f>
        <v>0</v>
      </c>
      <c r="AU625" s="198">
        <f>IF(AND($B625=" ",$K625=AU$3),$O625,0)</f>
        <v>0</v>
      </c>
      <c r="AV625" s="198">
        <f>IF(AND($B625=" ",$K625=AV$3),$O625,0)</f>
        <v>0</v>
      </c>
      <c r="AW625" s="198">
        <f>IF(AND($B625=" ",$K625=AW$3),$O625,0)</f>
        <v>0</v>
      </c>
      <c r="AX625" s="198">
        <f>IF(AND($B625=" ",$K625=AX$3),$O625,0)</f>
        <v>0</v>
      </c>
      <c r="AY625" s="200">
        <f>IF(AND($B625=" ",$K625=AY$3),$O625,0)</f>
        <v>0</v>
      </c>
      <c r="AZ625" s="201">
        <f>IF(AND($B625=" ",$K625=AZ$3),$O625,0)</f>
        <v>0</v>
      </c>
      <c r="BA625" s="201">
        <f>IF(AND($B625=" ",$K625=BA$3),$O625,0)</f>
        <v>0</v>
      </c>
      <c r="BB625" s="201">
        <f>IF(AND($B625=" ",$K625=BB$3),$O625,0)</f>
        <v>0</v>
      </c>
      <c r="BC625" s="202">
        <f>IF(AND($B625=" ",$K625=BC$3),$O625,0)</f>
        <v>0</v>
      </c>
      <c r="BD625" s="198">
        <f>IF(AND($B625=" ",$K625=BD$3),$O625,0)</f>
        <v>0</v>
      </c>
      <c r="BE625" s="199">
        <f>IF(AND($B625=" ",$K625=BE$3),$O625,0)</f>
        <v>0</v>
      </c>
      <c r="BF625" s="203">
        <f>IF($K625=BF$3,IF($C625="X",0,$O625),0)</f>
        <v>0</v>
      </c>
      <c r="BG625" s="198">
        <f>IF($K625=BG$3,IF($C625="X",0,$O625),0)</f>
        <v>5.44</v>
      </c>
      <c r="BH625" s="198">
        <f>IF($K625=BH$3,IF($C625="X",0,$O625),0)</f>
        <v>0</v>
      </c>
      <c r="BI625" s="198">
        <f>IF($K625=BI$3,IF($C625="X",0,$O625),0)</f>
        <v>0</v>
      </c>
      <c r="BJ625" s="198">
        <f>IF($K625=BJ$3,IF($C625="X",0,$O625),0)</f>
        <v>0</v>
      </c>
      <c r="BK625" s="198">
        <f>IF($K625=BK$3,IF($C625="X",0,$O625),0)</f>
        <v>0</v>
      </c>
      <c r="BL625" s="198">
        <f>IF($K625=BL$3,IF($C625="X",0,$O625),0)</f>
        <v>0</v>
      </c>
      <c r="BM625" s="200">
        <f>IF($K625=BM$3,IF($C625="X",0,$O625),0)</f>
        <v>0</v>
      </c>
      <c r="BN625" s="201">
        <f>IF($K625=BN$3,IF($C625="X",0,$O625),0)</f>
        <v>0</v>
      </c>
      <c r="BO625" s="201">
        <f>IF($K625=BO$3,IF($C625="X",0,$O625),0)</f>
        <v>0</v>
      </c>
      <c r="BP625" s="201">
        <f>IF($K625=BP$3,IF($C625="X",0,$O625),0)</f>
        <v>0</v>
      </c>
      <c r="BQ625" s="202">
        <f>IF($K625=BQ$3,IF($C625="X",0,$O625),0)</f>
        <v>0</v>
      </c>
      <c r="BR625" s="199">
        <f>IF($K625=BR$3,IF($C625="X",0,$O625),0)</f>
        <v>0</v>
      </c>
      <c r="BS625" s="204">
        <f>IF($B625="LOSS",IF(AND($K625=BS$3,$C625="L"),-$O625,0)+IF(AND($K626=BS$3,$C626="L"),-$O626,0)+IF(AND($K627=BS$3,$C627="L"),-$O627,0),IF(OR(AND($K625=BS$3,OR($C625="W",$C625="1/2W")),AND($K626=BS$3,OR($C626="W",$C626="1/2W")),AND($K627=BS$3,OR($C627="W",$C627="1/2W"))),$S625,0))</f>
        <v>0</v>
      </c>
      <c r="BT625" s="201">
        <f>IF($B625="LOSS",IF(AND($K625=BT$3,$C625="L"),-$O625,0)+IF(AND($K626=BT$3,$C626="L"),-$O626,0)+IF(AND($K626=BT$3,$C627="L"),-$O627,0),IF(OR(AND($K626=BT$3,OR($C625="W",$C625="1/2W")),AND($K626=BT$3,OR($C626="W",$C626="1/2W")),AND($K626=BT$3,OR($C627="W",$C627="1/2W"))),$S625,0))</f>
        <v>0</v>
      </c>
      <c r="BU625" s="201">
        <f>IF($B625="LOSS",IF(AND($K625=BU$3,$C625="L"),-$O625,0)+IF(AND($K626=BU$3,$C626="L"),-$O626,0)+IF(AND($K626=BU$3,$C627="L"),-$O627,0),IF(OR(AND($K626=BU$3,OR($C625="W",$C625="1/2W")),AND($K626=BU$3,OR($C626="W",$C626="1/2W")),AND($K626=BU$3,OR($C627="W",$C627="1/2W"))),$S625,0))</f>
        <v>0</v>
      </c>
      <c r="BV625" s="201">
        <f>IF($B625="LOSS",IF(AND($K625=BV$3,$C625="L"),-$O625,0)+IF(AND($K626=BV$3,$C626="L"),-$O626,0)+IF(AND($K627=BV$3,$C627="L"),-$O627,0),IF(OR(AND($K625=BV$3,OR($C625="W",$C625="1/2W")),AND($K626=BV$3,OR($C626="W",$C626="1/2W")),AND($K627=BV$3,OR($C627="W",$C627="1/2W"))),$S625,0))</f>
        <v>0</v>
      </c>
      <c r="BW625" s="201">
        <f>IF($B625="LOSS",IF(AND($K625=BW$3,$C625="L"),-$O625,0)+IF(AND($K626=BW$3,$C626="L"),-$O626,0)+IF(AND($K627=BW$3,$C627="L"),-$O627,0),IF(OR(AND($K625=BW$3,OR($C625="W",$C625="1/2W")),AND($K626=BW$3,OR($C626="W",$C626="1/2W")),AND($K627=BW$3,OR($C627="W",$C627="1/2W"))),$S625,0))</f>
        <v>0</v>
      </c>
      <c r="BX625" s="201">
        <f>IF($B625="LOSS",IF(AND($K625=BX$3,$C625="L"),-$O625,0)+IF(AND($K626=BX$3,$C626="L"),-$O626,0)+IF(AND($K627=BX$3,$C627="L"),-$O627,0),IF(OR(AND($K625=BX$3,OR($C625="W",$C625="1/2W")),AND($K626=BX$3,OR($C626="W",$C626="1/2W")),AND($K627=BX$3,OR($C627="W",$C627="1/2W"))),$S625,0))</f>
        <v>0</v>
      </c>
      <c r="BY625" s="201">
        <f>IF($B625="LOSS",IF(AND($K625=BY$3,$C625="L"),-$O625,0)+IF(AND($K626=BY$3,$C626="L"),-$O626,0)+IF(AND($K627=BY$3,$C627="L"),-$O627,0),IF(OR(AND($K625=BY$3,OR($C625="W",$C625="1/2W")),AND($K626=BY$3,OR($C626="W",$C626="1/2W")),AND($K627=BY$3,OR($C627="W",$C627="1/2W"))),$S625,0))</f>
        <v>0</v>
      </c>
      <c r="BZ625" s="205">
        <f>IF($B625="LOSS",IF(AND($K625=BZ$3,$C625="L"),-$O625,0)+IF(AND($K626=BZ$3,$C626="L"),-$O626,0)+IF(AND($K627=BZ$3,$C627="L"),-$O627,0),IF(OR(AND($K625=BZ$3,OR($C625="W",$C625="1/2W")),AND($K626=BZ$3,OR($C626="W",$C626="1/2W")),AND($K627=BZ$3,OR($C627="W",$C627="1/2W"))),$S625,0))</f>
        <v>0</v>
      </c>
      <c r="CA625" s="205">
        <f>IF($B625="LOSS",IF(AND($K625=CA$3,$C625="L"),-$O625,0)+IF(AND($K626=CA$3,$C626="L"),-$O626,0)+IF(AND($K627=CA$3,$C627="L"),-$O627,0),IF(OR(AND($K625=CA$3,OR($C625="W",$C625="1/2W")),AND($K626=CA$3,OR($C626="W",$C626="1/2W")),AND($K627=CA$3,OR($C627="W",$C627="1/2W"))),$S625,0))</f>
        <v>0</v>
      </c>
      <c r="CB625" s="205">
        <f>IF($B625="LOSS",IF(AND($K625=CB$3,$C625="L"),-$O625,0)+IF(AND($K626=CB$3,$C626="L"),-$O626,0)+IF(AND($K627=CB$3,$C627="L"),-$O627,0),IF(OR(AND($K625=CB$3,OR($C625="W",$C625="1/2W")),AND($K626=CB$3,OR($C626="W",$C626="1/2W")),AND($K627=CB$3,OR($C627="W",$C627="1/2W"))),$S625,0))</f>
        <v>0</v>
      </c>
      <c r="CC625" s="205">
        <f>IF($B625="LOSS",IF(AND($K625=CC$3,$C625="L"),-$O625,0)+IF(AND($K626=CC$3,$C626="L"),-$O626,0)+IF(AND($K627=CC$3,$C627="L"),-$O627,0),IF(OR(AND($K625=CC$3,OR($C625="W",$C625="1/2W")),AND($K626=CC$3,OR($C626="W",$C626="1/2W")),AND($K627=CC$3,OR($C627="W",$C627="1/2W"))),$S625,0))</f>
        <v>0</v>
      </c>
      <c r="CD625" s="202">
        <f>IF($B625="LOSS",IF(AND($K625=CD$3,$C625="L"),-$O625,0)+IF(AND($K626=CD$3,$C626="L"),-$O626,0)+IF(AND($K627=CD$3,$C627="L"),-$O627,0),IF(OR(AND($K625=CD$3,OR($C625="W",$C625="1/2W")),AND($K626=CD$3,OR($C626="W",$C626="1/2W")),AND($K627=CD$3,OR($C627="W",$C627="1/2W"))),$S625,0))</f>
        <v>0</v>
      </c>
      <c r="CE625" s="199">
        <f>IF($B625="LOSS",IF(AND($K625=CE$3,$C625="L"),-$O625,0)+IF(AND($K626=CE$3,$C626="L"),-$O626,0)+IF(AND($K627=CE$3,$C627="L"),-$O627,0),IF(OR(AND($K625=CE$3,OR($C625="W",$C625="1/2W")),AND($K626=CE$3,OR($C626="W",$C626="1/2W")),AND($K627=CE$3,OR($C627="W",$C627="1/2W"))),$S625,0))</f>
        <v>0</v>
      </c>
      <c r="CF625" s="206">
        <f>IF(CF$3=$K625,IF($C625="W",1,IF($C625="1/2W",0.5,0)),0)</f>
        <v>0</v>
      </c>
      <c r="CG625" s="207">
        <f>IF(CF$3=$K625,IF($C625="L",1,IF($C625="1/2L",0.5,0)),0)</f>
        <v>0</v>
      </c>
      <c r="CH625" s="207">
        <f>IF(CH$3=$K625,IF($C625="W",1,IF($C625="1/2W",0.5,0)),0)</f>
        <v>1</v>
      </c>
      <c r="CI625" s="207">
        <f>IF(CH$3=$K625,IF($C625="L",1,IF($C625="1/2L",0.5,0)),0)</f>
        <v>0</v>
      </c>
      <c r="CJ625" s="207">
        <f>IF(CJ$3=$K625,IF($C625="W",1,IF($C625="1/2W",0.5,0)),0)</f>
        <v>0</v>
      </c>
      <c r="CK625" s="207">
        <f>IF(CJ$3=$K625,IF($C625="L",1,IF($C625="1/2L",0.5,0)),0)</f>
        <v>0</v>
      </c>
      <c r="CL625" s="207">
        <f>IF(CL$3=$K625,IF($C625="W",1,IF($C625="1/2W",0.5,0)),0)</f>
        <v>0</v>
      </c>
      <c r="CM625" s="207">
        <f>IF(CL$3=$K625,IF($C625="L",1,IF($C625="1/2L",0.5,0)),0)</f>
        <v>0</v>
      </c>
      <c r="CN625" s="207">
        <f>IF(CN$3=$K625,IF($C625="W",1,IF($C625="1/2W",0.5,0)),0)</f>
        <v>0</v>
      </c>
      <c r="CO625" s="207">
        <f>IF(CN$3=$K625,IF($C625="L",1,IF($C625="1/2L",0.5,0)),0)</f>
        <v>0</v>
      </c>
      <c r="CP625" s="207">
        <f>IF(CP$3=$K625,IF($C625="W",1,IF($C625="1/2W",0.5,0)),0)</f>
        <v>0</v>
      </c>
      <c r="CQ625" s="207">
        <f>IF(CP$3=$K625,IF($C625="L",1,IF($C625="1/2L",0.5,0)),0)</f>
        <v>0</v>
      </c>
      <c r="CR625" s="207">
        <f>IF(CR$3=$K625,IF($C625="W",1,IF($C625="1/2W",0.5,0)),0)</f>
        <v>0</v>
      </c>
      <c r="CS625" s="207">
        <f>IF(CR$3=$K625,IF($C625="L",1,IF($C625="1/2L",0.5,0)),0)</f>
        <v>0</v>
      </c>
      <c r="CT625" s="208">
        <f>IF(CT$3=$K625,IF($C625="W",1,IF($C625="1/2W",0.5,0)),0)</f>
        <v>0</v>
      </c>
      <c r="CU625" s="209">
        <f>IF(CT$3=$K625,IF($C625="L",1,IF($C625="1/2L",0.5,0)),0)</f>
        <v>0</v>
      </c>
      <c r="CV625" s="209">
        <f>IF(CV$3=$K625,IF($C625="W",1,IF($C625="1/2W",0.5,0)),0)</f>
        <v>0</v>
      </c>
      <c r="CW625" s="209">
        <f>IF(CV$3=$K625,IF($C625="L",1,IF($C625="1/2L",0.5,0)),0)</f>
        <v>0</v>
      </c>
      <c r="CX625" s="209">
        <f>IF(CX$3=$K625,IF($C625="W",1,IF($C625="1/2W",0.5,0)),0)</f>
        <v>0</v>
      </c>
      <c r="CY625" s="209">
        <f>IF(CX$3=$K625,IF($C625="L",1,IF($C625="1/2L",0.5,0)),0)</f>
        <v>0</v>
      </c>
      <c r="CZ625" s="209">
        <f>IF(CZ$3=$K625,IF($C625="W",1,IF($C625="1/2W",0.5,0)),0)</f>
        <v>0</v>
      </c>
      <c r="DA625" s="209">
        <f>IF(CZ$3=$K625,IF($C625="L",1,IF($C625="1/2L",0.5,0)),0)</f>
        <v>0</v>
      </c>
      <c r="DB625" s="209">
        <f>IF(DB$3=$K625,IF($C625="W",1,IF($C625="1/2W",0.5,0)),0)</f>
        <v>0</v>
      </c>
      <c r="DC625" s="209">
        <f>IF(DB$3=$K625,IF($C625="L",1,IF($C625="1/2L",0.5,0)),0)</f>
        <v>0</v>
      </c>
      <c r="DD625" s="209">
        <f>IF(DD$3=$K625,IF($C625="W",1,IF($C625="1/2W",0.5,0)),0)</f>
        <v>0</v>
      </c>
      <c r="DE625" s="210">
        <f>IF(DD$3=$K625,IF($C625="L",1,IF($C625="1/2L",0.5,0)),0)</f>
        <v>0</v>
      </c>
      <c r="DF625" s="211">
        <f>IF(AND(L625&lt;DF$3,$C625="W"),1+DF624,DF624)</f>
        <v>17</v>
      </c>
      <c r="DG625" s="198">
        <f>IF(DF625&gt;DF624,L625+DG624,DG624)</f>
        <v>22.628</v>
      </c>
      <c r="DH625" s="209">
        <f>IF(AND(L625&gt;DH$3,$C625="W"),1+DH624,0+DH624)</f>
        <v>16</v>
      </c>
      <c r="DI625" s="198">
        <f>IF(DH625&gt;DH624,L625+DI624,DI624)</f>
        <v>85.45999999999999</v>
      </c>
      <c r="DJ625" t="s" s="306">
        <f>IF($D625="","",$D625)</f>
        <v>431</v>
      </c>
      <c r="DK625" s="209">
        <f>IF(AND($B625=" ",$D625&lt;&gt;""),1,0)</f>
        <v>0</v>
      </c>
    </row>
    <row r="626" ht="14.55" customHeight="1">
      <c r="A626" s="107"/>
      <c r="B626" s="108"/>
      <c r="C626" t="s" s="213">
        <v>51</v>
      </c>
      <c r="D626" s="110"/>
      <c r="E626" s="111"/>
      <c r="F626" s="113"/>
      <c r="G626" s="214"/>
      <c r="H626" s="114"/>
      <c r="I626" t="s" s="215">
        <v>67</v>
      </c>
      <c r="J626" s="296">
        <f>IF(OR(I625="TO",I625="TU",I625="TO1",I625="TU1",I625="TO2",I625="TU2"),J625,IF(OR(I625="AH1",I625="AH2"),IF(OR(I626="AH1",I626="AH2"),-J625,IF(OR(I626="EH1",I626="EH2"),-J625+0.5,"")),IF(OR(I625="EH1",I625="EH2"),IF(OR(I626="AH1",I626="AH2"),-J625+0.5,IF(OR(I626="EH1",I626="EH2"),-J625+1,"")),IF(AND(OR(I625="DNB1",I625="DNB2"),OR(I626="AH1",I626="AH2")),0,IF(AND(I625="Not ScoreBoth",OR(I626="TO1",I626="TO2")),0.5,"")))))</f>
        <v>6.5</v>
      </c>
      <c r="K626" t="s" s="217">
        <v>37</v>
      </c>
      <c r="L626" s="218">
        <v>2</v>
      </c>
      <c r="M626" s="219"/>
      <c r="N626" s="120"/>
      <c r="O626" s="220">
        <f>IF(OR(AE625="",AE626=""),"",ROUND(IF(L627&gt;0,IF(M626&gt;0,M626,IF(M625&gt;0,IF(N625=TRUE,ROUND((M625*AE626)/AE625,0),(M625*AE626)/AE625),IF(M626&gt;0,ROUND(M626,IF(N625=0,2,IF(N625=0.1,1,0))),IF(M627&gt;0,ROUND(O627*AE626/AE627,IF(N625=0,2,IF(N625=0.1,1,0))),0)))),IF(M626&gt;0,M626,ROUND((M625*AE626)/AE625,IF(N625=0,2,IF(N625=0.1,1,0))))),2))</f>
        <v>6</v>
      </c>
      <c r="P626" s="221">
        <f>IF(OR(L626="",O626=""),"",IF($C626="1/2W",O626/2+O626/2*L626,IF($C626="1/2L",O626/2,IF(I626="Lay",((O626*(L626/(L626-1)))-O626)*(1-_xlfn.XLOOKUP(K626,'Janeiro 2023 - Valor Real'!A3:A15,'Janeiro 2023 - Valor Real'!C3:C15,0))+O626,(O626*L626-O626)*(1-_xlfn.XLOOKUP(K626,'Janeiro 2023 - Valor Real'!A3:A15,'Janeiro 2023 - Valor Real'!C3:C15,0))+O626))))</f>
        <v>12</v>
      </c>
      <c r="Q626" s="222">
        <f>IF(K626="","",IF(_xlfn.XLOOKUP(K626,K$123:K399,DJ$123:DJ399,0,,-1)=DJ626,_xlfn.XLOOKUP(K626,K$123:K399,Q$123:Q399,1,,-1)+1,1))</f>
        <v>1</v>
      </c>
      <c r="R626" s="223">
        <f>IF(K626="","",_xlfn.XLOOKUP(K626,K$123:K399,R$123:R399,0,,-1)+IF($C626=" ",1,0))</f>
        <v>0</v>
      </c>
      <c r="S626" s="125"/>
      <c r="T626" s="126"/>
      <c r="U626" s="126"/>
      <c r="V626" s="224"/>
      <c r="W626" s="126"/>
      <c r="X626" s="127"/>
      <c r="Y626" s="128"/>
      <c r="Z626" s="129"/>
      <c r="AA626" s="129"/>
      <c r="AB626" s="129"/>
      <c r="AC626" s="129"/>
      <c r="AD626" s="225">
        <f>(((L626/(L626-1)-1)*(1-_xlfn.XLOOKUP(K626,'Janeiro 2023 - Valor Real'!A3:A15,'Janeiro 2023 - Valor Real'!C3:C15,0))+1))</f>
        <v>2</v>
      </c>
      <c r="AE626" s="226">
        <f>IF(L626="","",IF(L627&gt;0,(SUM(((L625-1)*(1-_xlfn.XLOOKUP(K625,'Janeiro 2023 - Valor Real'!A3:A15,'Janeiro 2023 - Valor Real'!C3:C15,0))+1),((L626-1)*(1-_xlfn.XLOOKUP(K626,'Janeiro 2023 - Valor Real'!A3:A15,'Janeiro 2023 - Valor Real'!C3:C15,0))+1),((L627-1)*(1-_xlfn.XLOOKUP(K627,'Janeiro 2023 - Valor Real'!A3:A15,'Janeiro 2023 - Valor Real'!C3:C15,0))+1))/((L626-1)*(1-_xlfn.XLOOKUP(K626,'Janeiro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Real'!C3:C15,0))+1))/((L625-1)*(1-_xlfn.XLOOKUP(K625,'Janeiro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Real'!C3:C15,0))+1))/((L626-1)*(1-_xlfn.XLOOKUP(K626,'Janeiro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Real'!C3:C15,0))+1))/((L627-1)*(1-_xlfn.XLOOKUP(K627,'Janeiro 2023 - Valor Real'!A3:A15,'Janeiro 2023 - Valor Real'!C3:C15,0))+1)),IF(I626="Lay",IF(I625="Lay",((L625/(L625-1)-1)*(1-_xlfn.XLOOKUP(K625,'Janeiro 2023 - Valor Real'!A3:A15,'Janeiro 2023 - Valor Real'!C3:C15,0))+1)/(((L625/(L625-1)-1)*(1-_xlfn.XLOOKUP(K625,'Janeiro 2023 - Valor Real'!A3:A15,'Janeiro 2023 - Valor Real'!C3:C15,0))+1)+((L626/(L626-1)-1)*(1-_xlfn.XLOOKUP(K626,'Janeiro 2023 - Valor Real'!A3:A15,'Janeiro 2023 - Valor Real'!C3:C15,0))+1)),((L625-1)*(1-_xlfn.XLOOKUP(K625,'Janeiro 2023 - Valor Real'!A3:A15,'Janeiro 2023 - Valor Real'!C3:C15,0))+1)/(((L625-1)*(1-_xlfn.XLOOKUP(K625,'Janeiro 2023 - Valor Real'!A3:A15,'Janeiro 2023 - Valor Real'!C3:C15,0))+1)+((L626/(L626-1)-1)*(1-_xlfn.XLOOKUP(K626,'Janeiro 2023 - Valor Real'!A3:A15,'Janeiro 2023 - Valor Real'!C3:C15,0))+1))),IF(I625="Lay",((L625/(L625-1)-1)*(1-_xlfn.XLOOKUP(K625,'Janeiro 2023 - Valor Real'!A3:A15,'Janeiro 2023 - Valor Real'!C3:C15,0))+1)/((((L625/(L625-1)-1)*(1-_xlfn.XLOOKUP(K625,'Janeiro 2023 - Valor Real'!A3:A15,'Janeiro 2023 - Valor Real'!C3:C15,0))+1))+((L626-1)*(1-_xlfn.XLOOKUP(K626,'Janeiro 2023 - Valor Real'!A3:A15,'Janeiro 2023 - Valor Real'!C3:C15,0))+1)),((L625-1)*(1-_xlfn.XLOOKUP(K625,'Janeiro 2023 - Valor Real'!A3:A15,'Janeiro 2023 - Valor Real'!C3:C15,0))+1)/(((L625-1)*(1-_xlfn.XLOOKUP(K625,'Janeiro 2023 - Valor Real'!A3:A15,'Janeiro 2023 - Valor Real'!C3:C15,0))+1)+((L626-1)*(1-_xlfn.XLOOKUP(K626,'Janeiro 2023 - Valor Real'!A3:A15,'Janeiro 2023 - Valor Real'!C3:C15,0))+1))))))</f>
        <v>0.5238095238095239</v>
      </c>
      <c r="AF626" s="197">
        <f>IF($K626=AF$3,ROUND(IF(OR($C626="W",$C626="1/2W",$C626="1/2L"),$P626-$O626,IF($C626="X",0,-$O626)),2),0)</f>
        <v>-6</v>
      </c>
      <c r="AG626" s="198">
        <f>IF($K626=AG$3,ROUND(IF(OR($C626="W",$C626="1/2W",$C626="1/2L"),$P626-$O626,IF($C626="X",0,-$O626)),2),0)</f>
        <v>0</v>
      </c>
      <c r="AH626" s="198">
        <f>IF($K626=AH$3,ROUND(IF(OR($C626="W",$C626="1/2W",$C626="1/2L"),$P626-$O626,IF($C626="X",0,-$O626)),2),0)</f>
        <v>0</v>
      </c>
      <c r="AI626" s="198">
        <f>IF($K626=AI$3,ROUND(IF(OR($C626="W",$C626="1/2W",$C626="1/2L"),$P626-$O626,IF($C626="X",0,-$O626)),2),0)</f>
        <v>0</v>
      </c>
      <c r="AJ626" s="198">
        <f>IF($K626=AJ$3,ROUND(IF(OR($C626="W",$C626="1/2W",$C626="1/2L"),$P626-$O626,IF($C626="X",0,-$O626)),2),0)</f>
        <v>0</v>
      </c>
      <c r="AK626" s="198">
        <f>IF($K626=AK$3,ROUND(IF(OR($C626="W",$C626="1/2W",$C626="1/2L"),$P626-$O626,IF($C626="X",0,-$O626)),2),0)</f>
        <v>0</v>
      </c>
      <c r="AL626" s="198">
        <f>IF($K626=AL$3,ROUND(IF(OR($C626="W",$C626="1/2W",$C626="1/2L"),$P626-$O626,IF($C626="X",0,-$O626)),2),0)</f>
        <v>0</v>
      </c>
      <c r="AM626" s="198">
        <f>IF($K626=AM$3,ROUND(IF(OR($C626="W",$C626="1/2W",$C626="1/2L"),$P626-$O626,IF($C626="X",0,-$O626)),2),0)</f>
        <v>0</v>
      </c>
      <c r="AN626" s="198">
        <f>IF($K626=AN$3,ROUND(IF(OR($C626="W",$C626="1/2W",$C626="1/2L"),$P626-$O626,IF($C626="X",0,-$O626)),2),0)</f>
        <v>0</v>
      </c>
      <c r="AO626" s="198">
        <f>IF($K626=AO$3,ROUND(IF(OR($C626="W",$C626="1/2W",$C626="1/2L"),$P626-$O626,IF($C626="X",0,-$O626)),2),0)</f>
        <v>0</v>
      </c>
      <c r="AP626" s="198">
        <f>IF($K626=AP$3,ROUND(IF(OR($C626="W",$C626="1/2W",$C626="1/2L"),$P626-$O626,IF($C626="X",0,-$O626)),2),0)</f>
        <v>0</v>
      </c>
      <c r="AQ626" s="198">
        <f>IF($K626=AQ$3,ROUND(IF(OR($C626="W",$C626="1/2W",$C626="1/2L"),$P626-$O626,IF($C626="X",0,-$O626)),2),0)</f>
        <v>0</v>
      </c>
      <c r="AR626" s="199">
        <f>IF($K626=AR$3,ROUND(IF(OR($C626="W",$C626="1/2W",$C626="1/2L"),$P626-$O626,IF($C626="X",0,-$O626)),2),0)</f>
        <v>0</v>
      </c>
      <c r="AS626" s="197">
        <f>IF(AND($B625=" ",$K626=AS$3),$O626,0)</f>
        <v>0</v>
      </c>
      <c r="AT626" s="198">
        <f>IF(AND($B625=" ",K626=AT$3),$O626,0)</f>
        <v>0</v>
      </c>
      <c r="AU626" s="198">
        <f>IF(AND($B625=" ",$K626=AU$3),$O626,0)</f>
        <v>0</v>
      </c>
      <c r="AV626" s="198">
        <f>IF(AND($B625=" ",$K626=AV$3),$O626,0)</f>
        <v>0</v>
      </c>
      <c r="AW626" s="198">
        <f>IF(AND($B625=" ",$K626=AW$3),$O626,0)</f>
        <v>0</v>
      </c>
      <c r="AX626" s="198">
        <f>IF(AND($B625=" ",$K626=AX$3),$O626,0)</f>
        <v>0</v>
      </c>
      <c r="AY626" s="200">
        <f>IF(AND($B625=" ",$K626=AY$3),$O626,0)</f>
        <v>0</v>
      </c>
      <c r="AZ626" s="201">
        <f>IF(AND($B625=" ",$K626=AZ$3),$O626,0)</f>
        <v>0</v>
      </c>
      <c r="BA626" s="201">
        <f>IF(AND($B625=" ",$K626=BA$3),$O626,0)</f>
        <v>0</v>
      </c>
      <c r="BB626" s="201">
        <f>IF(AND($B625=" ",$K626=BB$3),$O626,0)</f>
        <v>0</v>
      </c>
      <c r="BC626" s="202">
        <f>IF(AND($B625=" ",$K626=BC$3),$O626,0)</f>
        <v>0</v>
      </c>
      <c r="BD626" s="198">
        <f>IF(AND($B625=" ",$K626=BD$3),$O626,0)</f>
        <v>0</v>
      </c>
      <c r="BE626" s="199">
        <f>IF(AND($B625=" ",$K626=BE$3),$O626,0)</f>
        <v>0</v>
      </c>
      <c r="BF626" s="197">
        <f>IF($K626=BF$3,IF($C626="X",0,$O626),0)</f>
        <v>6</v>
      </c>
      <c r="BG626" s="198">
        <f>IF($K626=BG$3,IF($C626="X",0,$O626),0)</f>
        <v>0</v>
      </c>
      <c r="BH626" s="198">
        <f>IF($K626=BH$3,IF($C626="X",0,$O626),0)</f>
        <v>0</v>
      </c>
      <c r="BI626" s="198">
        <f>IF($K626=BI$3,IF($C626="X",0,$O626),0)</f>
        <v>0</v>
      </c>
      <c r="BJ626" s="198">
        <f>IF($K626=BJ$3,IF($C626="X",0,$O626),0)</f>
        <v>0</v>
      </c>
      <c r="BK626" s="198">
        <f>IF($K626=BK$3,IF($C626="X",0,$O626),0)</f>
        <v>0</v>
      </c>
      <c r="BL626" s="198">
        <f>IF($K626=BL$3,IF($C626="X",0,$O626),0)</f>
        <v>0</v>
      </c>
      <c r="BM626" s="227">
        <f>IF($K626=BM$3,IF($C626="X",0,$O626),0)</f>
        <v>0</v>
      </c>
      <c r="BN626" s="205">
        <f>IF($K626=BN$3,IF($C626="X",0,$O626),0)</f>
        <v>0</v>
      </c>
      <c r="BO626" s="205">
        <f>IF($K626=BO$3,IF($C626="X",0,$O626),0)</f>
        <v>0</v>
      </c>
      <c r="BP626" s="205">
        <f>IF($K626=BP$3,IF($C626="X",0,$O626),0)</f>
        <v>0</v>
      </c>
      <c r="BQ626" s="202">
        <f>IF($K626=BQ$3,IF($C626="X",0,$O626),0)</f>
        <v>0</v>
      </c>
      <c r="BR626" s="199">
        <f>IF($K626=BR$3,IF($C626="X",0,$O626),0)</f>
        <v>0</v>
      </c>
      <c r="BS626" s="228"/>
      <c r="BT626" s="229"/>
      <c r="BU626" s="140"/>
      <c r="BV626" s="229"/>
      <c r="BW626" s="140"/>
      <c r="BX626" s="140"/>
      <c r="BY626" s="140"/>
      <c r="BZ626" s="229"/>
      <c r="CA626" s="140"/>
      <c r="CB626" s="140"/>
      <c r="CC626" s="140"/>
      <c r="CD626" s="141"/>
      <c r="CE626" s="142"/>
      <c r="CF626" s="230">
        <f>IF(CF$3=$K626,IF($C626="W",1,IF($C626="1/2W",0.5,0)),0)</f>
        <v>0</v>
      </c>
      <c r="CG626" s="231">
        <f>IF(CF$3=$K626,IF($C626="L",1,IF($C626="1/2L",0.5,0)),0)</f>
        <v>1</v>
      </c>
      <c r="CH626" s="231">
        <f>IF(CH$3=$K626,IF($C626="W",1,IF($C626="1/2W",0.5,0)),0)</f>
        <v>0</v>
      </c>
      <c r="CI626" s="231">
        <f>IF(CH$3=$K626,IF($C626="L",1,IF($C626="1/2L",0.5,0)),0)</f>
        <v>0</v>
      </c>
      <c r="CJ626" s="231">
        <f>IF(CJ$3=$K626,IF($C626="W",1,IF($C626="1/2W",0.5,0)),0)</f>
        <v>0</v>
      </c>
      <c r="CK626" s="231">
        <f>IF(CJ$3=$K626,IF($C626="L",1,IF($C626="1/2L",0.5,0)),0)</f>
        <v>0</v>
      </c>
      <c r="CL626" s="231">
        <f>IF(CL$3=$K626,IF($C626="W",1,IF($C626="1/2W",0.5,0)),0)</f>
        <v>0</v>
      </c>
      <c r="CM626" s="231">
        <f>IF(CL$3=$K626,IF($C626="L",1,IF($C626="1/2L",0.5,0)),0)</f>
        <v>0</v>
      </c>
      <c r="CN626" s="231">
        <f>IF(CN$3=$K626,IF($C626="W",1,IF($C626="1/2W",0.5,0)),0)</f>
        <v>0</v>
      </c>
      <c r="CO626" s="231">
        <f>IF(CN$3=$K626,IF($C626="L",1,IF($C626="1/2L",0.5,0)),0)</f>
        <v>0</v>
      </c>
      <c r="CP626" s="231">
        <f>IF(CP$3=$K626,IF($C626="W",1,IF($C626="1/2W",0.5,0)),0)</f>
        <v>0</v>
      </c>
      <c r="CQ626" s="231">
        <f>IF(CP$3=$K626,IF($C626="L",1,IF($C626="1/2L",0.5,0)),0)</f>
        <v>0</v>
      </c>
      <c r="CR626" s="231">
        <f>IF(CR$3=$K626,IF($C626="W",1,IF($C626="1/2W",0.5,0)),0)</f>
        <v>0</v>
      </c>
      <c r="CS626" s="231">
        <f>IF(CR$3=$K626,IF($C626="L",1,IF($C626="1/2L",0.5,0)),0)</f>
        <v>0</v>
      </c>
      <c r="CT626" s="208">
        <f>IF(CT$3=$K626,IF($C626="W",1,IF($C626="1/2W",0.5,0)),0)</f>
        <v>0</v>
      </c>
      <c r="CU626" s="209">
        <f>IF(CT$3=$K626,IF($C626="L",1,IF($C626="1/2L",0.5,0)),0)</f>
        <v>0</v>
      </c>
      <c r="CV626" s="209">
        <f>IF(CV$3=$K626,IF($C626="W",1,IF($C626="1/2W",0.5,0)),0)</f>
        <v>0</v>
      </c>
      <c r="CW626" s="209">
        <f>IF(CV$3=$K626,IF($C626="L",1,IF($C626="1/2L",0.5,0)),0)</f>
        <v>0</v>
      </c>
      <c r="CX626" s="209">
        <f>IF(CX$3=$K626,IF($C626="W",1,IF($C626="1/2W",0.5,0)),0)</f>
        <v>0</v>
      </c>
      <c r="CY626" s="209">
        <f>IF(CX$3=$K626,IF($C626="L",1,IF($C626="1/2L",0.5,0)),0)</f>
        <v>0</v>
      </c>
      <c r="CZ626" s="209">
        <f>IF(CZ$3=$K626,IF($C626="W",1,IF($C626="1/2W",0.5,0)),0)</f>
        <v>0</v>
      </c>
      <c r="DA626" s="209">
        <f>IF(CZ$3=$K626,IF($C626="L",1,IF($C626="1/2L",0.5,0)),0)</f>
        <v>0</v>
      </c>
      <c r="DB626" s="209">
        <f>IF(DB$3=$K626,IF($C626="W",1,IF($C626="1/2W",0.5,0)),0)</f>
        <v>0</v>
      </c>
      <c r="DC626" s="209">
        <f>IF(DB$3=$K626,IF($C626="L",1,IF($C626="1/2L",0.5,0)),0)</f>
        <v>0</v>
      </c>
      <c r="DD626" s="209">
        <f>IF(DD$3=$K626,IF($C626="W",1,IF($C626="1/2W",0.5,0)),0)</f>
        <v>0</v>
      </c>
      <c r="DE626" s="210">
        <f>IF(DD$3=$K626,IF($C626="L",1,IF($C626="1/2L",0.5,0)),0)</f>
        <v>0</v>
      </c>
      <c r="DF626" s="211">
        <f>IF(AND(L626&lt;DF$3,$C626="W"),1+DF625,DF625)</f>
        <v>17</v>
      </c>
      <c r="DG626" s="198">
        <f>IF(DF626&gt;DF625,L626+DG625,DG625)</f>
        <v>22.628</v>
      </c>
      <c r="DH626" s="209">
        <f>IF(AND(L626&gt;DH$3,$C626="W"),1+DH625,0+DH625)</f>
        <v>16</v>
      </c>
      <c r="DI626" s="198">
        <f>IF(DH626&gt;DH625,L626+DI625,DI625)</f>
        <v>85.45999999999999</v>
      </c>
      <c r="DJ626" t="s" s="306">
        <f>IF($D625="","",$D625)</f>
        <v>431</v>
      </c>
      <c r="DK626" s="232"/>
    </row>
    <row r="627" ht="14.55" customHeight="1">
      <c r="A627" s="149"/>
      <c r="B627" s="150"/>
      <c r="C627" t="s" s="233">
        <v>58</v>
      </c>
      <c r="D627" s="152"/>
      <c r="E627" s="153"/>
      <c r="F627" s="155"/>
      <c r="G627" s="234"/>
      <c r="H627" s="156"/>
      <c r="I627" s="235"/>
      <c r="J627" s="236"/>
      <c r="K627" s="237"/>
      <c r="L627" s="238"/>
      <c r="M627" s="239"/>
      <c r="N627" s="161"/>
      <c r="O627" t="s" s="240">
        <f>IF(OR(AE625="",AE626=""),"",IF(L627&gt;0,ROUND(IF(M627&gt;0,M627,IF(M625&gt;0,ROUND((M625*AE627)/AE625,IF(N625=0,2,IF(N625=0.1,1,0))),IF(M626&gt;0,ROUND((M626*AE627)/AE626,IF(N625=0,2,IF(N625=0.1,1,0))),IF(M627&gt;0,M627,0)))),2),""))</f>
      </c>
      <c r="P627" t="s" s="241">
        <f>IF(I626="Lay",O626*(L626/(L626-1))-O626,IF(I625="Lay",O625*(L625/(L625-1))-O625,IF(OR(L627="",O627=""),"",IF($C627="1/2W",O627/2+O627/2*L627,IF($C627="1/2L",O627/2,(O627*L627-O627)*(1-_xlfn.XLOOKUP(K627,'Janeiro 2023 - Valor Real'!A3:A15,'Janeiro 2023 - Valor Real'!C3:C15,0))+O627)))))</f>
      </c>
      <c r="Q627" t="s" s="242">
        <f>IF(K627="","",IF(_xlfn.XLOOKUP(K627,K$124:K400,DJ$124:DJ400,0,,-1)=DJ627,_xlfn.XLOOKUP(K627,K$124:K400,Q$124:Q400,1,,-1)+1,1))</f>
      </c>
      <c r="R627" t="s" s="243">
        <f>IF(K627="","",_xlfn.XLOOKUP(K627,K$124:K400,R$124:R400,0,,-1)+IF($C627=" ",1,0))</f>
      </c>
      <c r="S627" s="166"/>
      <c r="T627" s="155"/>
      <c r="U627" s="155"/>
      <c r="V627" s="166"/>
      <c r="W627" s="155"/>
      <c r="X627" s="167"/>
      <c r="Y627" s="128"/>
      <c r="Z627" s="129"/>
      <c r="AA627" s="129"/>
      <c r="AB627" s="129"/>
      <c r="AC627" s="129"/>
      <c r="AD627" s="244">
        <f>((L626/(L626-1)-1))</f>
        <v>1</v>
      </c>
      <c r="AE627" t="s" s="245">
        <f>IF(L627="","",(SUM(((L625-1)*(1-_xlfn.XLOOKUP(K625,'Janeiro 2023 - Valor Real'!A3:A15,'Janeiro 2023 - Valor Real'!C3:C15,0))+1),((L626-1)*(1-_xlfn.XLOOKUP(K626,'Janeiro 2023 - Valor Real'!A3:A15,'Janeiro 2023 - Valor Real'!C3:C15,0))+1),((L627-1)*(1-_xlfn.XLOOKUP(K627,'Janeiro 2023 - Valor Real'!A3:A15,'Janeiro 2023 - Valor Real'!C3:C15,0))+1))/((L627-1)*(1-_xlfn.XLOOKUP(K627,'Janeiro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Real'!C3:C15,0))+1))/((L625-1)*(1-_xlfn.XLOOKUP(K625,'Janeiro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Real'!C3:C15,0))+1))/((L626-1)*(1-_xlfn.XLOOKUP(K626,'Janeiro 2023 - Valor Real'!A3:A15,'Janeiro 2023 - Valor Real'!C3:C15,0))+1)+SUM(((L625-1)*(1-_xlfn.XLOOKUP(K625,'Janeiro 2023 - Valor Real'!A3:A15,'Janeiro 2023 - Valor Real'!C3:C15,0))+1),((L626-1)*(1-_xlfn.XLOOKUP(K626,'Janeiro 2023 - Valor Real'!A3:A15,'Janeiro 2023 - Valor Real'!C3:C15,0))+1),((L627-1)*(1-_xlfn.XLOOKUP(K627,'Janeiro 2023 - Valor Real'!A3:A15,'Janeiro 2023 - Valor Real'!C3:C15,0))+1))/((L627-1)*(1-_xlfn.XLOOKUP(K627,'Janeiro 2023 - Valor Real'!A3:A15,'Janeiro 2023 - Valor Real'!C3:C15,0))+1)))</f>
      </c>
      <c r="AF627" s="197">
        <f>IF($K627=AF$3,ROUND(IF(OR($C627="W",$C627="1/2W",$C627="1/2L"),$P627-$O627,IF($C627="X",0,-$O627)),2),0)</f>
        <v>0</v>
      </c>
      <c r="AG627" s="198">
        <f>IF($K627=AG$3,ROUND(IF(OR($C627="W",$C627="1/2W",$C627="1/2L"),$P627-$O627,IF($C627="X",0,-$O627)),2),0)</f>
        <v>0</v>
      </c>
      <c r="AH627" s="198">
        <f>IF($K627=AH$3,ROUND(IF(OR($C627="W",$C627="1/2W",$C627="1/2L"),$P627-$O627,IF($C627="X",0,-$O627)),2),0)</f>
        <v>0</v>
      </c>
      <c r="AI627" s="198">
        <f>IF($K627=AI$3,ROUND(IF(OR($C627="W",$C627="1/2W",$C627="1/2L"),$P627-$O627,IF($C627="X",0,-$O627)),2),0)</f>
        <v>0</v>
      </c>
      <c r="AJ627" s="198">
        <f>IF($K627=AJ$3,ROUND(IF(OR($C627="W",$C627="1/2W",$C627="1/2L"),$P627-$O627,IF($C627="X",0,-$O627)),2),0)</f>
        <v>0</v>
      </c>
      <c r="AK627" s="198">
        <f>IF($K627=AK$3,ROUND(IF(OR($C627="W",$C627="1/2W",$C627="1/2L"),$P627-$O627,IF($C627="X",0,-$O627)),2),0)</f>
        <v>0</v>
      </c>
      <c r="AL627" s="198">
        <f>IF($K627=AL$3,ROUND(IF(OR($C627="W",$C627="1/2W",$C627="1/2L"),$P627-$O627,IF($C627="X",0,-$O627)),2),0)</f>
        <v>0</v>
      </c>
      <c r="AM627" s="198">
        <f>IF($K627=AM$3,ROUND(IF(OR($C627="W",$C627="1/2W",$C627="1/2L"),$P627-$O627,IF($C627="X",0,-$O627)),2),0)</f>
        <v>0</v>
      </c>
      <c r="AN627" s="198">
        <f>IF($K627=AN$3,ROUND(IF(OR($C627="W",$C627="1/2W",$C627="1/2L"),$P627-$O627,IF($C627="X",0,-$O627)),2),0)</f>
        <v>0</v>
      </c>
      <c r="AO627" s="198">
        <f>IF($K627=AO$3,ROUND(IF(OR($C627="W",$C627="1/2W",$C627="1/2L"),$P627-$O627,IF($C627="X",0,-$O627)),2),0)</f>
        <v>0</v>
      </c>
      <c r="AP627" s="198">
        <f>IF($K627=AP$3,ROUND(IF(OR($C627="W",$C627="1/2W",$C627="1/2L"),$P627-$O627,IF($C627="X",0,-$O627)),2),0)</f>
        <v>0</v>
      </c>
      <c r="AQ627" s="198">
        <f>IF($K627=AQ$3,ROUND(IF(OR($C627="W",$C627="1/2W",$C627="1/2L"),$P627-$O627,IF($C627="X",0,-$O627)),2),0)</f>
        <v>0</v>
      </c>
      <c r="AR627" s="199">
        <f>IF($K627=AR$3,ROUND(IF(OR($C627="W",$C627="1/2W",$C627="1/2L"),$P627-$O627,IF($C627="X",0,-$O627)),2),0)</f>
        <v>0</v>
      </c>
      <c r="AS627" s="197">
        <f>IF(AND($B625=" ",$K627=AS$3),$O627,0)</f>
        <v>0</v>
      </c>
      <c r="AT627" s="198">
        <f>IF(AND($B625=" ",K627=AT$3),$O627,0)</f>
        <v>0</v>
      </c>
      <c r="AU627" s="198">
        <f>IF(AND($B625=" ",$K627=AU$3),$O627,0)</f>
        <v>0</v>
      </c>
      <c r="AV627" s="198">
        <f>IF(AND($B625=" ",$K627=AV$3),$O627,0)</f>
        <v>0</v>
      </c>
      <c r="AW627" s="198">
        <f>IF(AND($B625=" ",$K627=AW$3),$O627,0)</f>
        <v>0</v>
      </c>
      <c r="AX627" s="198">
        <f>IF(AND($B625=" ",$K627=AX$3),$O627,0)</f>
        <v>0</v>
      </c>
      <c r="AY627" s="200">
        <f>IF(AND($B625=" ",$K627=AY$3),$O627,0)</f>
        <v>0</v>
      </c>
      <c r="AZ627" s="201">
        <f>IF(AND($B625=" ",$K627=AZ$3),$O627,0)</f>
        <v>0</v>
      </c>
      <c r="BA627" s="201">
        <f>IF(AND($B625=" ",$K627=BA$3),$O627,0)</f>
        <v>0</v>
      </c>
      <c r="BB627" s="201">
        <f>IF(AND($B625=" ",$K627=BB$3),$O627,0)</f>
        <v>0</v>
      </c>
      <c r="BC627" s="202">
        <f>IF(AND($B625=" ",$K627=BC$3),$O627,0)</f>
        <v>0</v>
      </c>
      <c r="BD627" s="198">
        <f>IF(AND($B625=" ",$K627=BD$3),$O627,0)</f>
        <v>0</v>
      </c>
      <c r="BE627" s="199">
        <f>IF(AND($B625=" ",$K627=BE$3),$O627,0)</f>
        <v>0</v>
      </c>
      <c r="BF627" s="197">
        <f>IF($K627=BF$3,IF($C627="X",0,$O627),0)</f>
        <v>0</v>
      </c>
      <c r="BG627" s="198">
        <f>IF($K627=BG$3,IF($C627="X",0,$O627),0)</f>
        <v>0</v>
      </c>
      <c r="BH627" s="198">
        <f>IF($K627=BH$3,IF($C627="X",0,$O627),0)</f>
        <v>0</v>
      </c>
      <c r="BI627" s="198">
        <f>IF($K627=BI$3,IF($C627="X",0,$O627),0)</f>
        <v>0</v>
      </c>
      <c r="BJ627" s="198">
        <f>IF($K627=BJ$3,IF($C627="X",0,$O627),0)</f>
        <v>0</v>
      </c>
      <c r="BK627" s="198">
        <f>IF($K627=BK$3,IF($C627="X",0,$O627),0)</f>
        <v>0</v>
      </c>
      <c r="BL627" s="198">
        <f>IF($K627=BL$3,IF($C627="X",0,$O627),0)</f>
        <v>0</v>
      </c>
      <c r="BM627" s="200">
        <f>IF($K627=BM$3,IF($C627="X",0,$O627),0)</f>
        <v>0</v>
      </c>
      <c r="BN627" s="201">
        <f>IF($K627=BN$3,IF($C627="X",0,$O627),0)</f>
        <v>0</v>
      </c>
      <c r="BO627" s="201">
        <f>IF($K627=BO$3,IF($C627="X",0,$O627),0)</f>
        <v>0</v>
      </c>
      <c r="BP627" s="201">
        <f>IF($K627=BP$3,IF($C627="X",0,$O627),0)</f>
        <v>0</v>
      </c>
      <c r="BQ627" s="202">
        <f>IF($K627=BQ$3,IF($C627="X",0,$O627),0)</f>
        <v>0</v>
      </c>
      <c r="BR627" s="199">
        <f>IF($K627=BR$3,IF($C627="X",0,$O627),0)</f>
        <v>0</v>
      </c>
      <c r="BS627" s="228"/>
      <c r="BT627" s="229"/>
      <c r="BU627" s="140"/>
      <c r="BV627" s="229"/>
      <c r="BW627" s="140"/>
      <c r="BX627" s="140"/>
      <c r="BY627" s="140"/>
      <c r="BZ627" s="229"/>
      <c r="CA627" s="140"/>
      <c r="CB627" s="140"/>
      <c r="CC627" s="140"/>
      <c r="CD627" s="141"/>
      <c r="CE627" s="142"/>
      <c r="CF627" s="230">
        <f>IF(CF$3=$K627,IF($C627="W",1,IF($C627="1/2W",0.5,0)),0)</f>
        <v>0</v>
      </c>
      <c r="CG627" s="231">
        <f>IF(CF$3=$K627,IF($C627="L",1,IF($C627="1/2L",0.5,0)),0)</f>
        <v>0</v>
      </c>
      <c r="CH627" s="231">
        <f>IF(CH$3=$K627,IF($C627="W",1,IF($C627="1/2W",0.5,0)),0)</f>
        <v>0</v>
      </c>
      <c r="CI627" s="231">
        <f>IF(CH$3=$K627,IF($C627="L",1,IF($C627="1/2L",0.5,0)),0)</f>
        <v>0</v>
      </c>
      <c r="CJ627" s="231">
        <f>IF(CJ$3=$K627,IF($C627="W",1,IF($C627="1/2W",0.5,0)),0)</f>
        <v>0</v>
      </c>
      <c r="CK627" s="231">
        <f>IF(CJ$3=$K627,IF($C627="L",1,IF($C627="1/2L",0.5,0)),0)</f>
        <v>0</v>
      </c>
      <c r="CL627" s="231">
        <f>IF(CL$3=$K627,IF($C627="W",1,IF($C627="1/2W",0.5,0)),0)</f>
        <v>0</v>
      </c>
      <c r="CM627" s="231">
        <f>IF(CL$3=$K627,IF($C627="L",1,IF($C627="1/2L",0.5,0)),0)</f>
        <v>0</v>
      </c>
      <c r="CN627" s="231">
        <f>IF(CN$3=$K627,IF($C627="W",1,IF($C627="1/2W",0.5,0)),0)</f>
        <v>0</v>
      </c>
      <c r="CO627" s="231">
        <f>IF(CN$3=$K627,IF($C627="L",1,IF($C627="1/2L",0.5,0)),0)</f>
        <v>0</v>
      </c>
      <c r="CP627" s="231">
        <f>IF(CP$3=$K627,IF($C627="W",1,IF($C627="1/2W",0.5,0)),0)</f>
        <v>0</v>
      </c>
      <c r="CQ627" s="231">
        <f>IF(CP$3=$K627,IF($C627="L",1,IF($C627="1/2L",0.5,0)),0)</f>
        <v>0</v>
      </c>
      <c r="CR627" s="231">
        <f>IF(CR$3=$K627,IF($C627="W",1,IF($C627="1/2W",0.5,0)),0)</f>
        <v>0</v>
      </c>
      <c r="CS627" s="231">
        <f>IF(CR$3=$K627,IF($C627="L",1,IF($C627="1/2L",0.5,0)),0)</f>
        <v>0</v>
      </c>
      <c r="CT627" s="208">
        <f>IF(CT$3=$K627,IF($C627="W",1,IF($C627="1/2W",0.5,0)),0)</f>
        <v>0</v>
      </c>
      <c r="CU627" s="209">
        <f>IF(CT$3=$K627,IF($C627="L",1,IF($C627="1/2L",0.5,0)),0)</f>
        <v>0</v>
      </c>
      <c r="CV627" s="209">
        <f>IF(CV$3=$K627,IF($C627="W",1,IF($C627="1/2W",0.5,0)),0)</f>
        <v>0</v>
      </c>
      <c r="CW627" s="209">
        <f>IF(CV$3=$K627,IF($C627="L",1,IF($C627="1/2L",0.5,0)),0)</f>
        <v>0</v>
      </c>
      <c r="CX627" s="209">
        <f>IF(CX$3=$K627,IF($C627="W",1,IF($C627="1/2W",0.5,0)),0)</f>
        <v>0</v>
      </c>
      <c r="CY627" s="209">
        <f>IF(CX$3=$K627,IF($C627="L",1,IF($C627="1/2L",0.5,0)),0)</f>
        <v>0</v>
      </c>
      <c r="CZ627" s="209">
        <f>IF(CZ$3=$K627,IF($C627="W",1,IF($C627="1/2W",0.5,0)),0)</f>
        <v>0</v>
      </c>
      <c r="DA627" s="209">
        <f>IF(CZ$3=$K627,IF($C627="L",1,IF($C627="1/2L",0.5,0)),0)</f>
        <v>0</v>
      </c>
      <c r="DB627" s="209">
        <f>IF(DB$3=$K627,IF($C627="W",1,IF($C627="1/2W",0.5,0)),0)</f>
        <v>0</v>
      </c>
      <c r="DC627" s="209">
        <f>IF(DB$3=$K627,IF($C627="L",1,IF($C627="1/2L",0.5,0)),0)</f>
        <v>0</v>
      </c>
      <c r="DD627" s="209">
        <f>IF(DD$3=$K627,IF($C627="W",1,IF($C627="1/2W",0.5,0)),0)</f>
        <v>0</v>
      </c>
      <c r="DE627" s="210">
        <f>IF(DD$3=$K627,IF($C627="L",1,IF($C627="1/2L",0.5,0)),0)</f>
        <v>0</v>
      </c>
      <c r="DF627" s="211">
        <f>IF(AND(L627&lt;DF$3,$C627="W"),1+DF626,DF626)</f>
        <v>17</v>
      </c>
      <c r="DG627" s="198">
        <f>IF(DF627&gt;DF626,L627+DG626,DG626)</f>
        <v>22.628</v>
      </c>
      <c r="DH627" s="209">
        <f>IF(AND(L627&gt;DH$3,$C627="W"),1+DH626,0+DH626)</f>
        <v>16</v>
      </c>
      <c r="DI627" s="198">
        <f>IF(DH627&gt;DH626,L627+DI626,DI626)</f>
        <v>85.45999999999999</v>
      </c>
      <c r="DJ627" t="s" s="306">
        <f>IF($D625="","",$D625)</f>
        <v>431</v>
      </c>
      <c r="DK627" s="232"/>
    </row>
    <row r="628" ht="14.55" customHeight="1">
      <c r="A628" s="246">
        <f>$A625+1</f>
        <v>209</v>
      </c>
      <c r="B628" t="s" s="247">
        <f>IF(AND(_xlfn.XLOOKUP(H628,H$107:H407,G$107:G407,0)=G628,_xlfn.XLOOKUP("TempoBet",K628:K630,L628:L630,0)&gt;0),"X",IF(OR(C628="W",C629="W",C630="W",C628="1/2W",C629="1/2W",C630="1/2W",C628="1/2L",C629="1/2L",C630="1/2L"),"OK",IF(OR(C628="L",C629="L",C630="L"),"LOSS",IF(OR(C628="X",C629="X",C630="X"),"Anulado"," "))))</f>
        <v>50</v>
      </c>
      <c r="C628" t="s" s="248">
        <v>56</v>
      </c>
      <c r="D628" t="s" s="303">
        <f>IF(G628="","",$D625)</f>
        <v>431</v>
      </c>
      <c r="E628" t="s" s="250">
        <v>148</v>
      </c>
      <c r="F628" t="s" s="251">
        <f>IF(G628="","",IF(OR(AND($C628&lt;&gt;" ",$C629=" "),AND($C629&lt;&gt;" ",$C628=" "),AND(L630&gt;0,OR(AND($C630&lt;&gt;" ",OR($C628=" ",$C629=" ")),AND($C630=" ",OR($C628&lt;&gt;" ",$C629&lt;&gt;" "))))),IF(SUM(F$4:F627)=0,1,LARGE(F$4:F627,1)+1),IF(MONTH(G628)=MONTH(TODAY()),IF(AND(DAY(G628)&lt;DAY(TODAY()),$B628=" "),IF(SUM(F$4:F627)=0,1,LARGE(F$4:F627,1)+1),IF($B628=" ",IF(AND(DAY(G628)=DAY(TODAY()),HOUR(G628)&lt;=HOUR(NOW())+1),IF(AND(HOUR(G628)+2&lt;=HOUR(NOW()),DAY(G628)&lt;=DAY(TODAY()),MINUTE(G628)&lt;=MINUTE(NOW())),IF(SUM(F$4:F627)=0,1,LARGE(F$4:F627,1)+1),IF(OR(MINUTE(G628)&lt;=MINUTE(NOW()),HOUR(G628)&lt;=HOUR(NOW())),"!!!","")),""),"")),"")))</f>
      </c>
      <c r="G628" s="252">
        <v>44954.291666666664</v>
      </c>
      <c r="H628" t="s" s="253">
        <v>459</v>
      </c>
      <c r="I628" t="s" s="254">
        <v>65</v>
      </c>
      <c r="J628" s="255">
        <v>10.5</v>
      </c>
      <c r="K628" t="s" s="256">
        <v>37</v>
      </c>
      <c r="L628" s="257">
        <v>3.5</v>
      </c>
      <c r="M628" s="258">
        <v>14</v>
      </c>
      <c r="N628" s="259">
        <v>0.1</v>
      </c>
      <c r="O628" s="260">
        <f>IF(OR(AE628="",AE629=""),"",ROUND(IF(L630&gt;0,IF(M628&gt;0,M628,IF(M629&gt;0,ROUND((M629*AE628)/AE629,IF(N628=0,2,IF(N628=0.1,1,0))),ROUND((M630*AE628)/AE630,IF(N628=0,2,IF(N628=0.1,1,0))))),IF(M628&gt;0,M628,ROUND((M629*AE628)/AE629,IF(N628=0,2,IF(N628=0.1,1,0))))),2))</f>
        <v>14</v>
      </c>
      <c r="P628" s="261">
        <f>IF(OR(L628="",O628=""),"",IF($C628="1/2W",O628/2+O628/2*L628,IF($C628="1/2L",O628/2,IF(I628="Lay",(O628*(L628/(L628-1))-O628)*(1-_xlfn.XLOOKUP(K628,'Janeiro 2023 - Valor Real'!A3:A15,'Janeiro 2023 - Valor Real'!C3:C15,0))+O628,(O628*L628-O628)*(1-_xlfn.XLOOKUP(K628,'Janeiro 2023 - Valor Real'!A3:A15,'Janeiro 2023 - Valor Real'!C3:C15,0))+O628))))</f>
        <v>49</v>
      </c>
      <c r="Q628" s="262">
        <f>IF(K628="","",IF(_xlfn.XLOOKUP(K628,K$107:K407,DJ$107:DJ407,0,,-1)=DJ628,_xlfn.XLOOKUP(K628,K$107:K407,Q$107:Q407,1,,-1)+1,1))</f>
        <v>1</v>
      </c>
      <c r="R628" s="263">
        <f>IF(K628="","",_xlfn.XLOOKUP(K628,K$107:K407,R$107:R407,0,,-1)+IF($C628=" ",1,0))</f>
        <v>0</v>
      </c>
      <c r="S628" s="264">
        <f>IF($B628="Anulado",0,ROUND(IF(OR($B628="LOSS",$B628="OK"),IF(OR($C628="W",$C628="1/2W",$C628="1/2L"),P628-O628,IF($C628="L",-O628,0))+IF(OR($C629="W",$C629="1/2W",$C629="1/2L"),P629-O629,IF($C629="L",-O629,0))+IF(OR($C630="W",$C630="1/2W",$C630="1/2L"),P630-O630,IF($C630="L",-O630,0)),IF(AND(OR($C628="W",$C628="1/2W",$C628="1/2L"),C629="W"),P628+P629-SUM(O628:O630)+_xlfn.XLOOKUP("X",C628:C630,O628:O630,0),IF(AND(C628=TRUE,C630="W"),P628+P630-SUM(O628:O630),IF(AND(C629="W",C630="W"),P629+P630-SUM(O628:O630)+_xlfn.XLOOKUP("X",C628:C630,O628:O630,0),IF(L630&gt;0,IF(OR($C628="W",$C628="1/2W",$C628="1/2L"),P628-SUM(O628:O630)+_xlfn.XLOOKUP("X",C628:C630,O628:O630,0),IF(OR($C628="W",$C628="1/2W",$C628="1/2L"),P629-SUM(O628:O630)+_xlfn.XLOOKUP("X",C628:C630,O628:O630,0),IF(OR($C628="W",$C628="1/2W",$C628="1/2L"),P630-SUM(O628:O630)+_xlfn.XLOOKUP("X",C628:C630,O628:O630,0),IF(SUM(P628:P630)/3-SUM(O628:O630)+_xlfn.XLOOKUP("X",C628:C630,O628:O630,0)&gt;0,SUM(P628:P630)/3-SUM(O628:O630)+_xlfn.XLOOKUP("X",C628:C630,O628:O630,0),LARGE(P628:P630,1)-SUM(O628:O630))))),IF(OR($C628="W",$C628="1/2W",$C628="1/2L"),P628-SUM(O628:O629)+_xlfn.XLOOKUP("X",C628:C630,O628:O630,0),IF(OR($C628="W",$C628="1/2W",$C628="1/2L"),P629-SUM(O628:O629)+_xlfn.XLOOKUP("X",C628:C630,O628:O630,0),SUM(P628:P629)/2-SUM(O628:O629)+_xlfn.XLOOKUP("X",C628:C630,O628:O630,0)))))))),2))</f>
        <v>3</v>
      </c>
      <c r="T628" s="265">
        <f>IF(S628=0,0,S628/SUM(O628:O630))</f>
        <v>0.0652173913043478</v>
      </c>
      <c r="U628" s="266">
        <f>IF($D628=$D625,IF(OR($B628="LOSS",$B628="OK",$B628="Anulada"),S628,0)+U625,IF(OR($B628="LOSS",$B628="OK",$B628="Anulada"),S628,0))</f>
        <v>27.37</v>
      </c>
      <c r="V628" s="266">
        <f>IF($D628="",0,IF($D628=$D625,IF($B628=" ",IF(I630="",IF(OR(AND(I628="DNB1",I629="DNB2"),AND(OR(I628="DNB1",I628="DNB2"),J629=0),AND(OR(I629="DNB1",I629="DNB2"),J628=0),AND(I628="DNB2",I629="DNB1"),AND(IF(J628=0,(J628+1)/ROUND(J628+1,0),J628/ROUND(J628,0))=1,IF(J629=0,(J629+1)/ROUND(IF(J629="",0,J629)+1,0),IF(J629="",0,J629)/ROUND(IF(J629="",1,J629),0))=1,OR(J628&lt;&gt;""),J629&lt;&gt;"")),0,IF(S628&lt;0,IF(I630="",SMALL(P628:P629,1)-SUM(O628:O629),0),SMALL(P628:P629,1)-SUM(O628:O629))),IF(S628&lt;0,IF(I630="",SMALL(P628:P630,1)-SUM(O628:O630),0),LARGE(P628:P630,1)-SUM(O628:O630))),S628)+V625,IF(I630="",IF(OR(AND(I628="DNB1",I629="DNB2"),AND(OR(I628="DNB1",I628="DNB2"),J629=0),AND(OR(I629="DNB1",I629="DNB2"),J628=0),AND(I628="DNB2",I629="DNB1"),AND(IF(J628=0,(J628+1)/ROUND(J628+1,0),J628/ROUND(J628,0))=1,IF(J629=0,(IF(J629="",0,J629)+1)/ROUND(IF(J629="",0,J629)+1,0),IF(J629="",0,J629)/ROUND(IF(J629="",0,J629)+1,0))=1,OR(J628&lt;&gt;""),J629&lt;&gt;"")),0,IF(S628&lt;0,IF(I630="",SMALL(P628:P629,1)-SUM(O628:O629),0),SMALL(P628:P630,1)-SUM(O628:O630))),IF(S628&lt;0,IF(I630="",SMALL(P628:P630,1)-SUM(O628:O630),0),LARGE(P628:P630,1)-SUM(O628:O630)))))</f>
        <v>27.342</v>
      </c>
      <c r="W628" s="266">
        <f>IF($D628=$D625,IF(S628&lt;0,IF(I630="",S628,0),S628)+W625,S628)</f>
        <v>27.37</v>
      </c>
      <c r="X628" t="s" s="267">
        <f>IF(OR(SUM(R628:R630)=0,V628=W628),ROUND(IF(W628=0,0,W628/Y628)*100,2)&amp;"%",ROUND(IF(V628=0,0,V628/Y628)*100,2)&amp;"% a "&amp;ROUND(IF(W628=0,0,W628/Y628)*100,2)&amp;"%")</f>
        <v>453</v>
      </c>
      <c r="Y628" s="268">
        <f>IF($D628=$D625,Y625+SUM(O628:O630),SUM(O628:O630))</f>
        <v>418.05</v>
      </c>
      <c r="Z628" s="266">
        <f>IF($B628=" ",SUM(O628:O630),0)+Z625</f>
        <v>0</v>
      </c>
      <c r="AA628" s="266">
        <f>IF(G628="","",IF($B628="Anulado",LARGE(P628:P630,1)-SUM(O628:O630)+AA625,AA625))</f>
        <v>26.8740076923077</v>
      </c>
      <c r="AB628" s="266">
        <f>IF($D628="","",AB625+S628)</f>
        <v>415.7</v>
      </c>
      <c r="AC628" s="269">
        <f>IF($D628="","",IF($B628=" ",IF(DAY(G628)=DAY(TODAY()),1+AC625,0+AC625),0+AC625))</f>
        <v>0</v>
      </c>
      <c r="AD628" s="270">
        <f>(1-_xlfn.XLOOKUP(K626,'Janeiro 2023 - Valor Real'!A3:A15,'Janeiro 2023 - Valor Real'!C3:C15,0))+1</f>
        <v>2</v>
      </c>
      <c r="AE628" s="271">
        <f>IF(L628="","",IF(L630&gt;0,(SUM(((L628-1)*(1-_xlfn.XLOOKUP(K628,'Janeiro 2023 - Valor Real'!A3:A15,'Janeiro 2023 - Valor Real'!C3:C15,0))+1),((L629-1)*(1-_xlfn.XLOOKUP(K629,'Janeiro 2023 - Valor Real'!A3:A15,'Janeiro 2023 - Valor Real'!C3:C15,0))+1),((L630-1)*(1-_xlfn.XLOOKUP(K630,'Janeiro 2023 - Valor Real'!A3:A15,'Janeiro 2023 - Valor Real'!C3:C15,0))+1))/((L628-1)*(1-_xlfn.XLOOKUP(K628,'Janeiro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Real'!C3:C15,0))+1))/((L628-1)*(1-_xlfn.XLOOKUP(K628,'Janeiro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Real'!C3:C15,0))+1))/((L629-1)*(1-_xlfn.XLOOKUP(K629,'Janeiro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Real'!C3:C15,0))+1))/((L630-1)*(1-_xlfn.XLOOKUP(K630,'Janeiro 2023 - Valor Real'!A3:A15,'Janeiro 2023 - Valor Real'!C3:C15,0))+1)),IF(I628="Lay",IF(I629="Lay",((L629/(L629-1)-1)*(1-_xlfn.XLOOKUP(K629,'Janeiro 2023 - Valor Real'!A3:A15,'Janeiro 2023 - Valor Real'!C3:C15,0))+1)/(((L629/(L629-1)-1)*(1-_xlfn.XLOOKUP(K629,'Janeiro 2023 - Valor Real'!A3:A15,'Janeiro 2023 - Valor Real'!C3:C15,0))+1)+((L628/(L628-1)-1)*(1-_xlfn.XLOOKUP(K628,'Janeiro 2023 - Valor Real'!A3:A15,'Janeiro 2023 - Valor Real'!C3:C15,0))+1)),((L629-1)*(1-_xlfn.XLOOKUP(K629,'Janeiro 2023 - Valor Real'!A3:A15,'Janeiro 2023 - Valor Real'!C3:C15,0))+1)/(((L629-1)*(1-_xlfn.XLOOKUP(K629,'Janeiro 2023 - Valor Real'!A3:A15,'Janeiro 2023 - Valor Real'!C3:C15,0))+1)+((L628/(L628-1)-1)*(1-_xlfn.XLOOKUP(K628,'Janeiro 2023 - Valor Real'!A3:A15,'Janeiro 2023 - Valor Real'!C3:C15,0))+1))),IF(I629="Lay",(((L629/(L629-1)-1)*(1-_xlfn.XLOOKUP(K629,'Janeiro 2023 - Valor Real'!A3:A15,'Janeiro 2023 - Valor Real'!C3:C15,0))+1))/(((L628-1)*(1-_xlfn.XLOOKUP(K628,'Janeiro 2023 - Valor Real'!A3:A15,'Janeiro 2023 - Valor Real'!C3:C15,0))+1)+((L629/(L629-1)-1)*(1-_xlfn.XLOOKUP(K629,'Janeiro 2023 - Valor Real'!A3:A15,'Janeiro 2023 - Valor Real'!C3:C15,0))+1)),((L629-1)*(1-_xlfn.XLOOKUP(K629,'Janeiro 2023 - Valor Real'!A3:A15,'Janeiro 2023 - Valor Real'!C3:C15,0))+1)/(((L629-1)*(1-_xlfn.XLOOKUP(K629,'Janeiro 2023 - Valor Real'!A3:A15,'Janeiro 2023 - Valor Real'!C3:C15,0))+1)+((L628-1)*(1-_xlfn.XLOOKUP(K628,'Janeiro 2023 - Valor Real'!A3:A15,'Janeiro 2023 - Valor Real'!C3:C15,0))+1))))))</f>
        <v>0.304174950298211</v>
      </c>
      <c r="AF628" s="132">
        <f>IF($K628=AF$3,ROUND(IF(OR($C628="W",$C628="1/2W",$C628="1/2L"),$P628-$O628,IF($C628="X",0,-$O628)),2),0)</f>
        <v>35</v>
      </c>
      <c r="AG628" s="133">
        <f>IF($K628=AG$3,ROUND(IF(OR($C628="W",$C628="1/2W",$C628="1/2L"),$P628-$O628,IF($C628="X",0,-$O628)),2),0)</f>
        <v>0</v>
      </c>
      <c r="AH628" s="133">
        <f>IF($K628=AH$3,ROUND(IF(OR($C628="W",$C628="1/2W",$C628="1/2L"),$P628-$O628,IF($C628="X",0,-$O628)),2),0)</f>
        <v>0</v>
      </c>
      <c r="AI628" s="133">
        <f>IF($K628=AI$3,ROUND(IF(OR($C628="W",$C628="1/2W",$C628="1/2L"),$P628-$O628,IF($C628="X",0,-$O628)),2),0)</f>
        <v>0</v>
      </c>
      <c r="AJ628" s="133">
        <f>IF($K628=AJ$3,ROUND(IF(OR($C628="W",$C628="1/2W",$C628="1/2L"),$P628-$O628,IF($C628="X",0,-$O628)),2),0)</f>
        <v>0</v>
      </c>
      <c r="AK628" s="133">
        <f>IF($K628=AK$3,ROUND(IF(OR($C628="W",$C628="1/2W",$C628="1/2L"),$P628-$O628,IF($C628="X",0,-$O628)),2),0)</f>
        <v>0</v>
      </c>
      <c r="AL628" s="133">
        <f>IF($K628=AL$3,ROUND(IF(OR($C628="W",$C628="1/2W",$C628="1/2L"),$P628-$O628,IF($C628="X",0,-$O628)),2),0)</f>
        <v>0</v>
      </c>
      <c r="AM628" s="133">
        <f>IF($K628=AM$3,ROUND(IF(OR($C628="W",$C628="1/2W",$C628="1/2L"),$P628-$O628,IF($C628="X",0,-$O628)),2),0)</f>
        <v>0</v>
      </c>
      <c r="AN628" s="133">
        <f>IF($K628=AN$3,ROUND(IF(OR($C628="W",$C628="1/2W",$C628="1/2L"),$P628-$O628,IF($C628="X",0,-$O628)),2),0)</f>
        <v>0</v>
      </c>
      <c r="AO628" s="133">
        <f>IF($K628=AO$3,ROUND(IF(OR($C628="W",$C628="1/2W",$C628="1/2L"),$P628-$O628,IF($C628="X",0,-$O628)),2),0)</f>
        <v>0</v>
      </c>
      <c r="AP628" s="133">
        <f>IF($K628=AP$3,ROUND(IF(OR($C628="W",$C628="1/2W",$C628="1/2L"),$P628-$O628,IF($C628="X",0,-$O628)),2),0)</f>
        <v>0</v>
      </c>
      <c r="AQ628" s="133">
        <f>IF($K628=AQ$3,ROUND(IF(OR($C628="W",$C628="1/2W",$C628="1/2L"),$P628-$O628,IF($C628="X",0,-$O628)),2),0)</f>
        <v>0</v>
      </c>
      <c r="AR628" s="134">
        <f>IF($K628=AR$3,ROUND(IF(OR($C628="W",$C628="1/2W",$C628="1/2L"),$P628-$O628,IF($C628="X",0,-$O628)),2),0)</f>
        <v>0</v>
      </c>
      <c r="AS628" s="132">
        <f>IF(AND($B628=" ",$K628=AS$3),$O628,0)</f>
        <v>0</v>
      </c>
      <c r="AT628" s="133">
        <f>IF(AND($B628=" ",$K628=AT$3),$O628,0)</f>
        <v>0</v>
      </c>
      <c r="AU628" s="133">
        <f>IF(AND($B628=" ",$K628=AU$3),$O628,0)</f>
        <v>0</v>
      </c>
      <c r="AV628" s="133">
        <f>IF(AND($B628=" ",$K628=AV$3),$O628,0)</f>
        <v>0</v>
      </c>
      <c r="AW628" s="133">
        <f>IF(AND($B628=" ",$K628=AW$3),$O628,0)</f>
        <v>0</v>
      </c>
      <c r="AX628" s="133">
        <f>IF(AND($B628=" ",$K628=AX$3),$O628,0)</f>
        <v>0</v>
      </c>
      <c r="AY628" s="135">
        <f>IF(AND($B628=" ",$K628=AY$3),$O628,0)</f>
        <v>0</v>
      </c>
      <c r="AZ628" s="136">
        <f>IF(AND($B628=" ",$K628=AZ$3),$O628,0)</f>
        <v>0</v>
      </c>
      <c r="BA628" s="136">
        <f>IF(AND($B628=" ",$K628=BA$3),$O628,0)</f>
        <v>0</v>
      </c>
      <c r="BB628" s="136">
        <f>IF(AND($B628=" ",$K628=BB$3),$O628,0)</f>
        <v>0</v>
      </c>
      <c r="BC628" s="137">
        <f>IF(AND($B628=" ",$K628=BC$3),$O628,0)</f>
        <v>0</v>
      </c>
      <c r="BD628" s="133">
        <f>IF(AND($B628=" ",$K628=BD$3),$O628,0)</f>
        <v>0</v>
      </c>
      <c r="BE628" s="134">
        <f>IF(AND($B628=" ",$K628=BE$3),$O628,0)</f>
        <v>0</v>
      </c>
      <c r="BF628" s="132">
        <f>IF($K628=BF$3,IF($C628="X",0,$O628),0)</f>
        <v>14</v>
      </c>
      <c r="BG628" s="133">
        <f>IF($K628=BG$3,IF($C628="X",0,$O628),0)</f>
        <v>0</v>
      </c>
      <c r="BH628" s="133">
        <f>IF($K628=BH$3,IF($C628="X",0,$O628),0)</f>
        <v>0</v>
      </c>
      <c r="BI628" s="133">
        <f>IF($K628=BI$3,IF($C628="X",0,$O628),0)</f>
        <v>0</v>
      </c>
      <c r="BJ628" s="133">
        <f>IF($K628=BJ$3,IF($C628="X",0,$O628),0)</f>
        <v>0</v>
      </c>
      <c r="BK628" s="133">
        <f>IF($K628=BK$3,IF($C628="X",0,$O628),0)</f>
        <v>0</v>
      </c>
      <c r="BL628" s="133">
        <f>IF($K628=BL$3,IF($C628="X",0,$O628),0)</f>
        <v>0</v>
      </c>
      <c r="BM628" s="135">
        <f>IF($K628=BM$3,IF($C628="X",0,$O628),0)</f>
        <v>0</v>
      </c>
      <c r="BN628" s="136">
        <f>IF($K628=BN$3,IF($C628="X",0,$O628),0)</f>
        <v>0</v>
      </c>
      <c r="BO628" s="136">
        <f>IF($K628=BO$3,IF($C628="X",0,$O628),0)</f>
        <v>0</v>
      </c>
      <c r="BP628" s="136">
        <f>IF($K628=BP$3,IF($C628="X",0,$O628),0)</f>
        <v>0</v>
      </c>
      <c r="BQ628" s="137">
        <f>IF($K628=BQ$3,IF($C628="X",0,$O628),0)</f>
        <v>0</v>
      </c>
      <c r="BR628" s="134">
        <f>IF($K628=BR$3,IF($C628="X",0,$O628),0)</f>
        <v>0</v>
      </c>
      <c r="BS628" s="170">
        <f>IF($B628="LOSS",IF(AND($K628=BS$3,$C628="L"),-$O628,0)+IF(AND($K629=BS$3,$C629="L"),-$O629,0)+IF(AND($K630=BS$3,$C630="L"),-$O630,0),IF(OR(AND($K628=BS$3,OR($C628="W",$C628="1/2W")),AND($K629=BS$3,OR($C629="W",$C629="1/2W")),AND($K630=BS$3,OR($C630="W",$C630="1/2W"))),$S628,0))</f>
        <v>3</v>
      </c>
      <c r="BT628" s="272">
        <f>IF($B628="LOSS",IF(AND($K628=BT$3,$C628="L"),-$O628,0)+IF(AND($K629=BT$3,$C629="L"),-$O629,0)+IF(AND($K629=BT$3,$C630="L"),-$O630,0),IF(OR(AND($K629=BT$3,OR($C628="W",$C628="1/2W")),AND($K629=BT$3,OR($C629="W",$C629="1/2W")),AND($K629=BT$3,OR($C630="W",$C630="1/2W"))),$S628,0))</f>
        <v>3</v>
      </c>
      <c r="BU628" s="136">
        <f>IF($B628="LOSS",IF(AND($K628=BU$3,$C628="L"),-$O628,0)+IF(AND($K629=BU$3,$C629="L"),-$O629,0)+IF(AND($K629=BU$3,$C630="L"),-$O630,0),IF(OR(AND($K629=BU$3,OR($C628="W",$C628="1/2W")),AND($K629=BU$3,OR($C629="W",$C629="1/2W")),AND($K629=BU$3,OR($C630="W",$C630="1/2W"))),$S628,0))</f>
        <v>0</v>
      </c>
      <c r="BV628" s="136">
        <f>IF($B628="LOSS",IF(AND($K628=BV$3,$C628="L"),-$O628,0)+IF(AND($K629=BV$3,$C629="L"),-$O629,0)+IF(AND($K630=BV$3,$C630="L"),-$O630,0),IF(OR(AND($K628=BV$3,OR($C628="W",$C628="1/2W")),AND($K629=BV$3,OR($C629="W",$C629="1/2W")),AND($K630=BV$3,OR($C630="W",$C630="1/2W"))),$S628,0))</f>
        <v>0</v>
      </c>
      <c r="BW628" s="136">
        <f>IF($B628="LOSS",IF(AND($K628=BW$3,$C628="L"),-$O628,0)+IF(AND($K629=BW$3,$C629="L"),-$O629,0)+IF(AND($K630=BW$3,$C630="L"),-$O630,0),IF(OR(AND($K628=BW$3,OR($C628="W",$C628="1/2W")),AND($K629=BW$3,OR($C629="W",$C629="1/2W")),AND($K630=BW$3,OR($C630="W",$C630="1/2W"))),$S628,0))</f>
        <v>0</v>
      </c>
      <c r="BX628" s="136">
        <f>IF($B628="LOSS",IF(AND($K628=BX$3,$C628="L"),-$O628,0)+IF(AND($K629=BX$3,$C629="L"),-$O629,0)+IF(AND($K630=BX$3,$C630="L"),-$O630,0),IF(OR(AND($K628=BX$3,OR($C628="W",$C628="1/2W")),AND($K629=BX$3,OR($C629="W",$C629="1/2W")),AND($K630=BX$3,OR($C630="W",$C630="1/2W"))),$S628,0))</f>
        <v>0</v>
      </c>
      <c r="BY628" s="136">
        <f>IF($B628="LOSS",IF(AND($K628=BY$3,$C628="L"),-$O628,0)+IF(AND($K629=BY$3,$C629="L"),-$O629,0)+IF(AND($K630=BY$3,$C630="L"),-$O630,0),IF(OR(AND($K628=BY$3,OR($C628="W",$C628="1/2W")),AND($K629=BY$3,OR($C629="W",$C629="1/2W")),AND($K630=BY$3,OR($C630="W",$C630="1/2W"))),$S628,0))</f>
        <v>0</v>
      </c>
      <c r="BZ628" s="136">
        <f>IF($B628="LOSS",IF(AND($K628=BZ$3,$C628="L"),-$O628,0)+IF(AND($K629=BZ$3,$C629="L"),-$O629,0)+IF(AND($K630=BZ$3,$C630="L"),-$O630,0),IF(OR(AND($K628=BZ$3,OR($C628="W",$C628="1/2W")),AND($K629=BZ$3,OR($C629="W",$C629="1/2W")),AND($K630=BZ$3,OR($C630="W",$C630="1/2W"))),$S628,0))</f>
        <v>0</v>
      </c>
      <c r="CA628" s="136">
        <f>IF($B628="LOSS",IF(AND($K628=CA$3,$C628="L"),-$O628,0)+IF(AND($K629=CA$3,$C629="L"),-$O629,0)+IF(AND($K630=CA$3,$C630="L"),-$O630,0),IF(OR(AND($K628=CA$3,OR($C628="W",$C628="1/2W")),AND($K629=CA$3,OR($C629="W",$C629="1/2W")),AND($K630=CA$3,OR($C630="W",$C630="1/2W"))),$S628,0))</f>
        <v>0</v>
      </c>
      <c r="CB628" s="136">
        <f>IF($B628="LOSS",IF(AND($K628=CB$3,$C628="L"),-$O628,0)+IF(AND($K629=CB$3,$C629="L"),-$O629,0)+IF(AND($K630=CB$3,$C630="L"),-$O630,0),IF(OR(AND($K628=CB$3,OR($C628="W",$C628="1/2W")),AND($K629=CB$3,OR($C629="W",$C629="1/2W")),AND($K630=CB$3,OR($C630="W",$C630="1/2W"))),$S628,0))</f>
        <v>0</v>
      </c>
      <c r="CC628" s="136">
        <f>IF($B628="LOSS",IF(AND($K628=CC$3,$C628="L"),-$O628,0)+IF(AND($K629=CC$3,$C629="L"),-$O629,0)+IF(AND($K630=CC$3,$C630="L"),-$O630,0),IF(OR(AND($K628=CC$3,OR($C628="W",$C628="1/2W")),AND($K629=CC$3,OR($C629="W",$C629="1/2W")),AND($K630=CC$3,OR($C630="W",$C630="1/2W"))),$S628,0))</f>
        <v>0</v>
      </c>
      <c r="CD628" s="137">
        <f>IF($B628="LOSS",IF(AND($K628=CD$3,$C628="L"),-$O628,0)+IF(AND($K629=CD$3,$C629="L"),-$O629,0)+IF(AND($K630=CD$3,$C630="L"),-$O630,0),IF(OR(AND($K628=CD$3,OR($C628="W",$C628="1/2W")),AND($K629=CD$3,OR($C629="W",$C629="1/2W")),AND($K630=CD$3,OR($C630="W",$C630="1/2W"))),$S628,0))</f>
        <v>0</v>
      </c>
      <c r="CE628" s="134">
        <f>IF($B628="LOSS",IF(AND($K628=CE$3,$C628="L"),-$O628,0)+IF(AND($K629=CE$3,$C629="L"),-$O629,0)+IF(AND($K630=CE$3,$C630="L"),-$O630,0),IF(OR(AND($K628=CE$3,OR($C628="W",$C628="1/2W")),AND($K629=CE$3,OR($C629="W",$C629="1/2W")),AND($K630=CE$3,OR($C630="W",$C630="1/2W"))),$S628,0))</f>
        <v>0</v>
      </c>
      <c r="CF628" s="273">
        <f>IF(CF$3=$K628,IF($C628="W",1,IF($C628="1/2W",0.5,0)),0)</f>
        <v>1</v>
      </c>
      <c r="CG628" s="274">
        <f>IF(CF$3=$K628,IF($C628="L",1,IF($C628="1/2L",0.5,0)),0)</f>
        <v>0</v>
      </c>
      <c r="CH628" s="274">
        <f>IF(CH$3=$K628,IF($C628="W",1,IF($C628="1/2W",0.5,0)),0)</f>
        <v>0</v>
      </c>
      <c r="CI628" s="274">
        <f>IF(CH$3=$K628,IF($C628="L",1,IF($C628="1/2L",0.5,0)),0)</f>
        <v>0</v>
      </c>
      <c r="CJ628" s="274">
        <f>IF(CJ$3=$K628,IF($C628="W",1,IF($C628="1/2W",0.5,0)),0)</f>
        <v>0</v>
      </c>
      <c r="CK628" s="274">
        <f>IF(CJ$3=$K628,IF($C628="L",1,IF($C628="1/2L",0.5,0)),0)</f>
        <v>0</v>
      </c>
      <c r="CL628" s="274">
        <f>IF(CL$3=$K628,IF($C628="W",1,IF($C628="1/2W",0.5,0)),0)</f>
        <v>0</v>
      </c>
      <c r="CM628" s="274">
        <f>IF(CL$3=$K628,IF($C628="L",1,IF($C628="1/2L",0.5,0)),0)</f>
        <v>0</v>
      </c>
      <c r="CN628" s="274">
        <f>IF(CN$3=$K628,IF($C628="W",1,IF($C628="1/2W",0.5,0)),0)</f>
        <v>0</v>
      </c>
      <c r="CO628" s="274">
        <f>IF(CN$3=$K628,IF($C628="L",1,IF($C628="1/2L",0.5,0)),0)</f>
        <v>0</v>
      </c>
      <c r="CP628" s="274">
        <f>IF(CP$3=$K628,IF($C628="W",1,IF($C628="1/2W",0.5,0)),0)</f>
        <v>0</v>
      </c>
      <c r="CQ628" s="274">
        <f>IF(CP$3=$K628,IF($C628="L",1,IF($C628="1/2L",0.5,0)),0)</f>
        <v>0</v>
      </c>
      <c r="CR628" s="274">
        <f>IF(CR$3=$K628,IF($C628="W",1,IF($C628="1/2W",0.5,0)),0)</f>
        <v>0</v>
      </c>
      <c r="CS628" s="274">
        <f>IF(CR$3=$K628,IF($C628="L",1,IF($C628="1/2L",0.5,0)),0)</f>
        <v>0</v>
      </c>
      <c r="CT628" s="145">
        <f>IF(CT$3=$K628,IF($C628="W",1,IF($C628="1/2W",0.5,0)),0)</f>
        <v>0</v>
      </c>
      <c r="CU628" s="146">
        <f>IF(CT$3=$K628,IF($C628="L",1,IF($C628="1/2L",0.5,0)),0)</f>
        <v>0</v>
      </c>
      <c r="CV628" s="146">
        <f>IF(CV$3=$K628,IF($C628="W",1,IF($C628="1/2W",0.5,0)),0)</f>
        <v>0</v>
      </c>
      <c r="CW628" s="146">
        <f>IF(CV$3=$K628,IF($C628="L",1,IF($C628="1/2L",0.5,0)),0)</f>
        <v>0</v>
      </c>
      <c r="CX628" s="146">
        <f>IF(CX$3=$K628,IF($C628="W",1,IF($C628="1/2W",0.5,0)),0)</f>
        <v>0</v>
      </c>
      <c r="CY628" s="146">
        <f>IF(CX$3=$K628,IF($C628="L",1,IF($C628="1/2L",0.5,0)),0)</f>
        <v>0</v>
      </c>
      <c r="CZ628" s="146">
        <f>IF(CZ$3=$K628,IF($C628="W",1,IF($C628="1/2W",0.5,0)),0)</f>
        <v>0</v>
      </c>
      <c r="DA628" s="146">
        <f>IF(CZ$3=$K628,IF($C628="L",1,IF($C628="1/2L",0.5,0)),0)</f>
        <v>0</v>
      </c>
      <c r="DB628" s="146">
        <f>IF(DB$3=$K628,IF($C628="W",1,IF($C628="1/2W",0.5,0)),0)</f>
        <v>0</v>
      </c>
      <c r="DC628" s="146">
        <f>IF(DB$3=$K628,IF($C628="L",1,IF($C628="1/2L",0.5,0)),0)</f>
        <v>0</v>
      </c>
      <c r="DD628" s="146">
        <f>IF(DD$3=$K628,IF($C628="W",1,IF($C628="1/2W",0.5,0)),0)</f>
        <v>0</v>
      </c>
      <c r="DE628" s="147">
        <f>IF(DD$3=$K628,IF($C628="L",1,IF($C628="1/2L",0.5,0)),0)</f>
        <v>0</v>
      </c>
      <c r="DF628" s="143">
        <f>IF(AND(L628&lt;DF$3,$C628="W"),1+DF627,DF627)</f>
        <v>17</v>
      </c>
      <c r="DG628" s="133">
        <f>IF(DF628&gt;DF627,L628+DG627,DG627)</f>
        <v>22.628</v>
      </c>
      <c r="DH628" s="146">
        <f>IF(AND(L628&gt;DH$3,$C628="W"),1+DH627,0+DH627)</f>
        <v>16</v>
      </c>
      <c r="DI628" s="133">
        <f>IF(DH628&gt;DH627,L628+DI627,DI627)</f>
        <v>85.45999999999999</v>
      </c>
      <c r="DJ628" t="s" s="304">
        <f>IF($D628="","",$D628)</f>
        <v>431</v>
      </c>
      <c r="DK628" s="146">
        <f>IF(AND($B628=" ",$D628&lt;&gt;""),1,0)</f>
        <v>0</v>
      </c>
    </row>
    <row r="629" ht="14.55" customHeight="1">
      <c r="A629" s="107"/>
      <c r="B629" s="108"/>
      <c r="C629" t="s" s="109">
        <v>51</v>
      </c>
      <c r="D629" s="110"/>
      <c r="E629" s="111"/>
      <c r="F629" s="113"/>
      <c r="G629" s="252"/>
      <c r="H629" s="114"/>
      <c r="I629" t="s" s="275">
        <v>67</v>
      </c>
      <c r="J629" s="276">
        <f>IF(OR(I628="TO",I628="TU",I628="TO1",I628="TU1",I628="TO2",I628="TU2"),J628,IF(OR(I628="AH1",I628="AH2"),IF(OR(I629="AH1",I629="AH2"),-J628,IF(OR(I629="EH1",I629="EH2"),-J628+0.5,"")),IF(OR(I628="EH1",I628="EH2"),IF(OR(I629="AH1",I629="AH2"),-J628+0.5,IF(OR(I629="EH1",I629="EH2"),-J628+1,"")),IF(AND(OR(I628="DNB1",I628="DNB2"),OR(I629="AH1",I629="AH2")),0,IF(AND(I628="Not ScoreBoth",OR(I629="TO1",I629="TO2")),0.5,"")))))</f>
        <v>10.5</v>
      </c>
      <c r="K629" t="s" s="117">
        <v>38</v>
      </c>
      <c r="L629" s="277">
        <v>1.53</v>
      </c>
      <c r="M629" s="278"/>
      <c r="N629" s="120"/>
      <c r="O629" s="121">
        <f>IF(OR(AE628="",AE629=""),"",ROUND(IF(L630&gt;0,IF(M629&gt;0,M629,IF(M628&gt;0,IF(N628=TRUE,ROUND((M628*AE629)/AE628,0),(M628*AE629)/AE628),IF(M629&gt;0,ROUND(M629,IF(N628=0,2,IF(N628=0.1,1,0))),IF(M630&gt;0,ROUND(O630*AE629/AE630,IF(N628=0,2,IF(N628=0.1,1,0))),0)))),IF(M629&gt;0,M629,ROUND((M628*AE629)/AE628,IF(N628=0,2,IF(N628=0.1,1,0))))),2))</f>
        <v>32</v>
      </c>
      <c r="P629" s="122">
        <f>IF(OR(L629="",O629=""),"",IF($C629="1/2W",O629/2+O629/2*L629,IF($C629="1/2L",O629/2,IF(I629="Lay",((O629*(L629/(L629-1)))-O629)*(1-_xlfn.XLOOKUP(K629,'Janeiro 2023 - Valor Real'!A3:A15,'Janeiro 2023 - Valor Real'!C3:C15,0))+O629,(O629*L629-O629)*(1-_xlfn.XLOOKUP(K629,'Janeiro 2023 - Valor Real'!A3:A15,'Janeiro 2023 - Valor Real'!C3:C15,0))+O629))))</f>
        <v>48.96</v>
      </c>
      <c r="Q629" s="279">
        <f>IF(K629="","",IF(_xlfn.XLOOKUP(K629,K$120:K408,DJ$120:DJ408,0,,-1)=DJ629,_xlfn.XLOOKUP(K629,K$120:K408,Q$120:Q408,1,,-1)+1,1))</f>
        <v>1</v>
      </c>
      <c r="R629" s="280">
        <f>IF(K629="","",_xlfn.XLOOKUP(K629,K$120:K408,R$120:R408,0,,-1)+IF($C629=" ",1,0))</f>
        <v>0</v>
      </c>
      <c r="S629" s="125"/>
      <c r="T629" s="126"/>
      <c r="U629" s="126"/>
      <c r="V629" s="224"/>
      <c r="W629" s="126"/>
      <c r="X629" s="127"/>
      <c r="Y629" s="128"/>
      <c r="Z629" s="129"/>
      <c r="AA629" s="129"/>
      <c r="AB629" s="129"/>
      <c r="AC629" s="129"/>
      <c r="AD629" s="130"/>
      <c r="AE629" s="131">
        <f>IF(L629="","",IF(L630&gt;0,(SUM(((L628-1)*(1-_xlfn.XLOOKUP(K628,'Janeiro 2023 - Valor Real'!A3:A15,'Janeiro 2023 - Valor Real'!C3:C15,0))+1),((L629-1)*(1-_xlfn.XLOOKUP(K629,'Janeiro 2023 - Valor Real'!A3:A15,'Janeiro 2023 - Valor Real'!C3:C15,0))+1),((L630-1)*(1-_xlfn.XLOOKUP(K630,'Janeiro 2023 - Valor Real'!A3:A15,'Janeiro 2023 - Valor Real'!C3:C15,0))+1))/((L629-1)*(1-_xlfn.XLOOKUP(K629,'Janeiro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Real'!C3:C15,0))+1))/((L628-1)*(1-_xlfn.XLOOKUP(K628,'Janeiro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Real'!C3:C15,0))+1))/((L629-1)*(1-_xlfn.XLOOKUP(K629,'Janeiro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Real'!C3:C15,0))+1))/((L630-1)*(1-_xlfn.XLOOKUP(K630,'Janeiro 2023 - Valor Real'!A3:A15,'Janeiro 2023 - Valor Real'!C3:C15,0))+1)),IF(I629="Lay",IF(I628="Lay",((L628/(L628-1)-1)*(1-_xlfn.XLOOKUP(K628,'Janeiro 2023 - Valor Real'!A3:A15,'Janeiro 2023 - Valor Real'!C3:C15,0))+1)/(((L628/(L628-1)-1)*(1-_xlfn.XLOOKUP(K628,'Janeiro 2023 - Valor Real'!A3:A15,'Janeiro 2023 - Valor Real'!C3:C15,0))+1)+((L629/(L629-1)-1)*(1-_xlfn.XLOOKUP(K629,'Janeiro 2023 - Valor Real'!A3:A15,'Janeiro 2023 - Valor Real'!C3:C15,0))+1)),((L628-1)*(1-_xlfn.XLOOKUP(K628,'Janeiro 2023 - Valor Real'!A3:A15,'Janeiro 2023 - Valor Real'!C3:C15,0))+1)/(((L628-1)*(1-_xlfn.XLOOKUP(K628,'Janeiro 2023 - Valor Real'!A3:A15,'Janeiro 2023 - Valor Real'!C3:C15,0))+1)+((L629/(L629-1)-1)*(1-_xlfn.XLOOKUP(K629,'Janeiro 2023 - Valor Real'!A3:A15,'Janeiro 2023 - Valor Real'!C3:C15,0))+1))),IF(I628="Lay",((L628/(L628-1)-1)*(1-_xlfn.XLOOKUP(K628,'Janeiro 2023 - Valor Real'!A3:A15,'Janeiro 2023 - Valor Real'!C3:C15,0))+1)/((((L628/(L628-1)-1)*(1-_xlfn.XLOOKUP(K628,'Janeiro 2023 - Valor Real'!A3:A15,'Janeiro 2023 - Valor Real'!C3:C15,0))+1))+((L629-1)*(1-_xlfn.XLOOKUP(K629,'Janeiro 2023 - Valor Real'!A3:A15,'Janeiro 2023 - Valor Real'!C3:C15,0))+1)),((L628-1)*(1-_xlfn.XLOOKUP(K628,'Janeiro 2023 - Valor Real'!A3:A15,'Janeiro 2023 - Valor Real'!C3:C15,0))+1)/(((L628-1)*(1-_xlfn.XLOOKUP(K628,'Janeiro 2023 - Valor Real'!A3:A15,'Janeiro 2023 - Valor Real'!C3:C15,0))+1)+((L629-1)*(1-_xlfn.XLOOKUP(K629,'Janeiro 2023 - Valor Real'!A3:A15,'Janeiro 2023 - Valor Real'!C3:C15,0))+1))))))</f>
        <v>0.695825049701789</v>
      </c>
      <c r="AF629" s="132">
        <f>IF($K629=AF$3,ROUND(IF(OR($C629="W",$C629="1/2W",$C629="1/2L"),$P629-$O629,IF($C629="X",0,-$O629)),2),0)</f>
        <v>0</v>
      </c>
      <c r="AG629" s="133">
        <f>IF($K629=AG$3,ROUND(IF(OR($C629="W",$C629="1/2W",$C629="1/2L"),$P629-$O629,IF($C629="X",0,-$O629)),2),0)</f>
        <v>-32</v>
      </c>
      <c r="AH629" s="133">
        <f>IF($K629=AH$3,ROUND(IF(OR($C629="W",$C629="1/2W",$C629="1/2L"),$P629-$O629,IF($C629="X",0,-$O629)),2),0)</f>
        <v>0</v>
      </c>
      <c r="AI629" s="133">
        <f>IF($K629=AI$3,ROUND(IF(OR($C629="W",$C629="1/2W",$C629="1/2L"),$P629-$O629,IF($C629="X",0,-$O629)),2),0)</f>
        <v>0</v>
      </c>
      <c r="AJ629" s="133">
        <f>IF($K629=AJ$3,ROUND(IF(OR($C629="W",$C629="1/2W",$C629="1/2L"),$P629-$O629,IF($C629="X",0,-$O629)),2),0)</f>
        <v>0</v>
      </c>
      <c r="AK629" s="133">
        <f>IF($K629=AK$3,ROUND(IF(OR($C629="W",$C629="1/2W",$C629="1/2L"),$P629-$O629,IF($C629="X",0,-$O629)),2),0)</f>
        <v>0</v>
      </c>
      <c r="AL629" s="133">
        <f>IF($K629=AL$3,ROUND(IF(OR($C629="W",$C629="1/2W",$C629="1/2L"),$P629-$O629,IF($C629="X",0,-$O629)),2),0)</f>
        <v>0</v>
      </c>
      <c r="AM629" s="133">
        <f>IF($K629=AM$3,ROUND(IF(OR($C629="W",$C629="1/2W",$C629="1/2L"),$P629-$O629,IF($C629="X",0,-$O629)),2),0)</f>
        <v>0</v>
      </c>
      <c r="AN629" s="133">
        <f>IF($K629=AN$3,ROUND(IF(OR($C629="W",$C629="1/2W",$C629="1/2L"),$P629-$O629,IF($C629="X",0,-$O629)),2),0)</f>
        <v>0</v>
      </c>
      <c r="AO629" s="133">
        <f>IF($K629=AO$3,ROUND(IF(OR($C629="W",$C629="1/2W",$C629="1/2L"),$P629-$O629,IF($C629="X",0,-$O629)),2),0)</f>
        <v>0</v>
      </c>
      <c r="AP629" s="133">
        <f>IF($K629=AP$3,ROUND(IF(OR($C629="W",$C629="1/2W",$C629="1/2L"),$P629-$O629,IF($C629="X",0,-$O629)),2),0)</f>
        <v>0</v>
      </c>
      <c r="AQ629" s="133">
        <f>IF($K629=AQ$3,ROUND(IF(OR($C629="W",$C629="1/2W",$C629="1/2L"),$P629-$O629,IF($C629="X",0,-$O629)),2),0)</f>
        <v>0</v>
      </c>
      <c r="AR629" s="134">
        <f>IF($K629=AR$3,ROUND(IF(OR($C629="W",$C629="1/2W",$C629="1/2L"),$P629-$O629,IF($C629="X",0,-$O629)),2),0)</f>
        <v>0</v>
      </c>
      <c r="AS629" s="132">
        <f>IF(AND($B628=" ",$K629=AS$3),$O629,0)</f>
        <v>0</v>
      </c>
      <c r="AT629" s="133">
        <f>IF(AND($B628=" ",K629=AT$3),$O629,0)</f>
        <v>0</v>
      </c>
      <c r="AU629" s="133">
        <f>IF(AND($B628=" ",$K629=AU$3),$O629,0)</f>
        <v>0</v>
      </c>
      <c r="AV629" s="133">
        <f>IF(AND($B628=" ",$K629=AV$3),$O629,0)</f>
        <v>0</v>
      </c>
      <c r="AW629" s="133">
        <f>IF(AND($B628=" ",$K629=AW$3),$O629,0)</f>
        <v>0</v>
      </c>
      <c r="AX629" s="133">
        <f>IF(AND($B628=" ",$K629=AX$3),$O629,0)</f>
        <v>0</v>
      </c>
      <c r="AY629" s="135">
        <f>IF(AND($B628=" ",$K629=AY$3),$O629,0)</f>
        <v>0</v>
      </c>
      <c r="AZ629" s="136">
        <f>IF(AND($B628=" ",$K629=AZ$3),$O629,0)</f>
        <v>0</v>
      </c>
      <c r="BA629" s="136">
        <f>IF(AND($B628=" ",$K629=BA$3),$O629,0)</f>
        <v>0</v>
      </c>
      <c r="BB629" s="136">
        <f>IF(AND($B628=" ",$K629=BB$3),$O629,0)</f>
        <v>0</v>
      </c>
      <c r="BC629" s="137">
        <f>IF(AND($B628=" ",$K629=BC$3),$O629,0)</f>
        <v>0</v>
      </c>
      <c r="BD629" s="133">
        <f>IF(AND($B628=" ",$K629=BD$3),$O629,0)</f>
        <v>0</v>
      </c>
      <c r="BE629" s="134">
        <f>IF(AND($B628=" ",$K629=BE$3),$O629,0)</f>
        <v>0</v>
      </c>
      <c r="BF629" s="132">
        <f>IF($K629=BF$3,IF($C629="X",0,$O629),0)</f>
        <v>0</v>
      </c>
      <c r="BG629" s="281">
        <f>IF($K629=BG$3,IF($C629="X",0,$O629),0)</f>
        <v>32</v>
      </c>
      <c r="BH629" s="133">
        <f>IF($K629=BH$3,IF($C629="X",0,$O629),0)</f>
        <v>0</v>
      </c>
      <c r="BI629" s="133">
        <f>IF($K629=BI$3,IF($C629="X",0,$O629),0)</f>
        <v>0</v>
      </c>
      <c r="BJ629" s="133">
        <f>IF($K629=BJ$3,IF($C629="X",0,$O629),0)</f>
        <v>0</v>
      </c>
      <c r="BK629" s="133">
        <f>IF($K629=BK$3,IF($C629="X",0,$O629),0)</f>
        <v>0</v>
      </c>
      <c r="BL629" s="133">
        <f>IF($K629=BL$3,IF($C629="X",0,$O629),0)</f>
        <v>0</v>
      </c>
      <c r="BM629" s="135">
        <f>IF($K629=BM$3,IF($C629="X",0,$O629),0)</f>
        <v>0</v>
      </c>
      <c r="BN629" s="136">
        <f>IF($K629=BN$3,IF($C629="X",0,$O629),0)</f>
        <v>0</v>
      </c>
      <c r="BO629" s="136">
        <f>IF($K629=BO$3,IF($C629="X",0,$O629),0)</f>
        <v>0</v>
      </c>
      <c r="BP629" s="136">
        <f>IF($K629=BP$3,IF($C629="X",0,$O629),0)</f>
        <v>0</v>
      </c>
      <c r="BQ629" s="137">
        <f>IF($K629=BQ$3,IF($C629="X",0,$O629),0)</f>
        <v>0</v>
      </c>
      <c r="BR629" s="134">
        <f>IF($K629=BR$3,IF($C629="X",0,$O629),0)</f>
        <v>0</v>
      </c>
      <c r="BS629" s="282"/>
      <c r="BT629" s="283"/>
      <c r="BU629" s="140"/>
      <c r="BV629" s="283"/>
      <c r="BW629" s="140"/>
      <c r="BX629" s="140"/>
      <c r="BY629" s="140"/>
      <c r="BZ629" s="283"/>
      <c r="CA629" s="140"/>
      <c r="CB629" s="140"/>
      <c r="CC629" s="140"/>
      <c r="CD629" s="141"/>
      <c r="CE629" s="142"/>
      <c r="CF629" s="284">
        <f>IF(CF$3=$K629,IF($C629="W",1,IF($C629="1/2W",0.5,0)),0)</f>
        <v>0</v>
      </c>
      <c r="CG629" s="285">
        <f>IF(CF$3=$K629,IF($C629="L",1,IF($C629="1/2L",0.5,0)),0)</f>
        <v>0</v>
      </c>
      <c r="CH629" s="285">
        <f>IF(CH$3=$K629,IF($C629="W",1,IF($C629="1/2W",0.5,0)),0)</f>
        <v>0</v>
      </c>
      <c r="CI629" s="285">
        <f>IF(CH$3=$K629,IF($C629="L",1,IF($C629="1/2L",0.5,0)),0)</f>
        <v>1</v>
      </c>
      <c r="CJ629" s="285">
        <f>IF(CJ$3=$K629,IF($C629="W",1,IF($C629="1/2W",0.5,0)),0)</f>
        <v>0</v>
      </c>
      <c r="CK629" s="285">
        <f>IF(CJ$3=$K629,IF($C629="L",1,IF($C629="1/2L",0.5,0)),0)</f>
        <v>0</v>
      </c>
      <c r="CL629" s="285">
        <f>IF(CL$3=$K629,IF($C629="W",1,IF($C629="1/2W",0.5,0)),0)</f>
        <v>0</v>
      </c>
      <c r="CM629" s="285">
        <f>IF(CL$3=$K629,IF($C629="L",1,IF($C629="1/2L",0.5,0)),0)</f>
        <v>0</v>
      </c>
      <c r="CN629" s="285">
        <f>IF(CN$3=$K629,IF($C629="W",1,IF($C629="1/2W",0.5,0)),0)</f>
        <v>0</v>
      </c>
      <c r="CO629" s="285">
        <f>IF(CN$3=$K629,IF($C629="L",1,IF($C629="1/2L",0.5,0)),0)</f>
        <v>0</v>
      </c>
      <c r="CP629" s="285">
        <f>IF(CP$3=$K629,IF($C629="W",1,IF($C629="1/2W",0.5,0)),0)</f>
        <v>0</v>
      </c>
      <c r="CQ629" s="285">
        <f>IF(CP$3=$K629,IF($C629="L",1,IF($C629="1/2L",0.5,0)),0)</f>
        <v>0</v>
      </c>
      <c r="CR629" s="285">
        <f>IF(CR$3=$K629,IF($C629="W",1,IF($C629="1/2W",0.5,0)),0)</f>
        <v>0</v>
      </c>
      <c r="CS629" s="285">
        <f>IF(CR$3=$K629,IF($C629="L",1,IF($C629="1/2L",0.5,0)),0)</f>
        <v>0</v>
      </c>
      <c r="CT629" s="145">
        <f>IF(CT$3=$K629,IF($C629="W",1,IF($C629="1/2W",0.5,0)),0)</f>
        <v>0</v>
      </c>
      <c r="CU629" s="146">
        <f>IF(CT$3=$K629,IF($C629="L",1,IF($C629="1/2L",0.5,0)),0)</f>
        <v>0</v>
      </c>
      <c r="CV629" s="146">
        <f>IF(CV$3=$K629,IF($C629="W",1,IF($C629="1/2W",0.5,0)),0)</f>
        <v>0</v>
      </c>
      <c r="CW629" s="146">
        <f>IF(CV$3=$K629,IF($C629="L",1,IF($C629="1/2L",0.5,0)),0)</f>
        <v>0</v>
      </c>
      <c r="CX629" s="146">
        <f>IF(CX$3=$K629,IF($C629="W",1,IF($C629="1/2W",0.5,0)),0)</f>
        <v>0</v>
      </c>
      <c r="CY629" s="146">
        <f>IF(CX$3=$K629,IF($C629="L",1,IF($C629="1/2L",0.5,0)),0)</f>
        <v>0</v>
      </c>
      <c r="CZ629" s="146">
        <f>IF(CZ$3=$K629,IF($C629="W",1,IF($C629="1/2W",0.5,0)),0)</f>
        <v>0</v>
      </c>
      <c r="DA629" s="146">
        <f>IF(CZ$3=$K629,IF($C629="L",1,IF($C629="1/2L",0.5,0)),0)</f>
        <v>0</v>
      </c>
      <c r="DB629" s="146">
        <f>IF(DB$3=$K629,IF($C629="W",1,IF($C629="1/2W",0.5,0)),0)</f>
        <v>0</v>
      </c>
      <c r="DC629" s="146">
        <f>IF(DB$3=$K629,IF($C629="L",1,IF($C629="1/2L",0.5,0)),0)</f>
        <v>0</v>
      </c>
      <c r="DD629" s="146">
        <f>IF(DD$3=$K629,IF($C629="W",1,IF($C629="1/2W",0.5,0)),0)</f>
        <v>0</v>
      </c>
      <c r="DE629" s="147">
        <f>IF(DD$3=$K629,IF($C629="L",1,IF($C629="1/2L",0.5,0)),0)</f>
        <v>0</v>
      </c>
      <c r="DF629" s="143">
        <f>IF(AND(L629&lt;DF$3,$C629="W"),1+DF628,DF628)</f>
        <v>17</v>
      </c>
      <c r="DG629" s="133">
        <f>IF(DF629&gt;DF628,L629+DG628,DG628)</f>
        <v>22.628</v>
      </c>
      <c r="DH629" s="146">
        <f>IF(AND(L629&gt;DH$3,$C629="W"),1+DH628,0+DH628)</f>
        <v>16</v>
      </c>
      <c r="DI629" s="133">
        <f>IF(DH629&gt;DH628,L629+DI628,DI628)</f>
        <v>85.45999999999999</v>
      </c>
      <c r="DJ629" t="s" s="304">
        <f>IF($D628="","",$D628)</f>
        <v>431</v>
      </c>
      <c r="DK629" s="286"/>
    </row>
    <row r="630" ht="14.55" customHeight="1">
      <c r="A630" s="149"/>
      <c r="B630" s="150"/>
      <c r="C630" t="s" s="151">
        <v>58</v>
      </c>
      <c r="D630" s="152"/>
      <c r="E630" s="153"/>
      <c r="F630" s="155"/>
      <c r="G630" s="252"/>
      <c r="H630" s="156"/>
      <c r="I630" s="287"/>
      <c r="J630" s="288"/>
      <c r="K630" s="156"/>
      <c r="L630" s="289"/>
      <c r="M630" s="290"/>
      <c r="N630" s="161"/>
      <c r="O630" t="s" s="162">
        <f>IF(OR(AE628="",AE629=""),"",IF(L630&gt;0,ROUND(IF(M630&gt;0,M630,IF(M628&gt;0,ROUND((M628*AE630)/AE628,IF(N628=0,2,IF(N628=0.1,1,0))),IF(M629&gt;0,ROUND((M629*AE630)/AE629,IF(N628=0,2,IF(N628=0.1,1,0))),IF(M630&gt;0,M630,0)))),2),""))</f>
      </c>
      <c r="P630" t="s" s="163">
        <f>IF(I629="Lay",O629*(L629/(L629-1))-O629,IF(I628="Lay",O628*(L628/(L628-1))-O628,IF(OR(L630="",O630=""),"",IF($C630="1/2W",O630/2+O630/2*L630,IF($C630="1/2L",O630/2,(O630*L630-O630)*(1-_xlfn.XLOOKUP(K630,'Janeiro 2023 - Valor Real'!A3:A15,'Janeiro 2023 - Valor Real'!C3:C15,0))+O630)))))</f>
      </c>
      <c r="Q630" t="s" s="154">
        <f>IF(K630="","",IF(_xlfn.XLOOKUP(K630,K$121:K409,DJ$121:DJ409,0,,-1)=DJ630,_xlfn.XLOOKUP(K630,K$121:K409,Q$121:Q409,1,,-1)+1,1))</f>
      </c>
      <c r="R630" t="s" s="163">
        <f>IF(K630="","",_xlfn.XLOOKUP(K630,K$121:K409,R$121:R409,0,,-1)+IF($C630=" ",1,0))</f>
      </c>
      <c r="S630" s="166"/>
      <c r="T630" s="155"/>
      <c r="U630" s="155"/>
      <c r="V630" s="166"/>
      <c r="W630" s="155"/>
      <c r="X630" s="167"/>
      <c r="Y630" s="128"/>
      <c r="Z630" s="129"/>
      <c r="AA630" s="129"/>
      <c r="AB630" s="129"/>
      <c r="AC630" s="129"/>
      <c r="AD630" s="168"/>
      <c r="AE630" t="s" s="169">
        <f>IF(L630="","",(SUM(((L628-1)*(1-_xlfn.XLOOKUP(K628,'Janeiro 2023 - Valor Real'!A3:A15,'Janeiro 2023 - Valor Real'!C3:C15,0))+1),((L629-1)*(1-_xlfn.XLOOKUP(K629,'Janeiro 2023 - Valor Real'!A3:A15,'Janeiro 2023 - Valor Real'!C3:C15,0))+1),((L630-1)*(1-_xlfn.XLOOKUP(K630,'Janeiro 2023 - Valor Real'!A3:A15,'Janeiro 2023 - Valor Real'!C3:C15,0))+1))/((L630-1)*(1-_xlfn.XLOOKUP(K630,'Janeiro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Real'!C3:C15,0))+1))/((L628-1)*(1-_xlfn.XLOOKUP(K628,'Janeiro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Real'!C3:C15,0))+1))/((L629-1)*(1-_xlfn.XLOOKUP(K629,'Janeiro 2023 - Valor Real'!A3:A15,'Janeiro 2023 - Valor Real'!C3:C15,0))+1)+SUM(((L628-1)*(1-_xlfn.XLOOKUP(K628,'Janeiro 2023 - Valor Real'!A3:A15,'Janeiro 2023 - Valor Real'!C3:C15,0))+1),((L629-1)*(1-_xlfn.XLOOKUP(K629,'Janeiro 2023 - Valor Real'!A3:A15,'Janeiro 2023 - Valor Real'!C3:C15,0))+1),((L630-1)*(1-_xlfn.XLOOKUP(K630,'Janeiro 2023 - Valor Real'!A3:A15,'Janeiro 2023 - Valor Real'!C3:C15,0))+1))/((L630-1)*(1-_xlfn.XLOOKUP(K630,'Janeiro 2023 - Valor Real'!A3:A15,'Janeiro 2023 - Valor Real'!C3:C15,0))+1)))</f>
      </c>
      <c r="AF630" s="132">
        <f>IF($K630=AF$3,ROUND(IF(OR($C630="W",$C630="1/2W",$C630="1/2L"),$P630-$O630,IF($C630="X",0,-$O630)),2),0)</f>
        <v>0</v>
      </c>
      <c r="AG630" s="133">
        <f>IF($K630=AG$3,ROUND(IF(OR($C630="W",$C630="1/2W",$C630="1/2L"),$P630-$O630,IF($C630="X",0,-$O630)),2),0)</f>
        <v>0</v>
      </c>
      <c r="AH630" s="133">
        <f>IF($K630=AH$3,ROUND(IF(OR($C630="W",$C630="1/2W",$C630="1/2L"),$P630-$O630,IF($C630="X",0,-$O630)),2),0)</f>
        <v>0</v>
      </c>
      <c r="AI630" s="133">
        <f>IF($K630=AI$3,ROUND(IF(OR($C630="W",$C630="1/2W",$C630="1/2L"),$P630-$O630,IF($C630="X",0,-$O630)),2),0)</f>
        <v>0</v>
      </c>
      <c r="AJ630" s="133">
        <f>IF($K630=AJ$3,ROUND(IF(OR($C630="W",$C630="1/2W",$C630="1/2L"),$P630-$O630,IF($C630="X",0,-$O630)),2),0)</f>
        <v>0</v>
      </c>
      <c r="AK630" s="133">
        <f>IF($K630=AK$3,ROUND(IF(OR($C630="W",$C630="1/2W",$C630="1/2L"),$P630-$O630,IF($C630="X",0,-$O630)),2),0)</f>
        <v>0</v>
      </c>
      <c r="AL630" s="133">
        <f>IF($K630=AL$3,ROUND(IF(OR($C630="W",$C630="1/2W",$C630="1/2L"),$P630-$O630,IF($C630="X",0,-$O630)),2),0)</f>
        <v>0</v>
      </c>
      <c r="AM630" s="133">
        <f>IF($K630=AM$3,ROUND(IF(OR($C630="W",$C630="1/2W",$C630="1/2L"),$P630-$O630,IF($C630="X",0,-$O630)),2),0)</f>
        <v>0</v>
      </c>
      <c r="AN630" s="133">
        <f>IF($K630=AN$3,ROUND(IF(OR($C630="W",$C630="1/2W",$C630="1/2L"),$P630-$O630,IF($C630="X",0,-$O630)),2),0)</f>
        <v>0</v>
      </c>
      <c r="AO630" s="133">
        <f>IF($K630=AO$3,ROUND(IF(OR($C630="W",$C630="1/2W",$C630="1/2L"),$P630-$O630,IF($C630="X",0,-$O630)),2),0)</f>
        <v>0</v>
      </c>
      <c r="AP630" s="133">
        <f>IF($K630=AP$3,ROUND(IF(OR($C630="W",$C630="1/2W",$C630="1/2L"),$P630-$O630,IF($C630="X",0,-$O630)),2),0)</f>
        <v>0</v>
      </c>
      <c r="AQ630" s="133">
        <f>IF($K630=AQ$3,ROUND(IF(OR($C630="W",$C630="1/2W",$C630="1/2L"),$P630-$O630,IF($C630="X",0,-$O630)),2),0)</f>
        <v>0</v>
      </c>
      <c r="AR630" s="134">
        <f>IF($K630=AR$3,ROUND(IF(OR($C630="W",$C630="1/2W",$C630="1/2L"),$P630-$O630,IF($C630="X",0,-$O630)),2),0)</f>
        <v>0</v>
      </c>
      <c r="AS630" s="132">
        <f>IF(AND($B628=" ",$K630=AS$3),$O630,0)</f>
        <v>0</v>
      </c>
      <c r="AT630" s="133">
        <f>IF(AND($B628=" ",K630=AT$3),$O630,0)</f>
        <v>0</v>
      </c>
      <c r="AU630" s="133">
        <f>IF(AND($B628=" ",$K630=AU$3),$O630,0)</f>
        <v>0</v>
      </c>
      <c r="AV630" s="133">
        <f>IF(AND($B628=" ",$K630=AV$3),$O630,0)</f>
        <v>0</v>
      </c>
      <c r="AW630" s="133">
        <f>IF(AND($B628=" ",$K630=AW$3),$O630,0)</f>
        <v>0</v>
      </c>
      <c r="AX630" s="133">
        <f>IF(AND($B628=" ",$K630=AX$3),$O630,0)</f>
        <v>0</v>
      </c>
      <c r="AY630" s="135">
        <f>IF(AND($B628=" ",$K630=AY$3),$O630,0)</f>
        <v>0</v>
      </c>
      <c r="AZ630" s="136">
        <f>IF(AND($B628=" ",$K630=AZ$3),$O630,0)</f>
        <v>0</v>
      </c>
      <c r="BA630" s="136">
        <f>IF(AND($B628=" ",$K630=BA$3),$O630,0)</f>
        <v>0</v>
      </c>
      <c r="BB630" s="136">
        <f>IF(AND($B628=" ",$K630=BB$3),$O630,0)</f>
        <v>0</v>
      </c>
      <c r="BC630" s="137">
        <f>IF(AND($B628=" ",$K630=BC$3),$O630,0)</f>
        <v>0</v>
      </c>
      <c r="BD630" s="133">
        <f>IF(AND($B628=" ",$K630=BD$3),$O630,0)</f>
        <v>0</v>
      </c>
      <c r="BE630" s="134">
        <f>IF(AND($B628=" ",$K630=BE$3),$O630,0)</f>
        <v>0</v>
      </c>
      <c r="BF630" s="132">
        <f>IF($K630=BF$3,IF($C630="X",0,$O630),0)</f>
        <v>0</v>
      </c>
      <c r="BG630" s="281">
        <f>IF($K630=BG$3,IF($C630="X",0,$O630),0)</f>
        <v>0</v>
      </c>
      <c r="BH630" s="133">
        <f>IF($K630=BH$3,IF($C630="X",0,$O630),0)</f>
        <v>0</v>
      </c>
      <c r="BI630" s="133">
        <f>IF($K630=BI$3,IF($C630="X",0,$O630),0)</f>
        <v>0</v>
      </c>
      <c r="BJ630" s="133">
        <f>IF($K630=BJ$3,IF($C630="X",0,$O630),0)</f>
        <v>0</v>
      </c>
      <c r="BK630" s="133">
        <f>IF($K630=BK$3,IF($C630="X",0,$O630),0)</f>
        <v>0</v>
      </c>
      <c r="BL630" s="133">
        <f>IF($K630=BL$3,IF($C630="X",0,$O630),0)</f>
        <v>0</v>
      </c>
      <c r="BM630" s="135">
        <f>IF($K630=BM$3,IF($C630="X",0,$O630),0)</f>
        <v>0</v>
      </c>
      <c r="BN630" s="136">
        <f>IF($K630=BN$3,IF($C630="X",0,$O630),0)</f>
        <v>0</v>
      </c>
      <c r="BO630" s="136">
        <f>IF($K630=BO$3,IF($C630="X",0,$O630),0)</f>
        <v>0</v>
      </c>
      <c r="BP630" s="136">
        <f>IF($K630=BP$3,IF($C630="X",0,$O630),0)</f>
        <v>0</v>
      </c>
      <c r="BQ630" s="137">
        <f>IF($K630=BQ$3,IF($C630="X",0,$O630),0)</f>
        <v>0</v>
      </c>
      <c r="BR630" s="134">
        <f>IF($K630=BR$3,IF($C630="X",0,$O630),0)</f>
        <v>0</v>
      </c>
      <c r="BS630" s="282"/>
      <c r="BT630" s="283"/>
      <c r="BU630" s="140"/>
      <c r="BV630" s="283"/>
      <c r="BW630" s="140"/>
      <c r="BX630" s="140"/>
      <c r="BY630" s="140"/>
      <c r="BZ630" s="283"/>
      <c r="CA630" s="140"/>
      <c r="CB630" s="140"/>
      <c r="CC630" s="140"/>
      <c r="CD630" s="141"/>
      <c r="CE630" s="142"/>
      <c r="CF630" s="284">
        <f>IF(CF$3=$K630,IF($C630="W",1,IF($C630="1/2W",0.5,0)),0)</f>
        <v>0</v>
      </c>
      <c r="CG630" s="285">
        <f>IF(CF$3=$K630,IF($C630="L",1,IF($C630="1/2L",0.5,0)),0)</f>
        <v>0</v>
      </c>
      <c r="CH630" s="285">
        <f>IF(CH$3=$K630,IF($C630="W",1,IF($C630="1/2W",0.5,0)),0)</f>
        <v>0</v>
      </c>
      <c r="CI630" s="285">
        <f>IF(CH$3=$K630,IF($C630="L",1,IF($C630="1/2L",0.5,0)),0)</f>
        <v>0</v>
      </c>
      <c r="CJ630" s="285">
        <f>IF(CJ$3=$K630,IF($C630="W",1,IF($C630="1/2W",0.5,0)),0)</f>
        <v>0</v>
      </c>
      <c r="CK630" s="285">
        <f>IF(CJ$3=$K630,IF($C630="L",1,IF($C630="1/2L",0.5,0)),0)</f>
        <v>0</v>
      </c>
      <c r="CL630" s="285">
        <f>IF(CL$3=$K630,IF($C630="W",1,IF($C630="1/2W",0.5,0)),0)</f>
        <v>0</v>
      </c>
      <c r="CM630" s="285">
        <f>IF(CL$3=$K630,IF($C630="L",1,IF($C630="1/2L",0.5,0)),0)</f>
        <v>0</v>
      </c>
      <c r="CN630" s="285">
        <f>IF(CN$3=$K630,IF($C630="W",1,IF($C630="1/2W",0.5,0)),0)</f>
        <v>0</v>
      </c>
      <c r="CO630" s="285">
        <f>IF(CN$3=$K630,IF($C630="L",1,IF($C630="1/2L",0.5,0)),0)</f>
        <v>0</v>
      </c>
      <c r="CP630" s="285">
        <f>IF(CP$3=$K630,IF($C630="W",1,IF($C630="1/2W",0.5,0)),0)</f>
        <v>0</v>
      </c>
      <c r="CQ630" s="285">
        <f>IF(CP$3=$K630,IF($C630="L",1,IF($C630="1/2L",0.5,0)),0)</f>
        <v>0</v>
      </c>
      <c r="CR630" s="285">
        <f>IF(CR$3=$K630,IF($C630="W",1,IF($C630="1/2W",0.5,0)),0)</f>
        <v>0</v>
      </c>
      <c r="CS630" s="285">
        <f>IF(CR$3=$K630,IF($C630="L",1,IF($C630="1/2L",0.5,0)),0)</f>
        <v>0</v>
      </c>
      <c r="CT630" s="145">
        <f>IF(CT$3=$K630,IF($C630="W",1,IF($C630="1/2W",0.5,0)),0)</f>
        <v>0</v>
      </c>
      <c r="CU630" s="146">
        <f>IF(CT$3=$K630,IF($C630="L",1,IF($C630="1/2L",0.5,0)),0)</f>
        <v>0</v>
      </c>
      <c r="CV630" s="146">
        <f>IF(CV$3=$K630,IF($C630="W",1,IF($C630="1/2W",0.5,0)),0)</f>
        <v>0</v>
      </c>
      <c r="CW630" s="146">
        <f>IF(CV$3=$K630,IF($C630="L",1,IF($C630="1/2L",0.5,0)),0)</f>
        <v>0</v>
      </c>
      <c r="CX630" s="146">
        <f>IF(CX$3=$K630,IF($C630="W",1,IF($C630="1/2W",0.5,0)),0)</f>
        <v>0</v>
      </c>
      <c r="CY630" s="146">
        <f>IF(CX$3=$K630,IF($C630="L",1,IF($C630="1/2L",0.5,0)),0)</f>
        <v>0</v>
      </c>
      <c r="CZ630" s="146">
        <f>IF(CZ$3=$K630,IF($C630="W",1,IF($C630="1/2W",0.5,0)),0)</f>
        <v>0</v>
      </c>
      <c r="DA630" s="146">
        <f>IF(CZ$3=$K630,IF($C630="L",1,IF($C630="1/2L",0.5,0)),0)</f>
        <v>0</v>
      </c>
      <c r="DB630" s="146">
        <f>IF(DB$3=$K630,IF($C630="W",1,IF($C630="1/2W",0.5,0)),0)</f>
        <v>0</v>
      </c>
      <c r="DC630" s="146">
        <f>IF(DB$3=$K630,IF($C630="L",1,IF($C630="1/2L",0.5,0)),0)</f>
        <v>0</v>
      </c>
      <c r="DD630" s="146">
        <f>IF(DD$3=$K630,IF($C630="W",1,IF($C630="1/2W",0.5,0)),0)</f>
        <v>0</v>
      </c>
      <c r="DE630" s="147">
        <f>IF(DD$3=$K630,IF($C630="L",1,IF($C630="1/2L",0.5,0)),0)</f>
        <v>0</v>
      </c>
      <c r="DF630" s="143">
        <f>IF(AND(L630&lt;DF$3,$C630="W"),1+DF629,DF629)</f>
        <v>17</v>
      </c>
      <c r="DG630" s="133">
        <f>IF(DF630&gt;DF629,L630+DG629,DG629)</f>
        <v>22.628</v>
      </c>
      <c r="DH630" s="146">
        <f>IF(AND(L630&gt;DH$3,$C630="W"),1+DH629,0+DH629)</f>
        <v>16</v>
      </c>
      <c r="DI630" s="133">
        <f>IF(DH630&gt;DH629,L630+DI629,DI629)</f>
        <v>85.45999999999999</v>
      </c>
      <c r="DJ630" t="s" s="304">
        <f>IF($D628="","",$D628)</f>
        <v>431</v>
      </c>
      <c r="DK630" s="286"/>
    </row>
    <row r="631" ht="14.55" customHeight="1">
      <c r="A631" s="171">
        <f>$A628+1</f>
        <v>210</v>
      </c>
      <c r="B631" t="s" s="172">
        <f>IF(AND(_xlfn.XLOOKUP(H631,H$122:H404,G$122:G404,0)=G631,_xlfn.XLOOKUP("TempoBet",K631:K633,L631:L633,0)&gt;0),"X",IF(OR(C631="W",C632="W",C633="W",C631="1/2W",C632="1/2W",C633="1/2W",C631="1/2L",C632="1/2L",C633="1/2L"),"OK",IF(OR(C631="L",C632="L",C633="L"),"LOSS",IF(OR(C631="X",C632="X",C633="X"),"Anulado"," "))))</f>
        <v>50</v>
      </c>
      <c r="C631" t="s" s="173">
        <v>51</v>
      </c>
      <c r="D631" t="s" s="305">
        <f>IF(G631="","",$D628)</f>
        <v>431</v>
      </c>
      <c r="E631" t="s" s="175">
        <f>IF(G631=""," ","– "&amp;COUNTIF(D$4:D633,$D631))</f>
        <v>150</v>
      </c>
      <c r="F631" t="s" s="176">
        <f>IF(G631="","",IF(OR(AND($C631&lt;&gt;" ",$C632=" "),AND($C632&lt;&gt;" ",$C631=" "),AND(L633&gt;0,OR(AND($C633&lt;&gt;" ",OR($C631=" ",$C632=" ")),AND($C633=" ",OR($C631&lt;&gt;" ",$C632&lt;&gt;" "))))),IF(SUM(F$4:F630)=0,1,LARGE(F$4:F630,1)+1),IF(MONTH(G631)=MONTH(TODAY()),IF(AND(DAY(G631)&lt;DAY(TODAY()),$B631=" "),IF(SUM(F$4:F630)=0,1,LARGE(F$4:F630,1)+1),IF($B631=" ",IF(AND(DAY(G631)=DAY(TODAY()),HOUR(G631)&lt;=HOUR(NOW())+1),IF(AND(HOUR(G631)+2&lt;=HOUR(NOW()),DAY(G631)&lt;=DAY(TODAY()),MINUTE(G631)&lt;=MINUTE(NOW())),IF(SUM(F$4:F630)=0,1,LARGE(F$4:F630,1)+1),IF(OR(MINUTE(G631)&lt;=MINUTE(NOW()),HOUR(G631)&lt;=HOUR(NOW())),"!!!","")),""),"")),"")))</f>
      </c>
      <c r="G631" s="177">
        <v>44954.177083333336</v>
      </c>
      <c r="H631" t="s" s="178">
        <v>460</v>
      </c>
      <c r="I631" t="s" s="179">
        <v>54</v>
      </c>
      <c r="J631" s="291">
        <v>-1.5</v>
      </c>
      <c r="K631" t="s" s="181">
        <v>41</v>
      </c>
      <c r="L631" s="182">
        <v>2.18</v>
      </c>
      <c r="M631" s="183">
        <v>5.72</v>
      </c>
      <c r="N631" s="184">
        <v>0</v>
      </c>
      <c r="O631" s="185">
        <f>IF(OR(AE631="",AE632=""),"",ROUND(IF(L633&gt;0,IF(M631&gt;0,M631,IF(M632&gt;0,ROUND((M632*AE631)/AE632,IF(N631=0,2,IF(N631=0.1,1,0))),ROUND((M633*AE631)/AE633,IF(N631=0,2,IF(N631=0.1,1,0))))),IF(M631&gt;0,M631,ROUND((M632*AE631)/AE632,IF(N631=0,2,IF(N631=0.1,1,0))))),2))</f>
        <v>5.72</v>
      </c>
      <c r="P631" s="186">
        <f>IF(OR(L631="",O631=""),"",IF($C631="1/2W",O631/2+O631/2*L631,IF($C631="1/2L",O631/2,IF(I631="Lay",(O631*(L631/(L631-1))-O631)*(1-_xlfn.XLOOKUP(K631,'Janeiro 2023 - Valor Real'!A3:A15,'Janeiro 2023 - Valor Real'!C3:C15,0))+O631,(O631*L631-O631)*(1-_xlfn.XLOOKUP(K631,'Janeiro 2023 - Valor Real'!A3:A15,'Janeiro 2023 - Valor Real'!C3:C15,0))+O631))))</f>
        <v>12.4696</v>
      </c>
      <c r="Q631" s="187">
        <f>IF(K631="","",IF(_xlfn.XLOOKUP(K631,K$122:K404,DJ$122:DJ404,0,,-1)=DJ631,_xlfn.XLOOKUP(K631,K$122:K404,Q$122:Q404,1,,-1)+1,1))</f>
        <v>1</v>
      </c>
      <c r="R631" s="188">
        <f>IF(K631="","",_xlfn.XLOOKUP(K631,K$122:K404,R$122:R404,0,,-1)+IF($C631=" ",1,0))</f>
        <v>0</v>
      </c>
      <c r="S631" s="189">
        <f>IF($B631="Anulado",0,ROUND(IF(OR($B631="LOSS",$B631="OK"),IF(OR($C631="W",$C631="1/2W",$C631="1/2L"),P631-O631,IF($C631="L",-O631,0))+IF(OR($C632="W",$C632="1/2W",$C632="1/2L"),P632-O632,IF($C632="L",-O632,0))+IF(OR($C633="W",$C633="1/2W",$C633="1/2L"),P633-O633,IF($C633="L",-O633,0)),IF(AND(OR($C631="W",$C631="1/2W",$C631="1/2L"),C632="W"),P631+P632-SUM(O631:O633)+_xlfn.XLOOKUP("X",C631:C633,O631:O633,0),IF(AND(C631=TRUE,C633="W"),P631+P633-SUM(O631:O633),IF(AND(C632="W",C633="W"),P632+P633-SUM(O631:O633)+_xlfn.XLOOKUP("X",C631:C633,O631:O633,0),IF(L633&gt;0,IF(OR($C631="W",$C631="1/2W",$C631="1/2L"),P631-SUM(O631:O633)+_xlfn.XLOOKUP("X",C631:C633,O631:O633,0),IF(OR($C631="W",$C631="1/2W",$C631="1/2L"),P632-SUM(O631:O633)+_xlfn.XLOOKUP("X",C631:C633,O631:O633,0),IF(OR($C631="W",$C631="1/2W",$C631="1/2L"),P633-SUM(O631:O633)+_xlfn.XLOOKUP("X",C631:C633,O631:O633,0),IF(SUM(P631:P633)/3-SUM(O631:O633)+_xlfn.XLOOKUP("X",C631:C633,O631:O633,0)&gt;0,SUM(P631:P633)/3-SUM(O631:O633)+_xlfn.XLOOKUP("X",C631:C633,O631:O633,0),LARGE(P631:P633,1)-SUM(O631:O633))))),IF(OR($C631="W",$C631="1/2W",$C631="1/2L"),P631-SUM(O631:O632)+_xlfn.XLOOKUP("X",C631:C633,O631:O633,0),IF(OR($C631="W",$C631="1/2W",$C631="1/2L"),P632-SUM(O631:O632)+_xlfn.XLOOKUP("X",C631:C633,O631:O633,0),SUM(P631:P632)/2-SUM(O631:O632)+_xlfn.XLOOKUP("X",C631:C633,O631:O633,0)))))))),2))</f>
        <v>1.53</v>
      </c>
      <c r="T631" s="190">
        <f>IF(S631=0,0,S631/SUM(O631:O633))</f>
        <v>0.117964533538936</v>
      </c>
      <c r="U631" s="191">
        <f>IF($D631=$D628,IF(OR($B631="LOSS",$B631="OK",$B631="Anulada"),S631,0)+U628,IF(OR($B631="LOSS",$B631="OK",$B631="Anulada"),S631,0))</f>
        <v>28.9</v>
      </c>
      <c r="V631" s="191">
        <f>IF($D631="",0,IF($D631=$D628,IF($B631=" ",IF(I633="",IF(OR(AND(I631="DNB1",I632="DNB2"),AND(OR(I631="DNB1",I631="DNB2"),J632=0),AND(OR(I632="DNB1",I632="DNB2"),J631=0),AND(I631="DNB2",I632="DNB1"),AND(IF(J631=0,(J631+1)/ROUND(J631+1,0),J631/ROUND(J631,0))=1,IF(J632=0,(J632+1)/ROUND(IF(J632="",0,J632)+1,0),IF(J632="",0,J632)/ROUND(IF(J632="",1,J632),0))=1,OR(J631&lt;&gt;""),J632&lt;&gt;"")),0,IF(S631&lt;0,IF(I633="",SMALL(P631:P632,1)-SUM(O631:O632),0),SMALL(P631:P632,1)-SUM(O631:O632))),IF(S631&lt;0,IF(I633="",SMALL(P631:P633,1)-SUM(O631:O633),0),LARGE(P631:P633,1)-SUM(O631:O633))),S631)+V628,IF(I633="",IF(OR(AND(I631="DNB1",I632="DNB2"),AND(OR(I631="DNB1",I631="DNB2"),J632=0),AND(OR(I632="DNB1",I632="DNB2"),J631=0),AND(I631="DNB2",I632="DNB1"),AND(IF(J631=0,(J631+1)/ROUND(J631+1,0),J631/ROUND(J631,0))=1,IF(J632=0,(IF(J632="",0,J632)+1)/ROUND(IF(J632="",0,J632)+1,0),IF(J632="",0,J632)/ROUND(IF(J632="",0,J632)+1,0))=1,OR(J631&lt;&gt;""),J632&lt;&gt;"")),0,IF(S631&lt;0,IF(I633="",SMALL(P631:P632,1)-SUM(O631:O632),0),SMALL(P631:P633,1)-SUM(O631:O633))),IF(S631&lt;0,IF(I633="",SMALL(P631:P633,1)-SUM(O631:O633),0),LARGE(P631:P633,1)-SUM(O631:O633)))))</f>
        <v>28.872</v>
      </c>
      <c r="W631" s="191">
        <f>IF($D631=$D628,IF(S631&lt;0,IF(I633="",S631,0),S631)+W628,S631)</f>
        <v>28.9</v>
      </c>
      <c r="X631" t="s" s="192">
        <f>IF(OR(SUM(R631:R633)=0,V631=W631),ROUND(IF(W631=0,0,W631/Y631)*100,2)&amp;"%",ROUND(IF(V631=0,0,V631/Y631)*100,2)&amp;"% a "&amp;ROUND(IF(W631=0,0,W631/Y631)*100,2)&amp;"%")</f>
        <v>74</v>
      </c>
      <c r="Y631" s="193">
        <f>IF($D631=$D628,Y628+SUM(O631:O633),SUM(O631:O633))</f>
        <v>431.02</v>
      </c>
      <c r="Z631" s="191">
        <f>IF($B631=" ",SUM(O631:O633),0)+Z628</f>
        <v>0</v>
      </c>
      <c r="AA631" s="191">
        <f>IF(G631="","",IF($B631="Anulado",LARGE(P631:P633,1)-SUM(O631:O633)+AA628,AA628))</f>
        <v>26.8740076923077</v>
      </c>
      <c r="AB631" s="191">
        <f>IF($D631="","",AB628+S631)</f>
        <v>417.23</v>
      </c>
      <c r="AC631" s="194">
        <f>IF($D631="","",IF($B631=" ",IF(DAY(G631)=DAY(TODAY()),1+AC628,0+AC628),0+AC628))</f>
        <v>0</v>
      </c>
      <c r="AD631" s="195">
        <f>(((L632/(L632-1)-1)*(1-_xlfn.XLOOKUP(K632,'Janeiro 2023 - Valor Real'!A3:A15,'Janeiro 2023 - Valor Real'!C3:C15,0))+1))/(((L631-1)*(1-_xlfn.XLOOKUP(K631,'Janeiro 2023 - Valor Real'!A3:A15,'Janeiro 2023 - Valor Real'!C3:C15,0))+1)+((L632/(L632-1)-1)*(1-_xlfn.XLOOKUP(K632,'Janeiro 2023 - Valor Real'!A3:A15,'Janeiro 2023 - Valor Real'!C3:C15,0))+1))</f>
        <v>0.478468899521531</v>
      </c>
      <c r="AE631" s="196">
        <f>IF(L631="","",IF(L633&gt;0,(SUM(((L631-1)*(1-_xlfn.XLOOKUP(K631,'Janeiro 2023 - Valor Real'!A3:A15,'Janeiro 2023 - Valor Real'!C3:C15,0))+1),((L632-1)*(1-_xlfn.XLOOKUP(K632,'Janeiro 2023 - Valor Real'!A3:A15,'Janeiro 2023 - Valor Real'!C3:C15,0))+1),((L633-1)*(1-_xlfn.XLOOKUP(K633,'Janeiro 2023 - Valor Real'!A3:A15,'Janeiro 2023 - Valor Real'!C3:C15,0))+1))/((L631-1)*(1-_xlfn.XLOOKUP(K631,'Janeiro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Real'!C3:C15,0))+1))/((L631-1)*(1-_xlfn.XLOOKUP(K631,'Janeiro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Real'!C3:C15,0))+1))/((L632-1)*(1-_xlfn.XLOOKUP(K632,'Janeiro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Real'!C3:C15,0))+1))/((L633-1)*(1-_xlfn.XLOOKUP(K633,'Janeiro 2023 - Valor Real'!A3:A15,'Janeiro 2023 - Valor Real'!C3:C15,0))+1)),IF(I631="Lay",IF(I632="Lay",((L632/(L632-1)-1)*(1-_xlfn.XLOOKUP(K632,'Janeiro 2023 - Valor Real'!A3:A15,'Janeiro 2023 - Valor Real'!C3:C15,0))+1)/(((L632/(L632-1)-1)*(1-_xlfn.XLOOKUP(K632,'Janeiro 2023 - Valor Real'!A3:A15,'Janeiro 2023 - Valor Real'!C3:C15,0))+1)+((L631/(L631-1)-1)*(1-_xlfn.XLOOKUP(K631,'Janeiro 2023 - Valor Real'!A3:A15,'Janeiro 2023 - Valor Real'!C3:C15,0))+1)),((L632-1)*(1-_xlfn.XLOOKUP(K632,'Janeiro 2023 - Valor Real'!A3:A15,'Janeiro 2023 - Valor Real'!C3:C15,0))+1)/(((L632-1)*(1-_xlfn.XLOOKUP(K632,'Janeiro 2023 - Valor Real'!A3:A15,'Janeiro 2023 - Valor Real'!C3:C15,0))+1)+((L631/(L631-1)-1)*(1-_xlfn.XLOOKUP(K631,'Janeiro 2023 - Valor Real'!A3:A15,'Janeiro 2023 - Valor Real'!C3:C15,0))+1))),IF(I632="Lay",(((L632/(L632-1)-1)*(1-_xlfn.XLOOKUP(K632,'Janeiro 2023 - Valor Real'!A3:A15,'Janeiro 2023 - Valor Real'!C3:C15,0))+1))/(((L631-1)*(1-_xlfn.XLOOKUP(K631,'Janeiro 2023 - Valor Real'!A3:A15,'Janeiro 2023 - Valor Real'!C3:C15,0))+1)+((L632/(L632-1)-1)*(1-_xlfn.XLOOKUP(K632,'Janeiro 2023 - Valor Real'!A3:A15,'Janeiro 2023 - Valor Real'!C3:C15,0))+1)),((L632-1)*(1-_xlfn.XLOOKUP(K632,'Janeiro 2023 - Valor Real'!A3:A15,'Janeiro 2023 - Valor Real'!C3:C15,0))+1)/(((L632-1)*(1-_xlfn.XLOOKUP(K632,'Janeiro 2023 - Valor Real'!A3:A15,'Janeiro 2023 - Valor Real'!C3:C15,0))+1)+((L631-1)*(1-_xlfn.XLOOKUP(K631,'Janeiro 2023 - Valor Real'!A3:A15,'Janeiro 2023 - Valor Real'!C3:C15,0))+1))))))</f>
        <v>0.478468899521531</v>
      </c>
      <c r="AF631" s="197">
        <f>IF($K631=AF$3,ROUND(IF(OR($C631="W",$C631="1/2W",$C631="1/2L"),$P631-$O631,IF($C631="X",0,-$O631)),2),0)</f>
        <v>0</v>
      </c>
      <c r="AG631" s="198">
        <f>IF($K631=AG$3,ROUND(IF(OR($C631="W",$C631="1/2W",$C631="1/2L"),$P631-$O631,IF($C631="X",0,-$O631)),2),0)</f>
        <v>0</v>
      </c>
      <c r="AH631" s="198">
        <f>IF($K631=AH$3,ROUND(IF(OR($C631="W",$C631="1/2W",$C631="1/2L"),$P631-$O631,IF($C631="X",0,-$O631)),2),0)</f>
        <v>0</v>
      </c>
      <c r="AI631" s="198">
        <f>IF($K631=AI$3,ROUND(IF(OR($C631="W",$C631="1/2W",$C631="1/2L"),$P631-$O631,IF($C631="X",0,-$O631)),2),0)</f>
        <v>0</v>
      </c>
      <c r="AJ631" s="198">
        <f>IF($K631=AJ$3,ROUND(IF(OR($C631="W",$C631="1/2W",$C631="1/2L"),$P631-$O631,IF($C631="X",0,-$O631)),2),0)</f>
        <v>-5.72</v>
      </c>
      <c r="AK631" s="198">
        <f>IF($K631=AK$3,ROUND(IF(OR($C631="W",$C631="1/2W",$C631="1/2L"),$P631-$O631,IF($C631="X",0,-$O631)),2),0)</f>
        <v>0</v>
      </c>
      <c r="AL631" s="198">
        <f>IF($K631=AL$3,ROUND(IF(OR($C631="W",$C631="1/2W",$C631="1/2L"),$P631-$O631,IF($C631="X",0,-$O631)),2),0)</f>
        <v>0</v>
      </c>
      <c r="AM631" s="198">
        <f>IF($K631=AM$3,ROUND(IF(OR($C631="W",$C631="1/2W",$C631="1/2L"),$P631-$O631,IF($C631="X",0,-$O631)),2),0)</f>
        <v>0</v>
      </c>
      <c r="AN631" s="198">
        <f>IF($K631=AN$3,ROUND(IF(OR($C631="W",$C631="1/2W",$C631="1/2L"),$P631-$O631,IF($C631="X",0,-$O631)),2),0)</f>
        <v>0</v>
      </c>
      <c r="AO631" s="198">
        <f>IF($K631=AO$3,ROUND(IF(OR($C631="W",$C631="1/2W",$C631="1/2L"),$P631-$O631,IF($C631="X",0,-$O631)),2),0)</f>
        <v>0</v>
      </c>
      <c r="AP631" s="198">
        <f>IF($K631=AP$3,ROUND(IF(OR($C631="W",$C631="1/2W",$C631="1/2L"),$P631-$O631,IF($C631="X",0,-$O631)),2),0)</f>
        <v>0</v>
      </c>
      <c r="AQ631" s="198">
        <f>IF($K631=AQ$3,ROUND(IF(OR($C631="W",$C631="1/2W",$C631="1/2L"),$P631-$O631,IF($C631="X",0,-$O631)),2),0)</f>
        <v>0</v>
      </c>
      <c r="AR631" s="199">
        <f>IF($K631=AR$3,ROUND(IF(OR($C631="W",$C631="1/2W",$C631="1/2L"),$P631-$O631,IF($C631="X",0,-$O631)),2),0)</f>
        <v>0</v>
      </c>
      <c r="AS631" s="197">
        <f>IF(AND($B631=" ",$K631=AS$3),$O631,0)</f>
        <v>0</v>
      </c>
      <c r="AT631" s="198">
        <f>IF(AND($B631=" ",$K631=AT$3),$O631,0)</f>
        <v>0</v>
      </c>
      <c r="AU631" s="198">
        <f>IF(AND($B631=" ",$K631=AU$3),$O631,0)</f>
        <v>0</v>
      </c>
      <c r="AV631" s="198">
        <f>IF(AND($B631=" ",$K631=AV$3),$O631,0)</f>
        <v>0</v>
      </c>
      <c r="AW631" s="198">
        <f>IF(AND($B631=" ",$K631=AW$3),$O631,0)</f>
        <v>0</v>
      </c>
      <c r="AX631" s="198">
        <f>IF(AND($B631=" ",$K631=AX$3),$O631,0)</f>
        <v>0</v>
      </c>
      <c r="AY631" s="200">
        <f>IF(AND($B631=" ",$K631=AY$3),$O631,0)</f>
        <v>0</v>
      </c>
      <c r="AZ631" s="201">
        <f>IF(AND($B631=" ",$K631=AZ$3),$O631,0)</f>
        <v>0</v>
      </c>
      <c r="BA631" s="201">
        <f>IF(AND($B631=" ",$K631=BA$3),$O631,0)</f>
        <v>0</v>
      </c>
      <c r="BB631" s="201">
        <f>IF(AND($B631=" ",$K631=BB$3),$O631,0)</f>
        <v>0</v>
      </c>
      <c r="BC631" s="202">
        <f>IF(AND($B631=" ",$K631=BC$3),$O631,0)</f>
        <v>0</v>
      </c>
      <c r="BD631" s="198">
        <f>IF(AND($B631=" ",$K631=BD$3),$O631,0)</f>
        <v>0</v>
      </c>
      <c r="BE631" s="199">
        <f>IF(AND($B631=" ",$K631=BE$3),$O631,0)</f>
        <v>0</v>
      </c>
      <c r="BF631" s="203">
        <f>IF($K631=BF$3,IF($C631="X",0,$O631),0)</f>
        <v>0</v>
      </c>
      <c r="BG631" s="198">
        <f>IF($K631=BG$3,IF($C631="X",0,$O631),0)</f>
        <v>0</v>
      </c>
      <c r="BH631" s="198">
        <f>IF($K631=BH$3,IF($C631="X",0,$O631),0)</f>
        <v>0</v>
      </c>
      <c r="BI631" s="198">
        <f>IF($K631=BI$3,IF($C631="X",0,$O631),0)</f>
        <v>0</v>
      </c>
      <c r="BJ631" s="198">
        <f>IF($K631=BJ$3,IF($C631="X",0,$O631),0)</f>
        <v>5.72</v>
      </c>
      <c r="BK631" s="198">
        <f>IF($K631=BK$3,IF($C631="X",0,$O631),0)</f>
        <v>0</v>
      </c>
      <c r="BL631" s="198">
        <f>IF($K631=BL$3,IF($C631="X",0,$O631),0)</f>
        <v>0</v>
      </c>
      <c r="BM631" s="200">
        <f>IF($K631=BM$3,IF($C631="X",0,$O631),0)</f>
        <v>0</v>
      </c>
      <c r="BN631" s="201">
        <f>IF($K631=BN$3,IF($C631="X",0,$O631),0)</f>
        <v>0</v>
      </c>
      <c r="BO631" s="201">
        <f>IF($K631=BO$3,IF($C631="X",0,$O631),0)</f>
        <v>0</v>
      </c>
      <c r="BP631" s="201">
        <f>IF($K631=BP$3,IF($C631="X",0,$O631),0)</f>
        <v>0</v>
      </c>
      <c r="BQ631" s="202">
        <f>IF($K631=BQ$3,IF($C631="X",0,$O631),0)</f>
        <v>0</v>
      </c>
      <c r="BR631" s="199">
        <f>IF($K631=BR$3,IF($C631="X",0,$O631),0)</f>
        <v>0</v>
      </c>
      <c r="BS631" s="204">
        <f>IF($B631="LOSS",IF(AND($K631=BS$3,$C631="L"),-$O631,0)+IF(AND($K632=BS$3,$C632="L"),-$O632,0)+IF(AND($K633=BS$3,$C633="L"),-$O633,0),IF(OR(AND($K631=BS$3,OR($C631="W",$C631="1/2W")),AND($K632=BS$3,OR($C632="W",$C632="1/2W")),AND($K633=BS$3,OR($C633="W",$C633="1/2W"))),$S631,0))</f>
        <v>1.53</v>
      </c>
      <c r="BT631" s="201">
        <f>IF($B631="LOSS",IF(AND($K631=BT$3,$C631="L"),-$O631,0)+IF(AND($K632=BT$3,$C632="L"),-$O632,0)+IF(AND($K632=BT$3,$C633="L"),-$O633,0),IF(OR(AND($K632=BT$3,OR($C631="W",$C631="1/2W")),AND($K632=BT$3,OR($C632="W",$C632="1/2W")),AND($K632=BT$3,OR($C633="W",$C633="1/2W"))),$S631,0))</f>
        <v>0</v>
      </c>
      <c r="BU631" s="201">
        <f>IF($B631="LOSS",IF(AND($K631=BU$3,$C631="L"),-$O631,0)+IF(AND($K632=BU$3,$C632="L"),-$O632,0)+IF(AND($K632=BU$3,$C633="L"),-$O633,0),IF(OR(AND($K632=BU$3,OR($C631="W",$C631="1/2W")),AND($K632=BU$3,OR($C632="W",$C632="1/2W")),AND($K632=BU$3,OR($C633="W",$C633="1/2W"))),$S631,0))</f>
        <v>0</v>
      </c>
      <c r="BV631" s="201">
        <f>IF($B631="LOSS",IF(AND($K631=BV$3,$C631="L"),-$O631,0)+IF(AND($K632=BV$3,$C632="L"),-$O632,0)+IF(AND($K633=BV$3,$C633="L"),-$O633,0),IF(OR(AND($K631=BV$3,OR($C631="W",$C631="1/2W")),AND($K632=BV$3,OR($C632="W",$C632="1/2W")),AND($K633=BV$3,OR($C633="W",$C633="1/2W"))),$S631,0))</f>
        <v>0</v>
      </c>
      <c r="BW631" s="201">
        <f>IF($B631="LOSS",IF(AND($K631=BW$3,$C631="L"),-$O631,0)+IF(AND($K632=BW$3,$C632="L"),-$O632,0)+IF(AND($K633=BW$3,$C633="L"),-$O633,0),IF(OR(AND($K631=BW$3,OR($C631="W",$C631="1/2W")),AND($K632=BW$3,OR($C632="W",$C632="1/2W")),AND($K633=BW$3,OR($C633="W",$C633="1/2W"))),$S631,0))</f>
        <v>0</v>
      </c>
      <c r="BX631" s="201">
        <f>IF($B631="LOSS",IF(AND($K631=BX$3,$C631="L"),-$O631,0)+IF(AND($K632=BX$3,$C632="L"),-$O632,0)+IF(AND($K633=BX$3,$C633="L"),-$O633,0),IF(OR(AND($K631=BX$3,OR($C631="W",$C631="1/2W")),AND($K632=BX$3,OR($C632="W",$C632="1/2W")),AND($K633=BX$3,OR($C633="W",$C633="1/2W"))),$S631,0))</f>
        <v>0</v>
      </c>
      <c r="BY631" s="201">
        <f>IF($B631="LOSS",IF(AND($K631=BY$3,$C631="L"),-$O631,0)+IF(AND($K632=BY$3,$C632="L"),-$O632,0)+IF(AND($K633=BY$3,$C633="L"),-$O633,0),IF(OR(AND($K631=BY$3,OR($C631="W",$C631="1/2W")),AND($K632=BY$3,OR($C632="W",$C632="1/2W")),AND($K633=BY$3,OR($C633="W",$C633="1/2W"))),$S631,0))</f>
        <v>0</v>
      </c>
      <c r="BZ631" s="205">
        <f>IF($B631="LOSS",IF(AND($K631=BZ$3,$C631="L"),-$O631,0)+IF(AND($K632=BZ$3,$C632="L"),-$O632,0)+IF(AND($K633=BZ$3,$C633="L"),-$O633,0),IF(OR(AND($K631=BZ$3,OR($C631="W",$C631="1/2W")),AND($K632=BZ$3,OR($C632="W",$C632="1/2W")),AND($K633=BZ$3,OR($C633="W",$C633="1/2W"))),$S631,0))</f>
        <v>0</v>
      </c>
      <c r="CA631" s="205">
        <f>IF($B631="LOSS",IF(AND($K631=CA$3,$C631="L"),-$O631,0)+IF(AND($K632=CA$3,$C632="L"),-$O632,0)+IF(AND($K633=CA$3,$C633="L"),-$O633,0),IF(OR(AND($K631=CA$3,OR($C631="W",$C631="1/2W")),AND($K632=CA$3,OR($C632="W",$C632="1/2W")),AND($K633=CA$3,OR($C633="W",$C633="1/2W"))),$S631,0))</f>
        <v>0</v>
      </c>
      <c r="CB631" s="205">
        <f>IF($B631="LOSS",IF(AND($K631=CB$3,$C631="L"),-$O631,0)+IF(AND($K632=CB$3,$C632="L"),-$O632,0)+IF(AND($K633=CB$3,$C633="L"),-$O633,0),IF(OR(AND($K631=CB$3,OR($C631="W",$C631="1/2W")),AND($K632=CB$3,OR($C632="W",$C632="1/2W")),AND($K633=CB$3,OR($C633="W",$C633="1/2W"))),$S631,0))</f>
        <v>0</v>
      </c>
      <c r="CC631" s="205">
        <f>IF($B631="LOSS",IF(AND($K631=CC$3,$C631="L"),-$O631,0)+IF(AND($K632=CC$3,$C632="L"),-$O632,0)+IF(AND($K633=CC$3,$C633="L"),-$O633,0),IF(OR(AND($K631=CC$3,OR($C631="W",$C631="1/2W")),AND($K632=CC$3,OR($C632="W",$C632="1/2W")),AND($K633=CC$3,OR($C633="W",$C633="1/2W"))),$S631,0))</f>
        <v>0</v>
      </c>
      <c r="CD631" s="202">
        <f>IF($B631="LOSS",IF(AND($K631=CD$3,$C631="L"),-$O631,0)+IF(AND($K632=CD$3,$C632="L"),-$O632,0)+IF(AND($K633=CD$3,$C633="L"),-$O633,0),IF(OR(AND($K631=CD$3,OR($C631="W",$C631="1/2W")),AND($K632=CD$3,OR($C632="W",$C632="1/2W")),AND($K633=CD$3,OR($C633="W",$C633="1/2W"))),$S631,0))</f>
        <v>0</v>
      </c>
      <c r="CE631" s="199">
        <f>IF($B631="LOSS",IF(AND($K631=CE$3,$C631="L"),-$O631,0)+IF(AND($K632=CE$3,$C632="L"),-$O632,0)+IF(AND($K633=CE$3,$C633="L"),-$O633,0),IF(OR(AND($K631=CE$3,OR($C631="W",$C631="1/2W")),AND($K632=CE$3,OR($C632="W",$C632="1/2W")),AND($K633=CE$3,OR($C633="W",$C633="1/2W"))),$S631,0))</f>
        <v>0</v>
      </c>
      <c r="CF631" s="206">
        <f>IF(CF$3=$K631,IF($C631="W",1,IF($C631="1/2W",0.5,0)),0)</f>
        <v>0</v>
      </c>
      <c r="CG631" s="207">
        <f>IF(CF$3=$K631,IF($C631="L",1,IF($C631="1/2L",0.5,0)),0)</f>
        <v>0</v>
      </c>
      <c r="CH631" s="207">
        <f>IF(CH$3=$K631,IF($C631="W",1,IF($C631="1/2W",0.5,0)),0)</f>
        <v>0</v>
      </c>
      <c r="CI631" s="207">
        <f>IF(CH$3=$K631,IF($C631="L",1,IF($C631="1/2L",0.5,0)),0)</f>
        <v>0</v>
      </c>
      <c r="CJ631" s="207">
        <f>IF(CJ$3=$K631,IF($C631="W",1,IF($C631="1/2W",0.5,0)),0)</f>
        <v>0</v>
      </c>
      <c r="CK631" s="207">
        <f>IF(CJ$3=$K631,IF($C631="L",1,IF($C631="1/2L",0.5,0)),0)</f>
        <v>0</v>
      </c>
      <c r="CL631" s="207">
        <f>IF(CL$3=$K631,IF($C631="W",1,IF($C631="1/2W",0.5,0)),0)</f>
        <v>0</v>
      </c>
      <c r="CM631" s="207">
        <f>IF(CL$3=$K631,IF($C631="L",1,IF($C631="1/2L",0.5,0)),0)</f>
        <v>0</v>
      </c>
      <c r="CN631" s="207">
        <f>IF(CN$3=$K631,IF($C631="W",1,IF($C631="1/2W",0.5,0)),0)</f>
        <v>0</v>
      </c>
      <c r="CO631" s="207">
        <f>IF(CN$3=$K631,IF($C631="L",1,IF($C631="1/2L",0.5,0)),0)</f>
        <v>1</v>
      </c>
      <c r="CP631" s="207">
        <f>IF(CP$3=$K631,IF($C631="W",1,IF($C631="1/2W",0.5,0)),0)</f>
        <v>0</v>
      </c>
      <c r="CQ631" s="207">
        <f>IF(CP$3=$K631,IF($C631="L",1,IF($C631="1/2L",0.5,0)),0)</f>
        <v>0</v>
      </c>
      <c r="CR631" s="207">
        <f>IF(CR$3=$K631,IF($C631="W",1,IF($C631="1/2W",0.5,0)),0)</f>
        <v>0</v>
      </c>
      <c r="CS631" s="207">
        <f>IF(CR$3=$K631,IF($C631="L",1,IF($C631="1/2L",0.5,0)),0)</f>
        <v>0</v>
      </c>
      <c r="CT631" s="208">
        <f>IF(CT$3=$K631,IF($C631="W",1,IF($C631="1/2W",0.5,0)),0)</f>
        <v>0</v>
      </c>
      <c r="CU631" s="209">
        <f>IF(CT$3=$K631,IF($C631="L",1,IF($C631="1/2L",0.5,0)),0)</f>
        <v>0</v>
      </c>
      <c r="CV631" s="209">
        <f>IF(CV$3=$K631,IF($C631="W",1,IF($C631="1/2W",0.5,0)),0)</f>
        <v>0</v>
      </c>
      <c r="CW631" s="209">
        <f>IF(CV$3=$K631,IF($C631="L",1,IF($C631="1/2L",0.5,0)),0)</f>
        <v>0</v>
      </c>
      <c r="CX631" s="209">
        <f>IF(CX$3=$K631,IF($C631="W",1,IF($C631="1/2W",0.5,0)),0)</f>
        <v>0</v>
      </c>
      <c r="CY631" s="209">
        <f>IF(CX$3=$K631,IF($C631="L",1,IF($C631="1/2L",0.5,0)),0)</f>
        <v>0</v>
      </c>
      <c r="CZ631" s="209">
        <f>IF(CZ$3=$K631,IF($C631="W",1,IF($C631="1/2W",0.5,0)),0)</f>
        <v>0</v>
      </c>
      <c r="DA631" s="209">
        <f>IF(CZ$3=$K631,IF($C631="L",1,IF($C631="1/2L",0.5,0)),0)</f>
        <v>0</v>
      </c>
      <c r="DB631" s="209">
        <f>IF(DB$3=$K631,IF($C631="W",1,IF($C631="1/2W",0.5,0)),0)</f>
        <v>0</v>
      </c>
      <c r="DC631" s="209">
        <f>IF(DB$3=$K631,IF($C631="L",1,IF($C631="1/2L",0.5,0)),0)</f>
        <v>0</v>
      </c>
      <c r="DD631" s="209">
        <f>IF(DD$3=$K631,IF($C631="W",1,IF($C631="1/2W",0.5,0)),0)</f>
        <v>0</v>
      </c>
      <c r="DE631" s="210">
        <f>IF(DD$3=$K631,IF($C631="L",1,IF($C631="1/2L",0.5,0)),0)</f>
        <v>0</v>
      </c>
      <c r="DF631" s="211">
        <f>IF(AND(L631&lt;DF$3,$C631="W"),1+DF630,DF630)</f>
        <v>17</v>
      </c>
      <c r="DG631" s="198">
        <f>IF(DF631&gt;DF630,L631+DG630,DG630)</f>
        <v>22.628</v>
      </c>
      <c r="DH631" s="209">
        <f>IF(AND(L631&gt;DH$3,$C631="W"),1+DH630,0+DH630)</f>
        <v>16</v>
      </c>
      <c r="DI631" s="198">
        <f>IF(DH631&gt;DH630,L631+DI630,DI630)</f>
        <v>85.45999999999999</v>
      </c>
      <c r="DJ631" t="s" s="306">
        <f>IF($D631="","",$D631)</f>
        <v>431</v>
      </c>
      <c r="DK631" s="209">
        <f>IF(AND($B631=" ",$D631&lt;&gt;""),1,0)</f>
        <v>0</v>
      </c>
    </row>
    <row r="632" ht="14.55" customHeight="1">
      <c r="A632" s="107"/>
      <c r="B632" s="108"/>
      <c r="C632" t="s" s="213">
        <v>56</v>
      </c>
      <c r="D632" s="110"/>
      <c r="E632" s="111"/>
      <c r="F632" s="113"/>
      <c r="G632" s="214"/>
      <c r="H632" s="114"/>
      <c r="I632" t="s" s="215">
        <v>57</v>
      </c>
      <c r="J632" s="296">
        <v>1.75</v>
      </c>
      <c r="K632" t="s" s="217">
        <v>37</v>
      </c>
      <c r="L632" s="218">
        <v>2</v>
      </c>
      <c r="M632" s="219">
        <v>7.25</v>
      </c>
      <c r="N632" s="120"/>
      <c r="O632" s="220">
        <f>IF(OR(AE631="",AE632=""),"",ROUND(IF(L633&gt;0,IF(M632&gt;0,M632,IF(M631&gt;0,IF(N631=TRUE,ROUND((M631*AE632)/AE631,0),(M631*AE632)/AE631),IF(M632&gt;0,ROUND(M632,IF(N631=0,2,IF(N631=0.1,1,0))),IF(M633&gt;0,ROUND(O633*AE632/AE633,IF(N631=0,2,IF(N631=0.1,1,0))),0)))),IF(M632&gt;0,M632,ROUND((M631*AE632)/AE631,IF(N631=0,2,IF(N631=0.1,1,0))))),2))</f>
        <v>7.25</v>
      </c>
      <c r="P632" s="221">
        <f>IF(OR(L632="",O632=""),"",IF($C632="1/2W",O632/2+O632/2*L632,IF($C632="1/2L",O632/2,IF(I632="Lay",((O632*(L632/(L632-1)))-O632)*(1-_xlfn.XLOOKUP(K632,'Janeiro 2023 - Valor Real'!A3:A15,'Janeiro 2023 - Valor Real'!C3:C15,0))+O632,(O632*L632-O632)*(1-_xlfn.XLOOKUP(K632,'Janeiro 2023 - Valor Real'!A3:A15,'Janeiro 2023 - Valor Real'!C3:C15,0))+O632))))</f>
        <v>14.5</v>
      </c>
      <c r="Q632" s="222">
        <f>IF(K632="","",IF(_xlfn.XLOOKUP(K632,K$123:K405,DJ$123:DJ405,0,,-1)=DJ632,_xlfn.XLOOKUP(K632,K$123:K405,Q$123:Q405,1,,-1)+1,1))</f>
        <v>1</v>
      </c>
      <c r="R632" s="223">
        <f>IF(K632="","",_xlfn.XLOOKUP(K632,K$123:K405,R$123:R405,0,,-1)+IF($C632=" ",1,0))</f>
        <v>0</v>
      </c>
      <c r="S632" s="125"/>
      <c r="T632" s="126"/>
      <c r="U632" s="126"/>
      <c r="V632" s="224"/>
      <c r="W632" s="126"/>
      <c r="X632" s="127"/>
      <c r="Y632" s="128"/>
      <c r="Z632" s="129"/>
      <c r="AA632" s="129"/>
      <c r="AB632" s="129"/>
      <c r="AC632" s="129"/>
      <c r="AD632" s="225">
        <f>(((L632/(L632-1)-1)*(1-_xlfn.XLOOKUP(K632,'Janeiro 2023 - Valor Real'!A3:A15,'Janeiro 2023 - Valor Real'!C3:C15,0))+1))</f>
        <v>2</v>
      </c>
      <c r="AE632" s="226">
        <f>IF(L632="","",IF(L633&gt;0,(SUM(((L631-1)*(1-_xlfn.XLOOKUP(K631,'Janeiro 2023 - Valor Real'!A3:A15,'Janeiro 2023 - Valor Real'!C3:C15,0))+1),((L632-1)*(1-_xlfn.XLOOKUP(K632,'Janeiro 2023 - Valor Real'!A3:A15,'Janeiro 2023 - Valor Real'!C3:C15,0))+1),((L633-1)*(1-_xlfn.XLOOKUP(K633,'Janeiro 2023 - Valor Real'!A3:A15,'Janeiro 2023 - Valor Real'!C3:C15,0))+1))/((L632-1)*(1-_xlfn.XLOOKUP(K632,'Janeiro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Real'!C3:C15,0))+1))/((L631-1)*(1-_xlfn.XLOOKUP(K631,'Janeiro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Real'!C3:C15,0))+1))/((L632-1)*(1-_xlfn.XLOOKUP(K632,'Janeiro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Real'!C3:C15,0))+1))/((L633-1)*(1-_xlfn.XLOOKUP(K633,'Janeiro 2023 - Valor Real'!A3:A15,'Janeiro 2023 - Valor Real'!C3:C15,0))+1)),IF(I632="Lay",IF(I631="Lay",((L631/(L631-1)-1)*(1-_xlfn.XLOOKUP(K631,'Janeiro 2023 - Valor Real'!A3:A15,'Janeiro 2023 - Valor Real'!C3:C15,0))+1)/(((L631/(L631-1)-1)*(1-_xlfn.XLOOKUP(K631,'Janeiro 2023 - Valor Real'!A3:A15,'Janeiro 2023 - Valor Real'!C3:C15,0))+1)+((L632/(L632-1)-1)*(1-_xlfn.XLOOKUP(K632,'Janeiro 2023 - Valor Real'!A3:A15,'Janeiro 2023 - Valor Real'!C3:C15,0))+1)),((L631-1)*(1-_xlfn.XLOOKUP(K631,'Janeiro 2023 - Valor Real'!A3:A15,'Janeiro 2023 - Valor Real'!C3:C15,0))+1)/(((L631-1)*(1-_xlfn.XLOOKUP(K631,'Janeiro 2023 - Valor Real'!A3:A15,'Janeiro 2023 - Valor Real'!C3:C15,0))+1)+((L632/(L632-1)-1)*(1-_xlfn.XLOOKUP(K632,'Janeiro 2023 - Valor Real'!A3:A15,'Janeiro 2023 - Valor Real'!C3:C15,0))+1))),IF(I631="Lay",((L631/(L631-1)-1)*(1-_xlfn.XLOOKUP(K631,'Janeiro 2023 - Valor Real'!A3:A15,'Janeiro 2023 - Valor Real'!C3:C15,0))+1)/((((L631/(L631-1)-1)*(1-_xlfn.XLOOKUP(K631,'Janeiro 2023 - Valor Real'!A3:A15,'Janeiro 2023 - Valor Real'!C3:C15,0))+1))+((L632-1)*(1-_xlfn.XLOOKUP(K632,'Janeiro 2023 - Valor Real'!A3:A15,'Janeiro 2023 - Valor Real'!C3:C15,0))+1)),((L631-1)*(1-_xlfn.XLOOKUP(K631,'Janeiro 2023 - Valor Real'!A3:A15,'Janeiro 2023 - Valor Real'!C3:C15,0))+1)/(((L631-1)*(1-_xlfn.XLOOKUP(K631,'Janeiro 2023 - Valor Real'!A3:A15,'Janeiro 2023 - Valor Real'!C3:C15,0))+1)+((L632-1)*(1-_xlfn.XLOOKUP(K632,'Janeiro 2023 - Valor Real'!A3:A15,'Janeiro 2023 - Valor Real'!C3:C15,0))+1))))))</f>
        <v>0.521531100478469</v>
      </c>
      <c r="AF632" s="197">
        <f>IF($K632=AF$3,ROUND(IF(OR($C632="W",$C632="1/2W",$C632="1/2L"),$P632-$O632,IF($C632="X",0,-$O632)),2),0)</f>
        <v>7.25</v>
      </c>
      <c r="AG632" s="198">
        <f>IF($K632=AG$3,ROUND(IF(OR($C632="W",$C632="1/2W",$C632="1/2L"),$P632-$O632,IF($C632="X",0,-$O632)),2),0)</f>
        <v>0</v>
      </c>
      <c r="AH632" s="198">
        <f>IF($K632=AH$3,ROUND(IF(OR($C632="W",$C632="1/2W",$C632="1/2L"),$P632-$O632,IF($C632="X",0,-$O632)),2),0)</f>
        <v>0</v>
      </c>
      <c r="AI632" s="198">
        <f>IF($K632=AI$3,ROUND(IF(OR($C632="W",$C632="1/2W",$C632="1/2L"),$P632-$O632,IF($C632="X",0,-$O632)),2),0)</f>
        <v>0</v>
      </c>
      <c r="AJ632" s="198">
        <f>IF($K632=AJ$3,ROUND(IF(OR($C632="W",$C632="1/2W",$C632="1/2L"),$P632-$O632,IF($C632="X",0,-$O632)),2),0)</f>
        <v>0</v>
      </c>
      <c r="AK632" s="198">
        <f>IF($K632=AK$3,ROUND(IF(OR($C632="W",$C632="1/2W",$C632="1/2L"),$P632-$O632,IF($C632="X",0,-$O632)),2),0)</f>
        <v>0</v>
      </c>
      <c r="AL632" s="198">
        <f>IF($K632=AL$3,ROUND(IF(OR($C632="W",$C632="1/2W",$C632="1/2L"),$P632-$O632,IF($C632="X",0,-$O632)),2),0)</f>
        <v>0</v>
      </c>
      <c r="AM632" s="198">
        <f>IF($K632=AM$3,ROUND(IF(OR($C632="W",$C632="1/2W",$C632="1/2L"),$P632-$O632,IF($C632="X",0,-$O632)),2),0)</f>
        <v>0</v>
      </c>
      <c r="AN632" s="198">
        <f>IF($K632=AN$3,ROUND(IF(OR($C632="W",$C632="1/2W",$C632="1/2L"),$P632-$O632,IF($C632="X",0,-$O632)),2),0)</f>
        <v>0</v>
      </c>
      <c r="AO632" s="198">
        <f>IF($K632=AO$3,ROUND(IF(OR($C632="W",$C632="1/2W",$C632="1/2L"),$P632-$O632,IF($C632="X",0,-$O632)),2),0)</f>
        <v>0</v>
      </c>
      <c r="AP632" s="198">
        <f>IF($K632=AP$3,ROUND(IF(OR($C632="W",$C632="1/2W",$C632="1/2L"),$P632-$O632,IF($C632="X",0,-$O632)),2),0)</f>
        <v>0</v>
      </c>
      <c r="AQ632" s="198">
        <f>IF($K632=AQ$3,ROUND(IF(OR($C632="W",$C632="1/2W",$C632="1/2L"),$P632-$O632,IF($C632="X",0,-$O632)),2),0)</f>
        <v>0</v>
      </c>
      <c r="AR632" s="199">
        <f>IF($K632=AR$3,ROUND(IF(OR($C632="W",$C632="1/2W",$C632="1/2L"),$P632-$O632,IF($C632="X",0,-$O632)),2),0)</f>
        <v>0</v>
      </c>
      <c r="AS632" s="197">
        <f>IF(AND($B631=" ",$K632=AS$3),$O632,0)</f>
        <v>0</v>
      </c>
      <c r="AT632" s="198">
        <f>IF(AND($B631=" ",K632=AT$3),$O632,0)</f>
        <v>0</v>
      </c>
      <c r="AU632" s="198">
        <f>IF(AND($B631=" ",$K632=AU$3),$O632,0)</f>
        <v>0</v>
      </c>
      <c r="AV632" s="198">
        <f>IF(AND($B631=" ",$K632=AV$3),$O632,0)</f>
        <v>0</v>
      </c>
      <c r="AW632" s="198">
        <f>IF(AND($B631=" ",$K632=AW$3),$O632,0)</f>
        <v>0</v>
      </c>
      <c r="AX632" s="198">
        <f>IF(AND($B631=" ",$K632=AX$3),$O632,0)</f>
        <v>0</v>
      </c>
      <c r="AY632" s="200">
        <f>IF(AND($B631=" ",$K632=AY$3),$O632,0)</f>
        <v>0</v>
      </c>
      <c r="AZ632" s="201">
        <f>IF(AND($B631=" ",$K632=AZ$3),$O632,0)</f>
        <v>0</v>
      </c>
      <c r="BA632" s="201">
        <f>IF(AND($B631=" ",$K632=BA$3),$O632,0)</f>
        <v>0</v>
      </c>
      <c r="BB632" s="201">
        <f>IF(AND($B631=" ",$K632=BB$3),$O632,0)</f>
        <v>0</v>
      </c>
      <c r="BC632" s="202">
        <f>IF(AND($B631=" ",$K632=BC$3),$O632,0)</f>
        <v>0</v>
      </c>
      <c r="BD632" s="198">
        <f>IF(AND($B631=" ",$K632=BD$3),$O632,0)</f>
        <v>0</v>
      </c>
      <c r="BE632" s="199">
        <f>IF(AND($B631=" ",$K632=BE$3),$O632,0)</f>
        <v>0</v>
      </c>
      <c r="BF632" s="197">
        <f>IF($K632=BF$3,IF($C632="X",0,$O632),0)</f>
        <v>7.25</v>
      </c>
      <c r="BG632" s="198">
        <f>IF($K632=BG$3,IF($C632="X",0,$O632),0)</f>
        <v>0</v>
      </c>
      <c r="BH632" s="198">
        <f>IF($K632=BH$3,IF($C632="X",0,$O632),0)</f>
        <v>0</v>
      </c>
      <c r="BI632" s="198">
        <f>IF($K632=BI$3,IF($C632="X",0,$O632),0)</f>
        <v>0</v>
      </c>
      <c r="BJ632" s="198">
        <f>IF($K632=BJ$3,IF($C632="X",0,$O632),0)</f>
        <v>0</v>
      </c>
      <c r="BK632" s="198">
        <f>IF($K632=BK$3,IF($C632="X",0,$O632),0)</f>
        <v>0</v>
      </c>
      <c r="BL632" s="198">
        <f>IF($K632=BL$3,IF($C632="X",0,$O632),0)</f>
        <v>0</v>
      </c>
      <c r="BM632" s="227">
        <f>IF($K632=BM$3,IF($C632="X",0,$O632),0)</f>
        <v>0</v>
      </c>
      <c r="BN632" s="205">
        <f>IF($K632=BN$3,IF($C632="X",0,$O632),0)</f>
        <v>0</v>
      </c>
      <c r="BO632" s="205">
        <f>IF($K632=BO$3,IF($C632="X",0,$O632),0)</f>
        <v>0</v>
      </c>
      <c r="BP632" s="205">
        <f>IF($K632=BP$3,IF($C632="X",0,$O632),0)</f>
        <v>0</v>
      </c>
      <c r="BQ632" s="202">
        <f>IF($K632=BQ$3,IF($C632="X",0,$O632),0)</f>
        <v>0</v>
      </c>
      <c r="BR632" s="199">
        <f>IF($K632=BR$3,IF($C632="X",0,$O632),0)</f>
        <v>0</v>
      </c>
      <c r="BS632" s="228"/>
      <c r="BT632" s="229"/>
      <c r="BU632" s="140"/>
      <c r="BV632" s="229"/>
      <c r="BW632" s="140"/>
      <c r="BX632" s="140"/>
      <c r="BY632" s="140"/>
      <c r="BZ632" s="229"/>
      <c r="CA632" s="140"/>
      <c r="CB632" s="140"/>
      <c r="CC632" s="140"/>
      <c r="CD632" s="141"/>
      <c r="CE632" s="142"/>
      <c r="CF632" s="230">
        <f>IF(CF$3=$K632,IF($C632="W",1,IF($C632="1/2W",0.5,0)),0)</f>
        <v>1</v>
      </c>
      <c r="CG632" s="231">
        <f>IF(CF$3=$K632,IF($C632="L",1,IF($C632="1/2L",0.5,0)),0)</f>
        <v>0</v>
      </c>
      <c r="CH632" s="231">
        <f>IF(CH$3=$K632,IF($C632="W",1,IF($C632="1/2W",0.5,0)),0)</f>
        <v>0</v>
      </c>
      <c r="CI632" s="231">
        <f>IF(CH$3=$K632,IF($C632="L",1,IF($C632="1/2L",0.5,0)),0)</f>
        <v>0</v>
      </c>
      <c r="CJ632" s="231">
        <f>IF(CJ$3=$K632,IF($C632="W",1,IF($C632="1/2W",0.5,0)),0)</f>
        <v>0</v>
      </c>
      <c r="CK632" s="231">
        <f>IF(CJ$3=$K632,IF($C632="L",1,IF($C632="1/2L",0.5,0)),0)</f>
        <v>0</v>
      </c>
      <c r="CL632" s="231">
        <f>IF(CL$3=$K632,IF($C632="W",1,IF($C632="1/2W",0.5,0)),0)</f>
        <v>0</v>
      </c>
      <c r="CM632" s="231">
        <f>IF(CL$3=$K632,IF($C632="L",1,IF($C632="1/2L",0.5,0)),0)</f>
        <v>0</v>
      </c>
      <c r="CN632" s="231">
        <f>IF(CN$3=$K632,IF($C632="W",1,IF($C632="1/2W",0.5,0)),0)</f>
        <v>0</v>
      </c>
      <c r="CO632" s="231">
        <f>IF(CN$3=$K632,IF($C632="L",1,IF($C632="1/2L",0.5,0)),0)</f>
        <v>0</v>
      </c>
      <c r="CP632" s="231">
        <f>IF(CP$3=$K632,IF($C632="W",1,IF($C632="1/2W",0.5,0)),0)</f>
        <v>0</v>
      </c>
      <c r="CQ632" s="231">
        <f>IF(CP$3=$K632,IF($C632="L",1,IF($C632="1/2L",0.5,0)),0)</f>
        <v>0</v>
      </c>
      <c r="CR632" s="231">
        <f>IF(CR$3=$K632,IF($C632="W",1,IF($C632="1/2W",0.5,0)),0)</f>
        <v>0</v>
      </c>
      <c r="CS632" s="231">
        <f>IF(CR$3=$K632,IF($C632="L",1,IF($C632="1/2L",0.5,0)),0)</f>
        <v>0</v>
      </c>
      <c r="CT632" s="208">
        <f>IF(CT$3=$K632,IF($C632="W",1,IF($C632="1/2W",0.5,0)),0)</f>
        <v>0</v>
      </c>
      <c r="CU632" s="209">
        <f>IF(CT$3=$K632,IF($C632="L",1,IF($C632="1/2L",0.5,0)),0)</f>
        <v>0</v>
      </c>
      <c r="CV632" s="209">
        <f>IF(CV$3=$K632,IF($C632="W",1,IF($C632="1/2W",0.5,0)),0)</f>
        <v>0</v>
      </c>
      <c r="CW632" s="209">
        <f>IF(CV$3=$K632,IF($C632="L",1,IF($C632="1/2L",0.5,0)),0)</f>
        <v>0</v>
      </c>
      <c r="CX632" s="209">
        <f>IF(CX$3=$K632,IF($C632="W",1,IF($C632="1/2W",0.5,0)),0)</f>
        <v>0</v>
      </c>
      <c r="CY632" s="209">
        <f>IF(CX$3=$K632,IF($C632="L",1,IF($C632="1/2L",0.5,0)),0)</f>
        <v>0</v>
      </c>
      <c r="CZ632" s="209">
        <f>IF(CZ$3=$K632,IF($C632="W",1,IF($C632="1/2W",0.5,0)),0)</f>
        <v>0</v>
      </c>
      <c r="DA632" s="209">
        <f>IF(CZ$3=$K632,IF($C632="L",1,IF($C632="1/2L",0.5,0)),0)</f>
        <v>0</v>
      </c>
      <c r="DB632" s="209">
        <f>IF(DB$3=$K632,IF($C632="W",1,IF($C632="1/2W",0.5,0)),0)</f>
        <v>0</v>
      </c>
      <c r="DC632" s="209">
        <f>IF(DB$3=$K632,IF($C632="L",1,IF($C632="1/2L",0.5,0)),0)</f>
        <v>0</v>
      </c>
      <c r="DD632" s="209">
        <f>IF(DD$3=$K632,IF($C632="W",1,IF($C632="1/2W",0.5,0)),0)</f>
        <v>0</v>
      </c>
      <c r="DE632" s="210">
        <f>IF(DD$3=$K632,IF($C632="L",1,IF($C632="1/2L",0.5,0)),0)</f>
        <v>0</v>
      </c>
      <c r="DF632" s="211">
        <f>IF(AND(L632&lt;DF$3,$C632="W"),1+DF631,DF631)</f>
        <v>17</v>
      </c>
      <c r="DG632" s="198">
        <f>IF(DF632&gt;DF631,L632+DG631,DG631)</f>
        <v>22.628</v>
      </c>
      <c r="DH632" s="209">
        <f>IF(AND(L632&gt;DH$3,$C632="W"),1+DH631,0+DH631)</f>
        <v>16</v>
      </c>
      <c r="DI632" s="198">
        <f>IF(DH632&gt;DH631,L632+DI631,DI631)</f>
        <v>85.45999999999999</v>
      </c>
      <c r="DJ632" t="s" s="306">
        <f>IF($D631="","",$D631)</f>
        <v>431</v>
      </c>
      <c r="DK632" s="232"/>
    </row>
    <row r="633" ht="14.55" customHeight="1">
      <c r="A633" s="149"/>
      <c r="B633" s="150"/>
      <c r="C633" t="s" s="233">
        <v>58</v>
      </c>
      <c r="D633" s="152"/>
      <c r="E633" s="153"/>
      <c r="F633" s="155"/>
      <c r="G633" s="234"/>
      <c r="H633" s="156"/>
      <c r="I633" s="235"/>
      <c r="J633" s="236"/>
      <c r="K633" s="237"/>
      <c r="L633" s="238"/>
      <c r="M633" s="239"/>
      <c r="N633" s="161"/>
      <c r="O633" t="s" s="240">
        <f>IF(OR(AE631="",AE632=""),"",IF(L633&gt;0,ROUND(IF(M633&gt;0,M633,IF(M631&gt;0,ROUND((M631*AE633)/AE631,IF(N631=0,2,IF(N631=0.1,1,0))),IF(M632&gt;0,ROUND((M632*AE633)/AE632,IF(N631=0,2,IF(N631=0.1,1,0))),IF(M633&gt;0,M633,0)))),2),""))</f>
      </c>
      <c r="P633" t="s" s="241">
        <f>IF(I632="Lay",O632*(L632/(L632-1))-O632,IF(I631="Lay",O631*(L631/(L631-1))-O631,IF(OR(L633="",O633=""),"",IF($C633="1/2W",O633/2+O633/2*L633,IF($C633="1/2L",O633/2,(O633*L633-O633)*(1-_xlfn.XLOOKUP(K633,'Janeiro 2023 - Valor Real'!A3:A15,'Janeiro 2023 - Valor Real'!C3:C15,0))+O633)))))</f>
      </c>
      <c r="Q633" t="s" s="242">
        <f>IF(K633="","",IF(_xlfn.XLOOKUP(K633,K$124:K406,DJ$124:DJ406,0,,-1)=DJ633,_xlfn.XLOOKUP(K633,K$124:K406,Q$124:Q406,1,,-1)+1,1))</f>
      </c>
      <c r="R633" t="s" s="243">
        <f>IF(K633="","",_xlfn.XLOOKUP(K633,K$124:K406,R$124:R406,0,,-1)+IF($C633=" ",1,0))</f>
      </c>
      <c r="S633" s="166"/>
      <c r="T633" s="155"/>
      <c r="U633" s="155"/>
      <c r="V633" s="166"/>
      <c r="W633" s="155"/>
      <c r="X633" s="167"/>
      <c r="Y633" s="128"/>
      <c r="Z633" s="129"/>
      <c r="AA633" s="129"/>
      <c r="AB633" s="129"/>
      <c r="AC633" s="129"/>
      <c r="AD633" s="244">
        <f>((L632/(L632-1)-1))</f>
        <v>1</v>
      </c>
      <c r="AE633" t="s" s="245">
        <f>IF(L633="","",(SUM(((L631-1)*(1-_xlfn.XLOOKUP(K631,'Janeiro 2023 - Valor Real'!A3:A15,'Janeiro 2023 - Valor Real'!C3:C15,0))+1),((L632-1)*(1-_xlfn.XLOOKUP(K632,'Janeiro 2023 - Valor Real'!A3:A15,'Janeiro 2023 - Valor Real'!C3:C15,0))+1),((L633-1)*(1-_xlfn.XLOOKUP(K633,'Janeiro 2023 - Valor Real'!A3:A15,'Janeiro 2023 - Valor Real'!C3:C15,0))+1))/((L633-1)*(1-_xlfn.XLOOKUP(K633,'Janeiro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Real'!C3:C15,0))+1))/((L631-1)*(1-_xlfn.XLOOKUP(K631,'Janeiro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Real'!C3:C15,0))+1))/((L632-1)*(1-_xlfn.XLOOKUP(K632,'Janeiro 2023 - Valor Real'!A3:A15,'Janeiro 2023 - Valor Real'!C3:C15,0))+1)+SUM(((L631-1)*(1-_xlfn.XLOOKUP(K631,'Janeiro 2023 - Valor Real'!A3:A15,'Janeiro 2023 - Valor Real'!C3:C15,0))+1),((L632-1)*(1-_xlfn.XLOOKUP(K632,'Janeiro 2023 - Valor Real'!A3:A15,'Janeiro 2023 - Valor Real'!C3:C15,0))+1),((L633-1)*(1-_xlfn.XLOOKUP(K633,'Janeiro 2023 - Valor Real'!A3:A15,'Janeiro 2023 - Valor Real'!C3:C15,0))+1))/((L633-1)*(1-_xlfn.XLOOKUP(K633,'Janeiro 2023 - Valor Real'!A3:A15,'Janeiro 2023 - Valor Real'!C3:C15,0))+1)))</f>
      </c>
      <c r="AF633" s="197">
        <f>IF($K633=AF$3,ROUND(IF(OR($C633="W",$C633="1/2W",$C633="1/2L"),$P633-$O633,IF($C633="X",0,-$O633)),2),0)</f>
        <v>0</v>
      </c>
      <c r="AG633" s="198">
        <f>IF($K633=AG$3,ROUND(IF(OR($C633="W",$C633="1/2W",$C633="1/2L"),$P633-$O633,IF($C633="X",0,-$O633)),2),0)</f>
        <v>0</v>
      </c>
      <c r="AH633" s="198">
        <f>IF($K633=AH$3,ROUND(IF(OR($C633="W",$C633="1/2W",$C633="1/2L"),$P633-$O633,IF($C633="X",0,-$O633)),2),0)</f>
        <v>0</v>
      </c>
      <c r="AI633" s="198">
        <f>IF($K633=AI$3,ROUND(IF(OR($C633="W",$C633="1/2W",$C633="1/2L"),$P633-$O633,IF($C633="X",0,-$O633)),2),0)</f>
        <v>0</v>
      </c>
      <c r="AJ633" s="198">
        <f>IF($K633=AJ$3,ROUND(IF(OR($C633="W",$C633="1/2W",$C633="1/2L"),$P633-$O633,IF($C633="X",0,-$O633)),2),0)</f>
        <v>0</v>
      </c>
      <c r="AK633" s="198">
        <f>IF($K633=AK$3,ROUND(IF(OR($C633="W",$C633="1/2W",$C633="1/2L"),$P633-$O633,IF($C633="X",0,-$O633)),2),0)</f>
        <v>0</v>
      </c>
      <c r="AL633" s="198">
        <f>IF($K633=AL$3,ROUND(IF(OR($C633="W",$C633="1/2W",$C633="1/2L"),$P633-$O633,IF($C633="X",0,-$O633)),2),0)</f>
        <v>0</v>
      </c>
      <c r="AM633" s="198">
        <f>IF($K633=AM$3,ROUND(IF(OR($C633="W",$C633="1/2W",$C633="1/2L"),$P633-$O633,IF($C633="X",0,-$O633)),2),0)</f>
        <v>0</v>
      </c>
      <c r="AN633" s="198">
        <f>IF($K633=AN$3,ROUND(IF(OR($C633="W",$C633="1/2W",$C633="1/2L"),$P633-$O633,IF($C633="X",0,-$O633)),2),0)</f>
        <v>0</v>
      </c>
      <c r="AO633" s="198">
        <f>IF($K633=AO$3,ROUND(IF(OR($C633="W",$C633="1/2W",$C633="1/2L"),$P633-$O633,IF($C633="X",0,-$O633)),2),0)</f>
        <v>0</v>
      </c>
      <c r="AP633" s="198">
        <f>IF($K633=AP$3,ROUND(IF(OR($C633="W",$C633="1/2W",$C633="1/2L"),$P633-$O633,IF($C633="X",0,-$O633)),2),0)</f>
        <v>0</v>
      </c>
      <c r="AQ633" s="198">
        <f>IF($K633=AQ$3,ROUND(IF(OR($C633="W",$C633="1/2W",$C633="1/2L"),$P633-$O633,IF($C633="X",0,-$O633)),2),0)</f>
        <v>0</v>
      </c>
      <c r="AR633" s="199">
        <f>IF($K633=AR$3,ROUND(IF(OR($C633="W",$C633="1/2W",$C633="1/2L"),$P633-$O633,IF($C633="X",0,-$O633)),2),0)</f>
        <v>0</v>
      </c>
      <c r="AS633" s="197">
        <f>IF(AND($B631=" ",$K633=AS$3),$O633,0)</f>
        <v>0</v>
      </c>
      <c r="AT633" s="198">
        <f>IF(AND($B631=" ",K633=AT$3),$O633,0)</f>
        <v>0</v>
      </c>
      <c r="AU633" s="198">
        <f>IF(AND($B631=" ",$K633=AU$3),$O633,0)</f>
        <v>0</v>
      </c>
      <c r="AV633" s="198">
        <f>IF(AND($B631=" ",$K633=AV$3),$O633,0)</f>
        <v>0</v>
      </c>
      <c r="AW633" s="198">
        <f>IF(AND($B631=" ",$K633=AW$3),$O633,0)</f>
        <v>0</v>
      </c>
      <c r="AX633" s="198">
        <f>IF(AND($B631=" ",$K633=AX$3),$O633,0)</f>
        <v>0</v>
      </c>
      <c r="AY633" s="200">
        <f>IF(AND($B631=" ",$K633=AY$3),$O633,0)</f>
        <v>0</v>
      </c>
      <c r="AZ633" s="201">
        <f>IF(AND($B631=" ",$K633=AZ$3),$O633,0)</f>
        <v>0</v>
      </c>
      <c r="BA633" s="201">
        <f>IF(AND($B631=" ",$K633=BA$3),$O633,0)</f>
        <v>0</v>
      </c>
      <c r="BB633" s="201">
        <f>IF(AND($B631=" ",$K633=BB$3),$O633,0)</f>
        <v>0</v>
      </c>
      <c r="BC633" s="202">
        <f>IF(AND($B631=" ",$K633=BC$3),$O633,0)</f>
        <v>0</v>
      </c>
      <c r="BD633" s="198">
        <f>IF(AND($B631=" ",$K633=BD$3),$O633,0)</f>
        <v>0</v>
      </c>
      <c r="BE633" s="199">
        <f>IF(AND($B631=" ",$K633=BE$3),$O633,0)</f>
        <v>0</v>
      </c>
      <c r="BF633" s="197">
        <f>IF($K633=BF$3,IF($C633="X",0,$O633),0)</f>
        <v>0</v>
      </c>
      <c r="BG633" s="198">
        <f>IF($K633=BG$3,IF($C633="X",0,$O633),0)</f>
        <v>0</v>
      </c>
      <c r="BH633" s="198">
        <f>IF($K633=BH$3,IF($C633="X",0,$O633),0)</f>
        <v>0</v>
      </c>
      <c r="BI633" s="198">
        <f>IF($K633=BI$3,IF($C633="X",0,$O633),0)</f>
        <v>0</v>
      </c>
      <c r="BJ633" s="198">
        <f>IF($K633=BJ$3,IF($C633="X",0,$O633),0)</f>
        <v>0</v>
      </c>
      <c r="BK633" s="198">
        <f>IF($K633=BK$3,IF($C633="X",0,$O633),0)</f>
        <v>0</v>
      </c>
      <c r="BL633" s="198">
        <f>IF($K633=BL$3,IF($C633="X",0,$O633),0)</f>
        <v>0</v>
      </c>
      <c r="BM633" s="200">
        <f>IF($K633=BM$3,IF($C633="X",0,$O633),0)</f>
        <v>0</v>
      </c>
      <c r="BN633" s="201">
        <f>IF($K633=BN$3,IF($C633="X",0,$O633),0)</f>
        <v>0</v>
      </c>
      <c r="BO633" s="201">
        <f>IF($K633=BO$3,IF($C633="X",0,$O633),0)</f>
        <v>0</v>
      </c>
      <c r="BP633" s="201">
        <f>IF($K633=BP$3,IF($C633="X",0,$O633),0)</f>
        <v>0</v>
      </c>
      <c r="BQ633" s="202">
        <f>IF($K633=BQ$3,IF($C633="X",0,$O633),0)</f>
        <v>0</v>
      </c>
      <c r="BR633" s="199">
        <f>IF($K633=BR$3,IF($C633="X",0,$O633),0)</f>
        <v>0</v>
      </c>
      <c r="BS633" s="228"/>
      <c r="BT633" s="229"/>
      <c r="BU633" s="140"/>
      <c r="BV633" s="229"/>
      <c r="BW633" s="140"/>
      <c r="BX633" s="140"/>
      <c r="BY633" s="140"/>
      <c r="BZ633" s="229"/>
      <c r="CA633" s="140"/>
      <c r="CB633" s="140"/>
      <c r="CC633" s="140"/>
      <c r="CD633" s="141"/>
      <c r="CE633" s="142"/>
      <c r="CF633" s="230">
        <f>IF(CF$3=$K633,IF($C633="W",1,IF($C633="1/2W",0.5,0)),0)</f>
        <v>0</v>
      </c>
      <c r="CG633" s="231">
        <f>IF(CF$3=$K633,IF($C633="L",1,IF($C633="1/2L",0.5,0)),0)</f>
        <v>0</v>
      </c>
      <c r="CH633" s="231">
        <f>IF(CH$3=$K633,IF($C633="W",1,IF($C633="1/2W",0.5,0)),0)</f>
        <v>0</v>
      </c>
      <c r="CI633" s="231">
        <f>IF(CH$3=$K633,IF($C633="L",1,IF($C633="1/2L",0.5,0)),0)</f>
        <v>0</v>
      </c>
      <c r="CJ633" s="231">
        <f>IF(CJ$3=$K633,IF($C633="W",1,IF($C633="1/2W",0.5,0)),0)</f>
        <v>0</v>
      </c>
      <c r="CK633" s="231">
        <f>IF(CJ$3=$K633,IF($C633="L",1,IF($C633="1/2L",0.5,0)),0)</f>
        <v>0</v>
      </c>
      <c r="CL633" s="231">
        <f>IF(CL$3=$K633,IF($C633="W",1,IF($C633="1/2W",0.5,0)),0)</f>
        <v>0</v>
      </c>
      <c r="CM633" s="231">
        <f>IF(CL$3=$K633,IF($C633="L",1,IF($C633="1/2L",0.5,0)),0)</f>
        <v>0</v>
      </c>
      <c r="CN633" s="231">
        <f>IF(CN$3=$K633,IF($C633="W",1,IF($C633="1/2W",0.5,0)),0)</f>
        <v>0</v>
      </c>
      <c r="CO633" s="231">
        <f>IF(CN$3=$K633,IF($C633="L",1,IF($C633="1/2L",0.5,0)),0)</f>
        <v>0</v>
      </c>
      <c r="CP633" s="231">
        <f>IF(CP$3=$K633,IF($C633="W",1,IF($C633="1/2W",0.5,0)),0)</f>
        <v>0</v>
      </c>
      <c r="CQ633" s="231">
        <f>IF(CP$3=$K633,IF($C633="L",1,IF($C633="1/2L",0.5,0)),0)</f>
        <v>0</v>
      </c>
      <c r="CR633" s="231">
        <f>IF(CR$3=$K633,IF($C633="W",1,IF($C633="1/2W",0.5,0)),0)</f>
        <v>0</v>
      </c>
      <c r="CS633" s="231">
        <f>IF(CR$3=$K633,IF($C633="L",1,IF($C633="1/2L",0.5,0)),0)</f>
        <v>0</v>
      </c>
      <c r="CT633" s="208">
        <f>IF(CT$3=$K633,IF($C633="W",1,IF($C633="1/2W",0.5,0)),0)</f>
        <v>0</v>
      </c>
      <c r="CU633" s="209">
        <f>IF(CT$3=$K633,IF($C633="L",1,IF($C633="1/2L",0.5,0)),0)</f>
        <v>0</v>
      </c>
      <c r="CV633" s="209">
        <f>IF(CV$3=$K633,IF($C633="W",1,IF($C633="1/2W",0.5,0)),0)</f>
        <v>0</v>
      </c>
      <c r="CW633" s="209">
        <f>IF(CV$3=$K633,IF($C633="L",1,IF($C633="1/2L",0.5,0)),0)</f>
        <v>0</v>
      </c>
      <c r="CX633" s="209">
        <f>IF(CX$3=$K633,IF($C633="W",1,IF($C633="1/2W",0.5,0)),0)</f>
        <v>0</v>
      </c>
      <c r="CY633" s="209">
        <f>IF(CX$3=$K633,IF($C633="L",1,IF($C633="1/2L",0.5,0)),0)</f>
        <v>0</v>
      </c>
      <c r="CZ633" s="209">
        <f>IF(CZ$3=$K633,IF($C633="W",1,IF($C633="1/2W",0.5,0)),0)</f>
        <v>0</v>
      </c>
      <c r="DA633" s="209">
        <f>IF(CZ$3=$K633,IF($C633="L",1,IF($C633="1/2L",0.5,0)),0)</f>
        <v>0</v>
      </c>
      <c r="DB633" s="209">
        <f>IF(DB$3=$K633,IF($C633="W",1,IF($C633="1/2W",0.5,0)),0)</f>
        <v>0</v>
      </c>
      <c r="DC633" s="209">
        <f>IF(DB$3=$K633,IF($C633="L",1,IF($C633="1/2L",0.5,0)),0)</f>
        <v>0</v>
      </c>
      <c r="DD633" s="209">
        <f>IF(DD$3=$K633,IF($C633="W",1,IF($C633="1/2W",0.5,0)),0)</f>
        <v>0</v>
      </c>
      <c r="DE633" s="210">
        <f>IF(DD$3=$K633,IF($C633="L",1,IF($C633="1/2L",0.5,0)),0)</f>
        <v>0</v>
      </c>
      <c r="DF633" s="211">
        <f>IF(AND(L633&lt;DF$3,$C633="W"),1+DF632,DF632)</f>
        <v>17</v>
      </c>
      <c r="DG633" s="198">
        <f>IF(DF633&gt;DF632,L633+DG632,DG632)</f>
        <v>22.628</v>
      </c>
      <c r="DH633" s="209">
        <f>IF(AND(L633&gt;DH$3,$C633="W"),1+DH632,0+DH632)</f>
        <v>16</v>
      </c>
      <c r="DI633" s="198">
        <f>IF(DH633&gt;DH632,L633+DI632,DI632)</f>
        <v>85.45999999999999</v>
      </c>
      <c r="DJ633" t="s" s="306">
        <f>IF($D631="","",$D631)</f>
        <v>431</v>
      </c>
      <c r="DK633" s="232"/>
    </row>
    <row r="634" ht="14.55" customHeight="1">
      <c r="A634" s="246">
        <f>$A631+1</f>
        <v>211</v>
      </c>
      <c r="B634" t="s" s="247">
        <f>IF(AND(_xlfn.XLOOKUP(H634,H$107:H413,G$107:G413,0)=G634,_xlfn.XLOOKUP("TempoBet",K634:K636,L634:L636,0)&gt;0),"X",IF(OR(C634="W",C635="W",C636="W",C634="1/2W",C635="1/2W",C636="1/2W",C634="1/2L",C635="1/2L",C636="1/2L"),"OK",IF(OR(C634="L",C635="L",C636="L"),"LOSS",IF(OR(C634="X",C635="X",C636="X"),"Anulado"," "))))</f>
        <v>50</v>
      </c>
      <c r="C634" t="s" s="248">
        <v>51</v>
      </c>
      <c r="D634" t="s" s="303">
        <f>IF(G634="","",$D631)</f>
        <v>431</v>
      </c>
      <c r="E634" t="s" s="250">
        <v>152</v>
      </c>
      <c r="F634" t="s" s="251">
        <f>IF(G634="","",IF(OR(AND($C634&lt;&gt;" ",$C635=" "),AND($C635&lt;&gt;" ",$C634=" "),AND(L636&gt;0,OR(AND($C636&lt;&gt;" ",OR($C634=" ",$C635=" ")),AND($C636=" ",OR($C634&lt;&gt;" ",$C635&lt;&gt;" "))))),IF(SUM(F$4:F633)=0,1,LARGE(F$4:F633,1)+1),IF(MONTH(G634)=MONTH(TODAY()),IF(AND(DAY(G634)&lt;DAY(TODAY()),$B634=" "),IF(SUM(F$4:F633)=0,1,LARGE(F$4:F633,1)+1),IF($B634=" ",IF(AND(DAY(G634)=DAY(TODAY()),HOUR(G634)&lt;=HOUR(NOW())+1),IF(AND(HOUR(G634)+2&lt;=HOUR(NOW()),DAY(G634)&lt;=DAY(TODAY()),MINUTE(G634)&lt;=MINUTE(NOW())),IF(SUM(F$4:F633)=0,1,LARGE(F$4:F633,1)+1),IF(OR(MINUTE(G634)&lt;=MINUTE(NOW()),HOUR(G634)&lt;=HOUR(NOW())),"!!!","")),""),"")),"")))</f>
      </c>
      <c r="G634" s="252">
        <v>44953.916666666664</v>
      </c>
      <c r="H634" t="s" s="253">
        <v>292</v>
      </c>
      <c r="I634" s="355"/>
      <c r="J634" s="293"/>
      <c r="K634" t="s" s="256">
        <v>38</v>
      </c>
      <c r="L634" s="257">
        <v>2</v>
      </c>
      <c r="M634" s="258">
        <v>256.84</v>
      </c>
      <c r="N634" s="259">
        <v>0</v>
      </c>
      <c r="O634" s="260">
        <f>IF(OR(AE634="",AE635=""),"",ROUND(IF(L636&gt;0,IF(M634&gt;0,M634,IF(M635&gt;0,ROUND((M635*AE634)/AE635,IF(N634=0,2,IF(N634=0.1,1,0))),ROUND((M636*AE634)/AE636,IF(N634=0,2,IF(N634=0.1,1,0))))),IF(M634&gt;0,M634,ROUND((M635*AE634)/AE635,IF(N634=0,2,IF(N634=0.1,1,0))))),2))</f>
        <v>256.84</v>
      </c>
      <c r="P634" s="261">
        <f>IF(OR(L634="",O634=""),"",IF($C634="1/2W",O634/2+O634/2*L634,IF($C634="1/2L",O634/2,IF(I634="Lay",(O634*(L634/(L634-1))-O634)*(1-_xlfn.XLOOKUP(K634,'Janeiro 2023 - Valor Real'!A3:A15,'Janeiro 2023 - Valor Real'!C3:C15,0))+O634,(O634*L634-O634)*(1-_xlfn.XLOOKUP(K634,'Janeiro 2023 - Valor Real'!A3:A15,'Janeiro 2023 - Valor Real'!C3:C15,0))+O634))))</f>
        <v>513.6799999999999</v>
      </c>
      <c r="Q634" s="262">
        <f>IF(K634="","",IF(_xlfn.XLOOKUP(K634,K$107:K413,DJ$107:DJ413,0,,-1)=DJ634,_xlfn.XLOOKUP(K634,K$107:K413,Q$107:Q413,1,,-1)+1,1))</f>
        <v>1</v>
      </c>
      <c r="R634" s="263">
        <f>IF(K634="","",_xlfn.XLOOKUP(K634,K$107:K413,R$107:R413,0,,-1)+IF($C634=" ",1,0))</f>
        <v>0</v>
      </c>
      <c r="S634" s="264">
        <f>IF($B634="Anulado",0,ROUND(IF(OR($B634="LOSS",$B634="OK"),IF(OR($C634="W",$C634="1/2W",$C634="1/2L"),P634-O634,IF($C634="L",-O634,0))+IF(OR($C635="W",$C635="1/2W",$C635="1/2L"),P635-O635,IF($C635="L",-O635,0))+IF(OR($C636="W",$C636="1/2W",$C636="1/2L"),P636-O636,IF($C636="L",-O636,0)),IF(AND(OR($C634="W",$C634="1/2W",$C634="1/2L"),C635="W"),P634+P635-SUM(O634:O636)+_xlfn.XLOOKUP("X",C634:C636,O634:O636,0),IF(AND(C634=TRUE,C636="W"),P634+P636-SUM(O634:O636),IF(AND(C635="W",C636="W"),P635+P636-SUM(O634:O636)+_xlfn.XLOOKUP("X",C634:C636,O634:O636,0),IF(L636&gt;0,IF(OR($C634="W",$C634="1/2W",$C634="1/2L"),P634-SUM(O634:O636)+_xlfn.XLOOKUP("X",C634:C636,O634:O636,0),IF(OR($C634="W",$C634="1/2W",$C634="1/2L"),P635-SUM(O634:O636)+_xlfn.XLOOKUP("X",C634:C636,O634:O636,0),IF(OR($C634="W",$C634="1/2W",$C634="1/2L"),P636-SUM(O634:O636)+_xlfn.XLOOKUP("X",C634:C636,O634:O636,0),IF(SUM(P634:P636)/3-SUM(O634:O636)+_xlfn.XLOOKUP("X",C634:C636,O634:O636,0)&gt;0,SUM(P634:P636)/3-SUM(O634:O636)+_xlfn.XLOOKUP("X",C634:C636,O634:O636,0),LARGE(P634:P636,1)-SUM(O634:O636))))),IF(OR($C634="W",$C634="1/2W",$C634="1/2L"),P634-SUM(O634:O635)+_xlfn.XLOOKUP("X",C634:C636,O634:O636,0),IF(OR($C634="W",$C634="1/2W",$C634="1/2L"),P635-SUM(O634:O635)+_xlfn.XLOOKUP("X",C634:C636,O634:O636,0),SUM(P634:P635)/2-SUM(O634:O635)+_xlfn.XLOOKUP("X",C634:C636,O634:O636,0)))))))),2))</f>
        <v>34.49</v>
      </c>
      <c r="T634" s="265">
        <f>IF(S634=0,0,S634/SUM(O634:O636))</f>
        <v>0.0629172899412602</v>
      </c>
      <c r="U634" s="266">
        <f>IF($D634=$D631,IF(OR($B634="LOSS",$B634="OK",$B634="Anulada"),S634,0)+U631,IF(OR($B634="LOSS",$B634="OK",$B634="Anulada"),S634,0))</f>
        <v>63.39</v>
      </c>
      <c r="V634" s="266">
        <f>IF($D634="",0,IF($D634=$D631,IF($B634=" ",IF(I636="",IF(OR(AND(I634="DNB1",I635="DNB2"),AND(OR(I634="DNB1",I634="DNB2"),J635=0),AND(OR(I635="DNB1",I635="DNB2"),J634=0),AND(I634="DNB2",I635="DNB1"),AND(IF(J634=0,(J634+1)/ROUND(J634+1,0),J634/ROUND(J634,0))=1,IF(J635=0,(J635+1)/ROUND(IF(J635="",0,J635)+1,0),IF(J635="",0,J635)/ROUND(IF(J635="",1,J635),0))=1,OR(J634&lt;&gt;""),J635&lt;&gt;"")),0,IF(S634&lt;0,IF(I636="",SMALL(P634:P635,1)-SUM(O634:O635),0),SMALL(P634:P635,1)-SUM(O634:O635))),IF(S634&lt;0,IF(I636="",SMALL(P634:P636,1)-SUM(O634:O636),0),LARGE(P634:P636,1)-SUM(O634:O636))),S634)+V631,IF(I636="",IF(OR(AND(I634="DNB1",I635="DNB2"),AND(OR(I634="DNB1",I634="DNB2"),J635=0),AND(OR(I635="DNB1",I635="DNB2"),J634=0),AND(I634="DNB2",I635="DNB1"),AND(IF(J634=0,(J634+1)/ROUND(J634+1,0),J634/ROUND(J634,0))=1,IF(J635=0,(IF(J635="",0,J635)+1)/ROUND(IF(J635="",0,J635)+1,0),IF(J635="",0,J635)/ROUND(IF(J635="",0,J635)+1,0))=1,OR(J634&lt;&gt;""),J635&lt;&gt;"")),0,IF(S634&lt;0,IF(I636="",SMALL(P634:P635,1)-SUM(O634:O635),0),SMALL(P634:P636,1)-SUM(O634:O636))),IF(S634&lt;0,IF(I636="",SMALL(P634:P636,1)-SUM(O634:O636),0),LARGE(P634:P636,1)-SUM(O634:O636)))))</f>
        <v>63.362</v>
      </c>
      <c r="W634" s="266">
        <f>IF($D634=$D631,IF(S634&lt;0,IF(I636="",S634,0),S634)+W631,S634)</f>
        <v>63.39</v>
      </c>
      <c r="X634" t="s" s="267">
        <f>IF(OR(SUM(R634:R636)=0,V634=W634),ROUND(IF(W634=0,0,W634/Y634)*100,2)&amp;"%",ROUND(IF(V634=0,0,V634/Y634)*100,2)&amp;"% a "&amp;ROUND(IF(W634=0,0,W634/Y634)*100,2)&amp;"%")</f>
        <v>461</v>
      </c>
      <c r="Y634" s="268">
        <f>IF($D634=$D631,Y631+SUM(O634:O636),SUM(O634:O636))</f>
        <v>979.2</v>
      </c>
      <c r="Z634" s="266">
        <f>IF($B634=" ",SUM(O634:O636),0)+Z631</f>
        <v>0</v>
      </c>
      <c r="AA634" s="266">
        <f>IF(G634="","",IF($B634="Anulado",LARGE(P634:P636,1)-SUM(O634:O636)+AA631,AA631))</f>
        <v>26.8740076923077</v>
      </c>
      <c r="AB634" s="266">
        <f>IF($D634="","",AB631+S634)</f>
        <v>451.72</v>
      </c>
      <c r="AC634" s="269">
        <f>IF($D634="","",IF($B634=" ",IF(DAY(G634)=DAY(TODAY()),1+AC631,0+AC631),0+AC631))</f>
        <v>0</v>
      </c>
      <c r="AD634" s="270">
        <f>(1-_xlfn.XLOOKUP(K632,'Janeiro 2023 - Valor Real'!A3:A15,'Janeiro 2023 - Valor Real'!C3:C15,0))+1</f>
        <v>2</v>
      </c>
      <c r="AE634" s="271">
        <f>IF(L634="","",IF(L636&gt;0,(SUM(((L634-1)*(1-_xlfn.XLOOKUP(K634,'Janeiro 2023 - Valor Real'!A3:A15,'Janeiro 2023 - Valor Real'!C3:C15,0))+1),((L635-1)*(1-_xlfn.XLOOKUP(K635,'Janeiro 2023 - Valor Real'!A3:A15,'Janeiro 2023 - Valor Real'!C3:C15,0))+1),((L636-1)*(1-_xlfn.XLOOKUP(K636,'Janeiro 2023 - Valor Real'!A3:A15,'Janeiro 2023 - Valor Real'!C3:C15,0))+1))/((L634-1)*(1-_xlfn.XLOOKUP(K634,'Janeiro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Real'!C3:C15,0))+1))/((L634-1)*(1-_xlfn.XLOOKUP(K634,'Janeiro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Real'!C3:C15,0))+1))/((L635-1)*(1-_xlfn.XLOOKUP(K635,'Janeiro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Real'!C3:C15,0))+1))/((L636-1)*(1-_xlfn.XLOOKUP(K636,'Janeiro 2023 - Valor Real'!A3:A15,'Janeiro 2023 - Valor Real'!C3:C15,0))+1)),IF(I634="Lay",IF(I635="Lay",((L635/(L635-1)-1)*(1-_xlfn.XLOOKUP(K635,'Janeiro 2023 - Valor Real'!A3:A15,'Janeiro 2023 - Valor Real'!C3:C15,0))+1)/(((L635/(L635-1)-1)*(1-_xlfn.XLOOKUP(K635,'Janeiro 2023 - Valor Real'!A3:A15,'Janeiro 2023 - Valor Real'!C3:C15,0))+1)+((L634/(L634-1)-1)*(1-_xlfn.XLOOKUP(K634,'Janeiro 2023 - Valor Real'!A3:A15,'Janeiro 2023 - Valor Real'!C3:C15,0))+1)),((L635-1)*(1-_xlfn.XLOOKUP(K635,'Janeiro 2023 - Valor Real'!A3:A15,'Janeiro 2023 - Valor Real'!C3:C15,0))+1)/(((L635-1)*(1-_xlfn.XLOOKUP(K635,'Janeiro 2023 - Valor Real'!A3:A15,'Janeiro 2023 - Valor Real'!C3:C15,0))+1)+((L634/(L634-1)-1)*(1-_xlfn.XLOOKUP(K634,'Janeiro 2023 - Valor Real'!A3:A15,'Janeiro 2023 - Valor Real'!C3:C15,0))+1))),IF(I635="Lay",(((L635/(L635-1)-1)*(1-_xlfn.XLOOKUP(K635,'Janeiro 2023 - Valor Real'!A3:A15,'Janeiro 2023 - Valor Real'!C3:C15,0))+1))/(((L634-1)*(1-_xlfn.XLOOKUP(K634,'Janeiro 2023 - Valor Real'!A3:A15,'Janeiro 2023 - Valor Real'!C3:C15,0))+1)+((L635/(L635-1)-1)*(1-_xlfn.XLOOKUP(K635,'Janeiro 2023 - Valor Real'!A3:A15,'Janeiro 2023 - Valor Real'!C3:C15,0))+1)),((L635-1)*(1-_xlfn.XLOOKUP(K635,'Janeiro 2023 - Valor Real'!A3:A15,'Janeiro 2023 - Valor Real'!C3:C15,0))+1)/(((L635-1)*(1-_xlfn.XLOOKUP(K635,'Janeiro 2023 - Valor Real'!A3:A15,'Janeiro 2023 - Valor Real'!C3:C15,0))+1)+((L634-1)*(1-_xlfn.XLOOKUP(K634,'Janeiro 2023 - Valor Real'!A3:A15,'Janeiro 2023 - Valor Real'!C3:C15,0))+1))))))</f>
        <v>0.33333236110544</v>
      </c>
      <c r="AF634" s="132">
        <f>IF($K634=AF$3,ROUND(IF(OR($C634="W",$C634="1/2W",$C634="1/2L"),$P634-$O634,IF($C634="X",0,-$O634)),2),0)</f>
        <v>0</v>
      </c>
      <c r="AG634" s="133">
        <f>IF($K634=AG$3,ROUND(IF(OR($C634="W",$C634="1/2W",$C634="1/2L"),$P634-$O634,IF($C634="X",0,-$O634)),2),0)</f>
        <v>-256.84</v>
      </c>
      <c r="AH634" s="133">
        <f>IF($K634=AH$3,ROUND(IF(OR($C634="W",$C634="1/2W",$C634="1/2L"),$P634-$O634,IF($C634="X",0,-$O634)),2),0)</f>
        <v>0</v>
      </c>
      <c r="AI634" s="133">
        <f>IF($K634=AI$3,ROUND(IF(OR($C634="W",$C634="1/2W",$C634="1/2L"),$P634-$O634,IF($C634="X",0,-$O634)),2),0)</f>
        <v>0</v>
      </c>
      <c r="AJ634" s="133">
        <f>IF($K634=AJ$3,ROUND(IF(OR($C634="W",$C634="1/2W",$C634="1/2L"),$P634-$O634,IF($C634="X",0,-$O634)),2),0)</f>
        <v>0</v>
      </c>
      <c r="AK634" s="133">
        <f>IF($K634=AK$3,ROUND(IF(OR($C634="W",$C634="1/2W",$C634="1/2L"),$P634-$O634,IF($C634="X",0,-$O634)),2),0)</f>
        <v>0</v>
      </c>
      <c r="AL634" s="133">
        <f>IF($K634=AL$3,ROUND(IF(OR($C634="W",$C634="1/2W",$C634="1/2L"),$P634-$O634,IF($C634="X",0,-$O634)),2),0)</f>
        <v>0</v>
      </c>
      <c r="AM634" s="133">
        <f>IF($K634=AM$3,ROUND(IF(OR($C634="W",$C634="1/2W",$C634="1/2L"),$P634-$O634,IF($C634="X",0,-$O634)),2),0)</f>
        <v>0</v>
      </c>
      <c r="AN634" s="133">
        <f>IF($K634=AN$3,ROUND(IF(OR($C634="W",$C634="1/2W",$C634="1/2L"),$P634-$O634,IF($C634="X",0,-$O634)),2),0)</f>
        <v>0</v>
      </c>
      <c r="AO634" s="133">
        <f>IF($K634=AO$3,ROUND(IF(OR($C634="W",$C634="1/2W",$C634="1/2L"),$P634-$O634,IF($C634="X",0,-$O634)),2),0)</f>
        <v>0</v>
      </c>
      <c r="AP634" s="133">
        <f>IF($K634=AP$3,ROUND(IF(OR($C634="W",$C634="1/2W",$C634="1/2L"),$P634-$O634,IF($C634="X",0,-$O634)),2),0)</f>
        <v>0</v>
      </c>
      <c r="AQ634" s="133">
        <f>IF($K634=AQ$3,ROUND(IF(OR($C634="W",$C634="1/2W",$C634="1/2L"),$P634-$O634,IF($C634="X",0,-$O634)),2),0)</f>
        <v>0</v>
      </c>
      <c r="AR634" s="134">
        <f>IF($K634=AR$3,ROUND(IF(OR($C634="W",$C634="1/2W",$C634="1/2L"),$P634-$O634,IF($C634="X",0,-$O634)),2),0)</f>
        <v>0</v>
      </c>
      <c r="AS634" s="132">
        <f>IF(AND($B634=" ",$K634=AS$3),$O634,0)</f>
        <v>0</v>
      </c>
      <c r="AT634" s="133">
        <f>IF(AND($B634=" ",$K634=AT$3),$O634,0)</f>
        <v>0</v>
      </c>
      <c r="AU634" s="133">
        <f>IF(AND($B634=" ",$K634=AU$3),$O634,0)</f>
        <v>0</v>
      </c>
      <c r="AV634" s="133">
        <f>IF(AND($B634=" ",$K634=AV$3),$O634,0)</f>
        <v>0</v>
      </c>
      <c r="AW634" s="133">
        <f>IF(AND($B634=" ",$K634=AW$3),$O634,0)</f>
        <v>0</v>
      </c>
      <c r="AX634" s="133">
        <f>IF(AND($B634=" ",$K634=AX$3),$O634,0)</f>
        <v>0</v>
      </c>
      <c r="AY634" s="135">
        <f>IF(AND($B634=" ",$K634=AY$3),$O634,0)</f>
        <v>0</v>
      </c>
      <c r="AZ634" s="136">
        <f>IF(AND($B634=" ",$K634=AZ$3),$O634,0)</f>
        <v>0</v>
      </c>
      <c r="BA634" s="136">
        <f>IF(AND($B634=" ",$K634=BA$3),$O634,0)</f>
        <v>0</v>
      </c>
      <c r="BB634" s="136">
        <f>IF(AND($B634=" ",$K634=BB$3),$O634,0)</f>
        <v>0</v>
      </c>
      <c r="BC634" s="137">
        <f>IF(AND($B634=" ",$K634=BC$3),$O634,0)</f>
        <v>0</v>
      </c>
      <c r="BD634" s="133">
        <f>IF(AND($B634=" ",$K634=BD$3),$O634,0)</f>
        <v>0</v>
      </c>
      <c r="BE634" s="134">
        <f>IF(AND($B634=" ",$K634=BE$3),$O634,0)</f>
        <v>0</v>
      </c>
      <c r="BF634" s="132">
        <f>IF($K634=BF$3,IF($C634="X",0,$O634),0)</f>
        <v>0</v>
      </c>
      <c r="BG634" s="133">
        <f>IF($K634=BG$3,IF($C634="X",0,$O634),0)</f>
        <v>256.84</v>
      </c>
      <c r="BH634" s="133">
        <f>IF($K634=BH$3,IF($C634="X",0,$O634),0)</f>
        <v>0</v>
      </c>
      <c r="BI634" s="133">
        <f>IF($K634=BI$3,IF($C634="X",0,$O634),0)</f>
        <v>0</v>
      </c>
      <c r="BJ634" s="133">
        <f>IF($K634=BJ$3,IF($C634="X",0,$O634),0)</f>
        <v>0</v>
      </c>
      <c r="BK634" s="133">
        <f>IF($K634=BK$3,IF($C634="X",0,$O634),0)</f>
        <v>0</v>
      </c>
      <c r="BL634" s="133">
        <f>IF($K634=BL$3,IF($C634="X",0,$O634),0)</f>
        <v>0</v>
      </c>
      <c r="BM634" s="135">
        <f>IF($K634=BM$3,IF($C634="X",0,$O634),0)</f>
        <v>0</v>
      </c>
      <c r="BN634" s="136">
        <f>IF($K634=BN$3,IF($C634="X",0,$O634),0)</f>
        <v>0</v>
      </c>
      <c r="BO634" s="136">
        <f>IF($K634=BO$3,IF($C634="X",0,$O634),0)</f>
        <v>0</v>
      </c>
      <c r="BP634" s="136">
        <f>IF($K634=BP$3,IF($C634="X",0,$O634),0)</f>
        <v>0</v>
      </c>
      <c r="BQ634" s="137">
        <f>IF($K634=BQ$3,IF($C634="X",0,$O634),0)</f>
        <v>0</v>
      </c>
      <c r="BR634" s="134">
        <f>IF($K634=BR$3,IF($C634="X",0,$O634),0)</f>
        <v>0</v>
      </c>
      <c r="BS634" s="170">
        <f>IF($B634="LOSS",IF(AND($K634=BS$3,$C634="L"),-$O634,0)+IF(AND($K635=BS$3,$C635="L"),-$O635,0)+IF(AND($K636=BS$3,$C636="L"),-$O636,0),IF(OR(AND($K634=BS$3,OR($C634="W",$C634="1/2W")),AND($K635=BS$3,OR($C635="W",$C635="1/2W")),AND($K636=BS$3,OR($C636="W",$C636="1/2W"))),$S634,0))</f>
        <v>0</v>
      </c>
      <c r="BT634" s="272">
        <f>IF($B634="LOSS",IF(AND($K634=BT$3,$C634="L"),-$O634,0)+IF(AND($K635=BT$3,$C635="L"),-$O635,0)+IF(AND($K635=BT$3,$C636="L"),-$O636,0),IF(OR(AND($K635=BT$3,OR($C634="W",$C634="1/2W")),AND($K635=BT$3,OR($C635="W",$C635="1/2W")),AND($K635=BT$3,OR($C636="W",$C636="1/2W"))),$S634,0))</f>
        <v>0</v>
      </c>
      <c r="BU634" s="136">
        <f>IF($B634="LOSS",IF(AND($K634=BU$3,$C634="L"),-$O634,0)+IF(AND($K635=BU$3,$C635="L"),-$O635,0)+IF(AND($K635=BU$3,$C636="L"),-$O636,0),IF(OR(AND($K635=BU$3,OR($C634="W",$C634="1/2W")),AND($K635=BU$3,OR($C635="W",$C635="1/2W")),AND($K635=BU$3,OR($C636="W",$C636="1/2W"))),$S634,0))</f>
        <v>34.49</v>
      </c>
      <c r="BV634" s="136">
        <f>IF($B634="LOSS",IF(AND($K634=BV$3,$C634="L"),-$O634,0)+IF(AND($K635=BV$3,$C635="L"),-$O635,0)+IF(AND($K636=BV$3,$C636="L"),-$O636,0),IF(OR(AND($K634=BV$3,OR($C634="W",$C634="1/2W")),AND($K635=BV$3,OR($C635="W",$C635="1/2W")),AND($K636=BV$3,OR($C636="W",$C636="1/2W"))),$S634,0))</f>
        <v>0</v>
      </c>
      <c r="BW634" s="136">
        <f>IF($B634="LOSS",IF(AND($K634=BW$3,$C634="L"),-$O634,0)+IF(AND($K635=BW$3,$C635="L"),-$O635,0)+IF(AND($K636=BW$3,$C636="L"),-$O636,0),IF(OR(AND($K634=BW$3,OR($C634="W",$C634="1/2W")),AND($K635=BW$3,OR($C635="W",$C635="1/2W")),AND($K636=BW$3,OR($C636="W",$C636="1/2W"))),$S634,0))</f>
        <v>34.49</v>
      </c>
      <c r="BX634" s="136">
        <f>IF($B634="LOSS",IF(AND($K634=BX$3,$C634="L"),-$O634,0)+IF(AND($K635=BX$3,$C635="L"),-$O635,0)+IF(AND($K636=BX$3,$C636="L"),-$O636,0),IF(OR(AND($K634=BX$3,OR($C634="W",$C634="1/2W")),AND($K635=BX$3,OR($C635="W",$C635="1/2W")),AND($K636=BX$3,OR($C636="W",$C636="1/2W"))),$S634,0))</f>
        <v>0</v>
      </c>
      <c r="BY634" s="136">
        <f>IF($B634="LOSS",IF(AND($K634=BY$3,$C634="L"),-$O634,0)+IF(AND($K635=BY$3,$C635="L"),-$O635,0)+IF(AND($K636=BY$3,$C636="L"),-$O636,0),IF(OR(AND($K634=BY$3,OR($C634="W",$C634="1/2W")),AND($K635=BY$3,OR($C635="W",$C635="1/2W")),AND($K636=BY$3,OR($C636="W",$C636="1/2W"))),$S634,0))</f>
        <v>0</v>
      </c>
      <c r="BZ634" s="136">
        <f>IF($B634="LOSS",IF(AND($K634=BZ$3,$C634="L"),-$O634,0)+IF(AND($K635=BZ$3,$C635="L"),-$O635,0)+IF(AND($K636=BZ$3,$C636="L"),-$O636,0),IF(OR(AND($K634=BZ$3,OR($C634="W",$C634="1/2W")),AND($K635=BZ$3,OR($C635="W",$C635="1/2W")),AND($K636=BZ$3,OR($C636="W",$C636="1/2W"))),$S634,0))</f>
        <v>0</v>
      </c>
      <c r="CA634" s="136">
        <f>IF($B634="LOSS",IF(AND($K634=CA$3,$C634="L"),-$O634,0)+IF(AND($K635=CA$3,$C635="L"),-$O635,0)+IF(AND($K636=CA$3,$C636="L"),-$O636,0),IF(OR(AND($K634=CA$3,OR($C634="W",$C634="1/2W")),AND($K635=CA$3,OR($C635="W",$C635="1/2W")),AND($K636=CA$3,OR($C636="W",$C636="1/2W"))),$S634,0))</f>
        <v>0</v>
      </c>
      <c r="CB634" s="136">
        <f>IF($B634="LOSS",IF(AND($K634=CB$3,$C634="L"),-$O634,0)+IF(AND($K635=CB$3,$C635="L"),-$O635,0)+IF(AND($K636=CB$3,$C636="L"),-$O636,0),IF(OR(AND($K634=CB$3,OR($C634="W",$C634="1/2W")),AND($K635=CB$3,OR($C635="W",$C635="1/2W")),AND($K636=CB$3,OR($C636="W",$C636="1/2W"))),$S634,0))</f>
        <v>0</v>
      </c>
      <c r="CC634" s="136">
        <f>IF($B634="LOSS",IF(AND($K634=CC$3,$C634="L"),-$O634,0)+IF(AND($K635=CC$3,$C635="L"),-$O635,0)+IF(AND($K636=CC$3,$C636="L"),-$O636,0),IF(OR(AND($K634=CC$3,OR($C634="W",$C634="1/2W")),AND($K635=CC$3,OR($C635="W",$C635="1/2W")),AND($K636=CC$3,OR($C636="W",$C636="1/2W"))),$S634,0))</f>
        <v>0</v>
      </c>
      <c r="CD634" s="137">
        <f>IF($B634="LOSS",IF(AND($K634=CD$3,$C634="L"),-$O634,0)+IF(AND($K635=CD$3,$C635="L"),-$O635,0)+IF(AND($K636=CD$3,$C636="L"),-$O636,0),IF(OR(AND($K634=CD$3,OR($C634="W",$C634="1/2W")),AND($K635=CD$3,OR($C635="W",$C635="1/2W")),AND($K636=CD$3,OR($C636="W",$C636="1/2W"))),$S634,0))</f>
        <v>0</v>
      </c>
      <c r="CE634" s="134">
        <f>IF($B634="LOSS",IF(AND($K634=CE$3,$C634="L"),-$O634,0)+IF(AND($K635=CE$3,$C635="L"),-$O635,0)+IF(AND($K636=CE$3,$C636="L"),-$O636,0),IF(OR(AND($K634=CE$3,OR($C634="W",$C634="1/2W")),AND($K635=CE$3,OR($C635="W",$C635="1/2W")),AND($K636=CE$3,OR($C636="W",$C636="1/2W"))),$S634,0))</f>
        <v>0</v>
      </c>
      <c r="CF634" s="273">
        <f>IF(CF$3=$K634,IF($C634="W",1,IF($C634="1/2W",0.5,0)),0)</f>
        <v>0</v>
      </c>
      <c r="CG634" s="274">
        <f>IF(CF$3=$K634,IF($C634="L",1,IF($C634="1/2L",0.5,0)),0)</f>
        <v>0</v>
      </c>
      <c r="CH634" s="274">
        <f>IF(CH$3=$K634,IF($C634="W",1,IF($C634="1/2W",0.5,0)),0)</f>
        <v>0</v>
      </c>
      <c r="CI634" s="274">
        <f>IF(CH$3=$K634,IF($C634="L",1,IF($C634="1/2L",0.5,0)),0)</f>
        <v>1</v>
      </c>
      <c r="CJ634" s="274">
        <f>IF(CJ$3=$K634,IF($C634="W",1,IF($C634="1/2W",0.5,0)),0)</f>
        <v>0</v>
      </c>
      <c r="CK634" s="274">
        <f>IF(CJ$3=$K634,IF($C634="L",1,IF($C634="1/2L",0.5,0)),0)</f>
        <v>0</v>
      </c>
      <c r="CL634" s="274">
        <f>IF(CL$3=$K634,IF($C634="W",1,IF($C634="1/2W",0.5,0)),0)</f>
        <v>0</v>
      </c>
      <c r="CM634" s="274">
        <f>IF(CL$3=$K634,IF($C634="L",1,IF($C634="1/2L",0.5,0)),0)</f>
        <v>0</v>
      </c>
      <c r="CN634" s="274">
        <f>IF(CN$3=$K634,IF($C634="W",1,IF($C634="1/2W",0.5,0)),0)</f>
        <v>0</v>
      </c>
      <c r="CO634" s="274">
        <f>IF(CN$3=$K634,IF($C634="L",1,IF($C634="1/2L",0.5,0)),0)</f>
        <v>0</v>
      </c>
      <c r="CP634" s="274">
        <f>IF(CP$3=$K634,IF($C634="W",1,IF($C634="1/2W",0.5,0)),0)</f>
        <v>0</v>
      </c>
      <c r="CQ634" s="274">
        <f>IF(CP$3=$K634,IF($C634="L",1,IF($C634="1/2L",0.5,0)),0)</f>
        <v>0</v>
      </c>
      <c r="CR634" s="274">
        <f>IF(CR$3=$K634,IF($C634="W",1,IF($C634="1/2W",0.5,0)),0)</f>
        <v>0</v>
      </c>
      <c r="CS634" s="274">
        <f>IF(CR$3=$K634,IF($C634="L",1,IF($C634="1/2L",0.5,0)),0)</f>
        <v>0</v>
      </c>
      <c r="CT634" s="145">
        <f>IF(CT$3=$K634,IF($C634="W",1,IF($C634="1/2W",0.5,0)),0)</f>
        <v>0</v>
      </c>
      <c r="CU634" s="146">
        <f>IF(CT$3=$K634,IF($C634="L",1,IF($C634="1/2L",0.5,0)),0)</f>
        <v>0</v>
      </c>
      <c r="CV634" s="146">
        <f>IF(CV$3=$K634,IF($C634="W",1,IF($C634="1/2W",0.5,0)),0)</f>
        <v>0</v>
      </c>
      <c r="CW634" s="146">
        <f>IF(CV$3=$K634,IF($C634="L",1,IF($C634="1/2L",0.5,0)),0)</f>
        <v>0</v>
      </c>
      <c r="CX634" s="146">
        <f>IF(CX$3=$K634,IF($C634="W",1,IF($C634="1/2W",0.5,0)),0)</f>
        <v>0</v>
      </c>
      <c r="CY634" s="146">
        <f>IF(CX$3=$K634,IF($C634="L",1,IF($C634="1/2L",0.5,0)),0)</f>
        <v>0</v>
      </c>
      <c r="CZ634" s="146">
        <f>IF(CZ$3=$K634,IF($C634="W",1,IF($C634="1/2W",0.5,0)),0)</f>
        <v>0</v>
      </c>
      <c r="DA634" s="146">
        <f>IF(CZ$3=$K634,IF($C634="L",1,IF($C634="1/2L",0.5,0)),0)</f>
        <v>0</v>
      </c>
      <c r="DB634" s="146">
        <f>IF(DB$3=$K634,IF($C634="W",1,IF($C634="1/2W",0.5,0)),0)</f>
        <v>0</v>
      </c>
      <c r="DC634" s="146">
        <f>IF(DB$3=$K634,IF($C634="L",1,IF($C634="1/2L",0.5,0)),0)</f>
        <v>0</v>
      </c>
      <c r="DD634" s="146">
        <f>IF(DD$3=$K634,IF($C634="W",1,IF($C634="1/2W",0.5,0)),0)</f>
        <v>0</v>
      </c>
      <c r="DE634" s="147">
        <f>IF(DD$3=$K634,IF($C634="L",1,IF($C634="1/2L",0.5,0)),0)</f>
        <v>0</v>
      </c>
      <c r="DF634" s="143">
        <f>IF(AND(L634&lt;DF$3,$C634="W"),1+DF633,DF633)</f>
        <v>17</v>
      </c>
      <c r="DG634" s="133">
        <f>IF(DF634&gt;DF633,L634+DG633,DG633)</f>
        <v>22.628</v>
      </c>
      <c r="DH634" s="146">
        <f>IF(AND(L634&gt;DH$3,$C634="W"),1+DH633,0+DH633)</f>
        <v>16</v>
      </c>
      <c r="DI634" s="133">
        <f>IF(DH634&gt;DH633,L634+DI633,DI633)</f>
        <v>85.45999999999999</v>
      </c>
      <c r="DJ634" t="s" s="304">
        <f>IF($D634="","",$D634)</f>
        <v>431</v>
      </c>
      <c r="DK634" s="146">
        <f>IF(AND($B634=" ",$D634&lt;&gt;""),1,0)</f>
        <v>0</v>
      </c>
    </row>
    <row r="635" ht="14.55" customHeight="1">
      <c r="A635" s="107"/>
      <c r="B635" s="108"/>
      <c r="C635" t="s" s="109">
        <v>56</v>
      </c>
      <c r="D635" s="110"/>
      <c r="E635" s="111"/>
      <c r="F635" s="113"/>
      <c r="G635" s="252"/>
      <c r="H635" s="114"/>
      <c r="I635" s="340"/>
      <c r="J635" t="s" s="295">
        <f>IF(OR(I634="TO",I634="TU",I634="TO1",I634="TU1",I634="TO2",I634="TU2"),J634,IF(OR(I634="AH1",I634="AH2"),IF(OR(I635="AH1",I635="AH2"),-J634,IF(OR(I635="EH1",I635="EH2"),-J634+0.5,"")),IF(OR(I634="EH1",I634="EH2"),IF(OR(I635="AH1",I635="AH2"),-J634+0.5,IF(OR(I635="EH1",I635="EH2"),-J634+1,"")),IF(AND(OR(I634="DNB1",I634="DNB2"),OR(I635="AH1",I635="AH2")),0,IF(AND(I634="Not ScoreBoth",OR(I635="TO1",I635="TO2")),0.5,"")))))</f>
      </c>
      <c r="K635" t="s" s="117">
        <v>39</v>
      </c>
      <c r="L635" s="277">
        <v>2.0695</v>
      </c>
      <c r="M635" s="278">
        <v>286.53</v>
      </c>
      <c r="N635" s="120"/>
      <c r="O635" s="121">
        <f>IF(OR(AE634="",AE635=""),"",ROUND(IF(L636&gt;0,IF(M635&gt;0,M635,IF(M634&gt;0,IF(N634=TRUE,ROUND((M634*AE635)/AE634,0),(M634*AE635)/AE634),IF(M635&gt;0,ROUND(M635,IF(N634=0,2,IF(N634=0.1,1,0))),IF(M636&gt;0,ROUND(O636*AE635/AE636,IF(N634=0,2,IF(N634=0.1,1,0))),0)))),IF(M635&gt;0,M635,ROUND((M634*AE635)/AE634,IF(N634=0,2,IF(N634=0.1,1,0))))),2))</f>
        <v>286.53</v>
      </c>
      <c r="P635" s="122">
        <f>IF(OR(L635="",O635=""),"",IF($C635="1/2W",O635/2+O635/2*L635,IF($C635="1/2L",O635/2,IF(I635="Lay",((O635*(L635/(L635-1)))-O635)*(1-_xlfn.XLOOKUP(K635,'Janeiro 2023 - Valor Real'!A3:A15,'Janeiro 2023 - Valor Real'!C3:C15,0))+O635,(O635*L635-O635)*(1-_xlfn.XLOOKUP(K635,'Janeiro 2023 - Valor Real'!A3:A15,'Janeiro 2023 - Valor Real'!C3:C15,0))+O635))))</f>
        <v>573.0549857250001</v>
      </c>
      <c r="Q635" s="279">
        <f>IF(K635="","",IF(_xlfn.XLOOKUP(K635,K$120:K414,DJ$120:DJ414,0,,-1)=DJ635,_xlfn.XLOOKUP(K635,K$120:K414,Q$120:Q414,1,,-1)+1,1))</f>
        <v>1</v>
      </c>
      <c r="R635" s="280">
        <f>IF(K635="","",_xlfn.XLOOKUP(K635,K$120:K414,R$120:R414,0,,-1)+IF($C635=" ",1,0))</f>
        <v>0</v>
      </c>
      <c r="S635" s="125"/>
      <c r="T635" s="126"/>
      <c r="U635" s="126"/>
      <c r="V635" s="224"/>
      <c r="W635" s="126"/>
      <c r="X635" s="127"/>
      <c r="Y635" s="128"/>
      <c r="Z635" s="129"/>
      <c r="AA635" s="129"/>
      <c r="AB635" s="129"/>
      <c r="AC635" s="129"/>
      <c r="AD635" s="130"/>
      <c r="AE635" s="131">
        <f>IF(L635="","",IF(L636&gt;0,(SUM(((L634-1)*(1-_xlfn.XLOOKUP(K634,'Janeiro 2023 - Valor Real'!A3:A15,'Janeiro 2023 - Valor Real'!C3:C15,0))+1),((L635-1)*(1-_xlfn.XLOOKUP(K635,'Janeiro 2023 - Valor Real'!A3:A15,'Janeiro 2023 - Valor Real'!C3:C15,0))+1),((L636-1)*(1-_xlfn.XLOOKUP(K636,'Janeiro 2023 - Valor Real'!A3:A15,'Janeiro 2023 - Valor Real'!C3:C15,0))+1))/((L635-1)*(1-_xlfn.XLOOKUP(K635,'Janeiro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Real'!C3:C15,0))+1))/((L634-1)*(1-_xlfn.XLOOKUP(K634,'Janeiro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Real'!C3:C15,0))+1))/((L635-1)*(1-_xlfn.XLOOKUP(K635,'Janeiro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Real'!C3:C15,0))+1))/((L636-1)*(1-_xlfn.XLOOKUP(K636,'Janeiro 2023 - Valor Real'!A3:A15,'Janeiro 2023 - Valor Real'!C3:C15,0))+1)),IF(I635="Lay",IF(I634="Lay",((L634/(L634-1)-1)*(1-_xlfn.XLOOKUP(K634,'Janeiro 2023 - Valor Real'!A3:A15,'Janeiro 2023 - Valor Real'!C3:C15,0))+1)/(((L634/(L634-1)-1)*(1-_xlfn.XLOOKUP(K634,'Janeiro 2023 - Valor Real'!A3:A15,'Janeiro 2023 - Valor Real'!C3:C15,0))+1)+((L635/(L635-1)-1)*(1-_xlfn.XLOOKUP(K635,'Janeiro 2023 - Valor Real'!A3:A15,'Janeiro 2023 - Valor Real'!C3:C15,0))+1)),((L634-1)*(1-_xlfn.XLOOKUP(K634,'Janeiro 2023 - Valor Real'!A3:A15,'Janeiro 2023 - Valor Real'!C3:C15,0))+1)/(((L634-1)*(1-_xlfn.XLOOKUP(K634,'Janeiro 2023 - Valor Real'!A3:A15,'Janeiro 2023 - Valor Real'!C3:C15,0))+1)+((L635/(L635-1)-1)*(1-_xlfn.XLOOKUP(K635,'Janeiro 2023 - Valor Real'!A3:A15,'Janeiro 2023 - Valor Real'!C3:C15,0))+1))),IF(I634="Lay",((L634/(L634-1)-1)*(1-_xlfn.XLOOKUP(K634,'Janeiro 2023 - Valor Real'!A3:A15,'Janeiro 2023 - Valor Real'!C3:C15,0))+1)/((((L634/(L634-1)-1)*(1-_xlfn.XLOOKUP(K634,'Janeiro 2023 - Valor Real'!A3:A15,'Janeiro 2023 - Valor Real'!C3:C15,0))+1))+((L635-1)*(1-_xlfn.XLOOKUP(K635,'Janeiro 2023 - Valor Real'!A3:A15,'Janeiro 2023 - Valor Real'!C3:C15,0))+1)),((L634-1)*(1-_xlfn.XLOOKUP(K634,'Janeiro 2023 - Valor Real'!A3:A15,'Janeiro 2023 - Valor Real'!C3:C15,0))+1)/(((L634-1)*(1-_xlfn.XLOOKUP(K634,'Janeiro 2023 - Valor Real'!A3:A15,'Janeiro 2023 - Valor Real'!C3:C15,0))+1)+((L635-1)*(1-_xlfn.XLOOKUP(K635,'Janeiro 2023 - Valor Real'!A3:A15,'Janeiro 2023 - Valor Real'!C3:C15,0))+1))))))</f>
        <v>0.33333527778912</v>
      </c>
      <c r="AF635" s="132">
        <f>IF($K635=AF$3,ROUND(IF(OR($C635="W",$C635="1/2W",$C635="1/2L"),$P635-$O635,IF($C635="X",0,-$O635)),2),0)</f>
        <v>0</v>
      </c>
      <c r="AG635" s="133">
        <f>IF($K635=AG$3,ROUND(IF(OR($C635="W",$C635="1/2W",$C635="1/2L"),$P635-$O635,IF($C635="X",0,-$O635)),2),0)</f>
        <v>0</v>
      </c>
      <c r="AH635" s="133">
        <f>IF($K635=AH$3,ROUND(IF(OR($C635="W",$C635="1/2W",$C635="1/2L"),$P635-$O635,IF($C635="X",0,-$O635)),2),0)</f>
        <v>286.52</v>
      </c>
      <c r="AI635" s="133">
        <f>IF($K635=AI$3,ROUND(IF(OR($C635="W",$C635="1/2W",$C635="1/2L"),$P635-$O635,IF($C635="X",0,-$O635)),2),0)</f>
        <v>0</v>
      </c>
      <c r="AJ635" s="133">
        <f>IF($K635=AJ$3,ROUND(IF(OR($C635="W",$C635="1/2W",$C635="1/2L"),$P635-$O635,IF($C635="X",0,-$O635)),2),0)</f>
        <v>0</v>
      </c>
      <c r="AK635" s="133">
        <f>IF($K635=AK$3,ROUND(IF(OR($C635="W",$C635="1/2W",$C635="1/2L"),$P635-$O635,IF($C635="X",0,-$O635)),2),0)</f>
        <v>0</v>
      </c>
      <c r="AL635" s="133">
        <f>IF($K635=AL$3,ROUND(IF(OR($C635="W",$C635="1/2W",$C635="1/2L"),$P635-$O635,IF($C635="X",0,-$O635)),2),0)</f>
        <v>0</v>
      </c>
      <c r="AM635" s="133">
        <f>IF($K635=AM$3,ROUND(IF(OR($C635="W",$C635="1/2W",$C635="1/2L"),$P635-$O635,IF($C635="X",0,-$O635)),2),0)</f>
        <v>0</v>
      </c>
      <c r="AN635" s="133">
        <f>IF($K635=AN$3,ROUND(IF(OR($C635="W",$C635="1/2W",$C635="1/2L"),$P635-$O635,IF($C635="X",0,-$O635)),2),0)</f>
        <v>0</v>
      </c>
      <c r="AO635" s="133">
        <f>IF($K635=AO$3,ROUND(IF(OR($C635="W",$C635="1/2W",$C635="1/2L"),$P635-$O635,IF($C635="X",0,-$O635)),2),0)</f>
        <v>0</v>
      </c>
      <c r="AP635" s="133">
        <f>IF($K635=AP$3,ROUND(IF(OR($C635="W",$C635="1/2W",$C635="1/2L"),$P635-$O635,IF($C635="X",0,-$O635)),2),0)</f>
        <v>0</v>
      </c>
      <c r="AQ635" s="133">
        <f>IF($K635=AQ$3,ROUND(IF(OR($C635="W",$C635="1/2W",$C635="1/2L"),$P635-$O635,IF($C635="X",0,-$O635)),2),0)</f>
        <v>0</v>
      </c>
      <c r="AR635" s="134">
        <f>IF($K635=AR$3,ROUND(IF(OR($C635="W",$C635="1/2W",$C635="1/2L"),$P635-$O635,IF($C635="X",0,-$O635)),2),0)</f>
        <v>0</v>
      </c>
      <c r="AS635" s="132">
        <f>IF(AND($B634=" ",$K635=AS$3),$O635,0)</f>
        <v>0</v>
      </c>
      <c r="AT635" s="133">
        <f>IF(AND($B634=" ",K635=AT$3),$O635,0)</f>
        <v>0</v>
      </c>
      <c r="AU635" s="133">
        <f>IF(AND($B634=" ",$K635=AU$3),$O635,0)</f>
        <v>0</v>
      </c>
      <c r="AV635" s="133">
        <f>IF(AND($B634=" ",$K635=AV$3),$O635,0)</f>
        <v>0</v>
      </c>
      <c r="AW635" s="133">
        <f>IF(AND($B634=" ",$K635=AW$3),$O635,0)</f>
        <v>0</v>
      </c>
      <c r="AX635" s="133">
        <f>IF(AND($B634=" ",$K635=AX$3),$O635,0)</f>
        <v>0</v>
      </c>
      <c r="AY635" s="135">
        <f>IF(AND($B634=" ",$K635=AY$3),$O635,0)</f>
        <v>0</v>
      </c>
      <c r="AZ635" s="136">
        <f>IF(AND($B634=" ",$K635=AZ$3),$O635,0)</f>
        <v>0</v>
      </c>
      <c r="BA635" s="136">
        <f>IF(AND($B634=" ",$K635=BA$3),$O635,0)</f>
        <v>0</v>
      </c>
      <c r="BB635" s="136">
        <f>IF(AND($B634=" ",$K635=BB$3),$O635,0)</f>
        <v>0</v>
      </c>
      <c r="BC635" s="137">
        <f>IF(AND($B634=" ",$K635=BC$3),$O635,0)</f>
        <v>0</v>
      </c>
      <c r="BD635" s="133">
        <f>IF(AND($B634=" ",$K635=BD$3),$O635,0)</f>
        <v>0</v>
      </c>
      <c r="BE635" s="134">
        <f>IF(AND($B634=" ",$K635=BE$3),$O635,0)</f>
        <v>0</v>
      </c>
      <c r="BF635" s="132">
        <f>IF($K635=BF$3,IF($C635="X",0,$O635),0)</f>
        <v>0</v>
      </c>
      <c r="BG635" s="281">
        <f>IF($K635=BG$3,IF($C635="X",0,$O635),0)</f>
        <v>0</v>
      </c>
      <c r="BH635" s="133">
        <f>IF($K635=BH$3,IF($C635="X",0,$O635),0)</f>
        <v>286.53</v>
      </c>
      <c r="BI635" s="133">
        <f>IF($K635=BI$3,IF($C635="X",0,$O635),0)</f>
        <v>0</v>
      </c>
      <c r="BJ635" s="133">
        <f>IF($K635=BJ$3,IF($C635="X",0,$O635),0)</f>
        <v>0</v>
      </c>
      <c r="BK635" s="133">
        <f>IF($K635=BK$3,IF($C635="X",0,$O635),0)</f>
        <v>0</v>
      </c>
      <c r="BL635" s="133">
        <f>IF($K635=BL$3,IF($C635="X",0,$O635),0)</f>
        <v>0</v>
      </c>
      <c r="BM635" s="135">
        <f>IF($K635=BM$3,IF($C635="X",0,$O635),0)</f>
        <v>0</v>
      </c>
      <c r="BN635" s="136">
        <f>IF($K635=BN$3,IF($C635="X",0,$O635),0)</f>
        <v>0</v>
      </c>
      <c r="BO635" s="136">
        <f>IF($K635=BO$3,IF($C635="X",0,$O635),0)</f>
        <v>0</v>
      </c>
      <c r="BP635" s="136">
        <f>IF($K635=BP$3,IF($C635="X",0,$O635),0)</f>
        <v>0</v>
      </c>
      <c r="BQ635" s="137">
        <f>IF($K635=BQ$3,IF($C635="X",0,$O635),0)</f>
        <v>0</v>
      </c>
      <c r="BR635" s="134">
        <f>IF($K635=BR$3,IF($C635="X",0,$O635),0)</f>
        <v>0</v>
      </c>
      <c r="BS635" s="282"/>
      <c r="BT635" s="283"/>
      <c r="BU635" s="140"/>
      <c r="BV635" s="283"/>
      <c r="BW635" s="140"/>
      <c r="BX635" s="140"/>
      <c r="BY635" s="140"/>
      <c r="BZ635" s="283"/>
      <c r="CA635" s="140"/>
      <c r="CB635" s="140"/>
      <c r="CC635" s="140"/>
      <c r="CD635" s="141"/>
      <c r="CE635" s="142"/>
      <c r="CF635" s="284">
        <f>IF(CF$3=$K635,IF($C635="W",1,IF($C635="1/2W",0.5,0)),0)</f>
        <v>0</v>
      </c>
      <c r="CG635" s="285">
        <f>IF(CF$3=$K635,IF($C635="L",1,IF($C635="1/2L",0.5,0)),0)</f>
        <v>0</v>
      </c>
      <c r="CH635" s="285">
        <f>IF(CH$3=$K635,IF($C635="W",1,IF($C635="1/2W",0.5,0)),0)</f>
        <v>0</v>
      </c>
      <c r="CI635" s="285">
        <f>IF(CH$3=$K635,IF($C635="L",1,IF($C635="1/2L",0.5,0)),0)</f>
        <v>0</v>
      </c>
      <c r="CJ635" s="285">
        <f>IF(CJ$3=$K635,IF($C635="W",1,IF($C635="1/2W",0.5,0)),0)</f>
        <v>1</v>
      </c>
      <c r="CK635" s="285">
        <f>IF(CJ$3=$K635,IF($C635="L",1,IF($C635="1/2L",0.5,0)),0)</f>
        <v>0</v>
      </c>
      <c r="CL635" s="285">
        <f>IF(CL$3=$K635,IF($C635="W",1,IF($C635="1/2W",0.5,0)),0)</f>
        <v>0</v>
      </c>
      <c r="CM635" s="285">
        <f>IF(CL$3=$K635,IF($C635="L",1,IF($C635="1/2L",0.5,0)),0)</f>
        <v>0</v>
      </c>
      <c r="CN635" s="285">
        <f>IF(CN$3=$K635,IF($C635="W",1,IF($C635="1/2W",0.5,0)),0)</f>
        <v>0</v>
      </c>
      <c r="CO635" s="285">
        <f>IF(CN$3=$K635,IF($C635="L",1,IF($C635="1/2L",0.5,0)),0)</f>
        <v>0</v>
      </c>
      <c r="CP635" s="285">
        <f>IF(CP$3=$K635,IF($C635="W",1,IF($C635="1/2W",0.5,0)),0)</f>
        <v>0</v>
      </c>
      <c r="CQ635" s="285">
        <f>IF(CP$3=$K635,IF($C635="L",1,IF($C635="1/2L",0.5,0)),0)</f>
        <v>0</v>
      </c>
      <c r="CR635" s="285">
        <f>IF(CR$3=$K635,IF($C635="W",1,IF($C635="1/2W",0.5,0)),0)</f>
        <v>0</v>
      </c>
      <c r="CS635" s="285">
        <f>IF(CR$3=$K635,IF($C635="L",1,IF($C635="1/2L",0.5,0)),0)</f>
        <v>0</v>
      </c>
      <c r="CT635" s="145">
        <f>IF(CT$3=$K635,IF($C635="W",1,IF($C635="1/2W",0.5,0)),0)</f>
        <v>0</v>
      </c>
      <c r="CU635" s="146">
        <f>IF(CT$3=$K635,IF($C635="L",1,IF($C635="1/2L",0.5,0)),0)</f>
        <v>0</v>
      </c>
      <c r="CV635" s="146">
        <f>IF(CV$3=$K635,IF($C635="W",1,IF($C635="1/2W",0.5,0)),0)</f>
        <v>0</v>
      </c>
      <c r="CW635" s="146">
        <f>IF(CV$3=$K635,IF($C635="L",1,IF($C635="1/2L",0.5,0)),0)</f>
        <v>0</v>
      </c>
      <c r="CX635" s="146">
        <f>IF(CX$3=$K635,IF($C635="W",1,IF($C635="1/2W",0.5,0)),0)</f>
        <v>0</v>
      </c>
      <c r="CY635" s="146">
        <f>IF(CX$3=$K635,IF($C635="L",1,IF($C635="1/2L",0.5,0)),0)</f>
        <v>0</v>
      </c>
      <c r="CZ635" s="146">
        <f>IF(CZ$3=$K635,IF($C635="W",1,IF($C635="1/2W",0.5,0)),0)</f>
        <v>0</v>
      </c>
      <c r="DA635" s="146">
        <f>IF(CZ$3=$K635,IF($C635="L",1,IF($C635="1/2L",0.5,0)),0)</f>
        <v>0</v>
      </c>
      <c r="DB635" s="146">
        <f>IF(DB$3=$K635,IF($C635="W",1,IF($C635="1/2W",0.5,0)),0)</f>
        <v>0</v>
      </c>
      <c r="DC635" s="146">
        <f>IF(DB$3=$K635,IF($C635="L",1,IF($C635="1/2L",0.5,0)),0)</f>
        <v>0</v>
      </c>
      <c r="DD635" s="146">
        <f>IF(DD$3=$K635,IF($C635="W",1,IF($C635="1/2W",0.5,0)),0)</f>
        <v>0</v>
      </c>
      <c r="DE635" s="147">
        <f>IF(DD$3=$K635,IF($C635="L",1,IF($C635="1/2L",0.5,0)),0)</f>
        <v>0</v>
      </c>
      <c r="DF635" s="143">
        <f>IF(AND(L635&lt;DF$3,$C635="W"),1+DF634,DF634)</f>
        <v>17</v>
      </c>
      <c r="DG635" s="133">
        <f>IF(DF635&gt;DF634,L635+DG634,DG634)</f>
        <v>22.628</v>
      </c>
      <c r="DH635" s="146">
        <f>IF(AND(L635&gt;DH$3,$C635="W"),1+DH634,0+DH634)</f>
        <v>16</v>
      </c>
      <c r="DI635" s="133">
        <f>IF(DH635&gt;DH634,L635+DI634,DI634)</f>
        <v>85.45999999999999</v>
      </c>
      <c r="DJ635" t="s" s="304">
        <f>IF($D634="","",$D634)</f>
        <v>431</v>
      </c>
      <c r="DK635" s="286"/>
    </row>
    <row r="636" ht="14.55" customHeight="1">
      <c r="A636" s="149"/>
      <c r="B636" s="150"/>
      <c r="C636" t="s" s="151">
        <v>56</v>
      </c>
      <c r="D636" s="152"/>
      <c r="E636" s="153"/>
      <c r="F636" s="155"/>
      <c r="G636" s="252"/>
      <c r="H636" s="156"/>
      <c r="I636" s="287"/>
      <c r="J636" s="288"/>
      <c r="K636" t="s" s="341">
        <v>41</v>
      </c>
      <c r="L636" s="342">
        <v>2</v>
      </c>
      <c r="M636" s="290">
        <v>4.81</v>
      </c>
      <c r="N636" s="161"/>
      <c r="O636" s="343">
        <f>IF(OR(AE634="",AE635=""),"",IF(L636&gt;0,ROUND(IF(M636&gt;0,M636,IF(M634&gt;0,ROUND((M634*AE636)/AE634,IF(N634=0,2,IF(N634=0.1,1,0))),IF(M635&gt;0,ROUND((M635*AE636)/AE635,IF(N634=0,2,IF(N634=0.1,1,0))),IF(M636&gt;0,M636,0)))),2),""))</f>
        <v>4.81</v>
      </c>
      <c r="P636" s="297">
        <f>IF(I635="Lay",O635*(L635/(L635-1))-O635,IF(I634="Lay",O634*(L634/(L634-1))-O634,IF(OR(L636="",O636=""),"",IF($C636="1/2W",O636/2+O636/2*L636,IF($C636="1/2L",O636/2,(O636*L636-O636)*(1-_xlfn.XLOOKUP(K636,'Janeiro 2023 - Valor Real'!A3:A15,'Janeiro 2023 - Valor Real'!C3:C15,0))+O636)))))</f>
        <v>9.619999999999999</v>
      </c>
      <c r="Q636" s="344">
        <f>IF(K636="","",IF(_xlfn.XLOOKUP(K636,K$121:K415,DJ$121:DJ415,0,,-1)=DJ636,_xlfn.XLOOKUP(K636,K$121:K415,Q$121:Q415,1,,-1)+1,1))</f>
        <v>1</v>
      </c>
      <c r="R636" s="345">
        <f>IF(K636="","",_xlfn.XLOOKUP(K636,K$121:K415,R$121:R415,0,,-1)+IF($C636=" ",1,0))</f>
        <v>0</v>
      </c>
      <c r="S636" s="166"/>
      <c r="T636" s="155"/>
      <c r="U636" s="155"/>
      <c r="V636" s="166"/>
      <c r="W636" s="155"/>
      <c r="X636" s="167"/>
      <c r="Y636" s="128"/>
      <c r="Z636" s="129"/>
      <c r="AA636" s="129"/>
      <c r="AB636" s="129"/>
      <c r="AC636" s="129"/>
      <c r="AD636" s="168"/>
      <c r="AE636" s="346">
        <f>IF(L636="","",(SUM(((L634-1)*(1-_xlfn.XLOOKUP(K634,'Janeiro 2023 - Valor Real'!A3:A15,'Janeiro 2023 - Valor Real'!C3:C15,0))+1),((L635-1)*(1-_xlfn.XLOOKUP(K635,'Janeiro 2023 - Valor Real'!A3:A15,'Janeiro 2023 - Valor Real'!C3:C15,0))+1),((L636-1)*(1-_xlfn.XLOOKUP(K636,'Janeiro 2023 - Valor Real'!A3:A15,'Janeiro 2023 - Valor Real'!C3:C15,0))+1))/((L636-1)*(1-_xlfn.XLOOKUP(K636,'Janeiro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Real'!C3:C15,0))+1))/((L634-1)*(1-_xlfn.XLOOKUP(K634,'Janeiro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Real'!C3:C15,0))+1))/((L635-1)*(1-_xlfn.XLOOKUP(K635,'Janeiro 2023 - Valor Real'!A3:A15,'Janeiro 2023 - Valor Real'!C3:C15,0))+1)+SUM(((L634-1)*(1-_xlfn.XLOOKUP(K634,'Janeiro 2023 - Valor Real'!A3:A15,'Janeiro 2023 - Valor Real'!C3:C15,0))+1),((L635-1)*(1-_xlfn.XLOOKUP(K635,'Janeiro 2023 - Valor Real'!A3:A15,'Janeiro 2023 - Valor Real'!C3:C15,0))+1),((L636-1)*(1-_xlfn.XLOOKUP(K636,'Janeiro 2023 - Valor Real'!A3:A15,'Janeiro 2023 - Valor Real'!C3:C15,0))+1))/((L636-1)*(1-_xlfn.XLOOKUP(K636,'Janeiro 2023 - Valor Real'!A3:A15,'Janeiro 2023 - Valor Real'!C3:C15,0))+1)))</f>
        <v>0.33333236110544</v>
      </c>
      <c r="AF636" s="132">
        <f>IF($K636=AF$3,ROUND(IF(OR($C636="W",$C636="1/2W",$C636="1/2L"),$P636-$O636,IF($C636="X",0,-$O636)),2),0)</f>
        <v>0</v>
      </c>
      <c r="AG636" s="133">
        <f>IF($K636=AG$3,ROUND(IF(OR($C636="W",$C636="1/2W",$C636="1/2L"),$P636-$O636,IF($C636="X",0,-$O636)),2),0)</f>
        <v>0</v>
      </c>
      <c r="AH636" s="133">
        <f>IF($K636=AH$3,ROUND(IF(OR($C636="W",$C636="1/2W",$C636="1/2L"),$P636-$O636,IF($C636="X",0,-$O636)),2),0)</f>
        <v>0</v>
      </c>
      <c r="AI636" s="133">
        <f>IF($K636=AI$3,ROUND(IF(OR($C636="W",$C636="1/2W",$C636="1/2L"),$P636-$O636,IF($C636="X",0,-$O636)),2),0)</f>
        <v>0</v>
      </c>
      <c r="AJ636" s="133">
        <f>IF($K636=AJ$3,ROUND(IF(OR($C636="W",$C636="1/2W",$C636="1/2L"),$P636-$O636,IF($C636="X",0,-$O636)),2),0)</f>
        <v>4.81</v>
      </c>
      <c r="AK636" s="133">
        <f>IF($K636=AK$3,ROUND(IF(OR($C636="W",$C636="1/2W",$C636="1/2L"),$P636-$O636,IF($C636="X",0,-$O636)),2),0)</f>
        <v>0</v>
      </c>
      <c r="AL636" s="133">
        <f>IF($K636=AL$3,ROUND(IF(OR($C636="W",$C636="1/2W",$C636="1/2L"),$P636-$O636,IF($C636="X",0,-$O636)),2),0)</f>
        <v>0</v>
      </c>
      <c r="AM636" s="133">
        <f>IF($K636=AM$3,ROUND(IF(OR($C636="W",$C636="1/2W",$C636="1/2L"),$P636-$O636,IF($C636="X",0,-$O636)),2),0)</f>
        <v>0</v>
      </c>
      <c r="AN636" s="133">
        <f>IF($K636=AN$3,ROUND(IF(OR($C636="W",$C636="1/2W",$C636="1/2L"),$P636-$O636,IF($C636="X",0,-$O636)),2),0)</f>
        <v>0</v>
      </c>
      <c r="AO636" s="133">
        <f>IF($K636=AO$3,ROUND(IF(OR($C636="W",$C636="1/2W",$C636="1/2L"),$P636-$O636,IF($C636="X",0,-$O636)),2),0)</f>
        <v>0</v>
      </c>
      <c r="AP636" s="133">
        <f>IF($K636=AP$3,ROUND(IF(OR($C636="W",$C636="1/2W",$C636="1/2L"),$P636-$O636,IF($C636="X",0,-$O636)),2),0)</f>
        <v>0</v>
      </c>
      <c r="AQ636" s="133">
        <f>IF($K636=AQ$3,ROUND(IF(OR($C636="W",$C636="1/2W",$C636="1/2L"),$P636-$O636,IF($C636="X",0,-$O636)),2),0)</f>
        <v>0</v>
      </c>
      <c r="AR636" s="134">
        <f>IF($K636=AR$3,ROUND(IF(OR($C636="W",$C636="1/2W",$C636="1/2L"),$P636-$O636,IF($C636="X",0,-$O636)),2),0)</f>
        <v>0</v>
      </c>
      <c r="AS636" s="132">
        <f>IF(AND($B634=" ",$K636=AS$3),$O636,0)</f>
        <v>0</v>
      </c>
      <c r="AT636" s="133">
        <f>IF(AND($B634=" ",K636=AT$3),$O636,0)</f>
        <v>0</v>
      </c>
      <c r="AU636" s="133">
        <f>IF(AND($B634=" ",$K636=AU$3),$O636,0)</f>
        <v>0</v>
      </c>
      <c r="AV636" s="133">
        <f>IF(AND($B634=" ",$K636=AV$3),$O636,0)</f>
        <v>0</v>
      </c>
      <c r="AW636" s="133">
        <f>IF(AND($B634=" ",$K636=AW$3),$O636,0)</f>
        <v>0</v>
      </c>
      <c r="AX636" s="133">
        <f>IF(AND($B634=" ",$K636=AX$3),$O636,0)</f>
        <v>0</v>
      </c>
      <c r="AY636" s="135">
        <f>IF(AND($B634=" ",$K636=AY$3),$O636,0)</f>
        <v>0</v>
      </c>
      <c r="AZ636" s="136">
        <f>IF(AND($B634=" ",$K636=AZ$3),$O636,0)</f>
        <v>0</v>
      </c>
      <c r="BA636" s="136">
        <f>IF(AND($B634=" ",$K636=BA$3),$O636,0)</f>
        <v>0</v>
      </c>
      <c r="BB636" s="136">
        <f>IF(AND($B634=" ",$K636=BB$3),$O636,0)</f>
        <v>0</v>
      </c>
      <c r="BC636" s="137">
        <f>IF(AND($B634=" ",$K636=BC$3),$O636,0)</f>
        <v>0</v>
      </c>
      <c r="BD636" s="133">
        <f>IF(AND($B634=" ",$K636=BD$3),$O636,0)</f>
        <v>0</v>
      </c>
      <c r="BE636" s="134">
        <f>IF(AND($B634=" ",$K636=BE$3),$O636,0)</f>
        <v>0</v>
      </c>
      <c r="BF636" s="132">
        <f>IF($K636=BF$3,IF($C636="X",0,$O636),0)</f>
        <v>0</v>
      </c>
      <c r="BG636" s="281">
        <f>IF($K636=BG$3,IF($C636="X",0,$O636),0)</f>
        <v>0</v>
      </c>
      <c r="BH636" s="133">
        <f>IF($K636=BH$3,IF($C636="X",0,$O636),0)</f>
        <v>0</v>
      </c>
      <c r="BI636" s="133">
        <f>IF($K636=BI$3,IF($C636="X",0,$O636),0)</f>
        <v>0</v>
      </c>
      <c r="BJ636" s="133">
        <f>IF($K636=BJ$3,IF($C636="X",0,$O636),0)</f>
        <v>4.81</v>
      </c>
      <c r="BK636" s="133">
        <f>IF($K636=BK$3,IF($C636="X",0,$O636),0)</f>
        <v>0</v>
      </c>
      <c r="BL636" s="133">
        <f>IF($K636=BL$3,IF($C636="X",0,$O636),0)</f>
        <v>0</v>
      </c>
      <c r="BM636" s="135">
        <f>IF($K636=BM$3,IF($C636="X",0,$O636),0)</f>
        <v>0</v>
      </c>
      <c r="BN636" s="136">
        <f>IF($K636=BN$3,IF($C636="X",0,$O636),0)</f>
        <v>0</v>
      </c>
      <c r="BO636" s="136">
        <f>IF($K636=BO$3,IF($C636="X",0,$O636),0)</f>
        <v>0</v>
      </c>
      <c r="BP636" s="136">
        <f>IF($K636=BP$3,IF($C636="X",0,$O636),0)</f>
        <v>0</v>
      </c>
      <c r="BQ636" s="137">
        <f>IF($K636=BQ$3,IF($C636="X",0,$O636),0)</f>
        <v>0</v>
      </c>
      <c r="BR636" s="134">
        <f>IF($K636=BR$3,IF($C636="X",0,$O636),0)</f>
        <v>0</v>
      </c>
      <c r="BS636" s="282"/>
      <c r="BT636" s="283"/>
      <c r="BU636" s="140"/>
      <c r="BV636" s="283"/>
      <c r="BW636" s="140"/>
      <c r="BX636" s="140"/>
      <c r="BY636" s="140"/>
      <c r="BZ636" s="283"/>
      <c r="CA636" s="140"/>
      <c r="CB636" s="140"/>
      <c r="CC636" s="140"/>
      <c r="CD636" s="141"/>
      <c r="CE636" s="142"/>
      <c r="CF636" s="284">
        <f>IF(CF$3=$K636,IF($C636="W",1,IF($C636="1/2W",0.5,0)),0)</f>
        <v>0</v>
      </c>
      <c r="CG636" s="285">
        <f>IF(CF$3=$K636,IF($C636="L",1,IF($C636="1/2L",0.5,0)),0)</f>
        <v>0</v>
      </c>
      <c r="CH636" s="285">
        <f>IF(CH$3=$K636,IF($C636="W",1,IF($C636="1/2W",0.5,0)),0)</f>
        <v>0</v>
      </c>
      <c r="CI636" s="285">
        <f>IF(CH$3=$K636,IF($C636="L",1,IF($C636="1/2L",0.5,0)),0)</f>
        <v>0</v>
      </c>
      <c r="CJ636" s="285">
        <f>IF(CJ$3=$K636,IF($C636="W",1,IF($C636="1/2W",0.5,0)),0)</f>
        <v>0</v>
      </c>
      <c r="CK636" s="285">
        <f>IF(CJ$3=$K636,IF($C636="L",1,IF($C636="1/2L",0.5,0)),0)</f>
        <v>0</v>
      </c>
      <c r="CL636" s="285">
        <f>IF(CL$3=$K636,IF($C636="W",1,IF($C636="1/2W",0.5,0)),0)</f>
        <v>0</v>
      </c>
      <c r="CM636" s="285">
        <f>IF(CL$3=$K636,IF($C636="L",1,IF($C636="1/2L",0.5,0)),0)</f>
        <v>0</v>
      </c>
      <c r="CN636" s="285">
        <f>IF(CN$3=$K636,IF($C636="W",1,IF($C636="1/2W",0.5,0)),0)</f>
        <v>1</v>
      </c>
      <c r="CO636" s="285">
        <f>IF(CN$3=$K636,IF($C636="L",1,IF($C636="1/2L",0.5,0)),0)</f>
        <v>0</v>
      </c>
      <c r="CP636" s="285">
        <f>IF(CP$3=$K636,IF($C636="W",1,IF($C636="1/2W",0.5,0)),0)</f>
        <v>0</v>
      </c>
      <c r="CQ636" s="285">
        <f>IF(CP$3=$K636,IF($C636="L",1,IF($C636="1/2L",0.5,0)),0)</f>
        <v>0</v>
      </c>
      <c r="CR636" s="285">
        <f>IF(CR$3=$K636,IF($C636="W",1,IF($C636="1/2W",0.5,0)),0)</f>
        <v>0</v>
      </c>
      <c r="CS636" s="285">
        <f>IF(CR$3=$K636,IF($C636="L",1,IF($C636="1/2L",0.5,0)),0)</f>
        <v>0</v>
      </c>
      <c r="CT636" s="145">
        <f>IF(CT$3=$K636,IF($C636="W",1,IF($C636="1/2W",0.5,0)),0)</f>
        <v>0</v>
      </c>
      <c r="CU636" s="146">
        <f>IF(CT$3=$K636,IF($C636="L",1,IF($C636="1/2L",0.5,0)),0)</f>
        <v>0</v>
      </c>
      <c r="CV636" s="146">
        <f>IF(CV$3=$K636,IF($C636="W",1,IF($C636="1/2W",0.5,0)),0)</f>
        <v>0</v>
      </c>
      <c r="CW636" s="146">
        <f>IF(CV$3=$K636,IF($C636="L",1,IF($C636="1/2L",0.5,0)),0)</f>
        <v>0</v>
      </c>
      <c r="CX636" s="146">
        <f>IF(CX$3=$K636,IF($C636="W",1,IF($C636="1/2W",0.5,0)),0)</f>
        <v>0</v>
      </c>
      <c r="CY636" s="146">
        <f>IF(CX$3=$K636,IF($C636="L",1,IF($C636="1/2L",0.5,0)),0)</f>
        <v>0</v>
      </c>
      <c r="CZ636" s="146">
        <f>IF(CZ$3=$K636,IF($C636="W",1,IF($C636="1/2W",0.5,0)),0)</f>
        <v>0</v>
      </c>
      <c r="DA636" s="146">
        <f>IF(CZ$3=$K636,IF($C636="L",1,IF($C636="1/2L",0.5,0)),0)</f>
        <v>0</v>
      </c>
      <c r="DB636" s="146">
        <f>IF(DB$3=$K636,IF($C636="W",1,IF($C636="1/2W",0.5,0)),0)</f>
        <v>0</v>
      </c>
      <c r="DC636" s="146">
        <f>IF(DB$3=$K636,IF($C636="L",1,IF($C636="1/2L",0.5,0)),0)</f>
        <v>0</v>
      </c>
      <c r="DD636" s="146">
        <f>IF(DD$3=$K636,IF($C636="W",1,IF($C636="1/2W",0.5,0)),0)</f>
        <v>0</v>
      </c>
      <c r="DE636" s="147">
        <f>IF(DD$3=$K636,IF($C636="L",1,IF($C636="1/2L",0.5,0)),0)</f>
        <v>0</v>
      </c>
      <c r="DF636" s="143">
        <f>IF(AND(L636&lt;DF$3,$C636="W"),1+DF635,DF635)</f>
        <v>17</v>
      </c>
      <c r="DG636" s="133">
        <f>IF(DF636&gt;DF635,L636+DG635,DG635)</f>
        <v>22.628</v>
      </c>
      <c r="DH636" s="146">
        <f>IF(AND(L636&gt;DH$3,$C636="W"),1+DH635,0+DH635)</f>
        <v>16</v>
      </c>
      <c r="DI636" s="133">
        <f>IF(DH636&gt;DH635,L636+DI635,DI635)</f>
        <v>85.45999999999999</v>
      </c>
      <c r="DJ636" t="s" s="304">
        <f>IF($D634="","",$D634)</f>
        <v>431</v>
      </c>
      <c r="DK636" s="286"/>
    </row>
    <row r="637" ht="14.55" customHeight="1">
      <c r="A637" s="171">
        <f>$A634+1</f>
        <v>212</v>
      </c>
      <c r="B637" t="s" s="172">
        <f>IF(AND(_xlfn.XLOOKUP(H637,H$122:H410,G$122:G410,0)=G637,_xlfn.XLOOKUP("TempoBet",K637:K639,L637:L639,0)&gt;0),"X",IF(OR(C637="W",C638="W",C639="W",C637="1/2W",C638="1/2W",C639="1/2W",C637="1/2L",C638="1/2L",C639="1/2L"),"OK",IF(OR(C637="L",C638="L",C639="L"),"LOSS",IF(OR(C637="X",C638="X",C639="X"),"Anulado"," "))))</f>
        <v>50</v>
      </c>
      <c r="C637" t="s" s="173">
        <v>51</v>
      </c>
      <c r="D637" t="s" s="305">
        <f>IF(G637="","",$D634)</f>
        <v>431</v>
      </c>
      <c r="E637" t="s" s="175">
        <f>IF(G637=""," ","– "&amp;COUNTIF(D$4:D639,$D637))</f>
        <v>155</v>
      </c>
      <c r="F637" t="s" s="176">
        <f>IF(G637="","",IF(OR(AND($C637&lt;&gt;" ",$C638=" "),AND($C638&lt;&gt;" ",$C637=" "),AND(L639&gt;0,OR(AND($C639&lt;&gt;" ",OR($C637=" ",$C638=" ")),AND($C639=" ",OR($C637&lt;&gt;" ",$C638&lt;&gt;" "))))),IF(SUM(F$4:F636)=0,1,LARGE(F$4:F636,1)+1),IF(MONTH(G637)=MONTH(TODAY()),IF(AND(DAY(G637)&lt;DAY(TODAY()),$B637=" "),IF(SUM(F$4:F636)=0,1,LARGE(F$4:F636,1)+1),IF($B637=" ",IF(AND(DAY(G637)=DAY(TODAY()),HOUR(G637)&lt;=HOUR(NOW())+1),IF(AND(HOUR(G637)+2&lt;=HOUR(NOW()),DAY(G637)&lt;=DAY(TODAY()),MINUTE(G637)&lt;=MINUTE(NOW())),IF(SUM(F$4:F636)=0,1,LARGE(F$4:F636,1)+1),IF(OR(MINUTE(G637)&lt;=MINUTE(NOW()),HOUR(G637)&lt;=HOUR(NOW())),"!!!","")),""),"")),"")))</f>
      </c>
      <c r="G637" s="177">
        <v>44946.791666666664</v>
      </c>
      <c r="H637" t="s" s="178">
        <v>292</v>
      </c>
      <c r="I637" s="331"/>
      <c r="J637" s="180"/>
      <c r="K637" t="s" s="181">
        <v>40</v>
      </c>
      <c r="L637" s="182">
        <v>2</v>
      </c>
      <c r="M637" s="183">
        <v>3.02</v>
      </c>
      <c r="N637" s="184">
        <v>0</v>
      </c>
      <c r="O637" s="185">
        <f>IF(OR(AE637="",AE638=""),"",ROUND(IF(L639&gt;0,IF(M637&gt;0,M637,IF(M638&gt;0,ROUND((M638*AE637)/AE638,IF(N637=0,2,IF(N637=0.1,1,0))),ROUND((M639*AE637)/AE639,IF(N637=0,2,IF(N637=0.1,1,0))))),IF(M637&gt;0,M637,ROUND((M638*AE637)/AE638,IF(N637=0,2,IF(N637=0.1,1,0))))),2))</f>
        <v>3.02</v>
      </c>
      <c r="P637" s="186">
        <f>IF(OR(L637="",O637=""),"",IF($C637="1/2W",O637/2+O637/2*L637,IF($C637="1/2L",O637/2,IF(I637="Lay",(O637*(L637/(L637-1))-O637)*(1-_xlfn.XLOOKUP(K637,'Janeiro 2023 - Valor Real'!A3:A15,'Janeiro 2023 - Valor Real'!C3:C15,0))+O637,(O637*L637-O637)*(1-_xlfn.XLOOKUP(K637,'Janeiro 2023 - Valor Real'!A3:A15,'Janeiro 2023 - Valor Real'!C3:C15,0))+O637))))</f>
        <v>6.04</v>
      </c>
      <c r="Q637" s="187">
        <f>IF(K637="","",IF(_xlfn.XLOOKUP(K637,K$122:K410,DJ$122:DJ410,0,,-1)=DJ637,_xlfn.XLOOKUP(K637,K$122:K410,Q$122:Q410,1,,-1)+1,1))</f>
        <v>1</v>
      </c>
      <c r="R637" s="188">
        <f>IF(K637="","",_xlfn.XLOOKUP(K637,K$122:K410,R$122:R410,0,,-1)+IF($C637=" ",1,0))</f>
        <v>0</v>
      </c>
      <c r="S637" s="189">
        <f>IF($B637="Anulado",0,ROUND(IF(OR($B637="LOSS",$B637="OK"),IF(OR($C637="W",$C637="1/2W",$C637="1/2L"),P637-O637,IF($C637="L",-O637,0))+IF(OR($C638="W",$C638="1/2W",$C638="1/2L"),P638-O638,IF($C638="L",-O638,0))+IF(OR($C639="W",$C639="1/2W",$C639="1/2L"),P639-O639,IF($C639="L",-O639,0)),IF(AND(OR($C637="W",$C637="1/2W",$C637="1/2L"),C638="W"),P637+P638-SUM(O637:O639)+_xlfn.XLOOKUP("X",C637:C639,O637:O639,0),IF(AND(C637=TRUE,C639="W"),P637+P639-SUM(O637:O639),IF(AND(C638="W",C639="W"),P638+P639-SUM(O637:O639)+_xlfn.XLOOKUP("X",C637:C639,O637:O639,0),IF(L639&gt;0,IF(OR($C637="W",$C637="1/2W",$C637="1/2L"),P637-SUM(O637:O639)+_xlfn.XLOOKUP("X",C637:C639,O637:O639,0),IF(OR($C637="W",$C637="1/2W",$C637="1/2L"),P638-SUM(O637:O639)+_xlfn.XLOOKUP("X",C637:C639,O637:O639,0),IF(OR($C637="W",$C637="1/2W",$C637="1/2L"),P639-SUM(O637:O639)+_xlfn.XLOOKUP("X",C637:C639,O637:O639,0),IF(SUM(P637:P639)/3-SUM(O637:O639)+_xlfn.XLOOKUP("X",C637:C639,O637:O639,0)&gt;0,SUM(P637:P639)/3-SUM(O637:O639)+_xlfn.XLOOKUP("X",C637:C639,O637:O639,0),LARGE(P637:P639,1)-SUM(O637:O639))))),IF(OR($C637="W",$C637="1/2W",$C637="1/2L"),P637-SUM(O637:O638)+_xlfn.XLOOKUP("X",C637:C639,O637:O639,0),IF(OR($C637="W",$C637="1/2W",$C637="1/2L"),P638-SUM(O637:O638)+_xlfn.XLOOKUP("X",C637:C639,O637:O639,0),SUM(P637:P638)/2-SUM(O637:O638)+_xlfn.XLOOKUP("X",C637:C639,O637:O639,0)))))))),2))</f>
        <v>2.87</v>
      </c>
      <c r="T637" s="190">
        <f>IF(S637=0,0,S637/SUM(O637:O639))</f>
        <v>0.322109988776655</v>
      </c>
      <c r="U637" s="191">
        <f>IF($D637=$D634,IF(OR($B637="LOSS",$B637="OK",$B637="Anulada"),S637,0)+U634,IF(OR($B637="LOSS",$B637="OK",$B637="Anulada"),S637,0))</f>
        <v>66.26000000000001</v>
      </c>
      <c r="V637" s="191">
        <f>IF($D637="",0,IF($D637=$D634,IF($B637=" ",IF(I639="",IF(OR(AND(I637="DNB1",I638="DNB2"),AND(OR(I637="DNB1",I637="DNB2"),J638=0),AND(OR(I638="DNB1",I638="DNB2"),J637=0),AND(I637="DNB2",I638="DNB1"),AND(IF(J637=0,(J637+1)/ROUND(J637+1,0),J637/ROUND(J637,0))=1,IF(J638=0,(J638+1)/ROUND(IF(J638="",0,J638)+1,0),IF(J638="",0,J638)/ROUND(IF(J638="",1,J638),0))=1,OR(J637&lt;&gt;""),J638&lt;&gt;"")),0,IF(S637&lt;0,IF(I639="",SMALL(P637:P638,1)-SUM(O637:O638),0),SMALL(P637:P638,1)-SUM(O637:O638))),IF(S637&lt;0,IF(I639="",SMALL(P637:P639,1)-SUM(O637:O639),0),LARGE(P637:P639,1)-SUM(O637:O639))),S637)+V634,IF(I639="",IF(OR(AND(I637="DNB1",I638="DNB2"),AND(OR(I637="DNB1",I637="DNB2"),J638=0),AND(OR(I638="DNB1",I638="DNB2"),J637=0),AND(I637="DNB2",I638="DNB1"),AND(IF(J637=0,(J637+1)/ROUND(J637+1,0),J637/ROUND(J637,0))=1,IF(J638=0,(IF(J638="",0,J638)+1)/ROUND(IF(J638="",0,J638)+1,0),IF(J638="",0,J638)/ROUND(IF(J638="",0,J638)+1,0))=1,OR(J637&lt;&gt;""),J638&lt;&gt;"")),0,IF(S637&lt;0,IF(I639="",SMALL(P637:P638,1)-SUM(O637:O638),0),SMALL(P637:P639,1)-SUM(O637:O639))),IF(S637&lt;0,IF(I639="",SMALL(P637:P639,1)-SUM(O637:O639),0),LARGE(P637:P639,1)-SUM(O637:O639)))))</f>
        <v>66.232</v>
      </c>
      <c r="W637" s="191">
        <f>IF($D637=$D634,IF(S637&lt;0,IF(I639="",S637,0),S637)+W634,S637)</f>
        <v>66.26000000000001</v>
      </c>
      <c r="X637" t="s" s="192">
        <f>IF(OR(SUM(R637:R639)=0,V637=W637),ROUND(IF(W637=0,0,W637/Y637)*100,2)&amp;"%",ROUND(IF(V637=0,0,V637/Y637)*100,2)&amp;"% a "&amp;ROUND(IF(W637=0,0,W637/Y637)*100,2)&amp;"%")</f>
        <v>74</v>
      </c>
      <c r="Y637" s="193">
        <f>IF($D637=$D634,Y634+SUM(O637:O639),SUM(O637:O639))</f>
        <v>988.11</v>
      </c>
      <c r="Z637" s="191">
        <f>IF($B637=" ",SUM(O637:O639),0)+Z634</f>
        <v>0</v>
      </c>
      <c r="AA637" s="191">
        <f>IF(G637="","",IF($B637="Anulado",LARGE(P637:P639,1)-SUM(O637:O639)+AA634,AA634))</f>
        <v>26.8740076923077</v>
      </c>
      <c r="AB637" s="191">
        <f>IF($D637="","",AB634+S637)</f>
        <v>454.59</v>
      </c>
      <c r="AC637" s="194">
        <f>IF($D637="","",IF($B637=" ",IF(DAY(G637)=DAY(TODAY()),1+AC634,0+AC634),0+AC634))</f>
        <v>0</v>
      </c>
      <c r="AD637" s="195">
        <f>(((L638/(L638-1)-1)*(1-_xlfn.XLOOKUP(K638,'Janeiro 2023 - Valor Real'!A3:A15,'Janeiro 2023 - Valor Real'!C3:C15,0))+1))/(((L637-1)*(1-_xlfn.XLOOKUP(K637,'Janeiro 2023 - Valor Real'!A3:A15,'Janeiro 2023 - Valor Real'!C3:C15,0))+1)+((L638/(L638-1)-1)*(1-_xlfn.XLOOKUP(K638,'Janeiro 2023 - Valor Real'!A3:A15,'Janeiro 2023 - Valor Real'!C3:C15,0))+1))</f>
        <v>0.5</v>
      </c>
      <c r="AE637" s="196">
        <f>IF(L637="","",IF(L639&gt;0,(SUM(((L637-1)*(1-_xlfn.XLOOKUP(K637,'Janeiro 2023 - Valor Real'!A3:A15,'Janeiro 2023 - Valor Real'!C3:C15,0))+1),((L638-1)*(1-_xlfn.XLOOKUP(K638,'Janeiro 2023 - Valor Real'!A3:A15,'Janeiro 2023 - Valor Real'!C3:C15,0))+1),((L639-1)*(1-_xlfn.XLOOKUP(K639,'Janeiro 2023 - Valor Real'!A3:A15,'Janeiro 2023 - Valor Real'!C3:C15,0))+1))/((L637-1)*(1-_xlfn.XLOOKUP(K637,'Janeiro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Real'!C3:C15,0))+1))/((L637-1)*(1-_xlfn.XLOOKUP(K637,'Janeiro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Real'!C3:C15,0))+1))/((L638-1)*(1-_xlfn.XLOOKUP(K638,'Janeiro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Real'!C3:C15,0))+1))/((L639-1)*(1-_xlfn.XLOOKUP(K639,'Janeiro 2023 - Valor Real'!A3:A15,'Janeiro 2023 - Valor Real'!C3:C15,0))+1)),IF(I637="Lay",IF(I638="Lay",((L638/(L638-1)-1)*(1-_xlfn.XLOOKUP(K638,'Janeiro 2023 - Valor Real'!A3:A15,'Janeiro 2023 - Valor Real'!C3:C15,0))+1)/(((L638/(L638-1)-1)*(1-_xlfn.XLOOKUP(K638,'Janeiro 2023 - Valor Real'!A3:A15,'Janeiro 2023 - Valor Real'!C3:C15,0))+1)+((L637/(L637-1)-1)*(1-_xlfn.XLOOKUP(K637,'Janeiro 2023 - Valor Real'!A3:A15,'Janeiro 2023 - Valor Real'!C3:C15,0))+1)),((L638-1)*(1-_xlfn.XLOOKUP(K638,'Janeiro 2023 - Valor Real'!A3:A15,'Janeiro 2023 - Valor Real'!C3:C15,0))+1)/(((L638-1)*(1-_xlfn.XLOOKUP(K638,'Janeiro 2023 - Valor Real'!A3:A15,'Janeiro 2023 - Valor Real'!C3:C15,0))+1)+((L637/(L637-1)-1)*(1-_xlfn.XLOOKUP(K637,'Janeiro 2023 - Valor Real'!A3:A15,'Janeiro 2023 - Valor Real'!C3:C15,0))+1))),IF(I638="Lay",(((L638/(L638-1)-1)*(1-_xlfn.XLOOKUP(K638,'Janeiro 2023 - Valor Real'!A3:A15,'Janeiro 2023 - Valor Real'!C3:C15,0))+1))/(((L637-1)*(1-_xlfn.XLOOKUP(K637,'Janeiro 2023 - Valor Real'!A3:A15,'Janeiro 2023 - Valor Real'!C3:C15,0))+1)+((L638/(L638-1)-1)*(1-_xlfn.XLOOKUP(K638,'Janeiro 2023 - Valor Real'!A3:A15,'Janeiro 2023 - Valor Real'!C3:C15,0))+1)),((L638-1)*(1-_xlfn.XLOOKUP(K638,'Janeiro 2023 - Valor Real'!A3:A15,'Janeiro 2023 - Valor Real'!C3:C15,0))+1)/(((L638-1)*(1-_xlfn.XLOOKUP(K638,'Janeiro 2023 - Valor Real'!A3:A15,'Janeiro 2023 - Valor Real'!C3:C15,0))+1)+((L637-1)*(1-_xlfn.XLOOKUP(K637,'Janeiro 2023 - Valor Real'!A3:A15,'Janeiro 2023 - Valor Real'!C3:C15,0))+1))))))</f>
        <v>0.5</v>
      </c>
      <c r="AF637" s="197">
        <f>IF($K637=AF$3,ROUND(IF(OR($C637="W",$C637="1/2W",$C637="1/2L"),$P637-$O637,IF($C637="X",0,-$O637)),2),0)</f>
        <v>0</v>
      </c>
      <c r="AG637" s="198">
        <f>IF($K637=AG$3,ROUND(IF(OR($C637="W",$C637="1/2W",$C637="1/2L"),$P637-$O637,IF($C637="X",0,-$O637)),2),0)</f>
        <v>0</v>
      </c>
      <c r="AH637" s="198">
        <f>IF($K637=AH$3,ROUND(IF(OR($C637="W",$C637="1/2W",$C637="1/2L"),$P637-$O637,IF($C637="X",0,-$O637)),2),0)</f>
        <v>0</v>
      </c>
      <c r="AI637" s="198">
        <f>IF($K637=AI$3,ROUND(IF(OR($C637="W",$C637="1/2W",$C637="1/2L"),$P637-$O637,IF($C637="X",0,-$O637)),2),0)</f>
        <v>-3.02</v>
      </c>
      <c r="AJ637" s="198">
        <f>IF($K637=AJ$3,ROUND(IF(OR($C637="W",$C637="1/2W",$C637="1/2L"),$P637-$O637,IF($C637="X",0,-$O637)),2),0)</f>
        <v>0</v>
      </c>
      <c r="AK637" s="198">
        <f>IF($K637=AK$3,ROUND(IF(OR($C637="W",$C637="1/2W",$C637="1/2L"),$P637-$O637,IF($C637="X",0,-$O637)),2),0)</f>
        <v>0</v>
      </c>
      <c r="AL637" s="198">
        <f>IF($K637=AL$3,ROUND(IF(OR($C637="W",$C637="1/2W",$C637="1/2L"),$P637-$O637,IF($C637="X",0,-$O637)),2),0)</f>
        <v>0</v>
      </c>
      <c r="AM637" s="198">
        <f>IF($K637=AM$3,ROUND(IF(OR($C637="W",$C637="1/2W",$C637="1/2L"),$P637-$O637,IF($C637="X",0,-$O637)),2),0)</f>
        <v>0</v>
      </c>
      <c r="AN637" s="198">
        <f>IF($K637=AN$3,ROUND(IF(OR($C637="W",$C637="1/2W",$C637="1/2L"),$P637-$O637,IF($C637="X",0,-$O637)),2),0)</f>
        <v>0</v>
      </c>
      <c r="AO637" s="198">
        <f>IF($K637=AO$3,ROUND(IF(OR($C637="W",$C637="1/2W",$C637="1/2L"),$P637-$O637,IF($C637="X",0,-$O637)),2),0)</f>
        <v>0</v>
      </c>
      <c r="AP637" s="198">
        <f>IF($K637=AP$3,ROUND(IF(OR($C637="W",$C637="1/2W",$C637="1/2L"),$P637-$O637,IF($C637="X",0,-$O637)),2),0)</f>
        <v>0</v>
      </c>
      <c r="AQ637" s="198">
        <f>IF($K637=AQ$3,ROUND(IF(OR($C637="W",$C637="1/2W",$C637="1/2L"),$P637-$O637,IF($C637="X",0,-$O637)),2),0)</f>
        <v>0</v>
      </c>
      <c r="AR637" s="199">
        <f>IF($K637=AR$3,ROUND(IF(OR($C637="W",$C637="1/2W",$C637="1/2L"),$P637-$O637,IF($C637="X",0,-$O637)),2),0)</f>
        <v>0</v>
      </c>
      <c r="AS637" s="197">
        <f>IF(AND($B637=" ",$K637=AS$3),$O637,0)</f>
        <v>0</v>
      </c>
      <c r="AT637" s="198">
        <f>IF(AND($B637=" ",$K637=AT$3),$O637,0)</f>
        <v>0</v>
      </c>
      <c r="AU637" s="198">
        <f>IF(AND($B637=" ",$K637=AU$3),$O637,0)</f>
        <v>0</v>
      </c>
      <c r="AV637" s="198">
        <f>IF(AND($B637=" ",$K637=AV$3),$O637,0)</f>
        <v>0</v>
      </c>
      <c r="AW637" s="198">
        <f>IF(AND($B637=" ",$K637=AW$3),$O637,0)</f>
        <v>0</v>
      </c>
      <c r="AX637" s="198">
        <f>IF(AND($B637=" ",$K637=AX$3),$O637,0)</f>
        <v>0</v>
      </c>
      <c r="AY637" s="200">
        <f>IF(AND($B637=" ",$K637=AY$3),$O637,0)</f>
        <v>0</v>
      </c>
      <c r="AZ637" s="201">
        <f>IF(AND($B637=" ",$K637=AZ$3),$O637,0)</f>
        <v>0</v>
      </c>
      <c r="BA637" s="201">
        <f>IF(AND($B637=" ",$K637=BA$3),$O637,0)</f>
        <v>0</v>
      </c>
      <c r="BB637" s="201">
        <f>IF(AND($B637=" ",$K637=BB$3),$O637,0)</f>
        <v>0</v>
      </c>
      <c r="BC637" s="202">
        <f>IF(AND($B637=" ",$K637=BC$3),$O637,0)</f>
        <v>0</v>
      </c>
      <c r="BD637" s="198">
        <f>IF(AND($B637=" ",$K637=BD$3),$O637,0)</f>
        <v>0</v>
      </c>
      <c r="BE637" s="199">
        <f>IF(AND($B637=" ",$K637=BE$3),$O637,0)</f>
        <v>0</v>
      </c>
      <c r="BF637" s="203">
        <f>IF($K637=BF$3,IF($C637="X",0,$O637),0)</f>
        <v>0</v>
      </c>
      <c r="BG637" s="198">
        <f>IF($K637=BG$3,IF($C637="X",0,$O637),0)</f>
        <v>0</v>
      </c>
      <c r="BH637" s="198">
        <f>IF($K637=BH$3,IF($C637="X",0,$O637),0)</f>
        <v>0</v>
      </c>
      <c r="BI637" s="198">
        <f>IF($K637=BI$3,IF($C637="X",0,$O637),0)</f>
        <v>3.02</v>
      </c>
      <c r="BJ637" s="198">
        <f>IF($K637=BJ$3,IF($C637="X",0,$O637),0)</f>
        <v>0</v>
      </c>
      <c r="BK637" s="198">
        <f>IF($K637=BK$3,IF($C637="X",0,$O637),0)</f>
        <v>0</v>
      </c>
      <c r="BL637" s="198">
        <f>IF($K637=BL$3,IF($C637="X",0,$O637),0)</f>
        <v>0</v>
      </c>
      <c r="BM637" s="200">
        <f>IF($K637=BM$3,IF($C637="X",0,$O637),0)</f>
        <v>0</v>
      </c>
      <c r="BN637" s="201">
        <f>IF($K637=BN$3,IF($C637="X",0,$O637),0)</f>
        <v>0</v>
      </c>
      <c r="BO637" s="201">
        <f>IF($K637=BO$3,IF($C637="X",0,$O637),0)</f>
        <v>0</v>
      </c>
      <c r="BP637" s="201">
        <f>IF($K637=BP$3,IF($C637="X",0,$O637),0)</f>
        <v>0</v>
      </c>
      <c r="BQ637" s="202">
        <f>IF($K637=BQ$3,IF($C637="X",0,$O637),0)</f>
        <v>0</v>
      </c>
      <c r="BR637" s="199">
        <f>IF($K637=BR$3,IF($C637="X",0,$O637),0)</f>
        <v>0</v>
      </c>
      <c r="BS637" s="204">
        <f>IF($B637="LOSS",IF(AND($K637=BS$3,$C637="L"),-$O637,0)+IF(AND($K638=BS$3,$C638="L"),-$O638,0)+IF(AND($K639=BS$3,$C639="L"),-$O639,0),IF(OR(AND($K637=BS$3,OR($C637="W",$C637="1/2W")),AND($K638=BS$3,OR($C638="W",$C638="1/2W")),AND($K639=BS$3,OR($C639="W",$C639="1/2W"))),$S637,0))</f>
        <v>2.87</v>
      </c>
      <c r="BT637" s="201">
        <f>IF($B637="LOSS",IF(AND($K637=BT$3,$C637="L"),-$O637,0)+IF(AND($K638=BT$3,$C638="L"),-$O638,0)+IF(AND($K638=BT$3,$C639="L"),-$O639,0),IF(OR(AND($K638=BT$3,OR($C637="W",$C637="1/2W")),AND($K638=BT$3,OR($C638="W",$C638="1/2W")),AND($K638=BT$3,OR($C639="W",$C639="1/2W"))),$S637,0))</f>
        <v>0</v>
      </c>
      <c r="BU637" s="201">
        <f>IF($B637="LOSS",IF(AND($K637=BU$3,$C637="L"),-$O637,0)+IF(AND($K638=BU$3,$C638="L"),-$O638,0)+IF(AND($K638=BU$3,$C639="L"),-$O639,0),IF(OR(AND($K638=BU$3,OR($C637="W",$C637="1/2W")),AND($K638=BU$3,OR($C638="W",$C638="1/2W")),AND($K638=BU$3,OR($C639="W",$C639="1/2W"))),$S637,0))</f>
        <v>0</v>
      </c>
      <c r="BV637" s="201">
        <f>IF($B637="LOSS",IF(AND($K637=BV$3,$C637="L"),-$O637,0)+IF(AND($K638=BV$3,$C638="L"),-$O638,0)+IF(AND($K639=BV$3,$C639="L"),-$O639,0),IF(OR(AND($K637=BV$3,OR($C637="W",$C637="1/2W")),AND($K638=BV$3,OR($C638="W",$C638="1/2W")),AND($K639=BV$3,OR($C639="W",$C639="1/2W"))),$S637,0))</f>
        <v>0</v>
      </c>
      <c r="BW637" s="201">
        <f>IF($B637="LOSS",IF(AND($K637=BW$3,$C637="L"),-$O637,0)+IF(AND($K638=BW$3,$C638="L"),-$O638,0)+IF(AND($K639=BW$3,$C639="L"),-$O639,0),IF(OR(AND($K637=BW$3,OR($C637="W",$C637="1/2W")),AND($K638=BW$3,OR($C638="W",$C638="1/2W")),AND($K639=BW$3,OR($C639="W",$C639="1/2W"))),$S637,0))</f>
        <v>0</v>
      </c>
      <c r="BX637" s="201">
        <f>IF($B637="LOSS",IF(AND($K637=BX$3,$C637="L"),-$O637,0)+IF(AND($K638=BX$3,$C638="L"),-$O638,0)+IF(AND($K639=BX$3,$C639="L"),-$O639,0),IF(OR(AND($K637=BX$3,OR($C637="W",$C637="1/2W")),AND($K638=BX$3,OR($C638="W",$C638="1/2W")),AND($K639=BX$3,OR($C639="W",$C639="1/2W"))),$S637,0))</f>
        <v>0</v>
      </c>
      <c r="BY637" s="201">
        <f>IF($B637="LOSS",IF(AND($K637=BY$3,$C637="L"),-$O637,0)+IF(AND($K638=BY$3,$C638="L"),-$O638,0)+IF(AND($K639=BY$3,$C639="L"),-$O639,0),IF(OR(AND($K637=BY$3,OR($C637="W",$C637="1/2W")),AND($K638=BY$3,OR($C638="W",$C638="1/2W")),AND($K639=BY$3,OR($C639="W",$C639="1/2W"))),$S637,0))</f>
        <v>0</v>
      </c>
      <c r="BZ637" s="205">
        <f>IF($B637="LOSS",IF(AND($K637=BZ$3,$C637="L"),-$O637,0)+IF(AND($K638=BZ$3,$C638="L"),-$O638,0)+IF(AND($K639=BZ$3,$C639="L"),-$O639,0),IF(OR(AND($K637=BZ$3,OR($C637="W",$C637="1/2W")),AND($K638=BZ$3,OR($C638="W",$C638="1/2W")),AND($K639=BZ$3,OR($C639="W",$C639="1/2W"))),$S637,0))</f>
        <v>0</v>
      </c>
      <c r="CA637" s="205">
        <f>IF($B637="LOSS",IF(AND($K637=CA$3,$C637="L"),-$O637,0)+IF(AND($K638=CA$3,$C638="L"),-$O638,0)+IF(AND($K639=CA$3,$C639="L"),-$O639,0),IF(OR(AND($K637=CA$3,OR($C637="W",$C637="1/2W")),AND($K638=CA$3,OR($C638="W",$C638="1/2W")),AND($K639=CA$3,OR($C639="W",$C639="1/2W"))),$S637,0))</f>
        <v>0</v>
      </c>
      <c r="CB637" s="205">
        <f>IF($B637="LOSS",IF(AND($K637=CB$3,$C637="L"),-$O637,0)+IF(AND($K638=CB$3,$C638="L"),-$O638,0)+IF(AND($K639=CB$3,$C639="L"),-$O639,0),IF(OR(AND($K637=CB$3,OR($C637="W",$C637="1/2W")),AND($K638=CB$3,OR($C638="W",$C638="1/2W")),AND($K639=CB$3,OR($C639="W",$C639="1/2W"))),$S637,0))</f>
        <v>0</v>
      </c>
      <c r="CC637" s="205">
        <f>IF($B637="LOSS",IF(AND($K637=CC$3,$C637="L"),-$O637,0)+IF(AND($K638=CC$3,$C638="L"),-$O638,0)+IF(AND($K639=CC$3,$C639="L"),-$O639,0),IF(OR(AND($K637=CC$3,OR($C637="W",$C637="1/2W")),AND($K638=CC$3,OR($C638="W",$C638="1/2W")),AND($K639=CC$3,OR($C639="W",$C639="1/2W"))),$S637,0))</f>
        <v>0</v>
      </c>
      <c r="CD637" s="202">
        <f>IF($B637="LOSS",IF(AND($K637=CD$3,$C637="L"),-$O637,0)+IF(AND($K638=CD$3,$C638="L"),-$O638,0)+IF(AND($K639=CD$3,$C639="L"),-$O639,0),IF(OR(AND($K637=CD$3,OR($C637="W",$C637="1/2W")),AND($K638=CD$3,OR($C638="W",$C638="1/2W")),AND($K639=CD$3,OR($C639="W",$C639="1/2W"))),$S637,0))</f>
        <v>0</v>
      </c>
      <c r="CE637" s="199">
        <f>IF($B637="LOSS",IF(AND($K637=CE$3,$C637="L"),-$O637,0)+IF(AND($K638=CE$3,$C638="L"),-$O638,0)+IF(AND($K639=CE$3,$C639="L"),-$O639,0),IF(OR(AND($K637=CE$3,OR($C637="W",$C637="1/2W")),AND($K638=CE$3,OR($C638="W",$C638="1/2W")),AND($K639=CE$3,OR($C639="W",$C639="1/2W"))),$S637,0))</f>
        <v>0</v>
      </c>
      <c r="CF637" s="206">
        <f>IF(CF$3=$K637,IF($C637="W",1,IF($C637="1/2W",0.5,0)),0)</f>
        <v>0</v>
      </c>
      <c r="CG637" s="207">
        <f>IF(CF$3=$K637,IF($C637="L",1,IF($C637="1/2L",0.5,0)),0)</f>
        <v>0</v>
      </c>
      <c r="CH637" s="207">
        <f>IF(CH$3=$K637,IF($C637="W",1,IF($C637="1/2W",0.5,0)),0)</f>
        <v>0</v>
      </c>
      <c r="CI637" s="207">
        <f>IF(CH$3=$K637,IF($C637="L",1,IF($C637="1/2L",0.5,0)),0)</f>
        <v>0</v>
      </c>
      <c r="CJ637" s="207">
        <f>IF(CJ$3=$K637,IF($C637="W",1,IF($C637="1/2W",0.5,0)),0)</f>
        <v>0</v>
      </c>
      <c r="CK637" s="207">
        <f>IF(CJ$3=$K637,IF($C637="L",1,IF($C637="1/2L",0.5,0)),0)</f>
        <v>0</v>
      </c>
      <c r="CL637" s="207">
        <f>IF(CL$3=$K637,IF($C637="W",1,IF($C637="1/2W",0.5,0)),0)</f>
        <v>0</v>
      </c>
      <c r="CM637" s="207">
        <f>IF(CL$3=$K637,IF($C637="L",1,IF($C637="1/2L",0.5,0)),0)</f>
        <v>1</v>
      </c>
      <c r="CN637" s="207">
        <f>IF(CN$3=$K637,IF($C637="W",1,IF($C637="1/2W",0.5,0)),0)</f>
        <v>0</v>
      </c>
      <c r="CO637" s="207">
        <f>IF(CN$3=$K637,IF($C637="L",1,IF($C637="1/2L",0.5,0)),0)</f>
        <v>0</v>
      </c>
      <c r="CP637" s="207">
        <f>IF(CP$3=$K637,IF($C637="W",1,IF($C637="1/2W",0.5,0)),0)</f>
        <v>0</v>
      </c>
      <c r="CQ637" s="207">
        <f>IF(CP$3=$K637,IF($C637="L",1,IF($C637="1/2L",0.5,0)),0)</f>
        <v>0</v>
      </c>
      <c r="CR637" s="207">
        <f>IF(CR$3=$K637,IF($C637="W",1,IF($C637="1/2W",0.5,0)),0)</f>
        <v>0</v>
      </c>
      <c r="CS637" s="207">
        <f>IF(CR$3=$K637,IF($C637="L",1,IF($C637="1/2L",0.5,0)),0)</f>
        <v>0</v>
      </c>
      <c r="CT637" s="208">
        <f>IF(CT$3=$K637,IF($C637="W",1,IF($C637="1/2W",0.5,0)),0)</f>
        <v>0</v>
      </c>
      <c r="CU637" s="209">
        <f>IF(CT$3=$K637,IF($C637="L",1,IF($C637="1/2L",0.5,0)),0)</f>
        <v>0</v>
      </c>
      <c r="CV637" s="209">
        <f>IF(CV$3=$K637,IF($C637="W",1,IF($C637="1/2W",0.5,0)),0)</f>
        <v>0</v>
      </c>
      <c r="CW637" s="209">
        <f>IF(CV$3=$K637,IF($C637="L",1,IF($C637="1/2L",0.5,0)),0)</f>
        <v>0</v>
      </c>
      <c r="CX637" s="209">
        <f>IF(CX$3=$K637,IF($C637="W",1,IF($C637="1/2W",0.5,0)),0)</f>
        <v>0</v>
      </c>
      <c r="CY637" s="209">
        <f>IF(CX$3=$K637,IF($C637="L",1,IF($C637="1/2L",0.5,0)),0)</f>
        <v>0</v>
      </c>
      <c r="CZ637" s="209">
        <f>IF(CZ$3=$K637,IF($C637="W",1,IF($C637="1/2W",0.5,0)),0)</f>
        <v>0</v>
      </c>
      <c r="DA637" s="209">
        <f>IF(CZ$3=$K637,IF($C637="L",1,IF($C637="1/2L",0.5,0)),0)</f>
        <v>0</v>
      </c>
      <c r="DB637" s="209">
        <f>IF(DB$3=$K637,IF($C637="W",1,IF($C637="1/2W",0.5,0)),0)</f>
        <v>0</v>
      </c>
      <c r="DC637" s="209">
        <f>IF(DB$3=$K637,IF($C637="L",1,IF($C637="1/2L",0.5,0)),0)</f>
        <v>0</v>
      </c>
      <c r="DD637" s="209">
        <f>IF(DD$3=$K637,IF($C637="W",1,IF($C637="1/2W",0.5,0)),0)</f>
        <v>0</v>
      </c>
      <c r="DE637" s="210">
        <f>IF(DD$3=$K637,IF($C637="L",1,IF($C637="1/2L",0.5,0)),0)</f>
        <v>0</v>
      </c>
      <c r="DF637" s="211">
        <f>IF(AND(L637&lt;DF$3,$C637="W"),1+DF636,DF636)</f>
        <v>17</v>
      </c>
      <c r="DG637" s="198">
        <f>IF(DF637&gt;DF636,L637+DG636,DG636)</f>
        <v>22.628</v>
      </c>
      <c r="DH637" s="209">
        <f>IF(AND(L637&gt;DH$3,$C637="W"),1+DH636,0+DH636)</f>
        <v>16</v>
      </c>
      <c r="DI637" s="198">
        <f>IF(DH637&gt;DH636,L637+DI636,DI636)</f>
        <v>85.45999999999999</v>
      </c>
      <c r="DJ637" t="s" s="306">
        <f>IF($D637="","",$D637)</f>
        <v>431</v>
      </c>
      <c r="DK637" s="209">
        <f>IF(AND($B637=" ",$D637&lt;&gt;""),1,0)</f>
        <v>0</v>
      </c>
    </row>
    <row r="638" ht="14.55" customHeight="1">
      <c r="A638" s="107"/>
      <c r="B638" s="108"/>
      <c r="C638" t="s" s="213">
        <v>56</v>
      </c>
      <c r="D638" s="110"/>
      <c r="E638" s="111"/>
      <c r="F638" s="113"/>
      <c r="G638" s="214"/>
      <c r="H638" s="114"/>
      <c r="I638" s="332"/>
      <c r="J638" t="s" s="216">
        <f>IF(OR(I637="TO",I637="TU",I637="TO1",I637="TU1",I637="TO2",I637="TU2"),J637,IF(OR(I637="AH1",I637="AH2"),IF(OR(I638="AH1",I638="AH2"),-J637,IF(OR(I638="EH1",I638="EH2"),-J637+0.5,"")),IF(OR(I637="EH1",I637="EH2"),IF(OR(I638="AH1",I638="AH2"),-J637+0.5,IF(OR(I638="EH1",I638="EH2"),-J637+1,"")),IF(AND(OR(I637="DNB1",I637="DNB2"),OR(I638="AH1",I638="AH2")),0,IF(AND(I637="Not ScoreBoth",OR(I638="TO1",I638="TO2")),0.5,"")))))</f>
      </c>
      <c r="K638" t="s" s="217">
        <v>37</v>
      </c>
      <c r="L638" s="218">
        <v>2</v>
      </c>
      <c r="M638" s="219">
        <v>5.89</v>
      </c>
      <c r="N638" s="120"/>
      <c r="O638" s="220">
        <f>IF(OR(AE637="",AE638=""),"",ROUND(IF(L639&gt;0,IF(M638&gt;0,M638,IF(M637&gt;0,IF(N637=TRUE,ROUND((M637*AE638)/AE637,0),(M637*AE638)/AE637),IF(M638&gt;0,ROUND(M638,IF(N637=0,2,IF(N637=0.1,1,0))),IF(M639&gt;0,ROUND(O639*AE638/AE639,IF(N637=0,2,IF(N637=0.1,1,0))),0)))),IF(M638&gt;0,M638,ROUND((M637*AE638)/AE637,IF(N637=0,2,IF(N637=0.1,1,0))))),2))</f>
        <v>5.89</v>
      </c>
      <c r="P638" s="221">
        <f>IF(OR(L638="",O638=""),"",IF($C638="1/2W",O638/2+O638/2*L638,IF($C638="1/2L",O638/2,IF(I638="Lay",((O638*(L638/(L638-1)))-O638)*(1-_xlfn.XLOOKUP(K638,'Janeiro 2023 - Valor Real'!A3:A15,'Janeiro 2023 - Valor Real'!C3:C15,0))+O638,(O638*L638-O638)*(1-_xlfn.XLOOKUP(K638,'Janeiro 2023 - Valor Real'!A3:A15,'Janeiro 2023 - Valor Real'!C3:C15,0))+O638))))</f>
        <v>11.78</v>
      </c>
      <c r="Q638" s="222">
        <f>IF(K638="","",IF(_xlfn.XLOOKUP(K638,K$123:K411,DJ$123:DJ411,0,,-1)=DJ638,_xlfn.XLOOKUP(K638,K$123:K411,Q$123:Q411,1,,-1)+1,1))</f>
        <v>1</v>
      </c>
      <c r="R638" s="223">
        <f>IF(K638="","",_xlfn.XLOOKUP(K638,K$123:K411,R$123:R411,0,,-1)+IF($C638=" ",1,0))</f>
        <v>0</v>
      </c>
      <c r="S638" s="125"/>
      <c r="T638" s="126"/>
      <c r="U638" s="126"/>
      <c r="V638" s="224"/>
      <c r="W638" s="126"/>
      <c r="X638" s="127"/>
      <c r="Y638" s="128"/>
      <c r="Z638" s="129"/>
      <c r="AA638" s="129"/>
      <c r="AB638" s="129"/>
      <c r="AC638" s="129"/>
      <c r="AD638" s="225">
        <f>(((L638/(L638-1)-1)*(1-_xlfn.XLOOKUP(K638,'Janeiro 2023 - Valor Real'!A3:A15,'Janeiro 2023 - Valor Real'!C3:C15,0))+1))</f>
        <v>2</v>
      </c>
      <c r="AE638" s="226">
        <f>IF(L638="","",IF(L639&gt;0,(SUM(((L637-1)*(1-_xlfn.XLOOKUP(K637,'Janeiro 2023 - Valor Real'!A3:A15,'Janeiro 2023 - Valor Real'!C3:C15,0))+1),((L638-1)*(1-_xlfn.XLOOKUP(K638,'Janeiro 2023 - Valor Real'!A3:A15,'Janeiro 2023 - Valor Real'!C3:C15,0))+1),((L639-1)*(1-_xlfn.XLOOKUP(K639,'Janeiro 2023 - Valor Real'!A3:A15,'Janeiro 2023 - Valor Real'!C3:C15,0))+1))/((L638-1)*(1-_xlfn.XLOOKUP(K638,'Janeiro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Real'!C3:C15,0))+1))/((L637-1)*(1-_xlfn.XLOOKUP(K637,'Janeiro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Real'!C3:C15,0))+1))/((L638-1)*(1-_xlfn.XLOOKUP(K638,'Janeiro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Real'!C3:C15,0))+1))/((L639-1)*(1-_xlfn.XLOOKUP(K639,'Janeiro 2023 - Valor Real'!A3:A15,'Janeiro 2023 - Valor Real'!C3:C15,0))+1)),IF(I638="Lay",IF(I637="Lay",((L637/(L637-1)-1)*(1-_xlfn.XLOOKUP(K637,'Janeiro 2023 - Valor Real'!A3:A15,'Janeiro 2023 - Valor Real'!C3:C15,0))+1)/(((L637/(L637-1)-1)*(1-_xlfn.XLOOKUP(K637,'Janeiro 2023 - Valor Real'!A3:A15,'Janeiro 2023 - Valor Real'!C3:C15,0))+1)+((L638/(L638-1)-1)*(1-_xlfn.XLOOKUP(K638,'Janeiro 2023 - Valor Real'!A3:A15,'Janeiro 2023 - Valor Real'!C3:C15,0))+1)),((L637-1)*(1-_xlfn.XLOOKUP(K637,'Janeiro 2023 - Valor Real'!A3:A15,'Janeiro 2023 - Valor Real'!C3:C15,0))+1)/(((L637-1)*(1-_xlfn.XLOOKUP(K637,'Janeiro 2023 - Valor Real'!A3:A15,'Janeiro 2023 - Valor Real'!C3:C15,0))+1)+((L638/(L638-1)-1)*(1-_xlfn.XLOOKUP(K638,'Janeiro 2023 - Valor Real'!A3:A15,'Janeiro 2023 - Valor Real'!C3:C15,0))+1))),IF(I637="Lay",((L637/(L637-1)-1)*(1-_xlfn.XLOOKUP(K637,'Janeiro 2023 - Valor Real'!A3:A15,'Janeiro 2023 - Valor Real'!C3:C15,0))+1)/((((L637/(L637-1)-1)*(1-_xlfn.XLOOKUP(K637,'Janeiro 2023 - Valor Real'!A3:A15,'Janeiro 2023 - Valor Real'!C3:C15,0))+1))+((L638-1)*(1-_xlfn.XLOOKUP(K638,'Janeiro 2023 - Valor Real'!A3:A15,'Janeiro 2023 - Valor Real'!C3:C15,0))+1)),((L637-1)*(1-_xlfn.XLOOKUP(K637,'Janeiro 2023 - Valor Real'!A3:A15,'Janeiro 2023 - Valor Real'!C3:C15,0))+1)/(((L637-1)*(1-_xlfn.XLOOKUP(K637,'Janeiro 2023 - Valor Real'!A3:A15,'Janeiro 2023 - Valor Real'!C3:C15,0))+1)+((L638-1)*(1-_xlfn.XLOOKUP(K638,'Janeiro 2023 - Valor Real'!A3:A15,'Janeiro 2023 - Valor Real'!C3:C15,0))+1))))))</f>
        <v>0.5</v>
      </c>
      <c r="AF638" s="197">
        <f>IF($K638=AF$3,ROUND(IF(OR($C638="W",$C638="1/2W",$C638="1/2L"),$P638-$O638,IF($C638="X",0,-$O638)),2),0)</f>
        <v>5.89</v>
      </c>
      <c r="AG638" s="198">
        <f>IF($K638=AG$3,ROUND(IF(OR($C638="W",$C638="1/2W",$C638="1/2L"),$P638-$O638,IF($C638="X",0,-$O638)),2),0)</f>
        <v>0</v>
      </c>
      <c r="AH638" s="198">
        <f>IF($K638=AH$3,ROUND(IF(OR($C638="W",$C638="1/2W",$C638="1/2L"),$P638-$O638,IF($C638="X",0,-$O638)),2),0)</f>
        <v>0</v>
      </c>
      <c r="AI638" s="198">
        <f>IF($K638=AI$3,ROUND(IF(OR($C638="W",$C638="1/2W",$C638="1/2L"),$P638-$O638,IF($C638="X",0,-$O638)),2),0)</f>
        <v>0</v>
      </c>
      <c r="AJ638" s="198">
        <f>IF($K638=AJ$3,ROUND(IF(OR($C638="W",$C638="1/2W",$C638="1/2L"),$P638-$O638,IF($C638="X",0,-$O638)),2),0)</f>
        <v>0</v>
      </c>
      <c r="AK638" s="198">
        <f>IF($K638=AK$3,ROUND(IF(OR($C638="W",$C638="1/2W",$C638="1/2L"),$P638-$O638,IF($C638="X",0,-$O638)),2),0)</f>
        <v>0</v>
      </c>
      <c r="AL638" s="198">
        <f>IF($K638=AL$3,ROUND(IF(OR($C638="W",$C638="1/2W",$C638="1/2L"),$P638-$O638,IF($C638="X",0,-$O638)),2),0)</f>
        <v>0</v>
      </c>
      <c r="AM638" s="198">
        <f>IF($K638=AM$3,ROUND(IF(OR($C638="W",$C638="1/2W",$C638="1/2L"),$P638-$O638,IF($C638="X",0,-$O638)),2),0)</f>
        <v>0</v>
      </c>
      <c r="AN638" s="198">
        <f>IF($K638=AN$3,ROUND(IF(OR($C638="W",$C638="1/2W",$C638="1/2L"),$P638-$O638,IF($C638="X",0,-$O638)),2),0)</f>
        <v>0</v>
      </c>
      <c r="AO638" s="198">
        <f>IF($K638=AO$3,ROUND(IF(OR($C638="W",$C638="1/2W",$C638="1/2L"),$P638-$O638,IF($C638="X",0,-$O638)),2),0)</f>
        <v>0</v>
      </c>
      <c r="AP638" s="198">
        <f>IF($K638=AP$3,ROUND(IF(OR($C638="W",$C638="1/2W",$C638="1/2L"),$P638-$O638,IF($C638="X",0,-$O638)),2),0)</f>
        <v>0</v>
      </c>
      <c r="AQ638" s="198">
        <f>IF($K638=AQ$3,ROUND(IF(OR($C638="W",$C638="1/2W",$C638="1/2L"),$P638-$O638,IF($C638="X",0,-$O638)),2),0)</f>
        <v>0</v>
      </c>
      <c r="AR638" s="199">
        <f>IF($K638=AR$3,ROUND(IF(OR($C638="W",$C638="1/2W",$C638="1/2L"),$P638-$O638,IF($C638="X",0,-$O638)),2),0)</f>
        <v>0</v>
      </c>
      <c r="AS638" s="197">
        <f>IF(AND($B637=" ",$K638=AS$3),$O638,0)</f>
        <v>0</v>
      </c>
      <c r="AT638" s="198">
        <f>IF(AND($B637=" ",K638=AT$3),$O638,0)</f>
        <v>0</v>
      </c>
      <c r="AU638" s="198">
        <f>IF(AND($B637=" ",$K638=AU$3),$O638,0)</f>
        <v>0</v>
      </c>
      <c r="AV638" s="198">
        <f>IF(AND($B637=" ",$K638=AV$3),$O638,0)</f>
        <v>0</v>
      </c>
      <c r="AW638" s="198">
        <f>IF(AND($B637=" ",$K638=AW$3),$O638,0)</f>
        <v>0</v>
      </c>
      <c r="AX638" s="198">
        <f>IF(AND($B637=" ",$K638=AX$3),$O638,0)</f>
        <v>0</v>
      </c>
      <c r="AY638" s="200">
        <f>IF(AND($B637=" ",$K638=AY$3),$O638,0)</f>
        <v>0</v>
      </c>
      <c r="AZ638" s="201">
        <f>IF(AND($B637=" ",$K638=AZ$3),$O638,0)</f>
        <v>0</v>
      </c>
      <c r="BA638" s="201">
        <f>IF(AND($B637=" ",$K638=BA$3),$O638,0)</f>
        <v>0</v>
      </c>
      <c r="BB638" s="201">
        <f>IF(AND($B637=" ",$K638=BB$3),$O638,0)</f>
        <v>0</v>
      </c>
      <c r="BC638" s="202">
        <f>IF(AND($B637=" ",$K638=BC$3),$O638,0)</f>
        <v>0</v>
      </c>
      <c r="BD638" s="198">
        <f>IF(AND($B637=" ",$K638=BD$3),$O638,0)</f>
        <v>0</v>
      </c>
      <c r="BE638" s="199">
        <f>IF(AND($B637=" ",$K638=BE$3),$O638,0)</f>
        <v>0</v>
      </c>
      <c r="BF638" s="197">
        <f>IF($K638=BF$3,IF($C638="X",0,$O638),0)</f>
        <v>5.89</v>
      </c>
      <c r="BG638" s="198">
        <f>IF($K638=BG$3,IF($C638="X",0,$O638),0)</f>
        <v>0</v>
      </c>
      <c r="BH638" s="198">
        <f>IF($K638=BH$3,IF($C638="X",0,$O638),0)</f>
        <v>0</v>
      </c>
      <c r="BI638" s="198">
        <f>IF($K638=BI$3,IF($C638="X",0,$O638),0)</f>
        <v>0</v>
      </c>
      <c r="BJ638" s="198">
        <f>IF($K638=BJ$3,IF($C638="X",0,$O638),0)</f>
        <v>0</v>
      </c>
      <c r="BK638" s="198">
        <f>IF($K638=BK$3,IF($C638="X",0,$O638),0)</f>
        <v>0</v>
      </c>
      <c r="BL638" s="198">
        <f>IF($K638=BL$3,IF($C638="X",0,$O638),0)</f>
        <v>0</v>
      </c>
      <c r="BM638" s="227">
        <f>IF($K638=BM$3,IF($C638="X",0,$O638),0)</f>
        <v>0</v>
      </c>
      <c r="BN638" s="205">
        <f>IF($K638=BN$3,IF($C638="X",0,$O638),0)</f>
        <v>0</v>
      </c>
      <c r="BO638" s="205">
        <f>IF($K638=BO$3,IF($C638="X",0,$O638),0)</f>
        <v>0</v>
      </c>
      <c r="BP638" s="205">
        <f>IF($K638=BP$3,IF($C638="X",0,$O638),0)</f>
        <v>0</v>
      </c>
      <c r="BQ638" s="202">
        <f>IF($K638=BQ$3,IF($C638="X",0,$O638),0)</f>
        <v>0</v>
      </c>
      <c r="BR638" s="199">
        <f>IF($K638=BR$3,IF($C638="X",0,$O638),0)</f>
        <v>0</v>
      </c>
      <c r="BS638" s="228"/>
      <c r="BT638" s="229"/>
      <c r="BU638" s="140"/>
      <c r="BV638" s="229"/>
      <c r="BW638" s="140"/>
      <c r="BX638" s="140"/>
      <c r="BY638" s="140"/>
      <c r="BZ638" s="229"/>
      <c r="CA638" s="140"/>
      <c r="CB638" s="140"/>
      <c r="CC638" s="140"/>
      <c r="CD638" s="141"/>
      <c r="CE638" s="142"/>
      <c r="CF638" s="230">
        <f>IF(CF$3=$K638,IF($C638="W",1,IF($C638="1/2W",0.5,0)),0)</f>
        <v>1</v>
      </c>
      <c r="CG638" s="231">
        <f>IF(CF$3=$K638,IF($C638="L",1,IF($C638="1/2L",0.5,0)),0)</f>
        <v>0</v>
      </c>
      <c r="CH638" s="231">
        <f>IF(CH$3=$K638,IF($C638="W",1,IF($C638="1/2W",0.5,0)),0)</f>
        <v>0</v>
      </c>
      <c r="CI638" s="231">
        <f>IF(CH$3=$K638,IF($C638="L",1,IF($C638="1/2L",0.5,0)),0)</f>
        <v>0</v>
      </c>
      <c r="CJ638" s="231">
        <f>IF(CJ$3=$K638,IF($C638="W",1,IF($C638="1/2W",0.5,0)),0)</f>
        <v>0</v>
      </c>
      <c r="CK638" s="231">
        <f>IF(CJ$3=$K638,IF($C638="L",1,IF($C638="1/2L",0.5,0)),0)</f>
        <v>0</v>
      </c>
      <c r="CL638" s="231">
        <f>IF(CL$3=$K638,IF($C638="W",1,IF($C638="1/2W",0.5,0)),0)</f>
        <v>0</v>
      </c>
      <c r="CM638" s="231">
        <f>IF(CL$3=$K638,IF($C638="L",1,IF($C638="1/2L",0.5,0)),0)</f>
        <v>0</v>
      </c>
      <c r="CN638" s="231">
        <f>IF(CN$3=$K638,IF($C638="W",1,IF($C638="1/2W",0.5,0)),0)</f>
        <v>0</v>
      </c>
      <c r="CO638" s="231">
        <f>IF(CN$3=$K638,IF($C638="L",1,IF($C638="1/2L",0.5,0)),0)</f>
        <v>0</v>
      </c>
      <c r="CP638" s="231">
        <f>IF(CP$3=$K638,IF($C638="W",1,IF($C638="1/2W",0.5,0)),0)</f>
        <v>0</v>
      </c>
      <c r="CQ638" s="231">
        <f>IF(CP$3=$K638,IF($C638="L",1,IF($C638="1/2L",0.5,0)),0)</f>
        <v>0</v>
      </c>
      <c r="CR638" s="231">
        <f>IF(CR$3=$K638,IF($C638="W",1,IF($C638="1/2W",0.5,0)),0)</f>
        <v>0</v>
      </c>
      <c r="CS638" s="231">
        <f>IF(CR$3=$K638,IF($C638="L",1,IF($C638="1/2L",0.5,0)),0)</f>
        <v>0</v>
      </c>
      <c r="CT638" s="208">
        <f>IF(CT$3=$K638,IF($C638="W",1,IF($C638="1/2W",0.5,0)),0)</f>
        <v>0</v>
      </c>
      <c r="CU638" s="209">
        <f>IF(CT$3=$K638,IF($C638="L",1,IF($C638="1/2L",0.5,0)),0)</f>
        <v>0</v>
      </c>
      <c r="CV638" s="209">
        <f>IF(CV$3=$K638,IF($C638="W",1,IF($C638="1/2W",0.5,0)),0)</f>
        <v>0</v>
      </c>
      <c r="CW638" s="209">
        <f>IF(CV$3=$K638,IF($C638="L",1,IF($C638="1/2L",0.5,0)),0)</f>
        <v>0</v>
      </c>
      <c r="CX638" s="209">
        <f>IF(CX$3=$K638,IF($C638="W",1,IF($C638="1/2W",0.5,0)),0)</f>
        <v>0</v>
      </c>
      <c r="CY638" s="209">
        <f>IF(CX$3=$K638,IF($C638="L",1,IF($C638="1/2L",0.5,0)),0)</f>
        <v>0</v>
      </c>
      <c r="CZ638" s="209">
        <f>IF(CZ$3=$K638,IF($C638="W",1,IF($C638="1/2W",0.5,0)),0)</f>
        <v>0</v>
      </c>
      <c r="DA638" s="209">
        <f>IF(CZ$3=$K638,IF($C638="L",1,IF($C638="1/2L",0.5,0)),0)</f>
        <v>0</v>
      </c>
      <c r="DB638" s="209">
        <f>IF(DB$3=$K638,IF($C638="W",1,IF($C638="1/2W",0.5,0)),0)</f>
        <v>0</v>
      </c>
      <c r="DC638" s="209">
        <f>IF(DB$3=$K638,IF($C638="L",1,IF($C638="1/2L",0.5,0)),0)</f>
        <v>0</v>
      </c>
      <c r="DD638" s="209">
        <f>IF(DD$3=$K638,IF($C638="W",1,IF($C638="1/2W",0.5,0)),0)</f>
        <v>0</v>
      </c>
      <c r="DE638" s="210">
        <f>IF(DD$3=$K638,IF($C638="L",1,IF($C638="1/2L",0.5,0)),0)</f>
        <v>0</v>
      </c>
      <c r="DF638" s="211">
        <f>IF(AND(L638&lt;DF$3,$C638="W"),1+DF637,DF637)</f>
        <v>17</v>
      </c>
      <c r="DG638" s="198">
        <f>IF(DF638&gt;DF637,L638+DG637,DG637)</f>
        <v>22.628</v>
      </c>
      <c r="DH638" s="209">
        <f>IF(AND(L638&gt;DH$3,$C638="W"),1+DH637,0+DH637)</f>
        <v>16</v>
      </c>
      <c r="DI638" s="198">
        <f>IF(DH638&gt;DH637,L638+DI637,DI637)</f>
        <v>85.45999999999999</v>
      </c>
      <c r="DJ638" t="s" s="306">
        <f>IF($D637="","",$D637)</f>
        <v>431</v>
      </c>
      <c r="DK638" s="232"/>
    </row>
    <row r="639" ht="14.55" customHeight="1">
      <c r="A639" s="149"/>
      <c r="B639" s="150"/>
      <c r="C639" t="s" s="233">
        <v>58</v>
      </c>
      <c r="D639" s="152"/>
      <c r="E639" s="153"/>
      <c r="F639" s="155"/>
      <c r="G639" s="234"/>
      <c r="H639" s="156"/>
      <c r="I639" s="235"/>
      <c r="J639" s="236"/>
      <c r="K639" s="237"/>
      <c r="L639" s="238"/>
      <c r="M639" s="239"/>
      <c r="N639" s="161"/>
      <c r="O639" t="s" s="240">
        <f>IF(OR(AE637="",AE638=""),"",IF(L639&gt;0,ROUND(IF(M639&gt;0,M639,IF(M637&gt;0,ROUND((M637*AE639)/AE637,IF(N637=0,2,IF(N637=0.1,1,0))),IF(M638&gt;0,ROUND((M638*AE639)/AE638,IF(N637=0,2,IF(N637=0.1,1,0))),IF(M639&gt;0,M639,0)))),2),""))</f>
      </c>
      <c r="P639" t="s" s="241">
        <f>IF(I638="Lay",O638*(L638/(L638-1))-O638,IF(I637="Lay",O637*(L637/(L637-1))-O637,IF(OR(L639="",O639=""),"",IF($C639="1/2W",O639/2+O639/2*L639,IF($C639="1/2L",O639/2,(O639*L639-O639)*(1-_xlfn.XLOOKUP(K639,'Janeiro 2023 - Valor Real'!A3:A15,'Janeiro 2023 - Valor Real'!C3:C15,0))+O639)))))</f>
      </c>
      <c r="Q639" t="s" s="242">
        <f>IF(K639="","",IF(_xlfn.XLOOKUP(K639,K$124:K412,DJ$124:DJ412,0,,-1)=DJ639,_xlfn.XLOOKUP(K639,K$124:K412,Q$124:Q412,1,,-1)+1,1))</f>
      </c>
      <c r="R639" t="s" s="243">
        <f>IF(K639="","",_xlfn.XLOOKUP(K639,K$124:K412,R$124:R412,0,,-1)+IF($C639=" ",1,0))</f>
      </c>
      <c r="S639" s="166"/>
      <c r="T639" s="155"/>
      <c r="U639" s="155"/>
      <c r="V639" s="166"/>
      <c r="W639" s="155"/>
      <c r="X639" s="167"/>
      <c r="Y639" s="128"/>
      <c r="Z639" s="129"/>
      <c r="AA639" s="129"/>
      <c r="AB639" s="129"/>
      <c r="AC639" s="129"/>
      <c r="AD639" s="244">
        <f>((L638/(L638-1)-1))</f>
        <v>1</v>
      </c>
      <c r="AE639" t="s" s="245">
        <f>IF(L639="","",(SUM(((L637-1)*(1-_xlfn.XLOOKUP(K637,'Janeiro 2023 - Valor Real'!A3:A15,'Janeiro 2023 - Valor Real'!C3:C15,0))+1),((L638-1)*(1-_xlfn.XLOOKUP(K638,'Janeiro 2023 - Valor Real'!A3:A15,'Janeiro 2023 - Valor Real'!C3:C15,0))+1),((L639-1)*(1-_xlfn.XLOOKUP(K639,'Janeiro 2023 - Valor Real'!A3:A15,'Janeiro 2023 - Valor Real'!C3:C15,0))+1))/((L639-1)*(1-_xlfn.XLOOKUP(K639,'Janeiro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Real'!C3:C15,0))+1))/((L637-1)*(1-_xlfn.XLOOKUP(K637,'Janeiro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Real'!C3:C15,0))+1))/((L638-1)*(1-_xlfn.XLOOKUP(K638,'Janeiro 2023 - Valor Real'!A3:A15,'Janeiro 2023 - Valor Real'!C3:C15,0))+1)+SUM(((L637-1)*(1-_xlfn.XLOOKUP(K637,'Janeiro 2023 - Valor Real'!A3:A15,'Janeiro 2023 - Valor Real'!C3:C15,0))+1),((L638-1)*(1-_xlfn.XLOOKUP(K638,'Janeiro 2023 - Valor Real'!A3:A15,'Janeiro 2023 - Valor Real'!C3:C15,0))+1),((L639-1)*(1-_xlfn.XLOOKUP(K639,'Janeiro 2023 - Valor Real'!A3:A15,'Janeiro 2023 - Valor Real'!C3:C15,0))+1))/((L639-1)*(1-_xlfn.XLOOKUP(K639,'Janeiro 2023 - Valor Real'!A3:A15,'Janeiro 2023 - Valor Real'!C3:C15,0))+1)))</f>
      </c>
      <c r="AF639" s="197">
        <f>IF($K639=AF$3,ROUND(IF(OR($C639="W",$C639="1/2W",$C639="1/2L"),$P639-$O639,IF($C639="X",0,-$O639)),2),0)</f>
        <v>0</v>
      </c>
      <c r="AG639" s="198">
        <f>IF($K639=AG$3,ROUND(IF(OR($C639="W",$C639="1/2W",$C639="1/2L"),$P639-$O639,IF($C639="X",0,-$O639)),2),0)</f>
        <v>0</v>
      </c>
      <c r="AH639" s="198">
        <f>IF($K639=AH$3,ROUND(IF(OR($C639="W",$C639="1/2W",$C639="1/2L"),$P639-$O639,IF($C639="X",0,-$O639)),2),0)</f>
        <v>0</v>
      </c>
      <c r="AI639" s="198">
        <f>IF($K639=AI$3,ROUND(IF(OR($C639="W",$C639="1/2W",$C639="1/2L"),$P639-$O639,IF($C639="X",0,-$O639)),2),0)</f>
        <v>0</v>
      </c>
      <c r="AJ639" s="198">
        <f>IF($K639=AJ$3,ROUND(IF(OR($C639="W",$C639="1/2W",$C639="1/2L"),$P639-$O639,IF($C639="X",0,-$O639)),2),0)</f>
        <v>0</v>
      </c>
      <c r="AK639" s="198">
        <f>IF($K639=AK$3,ROUND(IF(OR($C639="W",$C639="1/2W",$C639="1/2L"),$P639-$O639,IF($C639="X",0,-$O639)),2),0)</f>
        <v>0</v>
      </c>
      <c r="AL639" s="198">
        <f>IF($K639=AL$3,ROUND(IF(OR($C639="W",$C639="1/2W",$C639="1/2L"),$P639-$O639,IF($C639="X",0,-$O639)),2),0)</f>
        <v>0</v>
      </c>
      <c r="AM639" s="198">
        <f>IF($K639=AM$3,ROUND(IF(OR($C639="W",$C639="1/2W",$C639="1/2L"),$P639-$O639,IF($C639="X",0,-$O639)),2),0)</f>
        <v>0</v>
      </c>
      <c r="AN639" s="198">
        <f>IF($K639=AN$3,ROUND(IF(OR($C639="W",$C639="1/2W",$C639="1/2L"),$P639-$O639,IF($C639="X",0,-$O639)),2),0)</f>
        <v>0</v>
      </c>
      <c r="AO639" s="198">
        <f>IF($K639=AO$3,ROUND(IF(OR($C639="W",$C639="1/2W",$C639="1/2L"),$P639-$O639,IF($C639="X",0,-$O639)),2),0)</f>
        <v>0</v>
      </c>
      <c r="AP639" s="198">
        <f>IF($K639=AP$3,ROUND(IF(OR($C639="W",$C639="1/2W",$C639="1/2L"),$P639-$O639,IF($C639="X",0,-$O639)),2),0)</f>
        <v>0</v>
      </c>
      <c r="AQ639" s="198">
        <f>IF($K639=AQ$3,ROUND(IF(OR($C639="W",$C639="1/2W",$C639="1/2L"),$P639-$O639,IF($C639="X",0,-$O639)),2),0)</f>
        <v>0</v>
      </c>
      <c r="AR639" s="199">
        <f>IF($K639=AR$3,ROUND(IF(OR($C639="W",$C639="1/2W",$C639="1/2L"),$P639-$O639,IF($C639="X",0,-$O639)),2),0)</f>
        <v>0</v>
      </c>
      <c r="AS639" s="197">
        <f>IF(AND($B637=" ",$K639=AS$3),$O639,0)</f>
        <v>0</v>
      </c>
      <c r="AT639" s="198">
        <f>IF(AND($B637=" ",K639=AT$3),$O639,0)</f>
        <v>0</v>
      </c>
      <c r="AU639" s="198">
        <f>IF(AND($B637=" ",$K639=AU$3),$O639,0)</f>
        <v>0</v>
      </c>
      <c r="AV639" s="198">
        <f>IF(AND($B637=" ",$K639=AV$3),$O639,0)</f>
        <v>0</v>
      </c>
      <c r="AW639" s="198">
        <f>IF(AND($B637=" ",$K639=AW$3),$O639,0)</f>
        <v>0</v>
      </c>
      <c r="AX639" s="198">
        <f>IF(AND($B637=" ",$K639=AX$3),$O639,0)</f>
        <v>0</v>
      </c>
      <c r="AY639" s="200">
        <f>IF(AND($B637=" ",$K639=AY$3),$O639,0)</f>
        <v>0</v>
      </c>
      <c r="AZ639" s="201">
        <f>IF(AND($B637=" ",$K639=AZ$3),$O639,0)</f>
        <v>0</v>
      </c>
      <c r="BA639" s="201">
        <f>IF(AND($B637=" ",$K639=BA$3),$O639,0)</f>
        <v>0</v>
      </c>
      <c r="BB639" s="201">
        <f>IF(AND($B637=" ",$K639=BB$3),$O639,0)</f>
        <v>0</v>
      </c>
      <c r="BC639" s="202">
        <f>IF(AND($B637=" ",$K639=BC$3),$O639,0)</f>
        <v>0</v>
      </c>
      <c r="BD639" s="198">
        <f>IF(AND($B637=" ",$K639=BD$3),$O639,0)</f>
        <v>0</v>
      </c>
      <c r="BE639" s="199">
        <f>IF(AND($B637=" ",$K639=BE$3),$O639,0)</f>
        <v>0</v>
      </c>
      <c r="BF639" s="197">
        <f>IF($K639=BF$3,IF($C639="X",0,$O639),0)</f>
        <v>0</v>
      </c>
      <c r="BG639" s="198">
        <f>IF($K639=BG$3,IF($C639="X",0,$O639),0)</f>
        <v>0</v>
      </c>
      <c r="BH639" s="198">
        <f>IF($K639=BH$3,IF($C639="X",0,$O639),0)</f>
        <v>0</v>
      </c>
      <c r="BI639" s="198">
        <f>IF($K639=BI$3,IF($C639="X",0,$O639),0)</f>
        <v>0</v>
      </c>
      <c r="BJ639" s="198">
        <f>IF($K639=BJ$3,IF($C639="X",0,$O639),0)</f>
        <v>0</v>
      </c>
      <c r="BK639" s="198">
        <f>IF($K639=BK$3,IF($C639="X",0,$O639),0)</f>
        <v>0</v>
      </c>
      <c r="BL639" s="198">
        <f>IF($K639=BL$3,IF($C639="X",0,$O639),0)</f>
        <v>0</v>
      </c>
      <c r="BM639" s="200">
        <f>IF($K639=BM$3,IF($C639="X",0,$O639),0)</f>
        <v>0</v>
      </c>
      <c r="BN639" s="201">
        <f>IF($K639=BN$3,IF($C639="X",0,$O639),0)</f>
        <v>0</v>
      </c>
      <c r="BO639" s="201">
        <f>IF($K639=BO$3,IF($C639="X",0,$O639),0)</f>
        <v>0</v>
      </c>
      <c r="BP639" s="201">
        <f>IF($K639=BP$3,IF($C639="X",0,$O639),0)</f>
        <v>0</v>
      </c>
      <c r="BQ639" s="202">
        <f>IF($K639=BQ$3,IF($C639="X",0,$O639),0)</f>
        <v>0</v>
      </c>
      <c r="BR639" s="199">
        <f>IF($K639=BR$3,IF($C639="X",0,$O639),0)</f>
        <v>0</v>
      </c>
      <c r="BS639" s="228"/>
      <c r="BT639" s="229"/>
      <c r="BU639" s="140"/>
      <c r="BV639" s="229"/>
      <c r="BW639" s="140"/>
      <c r="BX639" s="140"/>
      <c r="BY639" s="140"/>
      <c r="BZ639" s="229"/>
      <c r="CA639" s="140"/>
      <c r="CB639" s="140"/>
      <c r="CC639" s="140"/>
      <c r="CD639" s="141"/>
      <c r="CE639" s="142"/>
      <c r="CF639" s="230">
        <f>IF(CF$3=$K639,IF($C639="W",1,IF($C639="1/2W",0.5,0)),0)</f>
        <v>0</v>
      </c>
      <c r="CG639" s="231">
        <f>IF(CF$3=$K639,IF($C639="L",1,IF($C639="1/2L",0.5,0)),0)</f>
        <v>0</v>
      </c>
      <c r="CH639" s="231">
        <f>IF(CH$3=$K639,IF($C639="W",1,IF($C639="1/2W",0.5,0)),0)</f>
        <v>0</v>
      </c>
      <c r="CI639" s="231">
        <f>IF(CH$3=$K639,IF($C639="L",1,IF($C639="1/2L",0.5,0)),0)</f>
        <v>0</v>
      </c>
      <c r="CJ639" s="231">
        <f>IF(CJ$3=$K639,IF($C639="W",1,IF($C639="1/2W",0.5,0)),0)</f>
        <v>0</v>
      </c>
      <c r="CK639" s="231">
        <f>IF(CJ$3=$K639,IF($C639="L",1,IF($C639="1/2L",0.5,0)),0)</f>
        <v>0</v>
      </c>
      <c r="CL639" s="231">
        <f>IF(CL$3=$K639,IF($C639="W",1,IF($C639="1/2W",0.5,0)),0)</f>
        <v>0</v>
      </c>
      <c r="CM639" s="231">
        <f>IF(CL$3=$K639,IF($C639="L",1,IF($C639="1/2L",0.5,0)),0)</f>
        <v>0</v>
      </c>
      <c r="CN639" s="231">
        <f>IF(CN$3=$K639,IF($C639="W",1,IF($C639="1/2W",0.5,0)),0)</f>
        <v>0</v>
      </c>
      <c r="CO639" s="231">
        <f>IF(CN$3=$K639,IF($C639="L",1,IF($C639="1/2L",0.5,0)),0)</f>
        <v>0</v>
      </c>
      <c r="CP639" s="231">
        <f>IF(CP$3=$K639,IF($C639="W",1,IF($C639="1/2W",0.5,0)),0)</f>
        <v>0</v>
      </c>
      <c r="CQ639" s="231">
        <f>IF(CP$3=$K639,IF($C639="L",1,IF($C639="1/2L",0.5,0)),0)</f>
        <v>0</v>
      </c>
      <c r="CR639" s="231">
        <f>IF(CR$3=$K639,IF($C639="W",1,IF($C639="1/2W",0.5,0)),0)</f>
        <v>0</v>
      </c>
      <c r="CS639" s="231">
        <f>IF(CR$3=$K639,IF($C639="L",1,IF($C639="1/2L",0.5,0)),0)</f>
        <v>0</v>
      </c>
      <c r="CT639" s="208">
        <f>IF(CT$3=$K639,IF($C639="W",1,IF($C639="1/2W",0.5,0)),0)</f>
        <v>0</v>
      </c>
      <c r="CU639" s="209">
        <f>IF(CT$3=$K639,IF($C639="L",1,IF($C639="1/2L",0.5,0)),0)</f>
        <v>0</v>
      </c>
      <c r="CV639" s="209">
        <f>IF(CV$3=$K639,IF($C639="W",1,IF($C639="1/2W",0.5,0)),0)</f>
        <v>0</v>
      </c>
      <c r="CW639" s="209">
        <f>IF(CV$3=$K639,IF($C639="L",1,IF($C639="1/2L",0.5,0)),0)</f>
        <v>0</v>
      </c>
      <c r="CX639" s="209">
        <f>IF(CX$3=$K639,IF($C639="W",1,IF($C639="1/2W",0.5,0)),0)</f>
        <v>0</v>
      </c>
      <c r="CY639" s="209">
        <f>IF(CX$3=$K639,IF($C639="L",1,IF($C639="1/2L",0.5,0)),0)</f>
        <v>0</v>
      </c>
      <c r="CZ639" s="209">
        <f>IF(CZ$3=$K639,IF($C639="W",1,IF($C639="1/2W",0.5,0)),0)</f>
        <v>0</v>
      </c>
      <c r="DA639" s="209">
        <f>IF(CZ$3=$K639,IF($C639="L",1,IF($C639="1/2L",0.5,0)),0)</f>
        <v>0</v>
      </c>
      <c r="DB639" s="209">
        <f>IF(DB$3=$K639,IF($C639="W",1,IF($C639="1/2W",0.5,0)),0)</f>
        <v>0</v>
      </c>
      <c r="DC639" s="209">
        <f>IF(DB$3=$K639,IF($C639="L",1,IF($C639="1/2L",0.5,0)),0)</f>
        <v>0</v>
      </c>
      <c r="DD639" s="209">
        <f>IF(DD$3=$K639,IF($C639="W",1,IF($C639="1/2W",0.5,0)),0)</f>
        <v>0</v>
      </c>
      <c r="DE639" s="210">
        <f>IF(DD$3=$K639,IF($C639="L",1,IF($C639="1/2L",0.5,0)),0)</f>
        <v>0</v>
      </c>
      <c r="DF639" s="211">
        <f>IF(AND(L639&lt;DF$3,$C639="W"),1+DF638,DF638)</f>
        <v>17</v>
      </c>
      <c r="DG639" s="198">
        <f>IF(DF639&gt;DF638,L639+DG638,DG638)</f>
        <v>22.628</v>
      </c>
      <c r="DH639" s="209">
        <f>IF(AND(L639&gt;DH$3,$C639="W"),1+DH638,0+DH638)</f>
        <v>16</v>
      </c>
      <c r="DI639" s="198">
        <f>IF(DH639&gt;DH638,L639+DI638,DI638)</f>
        <v>85.45999999999999</v>
      </c>
      <c r="DJ639" t="s" s="306">
        <f>IF($D637="","",$D637)</f>
        <v>431</v>
      </c>
      <c r="DK639" s="232"/>
    </row>
    <row r="640" ht="14.55" customHeight="1">
      <c r="A640" s="246">
        <f>$A637+1</f>
        <v>213</v>
      </c>
      <c r="B640" t="s" s="247">
        <f>IF(AND(_xlfn.XLOOKUP(H640,H$107:H419,G$107:G419,0)=G640,_xlfn.XLOOKUP("TempoBet",K640:K642,L640:L642,0)&gt;0),"X",IF(OR(C640="W",C641="W",C642="W",C640="1/2W",C641="1/2W",C642="1/2W",C640="1/2L",C641="1/2L",C642="1/2L"),"OK",IF(OR(C640="L",C641="L",C642="L"),"LOSS",IF(OR(C640="X",C641="X",C642="X"),"Anulado"," "))))</f>
        <v>50</v>
      </c>
      <c r="C640" t="s" s="248">
        <v>51</v>
      </c>
      <c r="D640" t="s" s="303">
        <v>462</v>
      </c>
      <c r="E640" t="s" s="250">
        <v>52</v>
      </c>
      <c r="F640" t="s" s="251">
        <f>IF(G640="","",IF(OR(AND($C640&lt;&gt;" ",$C641=" "),AND($C641&lt;&gt;" ",$C640=" "),AND(L642&gt;0,OR(AND($C642&lt;&gt;" ",OR($C640=" ",$C641=" ")),AND($C642=" ",OR($C640&lt;&gt;" ",$C641&lt;&gt;" "))))),IF(SUM(F$4:F639)=0,1,LARGE(F$4:F639,1)+1),IF(MONTH(G640)=MONTH(TODAY()),IF(AND(DAY(G640)&lt;DAY(TODAY()),$B640=" "),IF(SUM(F$4:F639)=0,1,LARGE(F$4:F639,1)+1),IF($B640=" ",IF(AND(DAY(G640)=DAY(TODAY()),HOUR(G640)&lt;=HOUR(NOW())+1),IF(AND(HOUR(G640)+2&lt;=HOUR(NOW()),DAY(G640)&lt;=DAY(TODAY()),MINUTE(G640)&lt;=MINUTE(NOW())),IF(SUM(F$4:F639)=0,1,LARGE(F$4:F639,1)+1),IF(OR(MINUTE(G640)&lt;=MINUTE(NOW()),HOUR(G640)&lt;=HOUR(NOW())),"!!!","")),""),"")),"")))</f>
      </c>
      <c r="G640" s="252">
        <v>44955.34375</v>
      </c>
      <c r="H640" t="s" s="253">
        <v>463</v>
      </c>
      <c r="I640" t="s" s="254">
        <v>65</v>
      </c>
      <c r="J640" s="255">
        <v>10.5</v>
      </c>
      <c r="K640" t="s" s="256">
        <v>38</v>
      </c>
      <c r="L640" s="257">
        <v>2.2</v>
      </c>
      <c r="M640" s="258">
        <v>36.18</v>
      </c>
      <c r="N640" s="259">
        <v>0</v>
      </c>
      <c r="O640" s="260">
        <f>IF(OR(AE640="",AE641=""),"",ROUND(IF(L642&gt;0,IF(M640&gt;0,M640,IF(M641&gt;0,ROUND((M641*AE640)/AE641,IF(N640=0,2,IF(N640=0.1,1,0))),ROUND((M642*AE640)/AE642,IF(N640=0,2,IF(N640=0.1,1,0))))),IF(M640&gt;0,M640,ROUND((M641*AE640)/AE641,IF(N640=0,2,IF(N640=0.1,1,0))))),2))</f>
        <v>36.18</v>
      </c>
      <c r="P640" s="261">
        <f>IF(OR(L640="",O640=""),"",IF($C640="1/2W",O640/2+O640/2*L640,IF($C640="1/2L",O640/2,IF(I640="Lay",(O640*(L640/(L640-1))-O640)*(1-_xlfn.XLOOKUP(K640,'Janeiro 2023 - Valor Real'!A3:A15,'Janeiro 2023 - Valor Real'!C3:C15,0))+O640,(O640*L640-O640)*(1-_xlfn.XLOOKUP(K640,'Janeiro 2023 - Valor Real'!A3:A15,'Janeiro 2023 - Valor Real'!C3:C15,0))+O640))))</f>
        <v>79.596</v>
      </c>
      <c r="Q640" s="262">
        <f>IF(K640="","",IF(_xlfn.XLOOKUP(K640,K$107:K419,DJ$107:DJ419,0,,-1)=DJ640,_xlfn.XLOOKUP(K640,K$107:K419,Q$107:Q419,1,,-1)+1,1))</f>
        <v>1</v>
      </c>
      <c r="R640" s="263">
        <f>IF(K640="","",_xlfn.XLOOKUP(K640,K$107:K419,R$107:R419,0,,-1)+IF($C640=" ",1,0))</f>
        <v>0</v>
      </c>
      <c r="S640" s="264">
        <f>IF($B640="Anulado",0,ROUND(IF(OR($B640="LOSS",$B640="OK"),IF(OR($C640="W",$C640="1/2W",$C640="1/2L"),P640-O640,IF($C640="L",-O640,0))+IF(OR($C641="W",$C641="1/2W",$C641="1/2L"),P641-O641,IF($C641="L",-O641,0))+IF(OR($C642="W",$C642="1/2W",$C642="1/2L"),P642-O642,IF($C642="L",-O642,0)),IF(AND(OR($C640="W",$C640="1/2W",$C640="1/2L"),C641="W"),P640+P641-SUM(O640:O642)+_xlfn.XLOOKUP("X",C640:C642,O640:O642,0),IF(AND(C640=TRUE,C642="W"),P640+P642-SUM(O640:O642),IF(AND(C641="W",C642="W"),P641+P642-SUM(O640:O642)+_xlfn.XLOOKUP("X",C640:C642,O640:O642,0),IF(L642&gt;0,IF(OR($C640="W",$C640="1/2W",$C640="1/2L"),P640-SUM(O640:O642)+_xlfn.XLOOKUP("X",C640:C642,O640:O642,0),IF(OR($C640="W",$C640="1/2W",$C640="1/2L"),P641-SUM(O640:O642)+_xlfn.XLOOKUP("X",C640:C642,O640:O642,0),IF(OR($C640="W",$C640="1/2W",$C640="1/2L"),P642-SUM(O640:O642)+_xlfn.XLOOKUP("X",C640:C642,O640:O642,0),IF(SUM(P640:P642)/3-SUM(O640:O642)+_xlfn.XLOOKUP("X",C640:C642,O640:O642,0)&gt;0,SUM(P640:P642)/3-SUM(O640:O642)+_xlfn.XLOOKUP("X",C640:C642,O640:O642,0),LARGE(P640:P642,1)-SUM(O640:O642))))),IF(OR($C640="W",$C640="1/2W",$C640="1/2L"),P640-SUM(O640:O641)+_xlfn.XLOOKUP("X",C640:C642,O640:O642,0),IF(OR($C640="W",$C640="1/2W",$C640="1/2L"),P641-SUM(O640:O641)+_xlfn.XLOOKUP("X",C640:C642,O640:O642,0),SUM(P640:P641)/2-SUM(O640:O641)+_xlfn.XLOOKUP("X",C640:C642,O640:O642,0)))))))),2))</f>
        <v>3.22</v>
      </c>
      <c r="T640" s="265">
        <f>IF(S640=0,0,S640/SUM(O640:O642))</f>
        <v>0.0421576328881906</v>
      </c>
      <c r="U640" s="266">
        <f>IF($D640=$D637,IF(OR($B640="LOSS",$B640="OK",$B640="Anulada"),S640,0)+U637,IF(OR($B640="LOSS",$B640="OK",$B640="Anulada"),S640,0))</f>
        <v>3.22</v>
      </c>
      <c r="V640" s="266">
        <f>IF($D640="",0,IF($D640=$D637,IF($B640=" ",IF(I642="",IF(OR(AND(I640="DNB1",I641="DNB2"),AND(OR(I640="DNB1",I640="DNB2"),J641=0),AND(OR(I641="DNB1",I641="DNB2"),J640=0),AND(I640="DNB2",I641="DNB1"),AND(IF(J640=0,(J640+1)/ROUND(J640+1,0),J640/ROUND(J640,0))=1,IF(J641=0,(J641+1)/ROUND(IF(J641="",0,J641)+1,0),IF(J641="",0,J641)/ROUND(IF(J641="",1,J641),0))=1,OR(J640&lt;&gt;""),J641&lt;&gt;"")),0,IF(S640&lt;0,IF(I642="",SMALL(P640:P641,1)-SUM(O640:O641),0),SMALL(P640:P641,1)-SUM(O640:O641))),IF(S640&lt;0,IF(I642="",SMALL(P640:P642,1)-SUM(O640:O642),0),LARGE(P640:P642,1)-SUM(O640:O642))),S640)+V637,IF(I642="",IF(OR(AND(I640="DNB1",I641="DNB2"),AND(OR(I640="DNB1",I640="DNB2"),J641=0),AND(OR(I641="DNB1",I641="DNB2"),J640=0),AND(I640="DNB2",I641="DNB1"),AND(IF(J640=0,(J640+1)/ROUND(J640+1,0),J640/ROUND(J640,0))=1,IF(J641=0,(IF(J641="",0,J641)+1)/ROUND(IF(J641="",0,J641)+1,0),IF(J641="",0,J641)/ROUND(IF(J641="",0,J641)+1,0))=1,OR(J640&lt;&gt;""),J641&lt;&gt;"")),0,IF(S640&lt;0,IF(I642="",SMALL(P640:P641,1)-SUM(O640:O641),0),SMALL(P640:P642,1)-SUM(O640:O642))),IF(S640&lt;0,IF(I642="",SMALL(P640:P642,1)-SUM(O640:O642),0),LARGE(P640:P642,1)-SUM(O640:O642)))))</f>
        <v>3.216</v>
      </c>
      <c r="W640" s="266">
        <f>IF($D640=$D637,IF(S640&lt;0,IF(I642="",S640,0),S640)+W637,S640)</f>
        <v>3.22</v>
      </c>
      <c r="X640" t="s" s="267">
        <f>IF(OR(SUM(R640:R642)=0,V640=W640),ROUND(IF(W640=0,0,W640/Y640)*100,2)&amp;"%",ROUND(IF(V640=0,0,V640/Y640)*100,2)&amp;"% a "&amp;ROUND(IF(W640=0,0,W640/Y640)*100,2)&amp;"%")</f>
        <v>464</v>
      </c>
      <c r="Y640" s="268">
        <f>IF($D640=$D637,Y637+SUM(O640:O642),SUM(O640:O642))</f>
        <v>76.38</v>
      </c>
      <c r="Z640" s="266">
        <f>IF($B640=" ",SUM(O640:O642),0)+Z637</f>
        <v>0</v>
      </c>
      <c r="AA640" s="266">
        <f>IF(G640="","",IF($B640="Anulado",LARGE(P640:P642,1)-SUM(O640:O642)+AA637,AA637))</f>
        <v>26.8740076923077</v>
      </c>
      <c r="AB640" s="266">
        <f>IF($D640="","",AB637+S640)</f>
        <v>457.81</v>
      </c>
      <c r="AC640" s="269">
        <f>IF($D640="","",IF($B640=" ",IF(DAY(G640)=DAY(TODAY()),1+AC637,0+AC637),0+AC637))</f>
        <v>0</v>
      </c>
      <c r="AD640" s="270">
        <f>(1-_xlfn.XLOOKUP(K638,'Janeiro 2023 - Valor Real'!A3:A15,'Janeiro 2023 - Valor Real'!C3:C15,0))+1</f>
        <v>2</v>
      </c>
      <c r="AE640" s="271">
        <f>IF(L640="","",IF(L642&gt;0,(SUM(((L640-1)*(1-_xlfn.XLOOKUP(K640,'Janeiro 2023 - Valor Real'!A3:A15,'Janeiro 2023 - Valor Real'!C3:C15,0))+1),((L641-1)*(1-_xlfn.XLOOKUP(K641,'Janeiro 2023 - Valor Real'!A3:A15,'Janeiro 2023 - Valor Real'!C3:C15,0))+1),((L642-1)*(1-_xlfn.XLOOKUP(K642,'Janeiro 2023 - Valor Real'!A3:A15,'Janeiro 2023 - Valor Real'!C3:C15,0))+1))/((L640-1)*(1-_xlfn.XLOOKUP(K640,'Janeiro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Real'!C3:C15,0))+1))/((L640-1)*(1-_xlfn.XLOOKUP(K640,'Janeiro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Real'!C3:C15,0))+1))/((L641-1)*(1-_xlfn.XLOOKUP(K641,'Janeiro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Real'!C3:C15,0))+1))/((L642-1)*(1-_xlfn.XLOOKUP(K642,'Janeiro 2023 - Valor Real'!A3:A15,'Janeiro 2023 - Valor Real'!C3:C15,0))+1)),IF(I640="Lay",IF(I641="Lay",((L641/(L641-1)-1)*(1-_xlfn.XLOOKUP(K641,'Janeiro 2023 - Valor Real'!A3:A15,'Janeiro 2023 - Valor Real'!C3:C15,0))+1)/(((L641/(L641-1)-1)*(1-_xlfn.XLOOKUP(K641,'Janeiro 2023 - Valor Real'!A3:A15,'Janeiro 2023 - Valor Real'!C3:C15,0))+1)+((L640/(L640-1)-1)*(1-_xlfn.XLOOKUP(K640,'Janeiro 2023 - Valor Real'!A3:A15,'Janeiro 2023 - Valor Real'!C3:C15,0))+1)),((L641-1)*(1-_xlfn.XLOOKUP(K641,'Janeiro 2023 - Valor Real'!A3:A15,'Janeiro 2023 - Valor Real'!C3:C15,0))+1)/(((L641-1)*(1-_xlfn.XLOOKUP(K641,'Janeiro 2023 - Valor Real'!A3:A15,'Janeiro 2023 - Valor Real'!C3:C15,0))+1)+((L640/(L640-1)-1)*(1-_xlfn.XLOOKUP(K640,'Janeiro 2023 - Valor Real'!A3:A15,'Janeiro 2023 - Valor Real'!C3:C15,0))+1))),IF(I641="Lay",(((L641/(L641-1)-1)*(1-_xlfn.XLOOKUP(K641,'Janeiro 2023 - Valor Real'!A3:A15,'Janeiro 2023 - Valor Real'!C3:C15,0))+1))/(((L640-1)*(1-_xlfn.XLOOKUP(K640,'Janeiro 2023 - Valor Real'!A3:A15,'Janeiro 2023 - Valor Real'!C3:C15,0))+1)+((L641/(L641-1)-1)*(1-_xlfn.XLOOKUP(K641,'Janeiro 2023 - Valor Real'!A3:A15,'Janeiro 2023 - Valor Real'!C3:C15,0))+1)),((L641-1)*(1-_xlfn.XLOOKUP(K641,'Janeiro 2023 - Valor Real'!A3:A15,'Janeiro 2023 - Valor Real'!C3:C15,0))+1)/(((L641-1)*(1-_xlfn.XLOOKUP(K641,'Janeiro 2023 - Valor Real'!A3:A15,'Janeiro 2023 - Valor Real'!C3:C15,0))+1)+((L640-1)*(1-_xlfn.XLOOKUP(K640,'Janeiro 2023 - Valor Real'!A3:A15,'Janeiro 2023 - Valor Real'!C3:C15,0))+1))))))</f>
        <v>0.473684210526316</v>
      </c>
      <c r="AF640" s="132">
        <f>IF($K640=AF$3,ROUND(IF(OR($C640="W",$C640="1/2W",$C640="1/2L"),$P640-$O640,IF($C640="X",0,-$O640)),2),0)</f>
        <v>0</v>
      </c>
      <c r="AG640" s="133">
        <f>IF($K640=AG$3,ROUND(IF(OR($C640="W",$C640="1/2W",$C640="1/2L"),$P640-$O640,IF($C640="X",0,-$O640)),2),0)</f>
        <v>-36.18</v>
      </c>
      <c r="AH640" s="133">
        <f>IF($K640=AH$3,ROUND(IF(OR($C640="W",$C640="1/2W",$C640="1/2L"),$P640-$O640,IF($C640="X",0,-$O640)),2),0)</f>
        <v>0</v>
      </c>
      <c r="AI640" s="133">
        <f>IF($K640=AI$3,ROUND(IF(OR($C640="W",$C640="1/2W",$C640="1/2L"),$P640-$O640,IF($C640="X",0,-$O640)),2),0)</f>
        <v>0</v>
      </c>
      <c r="AJ640" s="133">
        <f>IF($K640=AJ$3,ROUND(IF(OR($C640="W",$C640="1/2W",$C640="1/2L"),$P640-$O640,IF($C640="X",0,-$O640)),2),0)</f>
        <v>0</v>
      </c>
      <c r="AK640" s="133">
        <f>IF($K640=AK$3,ROUND(IF(OR($C640="W",$C640="1/2W",$C640="1/2L"),$P640-$O640,IF($C640="X",0,-$O640)),2),0)</f>
        <v>0</v>
      </c>
      <c r="AL640" s="133">
        <f>IF($K640=AL$3,ROUND(IF(OR($C640="W",$C640="1/2W",$C640="1/2L"),$P640-$O640,IF($C640="X",0,-$O640)),2),0)</f>
        <v>0</v>
      </c>
      <c r="AM640" s="133">
        <f>IF($K640=AM$3,ROUND(IF(OR($C640="W",$C640="1/2W",$C640="1/2L"),$P640-$O640,IF($C640="X",0,-$O640)),2),0)</f>
        <v>0</v>
      </c>
      <c r="AN640" s="133">
        <f>IF($K640=AN$3,ROUND(IF(OR($C640="W",$C640="1/2W",$C640="1/2L"),$P640-$O640,IF($C640="X",0,-$O640)),2),0)</f>
        <v>0</v>
      </c>
      <c r="AO640" s="133">
        <f>IF($K640=AO$3,ROUND(IF(OR($C640="W",$C640="1/2W",$C640="1/2L"),$P640-$O640,IF($C640="X",0,-$O640)),2),0)</f>
        <v>0</v>
      </c>
      <c r="AP640" s="133">
        <f>IF($K640=AP$3,ROUND(IF(OR($C640="W",$C640="1/2W",$C640="1/2L"),$P640-$O640,IF($C640="X",0,-$O640)),2),0)</f>
        <v>0</v>
      </c>
      <c r="AQ640" s="133">
        <f>IF($K640=AQ$3,ROUND(IF(OR($C640="W",$C640="1/2W",$C640="1/2L"),$P640-$O640,IF($C640="X",0,-$O640)),2),0)</f>
        <v>0</v>
      </c>
      <c r="AR640" s="134">
        <f>IF($K640=AR$3,ROUND(IF(OR($C640="W",$C640="1/2W",$C640="1/2L"),$P640-$O640,IF($C640="X",0,-$O640)),2),0)</f>
        <v>0</v>
      </c>
      <c r="AS640" s="132">
        <f>IF(AND($B640=" ",$K640=AS$3),$O640,0)</f>
        <v>0</v>
      </c>
      <c r="AT640" s="133">
        <f>IF(AND($B640=" ",$K640=AT$3),$O640,0)</f>
        <v>0</v>
      </c>
      <c r="AU640" s="133">
        <f>IF(AND($B640=" ",$K640=AU$3),$O640,0)</f>
        <v>0</v>
      </c>
      <c r="AV640" s="133">
        <f>IF(AND($B640=" ",$K640=AV$3),$O640,0)</f>
        <v>0</v>
      </c>
      <c r="AW640" s="133">
        <f>IF(AND($B640=" ",$K640=AW$3),$O640,0)</f>
        <v>0</v>
      </c>
      <c r="AX640" s="133">
        <f>IF(AND($B640=" ",$K640=AX$3),$O640,0)</f>
        <v>0</v>
      </c>
      <c r="AY640" s="135">
        <f>IF(AND($B640=" ",$K640=AY$3),$O640,0)</f>
        <v>0</v>
      </c>
      <c r="AZ640" s="136">
        <f>IF(AND($B640=" ",$K640=AZ$3),$O640,0)</f>
        <v>0</v>
      </c>
      <c r="BA640" s="136">
        <f>IF(AND($B640=" ",$K640=BA$3),$O640,0)</f>
        <v>0</v>
      </c>
      <c r="BB640" s="136">
        <f>IF(AND($B640=" ",$K640=BB$3),$O640,0)</f>
        <v>0</v>
      </c>
      <c r="BC640" s="137">
        <f>IF(AND($B640=" ",$K640=BC$3),$O640,0)</f>
        <v>0</v>
      </c>
      <c r="BD640" s="133">
        <f>IF(AND($B640=" ",$K640=BD$3),$O640,0)</f>
        <v>0</v>
      </c>
      <c r="BE640" s="134">
        <f>IF(AND($B640=" ",$K640=BE$3),$O640,0)</f>
        <v>0</v>
      </c>
      <c r="BF640" s="132">
        <f>IF($K640=BF$3,IF($C640="X",0,$O640),0)</f>
        <v>0</v>
      </c>
      <c r="BG640" s="133">
        <f>IF($K640=BG$3,IF($C640="X",0,$O640),0)</f>
        <v>36.18</v>
      </c>
      <c r="BH640" s="133">
        <f>IF($K640=BH$3,IF($C640="X",0,$O640),0)</f>
        <v>0</v>
      </c>
      <c r="BI640" s="133">
        <f>IF($K640=BI$3,IF($C640="X",0,$O640),0)</f>
        <v>0</v>
      </c>
      <c r="BJ640" s="133">
        <f>IF($K640=BJ$3,IF($C640="X",0,$O640),0)</f>
        <v>0</v>
      </c>
      <c r="BK640" s="133">
        <f>IF($K640=BK$3,IF($C640="X",0,$O640),0)</f>
        <v>0</v>
      </c>
      <c r="BL640" s="133">
        <f>IF($K640=BL$3,IF($C640="X",0,$O640),0)</f>
        <v>0</v>
      </c>
      <c r="BM640" s="135">
        <f>IF($K640=BM$3,IF($C640="X",0,$O640),0)</f>
        <v>0</v>
      </c>
      <c r="BN640" s="136">
        <f>IF($K640=BN$3,IF($C640="X",0,$O640),0)</f>
        <v>0</v>
      </c>
      <c r="BO640" s="136">
        <f>IF($K640=BO$3,IF($C640="X",0,$O640),0)</f>
        <v>0</v>
      </c>
      <c r="BP640" s="136">
        <f>IF($K640=BP$3,IF($C640="X",0,$O640),0)</f>
        <v>0</v>
      </c>
      <c r="BQ640" s="137">
        <f>IF($K640=BQ$3,IF($C640="X",0,$O640),0)</f>
        <v>0</v>
      </c>
      <c r="BR640" s="134">
        <f>IF($K640=BR$3,IF($C640="X",0,$O640),0)</f>
        <v>0</v>
      </c>
      <c r="BS640" s="170">
        <f>IF($B640="LOSS",IF(AND($K640=BS$3,$C640="L"),-$O640,0)+IF(AND($K641=BS$3,$C641="L"),-$O641,0)+IF(AND($K642=BS$3,$C642="L"),-$O642,0),IF(OR(AND($K640=BS$3,OR($C640="W",$C640="1/2W")),AND($K641=BS$3,OR($C641="W",$C641="1/2W")),AND($K642=BS$3,OR($C642="W",$C642="1/2W"))),$S640,0))</f>
        <v>0</v>
      </c>
      <c r="BT640" s="272">
        <f>IF($B640="LOSS",IF(AND($K640=BT$3,$C640="L"),-$O640,0)+IF(AND($K641=BT$3,$C641="L"),-$O641,0)+IF(AND($K641=BT$3,$C642="L"),-$O642,0),IF(OR(AND($K641=BT$3,OR($C640="W",$C640="1/2W")),AND($K641=BT$3,OR($C641="W",$C641="1/2W")),AND($K641=BT$3,OR($C642="W",$C642="1/2W"))),$S640,0))</f>
        <v>0</v>
      </c>
      <c r="BU640" s="136">
        <f>IF($B640="LOSS",IF(AND($K640=BU$3,$C640="L"),-$O640,0)+IF(AND($K641=BU$3,$C641="L"),-$O641,0)+IF(AND($K641=BU$3,$C642="L"),-$O642,0),IF(OR(AND($K641=BU$3,OR($C640="W",$C640="1/2W")),AND($K641=BU$3,OR($C641="W",$C641="1/2W")),AND($K641=BU$3,OR($C642="W",$C642="1/2W"))),$S640,0))</f>
        <v>0</v>
      </c>
      <c r="BV640" s="136">
        <f>IF($B640="LOSS",IF(AND($K640=BV$3,$C640="L"),-$O640,0)+IF(AND($K641=BV$3,$C641="L"),-$O641,0)+IF(AND($K642=BV$3,$C642="L"),-$O642,0),IF(OR(AND($K640=BV$3,OR($C640="W",$C640="1/2W")),AND($K641=BV$3,OR($C641="W",$C641="1/2W")),AND($K642=BV$3,OR($C642="W",$C642="1/2W"))),$S640,0))</f>
        <v>0</v>
      </c>
      <c r="BW640" s="136">
        <f>IF($B640="LOSS",IF(AND($K640=BW$3,$C640="L"),-$O640,0)+IF(AND($K641=BW$3,$C641="L"),-$O641,0)+IF(AND($K642=BW$3,$C642="L"),-$O642,0),IF(OR(AND($K640=BW$3,OR($C640="W",$C640="1/2W")),AND($K641=BW$3,OR($C641="W",$C641="1/2W")),AND($K642=BW$3,OR($C642="W",$C642="1/2W"))),$S640,0))</f>
        <v>0</v>
      </c>
      <c r="BX640" s="136">
        <f>IF($B640="LOSS",IF(AND($K640=BX$3,$C640="L"),-$O640,0)+IF(AND($K641=BX$3,$C641="L"),-$O641,0)+IF(AND($K642=BX$3,$C642="L"),-$O642,0),IF(OR(AND($K640=BX$3,OR($C640="W",$C640="1/2W")),AND($K641=BX$3,OR($C641="W",$C641="1/2W")),AND($K642=BX$3,OR($C642="W",$C642="1/2W"))),$S640,0))</f>
        <v>0</v>
      </c>
      <c r="BY640" s="136">
        <f>IF($B640="LOSS",IF(AND($K640=BY$3,$C640="L"),-$O640,0)+IF(AND($K641=BY$3,$C641="L"),-$O641,0)+IF(AND($K642=BY$3,$C642="L"),-$O642,0),IF(OR(AND($K640=BY$3,OR($C640="W",$C640="1/2W")),AND($K641=BY$3,OR($C641="W",$C641="1/2W")),AND($K642=BY$3,OR($C642="W",$C642="1/2W"))),$S640,0))</f>
        <v>0</v>
      </c>
      <c r="BZ640" s="136">
        <f>IF($B640="LOSS",IF(AND($K640=BZ$3,$C640="L"),-$O640,0)+IF(AND($K641=BZ$3,$C641="L"),-$O641,0)+IF(AND($K642=BZ$3,$C642="L"),-$O642,0),IF(OR(AND($K640=BZ$3,OR($C640="W",$C640="1/2W")),AND($K641=BZ$3,OR($C641="W",$C641="1/2W")),AND($K642=BZ$3,OR($C642="W",$C642="1/2W"))),$S640,0))</f>
        <v>3.22</v>
      </c>
      <c r="CA640" s="136">
        <f>IF($B640="LOSS",IF(AND($K640=CA$3,$C640="L"),-$O640,0)+IF(AND($K641=CA$3,$C641="L"),-$O641,0)+IF(AND($K642=CA$3,$C642="L"),-$O642,0),IF(OR(AND($K640=CA$3,OR($C640="W",$C640="1/2W")),AND($K641=CA$3,OR($C641="W",$C641="1/2W")),AND($K642=CA$3,OR($C642="W",$C642="1/2W"))),$S640,0))</f>
        <v>0</v>
      </c>
      <c r="CB640" s="136">
        <f>IF($B640="LOSS",IF(AND($K640=CB$3,$C640="L"),-$O640,0)+IF(AND($K641=CB$3,$C641="L"),-$O641,0)+IF(AND($K642=CB$3,$C642="L"),-$O642,0),IF(OR(AND($K640=CB$3,OR($C640="W",$C640="1/2W")),AND($K641=CB$3,OR($C641="W",$C641="1/2W")),AND($K642=CB$3,OR($C642="W",$C642="1/2W"))),$S640,0))</f>
        <v>0</v>
      </c>
      <c r="CC640" s="136">
        <f>IF($B640="LOSS",IF(AND($K640=CC$3,$C640="L"),-$O640,0)+IF(AND($K641=CC$3,$C641="L"),-$O641,0)+IF(AND($K642=CC$3,$C642="L"),-$O642,0),IF(OR(AND($K640=CC$3,OR($C640="W",$C640="1/2W")),AND($K641=CC$3,OR($C641="W",$C641="1/2W")),AND($K642=CC$3,OR($C642="W",$C642="1/2W"))),$S640,0))</f>
        <v>0</v>
      </c>
      <c r="CD640" s="137">
        <f>IF($B640="LOSS",IF(AND($K640=CD$3,$C640="L"),-$O640,0)+IF(AND($K641=CD$3,$C641="L"),-$O641,0)+IF(AND($K642=CD$3,$C642="L"),-$O642,0),IF(OR(AND($K640=CD$3,OR($C640="W",$C640="1/2W")),AND($K641=CD$3,OR($C641="W",$C641="1/2W")),AND($K642=CD$3,OR($C642="W",$C642="1/2W"))),$S640,0))</f>
        <v>0</v>
      </c>
      <c r="CE640" s="134">
        <f>IF($B640="LOSS",IF(AND($K640=CE$3,$C640="L"),-$O640,0)+IF(AND($K641=CE$3,$C641="L"),-$O641,0)+IF(AND($K642=CE$3,$C642="L"),-$O642,0),IF(OR(AND($K640=CE$3,OR($C640="W",$C640="1/2W")),AND($K641=CE$3,OR($C641="W",$C641="1/2W")),AND($K642=CE$3,OR($C642="W",$C642="1/2W"))),$S640,0))</f>
        <v>0</v>
      </c>
      <c r="CF640" s="273">
        <f>IF(CF$3=$K640,IF($C640="W",1,IF($C640="1/2W",0.5,0)),0)</f>
        <v>0</v>
      </c>
      <c r="CG640" s="274">
        <f>IF(CF$3=$K640,IF($C640="L",1,IF($C640="1/2L",0.5,0)),0)</f>
        <v>0</v>
      </c>
      <c r="CH640" s="274">
        <f>IF(CH$3=$K640,IF($C640="W",1,IF($C640="1/2W",0.5,0)),0)</f>
        <v>0</v>
      </c>
      <c r="CI640" s="274">
        <f>IF(CH$3=$K640,IF($C640="L",1,IF($C640="1/2L",0.5,0)),0)</f>
        <v>1</v>
      </c>
      <c r="CJ640" s="274">
        <f>IF(CJ$3=$K640,IF($C640="W",1,IF($C640="1/2W",0.5,0)),0)</f>
        <v>0</v>
      </c>
      <c r="CK640" s="274">
        <f>IF(CJ$3=$K640,IF($C640="L",1,IF($C640="1/2L",0.5,0)),0)</f>
        <v>0</v>
      </c>
      <c r="CL640" s="274">
        <f>IF(CL$3=$K640,IF($C640="W",1,IF($C640="1/2W",0.5,0)),0)</f>
        <v>0</v>
      </c>
      <c r="CM640" s="274">
        <f>IF(CL$3=$K640,IF($C640="L",1,IF($C640="1/2L",0.5,0)),0)</f>
        <v>0</v>
      </c>
      <c r="CN640" s="274">
        <f>IF(CN$3=$K640,IF($C640="W",1,IF($C640="1/2W",0.5,0)),0)</f>
        <v>0</v>
      </c>
      <c r="CO640" s="274">
        <f>IF(CN$3=$K640,IF($C640="L",1,IF($C640="1/2L",0.5,0)),0)</f>
        <v>0</v>
      </c>
      <c r="CP640" s="274">
        <f>IF(CP$3=$K640,IF($C640="W",1,IF($C640="1/2W",0.5,0)),0)</f>
        <v>0</v>
      </c>
      <c r="CQ640" s="274">
        <f>IF(CP$3=$K640,IF($C640="L",1,IF($C640="1/2L",0.5,0)),0)</f>
        <v>0</v>
      </c>
      <c r="CR640" s="274">
        <f>IF(CR$3=$K640,IF($C640="W",1,IF($C640="1/2W",0.5,0)),0)</f>
        <v>0</v>
      </c>
      <c r="CS640" s="274">
        <f>IF(CR$3=$K640,IF($C640="L",1,IF($C640="1/2L",0.5,0)),0)</f>
        <v>0</v>
      </c>
      <c r="CT640" s="145">
        <f>IF(CT$3=$K640,IF($C640="W",1,IF($C640="1/2W",0.5,0)),0)</f>
        <v>0</v>
      </c>
      <c r="CU640" s="146">
        <f>IF(CT$3=$K640,IF($C640="L",1,IF($C640="1/2L",0.5,0)),0)</f>
        <v>0</v>
      </c>
      <c r="CV640" s="146">
        <f>IF(CV$3=$K640,IF($C640="W",1,IF($C640="1/2W",0.5,0)),0)</f>
        <v>0</v>
      </c>
      <c r="CW640" s="146">
        <f>IF(CV$3=$K640,IF($C640="L",1,IF($C640="1/2L",0.5,0)),0)</f>
        <v>0</v>
      </c>
      <c r="CX640" s="146">
        <f>IF(CX$3=$K640,IF($C640="W",1,IF($C640="1/2W",0.5,0)),0)</f>
        <v>0</v>
      </c>
      <c r="CY640" s="146">
        <f>IF(CX$3=$K640,IF($C640="L",1,IF($C640="1/2L",0.5,0)),0)</f>
        <v>0</v>
      </c>
      <c r="CZ640" s="146">
        <f>IF(CZ$3=$K640,IF($C640="W",1,IF($C640="1/2W",0.5,0)),0)</f>
        <v>0</v>
      </c>
      <c r="DA640" s="146">
        <f>IF(CZ$3=$K640,IF($C640="L",1,IF($C640="1/2L",0.5,0)),0)</f>
        <v>0</v>
      </c>
      <c r="DB640" s="146">
        <f>IF(DB$3=$K640,IF($C640="W",1,IF($C640="1/2W",0.5,0)),0)</f>
        <v>0</v>
      </c>
      <c r="DC640" s="146">
        <f>IF(DB$3=$K640,IF($C640="L",1,IF($C640="1/2L",0.5,0)),0)</f>
        <v>0</v>
      </c>
      <c r="DD640" s="146">
        <f>IF(DD$3=$K640,IF($C640="W",1,IF($C640="1/2W",0.5,0)),0)</f>
        <v>0</v>
      </c>
      <c r="DE640" s="147">
        <f>IF(DD$3=$K640,IF($C640="L",1,IF($C640="1/2L",0.5,0)),0)</f>
        <v>0</v>
      </c>
      <c r="DF640" s="143">
        <f>IF(AND(L640&lt;DF$3,$C640="W"),1+DF639,DF639)</f>
        <v>17</v>
      </c>
      <c r="DG640" s="133">
        <f>IF(DF640&gt;DF639,L640+DG639,DG639)</f>
        <v>22.628</v>
      </c>
      <c r="DH640" s="146">
        <f>IF(AND(L640&gt;DH$3,$C640="W"),1+DH639,0+DH639)</f>
        <v>16</v>
      </c>
      <c r="DI640" s="133">
        <f>IF(DH640&gt;DH639,L640+DI639,DI639)</f>
        <v>85.45999999999999</v>
      </c>
      <c r="DJ640" t="s" s="304">
        <f>IF($D640="","",$D640)</f>
        <v>462</v>
      </c>
      <c r="DK640" s="146">
        <f>IF(AND($B640=" ",$D640&lt;&gt;""),1,0)</f>
        <v>0</v>
      </c>
    </row>
    <row r="641" ht="14.55" customHeight="1">
      <c r="A641" s="107"/>
      <c r="B641" s="108"/>
      <c r="C641" t="s" s="109">
        <v>56</v>
      </c>
      <c r="D641" s="110"/>
      <c r="E641" s="111"/>
      <c r="F641" s="113"/>
      <c r="G641" s="252"/>
      <c r="H641" s="114"/>
      <c r="I641" t="s" s="275">
        <v>67</v>
      </c>
      <c r="J641" s="276">
        <f>IF(OR(I640="TO",I640="TU",I640="TO1",I640="TU1",I640="TO2",I640="TU2"),J640,IF(OR(I640="AH1",I640="AH2"),IF(OR(I641="AH1",I641="AH2"),-J640,IF(OR(I641="EH1",I641="EH2"),-J640+0.5,"")),IF(OR(I640="EH1",I640="EH2"),IF(OR(I641="AH1",I641="AH2"),-J640+0.5,IF(OR(I641="EH1",I641="EH2"),-J640+1,"")),IF(AND(OR(I640="DNB1",I640="DNB2"),OR(I641="AH1",I641="AH2")),0,IF(AND(I640="Not ScoreBoth",OR(I641="TO1",I641="TO2")),0.5,"")))))</f>
        <v>10.5</v>
      </c>
      <c r="K641" t="s" s="117">
        <v>44</v>
      </c>
      <c r="L641" s="277">
        <v>1.98</v>
      </c>
      <c r="M641" s="278"/>
      <c r="N641" s="120"/>
      <c r="O641" s="121">
        <f>IF(OR(AE640="",AE641=""),"",ROUND(IF(L642&gt;0,IF(M641&gt;0,M641,IF(M640&gt;0,IF(N640=TRUE,ROUND((M640*AE641)/AE640,0),(M640*AE641)/AE640),IF(M641&gt;0,ROUND(M641,IF(N640=0,2,IF(N640=0.1,1,0))),IF(M642&gt;0,ROUND(O642*AE641/AE642,IF(N640=0,2,IF(N640=0.1,1,0))),0)))),IF(M641&gt;0,M641,ROUND((M640*AE641)/AE640,IF(N640=0,2,IF(N640=0.1,1,0))))),2))</f>
        <v>40.2</v>
      </c>
      <c r="P641" s="122">
        <f>IF(OR(L641="",O641=""),"",IF($C641="1/2W",O641/2+O641/2*L641,IF($C641="1/2L",O641/2,IF(I641="Lay",((O641*(L641/(L641-1)))-O641)*(1-_xlfn.XLOOKUP(K641,'Janeiro 2023 - Valor Real'!A3:A15,'Janeiro 2023 - Valor Real'!C3:C15,0))+O641,(O641*L641-O641)*(1-_xlfn.XLOOKUP(K641,'Janeiro 2023 - Valor Real'!A3:A15,'Janeiro 2023 - Valor Real'!C3:C15,0))+O641))))</f>
        <v>79.596</v>
      </c>
      <c r="Q641" s="279">
        <f>IF(K641="","",IF(_xlfn.XLOOKUP(K641,K$120:K420,DJ$120:DJ420,0,,-1)=DJ641,_xlfn.XLOOKUP(K641,K$120:K420,Q$120:Q420,1,,-1)+1,1))</f>
        <v>1</v>
      </c>
      <c r="R641" s="280">
        <f>IF(K641="","",_xlfn.XLOOKUP(K641,K$120:K420,R$120:R420,0,,-1)+IF($C641=" ",1,0))</f>
        <v>0</v>
      </c>
      <c r="S641" s="125"/>
      <c r="T641" s="126"/>
      <c r="U641" s="126"/>
      <c r="V641" s="224"/>
      <c r="W641" s="126"/>
      <c r="X641" s="127"/>
      <c r="Y641" s="128"/>
      <c r="Z641" s="129"/>
      <c r="AA641" s="129"/>
      <c r="AB641" s="129"/>
      <c r="AC641" s="129"/>
      <c r="AD641" s="130"/>
      <c r="AE641" s="131">
        <f>IF(L641="","",IF(L642&gt;0,(SUM(((L640-1)*(1-_xlfn.XLOOKUP(K640,'Janeiro 2023 - Valor Real'!A3:A15,'Janeiro 2023 - Valor Real'!C3:C15,0))+1),((L641-1)*(1-_xlfn.XLOOKUP(K641,'Janeiro 2023 - Valor Real'!A3:A15,'Janeiro 2023 - Valor Real'!C3:C15,0))+1),((L642-1)*(1-_xlfn.XLOOKUP(K642,'Janeiro 2023 - Valor Real'!A3:A15,'Janeiro 2023 - Valor Real'!C3:C15,0))+1))/((L641-1)*(1-_xlfn.XLOOKUP(K641,'Janeiro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Real'!C3:C15,0))+1))/((L640-1)*(1-_xlfn.XLOOKUP(K640,'Janeiro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Real'!C3:C15,0))+1))/((L641-1)*(1-_xlfn.XLOOKUP(K641,'Janeiro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Real'!C3:C15,0))+1))/((L642-1)*(1-_xlfn.XLOOKUP(K642,'Janeiro 2023 - Valor Real'!A3:A15,'Janeiro 2023 - Valor Real'!C3:C15,0))+1)),IF(I641="Lay",IF(I640="Lay",((L640/(L640-1)-1)*(1-_xlfn.XLOOKUP(K640,'Janeiro 2023 - Valor Real'!A3:A15,'Janeiro 2023 - Valor Real'!C3:C15,0))+1)/(((L640/(L640-1)-1)*(1-_xlfn.XLOOKUP(K640,'Janeiro 2023 - Valor Real'!A3:A15,'Janeiro 2023 - Valor Real'!C3:C15,0))+1)+((L641/(L641-1)-1)*(1-_xlfn.XLOOKUP(K641,'Janeiro 2023 - Valor Real'!A3:A15,'Janeiro 2023 - Valor Real'!C3:C15,0))+1)),((L640-1)*(1-_xlfn.XLOOKUP(K640,'Janeiro 2023 - Valor Real'!A3:A15,'Janeiro 2023 - Valor Real'!C3:C15,0))+1)/(((L640-1)*(1-_xlfn.XLOOKUP(K640,'Janeiro 2023 - Valor Real'!A3:A15,'Janeiro 2023 - Valor Real'!C3:C15,0))+1)+((L641/(L641-1)-1)*(1-_xlfn.XLOOKUP(K641,'Janeiro 2023 - Valor Real'!A3:A15,'Janeiro 2023 - Valor Real'!C3:C15,0))+1))),IF(I640="Lay",((L640/(L640-1)-1)*(1-_xlfn.XLOOKUP(K640,'Janeiro 2023 - Valor Real'!A3:A15,'Janeiro 2023 - Valor Real'!C3:C15,0))+1)/((((L640/(L640-1)-1)*(1-_xlfn.XLOOKUP(K640,'Janeiro 2023 - Valor Real'!A3:A15,'Janeiro 2023 - Valor Real'!C3:C15,0))+1))+((L641-1)*(1-_xlfn.XLOOKUP(K641,'Janeiro 2023 - Valor Real'!A3:A15,'Janeiro 2023 - Valor Real'!C3:C15,0))+1)),((L640-1)*(1-_xlfn.XLOOKUP(K640,'Janeiro 2023 - Valor Real'!A3:A15,'Janeiro 2023 - Valor Real'!C3:C15,0))+1)/(((L640-1)*(1-_xlfn.XLOOKUP(K640,'Janeiro 2023 - Valor Real'!A3:A15,'Janeiro 2023 - Valor Real'!C3:C15,0))+1)+((L641-1)*(1-_xlfn.XLOOKUP(K641,'Janeiro 2023 - Valor Real'!A3:A15,'Janeiro 2023 - Valor Real'!C3:C15,0))+1))))))</f>
        <v>0.526315789473684</v>
      </c>
      <c r="AF641" s="132">
        <f>IF($K641=AF$3,ROUND(IF(OR($C641="W",$C641="1/2W",$C641="1/2L"),$P641-$O641,IF($C641="X",0,-$O641)),2),0)</f>
        <v>0</v>
      </c>
      <c r="AG641" s="133">
        <f>IF($K641=AG$3,ROUND(IF(OR($C641="W",$C641="1/2W",$C641="1/2L"),$P641-$O641,IF($C641="X",0,-$O641)),2),0)</f>
        <v>0</v>
      </c>
      <c r="AH641" s="133">
        <f>IF($K641=AH$3,ROUND(IF(OR($C641="W",$C641="1/2W",$C641="1/2L"),$P641-$O641,IF($C641="X",0,-$O641)),2),0)</f>
        <v>0</v>
      </c>
      <c r="AI641" s="133">
        <f>IF($K641=AI$3,ROUND(IF(OR($C641="W",$C641="1/2W",$C641="1/2L"),$P641-$O641,IF($C641="X",0,-$O641)),2),0)</f>
        <v>0</v>
      </c>
      <c r="AJ641" s="133">
        <f>IF($K641=AJ$3,ROUND(IF(OR($C641="W",$C641="1/2W",$C641="1/2L"),$P641-$O641,IF($C641="X",0,-$O641)),2),0)</f>
        <v>0</v>
      </c>
      <c r="AK641" s="133">
        <f>IF($K641=AK$3,ROUND(IF(OR($C641="W",$C641="1/2W",$C641="1/2L"),$P641-$O641,IF($C641="X",0,-$O641)),2),0)</f>
        <v>0</v>
      </c>
      <c r="AL641" s="133">
        <f>IF($K641=AL$3,ROUND(IF(OR($C641="W",$C641="1/2W",$C641="1/2L"),$P641-$O641,IF($C641="X",0,-$O641)),2),0)</f>
        <v>0</v>
      </c>
      <c r="AM641" s="133">
        <f>IF($K641=AM$3,ROUND(IF(OR($C641="W",$C641="1/2W",$C641="1/2L"),$P641-$O641,IF($C641="X",0,-$O641)),2),0)</f>
        <v>39.4</v>
      </c>
      <c r="AN641" s="133">
        <f>IF($K641=AN$3,ROUND(IF(OR($C641="W",$C641="1/2W",$C641="1/2L"),$P641-$O641,IF($C641="X",0,-$O641)),2),0)</f>
        <v>0</v>
      </c>
      <c r="AO641" s="133">
        <f>IF($K641=AO$3,ROUND(IF(OR($C641="W",$C641="1/2W",$C641="1/2L"),$P641-$O641,IF($C641="X",0,-$O641)),2),0)</f>
        <v>0</v>
      </c>
      <c r="AP641" s="133">
        <f>IF($K641=AP$3,ROUND(IF(OR($C641="W",$C641="1/2W",$C641="1/2L"),$P641-$O641,IF($C641="X",0,-$O641)),2),0)</f>
        <v>0</v>
      </c>
      <c r="AQ641" s="133">
        <f>IF($K641=AQ$3,ROUND(IF(OR($C641="W",$C641="1/2W",$C641="1/2L"),$P641-$O641,IF($C641="X",0,-$O641)),2),0)</f>
        <v>0</v>
      </c>
      <c r="AR641" s="134">
        <f>IF($K641=AR$3,ROUND(IF(OR($C641="W",$C641="1/2W",$C641="1/2L"),$P641-$O641,IF($C641="X",0,-$O641)),2),0)</f>
        <v>0</v>
      </c>
      <c r="AS641" s="132">
        <f>IF(AND($B640=" ",$K641=AS$3),$O641,0)</f>
        <v>0</v>
      </c>
      <c r="AT641" s="133">
        <f>IF(AND($B640=" ",K641=AT$3),$O641,0)</f>
        <v>0</v>
      </c>
      <c r="AU641" s="133">
        <f>IF(AND($B640=" ",$K641=AU$3),$O641,0)</f>
        <v>0</v>
      </c>
      <c r="AV641" s="133">
        <f>IF(AND($B640=" ",$K641=AV$3),$O641,0)</f>
        <v>0</v>
      </c>
      <c r="AW641" s="133">
        <f>IF(AND($B640=" ",$K641=AW$3),$O641,0)</f>
        <v>0</v>
      </c>
      <c r="AX641" s="133">
        <f>IF(AND($B640=" ",$K641=AX$3),$O641,0)</f>
        <v>0</v>
      </c>
      <c r="AY641" s="135">
        <f>IF(AND($B640=" ",$K641=AY$3),$O641,0)</f>
        <v>0</v>
      </c>
      <c r="AZ641" s="136">
        <f>IF(AND($B640=" ",$K641=AZ$3),$O641,0)</f>
        <v>0</v>
      </c>
      <c r="BA641" s="136">
        <f>IF(AND($B640=" ",$K641=BA$3),$O641,0)</f>
        <v>0</v>
      </c>
      <c r="BB641" s="136">
        <f>IF(AND($B640=" ",$K641=BB$3),$O641,0)</f>
        <v>0</v>
      </c>
      <c r="BC641" s="137">
        <f>IF(AND($B640=" ",$K641=BC$3),$O641,0)</f>
        <v>0</v>
      </c>
      <c r="BD641" s="133">
        <f>IF(AND($B640=" ",$K641=BD$3),$O641,0)</f>
        <v>0</v>
      </c>
      <c r="BE641" s="134">
        <f>IF(AND($B640=" ",$K641=BE$3),$O641,0)</f>
        <v>0</v>
      </c>
      <c r="BF641" s="132">
        <f>IF($K641=BF$3,IF($C641="X",0,$O641),0)</f>
        <v>0</v>
      </c>
      <c r="BG641" s="281">
        <f>IF($K641=BG$3,IF($C641="X",0,$O641),0)</f>
        <v>0</v>
      </c>
      <c r="BH641" s="133">
        <f>IF($K641=BH$3,IF($C641="X",0,$O641),0)</f>
        <v>0</v>
      </c>
      <c r="BI641" s="133">
        <f>IF($K641=BI$3,IF($C641="X",0,$O641),0)</f>
        <v>0</v>
      </c>
      <c r="BJ641" s="133">
        <f>IF($K641=BJ$3,IF($C641="X",0,$O641),0)</f>
        <v>0</v>
      </c>
      <c r="BK641" s="133">
        <f>IF($K641=BK$3,IF($C641="X",0,$O641),0)</f>
        <v>0</v>
      </c>
      <c r="BL641" s="133">
        <f>IF($K641=BL$3,IF($C641="X",0,$O641),0)</f>
        <v>0</v>
      </c>
      <c r="BM641" s="135">
        <f>IF($K641=BM$3,IF($C641="X",0,$O641),0)</f>
        <v>40.2</v>
      </c>
      <c r="BN641" s="136">
        <f>IF($K641=BN$3,IF($C641="X",0,$O641),0)</f>
        <v>0</v>
      </c>
      <c r="BO641" s="136">
        <f>IF($K641=BO$3,IF($C641="X",0,$O641),0)</f>
        <v>0</v>
      </c>
      <c r="BP641" s="136">
        <f>IF($K641=BP$3,IF($C641="X",0,$O641),0)</f>
        <v>0</v>
      </c>
      <c r="BQ641" s="137">
        <f>IF($K641=BQ$3,IF($C641="X",0,$O641),0)</f>
        <v>0</v>
      </c>
      <c r="BR641" s="134">
        <f>IF($K641=BR$3,IF($C641="X",0,$O641),0)</f>
        <v>0</v>
      </c>
      <c r="BS641" s="282"/>
      <c r="BT641" s="283"/>
      <c r="BU641" s="140"/>
      <c r="BV641" s="283"/>
      <c r="BW641" s="140"/>
      <c r="BX641" s="140"/>
      <c r="BY641" s="140"/>
      <c r="BZ641" s="283"/>
      <c r="CA641" s="140"/>
      <c r="CB641" s="140"/>
      <c r="CC641" s="140"/>
      <c r="CD641" s="141"/>
      <c r="CE641" s="142"/>
      <c r="CF641" s="284">
        <f>IF(CF$3=$K641,IF($C641="W",1,IF($C641="1/2W",0.5,0)),0)</f>
        <v>0</v>
      </c>
      <c r="CG641" s="285">
        <f>IF(CF$3=$K641,IF($C641="L",1,IF($C641="1/2L",0.5,0)),0)</f>
        <v>0</v>
      </c>
      <c r="CH641" s="285">
        <f>IF(CH$3=$K641,IF($C641="W",1,IF($C641="1/2W",0.5,0)),0)</f>
        <v>0</v>
      </c>
      <c r="CI641" s="285">
        <f>IF(CH$3=$K641,IF($C641="L",1,IF($C641="1/2L",0.5,0)),0)</f>
        <v>0</v>
      </c>
      <c r="CJ641" s="285">
        <f>IF(CJ$3=$K641,IF($C641="W",1,IF($C641="1/2W",0.5,0)),0)</f>
        <v>0</v>
      </c>
      <c r="CK641" s="285">
        <f>IF(CJ$3=$K641,IF($C641="L",1,IF($C641="1/2L",0.5,0)),0)</f>
        <v>0</v>
      </c>
      <c r="CL641" s="285">
        <f>IF(CL$3=$K641,IF($C641="W",1,IF($C641="1/2W",0.5,0)),0)</f>
        <v>0</v>
      </c>
      <c r="CM641" s="285">
        <f>IF(CL$3=$K641,IF($C641="L",1,IF($C641="1/2L",0.5,0)),0)</f>
        <v>0</v>
      </c>
      <c r="CN641" s="285">
        <f>IF(CN$3=$K641,IF($C641="W",1,IF($C641="1/2W",0.5,0)),0)</f>
        <v>0</v>
      </c>
      <c r="CO641" s="285">
        <f>IF(CN$3=$K641,IF($C641="L",1,IF($C641="1/2L",0.5,0)),0)</f>
        <v>0</v>
      </c>
      <c r="CP641" s="285">
        <f>IF(CP$3=$K641,IF($C641="W",1,IF($C641="1/2W",0.5,0)),0)</f>
        <v>0</v>
      </c>
      <c r="CQ641" s="285">
        <f>IF(CP$3=$K641,IF($C641="L",1,IF($C641="1/2L",0.5,0)),0)</f>
        <v>0</v>
      </c>
      <c r="CR641" s="285">
        <f>IF(CR$3=$K641,IF($C641="W",1,IF($C641="1/2W",0.5,0)),0)</f>
        <v>0</v>
      </c>
      <c r="CS641" s="285">
        <f>IF(CR$3=$K641,IF($C641="L",1,IF($C641="1/2L",0.5,0)),0)</f>
        <v>0</v>
      </c>
      <c r="CT641" s="145">
        <f>IF(CT$3=$K641,IF($C641="W",1,IF($C641="1/2W",0.5,0)),0)</f>
        <v>1</v>
      </c>
      <c r="CU641" s="146">
        <f>IF(CT$3=$K641,IF($C641="L",1,IF($C641="1/2L",0.5,0)),0)</f>
        <v>0</v>
      </c>
      <c r="CV641" s="146">
        <f>IF(CV$3=$K641,IF($C641="W",1,IF($C641="1/2W",0.5,0)),0)</f>
        <v>0</v>
      </c>
      <c r="CW641" s="146">
        <f>IF(CV$3=$K641,IF($C641="L",1,IF($C641="1/2L",0.5,0)),0)</f>
        <v>0</v>
      </c>
      <c r="CX641" s="146">
        <f>IF(CX$3=$K641,IF($C641="W",1,IF($C641="1/2W",0.5,0)),0)</f>
        <v>0</v>
      </c>
      <c r="CY641" s="146">
        <f>IF(CX$3=$K641,IF($C641="L",1,IF($C641="1/2L",0.5,0)),0)</f>
        <v>0</v>
      </c>
      <c r="CZ641" s="146">
        <f>IF(CZ$3=$K641,IF($C641="W",1,IF($C641="1/2W",0.5,0)),0)</f>
        <v>0</v>
      </c>
      <c r="DA641" s="146">
        <f>IF(CZ$3=$K641,IF($C641="L",1,IF($C641="1/2L",0.5,0)),0)</f>
        <v>0</v>
      </c>
      <c r="DB641" s="146">
        <f>IF(DB$3=$K641,IF($C641="W",1,IF($C641="1/2W",0.5,0)),0)</f>
        <v>0</v>
      </c>
      <c r="DC641" s="146">
        <f>IF(DB$3=$K641,IF($C641="L",1,IF($C641="1/2L",0.5,0)),0)</f>
        <v>0</v>
      </c>
      <c r="DD641" s="146">
        <f>IF(DD$3=$K641,IF($C641="W",1,IF($C641="1/2W",0.5,0)),0)</f>
        <v>0</v>
      </c>
      <c r="DE641" s="147">
        <f>IF(DD$3=$K641,IF($C641="L",1,IF($C641="1/2L",0.5,0)),0)</f>
        <v>0</v>
      </c>
      <c r="DF641" s="143">
        <f>IF(AND(L641&lt;DF$3,$C641="W"),1+DF640,DF640)</f>
        <v>17</v>
      </c>
      <c r="DG641" s="133">
        <f>IF(DF641&gt;DF640,L641+DG640,DG640)</f>
        <v>22.628</v>
      </c>
      <c r="DH641" s="146">
        <f>IF(AND(L641&gt;DH$3,$C641="W"),1+DH640,0+DH640)</f>
        <v>16</v>
      </c>
      <c r="DI641" s="133">
        <f>IF(DH641&gt;DH640,L641+DI640,DI640)</f>
        <v>85.45999999999999</v>
      </c>
      <c r="DJ641" t="s" s="304">
        <f>IF($D640="","",$D640)</f>
        <v>462</v>
      </c>
      <c r="DK641" s="286"/>
    </row>
    <row r="642" ht="14.55" customHeight="1">
      <c r="A642" s="149"/>
      <c r="B642" s="150"/>
      <c r="C642" t="s" s="151">
        <v>58</v>
      </c>
      <c r="D642" s="152"/>
      <c r="E642" s="153"/>
      <c r="F642" s="155"/>
      <c r="G642" s="252"/>
      <c r="H642" s="156"/>
      <c r="I642" s="287"/>
      <c r="J642" s="288"/>
      <c r="K642" s="156"/>
      <c r="L642" s="289"/>
      <c r="M642" s="290"/>
      <c r="N642" s="161"/>
      <c r="O642" t="s" s="162">
        <f>IF(OR(AE640="",AE641=""),"",IF(L642&gt;0,ROUND(IF(M642&gt;0,M642,IF(M640&gt;0,ROUND((M640*AE642)/AE640,IF(N640=0,2,IF(N640=0.1,1,0))),IF(M641&gt;0,ROUND((M641*AE642)/AE641,IF(N640=0,2,IF(N640=0.1,1,0))),IF(M642&gt;0,M642,0)))),2),""))</f>
      </c>
      <c r="P642" t="s" s="163">
        <f>IF(I641="Lay",O641*(L641/(L641-1))-O641,IF(I640="Lay",O640*(L640/(L640-1))-O640,IF(OR(L642="",O642=""),"",IF($C642="1/2W",O642/2+O642/2*L642,IF($C642="1/2L",O642/2,(O642*L642-O642)*(1-_xlfn.XLOOKUP(K642,'Janeiro 2023 - Valor Real'!A3:A15,'Janeiro 2023 - Valor Real'!C3:C15,0))+O642)))))</f>
      </c>
      <c r="Q642" t="s" s="154">
        <f>IF(K642="","",IF(_xlfn.XLOOKUP(K642,K$121:K421,DJ$121:DJ421,0,,-1)=DJ642,_xlfn.XLOOKUP(K642,K$121:K421,Q$121:Q421,1,,-1)+1,1))</f>
      </c>
      <c r="R642" t="s" s="163">
        <f>IF(K642="","",_xlfn.XLOOKUP(K642,K$121:K421,R$121:R421,0,,-1)+IF($C642=" ",1,0))</f>
      </c>
      <c r="S642" s="166"/>
      <c r="T642" s="155"/>
      <c r="U642" s="155"/>
      <c r="V642" s="166"/>
      <c r="W642" s="155"/>
      <c r="X642" s="167"/>
      <c r="Y642" s="128"/>
      <c r="Z642" s="129"/>
      <c r="AA642" s="129"/>
      <c r="AB642" s="129"/>
      <c r="AC642" s="129"/>
      <c r="AD642" s="168"/>
      <c r="AE642" t="s" s="169">
        <f>IF(L642="","",(SUM(((L640-1)*(1-_xlfn.XLOOKUP(K640,'Janeiro 2023 - Valor Real'!A3:A15,'Janeiro 2023 - Valor Real'!C3:C15,0))+1),((L641-1)*(1-_xlfn.XLOOKUP(K641,'Janeiro 2023 - Valor Real'!A3:A15,'Janeiro 2023 - Valor Real'!C3:C15,0))+1),((L642-1)*(1-_xlfn.XLOOKUP(K642,'Janeiro 2023 - Valor Real'!A3:A15,'Janeiro 2023 - Valor Real'!C3:C15,0))+1))/((L642-1)*(1-_xlfn.XLOOKUP(K642,'Janeiro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Real'!C3:C15,0))+1))/((L640-1)*(1-_xlfn.XLOOKUP(K640,'Janeiro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Real'!C3:C15,0))+1))/((L641-1)*(1-_xlfn.XLOOKUP(K641,'Janeiro 2023 - Valor Real'!A3:A15,'Janeiro 2023 - Valor Real'!C3:C15,0))+1)+SUM(((L640-1)*(1-_xlfn.XLOOKUP(K640,'Janeiro 2023 - Valor Real'!A3:A15,'Janeiro 2023 - Valor Real'!C3:C15,0))+1),((L641-1)*(1-_xlfn.XLOOKUP(K641,'Janeiro 2023 - Valor Real'!A3:A15,'Janeiro 2023 - Valor Real'!C3:C15,0))+1),((L642-1)*(1-_xlfn.XLOOKUP(K642,'Janeiro 2023 - Valor Real'!A3:A15,'Janeiro 2023 - Valor Real'!C3:C15,0))+1))/((L642-1)*(1-_xlfn.XLOOKUP(K642,'Janeiro 2023 - Valor Real'!A3:A15,'Janeiro 2023 - Valor Real'!C3:C15,0))+1)))</f>
      </c>
      <c r="AF642" s="132">
        <f>IF($K642=AF$3,ROUND(IF(OR($C642="W",$C642="1/2W",$C642="1/2L"),$P642-$O642,IF($C642="X",0,-$O642)),2),0)</f>
        <v>0</v>
      </c>
      <c r="AG642" s="133">
        <f>IF($K642=AG$3,ROUND(IF(OR($C642="W",$C642="1/2W",$C642="1/2L"),$P642-$O642,IF($C642="X",0,-$O642)),2),0)</f>
        <v>0</v>
      </c>
      <c r="AH642" s="133">
        <f>IF($K642=AH$3,ROUND(IF(OR($C642="W",$C642="1/2W",$C642="1/2L"),$P642-$O642,IF($C642="X",0,-$O642)),2),0)</f>
        <v>0</v>
      </c>
      <c r="AI642" s="133">
        <f>IF($K642=AI$3,ROUND(IF(OR($C642="W",$C642="1/2W",$C642="1/2L"),$P642-$O642,IF($C642="X",0,-$O642)),2),0)</f>
        <v>0</v>
      </c>
      <c r="AJ642" s="133">
        <f>IF($K642=AJ$3,ROUND(IF(OR($C642="W",$C642="1/2W",$C642="1/2L"),$P642-$O642,IF($C642="X",0,-$O642)),2),0)</f>
        <v>0</v>
      </c>
      <c r="AK642" s="133">
        <f>IF($K642=AK$3,ROUND(IF(OR($C642="W",$C642="1/2W",$C642="1/2L"),$P642-$O642,IF($C642="X",0,-$O642)),2),0)</f>
        <v>0</v>
      </c>
      <c r="AL642" s="133">
        <f>IF($K642=AL$3,ROUND(IF(OR($C642="W",$C642="1/2W",$C642="1/2L"),$P642-$O642,IF($C642="X",0,-$O642)),2),0)</f>
        <v>0</v>
      </c>
      <c r="AM642" s="133">
        <f>IF($K642=AM$3,ROUND(IF(OR($C642="W",$C642="1/2W",$C642="1/2L"),$P642-$O642,IF($C642="X",0,-$O642)),2),0)</f>
        <v>0</v>
      </c>
      <c r="AN642" s="133">
        <f>IF($K642=AN$3,ROUND(IF(OR($C642="W",$C642="1/2W",$C642="1/2L"),$P642-$O642,IF($C642="X",0,-$O642)),2),0)</f>
        <v>0</v>
      </c>
      <c r="AO642" s="133">
        <f>IF($K642=AO$3,ROUND(IF(OR($C642="W",$C642="1/2W",$C642="1/2L"),$P642-$O642,IF($C642="X",0,-$O642)),2),0)</f>
        <v>0</v>
      </c>
      <c r="AP642" s="133">
        <f>IF($K642=AP$3,ROUND(IF(OR($C642="W",$C642="1/2W",$C642="1/2L"),$P642-$O642,IF($C642="X",0,-$O642)),2),0)</f>
        <v>0</v>
      </c>
      <c r="AQ642" s="133">
        <f>IF($K642=AQ$3,ROUND(IF(OR($C642="W",$C642="1/2W",$C642="1/2L"),$P642-$O642,IF($C642="X",0,-$O642)),2),0)</f>
        <v>0</v>
      </c>
      <c r="AR642" s="134">
        <f>IF($K642=AR$3,ROUND(IF(OR($C642="W",$C642="1/2W",$C642="1/2L"),$P642-$O642,IF($C642="X",0,-$O642)),2),0)</f>
        <v>0</v>
      </c>
      <c r="AS642" s="132">
        <f>IF(AND($B640=" ",$K642=AS$3),$O642,0)</f>
        <v>0</v>
      </c>
      <c r="AT642" s="133">
        <f>IF(AND($B640=" ",K642=AT$3),$O642,0)</f>
        <v>0</v>
      </c>
      <c r="AU642" s="133">
        <f>IF(AND($B640=" ",$K642=AU$3),$O642,0)</f>
        <v>0</v>
      </c>
      <c r="AV642" s="133">
        <f>IF(AND($B640=" ",$K642=AV$3),$O642,0)</f>
        <v>0</v>
      </c>
      <c r="AW642" s="133">
        <f>IF(AND($B640=" ",$K642=AW$3),$O642,0)</f>
        <v>0</v>
      </c>
      <c r="AX642" s="133">
        <f>IF(AND($B640=" ",$K642=AX$3),$O642,0)</f>
        <v>0</v>
      </c>
      <c r="AY642" s="135">
        <f>IF(AND($B640=" ",$K642=AY$3),$O642,0)</f>
        <v>0</v>
      </c>
      <c r="AZ642" s="136">
        <f>IF(AND($B640=" ",$K642=AZ$3),$O642,0)</f>
        <v>0</v>
      </c>
      <c r="BA642" s="136">
        <f>IF(AND($B640=" ",$K642=BA$3),$O642,0)</f>
        <v>0</v>
      </c>
      <c r="BB642" s="136">
        <f>IF(AND($B640=" ",$K642=BB$3),$O642,0)</f>
        <v>0</v>
      </c>
      <c r="BC642" s="137">
        <f>IF(AND($B640=" ",$K642=BC$3),$O642,0)</f>
        <v>0</v>
      </c>
      <c r="BD642" s="133">
        <f>IF(AND($B640=" ",$K642=BD$3),$O642,0)</f>
        <v>0</v>
      </c>
      <c r="BE642" s="134">
        <f>IF(AND($B640=" ",$K642=BE$3),$O642,0)</f>
        <v>0</v>
      </c>
      <c r="BF642" s="132">
        <f>IF($K642=BF$3,IF($C642="X",0,$O642),0)</f>
        <v>0</v>
      </c>
      <c r="BG642" s="281">
        <f>IF($K642=BG$3,IF($C642="X",0,$O642),0)</f>
        <v>0</v>
      </c>
      <c r="BH642" s="133">
        <f>IF($K642=BH$3,IF($C642="X",0,$O642),0)</f>
        <v>0</v>
      </c>
      <c r="BI642" s="133">
        <f>IF($K642=BI$3,IF($C642="X",0,$O642),0)</f>
        <v>0</v>
      </c>
      <c r="BJ642" s="133">
        <f>IF($K642=BJ$3,IF($C642="X",0,$O642),0)</f>
        <v>0</v>
      </c>
      <c r="BK642" s="133">
        <f>IF($K642=BK$3,IF($C642="X",0,$O642),0)</f>
        <v>0</v>
      </c>
      <c r="BL642" s="133">
        <f>IF($K642=BL$3,IF($C642="X",0,$O642),0)</f>
        <v>0</v>
      </c>
      <c r="BM642" s="135">
        <f>IF($K642=BM$3,IF($C642="X",0,$O642),0)</f>
        <v>0</v>
      </c>
      <c r="BN642" s="136">
        <f>IF($K642=BN$3,IF($C642="X",0,$O642),0)</f>
        <v>0</v>
      </c>
      <c r="BO642" s="136">
        <f>IF($K642=BO$3,IF($C642="X",0,$O642),0)</f>
        <v>0</v>
      </c>
      <c r="BP642" s="136">
        <f>IF($K642=BP$3,IF($C642="X",0,$O642),0)</f>
        <v>0</v>
      </c>
      <c r="BQ642" s="137">
        <f>IF($K642=BQ$3,IF($C642="X",0,$O642),0)</f>
        <v>0</v>
      </c>
      <c r="BR642" s="134">
        <f>IF($K642=BR$3,IF($C642="X",0,$O642),0)</f>
        <v>0</v>
      </c>
      <c r="BS642" s="282"/>
      <c r="BT642" s="283"/>
      <c r="BU642" s="140"/>
      <c r="BV642" s="283"/>
      <c r="BW642" s="140"/>
      <c r="BX642" s="140"/>
      <c r="BY642" s="140"/>
      <c r="BZ642" s="283"/>
      <c r="CA642" s="140"/>
      <c r="CB642" s="140"/>
      <c r="CC642" s="140"/>
      <c r="CD642" s="141"/>
      <c r="CE642" s="142"/>
      <c r="CF642" s="284">
        <f>IF(CF$3=$K642,IF($C642="W",1,IF($C642="1/2W",0.5,0)),0)</f>
        <v>0</v>
      </c>
      <c r="CG642" s="285">
        <f>IF(CF$3=$K642,IF($C642="L",1,IF($C642="1/2L",0.5,0)),0)</f>
        <v>0</v>
      </c>
      <c r="CH642" s="285">
        <f>IF(CH$3=$K642,IF($C642="W",1,IF($C642="1/2W",0.5,0)),0)</f>
        <v>0</v>
      </c>
      <c r="CI642" s="285">
        <f>IF(CH$3=$K642,IF($C642="L",1,IF($C642="1/2L",0.5,0)),0)</f>
        <v>0</v>
      </c>
      <c r="CJ642" s="285">
        <f>IF(CJ$3=$K642,IF($C642="W",1,IF($C642="1/2W",0.5,0)),0)</f>
        <v>0</v>
      </c>
      <c r="CK642" s="285">
        <f>IF(CJ$3=$K642,IF($C642="L",1,IF($C642="1/2L",0.5,0)),0)</f>
        <v>0</v>
      </c>
      <c r="CL642" s="285">
        <f>IF(CL$3=$K642,IF($C642="W",1,IF($C642="1/2W",0.5,0)),0)</f>
        <v>0</v>
      </c>
      <c r="CM642" s="285">
        <f>IF(CL$3=$K642,IF($C642="L",1,IF($C642="1/2L",0.5,0)),0)</f>
        <v>0</v>
      </c>
      <c r="CN642" s="285">
        <f>IF(CN$3=$K642,IF($C642="W",1,IF($C642="1/2W",0.5,0)),0)</f>
        <v>0</v>
      </c>
      <c r="CO642" s="285">
        <f>IF(CN$3=$K642,IF($C642="L",1,IF($C642="1/2L",0.5,0)),0)</f>
        <v>0</v>
      </c>
      <c r="CP642" s="285">
        <f>IF(CP$3=$K642,IF($C642="W",1,IF($C642="1/2W",0.5,0)),0)</f>
        <v>0</v>
      </c>
      <c r="CQ642" s="285">
        <f>IF(CP$3=$K642,IF($C642="L",1,IF($C642="1/2L",0.5,0)),0)</f>
        <v>0</v>
      </c>
      <c r="CR642" s="285">
        <f>IF(CR$3=$K642,IF($C642="W",1,IF($C642="1/2W",0.5,0)),0)</f>
        <v>0</v>
      </c>
      <c r="CS642" s="285">
        <f>IF(CR$3=$K642,IF($C642="L",1,IF($C642="1/2L",0.5,0)),0)</f>
        <v>0</v>
      </c>
      <c r="CT642" s="145">
        <f>IF(CT$3=$K642,IF($C642="W",1,IF($C642="1/2W",0.5,0)),0)</f>
        <v>0</v>
      </c>
      <c r="CU642" s="146">
        <f>IF(CT$3=$K642,IF($C642="L",1,IF($C642="1/2L",0.5,0)),0)</f>
        <v>0</v>
      </c>
      <c r="CV642" s="146">
        <f>IF(CV$3=$K642,IF($C642="W",1,IF($C642="1/2W",0.5,0)),0)</f>
        <v>0</v>
      </c>
      <c r="CW642" s="146">
        <f>IF(CV$3=$K642,IF($C642="L",1,IF($C642="1/2L",0.5,0)),0)</f>
        <v>0</v>
      </c>
      <c r="CX642" s="146">
        <f>IF(CX$3=$K642,IF($C642="W",1,IF($C642="1/2W",0.5,0)),0)</f>
        <v>0</v>
      </c>
      <c r="CY642" s="146">
        <f>IF(CX$3=$K642,IF($C642="L",1,IF($C642="1/2L",0.5,0)),0)</f>
        <v>0</v>
      </c>
      <c r="CZ642" s="146">
        <f>IF(CZ$3=$K642,IF($C642="W",1,IF($C642="1/2W",0.5,0)),0)</f>
        <v>0</v>
      </c>
      <c r="DA642" s="146">
        <f>IF(CZ$3=$K642,IF($C642="L",1,IF($C642="1/2L",0.5,0)),0)</f>
        <v>0</v>
      </c>
      <c r="DB642" s="146">
        <f>IF(DB$3=$K642,IF($C642="W",1,IF($C642="1/2W",0.5,0)),0)</f>
        <v>0</v>
      </c>
      <c r="DC642" s="146">
        <f>IF(DB$3=$K642,IF($C642="L",1,IF($C642="1/2L",0.5,0)),0)</f>
        <v>0</v>
      </c>
      <c r="DD642" s="146">
        <f>IF(DD$3=$K642,IF($C642="W",1,IF($C642="1/2W",0.5,0)),0)</f>
        <v>0</v>
      </c>
      <c r="DE642" s="147">
        <f>IF(DD$3=$K642,IF($C642="L",1,IF($C642="1/2L",0.5,0)),0)</f>
        <v>0</v>
      </c>
      <c r="DF642" s="143">
        <f>IF(AND(L642&lt;DF$3,$C642="W"),1+DF641,DF641)</f>
        <v>17</v>
      </c>
      <c r="DG642" s="133">
        <f>IF(DF642&gt;DF641,L642+DG641,DG641)</f>
        <v>22.628</v>
      </c>
      <c r="DH642" s="146">
        <f>IF(AND(L642&gt;DH$3,$C642="W"),1+DH641,0+DH641)</f>
        <v>16</v>
      </c>
      <c r="DI642" s="133">
        <f>IF(DH642&gt;DH641,L642+DI641,DI641)</f>
        <v>85.45999999999999</v>
      </c>
      <c r="DJ642" t="s" s="304">
        <f>IF($D640="","",$D640)</f>
        <v>462</v>
      </c>
      <c r="DK642" s="286"/>
    </row>
    <row r="643" ht="14.55" customHeight="1">
      <c r="A643" s="171">
        <f>$A640+1</f>
        <v>214</v>
      </c>
      <c r="B643" t="s" s="172">
        <f>IF(AND(_xlfn.XLOOKUP(H643,H$122:H416,G$122:G416,0)=G643,_xlfn.XLOOKUP("TempoBet",K643:K645,L643:L645,0)&gt;0),"X",IF(OR(C643="W",C644="W",C645="W",C643="1/2W",C644="1/2W",C645="1/2W",C643="1/2L",C644="1/2L",C645="1/2L"),"OK",IF(OR(C643="L",C644="L",C645="L"),"LOSS",IF(OR(C643="X",C644="X",C645="X"),"Anulado"," "))))</f>
        <v>50</v>
      </c>
      <c r="C643" t="s" s="173">
        <v>51</v>
      </c>
      <c r="D643" t="s" s="305">
        <f>IF(G643="","",$D640)</f>
        <v>462</v>
      </c>
      <c r="E643" t="s" s="175">
        <f>IF(G643=""," ","– "&amp;COUNTIF(D$4:D645,$D643))</f>
        <v>59</v>
      </c>
      <c r="F643" t="s" s="176">
        <f>IF(G643="","",IF(OR(AND($C643&lt;&gt;" ",$C644=" "),AND($C644&lt;&gt;" ",$C643=" "),AND(L645&gt;0,OR(AND($C645&lt;&gt;" ",OR($C643=" ",$C644=" ")),AND($C645=" ",OR($C643&lt;&gt;" ",$C644&lt;&gt;" "))))),IF(SUM(F$4:F642)=0,1,LARGE(F$4:F642,1)+1),IF(MONTH(G643)=MONTH(TODAY()),IF(AND(DAY(G643)&lt;DAY(TODAY()),$B643=" "),IF(SUM(F$4:F642)=0,1,LARGE(F$4:F642,1)+1),IF($B643=" ",IF(AND(DAY(G643)=DAY(TODAY()),HOUR(G643)&lt;=HOUR(NOW())+1),IF(AND(HOUR(G643)+2&lt;=HOUR(NOW()),DAY(G643)&lt;=DAY(TODAY()),MINUTE(G643)&lt;=MINUTE(NOW())),IF(SUM(F$4:F642)=0,1,LARGE(F$4:F642,1)+1),IF(OR(MINUTE(G643)&lt;=MINUTE(NOW()),HOUR(G643)&lt;=HOUR(NOW())),"!!!","")),""),"")),"")))</f>
      </c>
      <c r="G643" s="177">
        <v>44955.34375</v>
      </c>
      <c r="H643" t="s" s="178">
        <v>463</v>
      </c>
      <c r="I643" t="s" s="179">
        <v>65</v>
      </c>
      <c r="J643" s="291">
        <v>11.5</v>
      </c>
      <c r="K643" t="s" s="181">
        <v>38</v>
      </c>
      <c r="L643" s="182">
        <v>3</v>
      </c>
      <c r="M643" s="183">
        <v>21.71</v>
      </c>
      <c r="N643" s="184">
        <v>0</v>
      </c>
      <c r="O643" s="185">
        <f>IF(OR(AE643="",AE644=""),"",ROUND(IF(L645&gt;0,IF(M643&gt;0,M643,IF(M644&gt;0,ROUND((M644*AE643)/AE644,IF(N643=0,2,IF(N643=0.1,1,0))),ROUND((M645*AE643)/AE645,IF(N643=0,2,IF(N643=0.1,1,0))))),IF(M643&gt;0,M643,ROUND((M644*AE643)/AE644,IF(N643=0,2,IF(N643=0.1,1,0))))),2))</f>
        <v>21.71</v>
      </c>
      <c r="P643" s="186">
        <f>IF(OR(L643="",O643=""),"",IF($C643="1/2W",O643/2+O643/2*L643,IF($C643="1/2L",O643/2,IF(I643="Lay",(O643*(L643/(L643-1))-O643)*(1-_xlfn.XLOOKUP(K643,'Janeiro 2023 - Valor Real'!A3:A15,'Janeiro 2023 - Valor Real'!C3:C15,0))+O643,(O643*L643-O643)*(1-_xlfn.XLOOKUP(K643,'Janeiro 2023 - Valor Real'!A3:A15,'Janeiro 2023 - Valor Real'!C3:C15,0))+O643))))</f>
        <v>65.13</v>
      </c>
      <c r="Q643" s="187">
        <f>IF(K643="","",IF(_xlfn.XLOOKUP(K643,K$122:K416,DJ$122:DJ416,0,,-1)=DJ643,_xlfn.XLOOKUP(K643,K$122:K416,Q$122:Q416,1,,-1)+1,1))</f>
        <v>1</v>
      </c>
      <c r="R643" s="188">
        <f>IF(K643="","",_xlfn.XLOOKUP(K643,K$122:K416,R$122:R416,0,,-1)+IF($C643=" ",1,0))</f>
        <v>0</v>
      </c>
      <c r="S643" s="189">
        <f>IF($B643="Anulado",0,ROUND(IF(OR($B643="LOSS",$B643="OK"),IF(OR($C643="W",$C643="1/2W",$C643="1/2L"),P643-O643,IF($C643="L",-O643,0))+IF(OR($C644="W",$C644="1/2W",$C644="1/2L"),P644-O644,IF($C644="L",-O644,0))+IF(OR($C645="W",$C645="1/2W",$C645="1/2L"),P645-O645,IF($C645="L",-O645,0)),IF(AND(OR($C643="W",$C643="1/2W",$C643="1/2L"),C644="W"),P643+P644-SUM(O643:O645)+_xlfn.XLOOKUP("X",C643:C645,O643:O645,0),IF(AND(C643=TRUE,C645="W"),P643+P645-SUM(O643:O645),IF(AND(C644="W",C645="W"),P644+P645-SUM(O643:O645)+_xlfn.XLOOKUP("X",C643:C645,O643:O645,0),IF(L645&gt;0,IF(OR($C643="W",$C643="1/2W",$C643="1/2L"),P643-SUM(O643:O645)+_xlfn.XLOOKUP("X",C643:C645,O643:O645,0),IF(OR($C643="W",$C643="1/2W",$C643="1/2L"),P644-SUM(O643:O645)+_xlfn.XLOOKUP("X",C643:C645,O643:O645,0),IF(OR($C643="W",$C643="1/2W",$C643="1/2L"),P645-SUM(O643:O645)+_xlfn.XLOOKUP("X",C643:C645,O643:O645,0),IF(SUM(P643:P645)/3-SUM(O643:O645)+_xlfn.XLOOKUP("X",C643:C645,O643:O645,0)&gt;0,SUM(P643:P645)/3-SUM(O643:O645)+_xlfn.XLOOKUP("X",C643:C645,O643:O645,0),LARGE(P643:P645,1)-SUM(O643:O645))))),IF(OR($C643="W",$C643="1/2W",$C643="1/2L"),P643-SUM(O643:O644)+_xlfn.XLOOKUP("X",C643:C645,O643:O645,0),IF(OR($C643="W",$C643="1/2W",$C643="1/2L"),P644-SUM(O643:O644)+_xlfn.XLOOKUP("X",C643:C645,O643:O645,0),SUM(P643:P644)/2-SUM(O643:O644)+_xlfn.XLOOKUP("X",C643:C645,O643:O645,0)))))))),2))</f>
        <v>2.66</v>
      </c>
      <c r="T643" s="190">
        <f>IF(S643=0,0,S643/SUM(O643:O645))</f>
        <v>0.0425804386105331</v>
      </c>
      <c r="U643" s="191">
        <f>IF($D643=$D640,IF(OR($B643="LOSS",$B643="OK",$B643="Anulada"),S643,0)+U640,IF(OR($B643="LOSS",$B643="OK",$B643="Anulada"),S643,0))</f>
        <v>5.88</v>
      </c>
      <c r="V643" s="191">
        <f>IF($D643="",0,IF($D643=$D640,IF($B643=" ",IF(I645="",IF(OR(AND(I643="DNB1",I644="DNB2"),AND(OR(I643="DNB1",I643="DNB2"),J644=0),AND(OR(I644="DNB1",I644="DNB2"),J643=0),AND(I643="DNB2",I644="DNB1"),AND(IF(J643=0,(J643+1)/ROUND(J643+1,0),J643/ROUND(J643,0))=1,IF(J644=0,(J644+1)/ROUND(IF(J644="",0,J644)+1,0),IF(J644="",0,J644)/ROUND(IF(J644="",1,J644),0))=1,OR(J643&lt;&gt;""),J644&lt;&gt;"")),0,IF(S643&lt;0,IF(I645="",SMALL(P643:P644,1)-SUM(O643:O644),0),SMALL(P643:P644,1)-SUM(O643:O644))),IF(S643&lt;0,IF(I645="",SMALL(P643:P645,1)-SUM(O643:O645),0),LARGE(P643:P645,1)-SUM(O643:O645))),S643)+V640,IF(I645="",IF(OR(AND(I643="DNB1",I644="DNB2"),AND(OR(I643="DNB1",I643="DNB2"),J644=0),AND(OR(I644="DNB1",I644="DNB2"),J643=0),AND(I643="DNB2",I644="DNB1"),AND(IF(J643=0,(J643+1)/ROUND(J643+1,0),J643/ROUND(J643,0))=1,IF(J644=0,(IF(J644="",0,J644)+1)/ROUND(IF(J644="",0,J644)+1,0),IF(J644="",0,J644)/ROUND(IF(J644="",0,J644)+1,0))=1,OR(J643&lt;&gt;""),J644&lt;&gt;"")),0,IF(S643&lt;0,IF(I645="",SMALL(P643:P644,1)-SUM(O643:O644),0),SMALL(P643:P645,1)-SUM(O643:O645))),IF(S643&lt;0,IF(I645="",SMALL(P643:P645,1)-SUM(O643:O645),0),LARGE(P643:P645,1)-SUM(O643:O645)))))</f>
        <v>5.876</v>
      </c>
      <c r="W643" s="191">
        <f>IF($D643=$D640,IF(S643&lt;0,IF(I645="",S643,0),S643)+W640,S643)</f>
        <v>5.88</v>
      </c>
      <c r="X643" t="s" s="192">
        <f>IF(OR(SUM(R643:R645)=0,V643=W643),ROUND(IF(W643=0,0,W643/Y643)*100,2)&amp;"%",ROUND(IF(V643=0,0,V643/Y643)*100,2)&amp;"% a "&amp;ROUND(IF(W643=0,0,W643/Y643)*100,2)&amp;"%")</f>
        <v>220</v>
      </c>
      <c r="Y643" s="193">
        <f>IF($D643=$D640,Y640+SUM(O643:O645),SUM(O643:O645))</f>
        <v>138.85</v>
      </c>
      <c r="Z643" s="191">
        <f>IF($B643=" ",SUM(O643:O645),0)+Z640</f>
        <v>0</v>
      </c>
      <c r="AA643" s="191">
        <f>IF(G643="","",IF($B643="Anulado",LARGE(P643:P645,1)-SUM(O643:O645)+AA640,AA640))</f>
        <v>26.8740076923077</v>
      </c>
      <c r="AB643" s="191">
        <f>IF($D643="","",AB640+S643)</f>
        <v>460.47</v>
      </c>
      <c r="AC643" s="194">
        <f>IF($D643="","",IF($B643=" ",IF(DAY(G643)=DAY(TODAY()),1+AC640,0+AC640),0+AC640))</f>
        <v>0</v>
      </c>
      <c r="AD643" s="195">
        <f>(((L644/(L644-1)-1)*(1-_xlfn.XLOOKUP(K644,'Janeiro 2023 - Valor Real'!A3:A15,'Janeiro 2023 - Valor Real'!C3:C15,0))+1))/(((L643-1)*(1-_xlfn.XLOOKUP(K643,'Janeiro 2023 - Valor Real'!A3:A15,'Janeiro 2023 - Valor Real'!C3:C15,0))+1)+((L644/(L644-1)-1)*(1-_xlfn.XLOOKUP(K644,'Janeiro 2023 - Valor Real'!A3:A15,'Janeiro 2023 - Valor Real'!C3:C15,0))+1))</f>
        <v>0.471108490566038</v>
      </c>
      <c r="AE643" s="196">
        <f>IF(L643="","",IF(L645&gt;0,(SUM(((L643-1)*(1-_xlfn.XLOOKUP(K643,'Janeiro 2023 - Valor Real'!A3:A15,'Janeiro 2023 - Valor Real'!C3:C15,0))+1),((L644-1)*(1-_xlfn.XLOOKUP(K644,'Janeiro 2023 - Valor Real'!A3:A15,'Janeiro 2023 - Valor Real'!C3:C15,0))+1),((L645-1)*(1-_xlfn.XLOOKUP(K645,'Janeiro 2023 - Valor Real'!A3:A15,'Janeiro 2023 - Valor Real'!C3:C15,0))+1))/((L643-1)*(1-_xlfn.XLOOKUP(K643,'Janeiro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Real'!C3:C15,0))+1))/((L643-1)*(1-_xlfn.XLOOKUP(K643,'Janeiro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Real'!C3:C15,0))+1))/((L644-1)*(1-_xlfn.XLOOKUP(K644,'Janeiro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Real'!C3:C15,0))+1))/((L645-1)*(1-_xlfn.XLOOKUP(K645,'Janeiro 2023 - Valor Real'!A3:A15,'Janeiro 2023 - Valor Real'!C3:C15,0))+1)),IF(I643="Lay",IF(I644="Lay",((L644/(L644-1)-1)*(1-_xlfn.XLOOKUP(K644,'Janeiro 2023 - Valor Real'!A3:A15,'Janeiro 2023 - Valor Real'!C3:C15,0))+1)/(((L644/(L644-1)-1)*(1-_xlfn.XLOOKUP(K644,'Janeiro 2023 - Valor Real'!A3:A15,'Janeiro 2023 - Valor Real'!C3:C15,0))+1)+((L643/(L643-1)-1)*(1-_xlfn.XLOOKUP(K643,'Janeiro 2023 - Valor Real'!A3:A15,'Janeiro 2023 - Valor Real'!C3:C15,0))+1)),((L644-1)*(1-_xlfn.XLOOKUP(K644,'Janeiro 2023 - Valor Real'!A3:A15,'Janeiro 2023 - Valor Real'!C3:C15,0))+1)/(((L644-1)*(1-_xlfn.XLOOKUP(K644,'Janeiro 2023 - Valor Real'!A3:A15,'Janeiro 2023 - Valor Real'!C3:C15,0))+1)+((L643/(L643-1)-1)*(1-_xlfn.XLOOKUP(K643,'Janeiro 2023 - Valor Real'!A3:A15,'Janeiro 2023 - Valor Real'!C3:C15,0))+1))),IF(I644="Lay",(((L644/(L644-1)-1)*(1-_xlfn.XLOOKUP(K644,'Janeiro 2023 - Valor Real'!A3:A15,'Janeiro 2023 - Valor Real'!C3:C15,0))+1))/(((L643-1)*(1-_xlfn.XLOOKUP(K643,'Janeiro 2023 - Valor Real'!A3:A15,'Janeiro 2023 - Valor Real'!C3:C15,0))+1)+((L644/(L644-1)-1)*(1-_xlfn.XLOOKUP(K644,'Janeiro 2023 - Valor Real'!A3:A15,'Janeiro 2023 - Valor Real'!C3:C15,0))+1)),((L644-1)*(1-_xlfn.XLOOKUP(K644,'Janeiro 2023 - Valor Real'!A3:A15,'Janeiro 2023 - Valor Real'!C3:C15,0))+1)/(((L644-1)*(1-_xlfn.XLOOKUP(K644,'Janeiro 2023 - Valor Real'!A3:A15,'Janeiro 2023 - Valor Real'!C3:C15,0))+1)+((L643-1)*(1-_xlfn.XLOOKUP(K643,'Janeiro 2023 - Valor Real'!A3:A15,'Janeiro 2023 - Valor Real'!C3:C15,0))+1))))))</f>
        <v>0.347542409743367</v>
      </c>
      <c r="AF643" s="197">
        <f>IF($K643=AF$3,ROUND(IF(OR($C643="W",$C643="1/2W",$C643="1/2L"),$P643-$O643,IF($C643="X",0,-$O643)),2),0)</f>
        <v>0</v>
      </c>
      <c r="AG643" s="198">
        <f>IF($K643=AG$3,ROUND(IF(OR($C643="W",$C643="1/2W",$C643="1/2L"),$P643-$O643,IF($C643="X",0,-$O643)),2),0)</f>
        <v>-21.71</v>
      </c>
      <c r="AH643" s="198">
        <f>IF($K643=AH$3,ROUND(IF(OR($C643="W",$C643="1/2W",$C643="1/2L"),$P643-$O643,IF($C643="X",0,-$O643)),2),0)</f>
        <v>0</v>
      </c>
      <c r="AI643" s="198">
        <f>IF($K643=AI$3,ROUND(IF(OR($C643="W",$C643="1/2W",$C643="1/2L"),$P643-$O643,IF($C643="X",0,-$O643)),2),0)</f>
        <v>0</v>
      </c>
      <c r="AJ643" s="198">
        <f>IF($K643=AJ$3,ROUND(IF(OR($C643="W",$C643="1/2W",$C643="1/2L"),$P643-$O643,IF($C643="X",0,-$O643)),2),0)</f>
        <v>0</v>
      </c>
      <c r="AK643" s="198">
        <f>IF($K643=AK$3,ROUND(IF(OR($C643="W",$C643="1/2W",$C643="1/2L"),$P643-$O643,IF($C643="X",0,-$O643)),2),0)</f>
        <v>0</v>
      </c>
      <c r="AL643" s="198">
        <f>IF($K643=AL$3,ROUND(IF(OR($C643="W",$C643="1/2W",$C643="1/2L"),$P643-$O643,IF($C643="X",0,-$O643)),2),0)</f>
        <v>0</v>
      </c>
      <c r="AM643" s="198">
        <f>IF($K643=AM$3,ROUND(IF(OR($C643="W",$C643="1/2W",$C643="1/2L"),$P643-$O643,IF($C643="X",0,-$O643)),2),0)</f>
        <v>0</v>
      </c>
      <c r="AN643" s="198">
        <f>IF($K643=AN$3,ROUND(IF(OR($C643="W",$C643="1/2W",$C643="1/2L"),$P643-$O643,IF($C643="X",0,-$O643)),2),0)</f>
        <v>0</v>
      </c>
      <c r="AO643" s="198">
        <f>IF($K643=AO$3,ROUND(IF(OR($C643="W",$C643="1/2W",$C643="1/2L"),$P643-$O643,IF($C643="X",0,-$O643)),2),0)</f>
        <v>0</v>
      </c>
      <c r="AP643" s="198">
        <f>IF($K643=AP$3,ROUND(IF(OR($C643="W",$C643="1/2W",$C643="1/2L"),$P643-$O643,IF($C643="X",0,-$O643)),2),0)</f>
        <v>0</v>
      </c>
      <c r="AQ643" s="198">
        <f>IF($K643=AQ$3,ROUND(IF(OR($C643="W",$C643="1/2W",$C643="1/2L"),$P643-$O643,IF($C643="X",0,-$O643)),2),0)</f>
        <v>0</v>
      </c>
      <c r="AR643" s="199">
        <f>IF($K643=AR$3,ROUND(IF(OR($C643="W",$C643="1/2W",$C643="1/2L"),$P643-$O643,IF($C643="X",0,-$O643)),2),0)</f>
        <v>0</v>
      </c>
      <c r="AS643" s="197">
        <f>IF(AND($B643=" ",$K643=AS$3),$O643,0)</f>
        <v>0</v>
      </c>
      <c r="AT643" s="198">
        <f>IF(AND($B643=" ",$K643=AT$3),$O643,0)</f>
        <v>0</v>
      </c>
      <c r="AU643" s="198">
        <f>IF(AND($B643=" ",$K643=AU$3),$O643,0)</f>
        <v>0</v>
      </c>
      <c r="AV643" s="198">
        <f>IF(AND($B643=" ",$K643=AV$3),$O643,0)</f>
        <v>0</v>
      </c>
      <c r="AW643" s="198">
        <f>IF(AND($B643=" ",$K643=AW$3),$O643,0)</f>
        <v>0</v>
      </c>
      <c r="AX643" s="198">
        <f>IF(AND($B643=" ",$K643=AX$3),$O643,0)</f>
        <v>0</v>
      </c>
      <c r="AY643" s="200">
        <f>IF(AND($B643=" ",$K643=AY$3),$O643,0)</f>
        <v>0</v>
      </c>
      <c r="AZ643" s="201">
        <f>IF(AND($B643=" ",$K643=AZ$3),$O643,0)</f>
        <v>0</v>
      </c>
      <c r="BA643" s="201">
        <f>IF(AND($B643=" ",$K643=BA$3),$O643,0)</f>
        <v>0</v>
      </c>
      <c r="BB643" s="201">
        <f>IF(AND($B643=" ",$K643=BB$3),$O643,0)</f>
        <v>0</v>
      </c>
      <c r="BC643" s="202">
        <f>IF(AND($B643=" ",$K643=BC$3),$O643,0)</f>
        <v>0</v>
      </c>
      <c r="BD643" s="198">
        <f>IF(AND($B643=" ",$K643=BD$3),$O643,0)</f>
        <v>0</v>
      </c>
      <c r="BE643" s="199">
        <f>IF(AND($B643=" ",$K643=BE$3),$O643,0)</f>
        <v>0</v>
      </c>
      <c r="BF643" s="203">
        <f>IF($K643=BF$3,IF($C643="X",0,$O643),0)</f>
        <v>0</v>
      </c>
      <c r="BG643" s="198">
        <f>IF($K643=BG$3,IF($C643="X",0,$O643),0)</f>
        <v>21.71</v>
      </c>
      <c r="BH643" s="198">
        <f>IF($K643=BH$3,IF($C643="X",0,$O643),0)</f>
        <v>0</v>
      </c>
      <c r="BI643" s="198">
        <f>IF($K643=BI$3,IF($C643="X",0,$O643),0)</f>
        <v>0</v>
      </c>
      <c r="BJ643" s="198">
        <f>IF($K643=BJ$3,IF($C643="X",0,$O643),0)</f>
        <v>0</v>
      </c>
      <c r="BK643" s="198">
        <f>IF($K643=BK$3,IF($C643="X",0,$O643),0)</f>
        <v>0</v>
      </c>
      <c r="BL643" s="198">
        <f>IF($K643=BL$3,IF($C643="X",0,$O643),0)</f>
        <v>0</v>
      </c>
      <c r="BM643" s="200">
        <f>IF($K643=BM$3,IF($C643="X",0,$O643),0)</f>
        <v>0</v>
      </c>
      <c r="BN643" s="201">
        <f>IF($K643=BN$3,IF($C643="X",0,$O643),0)</f>
        <v>0</v>
      </c>
      <c r="BO643" s="201">
        <f>IF($K643=BO$3,IF($C643="X",0,$O643),0)</f>
        <v>0</v>
      </c>
      <c r="BP643" s="201">
        <f>IF($K643=BP$3,IF($C643="X",0,$O643),0)</f>
        <v>0</v>
      </c>
      <c r="BQ643" s="202">
        <f>IF($K643=BQ$3,IF($C643="X",0,$O643),0)</f>
        <v>0</v>
      </c>
      <c r="BR643" s="199">
        <f>IF($K643=BR$3,IF($C643="X",0,$O643),0)</f>
        <v>0</v>
      </c>
      <c r="BS643" s="204">
        <f>IF($B643="LOSS",IF(AND($K643=BS$3,$C643="L"),-$O643,0)+IF(AND($K644=BS$3,$C644="L"),-$O644,0)+IF(AND($K645=BS$3,$C645="L"),-$O645,0),IF(OR(AND($K643=BS$3,OR($C643="W",$C643="1/2W")),AND($K644=BS$3,OR($C644="W",$C644="1/2W")),AND($K645=BS$3,OR($C645="W",$C645="1/2W"))),$S643,0))</f>
        <v>0</v>
      </c>
      <c r="BT643" s="201">
        <f>IF($B643="LOSS",IF(AND($K643=BT$3,$C643="L"),-$O643,0)+IF(AND($K644=BT$3,$C644="L"),-$O644,0)+IF(AND($K644=BT$3,$C645="L"),-$O645,0),IF(OR(AND($K644=BT$3,OR($C643="W",$C643="1/2W")),AND($K644=BT$3,OR($C644="W",$C644="1/2W")),AND($K644=BT$3,OR($C645="W",$C645="1/2W"))),$S643,0))</f>
        <v>0</v>
      </c>
      <c r="BU643" s="201">
        <f>IF($B643="LOSS",IF(AND($K643=BU$3,$C643="L"),-$O643,0)+IF(AND($K644=BU$3,$C644="L"),-$O644,0)+IF(AND($K644=BU$3,$C645="L"),-$O645,0),IF(OR(AND($K644=BU$3,OR($C643="W",$C643="1/2W")),AND($K644=BU$3,OR($C644="W",$C644="1/2W")),AND($K644=BU$3,OR($C645="W",$C645="1/2W"))),$S643,0))</f>
        <v>0</v>
      </c>
      <c r="BV643" s="201">
        <f>IF($B643="LOSS",IF(AND($K643=BV$3,$C643="L"),-$O643,0)+IF(AND($K644=BV$3,$C644="L"),-$O644,0)+IF(AND($K645=BV$3,$C645="L"),-$O645,0),IF(OR(AND($K643=BV$3,OR($C643="W",$C643="1/2W")),AND($K644=BV$3,OR($C644="W",$C644="1/2W")),AND($K645=BV$3,OR($C645="W",$C645="1/2W"))),$S643,0))</f>
        <v>0</v>
      </c>
      <c r="BW643" s="201">
        <f>IF($B643="LOSS",IF(AND($K643=BW$3,$C643="L"),-$O643,0)+IF(AND($K644=BW$3,$C644="L"),-$O644,0)+IF(AND($K645=BW$3,$C645="L"),-$O645,0),IF(OR(AND($K643=BW$3,OR($C643="W",$C643="1/2W")),AND($K644=BW$3,OR($C644="W",$C644="1/2W")),AND($K645=BW$3,OR($C645="W",$C645="1/2W"))),$S643,0))</f>
        <v>0</v>
      </c>
      <c r="BX643" s="201">
        <f>IF($B643="LOSS",IF(AND($K643=BX$3,$C643="L"),-$O643,0)+IF(AND($K644=BX$3,$C644="L"),-$O644,0)+IF(AND($K645=BX$3,$C645="L"),-$O645,0),IF(OR(AND($K643=BX$3,OR($C643="W",$C643="1/2W")),AND($K644=BX$3,OR($C644="W",$C644="1/2W")),AND($K645=BX$3,OR($C645="W",$C645="1/2W"))),$S643,0))</f>
        <v>0</v>
      </c>
      <c r="BY643" s="201">
        <f>IF($B643="LOSS",IF(AND($K643=BY$3,$C643="L"),-$O643,0)+IF(AND($K644=BY$3,$C644="L"),-$O644,0)+IF(AND($K645=BY$3,$C645="L"),-$O645,0),IF(OR(AND($K643=BY$3,OR($C643="W",$C643="1/2W")),AND($K644=BY$3,OR($C644="W",$C644="1/2W")),AND($K645=BY$3,OR($C645="W",$C645="1/2W"))),$S643,0))</f>
        <v>0</v>
      </c>
      <c r="BZ643" s="205">
        <f>IF($B643="LOSS",IF(AND($K643=BZ$3,$C643="L"),-$O643,0)+IF(AND($K644=BZ$3,$C644="L"),-$O644,0)+IF(AND($K645=BZ$3,$C645="L"),-$O645,0),IF(OR(AND($K643=BZ$3,OR($C643="W",$C643="1/2W")),AND($K644=BZ$3,OR($C644="W",$C644="1/2W")),AND($K645=BZ$3,OR($C645="W",$C645="1/2W"))),$S643,0))</f>
        <v>2.66</v>
      </c>
      <c r="CA643" s="205">
        <f>IF($B643="LOSS",IF(AND($K643=CA$3,$C643="L"),-$O643,0)+IF(AND($K644=CA$3,$C644="L"),-$O644,0)+IF(AND($K645=CA$3,$C645="L"),-$O645,0),IF(OR(AND($K643=CA$3,OR($C643="W",$C643="1/2W")),AND($K644=CA$3,OR($C644="W",$C644="1/2W")),AND($K645=CA$3,OR($C645="W",$C645="1/2W"))),$S643,0))</f>
        <v>0</v>
      </c>
      <c r="CB643" s="205">
        <f>IF($B643="LOSS",IF(AND($K643=CB$3,$C643="L"),-$O643,0)+IF(AND($K644=CB$3,$C644="L"),-$O644,0)+IF(AND($K645=CB$3,$C645="L"),-$O645,0),IF(OR(AND($K643=CB$3,OR($C643="W",$C643="1/2W")),AND($K644=CB$3,OR($C644="W",$C644="1/2W")),AND($K645=CB$3,OR($C645="W",$C645="1/2W"))),$S643,0))</f>
        <v>0</v>
      </c>
      <c r="CC643" s="205">
        <f>IF($B643="LOSS",IF(AND($K643=CC$3,$C643="L"),-$O643,0)+IF(AND($K644=CC$3,$C644="L"),-$O644,0)+IF(AND($K645=CC$3,$C645="L"),-$O645,0),IF(OR(AND($K643=CC$3,OR($C643="W",$C643="1/2W")),AND($K644=CC$3,OR($C644="W",$C644="1/2W")),AND($K645=CC$3,OR($C645="W",$C645="1/2W"))),$S643,0))</f>
        <v>0</v>
      </c>
      <c r="CD643" s="202">
        <f>IF($B643="LOSS",IF(AND($K643=CD$3,$C643="L"),-$O643,0)+IF(AND($K644=CD$3,$C644="L"),-$O644,0)+IF(AND($K645=CD$3,$C645="L"),-$O645,0),IF(OR(AND($K643=CD$3,OR($C643="W",$C643="1/2W")),AND($K644=CD$3,OR($C644="W",$C644="1/2W")),AND($K645=CD$3,OR($C645="W",$C645="1/2W"))),$S643,0))</f>
        <v>0</v>
      </c>
      <c r="CE643" s="199">
        <f>IF($B643="LOSS",IF(AND($K643=CE$3,$C643="L"),-$O643,0)+IF(AND($K644=CE$3,$C644="L"),-$O644,0)+IF(AND($K645=CE$3,$C645="L"),-$O645,0),IF(OR(AND($K643=CE$3,OR($C643="W",$C643="1/2W")),AND($K644=CE$3,OR($C644="W",$C644="1/2W")),AND($K645=CE$3,OR($C645="W",$C645="1/2W"))),$S643,0))</f>
        <v>0</v>
      </c>
      <c r="CF643" s="206">
        <f>IF(CF$3=$K643,IF($C643="W",1,IF($C643="1/2W",0.5,0)),0)</f>
        <v>0</v>
      </c>
      <c r="CG643" s="207">
        <f>IF(CF$3=$K643,IF($C643="L",1,IF($C643="1/2L",0.5,0)),0)</f>
        <v>0</v>
      </c>
      <c r="CH643" s="207">
        <f>IF(CH$3=$K643,IF($C643="W",1,IF($C643="1/2W",0.5,0)),0)</f>
        <v>0</v>
      </c>
      <c r="CI643" s="207">
        <f>IF(CH$3=$K643,IF($C643="L",1,IF($C643="1/2L",0.5,0)),0)</f>
        <v>1</v>
      </c>
      <c r="CJ643" s="207">
        <f>IF(CJ$3=$K643,IF($C643="W",1,IF($C643="1/2W",0.5,0)),0)</f>
        <v>0</v>
      </c>
      <c r="CK643" s="207">
        <f>IF(CJ$3=$K643,IF($C643="L",1,IF($C643="1/2L",0.5,0)),0)</f>
        <v>0</v>
      </c>
      <c r="CL643" s="207">
        <f>IF(CL$3=$K643,IF($C643="W",1,IF($C643="1/2W",0.5,0)),0)</f>
        <v>0</v>
      </c>
      <c r="CM643" s="207">
        <f>IF(CL$3=$K643,IF($C643="L",1,IF($C643="1/2L",0.5,0)),0)</f>
        <v>0</v>
      </c>
      <c r="CN643" s="207">
        <f>IF(CN$3=$K643,IF($C643="W",1,IF($C643="1/2W",0.5,0)),0)</f>
        <v>0</v>
      </c>
      <c r="CO643" s="207">
        <f>IF(CN$3=$K643,IF($C643="L",1,IF($C643="1/2L",0.5,0)),0)</f>
        <v>0</v>
      </c>
      <c r="CP643" s="207">
        <f>IF(CP$3=$K643,IF($C643="W",1,IF($C643="1/2W",0.5,0)),0)</f>
        <v>0</v>
      </c>
      <c r="CQ643" s="207">
        <f>IF(CP$3=$K643,IF($C643="L",1,IF($C643="1/2L",0.5,0)),0)</f>
        <v>0</v>
      </c>
      <c r="CR643" s="207">
        <f>IF(CR$3=$K643,IF($C643="W",1,IF($C643="1/2W",0.5,0)),0)</f>
        <v>0</v>
      </c>
      <c r="CS643" s="207">
        <f>IF(CR$3=$K643,IF($C643="L",1,IF($C643="1/2L",0.5,0)),0)</f>
        <v>0</v>
      </c>
      <c r="CT643" s="208">
        <f>IF(CT$3=$K643,IF($C643="W",1,IF($C643="1/2W",0.5,0)),0)</f>
        <v>0</v>
      </c>
      <c r="CU643" s="209">
        <f>IF(CT$3=$K643,IF($C643="L",1,IF($C643="1/2L",0.5,0)),0)</f>
        <v>0</v>
      </c>
      <c r="CV643" s="209">
        <f>IF(CV$3=$K643,IF($C643="W",1,IF($C643="1/2W",0.5,0)),0)</f>
        <v>0</v>
      </c>
      <c r="CW643" s="209">
        <f>IF(CV$3=$K643,IF($C643="L",1,IF($C643="1/2L",0.5,0)),0)</f>
        <v>0</v>
      </c>
      <c r="CX643" s="209">
        <f>IF(CX$3=$K643,IF($C643="W",1,IF($C643="1/2W",0.5,0)),0)</f>
        <v>0</v>
      </c>
      <c r="CY643" s="209">
        <f>IF(CX$3=$K643,IF($C643="L",1,IF($C643="1/2L",0.5,0)),0)</f>
        <v>0</v>
      </c>
      <c r="CZ643" s="209">
        <f>IF(CZ$3=$K643,IF($C643="W",1,IF($C643="1/2W",0.5,0)),0)</f>
        <v>0</v>
      </c>
      <c r="DA643" s="209">
        <f>IF(CZ$3=$K643,IF($C643="L",1,IF($C643="1/2L",0.5,0)),0)</f>
        <v>0</v>
      </c>
      <c r="DB643" s="209">
        <f>IF(DB$3=$K643,IF($C643="W",1,IF($C643="1/2W",0.5,0)),0)</f>
        <v>0</v>
      </c>
      <c r="DC643" s="209">
        <f>IF(DB$3=$K643,IF($C643="L",1,IF($C643="1/2L",0.5,0)),0)</f>
        <v>0</v>
      </c>
      <c r="DD643" s="209">
        <f>IF(DD$3=$K643,IF($C643="W",1,IF($C643="1/2W",0.5,0)),0)</f>
        <v>0</v>
      </c>
      <c r="DE643" s="210">
        <f>IF(DD$3=$K643,IF($C643="L",1,IF($C643="1/2L",0.5,0)),0)</f>
        <v>0</v>
      </c>
      <c r="DF643" s="211">
        <f>IF(AND(L643&lt;DF$3,$C643="W"),1+DF642,DF642)</f>
        <v>17</v>
      </c>
      <c r="DG643" s="198">
        <f>IF(DF643&gt;DF642,L643+DG642,DG642)</f>
        <v>22.628</v>
      </c>
      <c r="DH643" s="209">
        <f>IF(AND(L643&gt;DH$3,$C643="W"),1+DH642,0+DH642)</f>
        <v>16</v>
      </c>
      <c r="DI643" s="198">
        <f>IF(DH643&gt;DH642,L643+DI642,DI642)</f>
        <v>85.45999999999999</v>
      </c>
      <c r="DJ643" t="s" s="306">
        <f>IF($D643="","",$D643)</f>
        <v>462</v>
      </c>
      <c r="DK643" s="209">
        <f>IF(AND($B643=" ",$D643&lt;&gt;""),1,0)</f>
        <v>0</v>
      </c>
    </row>
    <row r="644" ht="14.55" customHeight="1">
      <c r="A644" s="107"/>
      <c r="B644" s="108"/>
      <c r="C644" t="s" s="213">
        <v>56</v>
      </c>
      <c r="D644" s="110"/>
      <c r="E644" s="111"/>
      <c r="F644" s="113"/>
      <c r="G644" s="214"/>
      <c r="H644" s="114"/>
      <c r="I644" t="s" s="215">
        <v>67</v>
      </c>
      <c r="J644" s="296">
        <f>IF(OR(I643="TO",I643="TU",I643="TO1",I643="TU1",I643="TO2",I643="TU2"),J643,IF(OR(I643="AH1",I643="AH2"),IF(OR(I644="AH1",I644="AH2"),-J643,IF(OR(I644="EH1",I644="EH2"),-J643+0.5,"")),IF(OR(I643="EH1",I643="EH2"),IF(OR(I644="AH1",I644="AH2"),-J643+0.5,IF(OR(I644="EH1",I644="EH2"),-J643+1,"")),IF(AND(OR(I643="DNB1",I643="DNB2"),OR(I644="AH1",I644="AH2")),0,IF(AND(I643="Not ScoreBoth",OR(I644="TO1",I644="TO2")),0.5,"")))))</f>
        <v>11.5</v>
      </c>
      <c r="K644" t="s" s="217">
        <v>44</v>
      </c>
      <c r="L644" s="218">
        <v>1.598</v>
      </c>
      <c r="M644" s="219"/>
      <c r="N644" s="120"/>
      <c r="O644" s="220">
        <f>IF(OR(AE643="",AE644=""),"",ROUND(IF(L645&gt;0,IF(M644&gt;0,M644,IF(M643&gt;0,IF(N643=TRUE,ROUND((M643*AE644)/AE643,0),(M643*AE644)/AE643),IF(M644&gt;0,ROUND(M644,IF(N643=0,2,IF(N643=0.1,1,0))),IF(M645&gt;0,ROUND(O645*AE644/AE645,IF(N643=0,2,IF(N643=0.1,1,0))),0)))),IF(M644&gt;0,M644,ROUND((M643*AE644)/AE643,IF(N643=0,2,IF(N643=0.1,1,0))))),2))</f>
        <v>40.76</v>
      </c>
      <c r="P644" s="221">
        <f>IF(OR(L644="",O644=""),"",IF($C644="1/2W",O644/2+O644/2*L644,IF($C644="1/2L",O644/2,IF(I644="Lay",((O644*(L644/(L644-1)))-O644)*(1-_xlfn.XLOOKUP(K644,'Janeiro 2023 - Valor Real'!A3:A15,'Janeiro 2023 - Valor Real'!C3:C15,0))+O644,(O644*L644-O644)*(1-_xlfn.XLOOKUP(K644,'Janeiro 2023 - Valor Real'!A3:A15,'Janeiro 2023 - Valor Real'!C3:C15,0))+O644))))</f>
        <v>65.13448</v>
      </c>
      <c r="Q644" s="222">
        <f>IF(K644="","",IF(_xlfn.XLOOKUP(K644,K$123:K417,DJ$123:DJ417,0,,-1)=DJ644,_xlfn.XLOOKUP(K644,K$123:K417,Q$123:Q417,1,,-1)+1,1))</f>
        <v>1</v>
      </c>
      <c r="R644" s="223">
        <f>IF(K644="","",_xlfn.XLOOKUP(K644,K$123:K417,R$123:R417,0,,-1)+IF($C644=" ",1,0))</f>
        <v>0</v>
      </c>
      <c r="S644" s="125"/>
      <c r="T644" s="126"/>
      <c r="U644" s="126"/>
      <c r="V644" s="224"/>
      <c r="W644" s="126"/>
      <c r="X644" s="127"/>
      <c r="Y644" s="128"/>
      <c r="Z644" s="129"/>
      <c r="AA644" s="129"/>
      <c r="AB644" s="129"/>
      <c r="AC644" s="129"/>
      <c r="AD644" s="225">
        <f>(((L644/(L644-1)-1)*(1-_xlfn.XLOOKUP(K644,'Janeiro 2023 - Valor Real'!A3:A15,'Janeiro 2023 - Valor Real'!C3:C15,0))+1))</f>
        <v>2.67224080267559</v>
      </c>
      <c r="AE644" s="226">
        <f>IF(L644="","",IF(L645&gt;0,(SUM(((L643-1)*(1-_xlfn.XLOOKUP(K643,'Janeiro 2023 - Valor Real'!A3:A15,'Janeiro 2023 - Valor Real'!C3:C15,0))+1),((L644-1)*(1-_xlfn.XLOOKUP(K644,'Janeiro 2023 - Valor Real'!A3:A15,'Janeiro 2023 - Valor Real'!C3:C15,0))+1),((L645-1)*(1-_xlfn.XLOOKUP(K645,'Janeiro 2023 - Valor Real'!A3:A15,'Janeiro 2023 - Valor Real'!C3:C15,0))+1))/((L644-1)*(1-_xlfn.XLOOKUP(K644,'Janeiro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Real'!C3:C15,0))+1))/((L643-1)*(1-_xlfn.XLOOKUP(K643,'Janeiro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Real'!C3:C15,0))+1))/((L644-1)*(1-_xlfn.XLOOKUP(K644,'Janeiro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Real'!C3:C15,0))+1))/((L645-1)*(1-_xlfn.XLOOKUP(K645,'Janeiro 2023 - Valor Real'!A3:A15,'Janeiro 2023 - Valor Real'!C3:C15,0))+1)),IF(I644="Lay",IF(I643="Lay",((L643/(L643-1)-1)*(1-_xlfn.XLOOKUP(K643,'Janeiro 2023 - Valor Real'!A3:A15,'Janeiro 2023 - Valor Real'!C3:C15,0))+1)/(((L643/(L643-1)-1)*(1-_xlfn.XLOOKUP(K643,'Janeiro 2023 - Valor Real'!A3:A15,'Janeiro 2023 - Valor Real'!C3:C15,0))+1)+((L644/(L644-1)-1)*(1-_xlfn.XLOOKUP(K644,'Janeiro 2023 - Valor Real'!A3:A15,'Janeiro 2023 - Valor Real'!C3:C15,0))+1)),((L643-1)*(1-_xlfn.XLOOKUP(K643,'Janeiro 2023 - Valor Real'!A3:A15,'Janeiro 2023 - Valor Real'!C3:C15,0))+1)/(((L643-1)*(1-_xlfn.XLOOKUP(K643,'Janeiro 2023 - Valor Real'!A3:A15,'Janeiro 2023 - Valor Real'!C3:C15,0))+1)+((L644/(L644-1)-1)*(1-_xlfn.XLOOKUP(K644,'Janeiro 2023 - Valor Real'!A3:A15,'Janeiro 2023 - Valor Real'!C3:C15,0))+1))),IF(I643="Lay",((L643/(L643-1)-1)*(1-_xlfn.XLOOKUP(K643,'Janeiro 2023 - Valor Real'!A3:A15,'Janeiro 2023 - Valor Real'!C3:C15,0))+1)/((((L643/(L643-1)-1)*(1-_xlfn.XLOOKUP(K643,'Janeiro 2023 - Valor Real'!A3:A15,'Janeiro 2023 - Valor Real'!C3:C15,0))+1))+((L644-1)*(1-_xlfn.XLOOKUP(K644,'Janeiro 2023 - Valor Real'!A3:A15,'Janeiro 2023 - Valor Real'!C3:C15,0))+1)),((L643-1)*(1-_xlfn.XLOOKUP(K643,'Janeiro 2023 - Valor Real'!A3:A15,'Janeiro 2023 - Valor Real'!C3:C15,0))+1)/(((L643-1)*(1-_xlfn.XLOOKUP(K643,'Janeiro 2023 - Valor Real'!A3:A15,'Janeiro 2023 - Valor Real'!C3:C15,0))+1)+((L644-1)*(1-_xlfn.XLOOKUP(K644,'Janeiro 2023 - Valor Real'!A3:A15,'Janeiro 2023 - Valor Real'!C3:C15,0))+1))))))</f>
        <v>0.652457590256633</v>
      </c>
      <c r="AF644" s="197">
        <f>IF($K644=AF$3,ROUND(IF(OR($C644="W",$C644="1/2W",$C644="1/2L"),$P644-$O644,IF($C644="X",0,-$O644)),2),0)</f>
        <v>0</v>
      </c>
      <c r="AG644" s="198">
        <f>IF($K644=AG$3,ROUND(IF(OR($C644="W",$C644="1/2W",$C644="1/2L"),$P644-$O644,IF($C644="X",0,-$O644)),2),0)</f>
        <v>0</v>
      </c>
      <c r="AH644" s="198">
        <f>IF($K644=AH$3,ROUND(IF(OR($C644="W",$C644="1/2W",$C644="1/2L"),$P644-$O644,IF($C644="X",0,-$O644)),2),0)</f>
        <v>0</v>
      </c>
      <c r="AI644" s="198">
        <f>IF($K644=AI$3,ROUND(IF(OR($C644="W",$C644="1/2W",$C644="1/2L"),$P644-$O644,IF($C644="X",0,-$O644)),2),0)</f>
        <v>0</v>
      </c>
      <c r="AJ644" s="198">
        <f>IF($K644=AJ$3,ROUND(IF(OR($C644="W",$C644="1/2W",$C644="1/2L"),$P644-$O644,IF($C644="X",0,-$O644)),2),0)</f>
        <v>0</v>
      </c>
      <c r="AK644" s="198">
        <f>IF($K644=AK$3,ROUND(IF(OR($C644="W",$C644="1/2W",$C644="1/2L"),$P644-$O644,IF($C644="X",0,-$O644)),2),0)</f>
        <v>0</v>
      </c>
      <c r="AL644" s="198">
        <f>IF($K644=AL$3,ROUND(IF(OR($C644="W",$C644="1/2W",$C644="1/2L"),$P644-$O644,IF($C644="X",0,-$O644)),2),0)</f>
        <v>0</v>
      </c>
      <c r="AM644" s="198">
        <f>IF($K644=AM$3,ROUND(IF(OR($C644="W",$C644="1/2W",$C644="1/2L"),$P644-$O644,IF($C644="X",0,-$O644)),2),0)</f>
        <v>24.37</v>
      </c>
      <c r="AN644" s="198">
        <f>IF($K644=AN$3,ROUND(IF(OR($C644="W",$C644="1/2W",$C644="1/2L"),$P644-$O644,IF($C644="X",0,-$O644)),2),0)</f>
        <v>0</v>
      </c>
      <c r="AO644" s="198">
        <f>IF($K644=AO$3,ROUND(IF(OR($C644="W",$C644="1/2W",$C644="1/2L"),$P644-$O644,IF($C644="X",0,-$O644)),2),0)</f>
        <v>0</v>
      </c>
      <c r="AP644" s="198">
        <f>IF($K644=AP$3,ROUND(IF(OR($C644="W",$C644="1/2W",$C644="1/2L"),$P644-$O644,IF($C644="X",0,-$O644)),2),0)</f>
        <v>0</v>
      </c>
      <c r="AQ644" s="198">
        <f>IF($K644=AQ$3,ROUND(IF(OR($C644="W",$C644="1/2W",$C644="1/2L"),$P644-$O644,IF($C644="X",0,-$O644)),2),0)</f>
        <v>0</v>
      </c>
      <c r="AR644" s="199">
        <f>IF($K644=AR$3,ROUND(IF(OR($C644="W",$C644="1/2W",$C644="1/2L"),$P644-$O644,IF($C644="X",0,-$O644)),2),0)</f>
        <v>0</v>
      </c>
      <c r="AS644" s="197">
        <f>IF(AND($B643=" ",$K644=AS$3),$O644,0)</f>
        <v>0</v>
      </c>
      <c r="AT644" s="198">
        <f>IF(AND($B643=" ",K644=AT$3),$O644,0)</f>
        <v>0</v>
      </c>
      <c r="AU644" s="198">
        <f>IF(AND($B643=" ",$K644=AU$3),$O644,0)</f>
        <v>0</v>
      </c>
      <c r="AV644" s="198">
        <f>IF(AND($B643=" ",$K644=AV$3),$O644,0)</f>
        <v>0</v>
      </c>
      <c r="AW644" s="198">
        <f>IF(AND($B643=" ",$K644=AW$3),$O644,0)</f>
        <v>0</v>
      </c>
      <c r="AX644" s="198">
        <f>IF(AND($B643=" ",$K644=AX$3),$O644,0)</f>
        <v>0</v>
      </c>
      <c r="AY644" s="200">
        <f>IF(AND($B643=" ",$K644=AY$3),$O644,0)</f>
        <v>0</v>
      </c>
      <c r="AZ644" s="201">
        <f>IF(AND($B643=" ",$K644=AZ$3),$O644,0)</f>
        <v>0</v>
      </c>
      <c r="BA644" s="201">
        <f>IF(AND($B643=" ",$K644=BA$3),$O644,0)</f>
        <v>0</v>
      </c>
      <c r="BB644" s="201">
        <f>IF(AND($B643=" ",$K644=BB$3),$O644,0)</f>
        <v>0</v>
      </c>
      <c r="BC644" s="202">
        <f>IF(AND($B643=" ",$K644=BC$3),$O644,0)</f>
        <v>0</v>
      </c>
      <c r="BD644" s="198">
        <f>IF(AND($B643=" ",$K644=BD$3),$O644,0)</f>
        <v>0</v>
      </c>
      <c r="BE644" s="199">
        <f>IF(AND($B643=" ",$K644=BE$3),$O644,0)</f>
        <v>0</v>
      </c>
      <c r="BF644" s="197">
        <f>IF($K644=BF$3,IF($C644="X",0,$O644),0)</f>
        <v>0</v>
      </c>
      <c r="BG644" s="198">
        <f>IF($K644=BG$3,IF($C644="X",0,$O644),0)</f>
        <v>0</v>
      </c>
      <c r="BH644" s="198">
        <f>IF($K644=BH$3,IF($C644="X",0,$O644),0)</f>
        <v>0</v>
      </c>
      <c r="BI644" s="198">
        <f>IF($K644=BI$3,IF($C644="X",0,$O644),0)</f>
        <v>0</v>
      </c>
      <c r="BJ644" s="198">
        <f>IF($K644=BJ$3,IF($C644="X",0,$O644),0)</f>
        <v>0</v>
      </c>
      <c r="BK644" s="198">
        <f>IF($K644=BK$3,IF($C644="X",0,$O644),0)</f>
        <v>0</v>
      </c>
      <c r="BL644" s="198">
        <f>IF($K644=BL$3,IF($C644="X",0,$O644),0)</f>
        <v>0</v>
      </c>
      <c r="BM644" s="227">
        <f>IF($K644=BM$3,IF($C644="X",0,$O644),0)</f>
        <v>40.76</v>
      </c>
      <c r="BN644" s="205">
        <f>IF($K644=BN$3,IF($C644="X",0,$O644),0)</f>
        <v>0</v>
      </c>
      <c r="BO644" s="205">
        <f>IF($K644=BO$3,IF($C644="X",0,$O644),0)</f>
        <v>0</v>
      </c>
      <c r="BP644" s="205">
        <f>IF($K644=BP$3,IF($C644="X",0,$O644),0)</f>
        <v>0</v>
      </c>
      <c r="BQ644" s="202">
        <f>IF($K644=BQ$3,IF($C644="X",0,$O644),0)</f>
        <v>0</v>
      </c>
      <c r="BR644" s="199">
        <f>IF($K644=BR$3,IF($C644="X",0,$O644),0)</f>
        <v>0</v>
      </c>
      <c r="BS644" s="228"/>
      <c r="BT644" s="229"/>
      <c r="BU644" s="140"/>
      <c r="BV644" s="229"/>
      <c r="BW644" s="140"/>
      <c r="BX644" s="140"/>
      <c r="BY644" s="140"/>
      <c r="BZ644" s="229"/>
      <c r="CA644" s="140"/>
      <c r="CB644" s="140"/>
      <c r="CC644" s="140"/>
      <c r="CD644" s="141"/>
      <c r="CE644" s="142"/>
      <c r="CF644" s="230">
        <f>IF(CF$3=$K644,IF($C644="W",1,IF($C644="1/2W",0.5,0)),0)</f>
        <v>0</v>
      </c>
      <c r="CG644" s="231">
        <f>IF(CF$3=$K644,IF($C644="L",1,IF($C644="1/2L",0.5,0)),0)</f>
        <v>0</v>
      </c>
      <c r="CH644" s="231">
        <f>IF(CH$3=$K644,IF($C644="W",1,IF($C644="1/2W",0.5,0)),0)</f>
        <v>0</v>
      </c>
      <c r="CI644" s="231">
        <f>IF(CH$3=$K644,IF($C644="L",1,IF($C644="1/2L",0.5,0)),0)</f>
        <v>0</v>
      </c>
      <c r="CJ644" s="231">
        <f>IF(CJ$3=$K644,IF($C644="W",1,IF($C644="1/2W",0.5,0)),0)</f>
        <v>0</v>
      </c>
      <c r="CK644" s="231">
        <f>IF(CJ$3=$K644,IF($C644="L",1,IF($C644="1/2L",0.5,0)),0)</f>
        <v>0</v>
      </c>
      <c r="CL644" s="231">
        <f>IF(CL$3=$K644,IF($C644="W",1,IF($C644="1/2W",0.5,0)),0)</f>
        <v>0</v>
      </c>
      <c r="CM644" s="231">
        <f>IF(CL$3=$K644,IF($C644="L",1,IF($C644="1/2L",0.5,0)),0)</f>
        <v>0</v>
      </c>
      <c r="CN644" s="231">
        <f>IF(CN$3=$K644,IF($C644="W",1,IF($C644="1/2W",0.5,0)),0)</f>
        <v>0</v>
      </c>
      <c r="CO644" s="231">
        <f>IF(CN$3=$K644,IF($C644="L",1,IF($C644="1/2L",0.5,0)),0)</f>
        <v>0</v>
      </c>
      <c r="CP644" s="231">
        <f>IF(CP$3=$K644,IF($C644="W",1,IF($C644="1/2W",0.5,0)),0)</f>
        <v>0</v>
      </c>
      <c r="CQ644" s="231">
        <f>IF(CP$3=$K644,IF($C644="L",1,IF($C644="1/2L",0.5,0)),0)</f>
        <v>0</v>
      </c>
      <c r="CR644" s="231">
        <f>IF(CR$3=$K644,IF($C644="W",1,IF($C644="1/2W",0.5,0)),0)</f>
        <v>0</v>
      </c>
      <c r="CS644" s="231">
        <f>IF(CR$3=$K644,IF($C644="L",1,IF($C644="1/2L",0.5,0)),0)</f>
        <v>0</v>
      </c>
      <c r="CT644" s="208">
        <f>IF(CT$3=$K644,IF($C644="W",1,IF($C644="1/2W",0.5,0)),0)</f>
        <v>1</v>
      </c>
      <c r="CU644" s="209">
        <f>IF(CT$3=$K644,IF($C644="L",1,IF($C644="1/2L",0.5,0)),0)</f>
        <v>0</v>
      </c>
      <c r="CV644" s="209">
        <f>IF(CV$3=$K644,IF($C644="W",1,IF($C644="1/2W",0.5,0)),0)</f>
        <v>0</v>
      </c>
      <c r="CW644" s="209">
        <f>IF(CV$3=$K644,IF($C644="L",1,IF($C644="1/2L",0.5,0)),0)</f>
        <v>0</v>
      </c>
      <c r="CX644" s="209">
        <f>IF(CX$3=$K644,IF($C644="W",1,IF($C644="1/2W",0.5,0)),0)</f>
        <v>0</v>
      </c>
      <c r="CY644" s="209">
        <f>IF(CX$3=$K644,IF($C644="L",1,IF($C644="1/2L",0.5,0)),0)</f>
        <v>0</v>
      </c>
      <c r="CZ644" s="209">
        <f>IF(CZ$3=$K644,IF($C644="W",1,IF($C644="1/2W",0.5,0)),0)</f>
        <v>0</v>
      </c>
      <c r="DA644" s="209">
        <f>IF(CZ$3=$K644,IF($C644="L",1,IF($C644="1/2L",0.5,0)),0)</f>
        <v>0</v>
      </c>
      <c r="DB644" s="209">
        <f>IF(DB$3=$K644,IF($C644="W",1,IF($C644="1/2W",0.5,0)),0)</f>
        <v>0</v>
      </c>
      <c r="DC644" s="209">
        <f>IF(DB$3=$K644,IF($C644="L",1,IF($C644="1/2L",0.5,0)),0)</f>
        <v>0</v>
      </c>
      <c r="DD644" s="209">
        <f>IF(DD$3=$K644,IF($C644="W",1,IF($C644="1/2W",0.5,0)),0)</f>
        <v>0</v>
      </c>
      <c r="DE644" s="210">
        <f>IF(DD$3=$K644,IF($C644="L",1,IF($C644="1/2L",0.5,0)),0)</f>
        <v>0</v>
      </c>
      <c r="DF644" s="211">
        <f>IF(AND(L644&lt;DF$3,$C644="W"),1+DF643,DF643)</f>
        <v>17</v>
      </c>
      <c r="DG644" s="198">
        <f>IF(DF644&gt;DF643,L644+DG643,DG643)</f>
        <v>22.628</v>
      </c>
      <c r="DH644" s="209">
        <f>IF(AND(L644&gt;DH$3,$C644="W"),1+DH643,0+DH643)</f>
        <v>16</v>
      </c>
      <c r="DI644" s="198">
        <f>IF(DH644&gt;DH643,L644+DI643,DI643)</f>
        <v>85.45999999999999</v>
      </c>
      <c r="DJ644" t="s" s="306">
        <f>IF($D643="","",$D643)</f>
        <v>462</v>
      </c>
      <c r="DK644" s="232"/>
    </row>
    <row r="645" ht="14.55" customHeight="1">
      <c r="A645" s="149"/>
      <c r="B645" s="150"/>
      <c r="C645" t="s" s="233">
        <v>58</v>
      </c>
      <c r="D645" s="152"/>
      <c r="E645" s="153"/>
      <c r="F645" s="155"/>
      <c r="G645" s="234"/>
      <c r="H645" s="156"/>
      <c r="I645" s="235"/>
      <c r="J645" s="236"/>
      <c r="K645" s="237"/>
      <c r="L645" s="238"/>
      <c r="M645" s="239"/>
      <c r="N645" s="161"/>
      <c r="O645" t="s" s="240">
        <f>IF(OR(AE643="",AE644=""),"",IF(L645&gt;0,ROUND(IF(M645&gt;0,M645,IF(M643&gt;0,ROUND((M643*AE645)/AE643,IF(N643=0,2,IF(N643=0.1,1,0))),IF(M644&gt;0,ROUND((M644*AE645)/AE644,IF(N643=0,2,IF(N643=0.1,1,0))),IF(M645&gt;0,M645,0)))),2),""))</f>
      </c>
      <c r="P645" t="s" s="241">
        <f>IF(I644="Lay",O644*(L644/(L644-1))-O644,IF(I643="Lay",O643*(L643/(L643-1))-O643,IF(OR(L645="",O645=""),"",IF($C645="1/2W",O645/2+O645/2*L645,IF($C645="1/2L",O645/2,(O645*L645-O645)*(1-_xlfn.XLOOKUP(K645,'Janeiro 2023 - Valor Real'!A3:A15,'Janeiro 2023 - Valor Real'!C3:C15,0))+O645)))))</f>
      </c>
      <c r="Q645" t="s" s="242">
        <f>IF(K645="","",IF(_xlfn.XLOOKUP(K645,K$124:K418,DJ$124:DJ418,0,,-1)=DJ645,_xlfn.XLOOKUP(K645,K$124:K418,Q$124:Q418,1,,-1)+1,1))</f>
      </c>
      <c r="R645" t="s" s="243">
        <f>IF(K645="","",_xlfn.XLOOKUP(K645,K$124:K418,R$124:R418,0,,-1)+IF($C645=" ",1,0))</f>
      </c>
      <c r="S645" s="166"/>
      <c r="T645" s="155"/>
      <c r="U645" s="155"/>
      <c r="V645" s="166"/>
      <c r="W645" s="155"/>
      <c r="X645" s="167"/>
      <c r="Y645" s="128"/>
      <c r="Z645" s="129"/>
      <c r="AA645" s="129"/>
      <c r="AB645" s="129"/>
      <c r="AC645" s="129"/>
      <c r="AD645" s="244">
        <f>((L644/(L644-1)-1))</f>
        <v>1.67224080267559</v>
      </c>
      <c r="AE645" t="s" s="245">
        <f>IF(L645="","",(SUM(((L643-1)*(1-_xlfn.XLOOKUP(K643,'Janeiro 2023 - Valor Real'!A3:A15,'Janeiro 2023 - Valor Real'!C3:C15,0))+1),((L644-1)*(1-_xlfn.XLOOKUP(K644,'Janeiro 2023 - Valor Real'!A3:A15,'Janeiro 2023 - Valor Real'!C3:C15,0))+1),((L645-1)*(1-_xlfn.XLOOKUP(K645,'Janeiro 2023 - Valor Real'!A3:A15,'Janeiro 2023 - Valor Real'!C3:C15,0))+1))/((L645-1)*(1-_xlfn.XLOOKUP(K645,'Janeiro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Real'!C3:C15,0))+1))/((L643-1)*(1-_xlfn.XLOOKUP(K643,'Janeiro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Real'!C3:C15,0))+1))/((L644-1)*(1-_xlfn.XLOOKUP(K644,'Janeiro 2023 - Valor Real'!A3:A15,'Janeiro 2023 - Valor Real'!C3:C15,0))+1)+SUM(((L643-1)*(1-_xlfn.XLOOKUP(K643,'Janeiro 2023 - Valor Real'!A3:A15,'Janeiro 2023 - Valor Real'!C3:C15,0))+1),((L644-1)*(1-_xlfn.XLOOKUP(K644,'Janeiro 2023 - Valor Real'!A3:A15,'Janeiro 2023 - Valor Real'!C3:C15,0))+1),((L645-1)*(1-_xlfn.XLOOKUP(K645,'Janeiro 2023 - Valor Real'!A3:A15,'Janeiro 2023 - Valor Real'!C3:C15,0))+1))/((L645-1)*(1-_xlfn.XLOOKUP(K645,'Janeiro 2023 - Valor Real'!A3:A15,'Janeiro 2023 - Valor Real'!C3:C15,0))+1)))</f>
      </c>
      <c r="AF645" s="197">
        <f>IF($K645=AF$3,ROUND(IF(OR($C645="W",$C645="1/2W",$C645="1/2L"),$P645-$O645,IF($C645="X",0,-$O645)),2),0)</f>
        <v>0</v>
      </c>
      <c r="AG645" s="198">
        <f>IF($K645=AG$3,ROUND(IF(OR($C645="W",$C645="1/2W",$C645="1/2L"),$P645-$O645,IF($C645="X",0,-$O645)),2),0)</f>
        <v>0</v>
      </c>
      <c r="AH645" s="198">
        <f>IF($K645=AH$3,ROUND(IF(OR($C645="W",$C645="1/2W",$C645="1/2L"),$P645-$O645,IF($C645="X",0,-$O645)),2),0)</f>
        <v>0</v>
      </c>
      <c r="AI645" s="198">
        <f>IF($K645=AI$3,ROUND(IF(OR($C645="W",$C645="1/2W",$C645="1/2L"),$P645-$O645,IF($C645="X",0,-$O645)),2),0)</f>
        <v>0</v>
      </c>
      <c r="AJ645" s="198">
        <f>IF($K645=AJ$3,ROUND(IF(OR($C645="W",$C645="1/2W",$C645="1/2L"),$P645-$O645,IF($C645="X",0,-$O645)),2),0)</f>
        <v>0</v>
      </c>
      <c r="AK645" s="198">
        <f>IF($K645=AK$3,ROUND(IF(OR($C645="W",$C645="1/2W",$C645="1/2L"),$P645-$O645,IF($C645="X",0,-$O645)),2),0)</f>
        <v>0</v>
      </c>
      <c r="AL645" s="198">
        <f>IF($K645=AL$3,ROUND(IF(OR($C645="W",$C645="1/2W",$C645="1/2L"),$P645-$O645,IF($C645="X",0,-$O645)),2),0)</f>
        <v>0</v>
      </c>
      <c r="AM645" s="198">
        <f>IF($K645=AM$3,ROUND(IF(OR($C645="W",$C645="1/2W",$C645="1/2L"),$P645-$O645,IF($C645="X",0,-$O645)),2),0)</f>
        <v>0</v>
      </c>
      <c r="AN645" s="198">
        <f>IF($K645=AN$3,ROUND(IF(OR($C645="W",$C645="1/2W",$C645="1/2L"),$P645-$O645,IF($C645="X",0,-$O645)),2),0)</f>
        <v>0</v>
      </c>
      <c r="AO645" s="198">
        <f>IF($K645=AO$3,ROUND(IF(OR($C645="W",$C645="1/2W",$C645="1/2L"),$P645-$O645,IF($C645="X",0,-$O645)),2),0)</f>
        <v>0</v>
      </c>
      <c r="AP645" s="198">
        <f>IF($K645=AP$3,ROUND(IF(OR($C645="W",$C645="1/2W",$C645="1/2L"),$P645-$O645,IF($C645="X",0,-$O645)),2),0)</f>
        <v>0</v>
      </c>
      <c r="AQ645" s="198">
        <f>IF($K645=AQ$3,ROUND(IF(OR($C645="W",$C645="1/2W",$C645="1/2L"),$P645-$O645,IF($C645="X",0,-$O645)),2),0)</f>
        <v>0</v>
      </c>
      <c r="AR645" s="199">
        <f>IF($K645=AR$3,ROUND(IF(OR($C645="W",$C645="1/2W",$C645="1/2L"),$P645-$O645,IF($C645="X",0,-$O645)),2),0)</f>
        <v>0</v>
      </c>
      <c r="AS645" s="197">
        <f>IF(AND($B643=" ",$K645=AS$3),$O645,0)</f>
        <v>0</v>
      </c>
      <c r="AT645" s="198">
        <f>IF(AND($B643=" ",K645=AT$3),$O645,0)</f>
        <v>0</v>
      </c>
      <c r="AU645" s="198">
        <f>IF(AND($B643=" ",$K645=AU$3),$O645,0)</f>
        <v>0</v>
      </c>
      <c r="AV645" s="198">
        <f>IF(AND($B643=" ",$K645=AV$3),$O645,0)</f>
        <v>0</v>
      </c>
      <c r="AW645" s="198">
        <f>IF(AND($B643=" ",$K645=AW$3),$O645,0)</f>
        <v>0</v>
      </c>
      <c r="AX645" s="198">
        <f>IF(AND($B643=" ",$K645=AX$3),$O645,0)</f>
        <v>0</v>
      </c>
      <c r="AY645" s="200">
        <f>IF(AND($B643=" ",$K645=AY$3),$O645,0)</f>
        <v>0</v>
      </c>
      <c r="AZ645" s="201">
        <f>IF(AND($B643=" ",$K645=AZ$3),$O645,0)</f>
        <v>0</v>
      </c>
      <c r="BA645" s="201">
        <f>IF(AND($B643=" ",$K645=BA$3),$O645,0)</f>
        <v>0</v>
      </c>
      <c r="BB645" s="201">
        <f>IF(AND($B643=" ",$K645=BB$3),$O645,0)</f>
        <v>0</v>
      </c>
      <c r="BC645" s="202">
        <f>IF(AND($B643=" ",$K645=BC$3),$O645,0)</f>
        <v>0</v>
      </c>
      <c r="BD645" s="198">
        <f>IF(AND($B643=" ",$K645=BD$3),$O645,0)</f>
        <v>0</v>
      </c>
      <c r="BE645" s="199">
        <f>IF(AND($B643=" ",$K645=BE$3),$O645,0)</f>
        <v>0</v>
      </c>
      <c r="BF645" s="197">
        <f>IF($K645=BF$3,IF($C645="X",0,$O645),0)</f>
        <v>0</v>
      </c>
      <c r="BG645" s="198">
        <f>IF($K645=BG$3,IF($C645="X",0,$O645),0)</f>
        <v>0</v>
      </c>
      <c r="BH645" s="198">
        <f>IF($K645=BH$3,IF($C645="X",0,$O645),0)</f>
        <v>0</v>
      </c>
      <c r="BI645" s="198">
        <f>IF($K645=BI$3,IF($C645="X",0,$O645),0)</f>
        <v>0</v>
      </c>
      <c r="BJ645" s="198">
        <f>IF($K645=BJ$3,IF($C645="X",0,$O645),0)</f>
        <v>0</v>
      </c>
      <c r="BK645" s="198">
        <f>IF($K645=BK$3,IF($C645="X",0,$O645),0)</f>
        <v>0</v>
      </c>
      <c r="BL645" s="198">
        <f>IF($K645=BL$3,IF($C645="X",0,$O645),0)</f>
        <v>0</v>
      </c>
      <c r="BM645" s="200">
        <f>IF($K645=BM$3,IF($C645="X",0,$O645),0)</f>
        <v>0</v>
      </c>
      <c r="BN645" s="201">
        <f>IF($K645=BN$3,IF($C645="X",0,$O645),0)</f>
        <v>0</v>
      </c>
      <c r="BO645" s="201">
        <f>IF($K645=BO$3,IF($C645="X",0,$O645),0)</f>
        <v>0</v>
      </c>
      <c r="BP645" s="201">
        <f>IF($K645=BP$3,IF($C645="X",0,$O645),0)</f>
        <v>0</v>
      </c>
      <c r="BQ645" s="202">
        <f>IF($K645=BQ$3,IF($C645="X",0,$O645),0)</f>
        <v>0</v>
      </c>
      <c r="BR645" s="199">
        <f>IF($K645=BR$3,IF($C645="X",0,$O645),0)</f>
        <v>0</v>
      </c>
      <c r="BS645" s="228"/>
      <c r="BT645" s="229"/>
      <c r="BU645" s="140"/>
      <c r="BV645" s="229"/>
      <c r="BW645" s="140"/>
      <c r="BX645" s="140"/>
      <c r="BY645" s="140"/>
      <c r="BZ645" s="229"/>
      <c r="CA645" s="140"/>
      <c r="CB645" s="140"/>
      <c r="CC645" s="140"/>
      <c r="CD645" s="141"/>
      <c r="CE645" s="142"/>
      <c r="CF645" s="230">
        <f>IF(CF$3=$K645,IF($C645="W",1,IF($C645="1/2W",0.5,0)),0)</f>
        <v>0</v>
      </c>
      <c r="CG645" s="231">
        <f>IF(CF$3=$K645,IF($C645="L",1,IF($C645="1/2L",0.5,0)),0)</f>
        <v>0</v>
      </c>
      <c r="CH645" s="231">
        <f>IF(CH$3=$K645,IF($C645="W",1,IF($C645="1/2W",0.5,0)),0)</f>
        <v>0</v>
      </c>
      <c r="CI645" s="231">
        <f>IF(CH$3=$K645,IF($C645="L",1,IF($C645="1/2L",0.5,0)),0)</f>
        <v>0</v>
      </c>
      <c r="CJ645" s="231">
        <f>IF(CJ$3=$K645,IF($C645="W",1,IF($C645="1/2W",0.5,0)),0)</f>
        <v>0</v>
      </c>
      <c r="CK645" s="231">
        <f>IF(CJ$3=$K645,IF($C645="L",1,IF($C645="1/2L",0.5,0)),0)</f>
        <v>0</v>
      </c>
      <c r="CL645" s="231">
        <f>IF(CL$3=$K645,IF($C645="W",1,IF($C645="1/2W",0.5,0)),0)</f>
        <v>0</v>
      </c>
      <c r="CM645" s="231">
        <f>IF(CL$3=$K645,IF($C645="L",1,IF($C645="1/2L",0.5,0)),0)</f>
        <v>0</v>
      </c>
      <c r="CN645" s="231">
        <f>IF(CN$3=$K645,IF($C645="W",1,IF($C645="1/2W",0.5,0)),0)</f>
        <v>0</v>
      </c>
      <c r="CO645" s="231">
        <f>IF(CN$3=$K645,IF($C645="L",1,IF($C645="1/2L",0.5,0)),0)</f>
        <v>0</v>
      </c>
      <c r="CP645" s="231">
        <f>IF(CP$3=$K645,IF($C645="W",1,IF($C645="1/2W",0.5,0)),0)</f>
        <v>0</v>
      </c>
      <c r="CQ645" s="231">
        <f>IF(CP$3=$K645,IF($C645="L",1,IF($C645="1/2L",0.5,0)),0)</f>
        <v>0</v>
      </c>
      <c r="CR645" s="231">
        <f>IF(CR$3=$K645,IF($C645="W",1,IF($C645="1/2W",0.5,0)),0)</f>
        <v>0</v>
      </c>
      <c r="CS645" s="231">
        <f>IF(CR$3=$K645,IF($C645="L",1,IF($C645="1/2L",0.5,0)),0)</f>
        <v>0</v>
      </c>
      <c r="CT645" s="208">
        <f>IF(CT$3=$K645,IF($C645="W",1,IF($C645="1/2W",0.5,0)),0)</f>
        <v>0</v>
      </c>
      <c r="CU645" s="209">
        <f>IF(CT$3=$K645,IF($C645="L",1,IF($C645="1/2L",0.5,0)),0)</f>
        <v>0</v>
      </c>
      <c r="CV645" s="209">
        <f>IF(CV$3=$K645,IF($C645="W",1,IF($C645="1/2W",0.5,0)),0)</f>
        <v>0</v>
      </c>
      <c r="CW645" s="209">
        <f>IF(CV$3=$K645,IF($C645="L",1,IF($C645="1/2L",0.5,0)),0)</f>
        <v>0</v>
      </c>
      <c r="CX645" s="209">
        <f>IF(CX$3=$K645,IF($C645="W",1,IF($C645="1/2W",0.5,0)),0)</f>
        <v>0</v>
      </c>
      <c r="CY645" s="209">
        <f>IF(CX$3=$K645,IF($C645="L",1,IF($C645="1/2L",0.5,0)),0)</f>
        <v>0</v>
      </c>
      <c r="CZ645" s="209">
        <f>IF(CZ$3=$K645,IF($C645="W",1,IF($C645="1/2W",0.5,0)),0)</f>
        <v>0</v>
      </c>
      <c r="DA645" s="209">
        <f>IF(CZ$3=$K645,IF($C645="L",1,IF($C645="1/2L",0.5,0)),0)</f>
        <v>0</v>
      </c>
      <c r="DB645" s="209">
        <f>IF(DB$3=$K645,IF($C645="W",1,IF($C645="1/2W",0.5,0)),0)</f>
        <v>0</v>
      </c>
      <c r="DC645" s="209">
        <f>IF(DB$3=$K645,IF($C645="L",1,IF($C645="1/2L",0.5,0)),0)</f>
        <v>0</v>
      </c>
      <c r="DD645" s="209">
        <f>IF(DD$3=$K645,IF($C645="W",1,IF($C645="1/2W",0.5,0)),0)</f>
        <v>0</v>
      </c>
      <c r="DE645" s="210">
        <f>IF(DD$3=$K645,IF($C645="L",1,IF($C645="1/2L",0.5,0)),0)</f>
        <v>0</v>
      </c>
      <c r="DF645" s="211">
        <f>IF(AND(L645&lt;DF$3,$C645="W"),1+DF644,DF644)</f>
        <v>17</v>
      </c>
      <c r="DG645" s="198">
        <f>IF(DF645&gt;DF644,L645+DG644,DG644)</f>
        <v>22.628</v>
      </c>
      <c r="DH645" s="209">
        <f>IF(AND(L645&gt;DH$3,$C645="W"),1+DH644,0+DH644)</f>
        <v>16</v>
      </c>
      <c r="DI645" s="198">
        <f>IF(DH645&gt;DH644,L645+DI644,DI644)</f>
        <v>85.45999999999999</v>
      </c>
      <c r="DJ645" t="s" s="306">
        <f>IF($D643="","",$D643)</f>
        <v>462</v>
      </c>
      <c r="DK645" s="232"/>
    </row>
    <row r="646" ht="14.55" customHeight="1">
      <c r="A646" s="246">
        <f>$A643+1</f>
        <v>215</v>
      </c>
      <c r="B646" t="s" s="247">
        <f>IF(AND(_xlfn.XLOOKUP(H646,H$107:H425,G$107:G425,0)=G646,_xlfn.XLOOKUP("TempoBet",K646:K648,L646:L648,0)&gt;0),"X",IF(OR(C646="W",C647="W",C648="W",C646="1/2W",C647="1/2W",C648="1/2W",C646="1/2L",C647="1/2L",C648="1/2L"),"OK",IF(OR(C646="L",C647="L",C648="L"),"LOSS",IF(OR(C646="X",C647="X",C648="X"),"Anulado"," "))))</f>
        <v>50</v>
      </c>
      <c r="C646" t="s" s="248">
        <v>51</v>
      </c>
      <c r="D646" t="s" s="303">
        <f>IF(G646="","",$D643)</f>
        <v>462</v>
      </c>
      <c r="E646" t="s" s="250">
        <v>63</v>
      </c>
      <c r="F646" t="s" s="251">
        <f>IF(G646="","",IF(OR(AND($C646&lt;&gt;" ",$C647=" "),AND($C647&lt;&gt;" ",$C646=" "),AND(L648&gt;0,OR(AND($C648&lt;&gt;" ",OR($C646=" ",$C647=" ")),AND($C648=" ",OR($C646&lt;&gt;" ",$C647&lt;&gt;" "))))),IF(SUM(F$4:F645)=0,1,LARGE(F$4:F645,1)+1),IF(MONTH(G646)=MONTH(TODAY()),IF(AND(DAY(G646)&lt;DAY(TODAY()),$B646=" "),IF(SUM(F$4:F645)=0,1,LARGE(F$4:F645,1)+1),IF($B646=" ",IF(AND(DAY(G646)=DAY(TODAY()),HOUR(G646)&lt;=HOUR(NOW())+1),IF(AND(HOUR(G646)+2&lt;=HOUR(NOW()),DAY(G646)&lt;=DAY(TODAY()),MINUTE(G646)&lt;=MINUTE(NOW())),IF(SUM(F$4:F645)=0,1,LARGE(F$4:F645,1)+1),IF(OR(MINUTE(G646)&lt;=MINUTE(NOW()),HOUR(G646)&lt;=HOUR(NOW())),"!!!","")),""),"")),"")))</f>
      </c>
      <c r="G646" s="252">
        <v>44955.395833333336</v>
      </c>
      <c r="H646" t="s" s="253">
        <v>465</v>
      </c>
      <c r="I646" s="292">
        <v>2</v>
      </c>
      <c r="J646" s="293"/>
      <c r="K646" t="s" s="256">
        <v>37</v>
      </c>
      <c r="L646" s="257">
        <v>1.66</v>
      </c>
      <c r="M646" s="258"/>
      <c r="N646" s="259">
        <v>0</v>
      </c>
      <c r="O646" s="260">
        <f>IF(OR(AE646="",AE647=""),"",ROUND(IF(L648&gt;0,IF(M646&gt;0,M646,IF(M647&gt;0,ROUND((M647*AE646)/AE647,IF(N646=0,2,IF(N646=0.1,1,0))),ROUND((M648*AE646)/AE648,IF(N646=0,2,IF(N646=0.1,1,0))))),IF(M646&gt;0,M646,ROUND((M647*AE646)/AE647,IF(N646=0,2,IF(N646=0.1,1,0))))),2))</f>
        <v>7.16</v>
      </c>
      <c r="P646" s="261">
        <f>IF(OR(L646="",O646=""),"",IF($C646="1/2W",O646/2+O646/2*L646,IF($C646="1/2L",O646/2,IF(I646="Lay",(O646*(L646/(L646-1))-O646)*(1-_xlfn.XLOOKUP(K646,'Janeiro 2023 - Valor Real'!A3:A15,'Janeiro 2023 - Valor Real'!C3:C15,0))+O646,(O646*L646-O646)*(1-_xlfn.XLOOKUP(K646,'Janeiro 2023 - Valor Real'!A3:A15,'Janeiro 2023 - Valor Real'!C3:C15,0))+O646))))</f>
        <v>11.8856</v>
      </c>
      <c r="Q646" s="262">
        <f>IF(K646="","",IF(_xlfn.XLOOKUP(K646,K$107:K425,DJ$107:DJ425,0,,-1)=DJ646,_xlfn.XLOOKUP(K646,K$107:K425,Q$107:Q425,1,,-1)+1,1))</f>
        <v>1</v>
      </c>
      <c r="R646" s="263">
        <f>IF(K646="","",_xlfn.XLOOKUP(K646,K$107:K425,R$107:R425,0,,-1)+IF($C646=" ",1,0))</f>
        <v>0</v>
      </c>
      <c r="S646" s="264">
        <f>IF($B646="Anulado",0,ROUND(IF(OR($B646="LOSS",$B646="OK"),IF(OR($C646="W",$C646="1/2W",$C646="1/2L"),P646-O646,IF($C646="L",-O646,0))+IF(OR($C647="W",$C647="1/2W",$C647="1/2L"),P647-O647,IF($C647="L",-O647,0))+IF(OR($C648="W",$C648="1/2W",$C648="1/2L"),P648-O648,IF($C648="L",-O648,0)),IF(AND(OR($C646="W",$C646="1/2W",$C646="1/2L"),C647="W"),P646+P647-SUM(O646:O648)+_xlfn.XLOOKUP("X",C646:C648,O646:O648,0),IF(AND(C646=TRUE,C648="W"),P646+P648-SUM(O646:O648),IF(AND(C647="W",C648="W"),P647+P648-SUM(O646:O648)+_xlfn.XLOOKUP("X",C646:C648,O646:O648,0),IF(L648&gt;0,IF(OR($C646="W",$C646="1/2W",$C646="1/2L"),P646-SUM(O646:O648)+_xlfn.XLOOKUP("X",C646:C648,O646:O648,0),IF(OR($C646="W",$C646="1/2W",$C646="1/2L"),P647-SUM(O646:O648)+_xlfn.XLOOKUP("X",C646:C648,O646:O648,0),IF(OR($C646="W",$C646="1/2W",$C646="1/2L"),P648-SUM(O646:O648)+_xlfn.XLOOKUP("X",C646:C648,O646:O648,0),IF(SUM(P646:P648)/3-SUM(O646:O648)+_xlfn.XLOOKUP("X",C646:C648,O646:O648,0)&gt;0,SUM(P646:P648)/3-SUM(O646:O648)+_xlfn.XLOOKUP("X",C646:C648,O646:O648,0),LARGE(P646:P648,1)-SUM(O646:O648))))),IF(OR($C646="W",$C646="1/2W",$C646="1/2L"),P646-SUM(O646:O647)+_xlfn.XLOOKUP("X",C646:C648,O646:O648,0),IF(OR($C646="W",$C646="1/2W",$C646="1/2L"),P647-SUM(O646:O647)+_xlfn.XLOOKUP("X",C646:C648,O646:O648,0),SUM(P646:P647)/2-SUM(O646:O647)+_xlfn.XLOOKUP("X",C646:C648,O646:O648,0)))))))),2))</f>
        <v>0.76</v>
      </c>
      <c r="T646" s="265">
        <f>IF(S646=0,0,S646/SUM(O646:O648))</f>
        <v>0.0683453237410072</v>
      </c>
      <c r="U646" s="266">
        <f>IF($D646=$D643,IF(OR($B646="LOSS",$B646="OK",$B646="Anulada"),S646,0)+U643,IF(OR($B646="LOSS",$B646="OK",$B646="Anulada"),S646,0))</f>
        <v>6.64</v>
      </c>
      <c r="V646" s="266">
        <f>IF($D646="",0,IF($D646=$D643,IF($B646=" ",IF(I648="",IF(OR(AND(I646="DNB1",I647="DNB2"),AND(OR(I646="DNB1",I646="DNB2"),J647=0),AND(OR(I647="DNB1",I647="DNB2"),J646=0),AND(I646="DNB2",I647="DNB1"),AND(IF(J646=0,(J646+1)/ROUND(J646+1,0),J646/ROUND(J646,0))=1,IF(J647=0,(J647+1)/ROUND(IF(J647="",0,J647)+1,0),IF(J647="",0,J647)/ROUND(IF(J647="",1,J647),0))=1,OR(J646&lt;&gt;""),J647&lt;&gt;"")),0,IF(S646&lt;0,IF(I648="",SMALL(P646:P647,1)-SUM(O646:O647),0),SMALL(P646:P647,1)-SUM(O646:O647))),IF(S646&lt;0,IF(I648="",SMALL(P646:P648,1)-SUM(O646:O648),0),LARGE(P646:P648,1)-SUM(O646:O648))),S646)+V643,IF(I648="",IF(OR(AND(I646="DNB1",I647="DNB2"),AND(OR(I646="DNB1",I646="DNB2"),J647=0),AND(OR(I647="DNB1",I647="DNB2"),J646=0),AND(I646="DNB2",I647="DNB1"),AND(IF(J646=0,(J646+1)/ROUND(J646+1,0),J646/ROUND(J646,0))=1,IF(J647=0,(IF(J647="",0,J647)+1)/ROUND(IF(J647="",0,J647)+1,0),IF(J647="",0,J647)/ROUND(IF(J647="",0,J647)+1,0))=1,OR(J646&lt;&gt;""),J647&lt;&gt;"")),0,IF(S646&lt;0,IF(I648="",SMALL(P646:P647,1)-SUM(O646:O647),0),SMALL(P646:P648,1)-SUM(O646:O648))),IF(S646&lt;0,IF(I648="",SMALL(P646:P648,1)-SUM(O646:O648),0),LARGE(P646:P648,1)-SUM(O646:O648)))))</f>
        <v>6.636</v>
      </c>
      <c r="W646" s="266">
        <f>IF($D646=$D643,IF(S646&lt;0,IF(I648="",S646,0),S646)+W643,S646)</f>
        <v>6.64</v>
      </c>
      <c r="X646" t="s" s="267">
        <f>IF(OR(SUM(R646:R648)=0,V646=W646),ROUND(IF(W646=0,0,W646/Y646)*100,2)&amp;"%",ROUND(IF(V646=0,0,V646/Y646)*100,2)&amp;"% a "&amp;ROUND(IF(W646=0,0,W646/Y646)*100,2)&amp;"%")</f>
        <v>466</v>
      </c>
      <c r="Y646" s="268">
        <f>IF($D646=$D643,Y643+SUM(O646:O648),SUM(O646:O648))</f>
        <v>149.97</v>
      </c>
      <c r="Z646" s="266">
        <f>IF($B646=" ",SUM(O646:O648),0)+Z643</f>
        <v>0</v>
      </c>
      <c r="AA646" s="266">
        <f>IF(G646="","",IF($B646="Anulado",LARGE(P646:P648,1)-SUM(O646:O648)+AA643,AA643))</f>
        <v>26.8740076923077</v>
      </c>
      <c r="AB646" s="266">
        <f>IF($D646="","",AB643+S646)</f>
        <v>461.23</v>
      </c>
      <c r="AC646" s="269">
        <f>IF($D646="","",IF($B646=" ",IF(DAY(G646)=DAY(TODAY()),1+AC643,0+AC643),0+AC643))</f>
        <v>0</v>
      </c>
      <c r="AD646" s="270">
        <f>(1-_xlfn.XLOOKUP(K644,'Janeiro 2023 - Valor Real'!A3:A15,'Janeiro 2023 - Valor Real'!C3:C15,0))+1</f>
        <v>2</v>
      </c>
      <c r="AE646" s="271">
        <f>IF(L646="","",IF(L648&gt;0,(SUM(((L646-1)*(1-_xlfn.XLOOKUP(K646,'Janeiro 2023 - Valor Real'!A3:A15,'Janeiro 2023 - Valor Real'!C3:C15,0))+1),((L647-1)*(1-_xlfn.XLOOKUP(K647,'Janeiro 2023 - Valor Real'!A3:A15,'Janeiro 2023 - Valor Real'!C3:C15,0))+1),((L648-1)*(1-_xlfn.XLOOKUP(K648,'Janeiro 2023 - Valor Real'!A3:A15,'Janeiro 2023 - Valor Real'!C3:C15,0))+1))/((L646-1)*(1-_xlfn.XLOOKUP(K646,'Janeiro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Real'!C3:C15,0))+1))/((L646-1)*(1-_xlfn.XLOOKUP(K646,'Janeiro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Real'!C3:C15,0))+1))/((L647-1)*(1-_xlfn.XLOOKUP(K647,'Janeiro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Real'!C3:C15,0))+1))/((L648-1)*(1-_xlfn.XLOOKUP(K648,'Janeiro 2023 - Valor Real'!A3:A15,'Janeiro 2023 - Valor Real'!C3:C15,0))+1)),IF(I646="Lay",IF(I647="Lay",((L647/(L647-1)-1)*(1-_xlfn.XLOOKUP(K647,'Janeiro 2023 - Valor Real'!A3:A15,'Janeiro 2023 - Valor Real'!C3:C15,0))+1)/(((L647/(L647-1)-1)*(1-_xlfn.XLOOKUP(K647,'Janeiro 2023 - Valor Real'!A3:A15,'Janeiro 2023 - Valor Real'!C3:C15,0))+1)+((L646/(L646-1)-1)*(1-_xlfn.XLOOKUP(K646,'Janeiro 2023 - Valor Real'!A3:A15,'Janeiro 2023 - Valor Real'!C3:C15,0))+1)),((L647-1)*(1-_xlfn.XLOOKUP(K647,'Janeiro 2023 - Valor Real'!A3:A15,'Janeiro 2023 - Valor Real'!C3:C15,0))+1)/(((L647-1)*(1-_xlfn.XLOOKUP(K647,'Janeiro 2023 - Valor Real'!A3:A15,'Janeiro 2023 - Valor Real'!C3:C15,0))+1)+((L646/(L646-1)-1)*(1-_xlfn.XLOOKUP(K646,'Janeiro 2023 - Valor Real'!A3:A15,'Janeiro 2023 - Valor Real'!C3:C15,0))+1))),IF(I647="Lay",(((L647/(L647-1)-1)*(1-_xlfn.XLOOKUP(K647,'Janeiro 2023 - Valor Real'!A3:A15,'Janeiro 2023 - Valor Real'!C3:C15,0))+1))/(((L646-1)*(1-_xlfn.XLOOKUP(K646,'Janeiro 2023 - Valor Real'!A3:A15,'Janeiro 2023 - Valor Real'!C3:C15,0))+1)+((L647/(L647-1)-1)*(1-_xlfn.XLOOKUP(K647,'Janeiro 2023 - Valor Real'!A3:A15,'Janeiro 2023 - Valor Real'!C3:C15,0))+1)),((L647-1)*(1-_xlfn.XLOOKUP(K647,'Janeiro 2023 - Valor Real'!A3:A15,'Janeiro 2023 - Valor Real'!C3:C15,0))+1)/(((L647-1)*(1-_xlfn.XLOOKUP(K647,'Janeiro 2023 - Valor Real'!A3:A15,'Janeiro 2023 - Valor Real'!C3:C15,0))+1)+((L646-1)*(1-_xlfn.XLOOKUP(K646,'Janeiro 2023 - Valor Real'!A3:A15,'Janeiro 2023 - Valor Real'!C3:C15,0))+1))))))</f>
        <v>0.643776824034335</v>
      </c>
      <c r="AF646" s="132">
        <f>IF($K646=AF$3,ROUND(IF(OR($C646="W",$C646="1/2W",$C646="1/2L"),$P646-$O646,IF($C646="X",0,-$O646)),2),0)</f>
        <v>-7.16</v>
      </c>
      <c r="AG646" s="133">
        <f>IF($K646=AG$3,ROUND(IF(OR($C646="W",$C646="1/2W",$C646="1/2L"),$P646-$O646,IF($C646="X",0,-$O646)),2),0)</f>
        <v>0</v>
      </c>
      <c r="AH646" s="133">
        <f>IF($K646=AH$3,ROUND(IF(OR($C646="W",$C646="1/2W",$C646="1/2L"),$P646-$O646,IF($C646="X",0,-$O646)),2),0)</f>
        <v>0</v>
      </c>
      <c r="AI646" s="133">
        <f>IF($K646=AI$3,ROUND(IF(OR($C646="W",$C646="1/2W",$C646="1/2L"),$P646-$O646,IF($C646="X",0,-$O646)),2),0)</f>
        <v>0</v>
      </c>
      <c r="AJ646" s="133">
        <f>IF($K646=AJ$3,ROUND(IF(OR($C646="W",$C646="1/2W",$C646="1/2L"),$P646-$O646,IF($C646="X",0,-$O646)),2),0)</f>
        <v>0</v>
      </c>
      <c r="AK646" s="133">
        <f>IF($K646=AK$3,ROUND(IF(OR($C646="W",$C646="1/2W",$C646="1/2L"),$P646-$O646,IF($C646="X",0,-$O646)),2),0)</f>
        <v>0</v>
      </c>
      <c r="AL646" s="133">
        <f>IF($K646=AL$3,ROUND(IF(OR($C646="W",$C646="1/2W",$C646="1/2L"),$P646-$O646,IF($C646="X",0,-$O646)),2),0)</f>
        <v>0</v>
      </c>
      <c r="AM646" s="133">
        <f>IF($K646=AM$3,ROUND(IF(OR($C646="W",$C646="1/2W",$C646="1/2L"),$P646-$O646,IF($C646="X",0,-$O646)),2),0)</f>
        <v>0</v>
      </c>
      <c r="AN646" s="133">
        <f>IF($K646=AN$3,ROUND(IF(OR($C646="W",$C646="1/2W",$C646="1/2L"),$P646-$O646,IF($C646="X",0,-$O646)),2),0)</f>
        <v>0</v>
      </c>
      <c r="AO646" s="133">
        <f>IF($K646=AO$3,ROUND(IF(OR($C646="W",$C646="1/2W",$C646="1/2L"),$P646-$O646,IF($C646="X",0,-$O646)),2),0)</f>
        <v>0</v>
      </c>
      <c r="AP646" s="133">
        <f>IF($K646=AP$3,ROUND(IF(OR($C646="W",$C646="1/2W",$C646="1/2L"),$P646-$O646,IF($C646="X",0,-$O646)),2),0)</f>
        <v>0</v>
      </c>
      <c r="AQ646" s="133">
        <f>IF($K646=AQ$3,ROUND(IF(OR($C646="W",$C646="1/2W",$C646="1/2L"),$P646-$O646,IF($C646="X",0,-$O646)),2),0)</f>
        <v>0</v>
      </c>
      <c r="AR646" s="134">
        <f>IF($K646=AR$3,ROUND(IF(OR($C646="W",$C646="1/2W",$C646="1/2L"),$P646-$O646,IF($C646="X",0,-$O646)),2),0)</f>
        <v>0</v>
      </c>
      <c r="AS646" s="132">
        <f>IF(AND($B646=" ",$K646=AS$3),$O646,0)</f>
        <v>0</v>
      </c>
      <c r="AT646" s="133">
        <f>IF(AND($B646=" ",$K646=AT$3),$O646,0)</f>
        <v>0</v>
      </c>
      <c r="AU646" s="133">
        <f>IF(AND($B646=" ",$K646=AU$3),$O646,0)</f>
        <v>0</v>
      </c>
      <c r="AV646" s="133">
        <f>IF(AND($B646=" ",$K646=AV$3),$O646,0)</f>
        <v>0</v>
      </c>
      <c r="AW646" s="133">
        <f>IF(AND($B646=" ",$K646=AW$3),$O646,0)</f>
        <v>0</v>
      </c>
      <c r="AX646" s="133">
        <f>IF(AND($B646=" ",$K646=AX$3),$O646,0)</f>
        <v>0</v>
      </c>
      <c r="AY646" s="135">
        <f>IF(AND($B646=" ",$K646=AY$3),$O646,0)</f>
        <v>0</v>
      </c>
      <c r="AZ646" s="136">
        <f>IF(AND($B646=" ",$K646=AZ$3),$O646,0)</f>
        <v>0</v>
      </c>
      <c r="BA646" s="136">
        <f>IF(AND($B646=" ",$K646=BA$3),$O646,0)</f>
        <v>0</v>
      </c>
      <c r="BB646" s="136">
        <f>IF(AND($B646=" ",$K646=BB$3),$O646,0)</f>
        <v>0</v>
      </c>
      <c r="BC646" s="137">
        <f>IF(AND($B646=" ",$K646=BC$3),$O646,0)</f>
        <v>0</v>
      </c>
      <c r="BD646" s="133">
        <f>IF(AND($B646=" ",$K646=BD$3),$O646,0)</f>
        <v>0</v>
      </c>
      <c r="BE646" s="134">
        <f>IF(AND($B646=" ",$K646=BE$3),$O646,0)</f>
        <v>0</v>
      </c>
      <c r="BF646" s="132">
        <f>IF($K646=BF$3,IF($C646="X",0,$O646),0)</f>
        <v>7.16</v>
      </c>
      <c r="BG646" s="133">
        <f>IF($K646=BG$3,IF($C646="X",0,$O646),0)</f>
        <v>0</v>
      </c>
      <c r="BH646" s="133">
        <f>IF($K646=BH$3,IF($C646="X",0,$O646),0)</f>
        <v>0</v>
      </c>
      <c r="BI646" s="133">
        <f>IF($K646=BI$3,IF($C646="X",0,$O646),0)</f>
        <v>0</v>
      </c>
      <c r="BJ646" s="133">
        <f>IF($K646=BJ$3,IF($C646="X",0,$O646),0)</f>
        <v>0</v>
      </c>
      <c r="BK646" s="133">
        <f>IF($K646=BK$3,IF($C646="X",0,$O646),0)</f>
        <v>0</v>
      </c>
      <c r="BL646" s="133">
        <f>IF($K646=BL$3,IF($C646="X",0,$O646),0)</f>
        <v>0</v>
      </c>
      <c r="BM646" s="135">
        <f>IF($K646=BM$3,IF($C646="X",0,$O646),0)</f>
        <v>0</v>
      </c>
      <c r="BN646" s="136">
        <f>IF($K646=BN$3,IF($C646="X",0,$O646),0)</f>
        <v>0</v>
      </c>
      <c r="BO646" s="136">
        <f>IF($K646=BO$3,IF($C646="X",0,$O646),0)</f>
        <v>0</v>
      </c>
      <c r="BP646" s="136">
        <f>IF($K646=BP$3,IF($C646="X",0,$O646),0)</f>
        <v>0</v>
      </c>
      <c r="BQ646" s="137">
        <f>IF($K646=BQ$3,IF($C646="X",0,$O646),0)</f>
        <v>0</v>
      </c>
      <c r="BR646" s="134">
        <f>IF($K646=BR$3,IF($C646="X",0,$O646),0)</f>
        <v>0</v>
      </c>
      <c r="BS646" s="170">
        <f>IF($B646="LOSS",IF(AND($K646=BS$3,$C646="L"),-$O646,0)+IF(AND($K647=BS$3,$C647="L"),-$O647,0)+IF(AND($K648=BS$3,$C648="L"),-$O648,0),IF(OR(AND($K646=BS$3,OR($C646="W",$C646="1/2W")),AND($K647=BS$3,OR($C647="W",$C647="1/2W")),AND($K648=BS$3,OR($C648="W",$C648="1/2W"))),$S646,0))</f>
        <v>0</v>
      </c>
      <c r="BT646" s="272">
        <f>IF($B646="LOSS",IF(AND($K646=BT$3,$C646="L"),-$O646,0)+IF(AND($K647=BT$3,$C647="L"),-$O647,0)+IF(AND($K647=BT$3,$C648="L"),-$O648,0),IF(OR(AND($K647=BT$3,OR($C646="W",$C646="1/2W")),AND($K647=BT$3,OR($C647="W",$C647="1/2W")),AND($K647=BT$3,OR($C648="W",$C648="1/2W"))),$S646,0))</f>
        <v>0</v>
      </c>
      <c r="BU646" s="136">
        <f>IF($B646="LOSS",IF(AND($K646=BU$3,$C646="L"),-$O646,0)+IF(AND($K647=BU$3,$C647="L"),-$O647,0)+IF(AND($K647=BU$3,$C648="L"),-$O648,0),IF(OR(AND($K647=BU$3,OR($C646="W",$C646="1/2W")),AND($K647=BU$3,OR($C647="W",$C647="1/2W")),AND($K647=BU$3,OR($C648="W",$C648="1/2W"))),$S646,0))</f>
        <v>0</v>
      </c>
      <c r="BV646" s="136">
        <f>IF($B646="LOSS",IF(AND($K646=BV$3,$C646="L"),-$O646,0)+IF(AND($K647=BV$3,$C647="L"),-$O647,0)+IF(AND($K648=BV$3,$C648="L"),-$O648,0),IF(OR(AND($K646=BV$3,OR($C646="W",$C646="1/2W")),AND($K647=BV$3,OR($C647="W",$C647="1/2W")),AND($K648=BV$3,OR($C648="W",$C648="1/2W"))),$S646,0))</f>
        <v>0</v>
      </c>
      <c r="BW646" s="136">
        <f>IF($B646="LOSS",IF(AND($K646=BW$3,$C646="L"),-$O646,0)+IF(AND($K647=BW$3,$C647="L"),-$O647,0)+IF(AND($K648=BW$3,$C648="L"),-$O648,0),IF(OR(AND($K646=BW$3,OR($C646="W",$C646="1/2W")),AND($K647=BW$3,OR($C647="W",$C647="1/2W")),AND($K648=BW$3,OR($C648="W",$C648="1/2W"))),$S646,0))</f>
        <v>0</v>
      </c>
      <c r="BX646" s="136">
        <f>IF($B646="LOSS",IF(AND($K646=BX$3,$C646="L"),-$O646,0)+IF(AND($K647=BX$3,$C647="L"),-$O647,0)+IF(AND($K648=BX$3,$C648="L"),-$O648,0),IF(OR(AND($K646=BX$3,OR($C646="W",$C646="1/2W")),AND($K647=BX$3,OR($C647="W",$C647="1/2W")),AND($K648=BX$3,OR($C648="W",$C648="1/2W"))),$S646,0))</f>
        <v>0</v>
      </c>
      <c r="BY646" s="136">
        <f>IF($B646="LOSS",IF(AND($K646=BY$3,$C646="L"),-$O646,0)+IF(AND($K647=BY$3,$C647="L"),-$O647,0)+IF(AND($K648=BY$3,$C648="L"),-$O648,0),IF(OR(AND($K646=BY$3,OR($C646="W",$C646="1/2W")),AND($K647=BY$3,OR($C647="W",$C647="1/2W")),AND($K648=BY$3,OR($C648="W",$C648="1/2W"))),$S646,0))</f>
        <v>0</v>
      </c>
      <c r="BZ646" s="136">
        <f>IF($B646="LOSS",IF(AND($K646=BZ$3,$C646="L"),-$O646,0)+IF(AND($K647=BZ$3,$C647="L"),-$O647,0)+IF(AND($K648=BZ$3,$C648="L"),-$O648,0),IF(OR(AND($K646=BZ$3,OR($C646="W",$C646="1/2W")),AND($K647=BZ$3,OR($C647="W",$C647="1/2W")),AND($K648=BZ$3,OR($C648="W",$C648="1/2W"))),$S646,0))</f>
        <v>0</v>
      </c>
      <c r="CA646" s="136">
        <f>IF($B646="LOSS",IF(AND($K646=CA$3,$C646="L"),-$O646,0)+IF(AND($K647=CA$3,$C647="L"),-$O647,0)+IF(AND($K648=CA$3,$C648="L"),-$O648,0),IF(OR(AND($K646=CA$3,OR($C646="W",$C646="1/2W")),AND($K647=CA$3,OR($C647="W",$C647="1/2W")),AND($K648=CA$3,OR($C648="W",$C648="1/2W"))),$S646,0))</f>
        <v>0</v>
      </c>
      <c r="CB646" s="136">
        <f>IF($B646="LOSS",IF(AND($K646=CB$3,$C646="L"),-$O646,0)+IF(AND($K647=CB$3,$C647="L"),-$O647,0)+IF(AND($K648=CB$3,$C648="L"),-$O648,0),IF(OR(AND($K646=CB$3,OR($C646="W",$C646="1/2W")),AND($K647=CB$3,OR($C647="W",$C647="1/2W")),AND($K648=CB$3,OR($C648="W",$C648="1/2W"))),$S646,0))</f>
        <v>0</v>
      </c>
      <c r="CC646" s="136">
        <f>IF($B646="LOSS",IF(AND($K646=CC$3,$C646="L"),-$O646,0)+IF(AND($K647=CC$3,$C647="L"),-$O647,0)+IF(AND($K648=CC$3,$C648="L"),-$O648,0),IF(OR(AND($K646=CC$3,OR($C646="W",$C646="1/2W")),AND($K647=CC$3,OR($C647="W",$C647="1/2W")),AND($K648=CC$3,OR($C648="W",$C648="1/2W"))),$S646,0))</f>
        <v>0</v>
      </c>
      <c r="CD646" s="137">
        <f>IF($B646="LOSS",IF(AND($K646=CD$3,$C646="L"),-$O646,0)+IF(AND($K647=CD$3,$C647="L"),-$O647,0)+IF(AND($K648=CD$3,$C648="L"),-$O648,0),IF(OR(AND($K646=CD$3,OR($C646="W",$C646="1/2W")),AND($K647=CD$3,OR($C647="W",$C647="1/2W")),AND($K648=CD$3,OR($C648="W",$C648="1/2W"))),$S646,0))</f>
        <v>0.76</v>
      </c>
      <c r="CE646" s="134">
        <f>IF($B646="LOSS",IF(AND($K646=CE$3,$C646="L"),-$O646,0)+IF(AND($K647=CE$3,$C647="L"),-$O647,0)+IF(AND($K648=CE$3,$C648="L"),-$O648,0),IF(OR(AND($K646=CE$3,OR($C646="W",$C646="1/2W")),AND($K647=CE$3,OR($C647="W",$C647="1/2W")),AND($K648=CE$3,OR($C648="W",$C648="1/2W"))),$S646,0))</f>
        <v>0</v>
      </c>
      <c r="CF646" s="273">
        <f>IF(CF$3=$K646,IF($C646="W",1,IF($C646="1/2W",0.5,0)),0)</f>
        <v>0</v>
      </c>
      <c r="CG646" s="274">
        <f>IF(CF$3=$K646,IF($C646="L",1,IF($C646="1/2L",0.5,0)),0)</f>
        <v>1</v>
      </c>
      <c r="CH646" s="274">
        <f>IF(CH$3=$K646,IF($C646="W",1,IF($C646="1/2W",0.5,0)),0)</f>
        <v>0</v>
      </c>
      <c r="CI646" s="274">
        <f>IF(CH$3=$K646,IF($C646="L",1,IF($C646="1/2L",0.5,0)),0)</f>
        <v>0</v>
      </c>
      <c r="CJ646" s="274">
        <f>IF(CJ$3=$K646,IF($C646="W",1,IF($C646="1/2W",0.5,0)),0)</f>
        <v>0</v>
      </c>
      <c r="CK646" s="274">
        <f>IF(CJ$3=$K646,IF($C646="L",1,IF($C646="1/2L",0.5,0)),0)</f>
        <v>0</v>
      </c>
      <c r="CL646" s="274">
        <f>IF(CL$3=$K646,IF($C646="W",1,IF($C646="1/2W",0.5,0)),0)</f>
        <v>0</v>
      </c>
      <c r="CM646" s="274">
        <f>IF(CL$3=$K646,IF($C646="L",1,IF($C646="1/2L",0.5,0)),0)</f>
        <v>0</v>
      </c>
      <c r="CN646" s="274">
        <f>IF(CN$3=$K646,IF($C646="W",1,IF($C646="1/2W",0.5,0)),0)</f>
        <v>0</v>
      </c>
      <c r="CO646" s="274">
        <f>IF(CN$3=$K646,IF($C646="L",1,IF($C646="1/2L",0.5,0)),0)</f>
        <v>0</v>
      </c>
      <c r="CP646" s="274">
        <f>IF(CP$3=$K646,IF($C646="W",1,IF($C646="1/2W",0.5,0)),0)</f>
        <v>0</v>
      </c>
      <c r="CQ646" s="274">
        <f>IF(CP$3=$K646,IF($C646="L",1,IF($C646="1/2L",0.5,0)),0)</f>
        <v>0</v>
      </c>
      <c r="CR646" s="274">
        <f>IF(CR$3=$K646,IF($C646="W",1,IF($C646="1/2W",0.5,0)),0)</f>
        <v>0</v>
      </c>
      <c r="CS646" s="274">
        <f>IF(CR$3=$K646,IF($C646="L",1,IF($C646="1/2L",0.5,0)),0)</f>
        <v>0</v>
      </c>
      <c r="CT646" s="145">
        <f>IF(CT$3=$K646,IF($C646="W",1,IF($C646="1/2W",0.5,0)),0)</f>
        <v>0</v>
      </c>
      <c r="CU646" s="146">
        <f>IF(CT$3=$K646,IF($C646="L",1,IF($C646="1/2L",0.5,0)),0)</f>
        <v>0</v>
      </c>
      <c r="CV646" s="146">
        <f>IF(CV$3=$K646,IF($C646="W",1,IF($C646="1/2W",0.5,0)),0)</f>
        <v>0</v>
      </c>
      <c r="CW646" s="146">
        <f>IF(CV$3=$K646,IF($C646="L",1,IF($C646="1/2L",0.5,0)),0)</f>
        <v>0</v>
      </c>
      <c r="CX646" s="146">
        <f>IF(CX$3=$K646,IF($C646="W",1,IF($C646="1/2W",0.5,0)),0)</f>
        <v>0</v>
      </c>
      <c r="CY646" s="146">
        <f>IF(CX$3=$K646,IF($C646="L",1,IF($C646="1/2L",0.5,0)),0)</f>
        <v>0</v>
      </c>
      <c r="CZ646" s="146">
        <f>IF(CZ$3=$K646,IF($C646="W",1,IF($C646="1/2W",0.5,0)),0)</f>
        <v>0</v>
      </c>
      <c r="DA646" s="146">
        <f>IF(CZ$3=$K646,IF($C646="L",1,IF($C646="1/2L",0.5,0)),0)</f>
        <v>0</v>
      </c>
      <c r="DB646" s="146">
        <f>IF(DB$3=$K646,IF($C646="W",1,IF($C646="1/2W",0.5,0)),0)</f>
        <v>0</v>
      </c>
      <c r="DC646" s="146">
        <f>IF(DB$3=$K646,IF($C646="L",1,IF($C646="1/2L",0.5,0)),0)</f>
        <v>0</v>
      </c>
      <c r="DD646" s="146">
        <f>IF(DD$3=$K646,IF($C646="W",1,IF($C646="1/2W",0.5,0)),0)</f>
        <v>0</v>
      </c>
      <c r="DE646" s="147">
        <f>IF(DD$3=$K646,IF($C646="L",1,IF($C646="1/2L",0.5,0)),0)</f>
        <v>0</v>
      </c>
      <c r="DF646" s="143">
        <f>IF(AND(L646&lt;DF$3,$C646="W"),1+DF645,DF645)</f>
        <v>17</v>
      </c>
      <c r="DG646" s="133">
        <f>IF(DF646&gt;DF645,L646+DG645,DG645)</f>
        <v>22.628</v>
      </c>
      <c r="DH646" s="146">
        <f>IF(AND(L646&gt;DH$3,$C646="W"),1+DH645,0+DH645)</f>
        <v>16</v>
      </c>
      <c r="DI646" s="133">
        <f>IF(DH646&gt;DH645,L646+DI645,DI645)</f>
        <v>85.45999999999999</v>
      </c>
      <c r="DJ646" t="s" s="304">
        <f>IF($D646="","",$D646)</f>
        <v>462</v>
      </c>
      <c r="DK646" s="146">
        <f>IF(AND($B646=" ",$D646&lt;&gt;""),1,0)</f>
        <v>0</v>
      </c>
    </row>
    <row r="647" ht="14.55" customHeight="1">
      <c r="A647" s="107"/>
      <c r="B647" s="108"/>
      <c r="C647" t="s" s="109">
        <v>56</v>
      </c>
      <c r="D647" s="110"/>
      <c r="E647" s="111"/>
      <c r="F647" s="113"/>
      <c r="G647" s="252"/>
      <c r="H647" s="114"/>
      <c r="I647" s="294">
        <v>1</v>
      </c>
      <c r="J647" t="s" s="295">
        <f>IF(OR(I646="TO",I646="TU",I646="TO1",I646="TU1",I646="TO2",I646="TU2"),J646,IF(OR(I646="AH1",I646="AH2"),IF(OR(I647="AH1",I647="AH2"),-J646,IF(OR(I647="EH1",I647="EH2"),-J646+0.5,"")),IF(OR(I646="EH1",I646="EH2"),IF(OR(I647="AH1",I647="AH2"),-J646+0.5,IF(OR(I647="EH1",I647="EH2"),-J646+1,"")),IF(AND(OR(I646="DNB1",I646="DNB2"),OR(I647="AH1",I647="AH2")),0,IF(AND(I646="Not ScoreBoth",OR(I647="TO1",I647="TO2")),0.5,"")))))</f>
      </c>
      <c r="K647" t="s" s="117">
        <v>48</v>
      </c>
      <c r="L647" s="277">
        <v>3</v>
      </c>
      <c r="M647" s="278">
        <v>3.96</v>
      </c>
      <c r="N647" s="120"/>
      <c r="O647" s="121">
        <f>IF(OR(AE646="",AE647=""),"",ROUND(IF(L648&gt;0,IF(M647&gt;0,M647,IF(M646&gt;0,IF(N646=TRUE,ROUND((M646*AE647)/AE646,0),(M646*AE647)/AE646),IF(M647&gt;0,ROUND(M647,IF(N646=0,2,IF(N646=0.1,1,0))),IF(M648&gt;0,ROUND(O648*AE647/AE648,IF(N646=0,2,IF(N646=0.1,1,0))),0)))),IF(M647&gt;0,M647,ROUND((M646*AE647)/AE646,IF(N646=0,2,IF(N646=0.1,1,0))))),2))</f>
        <v>3.96</v>
      </c>
      <c r="P647" s="122">
        <f>IF(OR(L647="",O647=""),"",IF($C647="1/2W",O647/2+O647/2*L647,IF($C647="1/2L",O647/2,IF(I647="Lay",((O647*(L647/(L647-1)))-O647)*(1-_xlfn.XLOOKUP(K647,'Janeiro 2023 - Valor Real'!A3:A15,'Janeiro 2023 - Valor Real'!C3:C15,0))+O647,(O647*L647-O647)*(1-_xlfn.XLOOKUP(K647,'Janeiro 2023 - Valor Real'!A3:A15,'Janeiro 2023 - Valor Real'!C3:C15,0))+O647))))</f>
        <v>11.88</v>
      </c>
      <c r="Q647" s="279">
        <f>IF(K647="","",IF(_xlfn.XLOOKUP(K647,K$120:K426,DJ$120:DJ426,0,,-1)=DJ647,_xlfn.XLOOKUP(K647,K$120:K426,Q$120:Q426,1,,-1)+1,1))</f>
        <v>1</v>
      </c>
      <c r="R647" s="280">
        <f>IF(K647="","",_xlfn.XLOOKUP(K647,K$120:K426,R$120:R426,0,,-1)+IF($C647=" ",1,0))</f>
        <v>0</v>
      </c>
      <c r="S647" s="125"/>
      <c r="T647" s="126"/>
      <c r="U647" s="126"/>
      <c r="V647" s="224"/>
      <c r="W647" s="126"/>
      <c r="X647" s="127"/>
      <c r="Y647" s="128"/>
      <c r="Z647" s="129"/>
      <c r="AA647" s="129"/>
      <c r="AB647" s="129"/>
      <c r="AC647" s="129"/>
      <c r="AD647" s="130"/>
      <c r="AE647" s="131">
        <f>IF(L647="","",IF(L648&gt;0,(SUM(((L646-1)*(1-_xlfn.XLOOKUP(K646,'Janeiro 2023 - Valor Real'!A3:A15,'Janeiro 2023 - Valor Real'!C3:C15,0))+1),((L647-1)*(1-_xlfn.XLOOKUP(K647,'Janeiro 2023 - Valor Real'!A3:A15,'Janeiro 2023 - Valor Real'!C3:C15,0))+1),((L648-1)*(1-_xlfn.XLOOKUP(K648,'Janeiro 2023 - Valor Real'!A3:A15,'Janeiro 2023 - Valor Real'!C3:C15,0))+1))/((L647-1)*(1-_xlfn.XLOOKUP(K647,'Janeiro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Real'!C3:C15,0))+1))/((L646-1)*(1-_xlfn.XLOOKUP(K646,'Janeiro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Real'!C3:C15,0))+1))/((L647-1)*(1-_xlfn.XLOOKUP(K647,'Janeiro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Real'!C3:C15,0))+1))/((L648-1)*(1-_xlfn.XLOOKUP(K648,'Janeiro 2023 - Valor Real'!A3:A15,'Janeiro 2023 - Valor Real'!C3:C15,0))+1)),IF(I647="Lay",IF(I646="Lay",((L646/(L646-1)-1)*(1-_xlfn.XLOOKUP(K646,'Janeiro 2023 - Valor Real'!A3:A15,'Janeiro 2023 - Valor Real'!C3:C15,0))+1)/(((L646/(L646-1)-1)*(1-_xlfn.XLOOKUP(K646,'Janeiro 2023 - Valor Real'!A3:A15,'Janeiro 2023 - Valor Real'!C3:C15,0))+1)+((L647/(L647-1)-1)*(1-_xlfn.XLOOKUP(K647,'Janeiro 2023 - Valor Real'!A3:A15,'Janeiro 2023 - Valor Real'!C3:C15,0))+1)),((L646-1)*(1-_xlfn.XLOOKUP(K646,'Janeiro 2023 - Valor Real'!A3:A15,'Janeiro 2023 - Valor Real'!C3:C15,0))+1)/(((L646-1)*(1-_xlfn.XLOOKUP(K646,'Janeiro 2023 - Valor Real'!A3:A15,'Janeiro 2023 - Valor Real'!C3:C15,0))+1)+((L647/(L647-1)-1)*(1-_xlfn.XLOOKUP(K647,'Janeiro 2023 - Valor Real'!A3:A15,'Janeiro 2023 - Valor Real'!C3:C15,0))+1))),IF(I646="Lay",((L646/(L646-1)-1)*(1-_xlfn.XLOOKUP(K646,'Janeiro 2023 - Valor Real'!A3:A15,'Janeiro 2023 - Valor Real'!C3:C15,0))+1)/((((L646/(L646-1)-1)*(1-_xlfn.XLOOKUP(K646,'Janeiro 2023 - Valor Real'!A3:A15,'Janeiro 2023 - Valor Real'!C3:C15,0))+1))+((L647-1)*(1-_xlfn.XLOOKUP(K647,'Janeiro 2023 - Valor Real'!A3:A15,'Janeiro 2023 - Valor Real'!C3:C15,0))+1)),((L646-1)*(1-_xlfn.XLOOKUP(K646,'Janeiro 2023 - Valor Real'!A3:A15,'Janeiro 2023 - Valor Real'!C3:C15,0))+1)/(((L646-1)*(1-_xlfn.XLOOKUP(K646,'Janeiro 2023 - Valor Real'!A3:A15,'Janeiro 2023 - Valor Real'!C3:C15,0))+1)+((L647-1)*(1-_xlfn.XLOOKUP(K647,'Janeiro 2023 - Valor Real'!A3:A15,'Janeiro 2023 - Valor Real'!C3:C15,0))+1))))))</f>
        <v>0.356223175965665</v>
      </c>
      <c r="AF647" s="132">
        <f>IF($K647=AF$3,ROUND(IF(OR($C647="W",$C647="1/2W",$C647="1/2L"),$P647-$O647,IF($C647="X",0,-$O647)),2),0)</f>
        <v>0</v>
      </c>
      <c r="AG647" s="133">
        <f>IF($K647=AG$3,ROUND(IF(OR($C647="W",$C647="1/2W",$C647="1/2L"),$P647-$O647,IF($C647="X",0,-$O647)),2),0)</f>
        <v>0</v>
      </c>
      <c r="AH647" s="133">
        <f>IF($K647=AH$3,ROUND(IF(OR($C647="W",$C647="1/2W",$C647="1/2L"),$P647-$O647,IF($C647="X",0,-$O647)),2),0)</f>
        <v>0</v>
      </c>
      <c r="AI647" s="133">
        <f>IF($K647=AI$3,ROUND(IF(OR($C647="W",$C647="1/2W",$C647="1/2L"),$P647-$O647,IF($C647="X",0,-$O647)),2),0)</f>
        <v>0</v>
      </c>
      <c r="AJ647" s="133">
        <f>IF($K647=AJ$3,ROUND(IF(OR($C647="W",$C647="1/2W",$C647="1/2L"),$P647-$O647,IF($C647="X",0,-$O647)),2),0)</f>
        <v>0</v>
      </c>
      <c r="AK647" s="133">
        <f>IF($K647=AK$3,ROUND(IF(OR($C647="W",$C647="1/2W",$C647="1/2L"),$P647-$O647,IF($C647="X",0,-$O647)),2),0)</f>
        <v>0</v>
      </c>
      <c r="AL647" s="133">
        <f>IF($K647=AL$3,ROUND(IF(OR($C647="W",$C647="1/2W",$C647="1/2L"),$P647-$O647,IF($C647="X",0,-$O647)),2),0)</f>
        <v>0</v>
      </c>
      <c r="AM647" s="133">
        <f>IF($K647=AM$3,ROUND(IF(OR($C647="W",$C647="1/2W",$C647="1/2L"),$P647-$O647,IF($C647="X",0,-$O647)),2),0)</f>
        <v>0</v>
      </c>
      <c r="AN647" s="133">
        <f>IF($K647=AN$3,ROUND(IF(OR($C647="W",$C647="1/2W",$C647="1/2L"),$P647-$O647,IF($C647="X",0,-$O647)),2),0)</f>
        <v>0</v>
      </c>
      <c r="AO647" s="133">
        <f>IF($K647=AO$3,ROUND(IF(OR($C647="W",$C647="1/2W",$C647="1/2L"),$P647-$O647,IF($C647="X",0,-$O647)),2),0)</f>
        <v>0</v>
      </c>
      <c r="AP647" s="133">
        <f>IF($K647=AP$3,ROUND(IF(OR($C647="W",$C647="1/2W",$C647="1/2L"),$P647-$O647,IF($C647="X",0,-$O647)),2),0)</f>
        <v>0</v>
      </c>
      <c r="AQ647" s="133">
        <f>IF($K647=AQ$3,ROUND(IF(OR($C647="W",$C647="1/2W",$C647="1/2L"),$P647-$O647,IF($C647="X",0,-$O647)),2),0)</f>
        <v>7.92</v>
      </c>
      <c r="AR647" s="134">
        <f>IF($K647=AR$3,ROUND(IF(OR($C647="W",$C647="1/2W",$C647="1/2L"),$P647-$O647,IF($C647="X",0,-$O647)),2),0)</f>
        <v>0</v>
      </c>
      <c r="AS647" s="132">
        <f>IF(AND($B646=" ",$K647=AS$3),$O647,0)</f>
        <v>0</v>
      </c>
      <c r="AT647" s="133">
        <f>IF(AND($B646=" ",K647=AT$3),$O647,0)</f>
        <v>0</v>
      </c>
      <c r="AU647" s="133">
        <f>IF(AND($B646=" ",$K647=AU$3),$O647,0)</f>
        <v>0</v>
      </c>
      <c r="AV647" s="133">
        <f>IF(AND($B646=" ",$K647=AV$3),$O647,0)</f>
        <v>0</v>
      </c>
      <c r="AW647" s="133">
        <f>IF(AND($B646=" ",$K647=AW$3),$O647,0)</f>
        <v>0</v>
      </c>
      <c r="AX647" s="133">
        <f>IF(AND($B646=" ",$K647=AX$3),$O647,0)</f>
        <v>0</v>
      </c>
      <c r="AY647" s="135">
        <f>IF(AND($B646=" ",$K647=AY$3),$O647,0)</f>
        <v>0</v>
      </c>
      <c r="AZ647" s="136">
        <f>IF(AND($B646=" ",$K647=AZ$3),$O647,0)</f>
        <v>0</v>
      </c>
      <c r="BA647" s="136">
        <f>IF(AND($B646=" ",$K647=BA$3),$O647,0)</f>
        <v>0</v>
      </c>
      <c r="BB647" s="136">
        <f>IF(AND($B646=" ",$K647=BB$3),$O647,0)</f>
        <v>0</v>
      </c>
      <c r="BC647" s="137">
        <f>IF(AND($B646=" ",$K647=BC$3),$O647,0)</f>
        <v>0</v>
      </c>
      <c r="BD647" s="133">
        <f>IF(AND($B646=" ",$K647=BD$3),$O647,0)</f>
        <v>0</v>
      </c>
      <c r="BE647" s="134">
        <f>IF(AND($B646=" ",$K647=BE$3),$O647,0)</f>
        <v>0</v>
      </c>
      <c r="BF647" s="132">
        <f>IF($K647=BF$3,IF($C647="X",0,$O647),0)</f>
        <v>0</v>
      </c>
      <c r="BG647" s="281">
        <f>IF($K647=BG$3,IF($C647="X",0,$O647),0)</f>
        <v>0</v>
      </c>
      <c r="BH647" s="133">
        <f>IF($K647=BH$3,IF($C647="X",0,$O647),0)</f>
        <v>0</v>
      </c>
      <c r="BI647" s="133">
        <f>IF($K647=BI$3,IF($C647="X",0,$O647),0)</f>
        <v>0</v>
      </c>
      <c r="BJ647" s="133">
        <f>IF($K647=BJ$3,IF($C647="X",0,$O647),0)</f>
        <v>0</v>
      </c>
      <c r="BK647" s="133">
        <f>IF($K647=BK$3,IF($C647="X",0,$O647),0)</f>
        <v>0</v>
      </c>
      <c r="BL647" s="133">
        <f>IF($K647=BL$3,IF($C647="X",0,$O647),0)</f>
        <v>0</v>
      </c>
      <c r="BM647" s="135">
        <f>IF($K647=BM$3,IF($C647="X",0,$O647),0)</f>
        <v>0</v>
      </c>
      <c r="BN647" s="136">
        <f>IF($K647=BN$3,IF($C647="X",0,$O647),0)</f>
        <v>0</v>
      </c>
      <c r="BO647" s="136">
        <f>IF($K647=BO$3,IF($C647="X",0,$O647),0)</f>
        <v>0</v>
      </c>
      <c r="BP647" s="136">
        <f>IF($K647=BP$3,IF($C647="X",0,$O647),0)</f>
        <v>0</v>
      </c>
      <c r="BQ647" s="137">
        <f>IF($K647=BQ$3,IF($C647="X",0,$O647),0)</f>
        <v>3.96</v>
      </c>
      <c r="BR647" s="134">
        <f>IF($K647=BR$3,IF($C647="X",0,$O647),0)</f>
        <v>0</v>
      </c>
      <c r="BS647" s="282"/>
      <c r="BT647" s="283"/>
      <c r="BU647" s="140"/>
      <c r="BV647" s="283"/>
      <c r="BW647" s="140"/>
      <c r="BX647" s="140"/>
      <c r="BY647" s="140"/>
      <c r="BZ647" s="283"/>
      <c r="CA647" s="140"/>
      <c r="CB647" s="140"/>
      <c r="CC647" s="140"/>
      <c r="CD647" s="141"/>
      <c r="CE647" s="142"/>
      <c r="CF647" s="284">
        <f>IF(CF$3=$K647,IF($C647="W",1,IF($C647="1/2W",0.5,0)),0)</f>
        <v>0</v>
      </c>
      <c r="CG647" s="285">
        <f>IF(CF$3=$K647,IF($C647="L",1,IF($C647="1/2L",0.5,0)),0)</f>
        <v>0</v>
      </c>
      <c r="CH647" s="285">
        <f>IF(CH$3=$K647,IF($C647="W",1,IF($C647="1/2W",0.5,0)),0)</f>
        <v>0</v>
      </c>
      <c r="CI647" s="285">
        <f>IF(CH$3=$K647,IF($C647="L",1,IF($C647="1/2L",0.5,0)),0)</f>
        <v>0</v>
      </c>
      <c r="CJ647" s="285">
        <f>IF(CJ$3=$K647,IF($C647="W",1,IF($C647="1/2W",0.5,0)),0)</f>
        <v>0</v>
      </c>
      <c r="CK647" s="285">
        <f>IF(CJ$3=$K647,IF($C647="L",1,IF($C647="1/2L",0.5,0)),0)</f>
        <v>0</v>
      </c>
      <c r="CL647" s="285">
        <f>IF(CL$3=$K647,IF($C647="W",1,IF($C647="1/2W",0.5,0)),0)</f>
        <v>0</v>
      </c>
      <c r="CM647" s="285">
        <f>IF(CL$3=$K647,IF($C647="L",1,IF($C647="1/2L",0.5,0)),0)</f>
        <v>0</v>
      </c>
      <c r="CN647" s="285">
        <f>IF(CN$3=$K647,IF($C647="W",1,IF($C647="1/2W",0.5,0)),0)</f>
        <v>0</v>
      </c>
      <c r="CO647" s="285">
        <f>IF(CN$3=$K647,IF($C647="L",1,IF($C647="1/2L",0.5,0)),0)</f>
        <v>0</v>
      </c>
      <c r="CP647" s="285">
        <f>IF(CP$3=$K647,IF($C647="W",1,IF($C647="1/2W",0.5,0)),0)</f>
        <v>0</v>
      </c>
      <c r="CQ647" s="285">
        <f>IF(CP$3=$K647,IF($C647="L",1,IF($C647="1/2L",0.5,0)),0)</f>
        <v>0</v>
      </c>
      <c r="CR647" s="285">
        <f>IF(CR$3=$K647,IF($C647="W",1,IF($C647="1/2W",0.5,0)),0)</f>
        <v>0</v>
      </c>
      <c r="CS647" s="285">
        <f>IF(CR$3=$K647,IF($C647="L",1,IF($C647="1/2L",0.5,0)),0)</f>
        <v>0</v>
      </c>
      <c r="CT647" s="145">
        <f>IF(CT$3=$K647,IF($C647="W",1,IF($C647="1/2W",0.5,0)),0)</f>
        <v>0</v>
      </c>
      <c r="CU647" s="146">
        <f>IF(CT$3=$K647,IF($C647="L",1,IF($C647="1/2L",0.5,0)),0)</f>
        <v>0</v>
      </c>
      <c r="CV647" s="146">
        <f>IF(CV$3=$K647,IF($C647="W",1,IF($C647="1/2W",0.5,0)),0)</f>
        <v>0</v>
      </c>
      <c r="CW647" s="146">
        <f>IF(CV$3=$K647,IF($C647="L",1,IF($C647="1/2L",0.5,0)),0)</f>
        <v>0</v>
      </c>
      <c r="CX647" s="146">
        <f>IF(CX$3=$K647,IF($C647="W",1,IF($C647="1/2W",0.5,0)),0)</f>
        <v>0</v>
      </c>
      <c r="CY647" s="146">
        <f>IF(CX$3=$K647,IF($C647="L",1,IF($C647="1/2L",0.5,0)),0)</f>
        <v>0</v>
      </c>
      <c r="CZ647" s="146">
        <f>IF(CZ$3=$K647,IF($C647="W",1,IF($C647="1/2W",0.5,0)),0)</f>
        <v>0</v>
      </c>
      <c r="DA647" s="146">
        <f>IF(CZ$3=$K647,IF($C647="L",1,IF($C647="1/2L",0.5,0)),0)</f>
        <v>0</v>
      </c>
      <c r="DB647" s="146">
        <f>IF(DB$3=$K647,IF($C647="W",1,IF($C647="1/2W",0.5,0)),0)</f>
        <v>1</v>
      </c>
      <c r="DC647" s="146">
        <f>IF(DB$3=$K647,IF($C647="L",1,IF($C647="1/2L",0.5,0)),0)</f>
        <v>0</v>
      </c>
      <c r="DD647" s="146">
        <f>IF(DD$3=$K647,IF($C647="W",1,IF($C647="1/2W",0.5,0)),0)</f>
        <v>0</v>
      </c>
      <c r="DE647" s="147">
        <f>IF(DD$3=$K647,IF($C647="L",1,IF($C647="1/2L",0.5,0)),0)</f>
        <v>0</v>
      </c>
      <c r="DF647" s="143">
        <f>IF(AND(L647&lt;DF$3,$C647="W"),1+DF646,DF646)</f>
        <v>17</v>
      </c>
      <c r="DG647" s="133">
        <f>IF(DF647&gt;DF646,L647+DG646,DG646)</f>
        <v>22.628</v>
      </c>
      <c r="DH647" s="146">
        <f>IF(AND(L647&gt;DH$3,$C647="W"),1+DH646,0+DH646)</f>
        <v>16</v>
      </c>
      <c r="DI647" s="133">
        <f>IF(DH647&gt;DH646,L647+DI646,DI646)</f>
        <v>85.45999999999999</v>
      </c>
      <c r="DJ647" t="s" s="304">
        <f>IF($D646="","",$D646)</f>
        <v>462</v>
      </c>
      <c r="DK647" s="286"/>
    </row>
    <row r="648" ht="14.55" customHeight="1">
      <c r="A648" s="149"/>
      <c r="B648" s="150"/>
      <c r="C648" t="s" s="151">
        <v>58</v>
      </c>
      <c r="D648" s="152"/>
      <c r="E648" s="153"/>
      <c r="F648" s="155"/>
      <c r="G648" s="252"/>
      <c r="H648" s="156"/>
      <c r="I648" s="287"/>
      <c r="J648" s="288"/>
      <c r="K648" s="156"/>
      <c r="L648" s="289"/>
      <c r="M648" s="290"/>
      <c r="N648" s="161"/>
      <c r="O648" t="s" s="162">
        <f>IF(OR(AE646="",AE647=""),"",IF(L648&gt;0,ROUND(IF(M648&gt;0,M648,IF(M646&gt;0,ROUND((M646*AE648)/AE646,IF(N646=0,2,IF(N646=0.1,1,0))),IF(M647&gt;0,ROUND((M647*AE648)/AE647,IF(N646=0,2,IF(N646=0.1,1,0))),IF(M648&gt;0,M648,0)))),2),""))</f>
      </c>
      <c r="P648" t="s" s="163">
        <f>IF(I647="Lay",O647*(L647/(L647-1))-O647,IF(I646="Lay",O646*(L646/(L646-1))-O646,IF(OR(L648="",O648=""),"",IF($C648="1/2W",O648/2+O648/2*L648,IF($C648="1/2L",O648/2,(O648*L648-O648)*(1-_xlfn.XLOOKUP(K648,'Janeiro 2023 - Valor Real'!A3:A15,'Janeiro 2023 - Valor Real'!C3:C15,0))+O648)))))</f>
      </c>
      <c r="Q648" t="s" s="154">
        <f>IF(K648="","",IF(_xlfn.XLOOKUP(K648,K$121:K427,DJ$121:DJ427,0,,-1)=DJ648,_xlfn.XLOOKUP(K648,K$121:K427,Q$121:Q427,1,,-1)+1,1))</f>
      </c>
      <c r="R648" t="s" s="163">
        <f>IF(K648="","",_xlfn.XLOOKUP(K648,K$121:K427,R$121:R427,0,,-1)+IF($C648=" ",1,0))</f>
      </c>
      <c r="S648" s="166"/>
      <c r="T648" s="155"/>
      <c r="U648" s="155"/>
      <c r="V648" s="166"/>
      <c r="W648" s="155"/>
      <c r="X648" s="167"/>
      <c r="Y648" s="128"/>
      <c r="Z648" s="129"/>
      <c r="AA648" s="129"/>
      <c r="AB648" s="129"/>
      <c r="AC648" s="129"/>
      <c r="AD648" s="168"/>
      <c r="AE648" t="s" s="169">
        <f>IF(L648="","",(SUM(((L646-1)*(1-_xlfn.XLOOKUP(K646,'Janeiro 2023 - Valor Real'!A3:A15,'Janeiro 2023 - Valor Real'!C3:C15,0))+1),((L647-1)*(1-_xlfn.XLOOKUP(K647,'Janeiro 2023 - Valor Real'!A3:A15,'Janeiro 2023 - Valor Real'!C3:C15,0))+1),((L648-1)*(1-_xlfn.XLOOKUP(K648,'Janeiro 2023 - Valor Real'!A3:A15,'Janeiro 2023 - Valor Real'!C3:C15,0))+1))/((L648-1)*(1-_xlfn.XLOOKUP(K648,'Janeiro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Real'!C3:C15,0))+1))/((L646-1)*(1-_xlfn.XLOOKUP(K646,'Janeiro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Real'!C3:C15,0))+1))/((L647-1)*(1-_xlfn.XLOOKUP(K647,'Janeiro 2023 - Valor Real'!A3:A15,'Janeiro 2023 - Valor Real'!C3:C15,0))+1)+SUM(((L646-1)*(1-_xlfn.XLOOKUP(K646,'Janeiro 2023 - Valor Real'!A3:A15,'Janeiro 2023 - Valor Real'!C3:C15,0))+1),((L647-1)*(1-_xlfn.XLOOKUP(K647,'Janeiro 2023 - Valor Real'!A3:A15,'Janeiro 2023 - Valor Real'!C3:C15,0))+1),((L648-1)*(1-_xlfn.XLOOKUP(K648,'Janeiro 2023 - Valor Real'!A3:A15,'Janeiro 2023 - Valor Real'!C3:C15,0))+1))/((L648-1)*(1-_xlfn.XLOOKUP(K648,'Janeiro 2023 - Valor Real'!A3:A15,'Janeiro 2023 - Valor Real'!C3:C15,0))+1)))</f>
      </c>
      <c r="AF648" s="132">
        <f>IF($K648=AF$3,ROUND(IF(OR($C648="W",$C648="1/2W",$C648="1/2L"),$P648-$O648,IF($C648="X",0,-$O648)),2),0)</f>
        <v>0</v>
      </c>
      <c r="AG648" s="133">
        <f>IF($K648=AG$3,ROUND(IF(OR($C648="W",$C648="1/2W",$C648="1/2L"),$P648-$O648,IF($C648="X",0,-$O648)),2),0)</f>
        <v>0</v>
      </c>
      <c r="AH648" s="133">
        <f>IF($K648=AH$3,ROUND(IF(OR($C648="W",$C648="1/2W",$C648="1/2L"),$P648-$O648,IF($C648="X",0,-$O648)),2),0)</f>
        <v>0</v>
      </c>
      <c r="AI648" s="133">
        <f>IF($K648=AI$3,ROUND(IF(OR($C648="W",$C648="1/2W",$C648="1/2L"),$P648-$O648,IF($C648="X",0,-$O648)),2),0)</f>
        <v>0</v>
      </c>
      <c r="AJ648" s="133">
        <f>IF($K648=AJ$3,ROUND(IF(OR($C648="W",$C648="1/2W",$C648="1/2L"),$P648-$O648,IF($C648="X",0,-$O648)),2),0)</f>
        <v>0</v>
      </c>
      <c r="AK648" s="133">
        <f>IF($K648=AK$3,ROUND(IF(OR($C648="W",$C648="1/2W",$C648="1/2L"),$P648-$O648,IF($C648="X",0,-$O648)),2),0)</f>
        <v>0</v>
      </c>
      <c r="AL648" s="133">
        <f>IF($K648=AL$3,ROUND(IF(OR($C648="W",$C648="1/2W",$C648="1/2L"),$P648-$O648,IF($C648="X",0,-$O648)),2),0)</f>
        <v>0</v>
      </c>
      <c r="AM648" s="133">
        <f>IF($K648=AM$3,ROUND(IF(OR($C648="W",$C648="1/2W",$C648="1/2L"),$P648-$O648,IF($C648="X",0,-$O648)),2),0)</f>
        <v>0</v>
      </c>
      <c r="AN648" s="133">
        <f>IF($K648=AN$3,ROUND(IF(OR($C648="W",$C648="1/2W",$C648="1/2L"),$P648-$O648,IF($C648="X",0,-$O648)),2),0)</f>
        <v>0</v>
      </c>
      <c r="AO648" s="133">
        <f>IF($K648=AO$3,ROUND(IF(OR($C648="W",$C648="1/2W",$C648="1/2L"),$P648-$O648,IF($C648="X",0,-$O648)),2),0)</f>
        <v>0</v>
      </c>
      <c r="AP648" s="133">
        <f>IF($K648=AP$3,ROUND(IF(OR($C648="W",$C648="1/2W",$C648="1/2L"),$P648-$O648,IF($C648="X",0,-$O648)),2),0)</f>
        <v>0</v>
      </c>
      <c r="AQ648" s="133">
        <f>IF($K648=AQ$3,ROUND(IF(OR($C648="W",$C648="1/2W",$C648="1/2L"),$P648-$O648,IF($C648="X",0,-$O648)),2),0)</f>
        <v>0</v>
      </c>
      <c r="AR648" s="134">
        <f>IF($K648=AR$3,ROUND(IF(OR($C648="W",$C648="1/2W",$C648="1/2L"),$P648-$O648,IF($C648="X",0,-$O648)),2),0)</f>
        <v>0</v>
      </c>
      <c r="AS648" s="132">
        <f>IF(AND($B646=" ",$K648=AS$3),$O648,0)</f>
        <v>0</v>
      </c>
      <c r="AT648" s="133">
        <f>IF(AND($B646=" ",K648=AT$3),$O648,0)</f>
        <v>0</v>
      </c>
      <c r="AU648" s="133">
        <f>IF(AND($B646=" ",$K648=AU$3),$O648,0)</f>
        <v>0</v>
      </c>
      <c r="AV648" s="133">
        <f>IF(AND($B646=" ",$K648=AV$3),$O648,0)</f>
        <v>0</v>
      </c>
      <c r="AW648" s="133">
        <f>IF(AND($B646=" ",$K648=AW$3),$O648,0)</f>
        <v>0</v>
      </c>
      <c r="AX648" s="133">
        <f>IF(AND($B646=" ",$K648=AX$3),$O648,0)</f>
        <v>0</v>
      </c>
      <c r="AY648" s="135">
        <f>IF(AND($B646=" ",$K648=AY$3),$O648,0)</f>
        <v>0</v>
      </c>
      <c r="AZ648" s="136">
        <f>IF(AND($B646=" ",$K648=AZ$3),$O648,0)</f>
        <v>0</v>
      </c>
      <c r="BA648" s="136">
        <f>IF(AND($B646=" ",$K648=BA$3),$O648,0)</f>
        <v>0</v>
      </c>
      <c r="BB648" s="136">
        <f>IF(AND($B646=" ",$K648=BB$3),$O648,0)</f>
        <v>0</v>
      </c>
      <c r="BC648" s="137">
        <f>IF(AND($B646=" ",$K648=BC$3),$O648,0)</f>
        <v>0</v>
      </c>
      <c r="BD648" s="133">
        <f>IF(AND($B646=" ",$K648=BD$3),$O648,0)</f>
        <v>0</v>
      </c>
      <c r="BE648" s="134">
        <f>IF(AND($B646=" ",$K648=BE$3),$O648,0)</f>
        <v>0</v>
      </c>
      <c r="BF648" s="132">
        <f>IF($K648=BF$3,IF($C648="X",0,$O648),0)</f>
        <v>0</v>
      </c>
      <c r="BG648" s="281">
        <f>IF($K648=BG$3,IF($C648="X",0,$O648),0)</f>
        <v>0</v>
      </c>
      <c r="BH648" s="133">
        <f>IF($K648=BH$3,IF($C648="X",0,$O648),0)</f>
        <v>0</v>
      </c>
      <c r="BI648" s="133">
        <f>IF($K648=BI$3,IF($C648="X",0,$O648),0)</f>
        <v>0</v>
      </c>
      <c r="BJ648" s="133">
        <f>IF($K648=BJ$3,IF($C648="X",0,$O648),0)</f>
        <v>0</v>
      </c>
      <c r="BK648" s="133">
        <f>IF($K648=BK$3,IF($C648="X",0,$O648),0)</f>
        <v>0</v>
      </c>
      <c r="BL648" s="133">
        <f>IF($K648=BL$3,IF($C648="X",0,$O648),0)</f>
        <v>0</v>
      </c>
      <c r="BM648" s="135">
        <f>IF($K648=BM$3,IF($C648="X",0,$O648),0)</f>
        <v>0</v>
      </c>
      <c r="BN648" s="136">
        <f>IF($K648=BN$3,IF($C648="X",0,$O648),0)</f>
        <v>0</v>
      </c>
      <c r="BO648" s="136">
        <f>IF($K648=BO$3,IF($C648="X",0,$O648),0)</f>
        <v>0</v>
      </c>
      <c r="BP648" s="136">
        <f>IF($K648=BP$3,IF($C648="X",0,$O648),0)</f>
        <v>0</v>
      </c>
      <c r="BQ648" s="137">
        <f>IF($K648=BQ$3,IF($C648="X",0,$O648),0)</f>
        <v>0</v>
      </c>
      <c r="BR648" s="134">
        <f>IF($K648=BR$3,IF($C648="X",0,$O648),0)</f>
        <v>0</v>
      </c>
      <c r="BS648" s="282"/>
      <c r="BT648" s="283"/>
      <c r="BU648" s="140"/>
      <c r="BV648" s="283"/>
      <c r="BW648" s="140"/>
      <c r="BX648" s="140"/>
      <c r="BY648" s="140"/>
      <c r="BZ648" s="283"/>
      <c r="CA648" s="140"/>
      <c r="CB648" s="140"/>
      <c r="CC648" s="140"/>
      <c r="CD648" s="141"/>
      <c r="CE648" s="142"/>
      <c r="CF648" s="284">
        <f>IF(CF$3=$K648,IF($C648="W",1,IF($C648="1/2W",0.5,0)),0)</f>
        <v>0</v>
      </c>
      <c r="CG648" s="285">
        <f>IF(CF$3=$K648,IF($C648="L",1,IF($C648="1/2L",0.5,0)),0)</f>
        <v>0</v>
      </c>
      <c r="CH648" s="285">
        <f>IF(CH$3=$K648,IF($C648="W",1,IF($C648="1/2W",0.5,0)),0)</f>
        <v>0</v>
      </c>
      <c r="CI648" s="285">
        <f>IF(CH$3=$K648,IF($C648="L",1,IF($C648="1/2L",0.5,0)),0)</f>
        <v>0</v>
      </c>
      <c r="CJ648" s="285">
        <f>IF(CJ$3=$K648,IF($C648="W",1,IF($C648="1/2W",0.5,0)),0)</f>
        <v>0</v>
      </c>
      <c r="CK648" s="285">
        <f>IF(CJ$3=$K648,IF($C648="L",1,IF($C648="1/2L",0.5,0)),0)</f>
        <v>0</v>
      </c>
      <c r="CL648" s="285">
        <f>IF(CL$3=$K648,IF($C648="W",1,IF($C648="1/2W",0.5,0)),0)</f>
        <v>0</v>
      </c>
      <c r="CM648" s="285">
        <f>IF(CL$3=$K648,IF($C648="L",1,IF($C648="1/2L",0.5,0)),0)</f>
        <v>0</v>
      </c>
      <c r="CN648" s="285">
        <f>IF(CN$3=$K648,IF($C648="W",1,IF($C648="1/2W",0.5,0)),0)</f>
        <v>0</v>
      </c>
      <c r="CO648" s="285">
        <f>IF(CN$3=$K648,IF($C648="L",1,IF($C648="1/2L",0.5,0)),0)</f>
        <v>0</v>
      </c>
      <c r="CP648" s="285">
        <f>IF(CP$3=$K648,IF($C648="W",1,IF($C648="1/2W",0.5,0)),0)</f>
        <v>0</v>
      </c>
      <c r="CQ648" s="285">
        <f>IF(CP$3=$K648,IF($C648="L",1,IF($C648="1/2L",0.5,0)),0)</f>
        <v>0</v>
      </c>
      <c r="CR648" s="285">
        <f>IF(CR$3=$K648,IF($C648="W",1,IF($C648="1/2W",0.5,0)),0)</f>
        <v>0</v>
      </c>
      <c r="CS648" s="285">
        <f>IF(CR$3=$K648,IF($C648="L",1,IF($C648="1/2L",0.5,0)),0)</f>
        <v>0</v>
      </c>
      <c r="CT648" s="145">
        <f>IF(CT$3=$K648,IF($C648="W",1,IF($C648="1/2W",0.5,0)),0)</f>
        <v>0</v>
      </c>
      <c r="CU648" s="146">
        <f>IF(CT$3=$K648,IF($C648="L",1,IF($C648="1/2L",0.5,0)),0)</f>
        <v>0</v>
      </c>
      <c r="CV648" s="146">
        <f>IF(CV$3=$K648,IF($C648="W",1,IF($C648="1/2W",0.5,0)),0)</f>
        <v>0</v>
      </c>
      <c r="CW648" s="146">
        <f>IF(CV$3=$K648,IF($C648="L",1,IF($C648="1/2L",0.5,0)),0)</f>
        <v>0</v>
      </c>
      <c r="CX648" s="146">
        <f>IF(CX$3=$K648,IF($C648="W",1,IF($C648="1/2W",0.5,0)),0)</f>
        <v>0</v>
      </c>
      <c r="CY648" s="146">
        <f>IF(CX$3=$K648,IF($C648="L",1,IF($C648="1/2L",0.5,0)),0)</f>
        <v>0</v>
      </c>
      <c r="CZ648" s="146">
        <f>IF(CZ$3=$K648,IF($C648="W",1,IF($C648="1/2W",0.5,0)),0)</f>
        <v>0</v>
      </c>
      <c r="DA648" s="146">
        <f>IF(CZ$3=$K648,IF($C648="L",1,IF($C648="1/2L",0.5,0)),0)</f>
        <v>0</v>
      </c>
      <c r="DB648" s="146">
        <f>IF(DB$3=$K648,IF($C648="W",1,IF($C648="1/2W",0.5,0)),0)</f>
        <v>0</v>
      </c>
      <c r="DC648" s="146">
        <f>IF(DB$3=$K648,IF($C648="L",1,IF($C648="1/2L",0.5,0)),0)</f>
        <v>0</v>
      </c>
      <c r="DD648" s="146">
        <f>IF(DD$3=$K648,IF($C648="W",1,IF($C648="1/2W",0.5,0)),0)</f>
        <v>0</v>
      </c>
      <c r="DE648" s="147">
        <f>IF(DD$3=$K648,IF($C648="L",1,IF($C648="1/2L",0.5,0)),0)</f>
        <v>0</v>
      </c>
      <c r="DF648" s="143">
        <f>IF(AND(L648&lt;DF$3,$C648="W"),1+DF647,DF647)</f>
        <v>17</v>
      </c>
      <c r="DG648" s="133">
        <f>IF(DF648&gt;DF647,L648+DG647,DG647)</f>
        <v>22.628</v>
      </c>
      <c r="DH648" s="146">
        <f>IF(AND(L648&gt;DH$3,$C648="W"),1+DH647,0+DH647)</f>
        <v>16</v>
      </c>
      <c r="DI648" s="133">
        <f>IF(DH648&gt;DH647,L648+DI647,DI647)</f>
        <v>85.45999999999999</v>
      </c>
      <c r="DJ648" t="s" s="304">
        <f>IF($D646="","",$D646)</f>
        <v>462</v>
      </c>
      <c r="DK648" s="286"/>
    </row>
    <row r="649" ht="14.55" customHeight="1">
      <c r="A649" s="171">
        <f>$A646+1</f>
        <v>216</v>
      </c>
      <c r="B649" t="s" s="172">
        <f>IF(AND(_xlfn.XLOOKUP(H649,H$122:H422,G$122:G422,0)=G649,_xlfn.XLOOKUP("TempoBet",K649:K651,L649:L651,0)&gt;0),"X",IF(OR(C649="W",C650="W",C651="W",C649="1/2W",C650="1/2W",C651="1/2W",C649="1/2L",C650="1/2L",C651="1/2L"),"OK",IF(OR(C649="L",C650="L",C651="L"),"LOSS",IF(OR(C649="X",C650="X",C651="X"),"Anulado"," "))))</f>
        <v>50</v>
      </c>
      <c r="C649" t="s" s="173">
        <v>51</v>
      </c>
      <c r="D649" t="s" s="305">
        <v>467</v>
      </c>
      <c r="E649" t="s" s="175">
        <f>IF(G649=""," ","– "&amp;COUNTIF(D$4:D651,$D649))</f>
        <v>52</v>
      </c>
      <c r="F649" t="s" s="176">
        <f>IF(G649="","",IF(OR(AND($C649&lt;&gt;" ",$C650=" "),AND($C650&lt;&gt;" ",$C649=" "),AND(L651&gt;0,OR(AND($C651&lt;&gt;" ",OR($C649=" ",$C650=" ")),AND($C651=" ",OR($C649&lt;&gt;" ",$C650&lt;&gt;" "))))),IF(SUM(F$4:F648)=0,1,LARGE(F$4:F648,1)+1),IF(MONTH(G649)=MONTH(TODAY()),IF(AND(DAY(G649)&lt;DAY(TODAY()),$B649=" "),IF(SUM(F$4:F648)=0,1,LARGE(F$4:F648,1)+1),IF($B649=" ",IF(AND(DAY(G649)=DAY(TODAY()),HOUR(G649)&lt;=HOUR(NOW())+1),IF(AND(HOUR(G649)+2&lt;=HOUR(NOW()),DAY(G649)&lt;=DAY(TODAY()),MINUTE(G649)&lt;=MINUTE(NOW())),IF(SUM(F$4:F648)=0,1,LARGE(F$4:F648,1)+1),IF(OR(MINUTE(G649)&lt;=MINUTE(NOW()),HOUR(G649)&lt;=HOUR(NOW())),"!!!","")),""),"")),"")))</f>
      </c>
      <c r="G649" s="177">
        <v>44957.333333333336</v>
      </c>
      <c r="H649" t="s" s="178">
        <v>468</v>
      </c>
      <c r="I649" t="s" s="179">
        <v>65</v>
      </c>
      <c r="J649" s="291">
        <v>49.5</v>
      </c>
      <c r="K649" t="s" s="181">
        <v>44</v>
      </c>
      <c r="L649" s="182">
        <v>2.35</v>
      </c>
      <c r="M649" s="183"/>
      <c r="N649" s="184">
        <v>0</v>
      </c>
      <c r="O649" s="185">
        <f>IF(OR(AE649="",AE650=""),"",ROUND(IF(L651&gt;0,IF(M649&gt;0,M649,IF(M650&gt;0,ROUND((M650*AE649)/AE650,IF(N649=0,2,IF(N649=0.1,1,0))),ROUND((M651*AE649)/AE651,IF(N649=0,2,IF(N649=0.1,1,0))))),IF(M649&gt;0,M649,ROUND((M650*AE649)/AE650,IF(N649=0,2,IF(N649=0.1,1,0))))),2))</f>
        <v>25.88</v>
      </c>
      <c r="P649" s="186">
        <f>IF(OR(L649="",O649=""),"",IF($C649="1/2W",O649/2+O649/2*L649,IF($C649="1/2L",O649/2,IF(I649="Lay",(O649*(L649/(L649-1))-O649)*(1-_xlfn.XLOOKUP(K649,'Janeiro 2023 - Valor Real'!A3:A15,'Janeiro 2023 - Valor Real'!C3:C15,0))+O649,(O649*L649-O649)*(1-_xlfn.XLOOKUP(K649,'Janeiro 2023 - Valor Real'!A3:A15,'Janeiro 2023 - Valor Real'!C3:C15,0))+O649))))</f>
        <v>60.818</v>
      </c>
      <c r="Q649" s="187">
        <f>IF(K649="","",IF(_xlfn.XLOOKUP(K649,K$122:K422,DJ$122:DJ422,0,,-1)=DJ649,_xlfn.XLOOKUP(K649,K$122:K422,Q$122:Q422,1,,-1)+1,1))</f>
        <v>1</v>
      </c>
      <c r="R649" s="188">
        <f>IF(K649="","",_xlfn.XLOOKUP(K649,K$122:K422,R$122:R422,0,,-1)+IF($C649=" ",1,0))</f>
        <v>0</v>
      </c>
      <c r="S649" s="189">
        <f>IF($B649="Anulado",0,ROUND(IF(OR($B649="LOSS",$B649="OK"),IF(OR($C649="W",$C649="1/2W",$C649="1/2L"),P649-O649,IF($C649="L",-O649,0))+IF(OR($C650="W",$C650="1/2W",$C650="1/2L"),P650-O650,IF($C650="L",-O650,0))+IF(OR($C651="W",$C651="1/2W",$C651="1/2L"),P651-O651,IF($C651="L",-O651,0)),IF(AND(OR($C649="W",$C649="1/2W",$C649="1/2L"),C650="W"),P649+P650-SUM(O649:O651)+_xlfn.XLOOKUP("X",C649:C651,O649:O651,0),IF(AND(C649=TRUE,C651="W"),P649+P651-SUM(O649:O651),IF(AND(C650="W",C651="W"),P650+P651-SUM(O649:O651)+_xlfn.XLOOKUP("X",C649:C651,O649:O651,0),IF(L651&gt;0,IF(OR($C649="W",$C649="1/2W",$C649="1/2L"),P649-SUM(O649:O651)+_xlfn.XLOOKUP("X",C649:C651,O649:O651,0),IF(OR($C649="W",$C649="1/2W",$C649="1/2L"),P650-SUM(O649:O651)+_xlfn.XLOOKUP("X",C649:C651,O649:O651,0),IF(OR($C649="W",$C649="1/2W",$C649="1/2L"),P651-SUM(O649:O651)+_xlfn.XLOOKUP("X",C649:C651,O649:O651,0),IF(SUM(P649:P651)/3-SUM(O649:O651)+_xlfn.XLOOKUP("X",C649:C651,O649:O651,0)&gt;0,SUM(P649:P651)/3-SUM(O649:O651)+_xlfn.XLOOKUP("X",C649:C651,O649:O651,0),LARGE(P649:P651,1)-SUM(O649:O651))))),IF(OR($C649="W",$C649="1/2W",$C649="1/2L"),P649-SUM(O649:O650)+_xlfn.XLOOKUP("X",C649:C651,O649:O651,0),IF(OR($C649="W",$C649="1/2W",$C649="1/2L"),P650-SUM(O649:O650)+_xlfn.XLOOKUP("X",C649:C651,O649:O651,0),SUM(P649:P650)/2-SUM(O649:O650)+_xlfn.XLOOKUP("X",C649:C651,O649:O651,0)))))))),2))</f>
        <v>2.24</v>
      </c>
      <c r="T649" s="190">
        <f>IF(S649=0,0,S649/SUM(O649:O651))</f>
        <v>0.0382383065892796</v>
      </c>
      <c r="U649" s="191">
        <f>IF($D649=$D646,IF(OR($B649="LOSS",$B649="OK",$B649="Anulada"),S649,0)+U646,IF(OR($B649="LOSS",$B649="OK",$B649="Anulada"),S649,0))</f>
        <v>2.24</v>
      </c>
      <c r="V649" s="191">
        <f>IF($D649="",0,IF($D649=$D646,IF($B649=" ",IF(I651="",IF(OR(AND(I649="DNB1",I650="DNB2"),AND(OR(I649="DNB1",I649="DNB2"),J650=0),AND(OR(I650="DNB1",I650="DNB2"),J649=0),AND(I649="DNB2",I650="DNB1"),AND(IF(J649=0,(J649+1)/ROUND(J649+1,0),J649/ROUND(J649,0))=1,IF(J650=0,(J650+1)/ROUND(IF(J650="",0,J650)+1,0),IF(J650="",0,J650)/ROUND(IF(J650="",1,J650),0))=1,OR(J649&lt;&gt;""),J650&lt;&gt;"")),0,IF(S649&lt;0,IF(I651="",SMALL(P649:P650,1)-SUM(O649:O650),0),SMALL(P649:P650,1)-SUM(O649:O650))),IF(S649&lt;0,IF(I651="",SMALL(P649:P651,1)-SUM(O649:O651),0),LARGE(P649:P651,1)-SUM(O649:O651))),S649)+V646,IF(I651="",IF(OR(AND(I649="DNB1",I650="DNB2"),AND(OR(I649="DNB1",I649="DNB2"),J650=0),AND(OR(I650="DNB1",I650="DNB2"),J649=0),AND(I649="DNB2",I650="DNB1"),AND(IF(J649=0,(J649+1)/ROUND(J649+1,0),J649/ROUND(J649,0))=1,IF(J650=0,(IF(J650="",0,J650)+1)/ROUND(IF(J650="",0,J650)+1,0),IF(J650="",0,J650)/ROUND(IF(J650="",0,J650)+1,0))=1,OR(J649&lt;&gt;""),J650&lt;&gt;"")),0,IF(S649&lt;0,IF(I651="",SMALL(P649:P650,1)-SUM(O649:O650),0),SMALL(P649:P651,1)-SUM(O649:O651))),IF(S649&lt;0,IF(I651="",SMALL(P649:P651,1)-SUM(O649:O651),0),LARGE(P649:P651,1)-SUM(O649:O651)))))</f>
        <v>2.238</v>
      </c>
      <c r="W649" s="191">
        <f>IF($D649=$D646,IF(S649&lt;0,IF(I651="",S649,0),S649)+W646,S649)</f>
        <v>2.24</v>
      </c>
      <c r="X649" t="s" s="192">
        <f>IF(OR(SUM(R649:R651)=0,V649=W649),ROUND(IF(W649=0,0,W649/Y649)*100,2)&amp;"%",ROUND(IF(V649=0,0,V649/Y649)*100,2)&amp;"% a "&amp;ROUND(IF(W649=0,0,W649/Y649)*100,2)&amp;"%")</f>
        <v>469</v>
      </c>
      <c r="Y649" s="193">
        <f>IF($D649=$D646,Y646+SUM(O649:O651),SUM(O649:O651))</f>
        <v>58.58</v>
      </c>
      <c r="Z649" s="191">
        <f>IF($B649=" ",SUM(O649:O651),0)+Z646</f>
        <v>0</v>
      </c>
      <c r="AA649" s="191">
        <f>IF(G649="","",IF($B649="Anulado",LARGE(P649:P651,1)-SUM(O649:O651)+AA646,AA646))</f>
        <v>26.8740076923077</v>
      </c>
      <c r="AB649" s="191">
        <f>IF($D649="","",AB646+S649)</f>
        <v>463.47</v>
      </c>
      <c r="AC649" s="194">
        <f>IF($D649="","",IF($B649=" ",IF(DAY(G649)=DAY(TODAY()),1+AC646,0+AC646),0+AC646))</f>
        <v>0</v>
      </c>
      <c r="AD649" s="195">
        <f>(((L650/(L650-1)-1)*(1-_xlfn.XLOOKUP(K650,'Janeiro 2023 - Valor Real'!A3:A15,'Janeiro 2023 - Valor Real'!C3:C15,0))+1))/(((L649-1)*(1-_xlfn.XLOOKUP(K649,'Janeiro 2023 - Valor Real'!A3:A15,'Janeiro 2023 - Valor Real'!C3:C15,0))+1)+((L650/(L650-1)-1)*(1-_xlfn.XLOOKUP(K650,'Janeiro 2023 - Valor Real'!A3:A15,'Janeiro 2023 - Valor Real'!C3:C15,0))+1))</f>
        <v>0.479257923215666</v>
      </c>
      <c r="AE649" s="196">
        <f>IF(L649="","",IF(L651&gt;0,(SUM(((L649-1)*(1-_xlfn.XLOOKUP(K649,'Janeiro 2023 - Valor Real'!A3:A15,'Janeiro 2023 - Valor Real'!C3:C15,0))+1),((L650-1)*(1-_xlfn.XLOOKUP(K650,'Janeiro 2023 - Valor Real'!A3:A15,'Janeiro 2023 - Valor Real'!C3:C15,0))+1),((L651-1)*(1-_xlfn.XLOOKUP(K651,'Janeiro 2023 - Valor Real'!A3:A15,'Janeiro 2023 - Valor Real'!C3:C15,0))+1))/((L649-1)*(1-_xlfn.XLOOKUP(K649,'Janeiro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Real'!C3:C15,0))+1))/((L649-1)*(1-_xlfn.XLOOKUP(K649,'Janeiro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Real'!C3:C15,0))+1))/((L650-1)*(1-_xlfn.XLOOKUP(K650,'Janeiro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Real'!C3:C15,0))+1))/((L651-1)*(1-_xlfn.XLOOKUP(K651,'Janeiro 2023 - Valor Real'!A3:A15,'Janeiro 2023 - Valor Real'!C3:C15,0))+1)),IF(I649="Lay",IF(I650="Lay",((L650/(L650-1)-1)*(1-_xlfn.XLOOKUP(K650,'Janeiro 2023 - Valor Real'!A3:A15,'Janeiro 2023 - Valor Real'!C3:C15,0))+1)/(((L650/(L650-1)-1)*(1-_xlfn.XLOOKUP(K650,'Janeiro 2023 - Valor Real'!A3:A15,'Janeiro 2023 - Valor Real'!C3:C15,0))+1)+((L649/(L649-1)-1)*(1-_xlfn.XLOOKUP(K649,'Janeiro 2023 - Valor Real'!A3:A15,'Janeiro 2023 - Valor Real'!C3:C15,0))+1)),((L650-1)*(1-_xlfn.XLOOKUP(K650,'Janeiro 2023 - Valor Real'!A3:A15,'Janeiro 2023 - Valor Real'!C3:C15,0))+1)/(((L650-1)*(1-_xlfn.XLOOKUP(K650,'Janeiro 2023 - Valor Real'!A3:A15,'Janeiro 2023 - Valor Real'!C3:C15,0))+1)+((L649/(L649-1)-1)*(1-_xlfn.XLOOKUP(K649,'Janeiro 2023 - Valor Real'!A3:A15,'Janeiro 2023 - Valor Real'!C3:C15,0))+1))),IF(I650="Lay",(((L650/(L650-1)-1)*(1-_xlfn.XLOOKUP(K650,'Janeiro 2023 - Valor Real'!A3:A15,'Janeiro 2023 - Valor Real'!C3:C15,0))+1))/(((L649-1)*(1-_xlfn.XLOOKUP(K649,'Janeiro 2023 - Valor Real'!A3:A15,'Janeiro 2023 - Valor Real'!C3:C15,0))+1)+((L650/(L650-1)-1)*(1-_xlfn.XLOOKUP(K650,'Janeiro 2023 - Valor Real'!A3:A15,'Janeiro 2023 - Valor Real'!C3:C15,0))+1)),((L650-1)*(1-_xlfn.XLOOKUP(K650,'Janeiro 2023 - Valor Real'!A3:A15,'Janeiro 2023 - Valor Real'!C3:C15,0))+1)/(((L650-1)*(1-_xlfn.XLOOKUP(K650,'Janeiro 2023 - Valor Real'!A3:A15,'Janeiro 2023 - Valor Real'!C3:C15,0))+1)+((L649-1)*(1-_xlfn.XLOOKUP(K649,'Janeiro 2023 - Valor Real'!A3:A15,'Janeiro 2023 - Valor Real'!C3:C15,0))+1))))))</f>
        <v>0.441805225653207</v>
      </c>
      <c r="AF649" s="197">
        <f>IF($K649=AF$3,ROUND(IF(OR($C649="W",$C649="1/2W",$C649="1/2L"),$P649-$O649,IF($C649="X",0,-$O649)),2),0)</f>
        <v>0</v>
      </c>
      <c r="AG649" s="198">
        <f>IF($K649=AG$3,ROUND(IF(OR($C649="W",$C649="1/2W",$C649="1/2L"),$P649-$O649,IF($C649="X",0,-$O649)),2),0)</f>
        <v>0</v>
      </c>
      <c r="AH649" s="198">
        <f>IF($K649=AH$3,ROUND(IF(OR($C649="W",$C649="1/2W",$C649="1/2L"),$P649-$O649,IF($C649="X",0,-$O649)),2),0)</f>
        <v>0</v>
      </c>
      <c r="AI649" s="198">
        <f>IF($K649=AI$3,ROUND(IF(OR($C649="W",$C649="1/2W",$C649="1/2L"),$P649-$O649,IF($C649="X",0,-$O649)),2),0)</f>
        <v>0</v>
      </c>
      <c r="AJ649" s="198">
        <f>IF($K649=AJ$3,ROUND(IF(OR($C649="W",$C649="1/2W",$C649="1/2L"),$P649-$O649,IF($C649="X",0,-$O649)),2),0)</f>
        <v>0</v>
      </c>
      <c r="AK649" s="198">
        <f>IF($K649=AK$3,ROUND(IF(OR($C649="W",$C649="1/2W",$C649="1/2L"),$P649-$O649,IF($C649="X",0,-$O649)),2),0)</f>
        <v>0</v>
      </c>
      <c r="AL649" s="198">
        <f>IF($K649=AL$3,ROUND(IF(OR($C649="W",$C649="1/2W",$C649="1/2L"),$P649-$O649,IF($C649="X",0,-$O649)),2),0)</f>
        <v>0</v>
      </c>
      <c r="AM649" s="198">
        <f>IF($K649=AM$3,ROUND(IF(OR($C649="W",$C649="1/2W",$C649="1/2L"),$P649-$O649,IF($C649="X",0,-$O649)),2),0)</f>
        <v>-25.88</v>
      </c>
      <c r="AN649" s="198">
        <f>IF($K649=AN$3,ROUND(IF(OR($C649="W",$C649="1/2W",$C649="1/2L"),$P649-$O649,IF($C649="X",0,-$O649)),2),0)</f>
        <v>0</v>
      </c>
      <c r="AO649" s="198">
        <f>IF($K649=AO$3,ROUND(IF(OR($C649="W",$C649="1/2W",$C649="1/2L"),$P649-$O649,IF($C649="X",0,-$O649)),2),0)</f>
        <v>0</v>
      </c>
      <c r="AP649" s="198">
        <f>IF($K649=AP$3,ROUND(IF(OR($C649="W",$C649="1/2W",$C649="1/2L"),$P649-$O649,IF($C649="X",0,-$O649)),2),0)</f>
        <v>0</v>
      </c>
      <c r="AQ649" s="198">
        <f>IF($K649=AQ$3,ROUND(IF(OR($C649="W",$C649="1/2W",$C649="1/2L"),$P649-$O649,IF($C649="X",0,-$O649)),2),0)</f>
        <v>0</v>
      </c>
      <c r="AR649" s="199">
        <f>IF($K649=AR$3,ROUND(IF(OR($C649="W",$C649="1/2W",$C649="1/2L"),$P649-$O649,IF($C649="X",0,-$O649)),2),0)</f>
        <v>0</v>
      </c>
      <c r="AS649" s="197">
        <f>IF(AND($B649=" ",$K649=AS$3),$O649,0)</f>
        <v>0</v>
      </c>
      <c r="AT649" s="198">
        <f>IF(AND($B649=" ",$K649=AT$3),$O649,0)</f>
        <v>0</v>
      </c>
      <c r="AU649" s="198">
        <f>IF(AND($B649=" ",$K649=AU$3),$O649,0)</f>
        <v>0</v>
      </c>
      <c r="AV649" s="198">
        <f>IF(AND($B649=" ",$K649=AV$3),$O649,0)</f>
        <v>0</v>
      </c>
      <c r="AW649" s="198">
        <f>IF(AND($B649=" ",$K649=AW$3),$O649,0)</f>
        <v>0</v>
      </c>
      <c r="AX649" s="198">
        <f>IF(AND($B649=" ",$K649=AX$3),$O649,0)</f>
        <v>0</v>
      </c>
      <c r="AY649" s="200">
        <f>IF(AND($B649=" ",$K649=AY$3),$O649,0)</f>
        <v>0</v>
      </c>
      <c r="AZ649" s="201">
        <f>IF(AND($B649=" ",$K649=AZ$3),$O649,0)</f>
        <v>0</v>
      </c>
      <c r="BA649" s="201">
        <f>IF(AND($B649=" ",$K649=BA$3),$O649,0)</f>
        <v>0</v>
      </c>
      <c r="BB649" s="201">
        <f>IF(AND($B649=" ",$K649=BB$3),$O649,0)</f>
        <v>0</v>
      </c>
      <c r="BC649" s="202">
        <f>IF(AND($B649=" ",$K649=BC$3),$O649,0)</f>
        <v>0</v>
      </c>
      <c r="BD649" s="198">
        <f>IF(AND($B649=" ",$K649=BD$3),$O649,0)</f>
        <v>0</v>
      </c>
      <c r="BE649" s="199">
        <f>IF(AND($B649=" ",$K649=BE$3),$O649,0)</f>
        <v>0</v>
      </c>
      <c r="BF649" s="203">
        <f>IF($K649=BF$3,IF($C649="X",0,$O649),0)</f>
        <v>0</v>
      </c>
      <c r="BG649" s="198">
        <f>IF($K649=BG$3,IF($C649="X",0,$O649),0)</f>
        <v>0</v>
      </c>
      <c r="BH649" s="198">
        <f>IF($K649=BH$3,IF($C649="X",0,$O649),0)</f>
        <v>0</v>
      </c>
      <c r="BI649" s="198">
        <f>IF($K649=BI$3,IF($C649="X",0,$O649),0)</f>
        <v>0</v>
      </c>
      <c r="BJ649" s="198">
        <f>IF($K649=BJ$3,IF($C649="X",0,$O649),0)</f>
        <v>0</v>
      </c>
      <c r="BK649" s="198">
        <f>IF($K649=BK$3,IF($C649="X",0,$O649),0)</f>
        <v>0</v>
      </c>
      <c r="BL649" s="198">
        <f>IF($K649=BL$3,IF($C649="X",0,$O649),0)</f>
        <v>0</v>
      </c>
      <c r="BM649" s="200">
        <f>IF($K649=BM$3,IF($C649="X",0,$O649),0)</f>
        <v>25.88</v>
      </c>
      <c r="BN649" s="201">
        <f>IF($K649=BN$3,IF($C649="X",0,$O649),0)</f>
        <v>0</v>
      </c>
      <c r="BO649" s="201">
        <f>IF($K649=BO$3,IF($C649="X",0,$O649),0)</f>
        <v>0</v>
      </c>
      <c r="BP649" s="201">
        <f>IF($K649=BP$3,IF($C649="X",0,$O649),0)</f>
        <v>0</v>
      </c>
      <c r="BQ649" s="202">
        <f>IF($K649=BQ$3,IF($C649="X",0,$O649),0)</f>
        <v>0</v>
      </c>
      <c r="BR649" s="199">
        <f>IF($K649=BR$3,IF($C649="X",0,$O649),0)</f>
        <v>0</v>
      </c>
      <c r="BS649" s="204">
        <f>IF($B649="LOSS",IF(AND($K649=BS$3,$C649="L"),-$O649,0)+IF(AND($K650=BS$3,$C650="L"),-$O650,0)+IF(AND($K651=BS$3,$C651="L"),-$O651,0),IF(OR(AND($K649=BS$3,OR($C649="W",$C649="1/2W")),AND($K650=BS$3,OR($C650="W",$C650="1/2W")),AND($K651=BS$3,OR($C651="W",$C651="1/2W"))),$S649,0))</f>
        <v>0</v>
      </c>
      <c r="BT649" s="201">
        <f>IF($B649="LOSS",IF(AND($K649=BT$3,$C649="L"),-$O649,0)+IF(AND($K650=BT$3,$C650="L"),-$O650,0)+IF(AND($K650=BT$3,$C651="L"),-$O651,0),IF(OR(AND($K650=BT$3,OR($C649="W",$C649="1/2W")),AND($K650=BT$3,OR($C650="W",$C650="1/2W")),AND($K650=BT$3,OR($C651="W",$C651="1/2W"))),$S649,0))</f>
        <v>0</v>
      </c>
      <c r="BU649" s="201">
        <f>IF($B649="LOSS",IF(AND($K649=BU$3,$C649="L"),-$O649,0)+IF(AND($K650=BU$3,$C650="L"),-$O650,0)+IF(AND($K650=BU$3,$C651="L"),-$O651,0),IF(OR(AND($K650=BU$3,OR($C649="W",$C649="1/2W")),AND($K650=BU$3,OR($C650="W",$C650="1/2W")),AND($K650=BU$3,OR($C651="W",$C651="1/2W"))),$S649,0))</f>
        <v>0</v>
      </c>
      <c r="BV649" s="201">
        <f>IF($B649="LOSS",IF(AND($K649=BV$3,$C649="L"),-$O649,0)+IF(AND($K650=BV$3,$C650="L"),-$O650,0)+IF(AND($K651=BV$3,$C651="L"),-$O651,0),IF(OR(AND($K649=BV$3,OR($C649="W",$C649="1/2W")),AND($K650=BV$3,OR($C650="W",$C650="1/2W")),AND($K651=BV$3,OR($C651="W",$C651="1/2W"))),$S649,0))</f>
        <v>0</v>
      </c>
      <c r="BW649" s="201">
        <f>IF($B649="LOSS",IF(AND($K649=BW$3,$C649="L"),-$O649,0)+IF(AND($K650=BW$3,$C650="L"),-$O650,0)+IF(AND($K651=BW$3,$C651="L"),-$O651,0),IF(OR(AND($K649=BW$3,OR($C649="W",$C649="1/2W")),AND($K650=BW$3,OR($C650="W",$C650="1/2W")),AND($K651=BW$3,OR($C651="W",$C651="1/2W"))),$S649,0))</f>
        <v>2.24</v>
      </c>
      <c r="BX649" s="201">
        <f>IF($B649="LOSS",IF(AND($K649=BX$3,$C649="L"),-$O649,0)+IF(AND($K650=BX$3,$C650="L"),-$O650,0)+IF(AND($K651=BX$3,$C651="L"),-$O651,0),IF(OR(AND($K649=BX$3,OR($C649="W",$C649="1/2W")),AND($K650=BX$3,OR($C650="W",$C650="1/2W")),AND($K651=BX$3,OR($C651="W",$C651="1/2W"))),$S649,0))</f>
        <v>0</v>
      </c>
      <c r="BY649" s="201">
        <f>IF($B649="LOSS",IF(AND($K649=BY$3,$C649="L"),-$O649,0)+IF(AND($K650=BY$3,$C650="L"),-$O650,0)+IF(AND($K651=BY$3,$C651="L"),-$O651,0),IF(OR(AND($K649=BY$3,OR($C649="W",$C649="1/2W")),AND($K650=BY$3,OR($C650="W",$C650="1/2W")),AND($K651=BY$3,OR($C651="W",$C651="1/2W"))),$S649,0))</f>
        <v>0</v>
      </c>
      <c r="BZ649" s="205">
        <f>IF($B649="LOSS",IF(AND($K649=BZ$3,$C649="L"),-$O649,0)+IF(AND($K650=BZ$3,$C650="L"),-$O650,0)+IF(AND($K651=BZ$3,$C651="L"),-$O651,0),IF(OR(AND($K649=BZ$3,OR($C649="W",$C649="1/2W")),AND($K650=BZ$3,OR($C650="W",$C650="1/2W")),AND($K651=BZ$3,OR($C651="W",$C651="1/2W"))),$S649,0))</f>
        <v>0</v>
      </c>
      <c r="CA649" s="205">
        <f>IF($B649="LOSS",IF(AND($K649=CA$3,$C649="L"),-$O649,0)+IF(AND($K650=CA$3,$C650="L"),-$O650,0)+IF(AND($K651=CA$3,$C651="L"),-$O651,0),IF(OR(AND($K649=CA$3,OR($C649="W",$C649="1/2W")),AND($K650=CA$3,OR($C650="W",$C650="1/2W")),AND($K651=CA$3,OR($C651="W",$C651="1/2W"))),$S649,0))</f>
        <v>0</v>
      </c>
      <c r="CB649" s="205">
        <f>IF($B649="LOSS",IF(AND($K649=CB$3,$C649="L"),-$O649,0)+IF(AND($K650=CB$3,$C650="L"),-$O650,0)+IF(AND($K651=CB$3,$C651="L"),-$O651,0),IF(OR(AND($K649=CB$3,OR($C649="W",$C649="1/2W")),AND($K650=CB$3,OR($C650="W",$C650="1/2W")),AND($K651=CB$3,OR($C651="W",$C651="1/2W"))),$S649,0))</f>
        <v>0</v>
      </c>
      <c r="CC649" s="205">
        <f>IF($B649="LOSS",IF(AND($K649=CC$3,$C649="L"),-$O649,0)+IF(AND($K650=CC$3,$C650="L"),-$O650,0)+IF(AND($K651=CC$3,$C651="L"),-$O651,0),IF(OR(AND($K649=CC$3,OR($C649="W",$C649="1/2W")),AND($K650=CC$3,OR($C650="W",$C650="1/2W")),AND($K651=CC$3,OR($C651="W",$C651="1/2W"))),$S649,0))</f>
        <v>0</v>
      </c>
      <c r="CD649" s="202">
        <f>IF($B649="LOSS",IF(AND($K649=CD$3,$C649="L"),-$O649,0)+IF(AND($K650=CD$3,$C650="L"),-$O650,0)+IF(AND($K651=CD$3,$C651="L"),-$O651,0),IF(OR(AND($K649=CD$3,OR($C649="W",$C649="1/2W")),AND($K650=CD$3,OR($C650="W",$C650="1/2W")),AND($K651=CD$3,OR($C651="W",$C651="1/2W"))),$S649,0))</f>
        <v>0</v>
      </c>
      <c r="CE649" s="199">
        <f>IF($B649="LOSS",IF(AND($K649=CE$3,$C649="L"),-$O649,0)+IF(AND($K650=CE$3,$C650="L"),-$O650,0)+IF(AND($K651=CE$3,$C651="L"),-$O651,0),IF(OR(AND($K649=CE$3,OR($C649="W",$C649="1/2W")),AND($K650=CE$3,OR($C650="W",$C650="1/2W")),AND($K651=CE$3,OR($C651="W",$C651="1/2W"))),$S649,0))</f>
        <v>0</v>
      </c>
      <c r="CF649" s="206">
        <f>IF(CF$3=$K649,IF($C649="W",1,IF($C649="1/2W",0.5,0)),0)</f>
        <v>0</v>
      </c>
      <c r="CG649" s="207">
        <f>IF(CF$3=$K649,IF($C649="L",1,IF($C649="1/2L",0.5,0)),0)</f>
        <v>0</v>
      </c>
      <c r="CH649" s="207">
        <f>IF(CH$3=$K649,IF($C649="W",1,IF($C649="1/2W",0.5,0)),0)</f>
        <v>0</v>
      </c>
      <c r="CI649" s="207">
        <f>IF(CH$3=$K649,IF($C649="L",1,IF($C649="1/2L",0.5,0)),0)</f>
        <v>0</v>
      </c>
      <c r="CJ649" s="207">
        <f>IF(CJ$3=$K649,IF($C649="W",1,IF($C649="1/2W",0.5,0)),0)</f>
        <v>0</v>
      </c>
      <c r="CK649" s="207">
        <f>IF(CJ$3=$K649,IF($C649="L",1,IF($C649="1/2L",0.5,0)),0)</f>
        <v>0</v>
      </c>
      <c r="CL649" s="207">
        <f>IF(CL$3=$K649,IF($C649="W",1,IF($C649="1/2W",0.5,0)),0)</f>
        <v>0</v>
      </c>
      <c r="CM649" s="207">
        <f>IF(CL$3=$K649,IF($C649="L",1,IF($C649="1/2L",0.5,0)),0)</f>
        <v>0</v>
      </c>
      <c r="CN649" s="207">
        <f>IF(CN$3=$K649,IF($C649="W",1,IF($C649="1/2W",0.5,0)),0)</f>
        <v>0</v>
      </c>
      <c r="CO649" s="207">
        <f>IF(CN$3=$K649,IF($C649="L",1,IF($C649="1/2L",0.5,0)),0)</f>
        <v>0</v>
      </c>
      <c r="CP649" s="207">
        <f>IF(CP$3=$K649,IF($C649="W",1,IF($C649="1/2W",0.5,0)),0)</f>
        <v>0</v>
      </c>
      <c r="CQ649" s="207">
        <f>IF(CP$3=$K649,IF($C649="L",1,IF($C649="1/2L",0.5,0)),0)</f>
        <v>0</v>
      </c>
      <c r="CR649" s="207">
        <f>IF(CR$3=$K649,IF($C649="W",1,IF($C649="1/2W",0.5,0)),0)</f>
        <v>0</v>
      </c>
      <c r="CS649" s="207">
        <f>IF(CR$3=$K649,IF($C649="L",1,IF($C649="1/2L",0.5,0)),0)</f>
        <v>0</v>
      </c>
      <c r="CT649" s="208">
        <f>IF(CT$3=$K649,IF($C649="W",1,IF($C649="1/2W",0.5,0)),0)</f>
        <v>0</v>
      </c>
      <c r="CU649" s="209">
        <f>IF(CT$3=$K649,IF($C649="L",1,IF($C649="1/2L",0.5,0)),0)</f>
        <v>1</v>
      </c>
      <c r="CV649" s="209">
        <f>IF(CV$3=$K649,IF($C649="W",1,IF($C649="1/2W",0.5,0)),0)</f>
        <v>0</v>
      </c>
      <c r="CW649" s="209">
        <f>IF(CV$3=$K649,IF($C649="L",1,IF($C649="1/2L",0.5,0)),0)</f>
        <v>0</v>
      </c>
      <c r="CX649" s="209">
        <f>IF(CX$3=$K649,IF($C649="W",1,IF($C649="1/2W",0.5,0)),0)</f>
        <v>0</v>
      </c>
      <c r="CY649" s="209">
        <f>IF(CX$3=$K649,IF($C649="L",1,IF($C649="1/2L",0.5,0)),0)</f>
        <v>0</v>
      </c>
      <c r="CZ649" s="209">
        <f>IF(CZ$3=$K649,IF($C649="W",1,IF($C649="1/2W",0.5,0)),0)</f>
        <v>0</v>
      </c>
      <c r="DA649" s="209">
        <f>IF(CZ$3=$K649,IF($C649="L",1,IF($C649="1/2L",0.5,0)),0)</f>
        <v>0</v>
      </c>
      <c r="DB649" s="209">
        <f>IF(DB$3=$K649,IF($C649="W",1,IF($C649="1/2W",0.5,0)),0)</f>
        <v>0</v>
      </c>
      <c r="DC649" s="209">
        <f>IF(DB$3=$K649,IF($C649="L",1,IF($C649="1/2L",0.5,0)),0)</f>
        <v>0</v>
      </c>
      <c r="DD649" s="209">
        <f>IF(DD$3=$K649,IF($C649="W",1,IF($C649="1/2W",0.5,0)),0)</f>
        <v>0</v>
      </c>
      <c r="DE649" s="210">
        <f>IF(DD$3=$K649,IF($C649="L",1,IF($C649="1/2L",0.5,0)),0)</f>
        <v>0</v>
      </c>
      <c r="DF649" s="211">
        <f>IF(AND(L649&lt;DF$3,$C649="W"),1+DF648,DF648)</f>
        <v>17</v>
      </c>
      <c r="DG649" s="198">
        <f>IF(DF649&gt;DF648,L649+DG648,DG648)</f>
        <v>22.628</v>
      </c>
      <c r="DH649" s="209">
        <f>IF(AND(L649&gt;DH$3,$C649="W"),1+DH648,0+DH648)</f>
        <v>16</v>
      </c>
      <c r="DI649" s="198">
        <f>IF(DH649&gt;DH648,L649+DI648,DI648)</f>
        <v>85.45999999999999</v>
      </c>
      <c r="DJ649" t="s" s="306">
        <f>IF($D649="","",$D649)</f>
        <v>467</v>
      </c>
      <c r="DK649" s="209">
        <f>IF(AND($B649=" ",$D649&lt;&gt;""),1,0)</f>
        <v>0</v>
      </c>
    </row>
    <row r="650" ht="14.55" customHeight="1">
      <c r="A650" s="107"/>
      <c r="B650" s="108"/>
      <c r="C650" t="s" s="213">
        <v>56</v>
      </c>
      <c r="D650" s="110"/>
      <c r="E650" s="111"/>
      <c r="F650" s="113"/>
      <c r="G650" s="214"/>
      <c r="H650" s="114"/>
      <c r="I650" t="s" s="215">
        <v>67</v>
      </c>
      <c r="J650" s="296">
        <f>IF(OR(I649="TO",I649="TU",I649="TO1",I649="TU1",I649="TO2",I649="TU2"),J649,IF(OR(I649="AH1",I649="AH2"),IF(OR(I650="AH1",I650="AH2"),-J649,IF(OR(I650="EH1",I650="EH2"),-J649+0.5,"")),IF(OR(I649="EH1",I649="EH2"),IF(OR(I650="AH1",I650="AH2"),-J649+0.5,IF(OR(I650="EH1",I650="EH2"),-J649+1,"")),IF(AND(OR(I649="DNB1",I649="DNB2"),OR(I650="AH1",I650="AH2")),0,IF(AND(I649="Not ScoreBoth",OR(I650="TO1",I650="TO2")),0.5,"")))))</f>
        <v>49.5</v>
      </c>
      <c r="K650" t="s" s="217">
        <v>41</v>
      </c>
      <c r="L650" s="218">
        <v>1.86</v>
      </c>
      <c r="M650" s="219">
        <v>32.7</v>
      </c>
      <c r="N650" s="120"/>
      <c r="O650" s="220">
        <f>IF(OR(AE649="",AE650=""),"",ROUND(IF(L651&gt;0,IF(M650&gt;0,M650,IF(M649&gt;0,IF(N649=TRUE,ROUND((M649*AE650)/AE649,0),(M649*AE650)/AE649),IF(M650&gt;0,ROUND(M650,IF(N649=0,2,IF(N649=0.1,1,0))),IF(M651&gt;0,ROUND(O651*AE650/AE651,IF(N649=0,2,IF(N649=0.1,1,0))),0)))),IF(M650&gt;0,M650,ROUND((M649*AE650)/AE649,IF(N649=0,2,IF(N649=0.1,1,0))))),2))</f>
        <v>32.7</v>
      </c>
      <c r="P650" s="221">
        <f>IF(OR(L650="",O650=""),"",IF($C650="1/2W",O650/2+O650/2*L650,IF($C650="1/2L",O650/2,IF(I650="Lay",((O650*(L650/(L650-1)))-O650)*(1-_xlfn.XLOOKUP(K650,'Janeiro 2023 - Valor Real'!A3:A15,'Janeiro 2023 - Valor Real'!C3:C15,0))+O650,(O650*L650-O650)*(1-_xlfn.XLOOKUP(K650,'Janeiro 2023 - Valor Real'!A3:A15,'Janeiro 2023 - Valor Real'!C3:C15,0))+O650))))</f>
        <v>60.822</v>
      </c>
      <c r="Q650" s="222">
        <f>IF(K650="","",IF(_xlfn.XLOOKUP(K650,K$123:K423,DJ$123:DJ423,0,,-1)=DJ650,_xlfn.XLOOKUP(K650,K$123:K423,Q$123:Q423,1,,-1)+1,1))</f>
        <v>1</v>
      </c>
      <c r="R650" s="223">
        <f>IF(K650="","",_xlfn.XLOOKUP(K650,K$123:K423,R$123:R423,0,,-1)+IF($C650=" ",1,0))</f>
        <v>0</v>
      </c>
      <c r="S650" s="125"/>
      <c r="T650" s="126"/>
      <c r="U650" s="126"/>
      <c r="V650" s="224"/>
      <c r="W650" s="126"/>
      <c r="X650" s="127"/>
      <c r="Y650" s="128"/>
      <c r="Z650" s="129"/>
      <c r="AA650" s="129"/>
      <c r="AB650" s="129"/>
      <c r="AC650" s="129"/>
      <c r="AD650" s="225">
        <f>(((L650/(L650-1)-1)*(1-_xlfn.XLOOKUP(K650,'Janeiro 2023 - Valor Real'!A3:A15,'Janeiro 2023 - Valor Real'!C3:C15,0))+1))</f>
        <v>2.16279069767442</v>
      </c>
      <c r="AE650" s="226">
        <f>IF(L650="","",IF(L651&gt;0,(SUM(((L649-1)*(1-_xlfn.XLOOKUP(K649,'Janeiro 2023 - Valor Real'!A3:A15,'Janeiro 2023 - Valor Real'!C3:C15,0))+1),((L650-1)*(1-_xlfn.XLOOKUP(K650,'Janeiro 2023 - Valor Real'!A3:A15,'Janeiro 2023 - Valor Real'!C3:C15,0))+1),((L651-1)*(1-_xlfn.XLOOKUP(K651,'Janeiro 2023 - Valor Real'!A3:A15,'Janeiro 2023 - Valor Real'!C3:C15,0))+1))/((L650-1)*(1-_xlfn.XLOOKUP(K650,'Janeiro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Real'!C3:C15,0))+1))/((L649-1)*(1-_xlfn.XLOOKUP(K649,'Janeiro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Real'!C3:C15,0))+1))/((L650-1)*(1-_xlfn.XLOOKUP(K650,'Janeiro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Real'!C3:C15,0))+1))/((L651-1)*(1-_xlfn.XLOOKUP(K651,'Janeiro 2023 - Valor Real'!A3:A15,'Janeiro 2023 - Valor Real'!C3:C15,0))+1)),IF(I650="Lay",IF(I649="Lay",((L649/(L649-1)-1)*(1-_xlfn.XLOOKUP(K649,'Janeiro 2023 - Valor Real'!A3:A15,'Janeiro 2023 - Valor Real'!C3:C15,0))+1)/(((L649/(L649-1)-1)*(1-_xlfn.XLOOKUP(K649,'Janeiro 2023 - Valor Real'!A3:A15,'Janeiro 2023 - Valor Real'!C3:C15,0))+1)+((L650/(L650-1)-1)*(1-_xlfn.XLOOKUP(K650,'Janeiro 2023 - Valor Real'!A3:A15,'Janeiro 2023 - Valor Real'!C3:C15,0))+1)),((L649-1)*(1-_xlfn.XLOOKUP(K649,'Janeiro 2023 - Valor Real'!A3:A15,'Janeiro 2023 - Valor Real'!C3:C15,0))+1)/(((L649-1)*(1-_xlfn.XLOOKUP(K649,'Janeiro 2023 - Valor Real'!A3:A15,'Janeiro 2023 - Valor Real'!C3:C15,0))+1)+((L650/(L650-1)-1)*(1-_xlfn.XLOOKUP(K650,'Janeiro 2023 - Valor Real'!A3:A15,'Janeiro 2023 - Valor Real'!C3:C15,0))+1))),IF(I649="Lay",((L649/(L649-1)-1)*(1-_xlfn.XLOOKUP(K649,'Janeiro 2023 - Valor Real'!A3:A15,'Janeiro 2023 - Valor Real'!C3:C15,0))+1)/((((L649/(L649-1)-1)*(1-_xlfn.XLOOKUP(K649,'Janeiro 2023 - Valor Real'!A3:A15,'Janeiro 2023 - Valor Real'!C3:C15,0))+1))+((L650-1)*(1-_xlfn.XLOOKUP(K650,'Janeiro 2023 - Valor Real'!A3:A15,'Janeiro 2023 - Valor Real'!C3:C15,0))+1)),((L649-1)*(1-_xlfn.XLOOKUP(K649,'Janeiro 2023 - Valor Real'!A3:A15,'Janeiro 2023 - Valor Real'!C3:C15,0))+1)/(((L649-1)*(1-_xlfn.XLOOKUP(K649,'Janeiro 2023 - Valor Real'!A3:A15,'Janeiro 2023 - Valor Real'!C3:C15,0))+1)+((L650-1)*(1-_xlfn.XLOOKUP(K650,'Janeiro 2023 - Valor Real'!A3:A15,'Janeiro 2023 - Valor Real'!C3:C15,0))+1))))))</f>
        <v>0.558194774346793</v>
      </c>
      <c r="AF650" s="197">
        <f>IF($K650=AF$3,ROUND(IF(OR($C650="W",$C650="1/2W",$C650="1/2L"),$P650-$O650,IF($C650="X",0,-$O650)),2),0)</f>
        <v>0</v>
      </c>
      <c r="AG650" s="198">
        <f>IF($K650=AG$3,ROUND(IF(OR($C650="W",$C650="1/2W",$C650="1/2L"),$P650-$O650,IF($C650="X",0,-$O650)),2),0)</f>
        <v>0</v>
      </c>
      <c r="AH650" s="198">
        <f>IF($K650=AH$3,ROUND(IF(OR($C650="W",$C650="1/2W",$C650="1/2L"),$P650-$O650,IF($C650="X",0,-$O650)),2),0)</f>
        <v>0</v>
      </c>
      <c r="AI650" s="198">
        <f>IF($K650=AI$3,ROUND(IF(OR($C650="W",$C650="1/2W",$C650="1/2L"),$P650-$O650,IF($C650="X",0,-$O650)),2),0)</f>
        <v>0</v>
      </c>
      <c r="AJ650" s="198">
        <f>IF($K650=AJ$3,ROUND(IF(OR($C650="W",$C650="1/2W",$C650="1/2L"),$P650-$O650,IF($C650="X",0,-$O650)),2),0)</f>
        <v>28.12</v>
      </c>
      <c r="AK650" s="198">
        <f>IF($K650=AK$3,ROUND(IF(OR($C650="W",$C650="1/2W",$C650="1/2L"),$P650-$O650,IF($C650="X",0,-$O650)),2),0)</f>
        <v>0</v>
      </c>
      <c r="AL650" s="198">
        <f>IF($K650=AL$3,ROUND(IF(OR($C650="W",$C650="1/2W",$C650="1/2L"),$P650-$O650,IF($C650="X",0,-$O650)),2),0)</f>
        <v>0</v>
      </c>
      <c r="AM650" s="198">
        <f>IF($K650=AM$3,ROUND(IF(OR($C650="W",$C650="1/2W",$C650="1/2L"),$P650-$O650,IF($C650="X",0,-$O650)),2),0)</f>
        <v>0</v>
      </c>
      <c r="AN650" s="198">
        <f>IF($K650=AN$3,ROUND(IF(OR($C650="W",$C650="1/2W",$C650="1/2L"),$P650-$O650,IF($C650="X",0,-$O650)),2),0)</f>
        <v>0</v>
      </c>
      <c r="AO650" s="198">
        <f>IF($K650=AO$3,ROUND(IF(OR($C650="W",$C650="1/2W",$C650="1/2L"),$P650-$O650,IF($C650="X",0,-$O650)),2),0)</f>
        <v>0</v>
      </c>
      <c r="AP650" s="198">
        <f>IF($K650=AP$3,ROUND(IF(OR($C650="W",$C650="1/2W",$C650="1/2L"),$P650-$O650,IF($C650="X",0,-$O650)),2),0)</f>
        <v>0</v>
      </c>
      <c r="AQ650" s="198">
        <f>IF($K650=AQ$3,ROUND(IF(OR($C650="W",$C650="1/2W",$C650="1/2L"),$P650-$O650,IF($C650="X",0,-$O650)),2),0)</f>
        <v>0</v>
      </c>
      <c r="AR650" s="199">
        <f>IF($K650=AR$3,ROUND(IF(OR($C650="W",$C650="1/2W",$C650="1/2L"),$P650-$O650,IF($C650="X",0,-$O650)),2),0)</f>
        <v>0</v>
      </c>
      <c r="AS650" s="197">
        <f>IF(AND($B649=" ",$K650=AS$3),$O650,0)</f>
        <v>0</v>
      </c>
      <c r="AT650" s="198">
        <f>IF(AND($B649=" ",K650=AT$3),$O650,0)</f>
        <v>0</v>
      </c>
      <c r="AU650" s="198">
        <f>IF(AND($B649=" ",$K650=AU$3),$O650,0)</f>
        <v>0</v>
      </c>
      <c r="AV650" s="198">
        <f>IF(AND($B649=" ",$K650=AV$3),$O650,0)</f>
        <v>0</v>
      </c>
      <c r="AW650" s="198">
        <f>IF(AND($B649=" ",$K650=AW$3),$O650,0)</f>
        <v>0</v>
      </c>
      <c r="AX650" s="198">
        <f>IF(AND($B649=" ",$K650=AX$3),$O650,0)</f>
        <v>0</v>
      </c>
      <c r="AY650" s="200">
        <f>IF(AND($B649=" ",$K650=AY$3),$O650,0)</f>
        <v>0</v>
      </c>
      <c r="AZ650" s="201">
        <f>IF(AND($B649=" ",$K650=AZ$3),$O650,0)</f>
        <v>0</v>
      </c>
      <c r="BA650" s="201">
        <f>IF(AND($B649=" ",$K650=BA$3),$O650,0)</f>
        <v>0</v>
      </c>
      <c r="BB650" s="201">
        <f>IF(AND($B649=" ",$K650=BB$3),$O650,0)</f>
        <v>0</v>
      </c>
      <c r="BC650" s="202">
        <f>IF(AND($B649=" ",$K650=BC$3),$O650,0)</f>
        <v>0</v>
      </c>
      <c r="BD650" s="198">
        <f>IF(AND($B649=" ",$K650=BD$3),$O650,0)</f>
        <v>0</v>
      </c>
      <c r="BE650" s="199">
        <f>IF(AND($B649=" ",$K650=BE$3),$O650,0)</f>
        <v>0</v>
      </c>
      <c r="BF650" s="197">
        <f>IF($K650=BF$3,IF($C650="X",0,$O650),0)</f>
        <v>0</v>
      </c>
      <c r="BG650" s="198">
        <f>IF($K650=BG$3,IF($C650="X",0,$O650),0)</f>
        <v>0</v>
      </c>
      <c r="BH650" s="198">
        <f>IF($K650=BH$3,IF($C650="X",0,$O650),0)</f>
        <v>0</v>
      </c>
      <c r="BI650" s="198">
        <f>IF($K650=BI$3,IF($C650="X",0,$O650),0)</f>
        <v>0</v>
      </c>
      <c r="BJ650" s="198">
        <f>IF($K650=BJ$3,IF($C650="X",0,$O650),0)</f>
        <v>32.7</v>
      </c>
      <c r="BK650" s="198">
        <f>IF($K650=BK$3,IF($C650="X",0,$O650),0)</f>
        <v>0</v>
      </c>
      <c r="BL650" s="198">
        <f>IF($K650=BL$3,IF($C650="X",0,$O650),0)</f>
        <v>0</v>
      </c>
      <c r="BM650" s="227">
        <f>IF($K650=BM$3,IF($C650="X",0,$O650),0)</f>
        <v>0</v>
      </c>
      <c r="BN650" s="205">
        <f>IF($K650=BN$3,IF($C650="X",0,$O650),0)</f>
        <v>0</v>
      </c>
      <c r="BO650" s="205">
        <f>IF($K650=BO$3,IF($C650="X",0,$O650),0)</f>
        <v>0</v>
      </c>
      <c r="BP650" s="205">
        <f>IF($K650=BP$3,IF($C650="X",0,$O650),0)</f>
        <v>0</v>
      </c>
      <c r="BQ650" s="202">
        <f>IF($K650=BQ$3,IF($C650="X",0,$O650),0)</f>
        <v>0</v>
      </c>
      <c r="BR650" s="199">
        <f>IF($K650=BR$3,IF($C650="X",0,$O650),0)</f>
        <v>0</v>
      </c>
      <c r="BS650" s="228"/>
      <c r="BT650" s="229"/>
      <c r="BU650" s="140"/>
      <c r="BV650" s="229"/>
      <c r="BW650" s="140"/>
      <c r="BX650" s="140"/>
      <c r="BY650" s="140"/>
      <c r="BZ650" s="229"/>
      <c r="CA650" s="140"/>
      <c r="CB650" s="140"/>
      <c r="CC650" s="140"/>
      <c r="CD650" s="141"/>
      <c r="CE650" s="142"/>
      <c r="CF650" s="230">
        <f>IF(CF$3=$K650,IF($C650="W",1,IF($C650="1/2W",0.5,0)),0)</f>
        <v>0</v>
      </c>
      <c r="CG650" s="231">
        <f>IF(CF$3=$K650,IF($C650="L",1,IF($C650="1/2L",0.5,0)),0)</f>
        <v>0</v>
      </c>
      <c r="CH650" s="231">
        <f>IF(CH$3=$K650,IF($C650="W",1,IF($C650="1/2W",0.5,0)),0)</f>
        <v>0</v>
      </c>
      <c r="CI650" s="231">
        <f>IF(CH$3=$K650,IF($C650="L",1,IF($C650="1/2L",0.5,0)),0)</f>
        <v>0</v>
      </c>
      <c r="CJ650" s="231">
        <f>IF(CJ$3=$K650,IF($C650="W",1,IF($C650="1/2W",0.5,0)),0)</f>
        <v>0</v>
      </c>
      <c r="CK650" s="231">
        <f>IF(CJ$3=$K650,IF($C650="L",1,IF($C650="1/2L",0.5,0)),0)</f>
        <v>0</v>
      </c>
      <c r="CL650" s="231">
        <f>IF(CL$3=$K650,IF($C650="W",1,IF($C650="1/2W",0.5,0)),0)</f>
        <v>0</v>
      </c>
      <c r="CM650" s="231">
        <f>IF(CL$3=$K650,IF($C650="L",1,IF($C650="1/2L",0.5,0)),0)</f>
        <v>0</v>
      </c>
      <c r="CN650" s="231">
        <f>IF(CN$3=$K650,IF($C650="W",1,IF($C650="1/2W",0.5,0)),0)</f>
        <v>1</v>
      </c>
      <c r="CO650" s="231">
        <f>IF(CN$3=$K650,IF($C650="L",1,IF($C650="1/2L",0.5,0)),0)</f>
        <v>0</v>
      </c>
      <c r="CP650" s="231">
        <f>IF(CP$3=$K650,IF($C650="W",1,IF($C650="1/2W",0.5,0)),0)</f>
        <v>0</v>
      </c>
      <c r="CQ650" s="231">
        <f>IF(CP$3=$K650,IF($C650="L",1,IF($C650="1/2L",0.5,0)),0)</f>
        <v>0</v>
      </c>
      <c r="CR650" s="231">
        <f>IF(CR$3=$K650,IF($C650="W",1,IF($C650="1/2W",0.5,0)),0)</f>
        <v>0</v>
      </c>
      <c r="CS650" s="231">
        <f>IF(CR$3=$K650,IF($C650="L",1,IF($C650="1/2L",0.5,0)),0)</f>
        <v>0</v>
      </c>
      <c r="CT650" s="208">
        <f>IF(CT$3=$K650,IF($C650="W",1,IF($C650="1/2W",0.5,0)),0)</f>
        <v>0</v>
      </c>
      <c r="CU650" s="209">
        <f>IF(CT$3=$K650,IF($C650="L",1,IF($C650="1/2L",0.5,0)),0)</f>
        <v>0</v>
      </c>
      <c r="CV650" s="209">
        <f>IF(CV$3=$K650,IF($C650="W",1,IF($C650="1/2W",0.5,0)),0)</f>
        <v>0</v>
      </c>
      <c r="CW650" s="209">
        <f>IF(CV$3=$K650,IF($C650="L",1,IF($C650="1/2L",0.5,0)),0)</f>
        <v>0</v>
      </c>
      <c r="CX650" s="209">
        <f>IF(CX$3=$K650,IF($C650="W",1,IF($C650="1/2W",0.5,0)),0)</f>
        <v>0</v>
      </c>
      <c r="CY650" s="209">
        <f>IF(CX$3=$K650,IF($C650="L",1,IF($C650="1/2L",0.5,0)),0)</f>
        <v>0</v>
      </c>
      <c r="CZ650" s="209">
        <f>IF(CZ$3=$K650,IF($C650="W",1,IF($C650="1/2W",0.5,0)),0)</f>
        <v>0</v>
      </c>
      <c r="DA650" s="209">
        <f>IF(CZ$3=$K650,IF($C650="L",1,IF($C650="1/2L",0.5,0)),0)</f>
        <v>0</v>
      </c>
      <c r="DB650" s="209">
        <f>IF(DB$3=$K650,IF($C650="W",1,IF($C650="1/2W",0.5,0)),0)</f>
        <v>0</v>
      </c>
      <c r="DC650" s="209">
        <f>IF(DB$3=$K650,IF($C650="L",1,IF($C650="1/2L",0.5,0)),0)</f>
        <v>0</v>
      </c>
      <c r="DD650" s="209">
        <f>IF(DD$3=$K650,IF($C650="W",1,IF($C650="1/2W",0.5,0)),0)</f>
        <v>0</v>
      </c>
      <c r="DE650" s="210">
        <f>IF(DD$3=$K650,IF($C650="L",1,IF($C650="1/2L",0.5,0)),0)</f>
        <v>0</v>
      </c>
      <c r="DF650" s="211">
        <f>IF(AND(L650&lt;DF$3,$C650="W"),1+DF649,DF649)</f>
        <v>17</v>
      </c>
      <c r="DG650" s="198">
        <f>IF(DF650&gt;DF649,L650+DG649,DG649)</f>
        <v>22.628</v>
      </c>
      <c r="DH650" s="209">
        <f>IF(AND(L650&gt;DH$3,$C650="W"),1+DH649,0+DH649)</f>
        <v>16</v>
      </c>
      <c r="DI650" s="198">
        <f>IF(DH650&gt;DH649,L650+DI649,DI649)</f>
        <v>85.45999999999999</v>
      </c>
      <c r="DJ650" t="s" s="306">
        <f>IF($D649="","",$D649)</f>
        <v>467</v>
      </c>
      <c r="DK650" s="232"/>
    </row>
    <row r="651" ht="14.55" customHeight="1">
      <c r="A651" s="149"/>
      <c r="B651" s="150"/>
      <c r="C651" t="s" s="233">
        <v>58</v>
      </c>
      <c r="D651" s="152"/>
      <c r="E651" s="153"/>
      <c r="F651" s="155"/>
      <c r="G651" s="234"/>
      <c r="H651" s="156"/>
      <c r="I651" s="235"/>
      <c r="J651" s="236"/>
      <c r="K651" s="237"/>
      <c r="L651" s="238"/>
      <c r="M651" s="239"/>
      <c r="N651" s="161"/>
      <c r="O651" t="s" s="240">
        <f>IF(OR(AE649="",AE650=""),"",IF(L651&gt;0,ROUND(IF(M651&gt;0,M651,IF(M649&gt;0,ROUND((M649*AE651)/AE649,IF(N649=0,2,IF(N649=0.1,1,0))),IF(M650&gt;0,ROUND((M650*AE651)/AE650,IF(N649=0,2,IF(N649=0.1,1,0))),IF(M651&gt;0,M651,0)))),2),""))</f>
      </c>
      <c r="P651" t="s" s="241">
        <f>IF(I650="Lay",O650*(L650/(L650-1))-O650,IF(I649="Lay",O649*(L649/(L649-1))-O649,IF(OR(L651="",O651=""),"",IF($C651="1/2W",O651/2+O651/2*L651,IF($C651="1/2L",O651/2,(O651*L651-O651)*(1-_xlfn.XLOOKUP(K651,'Janeiro 2023 - Valor Real'!A3:A15,'Janeiro 2023 - Valor Real'!C3:C15,0))+O651)))))</f>
      </c>
      <c r="Q651" t="s" s="242">
        <f>IF(K651="","",IF(_xlfn.XLOOKUP(K651,K$124:K424,DJ$124:DJ424,0,,-1)=DJ651,_xlfn.XLOOKUP(K651,K$124:K424,Q$124:Q424,1,,-1)+1,1))</f>
      </c>
      <c r="R651" t="s" s="243">
        <f>IF(K651="","",_xlfn.XLOOKUP(K651,K$124:K424,R$124:R424,0,,-1)+IF($C651=" ",1,0))</f>
      </c>
      <c r="S651" s="166"/>
      <c r="T651" s="155"/>
      <c r="U651" s="155"/>
      <c r="V651" s="166"/>
      <c r="W651" s="155"/>
      <c r="X651" s="167"/>
      <c r="Y651" s="128"/>
      <c r="Z651" s="129"/>
      <c r="AA651" s="129"/>
      <c r="AB651" s="129"/>
      <c r="AC651" s="129"/>
      <c r="AD651" s="244">
        <f>((L650/(L650-1)-1))</f>
        <v>1.16279069767442</v>
      </c>
      <c r="AE651" t="s" s="245">
        <f>IF(L651="","",(SUM(((L649-1)*(1-_xlfn.XLOOKUP(K649,'Janeiro 2023 - Valor Real'!A3:A15,'Janeiro 2023 - Valor Real'!C3:C15,0))+1),((L650-1)*(1-_xlfn.XLOOKUP(K650,'Janeiro 2023 - Valor Real'!A3:A15,'Janeiro 2023 - Valor Real'!C3:C15,0))+1),((L651-1)*(1-_xlfn.XLOOKUP(K651,'Janeiro 2023 - Valor Real'!A3:A15,'Janeiro 2023 - Valor Real'!C3:C15,0))+1))/((L651-1)*(1-_xlfn.XLOOKUP(K651,'Janeiro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Real'!C3:C15,0))+1))/((L649-1)*(1-_xlfn.XLOOKUP(K649,'Janeiro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Real'!C3:C15,0))+1))/((L650-1)*(1-_xlfn.XLOOKUP(K650,'Janeiro 2023 - Valor Real'!A3:A15,'Janeiro 2023 - Valor Real'!C3:C15,0))+1)+SUM(((L649-1)*(1-_xlfn.XLOOKUP(K649,'Janeiro 2023 - Valor Real'!A3:A15,'Janeiro 2023 - Valor Real'!C3:C15,0))+1),((L650-1)*(1-_xlfn.XLOOKUP(K650,'Janeiro 2023 - Valor Real'!A3:A15,'Janeiro 2023 - Valor Real'!C3:C15,0))+1),((L651-1)*(1-_xlfn.XLOOKUP(K651,'Janeiro 2023 - Valor Real'!A3:A15,'Janeiro 2023 - Valor Real'!C3:C15,0))+1))/((L651-1)*(1-_xlfn.XLOOKUP(K651,'Janeiro 2023 - Valor Real'!A3:A15,'Janeiro 2023 - Valor Real'!C3:C15,0))+1)))</f>
      </c>
      <c r="AF651" s="197">
        <f>IF($K651=AF$3,ROUND(IF(OR($C651="W",$C651="1/2W",$C651="1/2L"),$P651-$O651,IF($C651="X",0,-$O651)),2),0)</f>
        <v>0</v>
      </c>
      <c r="AG651" s="198">
        <f>IF($K651=AG$3,ROUND(IF(OR($C651="W",$C651="1/2W",$C651="1/2L"),$P651-$O651,IF($C651="X",0,-$O651)),2),0)</f>
        <v>0</v>
      </c>
      <c r="AH651" s="198">
        <f>IF($K651=AH$3,ROUND(IF(OR($C651="W",$C651="1/2W",$C651="1/2L"),$P651-$O651,IF($C651="X",0,-$O651)),2),0)</f>
        <v>0</v>
      </c>
      <c r="AI651" s="198">
        <f>IF($K651=AI$3,ROUND(IF(OR($C651="W",$C651="1/2W",$C651="1/2L"),$P651-$O651,IF($C651="X",0,-$O651)),2),0)</f>
        <v>0</v>
      </c>
      <c r="AJ651" s="198">
        <f>IF($K651=AJ$3,ROUND(IF(OR($C651="W",$C651="1/2W",$C651="1/2L"),$P651-$O651,IF($C651="X",0,-$O651)),2),0)</f>
        <v>0</v>
      </c>
      <c r="AK651" s="198">
        <f>IF($K651=AK$3,ROUND(IF(OR($C651="W",$C651="1/2W",$C651="1/2L"),$P651-$O651,IF($C651="X",0,-$O651)),2),0)</f>
        <v>0</v>
      </c>
      <c r="AL651" s="198">
        <f>IF($K651=AL$3,ROUND(IF(OR($C651="W",$C651="1/2W",$C651="1/2L"),$P651-$O651,IF($C651="X",0,-$O651)),2),0)</f>
        <v>0</v>
      </c>
      <c r="AM651" s="198">
        <f>IF($K651=AM$3,ROUND(IF(OR($C651="W",$C651="1/2W",$C651="1/2L"),$P651-$O651,IF($C651="X",0,-$O651)),2),0)</f>
        <v>0</v>
      </c>
      <c r="AN651" s="198">
        <f>IF($K651=AN$3,ROUND(IF(OR($C651="W",$C651="1/2W",$C651="1/2L"),$P651-$O651,IF($C651="X",0,-$O651)),2),0)</f>
        <v>0</v>
      </c>
      <c r="AO651" s="198">
        <f>IF($K651=AO$3,ROUND(IF(OR($C651="W",$C651="1/2W",$C651="1/2L"),$P651-$O651,IF($C651="X",0,-$O651)),2),0)</f>
        <v>0</v>
      </c>
      <c r="AP651" s="198">
        <f>IF($K651=AP$3,ROUND(IF(OR($C651="W",$C651="1/2W",$C651="1/2L"),$P651-$O651,IF($C651="X",0,-$O651)),2),0)</f>
        <v>0</v>
      </c>
      <c r="AQ651" s="198">
        <f>IF($K651=AQ$3,ROUND(IF(OR($C651="W",$C651="1/2W",$C651="1/2L"),$P651-$O651,IF($C651="X",0,-$O651)),2),0)</f>
        <v>0</v>
      </c>
      <c r="AR651" s="199">
        <f>IF($K651=AR$3,ROUND(IF(OR($C651="W",$C651="1/2W",$C651="1/2L"),$P651-$O651,IF($C651="X",0,-$O651)),2),0)</f>
        <v>0</v>
      </c>
      <c r="AS651" s="197">
        <f>IF(AND($B649=" ",$K651=AS$3),$O651,0)</f>
        <v>0</v>
      </c>
      <c r="AT651" s="198">
        <f>IF(AND($B649=" ",K651=AT$3),$O651,0)</f>
        <v>0</v>
      </c>
      <c r="AU651" s="198">
        <f>IF(AND($B649=" ",$K651=AU$3),$O651,0)</f>
        <v>0</v>
      </c>
      <c r="AV651" s="198">
        <f>IF(AND($B649=" ",$K651=AV$3),$O651,0)</f>
        <v>0</v>
      </c>
      <c r="AW651" s="198">
        <f>IF(AND($B649=" ",$K651=AW$3),$O651,0)</f>
        <v>0</v>
      </c>
      <c r="AX651" s="198">
        <f>IF(AND($B649=" ",$K651=AX$3),$O651,0)</f>
        <v>0</v>
      </c>
      <c r="AY651" s="200">
        <f>IF(AND($B649=" ",$K651=AY$3),$O651,0)</f>
        <v>0</v>
      </c>
      <c r="AZ651" s="201">
        <f>IF(AND($B649=" ",$K651=AZ$3),$O651,0)</f>
        <v>0</v>
      </c>
      <c r="BA651" s="201">
        <f>IF(AND($B649=" ",$K651=BA$3),$O651,0)</f>
        <v>0</v>
      </c>
      <c r="BB651" s="201">
        <f>IF(AND($B649=" ",$K651=BB$3),$O651,0)</f>
        <v>0</v>
      </c>
      <c r="BC651" s="202">
        <f>IF(AND($B649=" ",$K651=BC$3),$O651,0)</f>
        <v>0</v>
      </c>
      <c r="BD651" s="198">
        <f>IF(AND($B649=" ",$K651=BD$3),$O651,0)</f>
        <v>0</v>
      </c>
      <c r="BE651" s="199">
        <f>IF(AND($B649=" ",$K651=BE$3),$O651,0)</f>
        <v>0</v>
      </c>
      <c r="BF651" s="197">
        <f>IF($K651=BF$3,IF($C651="X",0,$O651),0)</f>
        <v>0</v>
      </c>
      <c r="BG651" s="198">
        <f>IF($K651=BG$3,IF($C651="X",0,$O651),0)</f>
        <v>0</v>
      </c>
      <c r="BH651" s="198">
        <f>IF($K651=BH$3,IF($C651="X",0,$O651),0)</f>
        <v>0</v>
      </c>
      <c r="BI651" s="198">
        <f>IF($K651=BI$3,IF($C651="X",0,$O651),0)</f>
        <v>0</v>
      </c>
      <c r="BJ651" s="198">
        <f>IF($K651=BJ$3,IF($C651="X",0,$O651),0)</f>
        <v>0</v>
      </c>
      <c r="BK651" s="198">
        <f>IF($K651=BK$3,IF($C651="X",0,$O651),0)</f>
        <v>0</v>
      </c>
      <c r="BL651" s="198">
        <f>IF($K651=BL$3,IF($C651="X",0,$O651),0)</f>
        <v>0</v>
      </c>
      <c r="BM651" s="200">
        <f>IF($K651=BM$3,IF($C651="X",0,$O651),0)</f>
        <v>0</v>
      </c>
      <c r="BN651" s="201">
        <f>IF($K651=BN$3,IF($C651="X",0,$O651),0)</f>
        <v>0</v>
      </c>
      <c r="BO651" s="201">
        <f>IF($K651=BO$3,IF($C651="X",0,$O651),0)</f>
        <v>0</v>
      </c>
      <c r="BP651" s="201">
        <f>IF($K651=BP$3,IF($C651="X",0,$O651),0)</f>
        <v>0</v>
      </c>
      <c r="BQ651" s="202">
        <f>IF($K651=BQ$3,IF($C651="X",0,$O651),0)</f>
        <v>0</v>
      </c>
      <c r="BR651" s="199">
        <f>IF($K651=BR$3,IF($C651="X",0,$O651),0)</f>
        <v>0</v>
      </c>
      <c r="BS651" s="228"/>
      <c r="BT651" s="229"/>
      <c r="BU651" s="140"/>
      <c r="BV651" s="229"/>
      <c r="BW651" s="140"/>
      <c r="BX651" s="140"/>
      <c r="BY651" s="140"/>
      <c r="BZ651" s="229"/>
      <c r="CA651" s="140"/>
      <c r="CB651" s="140"/>
      <c r="CC651" s="140"/>
      <c r="CD651" s="141"/>
      <c r="CE651" s="142"/>
      <c r="CF651" s="230">
        <f>IF(CF$3=$K651,IF($C651="W",1,IF($C651="1/2W",0.5,0)),0)</f>
        <v>0</v>
      </c>
      <c r="CG651" s="231">
        <f>IF(CF$3=$K651,IF($C651="L",1,IF($C651="1/2L",0.5,0)),0)</f>
        <v>0</v>
      </c>
      <c r="CH651" s="231">
        <f>IF(CH$3=$K651,IF($C651="W",1,IF($C651="1/2W",0.5,0)),0)</f>
        <v>0</v>
      </c>
      <c r="CI651" s="231">
        <f>IF(CH$3=$K651,IF($C651="L",1,IF($C651="1/2L",0.5,0)),0)</f>
        <v>0</v>
      </c>
      <c r="CJ651" s="231">
        <f>IF(CJ$3=$K651,IF($C651="W",1,IF($C651="1/2W",0.5,0)),0)</f>
        <v>0</v>
      </c>
      <c r="CK651" s="231">
        <f>IF(CJ$3=$K651,IF($C651="L",1,IF($C651="1/2L",0.5,0)),0)</f>
        <v>0</v>
      </c>
      <c r="CL651" s="231">
        <f>IF(CL$3=$K651,IF($C651="W",1,IF($C651="1/2W",0.5,0)),0)</f>
        <v>0</v>
      </c>
      <c r="CM651" s="231">
        <f>IF(CL$3=$K651,IF($C651="L",1,IF($C651="1/2L",0.5,0)),0)</f>
        <v>0</v>
      </c>
      <c r="CN651" s="231">
        <f>IF(CN$3=$K651,IF($C651="W",1,IF($C651="1/2W",0.5,0)),0)</f>
        <v>0</v>
      </c>
      <c r="CO651" s="231">
        <f>IF(CN$3=$K651,IF($C651="L",1,IF($C651="1/2L",0.5,0)),0)</f>
        <v>0</v>
      </c>
      <c r="CP651" s="231">
        <f>IF(CP$3=$K651,IF($C651="W",1,IF($C651="1/2W",0.5,0)),0)</f>
        <v>0</v>
      </c>
      <c r="CQ651" s="231">
        <f>IF(CP$3=$K651,IF($C651="L",1,IF($C651="1/2L",0.5,0)),0)</f>
        <v>0</v>
      </c>
      <c r="CR651" s="231">
        <f>IF(CR$3=$K651,IF($C651="W",1,IF($C651="1/2W",0.5,0)),0)</f>
        <v>0</v>
      </c>
      <c r="CS651" s="231">
        <f>IF(CR$3=$K651,IF($C651="L",1,IF($C651="1/2L",0.5,0)),0)</f>
        <v>0</v>
      </c>
      <c r="CT651" s="208">
        <f>IF(CT$3=$K651,IF($C651="W",1,IF($C651="1/2W",0.5,0)),0)</f>
        <v>0</v>
      </c>
      <c r="CU651" s="209">
        <f>IF(CT$3=$K651,IF($C651="L",1,IF($C651="1/2L",0.5,0)),0)</f>
        <v>0</v>
      </c>
      <c r="CV651" s="209">
        <f>IF(CV$3=$K651,IF($C651="W",1,IF($C651="1/2W",0.5,0)),0)</f>
        <v>0</v>
      </c>
      <c r="CW651" s="209">
        <f>IF(CV$3=$K651,IF($C651="L",1,IF($C651="1/2L",0.5,0)),0)</f>
        <v>0</v>
      </c>
      <c r="CX651" s="209">
        <f>IF(CX$3=$K651,IF($C651="W",1,IF($C651="1/2W",0.5,0)),0)</f>
        <v>0</v>
      </c>
      <c r="CY651" s="209">
        <f>IF(CX$3=$K651,IF($C651="L",1,IF($C651="1/2L",0.5,0)),0)</f>
        <v>0</v>
      </c>
      <c r="CZ651" s="209">
        <f>IF(CZ$3=$K651,IF($C651="W",1,IF($C651="1/2W",0.5,0)),0)</f>
        <v>0</v>
      </c>
      <c r="DA651" s="209">
        <f>IF(CZ$3=$K651,IF($C651="L",1,IF($C651="1/2L",0.5,0)),0)</f>
        <v>0</v>
      </c>
      <c r="DB651" s="209">
        <f>IF(DB$3=$K651,IF($C651="W",1,IF($C651="1/2W",0.5,0)),0)</f>
        <v>0</v>
      </c>
      <c r="DC651" s="209">
        <f>IF(DB$3=$K651,IF($C651="L",1,IF($C651="1/2L",0.5,0)),0)</f>
        <v>0</v>
      </c>
      <c r="DD651" s="209">
        <f>IF(DD$3=$K651,IF($C651="W",1,IF($C651="1/2W",0.5,0)),0)</f>
        <v>0</v>
      </c>
      <c r="DE651" s="210">
        <f>IF(DD$3=$K651,IF($C651="L",1,IF($C651="1/2L",0.5,0)),0)</f>
        <v>0</v>
      </c>
      <c r="DF651" s="211">
        <f>IF(AND(L651&lt;DF$3,$C651="W"),1+DF650,DF650)</f>
        <v>17</v>
      </c>
      <c r="DG651" s="198">
        <f>IF(DF651&gt;DF650,L651+DG650,DG650)</f>
        <v>22.628</v>
      </c>
      <c r="DH651" s="209">
        <f>IF(AND(L651&gt;DH$3,$C651="W"),1+DH650,0+DH650)</f>
        <v>16</v>
      </c>
      <c r="DI651" s="198">
        <f>IF(DH651&gt;DH650,L651+DI650,DI650)</f>
        <v>85.45999999999999</v>
      </c>
      <c r="DJ651" t="s" s="306">
        <f>IF($D649="","",$D649)</f>
        <v>467</v>
      </c>
      <c r="DK651" s="232"/>
    </row>
    <row r="652" ht="14.55" customHeight="1">
      <c r="A652" s="246">
        <f>$A649+1</f>
        <v>217</v>
      </c>
      <c r="B652" t="s" s="247">
        <f>IF(AND(_xlfn.XLOOKUP(H652,H$107:H431,G$107:G431,0)=G652,_xlfn.XLOOKUP("TempoBet",K652:K654,L652:L654,0)&gt;0),"X",IF(OR(C652="W",C653="W",C654="W",C652="1/2W",C653="1/2W",C654="1/2W",C652="1/2L",C653="1/2L",C654="1/2L"),"OK",IF(OR(C652="L",C653="L",C654="L"),"LOSS",IF(OR(C652="X",C653="X",C654="X"),"Anulado"," "))))</f>
        <v>50</v>
      </c>
      <c r="C652" t="s" s="248">
        <v>51</v>
      </c>
      <c r="D652" t="s" s="303">
        <f>IF(G652="","",$D649)</f>
        <v>467</v>
      </c>
      <c r="E652" t="s" s="250">
        <v>59</v>
      </c>
      <c r="F652" t="s" s="251">
        <f>IF(G652="","",IF(OR(AND($C652&lt;&gt;" ",$C653=" "),AND($C653&lt;&gt;" ",$C652=" "),AND(L654&gt;0,OR(AND($C654&lt;&gt;" ",OR($C652=" ",$C653=" ")),AND($C654=" ",OR($C652&lt;&gt;" ",$C653&lt;&gt;" "))))),IF(SUM(F$4:F651)=0,1,LARGE(F$4:F651,1)+1),IF(MONTH(G652)=MONTH(TODAY()),IF(AND(DAY(G652)&lt;DAY(TODAY()),$B652=" "),IF(SUM(F$4:F651)=0,1,LARGE(F$4:F651,1)+1),IF($B652=" ",IF(AND(DAY(G652)=DAY(TODAY()),HOUR(G652)&lt;=HOUR(NOW())+1),IF(AND(HOUR(G652)+2&lt;=HOUR(NOW()),DAY(G652)&lt;=DAY(TODAY()),MINUTE(G652)&lt;=MINUTE(NOW())),IF(SUM(F$4:F651)=0,1,LARGE(F$4:F651,1)+1),IF(OR(MINUTE(G652)&lt;=MINUTE(NOW()),HOUR(G652)&lt;=HOUR(NOW())),"!!!","")),""),"")),"")))</f>
      </c>
      <c r="G652" s="252">
        <v>44957.333333333336</v>
      </c>
      <c r="H652" t="s" s="253">
        <v>468</v>
      </c>
      <c r="I652" t="s" s="254">
        <v>65</v>
      </c>
      <c r="J652" s="255">
        <v>47.5</v>
      </c>
      <c r="K652" t="s" s="256">
        <v>44</v>
      </c>
      <c r="L652" s="257">
        <v>2.1</v>
      </c>
      <c r="M652" s="258"/>
      <c r="N652" s="259">
        <v>0</v>
      </c>
      <c r="O652" s="260">
        <f>IF(OR(AE652="",AE653=""),"",ROUND(IF(L654&gt;0,IF(M652&gt;0,M652,IF(M653&gt;0,ROUND((M653*AE652)/AE653,IF(N652=0,2,IF(N652=0.1,1,0))),ROUND((M654*AE652)/AE654,IF(N652=0,2,IF(N652=0.1,1,0))))),IF(M652&gt;0,M652,ROUND((M653*AE652)/AE653,IF(N652=0,2,IF(N652=0.1,1,0))))),2))</f>
        <v>20.92</v>
      </c>
      <c r="P652" s="261">
        <f>IF(OR(L652="",O652=""),"",IF($C652="1/2W",O652/2+O652/2*L652,IF($C652="1/2L",O652/2,IF(I652="Lay",(O652*(L652/(L652-1))-O652)*(1-_xlfn.XLOOKUP(K652,'Janeiro 2023 - Valor Real'!A3:A15,'Janeiro 2023 - Valor Real'!C3:C15,0))+O652,(O652*L652-O652)*(1-_xlfn.XLOOKUP(K652,'Janeiro 2023 - Valor Real'!A3:A15,'Janeiro 2023 - Valor Real'!C3:C15,0))+O652))))</f>
        <v>43.932</v>
      </c>
      <c r="Q652" s="262">
        <f>IF(K652="","",IF(_xlfn.XLOOKUP(K652,K$107:K431,DJ$107:DJ431,0,,-1)=DJ652,_xlfn.XLOOKUP(K652,K$107:K431,Q$107:Q431,1,,-1)+1,1))</f>
        <v>1</v>
      </c>
      <c r="R652" s="263">
        <f>IF(K652="","",_xlfn.XLOOKUP(K652,K$107:K431,R$107:R431,0,,-1)+IF($C652=" ",1,0))</f>
        <v>0</v>
      </c>
      <c r="S652" s="264">
        <f>IF($B652="Anulado",0,ROUND(IF(OR($B652="LOSS",$B652="OK"),IF(OR($C652="W",$C652="1/2W",$C652="1/2L"),P652-O652,IF($C652="L",-O652,0))+IF(OR($C653="W",$C653="1/2W",$C653="1/2L"),P653-O653,IF($C653="L",-O653,0))+IF(OR($C654="W",$C654="1/2W",$C654="1/2L"),P654-O654,IF($C654="L",-O654,0)),IF(AND(OR($C652="W",$C652="1/2W",$C652="1/2L"),C653="W"),P652+P653-SUM(O652:O654)+_xlfn.XLOOKUP("X",C652:C654,O652:O654,0),IF(AND(C652=TRUE,C654="W"),P652+P654-SUM(O652:O654),IF(AND(C653="W",C654="W"),P653+P654-SUM(O652:O654)+_xlfn.XLOOKUP("X",C652:C654,O652:O654,0),IF(L654&gt;0,IF(OR($C652="W",$C652="1/2W",$C652="1/2L"),P652-SUM(O652:O654)+_xlfn.XLOOKUP("X",C652:C654,O652:O654,0),IF(OR($C652="W",$C652="1/2W",$C652="1/2L"),P653-SUM(O652:O654)+_xlfn.XLOOKUP("X",C652:C654,O652:O654,0),IF(OR($C652="W",$C652="1/2W",$C652="1/2L"),P654-SUM(O652:O654)+_xlfn.XLOOKUP("X",C652:C654,O652:O654,0),IF(SUM(P652:P654)/3-SUM(O652:O654)+_xlfn.XLOOKUP("X",C652:C654,O652:O654,0)&gt;0,SUM(P652:P654)/3-SUM(O652:O654)+_xlfn.XLOOKUP("X",C652:C654,O652:O654,0),LARGE(P652:P654,1)-SUM(O652:O654))))),IF(OR($C652="W",$C652="1/2W",$C652="1/2L"),P652-SUM(O652:O653)+_xlfn.XLOOKUP("X",C652:C654,O652:O654,0),IF(OR($C652="W",$C652="1/2W",$C652="1/2L"),P653-SUM(O652:O653)+_xlfn.XLOOKUP("X",C652:C654,O652:O654,0),SUM(P652:P653)/2-SUM(O652:O653)+_xlfn.XLOOKUP("X",C652:C654,O652:O654,0)))))))),2))</f>
        <v>1.58</v>
      </c>
      <c r="T652" s="265">
        <f>IF(S652=0,0,S652/SUM(O652:O654))</f>
        <v>0.0373081463990555</v>
      </c>
      <c r="U652" s="266">
        <f>IF($D652=$D649,IF(OR($B652="LOSS",$B652="OK",$B652="Anulada"),S652,0)+U649,IF(OR($B652="LOSS",$B652="OK",$B652="Anulada"),S652,0))</f>
        <v>3.82</v>
      </c>
      <c r="V652" s="266">
        <f>IF($D652="",0,IF($D652=$D649,IF($B652=" ",IF(I654="",IF(OR(AND(I652="DNB1",I653="DNB2"),AND(OR(I652="DNB1",I652="DNB2"),J653=0),AND(OR(I653="DNB1",I653="DNB2"),J652=0),AND(I652="DNB2",I653="DNB1"),AND(IF(J652=0,(J652+1)/ROUND(J652+1,0),J652/ROUND(J652,0))=1,IF(J653=0,(J653+1)/ROUND(IF(J653="",0,J653)+1,0),IF(J653="",0,J653)/ROUND(IF(J653="",1,J653),0))=1,OR(J652&lt;&gt;""),J653&lt;&gt;"")),0,IF(S652&lt;0,IF(I654="",SMALL(P652:P653,1)-SUM(O652:O653),0),SMALL(P652:P653,1)-SUM(O652:O653))),IF(S652&lt;0,IF(I654="",SMALL(P652:P654,1)-SUM(O652:O654),0),LARGE(P652:P654,1)-SUM(O652:O654))),S652)+V649,IF(I654="",IF(OR(AND(I652="DNB1",I653="DNB2"),AND(OR(I652="DNB1",I652="DNB2"),J653=0),AND(OR(I653="DNB1",I653="DNB2"),J652=0),AND(I652="DNB2",I653="DNB1"),AND(IF(J652=0,(J652+1)/ROUND(J652+1,0),J652/ROUND(J652,0))=1,IF(J653=0,(IF(J653="",0,J653)+1)/ROUND(IF(J653="",0,J653)+1,0),IF(J653="",0,J653)/ROUND(IF(J653="",0,J653)+1,0))=1,OR(J652&lt;&gt;""),J653&lt;&gt;"")),0,IF(S652&lt;0,IF(I654="",SMALL(P652:P653,1)-SUM(O652:O653),0),SMALL(P652:P654,1)-SUM(O652:O654))),IF(S652&lt;0,IF(I654="",SMALL(P652:P654,1)-SUM(O652:O654),0),LARGE(P652:P654,1)-SUM(O652:O654)))))</f>
        <v>3.818</v>
      </c>
      <c r="W652" s="266">
        <f>IF($D652=$D649,IF(S652&lt;0,IF(I654="",S652,0),S652)+W649,S652)</f>
        <v>3.82</v>
      </c>
      <c r="X652" t="s" s="267">
        <f>IF(OR(SUM(R652:R654)=0,V652=W652),ROUND(IF(W652=0,0,W652/Y652)*100,2)&amp;"%",ROUND(IF(V652=0,0,V652/Y652)*100,2)&amp;"% a "&amp;ROUND(IF(W652=0,0,W652/Y652)*100,2)&amp;"%")</f>
        <v>357</v>
      </c>
      <c r="Y652" s="268">
        <f>IF($D652=$D649,Y649+SUM(O652:O654),SUM(O652:O654))</f>
        <v>100.93</v>
      </c>
      <c r="Z652" s="266">
        <f>IF($B652=" ",SUM(O652:O654),0)+Z649</f>
        <v>0</v>
      </c>
      <c r="AA652" s="266">
        <f>IF(G652="","",IF($B652="Anulado",LARGE(P652:P654,1)-SUM(O652:O654)+AA649,AA649))</f>
        <v>26.8740076923077</v>
      </c>
      <c r="AB652" s="266">
        <f>IF($D652="","",AB649+S652)</f>
        <v>465.05</v>
      </c>
      <c r="AC652" s="269">
        <f>IF($D652="","",IF($B652=" ",IF(DAY(G652)=DAY(TODAY()),1+AC649,0+AC649),0+AC649))</f>
        <v>0</v>
      </c>
      <c r="AD652" s="270">
        <f>(1-_xlfn.XLOOKUP(K650,'Janeiro 2023 - Valor Real'!A3:A15,'Janeiro 2023 - Valor Real'!C3:C15,0))+1</f>
        <v>2</v>
      </c>
      <c r="AE652" s="271">
        <f>IF(L652="","",IF(L654&gt;0,(SUM(((L652-1)*(1-_xlfn.XLOOKUP(K652,'Janeiro 2023 - Valor Real'!A3:A15,'Janeiro 2023 - Valor Real'!C3:C15,0))+1),((L653-1)*(1-_xlfn.XLOOKUP(K653,'Janeiro 2023 - Valor Real'!A3:A15,'Janeiro 2023 - Valor Real'!C3:C15,0))+1),((L654-1)*(1-_xlfn.XLOOKUP(K654,'Janeiro 2023 - Valor Real'!A3:A15,'Janeiro 2023 - Valor Real'!C3:C15,0))+1))/((L652-1)*(1-_xlfn.XLOOKUP(K652,'Janeiro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Real'!C3:C15,0))+1))/((L652-1)*(1-_xlfn.XLOOKUP(K652,'Janeiro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Real'!C3:C15,0))+1))/((L653-1)*(1-_xlfn.XLOOKUP(K653,'Janeiro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Real'!C3:C15,0))+1))/((L654-1)*(1-_xlfn.XLOOKUP(K654,'Janeiro 2023 - Valor Real'!A3:A15,'Janeiro 2023 - Valor Real'!C3:C15,0))+1)),IF(I652="Lay",IF(I653="Lay",((L653/(L653-1)-1)*(1-_xlfn.XLOOKUP(K653,'Janeiro 2023 - Valor Real'!A3:A15,'Janeiro 2023 - Valor Real'!C3:C15,0))+1)/(((L653/(L653-1)-1)*(1-_xlfn.XLOOKUP(K653,'Janeiro 2023 - Valor Real'!A3:A15,'Janeiro 2023 - Valor Real'!C3:C15,0))+1)+((L652/(L652-1)-1)*(1-_xlfn.XLOOKUP(K652,'Janeiro 2023 - Valor Real'!A3:A15,'Janeiro 2023 - Valor Real'!C3:C15,0))+1)),((L653-1)*(1-_xlfn.XLOOKUP(K653,'Janeiro 2023 - Valor Real'!A3:A15,'Janeiro 2023 - Valor Real'!C3:C15,0))+1)/(((L653-1)*(1-_xlfn.XLOOKUP(K653,'Janeiro 2023 - Valor Real'!A3:A15,'Janeiro 2023 - Valor Real'!C3:C15,0))+1)+((L652/(L652-1)-1)*(1-_xlfn.XLOOKUP(K652,'Janeiro 2023 - Valor Real'!A3:A15,'Janeiro 2023 - Valor Real'!C3:C15,0))+1))),IF(I653="Lay",(((L653/(L653-1)-1)*(1-_xlfn.XLOOKUP(K653,'Janeiro 2023 - Valor Real'!A3:A15,'Janeiro 2023 - Valor Real'!C3:C15,0))+1))/(((L652-1)*(1-_xlfn.XLOOKUP(K652,'Janeiro 2023 - Valor Real'!A3:A15,'Janeiro 2023 - Valor Real'!C3:C15,0))+1)+((L653/(L653-1)-1)*(1-_xlfn.XLOOKUP(K653,'Janeiro 2023 - Valor Real'!A3:A15,'Janeiro 2023 - Valor Real'!C3:C15,0))+1)),((L653-1)*(1-_xlfn.XLOOKUP(K653,'Janeiro 2023 - Valor Real'!A3:A15,'Janeiro 2023 - Valor Real'!C3:C15,0))+1)/(((L653-1)*(1-_xlfn.XLOOKUP(K653,'Janeiro 2023 - Valor Real'!A3:A15,'Janeiro 2023 - Valor Real'!C3:C15,0))+1)+((L652-1)*(1-_xlfn.XLOOKUP(K652,'Janeiro 2023 - Valor Real'!A3:A15,'Janeiro 2023 - Valor Real'!C3:C15,0))+1))))))</f>
        <v>0.493975903614458</v>
      </c>
      <c r="AF652" s="132">
        <f>IF($K652=AF$3,ROUND(IF(OR($C652="W",$C652="1/2W",$C652="1/2L"),$P652-$O652,IF($C652="X",0,-$O652)),2),0)</f>
        <v>0</v>
      </c>
      <c r="AG652" s="133">
        <f>IF($K652=AG$3,ROUND(IF(OR($C652="W",$C652="1/2W",$C652="1/2L"),$P652-$O652,IF($C652="X",0,-$O652)),2),0)</f>
        <v>0</v>
      </c>
      <c r="AH652" s="133">
        <f>IF($K652=AH$3,ROUND(IF(OR($C652="W",$C652="1/2W",$C652="1/2L"),$P652-$O652,IF($C652="X",0,-$O652)),2),0)</f>
        <v>0</v>
      </c>
      <c r="AI652" s="133">
        <f>IF($K652=AI$3,ROUND(IF(OR($C652="W",$C652="1/2W",$C652="1/2L"),$P652-$O652,IF($C652="X",0,-$O652)),2),0)</f>
        <v>0</v>
      </c>
      <c r="AJ652" s="133">
        <f>IF($K652=AJ$3,ROUND(IF(OR($C652="W",$C652="1/2W",$C652="1/2L"),$P652-$O652,IF($C652="X",0,-$O652)),2),0)</f>
        <v>0</v>
      </c>
      <c r="AK652" s="133">
        <f>IF($K652=AK$3,ROUND(IF(OR($C652="W",$C652="1/2W",$C652="1/2L"),$P652-$O652,IF($C652="X",0,-$O652)),2),0)</f>
        <v>0</v>
      </c>
      <c r="AL652" s="133">
        <f>IF($K652=AL$3,ROUND(IF(OR($C652="W",$C652="1/2W",$C652="1/2L"),$P652-$O652,IF($C652="X",0,-$O652)),2),0)</f>
        <v>0</v>
      </c>
      <c r="AM652" s="133">
        <f>IF($K652=AM$3,ROUND(IF(OR($C652="W",$C652="1/2W",$C652="1/2L"),$P652-$O652,IF($C652="X",0,-$O652)),2),0)</f>
        <v>-20.92</v>
      </c>
      <c r="AN652" s="133">
        <f>IF($K652=AN$3,ROUND(IF(OR($C652="W",$C652="1/2W",$C652="1/2L"),$P652-$O652,IF($C652="X",0,-$O652)),2),0)</f>
        <v>0</v>
      </c>
      <c r="AO652" s="133">
        <f>IF($K652=AO$3,ROUND(IF(OR($C652="W",$C652="1/2W",$C652="1/2L"),$P652-$O652,IF($C652="X",0,-$O652)),2),0)</f>
        <v>0</v>
      </c>
      <c r="AP652" s="133">
        <f>IF($K652=AP$3,ROUND(IF(OR($C652="W",$C652="1/2W",$C652="1/2L"),$P652-$O652,IF($C652="X",0,-$O652)),2),0)</f>
        <v>0</v>
      </c>
      <c r="AQ652" s="133">
        <f>IF($K652=AQ$3,ROUND(IF(OR($C652="W",$C652="1/2W",$C652="1/2L"),$P652-$O652,IF($C652="X",0,-$O652)),2),0)</f>
        <v>0</v>
      </c>
      <c r="AR652" s="134">
        <f>IF($K652=AR$3,ROUND(IF(OR($C652="W",$C652="1/2W",$C652="1/2L"),$P652-$O652,IF($C652="X",0,-$O652)),2),0)</f>
        <v>0</v>
      </c>
      <c r="AS652" s="132">
        <f>IF(AND($B652=" ",$K652=AS$3),$O652,0)</f>
        <v>0</v>
      </c>
      <c r="AT652" s="133">
        <f>IF(AND($B652=" ",$K652=AT$3),$O652,0)</f>
        <v>0</v>
      </c>
      <c r="AU652" s="133">
        <f>IF(AND($B652=" ",$K652=AU$3),$O652,0)</f>
        <v>0</v>
      </c>
      <c r="AV652" s="133">
        <f>IF(AND($B652=" ",$K652=AV$3),$O652,0)</f>
        <v>0</v>
      </c>
      <c r="AW652" s="133">
        <f>IF(AND($B652=" ",$K652=AW$3),$O652,0)</f>
        <v>0</v>
      </c>
      <c r="AX652" s="133">
        <f>IF(AND($B652=" ",$K652=AX$3),$O652,0)</f>
        <v>0</v>
      </c>
      <c r="AY652" s="135">
        <f>IF(AND($B652=" ",$K652=AY$3),$O652,0)</f>
        <v>0</v>
      </c>
      <c r="AZ652" s="136">
        <f>IF(AND($B652=" ",$K652=AZ$3),$O652,0)</f>
        <v>0</v>
      </c>
      <c r="BA652" s="136">
        <f>IF(AND($B652=" ",$K652=BA$3),$O652,0)</f>
        <v>0</v>
      </c>
      <c r="BB652" s="136">
        <f>IF(AND($B652=" ",$K652=BB$3),$O652,0)</f>
        <v>0</v>
      </c>
      <c r="BC652" s="137">
        <f>IF(AND($B652=" ",$K652=BC$3),$O652,0)</f>
        <v>0</v>
      </c>
      <c r="BD652" s="133">
        <f>IF(AND($B652=" ",$K652=BD$3),$O652,0)</f>
        <v>0</v>
      </c>
      <c r="BE652" s="134">
        <f>IF(AND($B652=" ",$K652=BE$3),$O652,0)</f>
        <v>0</v>
      </c>
      <c r="BF652" s="132">
        <f>IF($K652=BF$3,IF($C652="X",0,$O652),0)</f>
        <v>0</v>
      </c>
      <c r="BG652" s="133">
        <f>IF($K652=BG$3,IF($C652="X",0,$O652),0)</f>
        <v>0</v>
      </c>
      <c r="BH652" s="133">
        <f>IF($K652=BH$3,IF($C652="X",0,$O652),0)</f>
        <v>0</v>
      </c>
      <c r="BI652" s="133">
        <f>IF($K652=BI$3,IF($C652="X",0,$O652),0)</f>
        <v>0</v>
      </c>
      <c r="BJ652" s="133">
        <f>IF($K652=BJ$3,IF($C652="X",0,$O652),0)</f>
        <v>0</v>
      </c>
      <c r="BK652" s="133">
        <f>IF($K652=BK$3,IF($C652="X",0,$O652),0)</f>
        <v>0</v>
      </c>
      <c r="BL652" s="133">
        <f>IF($K652=BL$3,IF($C652="X",0,$O652),0)</f>
        <v>0</v>
      </c>
      <c r="BM652" s="135">
        <f>IF($K652=BM$3,IF($C652="X",0,$O652),0)</f>
        <v>20.92</v>
      </c>
      <c r="BN652" s="136">
        <f>IF($K652=BN$3,IF($C652="X",0,$O652),0)</f>
        <v>0</v>
      </c>
      <c r="BO652" s="136">
        <f>IF($K652=BO$3,IF($C652="X",0,$O652),0)</f>
        <v>0</v>
      </c>
      <c r="BP652" s="136">
        <f>IF($K652=BP$3,IF($C652="X",0,$O652),0)</f>
        <v>0</v>
      </c>
      <c r="BQ652" s="137">
        <f>IF($K652=BQ$3,IF($C652="X",0,$O652),0)</f>
        <v>0</v>
      </c>
      <c r="BR652" s="134">
        <f>IF($K652=BR$3,IF($C652="X",0,$O652),0)</f>
        <v>0</v>
      </c>
      <c r="BS652" s="170">
        <f>IF($B652="LOSS",IF(AND($K652=BS$3,$C652="L"),-$O652,0)+IF(AND($K653=BS$3,$C653="L"),-$O653,0)+IF(AND($K654=BS$3,$C654="L"),-$O654,0),IF(OR(AND($K652=BS$3,OR($C652="W",$C652="1/2W")),AND($K653=BS$3,OR($C653="W",$C653="1/2W")),AND($K654=BS$3,OR($C654="W",$C654="1/2W"))),$S652,0))</f>
        <v>0</v>
      </c>
      <c r="BT652" s="272">
        <f>IF($B652="LOSS",IF(AND($K652=BT$3,$C652="L"),-$O652,0)+IF(AND($K653=BT$3,$C653="L"),-$O653,0)+IF(AND($K653=BT$3,$C654="L"),-$O654,0),IF(OR(AND($K653=BT$3,OR($C652="W",$C652="1/2W")),AND($K653=BT$3,OR($C653="W",$C653="1/2W")),AND($K653=BT$3,OR($C654="W",$C654="1/2W"))),$S652,0))</f>
        <v>0</v>
      </c>
      <c r="BU652" s="136">
        <f>IF($B652="LOSS",IF(AND($K652=BU$3,$C652="L"),-$O652,0)+IF(AND($K653=BU$3,$C653="L"),-$O653,0)+IF(AND($K653=BU$3,$C654="L"),-$O654,0),IF(OR(AND($K653=BU$3,OR($C652="W",$C652="1/2W")),AND($K653=BU$3,OR($C653="W",$C653="1/2W")),AND($K653=BU$3,OR($C654="W",$C654="1/2W"))),$S652,0))</f>
        <v>0</v>
      </c>
      <c r="BV652" s="136">
        <f>IF($B652="LOSS",IF(AND($K652=BV$3,$C652="L"),-$O652,0)+IF(AND($K653=BV$3,$C653="L"),-$O653,0)+IF(AND($K654=BV$3,$C654="L"),-$O654,0),IF(OR(AND($K652=BV$3,OR($C652="W",$C652="1/2W")),AND($K653=BV$3,OR($C653="W",$C653="1/2W")),AND($K654=BV$3,OR($C654="W",$C654="1/2W"))),$S652,0))</f>
        <v>0</v>
      </c>
      <c r="BW652" s="136">
        <f>IF($B652="LOSS",IF(AND($K652=BW$3,$C652="L"),-$O652,0)+IF(AND($K653=BW$3,$C653="L"),-$O653,0)+IF(AND($K654=BW$3,$C654="L"),-$O654,0),IF(OR(AND($K652=BW$3,OR($C652="W",$C652="1/2W")),AND($K653=BW$3,OR($C653="W",$C653="1/2W")),AND($K654=BW$3,OR($C654="W",$C654="1/2W"))),$S652,0))</f>
        <v>1.58</v>
      </c>
      <c r="BX652" s="136">
        <f>IF($B652="LOSS",IF(AND($K652=BX$3,$C652="L"),-$O652,0)+IF(AND($K653=BX$3,$C653="L"),-$O653,0)+IF(AND($K654=BX$3,$C654="L"),-$O654,0),IF(OR(AND($K652=BX$3,OR($C652="W",$C652="1/2W")),AND($K653=BX$3,OR($C653="W",$C653="1/2W")),AND($K654=BX$3,OR($C654="W",$C654="1/2W"))),$S652,0))</f>
        <v>0</v>
      </c>
      <c r="BY652" s="136">
        <f>IF($B652="LOSS",IF(AND($K652=BY$3,$C652="L"),-$O652,0)+IF(AND($K653=BY$3,$C653="L"),-$O653,0)+IF(AND($K654=BY$3,$C654="L"),-$O654,0),IF(OR(AND($K652=BY$3,OR($C652="W",$C652="1/2W")),AND($K653=BY$3,OR($C653="W",$C653="1/2W")),AND($K654=BY$3,OR($C654="W",$C654="1/2W"))),$S652,0))</f>
        <v>0</v>
      </c>
      <c r="BZ652" s="136">
        <f>IF($B652="LOSS",IF(AND($K652=BZ$3,$C652="L"),-$O652,0)+IF(AND($K653=BZ$3,$C653="L"),-$O653,0)+IF(AND($K654=BZ$3,$C654="L"),-$O654,0),IF(OR(AND($K652=BZ$3,OR($C652="W",$C652="1/2W")),AND($K653=BZ$3,OR($C653="W",$C653="1/2W")),AND($K654=BZ$3,OR($C654="W",$C654="1/2W"))),$S652,0))</f>
        <v>0</v>
      </c>
      <c r="CA652" s="136">
        <f>IF($B652="LOSS",IF(AND($K652=CA$3,$C652="L"),-$O652,0)+IF(AND($K653=CA$3,$C653="L"),-$O653,0)+IF(AND($K654=CA$3,$C654="L"),-$O654,0),IF(OR(AND($K652=CA$3,OR($C652="W",$C652="1/2W")),AND($K653=CA$3,OR($C653="W",$C653="1/2W")),AND($K654=CA$3,OR($C654="W",$C654="1/2W"))),$S652,0))</f>
        <v>0</v>
      </c>
      <c r="CB652" s="136">
        <f>IF($B652="LOSS",IF(AND($K652=CB$3,$C652="L"),-$O652,0)+IF(AND($K653=CB$3,$C653="L"),-$O653,0)+IF(AND($K654=CB$3,$C654="L"),-$O654,0),IF(OR(AND($K652=CB$3,OR($C652="W",$C652="1/2W")),AND($K653=CB$3,OR($C653="W",$C653="1/2W")),AND($K654=CB$3,OR($C654="W",$C654="1/2W"))),$S652,0))</f>
        <v>0</v>
      </c>
      <c r="CC652" s="136">
        <f>IF($B652="LOSS",IF(AND($K652=CC$3,$C652="L"),-$O652,0)+IF(AND($K653=CC$3,$C653="L"),-$O653,0)+IF(AND($K654=CC$3,$C654="L"),-$O654,0),IF(OR(AND($K652=CC$3,OR($C652="W",$C652="1/2W")),AND($K653=CC$3,OR($C653="W",$C653="1/2W")),AND($K654=CC$3,OR($C654="W",$C654="1/2W"))),$S652,0))</f>
        <v>0</v>
      </c>
      <c r="CD652" s="137">
        <f>IF($B652="LOSS",IF(AND($K652=CD$3,$C652="L"),-$O652,0)+IF(AND($K653=CD$3,$C653="L"),-$O653,0)+IF(AND($K654=CD$3,$C654="L"),-$O654,0),IF(OR(AND($K652=CD$3,OR($C652="W",$C652="1/2W")),AND($K653=CD$3,OR($C653="W",$C653="1/2W")),AND($K654=CD$3,OR($C654="W",$C654="1/2W"))),$S652,0))</f>
        <v>0</v>
      </c>
      <c r="CE652" s="134">
        <f>IF($B652="LOSS",IF(AND($K652=CE$3,$C652="L"),-$O652,0)+IF(AND($K653=CE$3,$C653="L"),-$O653,0)+IF(AND($K654=CE$3,$C654="L"),-$O654,0),IF(OR(AND($K652=CE$3,OR($C652="W",$C652="1/2W")),AND($K653=CE$3,OR($C653="W",$C653="1/2W")),AND($K654=CE$3,OR($C654="W",$C654="1/2W"))),$S652,0))</f>
        <v>0</v>
      </c>
      <c r="CF652" s="273">
        <f>IF(CF$3=$K652,IF($C652="W",1,IF($C652="1/2W",0.5,0)),0)</f>
        <v>0</v>
      </c>
      <c r="CG652" s="274">
        <f>IF(CF$3=$K652,IF($C652="L",1,IF($C652="1/2L",0.5,0)),0)</f>
        <v>0</v>
      </c>
      <c r="CH652" s="274">
        <f>IF(CH$3=$K652,IF($C652="W",1,IF($C652="1/2W",0.5,0)),0)</f>
        <v>0</v>
      </c>
      <c r="CI652" s="274">
        <f>IF(CH$3=$K652,IF($C652="L",1,IF($C652="1/2L",0.5,0)),0)</f>
        <v>0</v>
      </c>
      <c r="CJ652" s="274">
        <f>IF(CJ$3=$K652,IF($C652="W",1,IF($C652="1/2W",0.5,0)),0)</f>
        <v>0</v>
      </c>
      <c r="CK652" s="274">
        <f>IF(CJ$3=$K652,IF($C652="L",1,IF($C652="1/2L",0.5,0)),0)</f>
        <v>0</v>
      </c>
      <c r="CL652" s="274">
        <f>IF(CL$3=$K652,IF($C652="W",1,IF($C652="1/2W",0.5,0)),0)</f>
        <v>0</v>
      </c>
      <c r="CM652" s="274">
        <f>IF(CL$3=$K652,IF($C652="L",1,IF($C652="1/2L",0.5,0)),0)</f>
        <v>0</v>
      </c>
      <c r="CN652" s="274">
        <f>IF(CN$3=$K652,IF($C652="W",1,IF($C652="1/2W",0.5,0)),0)</f>
        <v>0</v>
      </c>
      <c r="CO652" s="274">
        <f>IF(CN$3=$K652,IF($C652="L",1,IF($C652="1/2L",0.5,0)),0)</f>
        <v>0</v>
      </c>
      <c r="CP652" s="274">
        <f>IF(CP$3=$K652,IF($C652="W",1,IF($C652="1/2W",0.5,0)),0)</f>
        <v>0</v>
      </c>
      <c r="CQ652" s="274">
        <f>IF(CP$3=$K652,IF($C652="L",1,IF($C652="1/2L",0.5,0)),0)</f>
        <v>0</v>
      </c>
      <c r="CR652" s="274">
        <f>IF(CR$3=$K652,IF($C652="W",1,IF($C652="1/2W",0.5,0)),0)</f>
        <v>0</v>
      </c>
      <c r="CS652" s="274">
        <f>IF(CR$3=$K652,IF($C652="L",1,IF($C652="1/2L",0.5,0)),0)</f>
        <v>0</v>
      </c>
      <c r="CT652" s="145">
        <f>IF(CT$3=$K652,IF($C652="W",1,IF($C652="1/2W",0.5,0)),0)</f>
        <v>0</v>
      </c>
      <c r="CU652" s="146">
        <f>IF(CT$3=$K652,IF($C652="L",1,IF($C652="1/2L",0.5,0)),0)</f>
        <v>1</v>
      </c>
      <c r="CV652" s="146">
        <f>IF(CV$3=$K652,IF($C652="W",1,IF($C652="1/2W",0.5,0)),0)</f>
        <v>0</v>
      </c>
      <c r="CW652" s="146">
        <f>IF(CV$3=$K652,IF($C652="L",1,IF($C652="1/2L",0.5,0)),0)</f>
        <v>0</v>
      </c>
      <c r="CX652" s="146">
        <f>IF(CX$3=$K652,IF($C652="W",1,IF($C652="1/2W",0.5,0)),0)</f>
        <v>0</v>
      </c>
      <c r="CY652" s="146">
        <f>IF(CX$3=$K652,IF($C652="L",1,IF($C652="1/2L",0.5,0)),0)</f>
        <v>0</v>
      </c>
      <c r="CZ652" s="146">
        <f>IF(CZ$3=$K652,IF($C652="W",1,IF($C652="1/2W",0.5,0)),0)</f>
        <v>0</v>
      </c>
      <c r="DA652" s="146">
        <f>IF(CZ$3=$K652,IF($C652="L",1,IF($C652="1/2L",0.5,0)),0)</f>
        <v>0</v>
      </c>
      <c r="DB652" s="146">
        <f>IF(DB$3=$K652,IF($C652="W",1,IF($C652="1/2W",0.5,0)),0)</f>
        <v>0</v>
      </c>
      <c r="DC652" s="146">
        <f>IF(DB$3=$K652,IF($C652="L",1,IF($C652="1/2L",0.5,0)),0)</f>
        <v>0</v>
      </c>
      <c r="DD652" s="146">
        <f>IF(DD$3=$K652,IF($C652="W",1,IF($C652="1/2W",0.5,0)),0)</f>
        <v>0</v>
      </c>
      <c r="DE652" s="147">
        <f>IF(DD$3=$K652,IF($C652="L",1,IF($C652="1/2L",0.5,0)),0)</f>
        <v>0</v>
      </c>
      <c r="DF652" s="143">
        <f>IF(AND(L652&lt;DF$3,$C652="W"),1+DF651,DF651)</f>
        <v>17</v>
      </c>
      <c r="DG652" s="133">
        <f>IF(DF652&gt;DF651,L652+DG651,DG651)</f>
        <v>22.628</v>
      </c>
      <c r="DH652" s="146">
        <f>IF(AND(L652&gt;DH$3,$C652="W"),1+DH651,0+DH651)</f>
        <v>16</v>
      </c>
      <c r="DI652" s="133">
        <f>IF(DH652&gt;DH651,L652+DI651,DI651)</f>
        <v>85.45999999999999</v>
      </c>
      <c r="DJ652" t="s" s="304">
        <f>IF($D652="","",$D652)</f>
        <v>467</v>
      </c>
      <c r="DK652" s="146">
        <f>IF(AND($B652=" ",$D652&lt;&gt;""),1,0)</f>
        <v>0</v>
      </c>
    </row>
    <row r="653" ht="14.55" customHeight="1">
      <c r="A653" s="107"/>
      <c r="B653" s="108"/>
      <c r="C653" t="s" s="109">
        <v>56</v>
      </c>
      <c r="D653" s="110"/>
      <c r="E653" s="111"/>
      <c r="F653" s="113"/>
      <c r="G653" s="252"/>
      <c r="H653" s="114"/>
      <c r="I653" t="s" s="275">
        <v>67</v>
      </c>
      <c r="J653" s="276">
        <f>IF(OR(I652="TO",I652="TU",I652="TO1",I652="TU1",I652="TO2",I652="TU2"),J652,IF(OR(I652="AH1",I652="AH2"),IF(OR(I653="AH1",I653="AH2"),-J652,IF(OR(I653="EH1",I653="EH2"),-J652+0.5,"")),IF(OR(I652="EH1",I652="EH2"),IF(OR(I653="AH1",I653="AH2"),-J652+0.5,IF(OR(I653="EH1",I653="EH2"),-J652+1,"")),IF(AND(OR(I652="DNB1",I652="DNB2"),OR(I653="AH1",I653="AH2")),0,IF(AND(I652="Not ScoreBoth",OR(I653="TO1",I653="TO2")),0.5,"")))))</f>
        <v>47.5</v>
      </c>
      <c r="K653" t="s" s="117">
        <v>41</v>
      </c>
      <c r="L653" s="277">
        <v>2.05</v>
      </c>
      <c r="M653" s="278">
        <v>21.43</v>
      </c>
      <c r="N653" s="120"/>
      <c r="O653" s="121">
        <f>IF(OR(AE652="",AE653=""),"",ROUND(IF(L654&gt;0,IF(M653&gt;0,M653,IF(M652&gt;0,IF(N652=TRUE,ROUND((M652*AE653)/AE652,0),(M652*AE653)/AE652),IF(M653&gt;0,ROUND(M653,IF(N652=0,2,IF(N652=0.1,1,0))),IF(M654&gt;0,ROUND(O654*AE653/AE654,IF(N652=0,2,IF(N652=0.1,1,0))),0)))),IF(M653&gt;0,M653,ROUND((M652*AE653)/AE652,IF(N652=0,2,IF(N652=0.1,1,0))))),2))</f>
        <v>21.43</v>
      </c>
      <c r="P653" s="122">
        <f>IF(OR(L653="",O653=""),"",IF($C653="1/2W",O653/2+O653/2*L653,IF($C653="1/2L",O653/2,IF(I653="Lay",((O653*(L653/(L653-1)))-O653)*(1-_xlfn.XLOOKUP(K653,'Janeiro 2023 - Valor Real'!A3:A15,'Janeiro 2023 - Valor Real'!C3:C15,0))+O653,(O653*L653-O653)*(1-_xlfn.XLOOKUP(K653,'Janeiro 2023 - Valor Real'!A3:A15,'Janeiro 2023 - Valor Real'!C3:C15,0))+O653))))</f>
        <v>43.9315</v>
      </c>
      <c r="Q653" s="279">
        <f>IF(K653="","",IF(_xlfn.XLOOKUP(K653,K$120:K432,DJ$120:DJ432,0,,-1)=DJ653,_xlfn.XLOOKUP(K653,K$120:K432,Q$120:Q432,1,,-1)+1,1))</f>
        <v>1</v>
      </c>
      <c r="R653" s="280">
        <f>IF(K653="","",_xlfn.XLOOKUP(K653,K$120:K432,R$120:R432,0,,-1)+IF($C653=" ",1,0))</f>
        <v>0</v>
      </c>
      <c r="S653" s="125"/>
      <c r="T653" s="126"/>
      <c r="U653" s="126"/>
      <c r="V653" s="224"/>
      <c r="W653" s="126"/>
      <c r="X653" s="127"/>
      <c r="Y653" s="128"/>
      <c r="Z653" s="129"/>
      <c r="AA653" s="129"/>
      <c r="AB653" s="129"/>
      <c r="AC653" s="129"/>
      <c r="AD653" s="130"/>
      <c r="AE653" s="131">
        <f>IF(L653="","",IF(L654&gt;0,(SUM(((L652-1)*(1-_xlfn.XLOOKUP(K652,'Janeiro 2023 - Valor Real'!A3:A15,'Janeiro 2023 - Valor Real'!C3:C15,0))+1),((L653-1)*(1-_xlfn.XLOOKUP(K653,'Janeiro 2023 - Valor Real'!A3:A15,'Janeiro 2023 - Valor Real'!C3:C15,0))+1),((L654-1)*(1-_xlfn.XLOOKUP(K654,'Janeiro 2023 - Valor Real'!A3:A15,'Janeiro 2023 - Valor Real'!C3:C15,0))+1))/((L653-1)*(1-_xlfn.XLOOKUP(K653,'Janeiro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Real'!C3:C15,0))+1))/((L652-1)*(1-_xlfn.XLOOKUP(K652,'Janeiro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Real'!C3:C15,0))+1))/((L653-1)*(1-_xlfn.XLOOKUP(K653,'Janeiro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Real'!C3:C15,0))+1))/((L654-1)*(1-_xlfn.XLOOKUP(K654,'Janeiro 2023 - Valor Real'!A3:A15,'Janeiro 2023 - Valor Real'!C3:C15,0))+1)),IF(I653="Lay",IF(I652="Lay",((L652/(L652-1)-1)*(1-_xlfn.XLOOKUP(K652,'Janeiro 2023 - Valor Real'!A3:A15,'Janeiro 2023 - Valor Real'!C3:C15,0))+1)/(((L652/(L652-1)-1)*(1-_xlfn.XLOOKUP(K652,'Janeiro 2023 - Valor Real'!A3:A15,'Janeiro 2023 - Valor Real'!C3:C15,0))+1)+((L653/(L653-1)-1)*(1-_xlfn.XLOOKUP(K653,'Janeiro 2023 - Valor Real'!A3:A15,'Janeiro 2023 - Valor Real'!C3:C15,0))+1)),((L652-1)*(1-_xlfn.XLOOKUP(K652,'Janeiro 2023 - Valor Real'!A3:A15,'Janeiro 2023 - Valor Real'!C3:C15,0))+1)/(((L652-1)*(1-_xlfn.XLOOKUP(K652,'Janeiro 2023 - Valor Real'!A3:A15,'Janeiro 2023 - Valor Real'!C3:C15,0))+1)+((L653/(L653-1)-1)*(1-_xlfn.XLOOKUP(K653,'Janeiro 2023 - Valor Real'!A3:A15,'Janeiro 2023 - Valor Real'!C3:C15,0))+1))),IF(I652="Lay",((L652/(L652-1)-1)*(1-_xlfn.XLOOKUP(K652,'Janeiro 2023 - Valor Real'!A3:A15,'Janeiro 2023 - Valor Real'!C3:C15,0))+1)/((((L652/(L652-1)-1)*(1-_xlfn.XLOOKUP(K652,'Janeiro 2023 - Valor Real'!A3:A15,'Janeiro 2023 - Valor Real'!C3:C15,0))+1))+((L653-1)*(1-_xlfn.XLOOKUP(K653,'Janeiro 2023 - Valor Real'!A3:A15,'Janeiro 2023 - Valor Real'!C3:C15,0))+1)),((L652-1)*(1-_xlfn.XLOOKUP(K652,'Janeiro 2023 - Valor Real'!A3:A15,'Janeiro 2023 - Valor Real'!C3:C15,0))+1)/(((L652-1)*(1-_xlfn.XLOOKUP(K652,'Janeiro 2023 - Valor Real'!A3:A15,'Janeiro 2023 - Valor Real'!C3:C15,0))+1)+((L653-1)*(1-_xlfn.XLOOKUP(K653,'Janeiro 2023 - Valor Real'!A3:A15,'Janeiro 2023 - Valor Real'!C3:C15,0))+1))))))</f>
        <v>0.506024096385542</v>
      </c>
      <c r="AF653" s="132">
        <f>IF($K653=AF$3,ROUND(IF(OR($C653="W",$C653="1/2W",$C653="1/2L"),$P653-$O653,IF($C653="X",0,-$O653)),2),0)</f>
        <v>0</v>
      </c>
      <c r="AG653" s="133">
        <f>IF($K653=AG$3,ROUND(IF(OR($C653="W",$C653="1/2W",$C653="1/2L"),$P653-$O653,IF($C653="X",0,-$O653)),2),0)</f>
        <v>0</v>
      </c>
      <c r="AH653" s="133">
        <f>IF($K653=AH$3,ROUND(IF(OR($C653="W",$C653="1/2W",$C653="1/2L"),$P653-$O653,IF($C653="X",0,-$O653)),2),0)</f>
        <v>0</v>
      </c>
      <c r="AI653" s="133">
        <f>IF($K653=AI$3,ROUND(IF(OR($C653="W",$C653="1/2W",$C653="1/2L"),$P653-$O653,IF($C653="X",0,-$O653)),2),0)</f>
        <v>0</v>
      </c>
      <c r="AJ653" s="133">
        <f>IF($K653=AJ$3,ROUND(IF(OR($C653="W",$C653="1/2W",$C653="1/2L"),$P653-$O653,IF($C653="X",0,-$O653)),2),0)</f>
        <v>22.5</v>
      </c>
      <c r="AK653" s="133">
        <f>IF($K653=AK$3,ROUND(IF(OR($C653="W",$C653="1/2W",$C653="1/2L"),$P653-$O653,IF($C653="X",0,-$O653)),2),0)</f>
        <v>0</v>
      </c>
      <c r="AL653" s="133">
        <f>IF($K653=AL$3,ROUND(IF(OR($C653="W",$C653="1/2W",$C653="1/2L"),$P653-$O653,IF($C653="X",0,-$O653)),2),0)</f>
        <v>0</v>
      </c>
      <c r="AM653" s="133">
        <f>IF($K653=AM$3,ROUND(IF(OR($C653="W",$C653="1/2W",$C653="1/2L"),$P653-$O653,IF($C653="X",0,-$O653)),2),0)</f>
        <v>0</v>
      </c>
      <c r="AN653" s="133">
        <f>IF($K653=AN$3,ROUND(IF(OR($C653="W",$C653="1/2W",$C653="1/2L"),$P653-$O653,IF($C653="X",0,-$O653)),2),0)</f>
        <v>0</v>
      </c>
      <c r="AO653" s="133">
        <f>IF($K653=AO$3,ROUND(IF(OR($C653="W",$C653="1/2W",$C653="1/2L"),$P653-$O653,IF($C653="X",0,-$O653)),2),0)</f>
        <v>0</v>
      </c>
      <c r="AP653" s="133">
        <f>IF($K653=AP$3,ROUND(IF(OR($C653="W",$C653="1/2W",$C653="1/2L"),$P653-$O653,IF($C653="X",0,-$O653)),2),0)</f>
        <v>0</v>
      </c>
      <c r="AQ653" s="133">
        <f>IF($K653=AQ$3,ROUND(IF(OR($C653="W",$C653="1/2W",$C653="1/2L"),$P653-$O653,IF($C653="X",0,-$O653)),2),0)</f>
        <v>0</v>
      </c>
      <c r="AR653" s="134">
        <f>IF($K653=AR$3,ROUND(IF(OR($C653="W",$C653="1/2W",$C653="1/2L"),$P653-$O653,IF($C653="X",0,-$O653)),2),0)</f>
        <v>0</v>
      </c>
      <c r="AS653" s="132">
        <f>IF(AND($B652=" ",$K653=AS$3),$O653,0)</f>
        <v>0</v>
      </c>
      <c r="AT653" s="133">
        <f>IF(AND($B652=" ",K653=AT$3),$O653,0)</f>
        <v>0</v>
      </c>
      <c r="AU653" s="133">
        <f>IF(AND($B652=" ",$K653=AU$3),$O653,0)</f>
        <v>0</v>
      </c>
      <c r="AV653" s="133">
        <f>IF(AND($B652=" ",$K653=AV$3),$O653,0)</f>
        <v>0</v>
      </c>
      <c r="AW653" s="133">
        <f>IF(AND($B652=" ",$K653=AW$3),$O653,0)</f>
        <v>0</v>
      </c>
      <c r="AX653" s="133">
        <f>IF(AND($B652=" ",$K653=AX$3),$O653,0)</f>
        <v>0</v>
      </c>
      <c r="AY653" s="135">
        <f>IF(AND($B652=" ",$K653=AY$3),$O653,0)</f>
        <v>0</v>
      </c>
      <c r="AZ653" s="136">
        <f>IF(AND($B652=" ",$K653=AZ$3),$O653,0)</f>
        <v>0</v>
      </c>
      <c r="BA653" s="136">
        <f>IF(AND($B652=" ",$K653=BA$3),$O653,0)</f>
        <v>0</v>
      </c>
      <c r="BB653" s="136">
        <f>IF(AND($B652=" ",$K653=BB$3),$O653,0)</f>
        <v>0</v>
      </c>
      <c r="BC653" s="137">
        <f>IF(AND($B652=" ",$K653=BC$3),$O653,0)</f>
        <v>0</v>
      </c>
      <c r="BD653" s="133">
        <f>IF(AND($B652=" ",$K653=BD$3),$O653,0)</f>
        <v>0</v>
      </c>
      <c r="BE653" s="134">
        <f>IF(AND($B652=" ",$K653=BE$3),$O653,0)</f>
        <v>0</v>
      </c>
      <c r="BF653" s="132">
        <f>IF($K653=BF$3,IF($C653="X",0,$O653),0)</f>
        <v>0</v>
      </c>
      <c r="BG653" s="281">
        <f>IF($K653=BG$3,IF($C653="X",0,$O653),0)</f>
        <v>0</v>
      </c>
      <c r="BH653" s="133">
        <f>IF($K653=BH$3,IF($C653="X",0,$O653),0)</f>
        <v>0</v>
      </c>
      <c r="BI653" s="133">
        <f>IF($K653=BI$3,IF($C653="X",0,$O653),0)</f>
        <v>0</v>
      </c>
      <c r="BJ653" s="133">
        <f>IF($K653=BJ$3,IF($C653="X",0,$O653),0)</f>
        <v>21.43</v>
      </c>
      <c r="BK653" s="133">
        <f>IF($K653=BK$3,IF($C653="X",0,$O653),0)</f>
        <v>0</v>
      </c>
      <c r="BL653" s="133">
        <f>IF($K653=BL$3,IF($C653="X",0,$O653),0)</f>
        <v>0</v>
      </c>
      <c r="BM653" s="135">
        <f>IF($K653=BM$3,IF($C653="X",0,$O653),0)</f>
        <v>0</v>
      </c>
      <c r="BN653" s="136">
        <f>IF($K653=BN$3,IF($C653="X",0,$O653),0)</f>
        <v>0</v>
      </c>
      <c r="BO653" s="136">
        <f>IF($K653=BO$3,IF($C653="X",0,$O653),0)</f>
        <v>0</v>
      </c>
      <c r="BP653" s="136">
        <f>IF($K653=BP$3,IF($C653="X",0,$O653),0)</f>
        <v>0</v>
      </c>
      <c r="BQ653" s="137">
        <f>IF($K653=BQ$3,IF($C653="X",0,$O653),0)</f>
        <v>0</v>
      </c>
      <c r="BR653" s="134">
        <f>IF($K653=BR$3,IF($C653="X",0,$O653),0)</f>
        <v>0</v>
      </c>
      <c r="BS653" s="282"/>
      <c r="BT653" s="283"/>
      <c r="BU653" s="140"/>
      <c r="BV653" s="283"/>
      <c r="BW653" s="140"/>
      <c r="BX653" s="140"/>
      <c r="BY653" s="140"/>
      <c r="BZ653" s="283"/>
      <c r="CA653" s="140"/>
      <c r="CB653" s="140"/>
      <c r="CC653" s="140"/>
      <c r="CD653" s="141"/>
      <c r="CE653" s="142"/>
      <c r="CF653" s="284">
        <f>IF(CF$3=$K653,IF($C653="W",1,IF($C653="1/2W",0.5,0)),0)</f>
        <v>0</v>
      </c>
      <c r="CG653" s="285">
        <f>IF(CF$3=$K653,IF($C653="L",1,IF($C653="1/2L",0.5,0)),0)</f>
        <v>0</v>
      </c>
      <c r="CH653" s="285">
        <f>IF(CH$3=$K653,IF($C653="W",1,IF($C653="1/2W",0.5,0)),0)</f>
        <v>0</v>
      </c>
      <c r="CI653" s="285">
        <f>IF(CH$3=$K653,IF($C653="L",1,IF($C653="1/2L",0.5,0)),0)</f>
        <v>0</v>
      </c>
      <c r="CJ653" s="285">
        <f>IF(CJ$3=$K653,IF($C653="W",1,IF($C653="1/2W",0.5,0)),0)</f>
        <v>0</v>
      </c>
      <c r="CK653" s="285">
        <f>IF(CJ$3=$K653,IF($C653="L",1,IF($C653="1/2L",0.5,0)),0)</f>
        <v>0</v>
      </c>
      <c r="CL653" s="285">
        <f>IF(CL$3=$K653,IF($C653="W",1,IF($C653="1/2W",0.5,0)),0)</f>
        <v>0</v>
      </c>
      <c r="CM653" s="285">
        <f>IF(CL$3=$K653,IF($C653="L",1,IF($C653="1/2L",0.5,0)),0)</f>
        <v>0</v>
      </c>
      <c r="CN653" s="285">
        <f>IF(CN$3=$K653,IF($C653="W",1,IF($C653="1/2W",0.5,0)),0)</f>
        <v>1</v>
      </c>
      <c r="CO653" s="285">
        <f>IF(CN$3=$K653,IF($C653="L",1,IF($C653="1/2L",0.5,0)),0)</f>
        <v>0</v>
      </c>
      <c r="CP653" s="285">
        <f>IF(CP$3=$K653,IF($C653="W",1,IF($C653="1/2W",0.5,0)),0)</f>
        <v>0</v>
      </c>
      <c r="CQ653" s="285">
        <f>IF(CP$3=$K653,IF($C653="L",1,IF($C653="1/2L",0.5,0)),0)</f>
        <v>0</v>
      </c>
      <c r="CR653" s="285">
        <f>IF(CR$3=$K653,IF($C653="W",1,IF($C653="1/2W",0.5,0)),0)</f>
        <v>0</v>
      </c>
      <c r="CS653" s="285">
        <f>IF(CR$3=$K653,IF($C653="L",1,IF($C653="1/2L",0.5,0)),0)</f>
        <v>0</v>
      </c>
      <c r="CT653" s="145">
        <f>IF(CT$3=$K653,IF($C653="W",1,IF($C653="1/2W",0.5,0)),0)</f>
        <v>0</v>
      </c>
      <c r="CU653" s="146">
        <f>IF(CT$3=$K653,IF($C653="L",1,IF($C653="1/2L",0.5,0)),0)</f>
        <v>0</v>
      </c>
      <c r="CV653" s="146">
        <f>IF(CV$3=$K653,IF($C653="W",1,IF($C653="1/2W",0.5,0)),0)</f>
        <v>0</v>
      </c>
      <c r="CW653" s="146">
        <f>IF(CV$3=$K653,IF($C653="L",1,IF($C653="1/2L",0.5,0)),0)</f>
        <v>0</v>
      </c>
      <c r="CX653" s="146">
        <f>IF(CX$3=$K653,IF($C653="W",1,IF($C653="1/2W",0.5,0)),0)</f>
        <v>0</v>
      </c>
      <c r="CY653" s="146">
        <f>IF(CX$3=$K653,IF($C653="L",1,IF($C653="1/2L",0.5,0)),0)</f>
        <v>0</v>
      </c>
      <c r="CZ653" s="146">
        <f>IF(CZ$3=$K653,IF($C653="W",1,IF($C653="1/2W",0.5,0)),0)</f>
        <v>0</v>
      </c>
      <c r="DA653" s="146">
        <f>IF(CZ$3=$K653,IF($C653="L",1,IF($C653="1/2L",0.5,0)),0)</f>
        <v>0</v>
      </c>
      <c r="DB653" s="146">
        <f>IF(DB$3=$K653,IF($C653="W",1,IF($C653="1/2W",0.5,0)),0)</f>
        <v>0</v>
      </c>
      <c r="DC653" s="146">
        <f>IF(DB$3=$K653,IF($C653="L",1,IF($C653="1/2L",0.5,0)),0)</f>
        <v>0</v>
      </c>
      <c r="DD653" s="146">
        <f>IF(DD$3=$K653,IF($C653="W",1,IF($C653="1/2W",0.5,0)),0)</f>
        <v>0</v>
      </c>
      <c r="DE653" s="147">
        <f>IF(DD$3=$K653,IF($C653="L",1,IF($C653="1/2L",0.5,0)),0)</f>
        <v>0</v>
      </c>
      <c r="DF653" s="143">
        <f>IF(AND(L653&lt;DF$3,$C653="W"),1+DF652,DF652)</f>
        <v>17</v>
      </c>
      <c r="DG653" s="133">
        <f>IF(DF653&gt;DF652,L653+DG652,DG652)</f>
        <v>22.628</v>
      </c>
      <c r="DH653" s="146">
        <f>IF(AND(L653&gt;DH$3,$C653="W"),1+DH652,0+DH652)</f>
        <v>16</v>
      </c>
      <c r="DI653" s="133">
        <f>IF(DH653&gt;DH652,L653+DI652,DI652)</f>
        <v>85.45999999999999</v>
      </c>
      <c r="DJ653" t="s" s="304">
        <f>IF($D652="","",$D652)</f>
        <v>467</v>
      </c>
      <c r="DK653" s="286"/>
    </row>
    <row r="654" ht="14.55" customHeight="1">
      <c r="A654" s="149"/>
      <c r="B654" s="150"/>
      <c r="C654" t="s" s="151">
        <v>58</v>
      </c>
      <c r="D654" s="152"/>
      <c r="E654" s="153"/>
      <c r="F654" s="155"/>
      <c r="G654" s="252"/>
      <c r="H654" s="156"/>
      <c r="I654" s="287"/>
      <c r="J654" s="288"/>
      <c r="K654" s="156"/>
      <c r="L654" s="289"/>
      <c r="M654" s="290"/>
      <c r="N654" s="161"/>
      <c r="O654" t="s" s="162">
        <f>IF(OR(AE652="",AE653=""),"",IF(L654&gt;0,ROUND(IF(M654&gt;0,M654,IF(M652&gt;0,ROUND((M652*AE654)/AE652,IF(N652=0,2,IF(N652=0.1,1,0))),IF(M653&gt;0,ROUND((M653*AE654)/AE653,IF(N652=0,2,IF(N652=0.1,1,0))),IF(M654&gt;0,M654,0)))),2),""))</f>
      </c>
      <c r="P654" t="s" s="163">
        <f>IF(I653="Lay",O653*(L653/(L653-1))-O653,IF(I652="Lay",O652*(L652/(L652-1))-O652,IF(OR(L654="",O654=""),"",IF($C654="1/2W",O654/2+O654/2*L654,IF($C654="1/2L",O654/2,(O654*L654-O654)*(1-_xlfn.XLOOKUP(K654,'Janeiro 2023 - Valor Real'!A3:A15,'Janeiro 2023 - Valor Real'!C3:C15,0))+O654)))))</f>
      </c>
      <c r="Q654" t="s" s="154">
        <f>IF(K654="","",IF(_xlfn.XLOOKUP(K654,K$121:K433,DJ$121:DJ433,0,,-1)=DJ654,_xlfn.XLOOKUP(K654,K$121:K433,Q$121:Q433,1,,-1)+1,1))</f>
      </c>
      <c r="R654" t="s" s="163">
        <f>IF(K654="","",_xlfn.XLOOKUP(K654,K$121:K433,R$121:R433,0,,-1)+IF($C654=" ",1,0))</f>
      </c>
      <c r="S654" s="166"/>
      <c r="T654" s="155"/>
      <c r="U654" s="155"/>
      <c r="V654" s="166"/>
      <c r="W654" s="155"/>
      <c r="X654" s="167"/>
      <c r="Y654" s="128"/>
      <c r="Z654" s="129"/>
      <c r="AA654" s="129"/>
      <c r="AB654" s="129"/>
      <c r="AC654" s="129"/>
      <c r="AD654" s="168"/>
      <c r="AE654" t="s" s="169">
        <f>IF(L654="","",(SUM(((L652-1)*(1-_xlfn.XLOOKUP(K652,'Janeiro 2023 - Valor Real'!A3:A15,'Janeiro 2023 - Valor Real'!C3:C15,0))+1),((L653-1)*(1-_xlfn.XLOOKUP(K653,'Janeiro 2023 - Valor Real'!A3:A15,'Janeiro 2023 - Valor Real'!C3:C15,0))+1),((L654-1)*(1-_xlfn.XLOOKUP(K654,'Janeiro 2023 - Valor Real'!A3:A15,'Janeiro 2023 - Valor Real'!C3:C15,0))+1))/((L654-1)*(1-_xlfn.XLOOKUP(K654,'Janeiro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Real'!C3:C15,0))+1))/((L652-1)*(1-_xlfn.XLOOKUP(K652,'Janeiro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Real'!C3:C15,0))+1))/((L653-1)*(1-_xlfn.XLOOKUP(K653,'Janeiro 2023 - Valor Real'!A3:A15,'Janeiro 2023 - Valor Real'!C3:C15,0))+1)+SUM(((L652-1)*(1-_xlfn.XLOOKUP(K652,'Janeiro 2023 - Valor Real'!A3:A15,'Janeiro 2023 - Valor Real'!C3:C15,0))+1),((L653-1)*(1-_xlfn.XLOOKUP(K653,'Janeiro 2023 - Valor Real'!A3:A15,'Janeiro 2023 - Valor Real'!C3:C15,0))+1),((L654-1)*(1-_xlfn.XLOOKUP(K654,'Janeiro 2023 - Valor Real'!A3:A15,'Janeiro 2023 - Valor Real'!C3:C15,0))+1))/((L654-1)*(1-_xlfn.XLOOKUP(K654,'Janeiro 2023 - Valor Real'!A3:A15,'Janeiro 2023 - Valor Real'!C3:C15,0))+1)))</f>
      </c>
      <c r="AF654" s="132">
        <f>IF($K654=AF$3,ROUND(IF(OR($C654="W",$C654="1/2W",$C654="1/2L"),$P654-$O654,IF($C654="X",0,-$O654)),2),0)</f>
        <v>0</v>
      </c>
      <c r="AG654" s="133">
        <f>IF($K654=AG$3,ROUND(IF(OR($C654="W",$C654="1/2W",$C654="1/2L"),$P654-$O654,IF($C654="X",0,-$O654)),2),0)</f>
        <v>0</v>
      </c>
      <c r="AH654" s="133">
        <f>IF($K654=AH$3,ROUND(IF(OR($C654="W",$C654="1/2W",$C654="1/2L"),$P654-$O654,IF($C654="X",0,-$O654)),2),0)</f>
        <v>0</v>
      </c>
      <c r="AI654" s="133">
        <f>IF($K654=AI$3,ROUND(IF(OR($C654="W",$C654="1/2W",$C654="1/2L"),$P654-$O654,IF($C654="X",0,-$O654)),2),0)</f>
        <v>0</v>
      </c>
      <c r="AJ654" s="133">
        <f>IF($K654=AJ$3,ROUND(IF(OR($C654="W",$C654="1/2W",$C654="1/2L"),$P654-$O654,IF($C654="X",0,-$O654)),2),0)</f>
        <v>0</v>
      </c>
      <c r="AK654" s="133">
        <f>IF($K654=AK$3,ROUND(IF(OR($C654="W",$C654="1/2W",$C654="1/2L"),$P654-$O654,IF($C654="X",0,-$O654)),2),0)</f>
        <v>0</v>
      </c>
      <c r="AL654" s="133">
        <f>IF($K654=AL$3,ROUND(IF(OR($C654="W",$C654="1/2W",$C654="1/2L"),$P654-$O654,IF($C654="X",0,-$O654)),2),0)</f>
        <v>0</v>
      </c>
      <c r="AM654" s="133">
        <f>IF($K654=AM$3,ROUND(IF(OR($C654="W",$C654="1/2W",$C654="1/2L"),$P654-$O654,IF($C654="X",0,-$O654)),2),0)</f>
        <v>0</v>
      </c>
      <c r="AN654" s="133">
        <f>IF($K654=AN$3,ROUND(IF(OR($C654="W",$C654="1/2W",$C654="1/2L"),$P654-$O654,IF($C654="X",0,-$O654)),2),0)</f>
        <v>0</v>
      </c>
      <c r="AO654" s="133">
        <f>IF($K654=AO$3,ROUND(IF(OR($C654="W",$C654="1/2W",$C654="1/2L"),$P654-$O654,IF($C654="X",0,-$O654)),2),0)</f>
        <v>0</v>
      </c>
      <c r="AP654" s="133">
        <f>IF($K654=AP$3,ROUND(IF(OR($C654="W",$C654="1/2W",$C654="1/2L"),$P654-$O654,IF($C654="X",0,-$O654)),2),0)</f>
        <v>0</v>
      </c>
      <c r="AQ654" s="133">
        <f>IF($K654=AQ$3,ROUND(IF(OR($C654="W",$C654="1/2W",$C654="1/2L"),$P654-$O654,IF($C654="X",0,-$O654)),2),0)</f>
        <v>0</v>
      </c>
      <c r="AR654" s="134">
        <f>IF($K654=AR$3,ROUND(IF(OR($C654="W",$C654="1/2W",$C654="1/2L"),$P654-$O654,IF($C654="X",0,-$O654)),2),0)</f>
        <v>0</v>
      </c>
      <c r="AS654" s="132">
        <f>IF(AND($B652=" ",$K654=AS$3),$O654,0)</f>
        <v>0</v>
      </c>
      <c r="AT654" s="133">
        <f>IF(AND($B652=" ",K654=AT$3),$O654,0)</f>
        <v>0</v>
      </c>
      <c r="AU654" s="133">
        <f>IF(AND($B652=" ",$K654=AU$3),$O654,0)</f>
        <v>0</v>
      </c>
      <c r="AV654" s="133">
        <f>IF(AND($B652=" ",$K654=AV$3),$O654,0)</f>
        <v>0</v>
      </c>
      <c r="AW654" s="133">
        <f>IF(AND($B652=" ",$K654=AW$3),$O654,0)</f>
        <v>0</v>
      </c>
      <c r="AX654" s="133">
        <f>IF(AND($B652=" ",$K654=AX$3),$O654,0)</f>
        <v>0</v>
      </c>
      <c r="AY654" s="135">
        <f>IF(AND($B652=" ",$K654=AY$3),$O654,0)</f>
        <v>0</v>
      </c>
      <c r="AZ654" s="136">
        <f>IF(AND($B652=" ",$K654=AZ$3),$O654,0)</f>
        <v>0</v>
      </c>
      <c r="BA654" s="136">
        <f>IF(AND($B652=" ",$K654=BA$3),$O654,0)</f>
        <v>0</v>
      </c>
      <c r="BB654" s="136">
        <f>IF(AND($B652=" ",$K654=BB$3),$O654,0)</f>
        <v>0</v>
      </c>
      <c r="BC654" s="137">
        <f>IF(AND($B652=" ",$K654=BC$3),$O654,0)</f>
        <v>0</v>
      </c>
      <c r="BD654" s="133">
        <f>IF(AND($B652=" ",$K654=BD$3),$O654,0)</f>
        <v>0</v>
      </c>
      <c r="BE654" s="134">
        <f>IF(AND($B652=" ",$K654=BE$3),$O654,0)</f>
        <v>0</v>
      </c>
      <c r="BF654" s="132">
        <f>IF($K654=BF$3,IF($C654="X",0,$O654),0)</f>
        <v>0</v>
      </c>
      <c r="BG654" s="281">
        <f>IF($K654=BG$3,IF($C654="X",0,$O654),0)</f>
        <v>0</v>
      </c>
      <c r="BH654" s="133">
        <f>IF($K654=BH$3,IF($C654="X",0,$O654),0)</f>
        <v>0</v>
      </c>
      <c r="BI654" s="133">
        <f>IF($K654=BI$3,IF($C654="X",0,$O654),0)</f>
        <v>0</v>
      </c>
      <c r="BJ654" s="133">
        <f>IF($K654=BJ$3,IF($C654="X",0,$O654),0)</f>
        <v>0</v>
      </c>
      <c r="BK654" s="133">
        <f>IF($K654=BK$3,IF($C654="X",0,$O654),0)</f>
        <v>0</v>
      </c>
      <c r="BL654" s="133">
        <f>IF($K654=BL$3,IF($C654="X",0,$O654),0)</f>
        <v>0</v>
      </c>
      <c r="BM654" s="135">
        <f>IF($K654=BM$3,IF($C654="X",0,$O654),0)</f>
        <v>0</v>
      </c>
      <c r="BN654" s="136">
        <f>IF($K654=BN$3,IF($C654="X",0,$O654),0)</f>
        <v>0</v>
      </c>
      <c r="BO654" s="136">
        <f>IF($K654=BO$3,IF($C654="X",0,$O654),0)</f>
        <v>0</v>
      </c>
      <c r="BP654" s="136">
        <f>IF($K654=BP$3,IF($C654="X",0,$O654),0)</f>
        <v>0</v>
      </c>
      <c r="BQ654" s="137">
        <f>IF($K654=BQ$3,IF($C654="X",0,$O654),0)</f>
        <v>0</v>
      </c>
      <c r="BR654" s="134">
        <f>IF($K654=BR$3,IF($C654="X",0,$O654),0)</f>
        <v>0</v>
      </c>
      <c r="BS654" s="282"/>
      <c r="BT654" s="283"/>
      <c r="BU654" s="140"/>
      <c r="BV654" s="283"/>
      <c r="BW654" s="140"/>
      <c r="BX654" s="140"/>
      <c r="BY654" s="140"/>
      <c r="BZ654" s="283"/>
      <c r="CA654" s="140"/>
      <c r="CB654" s="140"/>
      <c r="CC654" s="140"/>
      <c r="CD654" s="141"/>
      <c r="CE654" s="142"/>
      <c r="CF654" s="284">
        <f>IF(CF$3=$K654,IF($C654="W",1,IF($C654="1/2W",0.5,0)),0)</f>
        <v>0</v>
      </c>
      <c r="CG654" s="285">
        <f>IF(CF$3=$K654,IF($C654="L",1,IF($C654="1/2L",0.5,0)),0)</f>
        <v>0</v>
      </c>
      <c r="CH654" s="285">
        <f>IF(CH$3=$K654,IF($C654="W",1,IF($C654="1/2W",0.5,0)),0)</f>
        <v>0</v>
      </c>
      <c r="CI654" s="285">
        <f>IF(CH$3=$K654,IF($C654="L",1,IF($C654="1/2L",0.5,0)),0)</f>
        <v>0</v>
      </c>
      <c r="CJ654" s="285">
        <f>IF(CJ$3=$K654,IF($C654="W",1,IF($C654="1/2W",0.5,0)),0)</f>
        <v>0</v>
      </c>
      <c r="CK654" s="285">
        <f>IF(CJ$3=$K654,IF($C654="L",1,IF($C654="1/2L",0.5,0)),0)</f>
        <v>0</v>
      </c>
      <c r="CL654" s="285">
        <f>IF(CL$3=$K654,IF($C654="W",1,IF($C654="1/2W",0.5,0)),0)</f>
        <v>0</v>
      </c>
      <c r="CM654" s="285">
        <f>IF(CL$3=$K654,IF($C654="L",1,IF($C654="1/2L",0.5,0)),0)</f>
        <v>0</v>
      </c>
      <c r="CN654" s="285">
        <f>IF(CN$3=$K654,IF($C654="W",1,IF($C654="1/2W",0.5,0)),0)</f>
        <v>0</v>
      </c>
      <c r="CO654" s="285">
        <f>IF(CN$3=$K654,IF($C654="L",1,IF($C654="1/2L",0.5,0)),0)</f>
        <v>0</v>
      </c>
      <c r="CP654" s="285">
        <f>IF(CP$3=$K654,IF($C654="W",1,IF($C654="1/2W",0.5,0)),0)</f>
        <v>0</v>
      </c>
      <c r="CQ654" s="285">
        <f>IF(CP$3=$K654,IF($C654="L",1,IF($C654="1/2L",0.5,0)),0)</f>
        <v>0</v>
      </c>
      <c r="CR654" s="285">
        <f>IF(CR$3=$K654,IF($C654="W",1,IF($C654="1/2W",0.5,0)),0)</f>
        <v>0</v>
      </c>
      <c r="CS654" s="285">
        <f>IF(CR$3=$K654,IF($C654="L",1,IF($C654="1/2L",0.5,0)),0)</f>
        <v>0</v>
      </c>
      <c r="CT654" s="145">
        <f>IF(CT$3=$K654,IF($C654="W",1,IF($C654="1/2W",0.5,0)),0)</f>
        <v>0</v>
      </c>
      <c r="CU654" s="146">
        <f>IF(CT$3=$K654,IF($C654="L",1,IF($C654="1/2L",0.5,0)),0)</f>
        <v>0</v>
      </c>
      <c r="CV654" s="146">
        <f>IF(CV$3=$K654,IF($C654="W",1,IF($C654="1/2W",0.5,0)),0)</f>
        <v>0</v>
      </c>
      <c r="CW654" s="146">
        <f>IF(CV$3=$K654,IF($C654="L",1,IF($C654="1/2L",0.5,0)),0)</f>
        <v>0</v>
      </c>
      <c r="CX654" s="146">
        <f>IF(CX$3=$K654,IF($C654="W",1,IF($C654="1/2W",0.5,0)),0)</f>
        <v>0</v>
      </c>
      <c r="CY654" s="146">
        <f>IF(CX$3=$K654,IF($C654="L",1,IF($C654="1/2L",0.5,0)),0)</f>
        <v>0</v>
      </c>
      <c r="CZ654" s="146">
        <f>IF(CZ$3=$K654,IF($C654="W",1,IF($C654="1/2W",0.5,0)),0)</f>
        <v>0</v>
      </c>
      <c r="DA654" s="146">
        <f>IF(CZ$3=$K654,IF($C654="L",1,IF($C654="1/2L",0.5,0)),0)</f>
        <v>0</v>
      </c>
      <c r="DB654" s="146">
        <f>IF(DB$3=$K654,IF($C654="W",1,IF($C654="1/2W",0.5,0)),0)</f>
        <v>0</v>
      </c>
      <c r="DC654" s="146">
        <f>IF(DB$3=$K654,IF($C654="L",1,IF($C654="1/2L",0.5,0)),0)</f>
        <v>0</v>
      </c>
      <c r="DD654" s="146">
        <f>IF(DD$3=$K654,IF($C654="W",1,IF($C654="1/2W",0.5,0)),0)</f>
        <v>0</v>
      </c>
      <c r="DE654" s="147">
        <f>IF(DD$3=$K654,IF($C654="L",1,IF($C654="1/2L",0.5,0)),0)</f>
        <v>0</v>
      </c>
      <c r="DF654" s="143">
        <f>IF(AND(L654&lt;DF$3,$C654="W"),1+DF653,DF653)</f>
        <v>17</v>
      </c>
      <c r="DG654" s="133">
        <f>IF(DF654&gt;DF653,L654+DG653,DG653)</f>
        <v>22.628</v>
      </c>
      <c r="DH654" s="146">
        <f>IF(AND(L654&gt;DH$3,$C654="W"),1+DH653,0+DH653)</f>
        <v>16</v>
      </c>
      <c r="DI654" s="133">
        <f>IF(DH654&gt;DH653,L654+DI653,DI653)</f>
        <v>85.45999999999999</v>
      </c>
      <c r="DJ654" t="s" s="304">
        <f>IF($D652="","",$D652)</f>
        <v>467</v>
      </c>
      <c r="DK654" s="286"/>
    </row>
    <row r="655" ht="14.55" customHeight="1">
      <c r="A655" s="171">
        <f>$A652+1</f>
        <v>218</v>
      </c>
      <c r="B655" t="s" s="172">
        <f>IF(AND(_xlfn.XLOOKUP(H655,H$122:H428,G$122:G428,0)=G655,_xlfn.XLOOKUP("TempoBet",K655:K657,L655:L657,0)&gt;0),"X",IF(OR(C655="W",C656="W",C657="W",C655="1/2W",C656="1/2W",C657="1/2W",C655="1/2L",C656="1/2L",C657="1/2L"),"OK",IF(OR(C655="L",C656="L",C657="L"),"LOSS",IF(OR(C655="X",C656="X",C657="X"),"Anulado"," "))))</f>
        <v>24</v>
      </c>
      <c r="C655" t="s" s="173">
        <v>114</v>
      </c>
      <c r="D655" t="s" s="305">
        <f>IF(G655="","",$D652)</f>
        <v>467</v>
      </c>
      <c r="E655" t="s" s="175">
        <f>IF(G655=""," ","– "&amp;COUNTIF(D$4:D657,$D655))</f>
        <v>63</v>
      </c>
      <c r="F655" t="s" s="176">
        <f>IF(G655="","",IF(OR(AND($C655&lt;&gt;" ",$C656=" "),AND($C656&lt;&gt;" ",$C655=" "),AND(L657&gt;0,OR(AND($C657&lt;&gt;" ",OR($C655=" ",$C656=" ")),AND($C657=" ",OR($C655&lt;&gt;" ",$C656&lt;&gt;" "))))),IF(SUM(F$4:F654)=0,1,LARGE(F$4:F654,1)+1),IF(MONTH(G655)=MONTH(TODAY()),IF(AND(DAY(G655)&lt;DAY(TODAY()),$B655=" "),IF(SUM(F$4:F654)=0,1,LARGE(F$4:F654,1)+1),IF($B655=" ",IF(AND(DAY(G655)=DAY(TODAY()),HOUR(G655)&lt;=HOUR(NOW())+1),IF(AND(HOUR(G655)+2&lt;=HOUR(NOW()),DAY(G655)&lt;=DAY(TODAY()),MINUTE(G655)&lt;=MINUTE(NOW())),IF(SUM(F$4:F654)=0,1,LARGE(F$4:F654,1)+1),IF(OR(MINUTE(G655)&lt;=MINUTE(NOW()),HOUR(G655)&lt;=HOUR(NOW())),"!!!","")),""),"")),"")))</f>
      </c>
      <c r="G655" s="177">
        <v>44959.333333333336</v>
      </c>
      <c r="H655" t="s" s="178">
        <v>470</v>
      </c>
      <c r="I655" s="298">
        <v>2</v>
      </c>
      <c r="J655" s="180"/>
      <c r="K655" t="s" s="181">
        <v>40</v>
      </c>
      <c r="L655" s="182">
        <v>4.25</v>
      </c>
      <c r="M655" s="183">
        <v>5.55</v>
      </c>
      <c r="N655" s="184">
        <v>0</v>
      </c>
      <c r="O655" s="185">
        <f>IF(OR(AE655="",AE656=""),"",ROUND(IF(L657&gt;0,IF(M655&gt;0,M655,IF(M656&gt;0,ROUND((M656*AE655)/AE656,IF(N655=0,2,IF(N655=0.1,1,0))),ROUND((M657*AE655)/AE657,IF(N655=0,2,IF(N655=0.1,1,0))))),IF(M655&gt;0,M655,ROUND((M656*AE655)/AE656,IF(N655=0,2,IF(N655=0.1,1,0))))),2))</f>
        <v>5.55</v>
      </c>
      <c r="P655" s="186">
        <f>IF(OR(L655="",O655=""),"",IF($C655="1/2W",O655/2+O655/2*L655,IF($C655="1/2L",O655/2,IF(I655="Lay",(O655*(L655/(L655-1))-O655)*(1-_xlfn.XLOOKUP(K655,'Janeiro 2023 - Valor Real'!A3:A15,'Janeiro 2023 - Valor Real'!C3:C15,0))+O655,(O655*L655-O655)*(1-_xlfn.XLOOKUP(K655,'Janeiro 2023 - Valor Real'!A3:A15,'Janeiro 2023 - Valor Real'!C3:C15,0))+O655))))</f>
        <v>23.5875</v>
      </c>
      <c r="Q655" s="187">
        <f>IF(K655="","",IF(_xlfn.XLOOKUP(K655,K$122:K428,DJ$122:DJ428,0,,-1)=DJ655,_xlfn.XLOOKUP(K655,K$122:K428,Q$122:Q428,1,,-1)+1,1))</f>
        <v>1</v>
      </c>
      <c r="R655" s="188">
        <f>IF(K655="","",_xlfn.XLOOKUP(K655,K$122:K428,R$122:R428,0,,-1)+IF($C655=" ",1,0))</f>
        <v>0</v>
      </c>
      <c r="S655" s="189">
        <f>IF($B655="Anulado",0,ROUND(IF(OR($B655="LOSS",$B655="OK"),IF(OR($C655="W",$C655="1/2W",$C655="1/2L"),P655-O655,IF($C655="L",-O655,0))+IF(OR($C656="W",$C656="1/2W",$C656="1/2L"),P656-O656,IF($C656="L",-O656,0))+IF(OR($C657="W",$C657="1/2W",$C657="1/2L"),P657-O657,IF($C657="L",-O657,0)),IF(AND(OR($C655="W",$C655="1/2W",$C655="1/2L"),C656="W"),P655+P656-SUM(O655:O657)+_xlfn.XLOOKUP("X",C655:C657,O655:O657,0),IF(AND(C655=TRUE,C657="W"),P655+P657-SUM(O655:O657),IF(AND(C656="W",C657="W"),P656+P657-SUM(O655:O657)+_xlfn.XLOOKUP("X",C655:C657,O655:O657,0),IF(L657&gt;0,IF(OR($C655="W",$C655="1/2W",$C655="1/2L"),P655-SUM(O655:O657)+_xlfn.XLOOKUP("X",C655:C657,O655:O657,0),IF(OR($C655="W",$C655="1/2W",$C655="1/2L"),P656-SUM(O655:O657)+_xlfn.XLOOKUP("X",C655:C657,O655:O657,0),IF(OR($C655="W",$C655="1/2W",$C655="1/2L"),P657-SUM(O655:O657)+_xlfn.XLOOKUP("X",C655:C657,O655:O657,0),IF(SUM(P655:P657)/3-SUM(O655:O657)+_xlfn.XLOOKUP("X",C655:C657,O655:O657,0)&gt;0,SUM(P655:P657)/3-SUM(O655:O657)+_xlfn.XLOOKUP("X",C655:C657,O655:O657,0),LARGE(P655:P657,1)-SUM(O655:O657))))),IF(OR($C655="W",$C655="1/2W",$C655="1/2L"),P655-SUM(O655:O656)+_xlfn.XLOOKUP("X",C655:C657,O655:O657,0),IF(OR($C655="W",$C655="1/2W",$C655="1/2L"),P656-SUM(O655:O656)+_xlfn.XLOOKUP("X",C655:C657,O655:O657,0),SUM(P655:P656)/2-SUM(O655:O656)+_xlfn.XLOOKUP("X",C655:C657,O655:O657,0)))))))),2))</f>
        <v>0</v>
      </c>
      <c r="T655" s="190">
        <f>IF(S655=0,0,S655/SUM(O655:O657))</f>
        <v>0</v>
      </c>
      <c r="U655" s="191">
        <f>IF($D655=$D652,IF(OR($B655="LOSS",$B655="OK",$B655="Anulada"),S655,0)+U652,IF(OR($B655="LOSS",$B655="OK",$B655="Anulada"),S655,0))</f>
        <v>3.82</v>
      </c>
      <c r="V655" s="191">
        <f>IF($D655="",0,IF($D655=$D652,IF($B655=" ",IF(I657="",IF(OR(AND(I655="DNB1",I656="DNB2"),AND(OR(I655="DNB1",I655="DNB2"),J656=0),AND(OR(I656="DNB1",I656="DNB2"),J655=0),AND(I655="DNB2",I656="DNB1"),AND(IF(J655=0,(J655+1)/ROUND(J655+1,0),J655/ROUND(J655,0))=1,IF(J656=0,(J656+1)/ROUND(IF(J656="",0,J656)+1,0),IF(J656="",0,J656)/ROUND(IF(J656="",1,J656),0))=1,OR(J655&lt;&gt;""),J656&lt;&gt;"")),0,IF(S655&lt;0,IF(I657="",SMALL(P655:P656,1)-SUM(O655:O656),0),SMALL(P655:P656,1)-SUM(O655:O656))),IF(S655&lt;0,IF(I657="",SMALL(P655:P657,1)-SUM(O655:O657),0),LARGE(P655:P657,1)-SUM(O655:O657))),S655)+V652,IF(I657="",IF(OR(AND(I655="DNB1",I656="DNB2"),AND(OR(I655="DNB1",I655="DNB2"),J656=0),AND(OR(I656="DNB1",I656="DNB2"),J655=0),AND(I655="DNB2",I656="DNB1"),AND(IF(J655=0,(J655+1)/ROUND(J655+1,0),J655/ROUND(J655,0))=1,IF(J656=0,(IF(J656="",0,J656)+1)/ROUND(IF(J656="",0,J656)+1,0),IF(J656="",0,J656)/ROUND(IF(J656="",0,J656)+1,0))=1,OR(J655&lt;&gt;""),J656&lt;&gt;"")),0,IF(S655&lt;0,IF(I657="",SMALL(P655:P656,1)-SUM(O655:O656),0),SMALL(P655:P657,1)-SUM(O655:O657))),IF(S655&lt;0,IF(I657="",SMALL(P655:P657,1)-SUM(O655:O657),0),LARGE(P655:P657,1)-SUM(O655:O657)))))</f>
        <v>3.818</v>
      </c>
      <c r="W655" s="191">
        <f>IF($D655=$D652,IF(S655&lt;0,IF(I657="",S655,0),S655)+W652,S655)</f>
        <v>3.82</v>
      </c>
      <c r="X655" t="s" s="192">
        <f>IF(OR(SUM(R655:R657)=0,V655=W655),ROUND(IF(W655=0,0,W655/Y655)*100,2)&amp;"%",ROUND(IF(V655=0,0,V655/Y655)*100,2)&amp;"% a "&amp;ROUND(IF(W655=0,0,W655/Y655)*100,2)&amp;"%")</f>
        <v>471</v>
      </c>
      <c r="Y655" s="193">
        <f>IF($D655=$D652,Y652+SUM(O655:O657),SUM(O655:O657))</f>
        <v>123.73</v>
      </c>
      <c r="Z655" s="191">
        <f>IF($B655=" ",SUM(O655:O657),0)+Z652</f>
        <v>0</v>
      </c>
      <c r="AA655" s="191">
        <f>IF(G655="","",IF($B655="Anulado",LARGE(P655:P657,1)-SUM(O655:O657)+AA652,AA652))</f>
        <v>27.7065076923077</v>
      </c>
      <c r="AB655" s="191">
        <f>IF($D655="","",AB652+S655)</f>
        <v>465.05</v>
      </c>
      <c r="AC655" s="194">
        <f>IF($D655="","",IF($B655=" ",IF(DAY(G655)=DAY(TODAY()),1+AC652,0+AC652),0+AC652))</f>
        <v>0</v>
      </c>
      <c r="AD655" s="195">
        <f>(((L656/(L656-1)-1)*(1-_xlfn.XLOOKUP(K656,'Janeiro 2023 - Valor Real'!A3:A15,'Janeiro 2023 - Valor Real'!C3:C15,0))+1))/(((L655-1)*(1-_xlfn.XLOOKUP(K655,'Janeiro 2023 - Valor Real'!A3:A15,'Janeiro 2023 - Valor Real'!C3:C15,0))+1)+((L656/(L656-1)-1)*(1-_xlfn.XLOOKUP(K656,'Janeiro 2023 - Valor Real'!A3:A15,'Janeiro 2023 - Valor Real'!C3:C15,0))+1))</f>
        <v>0.465590484282073</v>
      </c>
      <c r="AE655" s="196">
        <f>IF(L655="","",IF(L657&gt;0,(SUM(((L655-1)*(1-_xlfn.XLOOKUP(K655,'Janeiro 2023 - Valor Real'!A3:A15,'Janeiro 2023 - Valor Real'!C3:C15,0))+1),((L656-1)*(1-_xlfn.XLOOKUP(K656,'Janeiro 2023 - Valor Real'!A3:A15,'Janeiro 2023 - Valor Real'!C3:C15,0))+1),((L657-1)*(1-_xlfn.XLOOKUP(K657,'Janeiro 2023 - Valor Real'!A3:A15,'Janeiro 2023 - Valor Real'!C3:C15,0))+1))/((L655-1)*(1-_xlfn.XLOOKUP(K655,'Janeiro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Real'!C3:C15,0))+1))/((L655-1)*(1-_xlfn.XLOOKUP(K655,'Janeiro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Real'!C3:C15,0))+1))/((L656-1)*(1-_xlfn.XLOOKUP(K656,'Janeiro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Real'!C3:C15,0))+1))/((L657-1)*(1-_xlfn.XLOOKUP(K657,'Janeiro 2023 - Valor Real'!A3:A15,'Janeiro 2023 - Valor Real'!C3:C15,0))+1)),IF(I655="Lay",IF(I656="Lay",((L656/(L656-1)-1)*(1-_xlfn.XLOOKUP(K656,'Janeiro 2023 - Valor Real'!A3:A15,'Janeiro 2023 - Valor Real'!C3:C15,0))+1)/(((L656/(L656-1)-1)*(1-_xlfn.XLOOKUP(K656,'Janeiro 2023 - Valor Real'!A3:A15,'Janeiro 2023 - Valor Real'!C3:C15,0))+1)+((L655/(L655-1)-1)*(1-_xlfn.XLOOKUP(K655,'Janeiro 2023 - Valor Real'!A3:A15,'Janeiro 2023 - Valor Real'!C3:C15,0))+1)),((L656-1)*(1-_xlfn.XLOOKUP(K656,'Janeiro 2023 - Valor Real'!A3:A15,'Janeiro 2023 - Valor Real'!C3:C15,0))+1)/(((L656-1)*(1-_xlfn.XLOOKUP(K656,'Janeiro 2023 - Valor Real'!A3:A15,'Janeiro 2023 - Valor Real'!C3:C15,0))+1)+((L655/(L655-1)-1)*(1-_xlfn.XLOOKUP(K655,'Janeiro 2023 - Valor Real'!A3:A15,'Janeiro 2023 - Valor Real'!C3:C15,0))+1))),IF(I656="Lay",(((L656/(L656-1)-1)*(1-_xlfn.XLOOKUP(K656,'Janeiro 2023 - Valor Real'!A3:A15,'Janeiro 2023 - Valor Real'!C3:C15,0))+1))/(((L655-1)*(1-_xlfn.XLOOKUP(K655,'Janeiro 2023 - Valor Real'!A3:A15,'Janeiro 2023 - Valor Real'!C3:C15,0))+1)+((L656/(L656-1)-1)*(1-_xlfn.XLOOKUP(K656,'Janeiro 2023 - Valor Real'!A3:A15,'Janeiro 2023 - Valor Real'!C3:C15,0))+1)),((L656-1)*(1-_xlfn.XLOOKUP(K656,'Janeiro 2023 - Valor Real'!A3:A15,'Janeiro 2023 - Valor Real'!C3:C15,0))+1)/(((L656-1)*(1-_xlfn.XLOOKUP(K656,'Janeiro 2023 - Valor Real'!A3:A15,'Janeiro 2023 - Valor Real'!C3:C15,0))+1)+((L655-1)*(1-_xlfn.XLOOKUP(K655,'Janeiro 2023 - Valor Real'!A3:A15,'Janeiro 2023 - Valor Real'!C3:C15,0))+1))))))</f>
        <v>0.243772241992883</v>
      </c>
      <c r="AF655" s="197">
        <f>IF($K655=AF$3,ROUND(IF(OR($C655="W",$C655="1/2W",$C655="1/2L"),$P655-$O655,IF($C655="X",0,-$O655)),2),0)</f>
        <v>0</v>
      </c>
      <c r="AG655" s="198">
        <f>IF($K655=AG$3,ROUND(IF(OR($C655="W",$C655="1/2W",$C655="1/2L"),$P655-$O655,IF($C655="X",0,-$O655)),2),0)</f>
        <v>0</v>
      </c>
      <c r="AH655" s="198">
        <f>IF($K655=AH$3,ROUND(IF(OR($C655="W",$C655="1/2W",$C655="1/2L"),$P655-$O655,IF($C655="X",0,-$O655)),2),0)</f>
        <v>0</v>
      </c>
      <c r="AI655" s="198">
        <f>IF($K655=AI$3,ROUND(IF(OR($C655="W",$C655="1/2W",$C655="1/2L"),$P655-$O655,IF($C655="X",0,-$O655)),2),0)</f>
        <v>0</v>
      </c>
      <c r="AJ655" s="198">
        <f>IF($K655=AJ$3,ROUND(IF(OR($C655="W",$C655="1/2W",$C655="1/2L"),$P655-$O655,IF($C655="X",0,-$O655)),2),0)</f>
        <v>0</v>
      </c>
      <c r="AK655" s="198">
        <f>IF($K655=AK$3,ROUND(IF(OR($C655="W",$C655="1/2W",$C655="1/2L"),$P655-$O655,IF($C655="X",0,-$O655)),2),0)</f>
        <v>0</v>
      </c>
      <c r="AL655" s="198">
        <f>IF($K655=AL$3,ROUND(IF(OR($C655="W",$C655="1/2W",$C655="1/2L"),$P655-$O655,IF($C655="X",0,-$O655)),2),0)</f>
        <v>0</v>
      </c>
      <c r="AM655" s="198">
        <f>IF($K655=AM$3,ROUND(IF(OR($C655="W",$C655="1/2W",$C655="1/2L"),$P655-$O655,IF($C655="X",0,-$O655)),2),0)</f>
        <v>0</v>
      </c>
      <c r="AN655" s="198">
        <f>IF($K655=AN$3,ROUND(IF(OR($C655="W",$C655="1/2W",$C655="1/2L"),$P655-$O655,IF($C655="X",0,-$O655)),2),0)</f>
        <v>0</v>
      </c>
      <c r="AO655" s="198">
        <f>IF($K655=AO$3,ROUND(IF(OR($C655="W",$C655="1/2W",$C655="1/2L"),$P655-$O655,IF($C655="X",0,-$O655)),2),0)</f>
        <v>0</v>
      </c>
      <c r="AP655" s="198">
        <f>IF($K655=AP$3,ROUND(IF(OR($C655="W",$C655="1/2W",$C655="1/2L"),$P655-$O655,IF($C655="X",0,-$O655)),2),0)</f>
        <v>0</v>
      </c>
      <c r="AQ655" s="198">
        <f>IF($K655=AQ$3,ROUND(IF(OR($C655="W",$C655="1/2W",$C655="1/2L"),$P655-$O655,IF($C655="X",0,-$O655)),2),0)</f>
        <v>0</v>
      </c>
      <c r="AR655" s="199">
        <f>IF($K655=AR$3,ROUND(IF(OR($C655="W",$C655="1/2W",$C655="1/2L"),$P655-$O655,IF($C655="X",0,-$O655)),2),0)</f>
        <v>0</v>
      </c>
      <c r="AS655" s="197">
        <f>IF(AND($B655=" ",$K655=AS$3),$O655,0)</f>
        <v>0</v>
      </c>
      <c r="AT655" s="198">
        <f>IF(AND($B655=" ",$K655=AT$3),$O655,0)</f>
        <v>0</v>
      </c>
      <c r="AU655" s="198">
        <f>IF(AND($B655=" ",$K655=AU$3),$O655,0)</f>
        <v>0</v>
      </c>
      <c r="AV655" s="198">
        <f>IF(AND($B655=" ",$K655=AV$3),$O655,0)</f>
        <v>0</v>
      </c>
      <c r="AW655" s="198">
        <f>IF(AND($B655=" ",$K655=AW$3),$O655,0)</f>
        <v>0</v>
      </c>
      <c r="AX655" s="198">
        <f>IF(AND($B655=" ",$K655=AX$3),$O655,0)</f>
        <v>0</v>
      </c>
      <c r="AY655" s="200">
        <f>IF(AND($B655=" ",$K655=AY$3),$O655,0)</f>
        <v>0</v>
      </c>
      <c r="AZ655" s="201">
        <f>IF(AND($B655=" ",$K655=AZ$3),$O655,0)</f>
        <v>0</v>
      </c>
      <c r="BA655" s="201">
        <f>IF(AND($B655=" ",$K655=BA$3),$O655,0)</f>
        <v>0</v>
      </c>
      <c r="BB655" s="201">
        <f>IF(AND($B655=" ",$K655=BB$3),$O655,0)</f>
        <v>0</v>
      </c>
      <c r="BC655" s="202">
        <f>IF(AND($B655=" ",$K655=BC$3),$O655,0)</f>
        <v>0</v>
      </c>
      <c r="BD655" s="198">
        <f>IF(AND($B655=" ",$K655=BD$3),$O655,0)</f>
        <v>0</v>
      </c>
      <c r="BE655" s="199">
        <f>IF(AND($B655=" ",$K655=BE$3),$O655,0)</f>
        <v>0</v>
      </c>
      <c r="BF655" s="203">
        <f>IF($K655=BF$3,IF($C655="X",0,$O655),0)</f>
        <v>0</v>
      </c>
      <c r="BG655" s="198">
        <f>IF($K655=BG$3,IF($C655="X",0,$O655),0)</f>
        <v>0</v>
      </c>
      <c r="BH655" s="198">
        <f>IF($K655=BH$3,IF($C655="X",0,$O655),0)</f>
        <v>0</v>
      </c>
      <c r="BI655" s="198">
        <f>IF($K655=BI$3,IF($C655="X",0,$O655),0)</f>
        <v>0</v>
      </c>
      <c r="BJ655" s="198">
        <f>IF($K655=BJ$3,IF($C655="X",0,$O655),0)</f>
        <v>0</v>
      </c>
      <c r="BK655" s="198">
        <f>IF($K655=BK$3,IF($C655="X",0,$O655),0)</f>
        <v>0</v>
      </c>
      <c r="BL655" s="198">
        <f>IF($K655=BL$3,IF($C655="X",0,$O655),0)</f>
        <v>0</v>
      </c>
      <c r="BM655" s="200">
        <f>IF($K655=BM$3,IF($C655="X",0,$O655),0)</f>
        <v>0</v>
      </c>
      <c r="BN655" s="201">
        <f>IF($K655=BN$3,IF($C655="X",0,$O655),0)</f>
        <v>0</v>
      </c>
      <c r="BO655" s="201">
        <f>IF($K655=BO$3,IF($C655="X",0,$O655),0)</f>
        <v>0</v>
      </c>
      <c r="BP655" s="201">
        <f>IF($K655=BP$3,IF($C655="X",0,$O655),0)</f>
        <v>0</v>
      </c>
      <c r="BQ655" s="202">
        <f>IF($K655=BQ$3,IF($C655="X",0,$O655),0)</f>
        <v>0</v>
      </c>
      <c r="BR655" s="199">
        <f>IF($K655=BR$3,IF($C655="X",0,$O655),0)</f>
        <v>0</v>
      </c>
      <c r="BS655" s="204">
        <f>IF($B655="LOSS",IF(AND($K655=BS$3,$C655="L"),-$O655,0)+IF(AND($K656=BS$3,$C656="L"),-$O656,0)+IF(AND($K657=BS$3,$C657="L"),-$O657,0),IF(OR(AND($K655=BS$3,OR($C655="W",$C655="1/2W")),AND($K656=BS$3,OR($C656="W",$C656="1/2W")),AND($K657=BS$3,OR($C657="W",$C657="1/2W"))),$S655,0))</f>
        <v>0</v>
      </c>
      <c r="BT655" s="201">
        <f>IF($B655="LOSS",IF(AND($K655=BT$3,$C655="L"),-$O655,0)+IF(AND($K656=BT$3,$C656="L"),-$O656,0)+IF(AND($K656=BT$3,$C657="L"),-$O657,0),IF(OR(AND($K656=BT$3,OR($C655="W",$C655="1/2W")),AND($K656=BT$3,OR($C656="W",$C656="1/2W")),AND($K656=BT$3,OR($C657="W",$C657="1/2W"))),$S655,0))</f>
        <v>0</v>
      </c>
      <c r="BU655" s="201">
        <f>IF($B655="LOSS",IF(AND($K655=BU$3,$C655="L"),-$O655,0)+IF(AND($K656=BU$3,$C656="L"),-$O656,0)+IF(AND($K656=BU$3,$C657="L"),-$O657,0),IF(OR(AND($K656=BU$3,OR($C655="W",$C655="1/2W")),AND($K656=BU$3,OR($C656="W",$C656="1/2W")),AND($K656=BU$3,OR($C657="W",$C657="1/2W"))),$S655,0))</f>
        <v>0</v>
      </c>
      <c r="BV655" s="201">
        <f>IF($B655="LOSS",IF(AND($K655=BV$3,$C655="L"),-$O655,0)+IF(AND($K656=BV$3,$C656="L"),-$O656,0)+IF(AND($K657=BV$3,$C657="L"),-$O657,0),IF(OR(AND($K655=BV$3,OR($C655="W",$C655="1/2W")),AND($K656=BV$3,OR($C656="W",$C656="1/2W")),AND($K657=BV$3,OR($C657="W",$C657="1/2W"))),$S655,0))</f>
        <v>0</v>
      </c>
      <c r="BW655" s="201">
        <f>IF($B655="LOSS",IF(AND($K655=BW$3,$C655="L"),-$O655,0)+IF(AND($K656=BW$3,$C656="L"),-$O656,0)+IF(AND($K657=BW$3,$C657="L"),-$O657,0),IF(OR(AND($K655=BW$3,OR($C655="W",$C655="1/2W")),AND($K656=BW$3,OR($C656="W",$C656="1/2W")),AND($K657=BW$3,OR($C657="W",$C657="1/2W"))),$S655,0))</f>
        <v>0</v>
      </c>
      <c r="BX655" s="201">
        <f>IF($B655="LOSS",IF(AND($K655=BX$3,$C655="L"),-$O655,0)+IF(AND($K656=BX$3,$C656="L"),-$O656,0)+IF(AND($K657=BX$3,$C657="L"),-$O657,0),IF(OR(AND($K655=BX$3,OR($C655="W",$C655="1/2W")),AND($K656=BX$3,OR($C656="W",$C656="1/2W")),AND($K657=BX$3,OR($C657="W",$C657="1/2W"))),$S655,0))</f>
        <v>0</v>
      </c>
      <c r="BY655" s="201">
        <f>IF($B655="LOSS",IF(AND($K655=BY$3,$C655="L"),-$O655,0)+IF(AND($K656=BY$3,$C656="L"),-$O656,0)+IF(AND($K657=BY$3,$C657="L"),-$O657,0),IF(OR(AND($K655=BY$3,OR($C655="W",$C655="1/2W")),AND($K656=BY$3,OR($C656="W",$C656="1/2W")),AND($K657=BY$3,OR($C657="W",$C657="1/2W"))),$S655,0))</f>
        <v>0</v>
      </c>
      <c r="BZ655" s="205">
        <f>IF($B655="LOSS",IF(AND($K655=BZ$3,$C655="L"),-$O655,0)+IF(AND($K656=BZ$3,$C656="L"),-$O656,0)+IF(AND($K657=BZ$3,$C657="L"),-$O657,0),IF(OR(AND($K655=BZ$3,OR($C655="W",$C655="1/2W")),AND($K656=BZ$3,OR($C656="W",$C656="1/2W")),AND($K657=BZ$3,OR($C657="W",$C657="1/2W"))),$S655,0))</f>
        <v>0</v>
      </c>
      <c r="CA655" s="205">
        <f>IF($B655="LOSS",IF(AND($K655=CA$3,$C655="L"),-$O655,0)+IF(AND($K656=CA$3,$C656="L"),-$O656,0)+IF(AND($K657=CA$3,$C657="L"),-$O657,0),IF(OR(AND($K655=CA$3,OR($C655="W",$C655="1/2W")),AND($K656=CA$3,OR($C656="W",$C656="1/2W")),AND($K657=CA$3,OR($C657="W",$C657="1/2W"))),$S655,0))</f>
        <v>0</v>
      </c>
      <c r="CB655" s="205">
        <f>IF($B655="LOSS",IF(AND($K655=CB$3,$C655="L"),-$O655,0)+IF(AND($K656=CB$3,$C656="L"),-$O656,0)+IF(AND($K657=CB$3,$C657="L"),-$O657,0),IF(OR(AND($K655=CB$3,OR($C655="W",$C655="1/2W")),AND($K656=CB$3,OR($C656="W",$C656="1/2W")),AND($K657=CB$3,OR($C657="W",$C657="1/2W"))),$S655,0))</f>
        <v>0</v>
      </c>
      <c r="CC655" s="205">
        <f>IF($B655="LOSS",IF(AND($K655=CC$3,$C655="L"),-$O655,0)+IF(AND($K656=CC$3,$C656="L"),-$O656,0)+IF(AND($K657=CC$3,$C657="L"),-$O657,0),IF(OR(AND($K655=CC$3,OR($C655="W",$C655="1/2W")),AND($K656=CC$3,OR($C656="W",$C656="1/2W")),AND($K657=CC$3,OR($C657="W",$C657="1/2W"))),$S655,0))</f>
        <v>0</v>
      </c>
      <c r="CD655" s="202">
        <f>IF($B655="LOSS",IF(AND($K655=CD$3,$C655="L"),-$O655,0)+IF(AND($K656=CD$3,$C656="L"),-$O656,0)+IF(AND($K657=CD$3,$C657="L"),-$O657,0),IF(OR(AND($K655=CD$3,OR($C655="W",$C655="1/2W")),AND($K656=CD$3,OR($C656="W",$C656="1/2W")),AND($K657=CD$3,OR($C657="W",$C657="1/2W"))),$S655,0))</f>
        <v>0</v>
      </c>
      <c r="CE655" s="199">
        <f>IF($B655="LOSS",IF(AND($K655=CE$3,$C655="L"),-$O655,0)+IF(AND($K656=CE$3,$C656="L"),-$O656,0)+IF(AND($K657=CE$3,$C657="L"),-$O657,0),IF(OR(AND($K655=CE$3,OR($C655="W",$C655="1/2W")),AND($K656=CE$3,OR($C656="W",$C656="1/2W")),AND($K657=CE$3,OR($C657="W",$C657="1/2W"))),$S655,0))</f>
        <v>0</v>
      </c>
      <c r="CF655" s="206">
        <f>IF(CF$3=$K655,IF($C655="W",1,IF($C655="1/2W",0.5,0)),0)</f>
        <v>0</v>
      </c>
      <c r="CG655" s="207">
        <f>IF(CF$3=$K655,IF($C655="L",1,IF($C655="1/2L",0.5,0)),0)</f>
        <v>0</v>
      </c>
      <c r="CH655" s="207">
        <f>IF(CH$3=$K655,IF($C655="W",1,IF($C655="1/2W",0.5,0)),0)</f>
        <v>0</v>
      </c>
      <c r="CI655" s="207">
        <f>IF(CH$3=$K655,IF($C655="L",1,IF($C655="1/2L",0.5,0)),0)</f>
        <v>0</v>
      </c>
      <c r="CJ655" s="207">
        <f>IF(CJ$3=$K655,IF($C655="W",1,IF($C655="1/2W",0.5,0)),0)</f>
        <v>0</v>
      </c>
      <c r="CK655" s="207">
        <f>IF(CJ$3=$K655,IF($C655="L",1,IF($C655="1/2L",0.5,0)),0)</f>
        <v>0</v>
      </c>
      <c r="CL655" s="207">
        <f>IF(CL$3=$K655,IF($C655="W",1,IF($C655="1/2W",0.5,0)),0)</f>
        <v>0</v>
      </c>
      <c r="CM655" s="207">
        <f>IF(CL$3=$K655,IF($C655="L",1,IF($C655="1/2L",0.5,0)),0)</f>
        <v>0</v>
      </c>
      <c r="CN655" s="207">
        <f>IF(CN$3=$K655,IF($C655="W",1,IF($C655="1/2W",0.5,0)),0)</f>
        <v>0</v>
      </c>
      <c r="CO655" s="207">
        <f>IF(CN$3=$K655,IF($C655="L",1,IF($C655="1/2L",0.5,0)),0)</f>
        <v>0</v>
      </c>
      <c r="CP655" s="207">
        <f>IF(CP$3=$K655,IF($C655="W",1,IF($C655="1/2W",0.5,0)),0)</f>
        <v>0</v>
      </c>
      <c r="CQ655" s="207">
        <f>IF(CP$3=$K655,IF($C655="L",1,IF($C655="1/2L",0.5,0)),0)</f>
        <v>0</v>
      </c>
      <c r="CR655" s="207">
        <f>IF(CR$3=$K655,IF($C655="W",1,IF($C655="1/2W",0.5,0)),0)</f>
        <v>0</v>
      </c>
      <c r="CS655" s="207">
        <f>IF(CR$3=$K655,IF($C655="L",1,IF($C655="1/2L",0.5,0)),0)</f>
        <v>0</v>
      </c>
      <c r="CT655" s="208">
        <f>IF(CT$3=$K655,IF($C655="W",1,IF($C655="1/2W",0.5,0)),0)</f>
        <v>0</v>
      </c>
      <c r="CU655" s="209">
        <f>IF(CT$3=$K655,IF($C655="L",1,IF($C655="1/2L",0.5,0)),0)</f>
        <v>0</v>
      </c>
      <c r="CV655" s="209">
        <f>IF(CV$3=$K655,IF($C655="W",1,IF($C655="1/2W",0.5,0)),0)</f>
        <v>0</v>
      </c>
      <c r="CW655" s="209">
        <f>IF(CV$3=$K655,IF($C655="L",1,IF($C655="1/2L",0.5,0)),0)</f>
        <v>0</v>
      </c>
      <c r="CX655" s="209">
        <f>IF(CX$3=$K655,IF($C655="W",1,IF($C655="1/2W",0.5,0)),0)</f>
        <v>0</v>
      </c>
      <c r="CY655" s="209">
        <f>IF(CX$3=$K655,IF($C655="L",1,IF($C655="1/2L",0.5,0)),0)</f>
        <v>0</v>
      </c>
      <c r="CZ655" s="209">
        <f>IF(CZ$3=$K655,IF($C655="W",1,IF($C655="1/2W",0.5,0)),0)</f>
        <v>0</v>
      </c>
      <c r="DA655" s="209">
        <f>IF(CZ$3=$K655,IF($C655="L",1,IF($C655="1/2L",0.5,0)),0)</f>
        <v>0</v>
      </c>
      <c r="DB655" s="209">
        <f>IF(DB$3=$K655,IF($C655="W",1,IF($C655="1/2W",0.5,0)),0)</f>
        <v>0</v>
      </c>
      <c r="DC655" s="209">
        <f>IF(DB$3=$K655,IF($C655="L",1,IF($C655="1/2L",0.5,0)),0)</f>
        <v>0</v>
      </c>
      <c r="DD655" s="209">
        <f>IF(DD$3=$K655,IF($C655="W",1,IF($C655="1/2W",0.5,0)),0)</f>
        <v>0</v>
      </c>
      <c r="DE655" s="210">
        <f>IF(DD$3=$K655,IF($C655="L",1,IF($C655="1/2L",0.5,0)),0)</f>
        <v>0</v>
      </c>
      <c r="DF655" s="211">
        <f>IF(AND(L655&lt;DF$3,$C655="W"),1+DF654,DF654)</f>
        <v>17</v>
      </c>
      <c r="DG655" s="198">
        <f>IF(DF655&gt;DF654,L655+DG654,DG654)</f>
        <v>22.628</v>
      </c>
      <c r="DH655" s="209">
        <f>IF(AND(L655&gt;DH$3,$C655="W"),1+DH654,0+DH654)</f>
        <v>16</v>
      </c>
      <c r="DI655" s="198">
        <f>IF(DH655&gt;DH654,L655+DI654,DI654)</f>
        <v>85.45999999999999</v>
      </c>
      <c r="DJ655" t="s" s="306">
        <f>IF($D655="","",$D655)</f>
        <v>467</v>
      </c>
      <c r="DK655" s="209">
        <f>IF(AND($B655=" ",$D655&lt;&gt;""),1,0)</f>
        <v>0</v>
      </c>
    </row>
    <row r="656" ht="14.55" customHeight="1">
      <c r="A656" s="107"/>
      <c r="B656" s="108"/>
      <c r="C656" t="s" s="213">
        <v>114</v>
      </c>
      <c r="D656" s="110"/>
      <c r="E656" s="111"/>
      <c r="F656" s="113"/>
      <c r="G656" s="214"/>
      <c r="H656" s="114"/>
      <c r="I656" s="299">
        <v>1</v>
      </c>
      <c r="J656" t="s" s="216">
        <f>IF(OR(I655="TO",I655="TU",I655="TO1",I655="TU1",I655="TO2",I655="TU2"),J655,IF(OR(I655="AH1",I655="AH2"),IF(OR(I656="AH1",I656="AH2"),-J655,IF(OR(I656="EH1",I656="EH2"),-J655+0.5,"")),IF(OR(I655="EH1",I655="EH2"),IF(OR(I656="AH1",I656="AH2"),-J655+0.5,IF(OR(I656="EH1",I656="EH2"),-J655+1,"")),IF(AND(OR(I655="DNB1",I655="DNB2"),OR(I656="AH1",I656="AH2")),0,IF(AND(I655="Not ScoreBoth",OR(I656="TO1",I656="TO2")),0.5,"")))))</f>
      </c>
      <c r="K656" t="s" s="217">
        <v>41</v>
      </c>
      <c r="L656" s="218">
        <v>1.37</v>
      </c>
      <c r="M656" s="219">
        <v>17.25</v>
      </c>
      <c r="N656" s="120"/>
      <c r="O656" s="220">
        <f>IF(OR(AE655="",AE656=""),"",ROUND(IF(L657&gt;0,IF(M656&gt;0,M656,IF(M655&gt;0,IF(N655=TRUE,ROUND((M655*AE656)/AE655,0),(M655*AE656)/AE655),IF(M656&gt;0,ROUND(M656,IF(N655=0,2,IF(N655=0.1,1,0))),IF(M657&gt;0,ROUND(O657*AE656/AE657,IF(N655=0,2,IF(N655=0.1,1,0))),0)))),IF(M656&gt;0,M656,ROUND((M655*AE656)/AE655,IF(N655=0,2,IF(N655=0.1,1,0))))),2))</f>
        <v>17.25</v>
      </c>
      <c r="P656" s="221">
        <f>IF(OR(L656="",O656=""),"",IF($C656="1/2W",O656/2+O656/2*L656,IF($C656="1/2L",O656/2,IF(I656="Lay",((O656*(L656/(L656-1)))-O656)*(1-_xlfn.XLOOKUP(K656,'Janeiro 2023 - Valor Real'!A3:A15,'Janeiro 2023 - Valor Real'!C3:C15,0))+O656,(O656*L656-O656)*(1-_xlfn.XLOOKUP(K656,'Janeiro 2023 - Valor Real'!A3:A15,'Janeiro 2023 - Valor Real'!C3:C15,0))+O656))))</f>
        <v>23.6325</v>
      </c>
      <c r="Q656" s="222">
        <f>IF(K656="","",IF(_xlfn.XLOOKUP(K656,K$123:K429,DJ$123:DJ429,0,,-1)=DJ656,_xlfn.XLOOKUP(K656,K$123:K429,Q$123:Q429,1,,-1)+1,1))</f>
        <v>1</v>
      </c>
      <c r="R656" s="223">
        <f>IF(K656="","",_xlfn.XLOOKUP(K656,K$123:K429,R$123:R429,0,,-1)+IF($C656=" ",1,0))</f>
        <v>0</v>
      </c>
      <c r="S656" s="125"/>
      <c r="T656" s="126"/>
      <c r="U656" s="126"/>
      <c r="V656" s="224"/>
      <c r="W656" s="126"/>
      <c r="X656" s="127"/>
      <c r="Y656" s="128"/>
      <c r="Z656" s="129"/>
      <c r="AA656" s="129"/>
      <c r="AB656" s="129"/>
      <c r="AC656" s="129"/>
      <c r="AD656" s="225">
        <f>(((L656/(L656-1)-1)*(1-_xlfn.XLOOKUP(K656,'Janeiro 2023 - Valor Real'!A3:A15,'Janeiro 2023 - Valor Real'!C3:C15,0))+1))</f>
        <v>3.7027027027027</v>
      </c>
      <c r="AE656" s="226">
        <f>IF(L656="","",IF(L657&gt;0,(SUM(((L655-1)*(1-_xlfn.XLOOKUP(K655,'Janeiro 2023 - Valor Real'!A3:A15,'Janeiro 2023 - Valor Real'!C3:C15,0))+1),((L656-1)*(1-_xlfn.XLOOKUP(K656,'Janeiro 2023 - Valor Real'!A3:A15,'Janeiro 2023 - Valor Real'!C3:C15,0))+1),((L657-1)*(1-_xlfn.XLOOKUP(K657,'Janeiro 2023 - Valor Real'!A3:A15,'Janeiro 2023 - Valor Real'!C3:C15,0))+1))/((L656-1)*(1-_xlfn.XLOOKUP(K656,'Janeiro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Real'!C3:C15,0))+1))/((L655-1)*(1-_xlfn.XLOOKUP(K655,'Janeiro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Real'!C3:C15,0))+1))/((L656-1)*(1-_xlfn.XLOOKUP(K656,'Janeiro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Real'!C3:C15,0))+1))/((L657-1)*(1-_xlfn.XLOOKUP(K657,'Janeiro 2023 - Valor Real'!A3:A15,'Janeiro 2023 - Valor Real'!C3:C15,0))+1)),IF(I656="Lay",IF(I655="Lay",((L655/(L655-1)-1)*(1-_xlfn.XLOOKUP(K655,'Janeiro 2023 - Valor Real'!A3:A15,'Janeiro 2023 - Valor Real'!C3:C15,0))+1)/(((L655/(L655-1)-1)*(1-_xlfn.XLOOKUP(K655,'Janeiro 2023 - Valor Real'!A3:A15,'Janeiro 2023 - Valor Real'!C3:C15,0))+1)+((L656/(L656-1)-1)*(1-_xlfn.XLOOKUP(K656,'Janeiro 2023 - Valor Real'!A3:A15,'Janeiro 2023 - Valor Real'!C3:C15,0))+1)),((L655-1)*(1-_xlfn.XLOOKUP(K655,'Janeiro 2023 - Valor Real'!A3:A15,'Janeiro 2023 - Valor Real'!C3:C15,0))+1)/(((L655-1)*(1-_xlfn.XLOOKUP(K655,'Janeiro 2023 - Valor Real'!A3:A15,'Janeiro 2023 - Valor Real'!C3:C15,0))+1)+((L656/(L656-1)-1)*(1-_xlfn.XLOOKUP(K656,'Janeiro 2023 - Valor Real'!A3:A15,'Janeiro 2023 - Valor Real'!C3:C15,0))+1))),IF(I655="Lay",((L655/(L655-1)-1)*(1-_xlfn.XLOOKUP(K655,'Janeiro 2023 - Valor Real'!A3:A15,'Janeiro 2023 - Valor Real'!C3:C15,0))+1)/((((L655/(L655-1)-1)*(1-_xlfn.XLOOKUP(K655,'Janeiro 2023 - Valor Real'!A3:A15,'Janeiro 2023 - Valor Real'!C3:C15,0))+1))+((L656-1)*(1-_xlfn.XLOOKUP(K656,'Janeiro 2023 - Valor Real'!A3:A15,'Janeiro 2023 - Valor Real'!C3:C15,0))+1)),((L655-1)*(1-_xlfn.XLOOKUP(K655,'Janeiro 2023 - Valor Real'!A3:A15,'Janeiro 2023 - Valor Real'!C3:C15,0))+1)/(((L655-1)*(1-_xlfn.XLOOKUP(K655,'Janeiro 2023 - Valor Real'!A3:A15,'Janeiro 2023 - Valor Real'!C3:C15,0))+1)+((L656-1)*(1-_xlfn.XLOOKUP(K656,'Janeiro 2023 - Valor Real'!A3:A15,'Janeiro 2023 - Valor Real'!C3:C15,0))+1))))))</f>
        <v>0.7562277580071169</v>
      </c>
      <c r="AF656" s="197">
        <f>IF($K656=AF$3,ROUND(IF(OR($C656="W",$C656="1/2W",$C656="1/2L"),$P656-$O656,IF($C656="X",0,-$O656)),2),0)</f>
        <v>0</v>
      </c>
      <c r="AG656" s="198">
        <f>IF($K656=AG$3,ROUND(IF(OR($C656="W",$C656="1/2W",$C656="1/2L"),$P656-$O656,IF($C656="X",0,-$O656)),2),0)</f>
        <v>0</v>
      </c>
      <c r="AH656" s="198">
        <f>IF($K656=AH$3,ROUND(IF(OR($C656="W",$C656="1/2W",$C656="1/2L"),$P656-$O656,IF($C656="X",0,-$O656)),2),0)</f>
        <v>0</v>
      </c>
      <c r="AI656" s="198">
        <f>IF($K656=AI$3,ROUND(IF(OR($C656="W",$C656="1/2W",$C656="1/2L"),$P656-$O656,IF($C656="X",0,-$O656)),2),0)</f>
        <v>0</v>
      </c>
      <c r="AJ656" s="198">
        <f>IF($K656=AJ$3,ROUND(IF(OR($C656="W",$C656="1/2W",$C656="1/2L"),$P656-$O656,IF($C656="X",0,-$O656)),2),0)</f>
        <v>0</v>
      </c>
      <c r="AK656" s="198">
        <f>IF($K656=AK$3,ROUND(IF(OR($C656="W",$C656="1/2W",$C656="1/2L"),$P656-$O656,IF($C656="X",0,-$O656)),2),0)</f>
        <v>0</v>
      </c>
      <c r="AL656" s="198">
        <f>IF($K656=AL$3,ROUND(IF(OR($C656="W",$C656="1/2W",$C656="1/2L"),$P656-$O656,IF($C656="X",0,-$O656)),2),0)</f>
        <v>0</v>
      </c>
      <c r="AM656" s="198">
        <f>IF($K656=AM$3,ROUND(IF(OR($C656="W",$C656="1/2W",$C656="1/2L"),$P656-$O656,IF($C656="X",0,-$O656)),2),0)</f>
        <v>0</v>
      </c>
      <c r="AN656" s="198">
        <f>IF($K656=AN$3,ROUND(IF(OR($C656="W",$C656="1/2W",$C656="1/2L"),$P656-$O656,IF($C656="X",0,-$O656)),2),0)</f>
        <v>0</v>
      </c>
      <c r="AO656" s="198">
        <f>IF($K656=AO$3,ROUND(IF(OR($C656="W",$C656="1/2W",$C656="1/2L"),$P656-$O656,IF($C656="X",0,-$O656)),2),0)</f>
        <v>0</v>
      </c>
      <c r="AP656" s="198">
        <f>IF($K656=AP$3,ROUND(IF(OR($C656="W",$C656="1/2W",$C656="1/2L"),$P656-$O656,IF($C656="X",0,-$O656)),2),0)</f>
        <v>0</v>
      </c>
      <c r="AQ656" s="198">
        <f>IF($K656=AQ$3,ROUND(IF(OR($C656="W",$C656="1/2W",$C656="1/2L"),$P656-$O656,IF($C656="X",0,-$O656)),2),0)</f>
        <v>0</v>
      </c>
      <c r="AR656" s="199">
        <f>IF($K656=AR$3,ROUND(IF(OR($C656="W",$C656="1/2W",$C656="1/2L"),$P656-$O656,IF($C656="X",0,-$O656)),2),0)</f>
        <v>0</v>
      </c>
      <c r="AS656" s="197">
        <f>IF(AND($B655=" ",$K656=AS$3),$O656,0)</f>
        <v>0</v>
      </c>
      <c r="AT656" s="198">
        <f>IF(AND($B655=" ",K656=AT$3),$O656,0)</f>
        <v>0</v>
      </c>
      <c r="AU656" s="198">
        <f>IF(AND($B655=" ",$K656=AU$3),$O656,0)</f>
        <v>0</v>
      </c>
      <c r="AV656" s="198">
        <f>IF(AND($B655=" ",$K656=AV$3),$O656,0)</f>
        <v>0</v>
      </c>
      <c r="AW656" s="198">
        <f>IF(AND($B655=" ",$K656=AW$3),$O656,0)</f>
        <v>0</v>
      </c>
      <c r="AX656" s="198">
        <f>IF(AND($B655=" ",$K656=AX$3),$O656,0)</f>
        <v>0</v>
      </c>
      <c r="AY656" s="200">
        <f>IF(AND($B655=" ",$K656=AY$3),$O656,0)</f>
        <v>0</v>
      </c>
      <c r="AZ656" s="201">
        <f>IF(AND($B655=" ",$K656=AZ$3),$O656,0)</f>
        <v>0</v>
      </c>
      <c r="BA656" s="201">
        <f>IF(AND($B655=" ",$K656=BA$3),$O656,0)</f>
        <v>0</v>
      </c>
      <c r="BB656" s="201">
        <f>IF(AND($B655=" ",$K656=BB$3),$O656,0)</f>
        <v>0</v>
      </c>
      <c r="BC656" s="202">
        <f>IF(AND($B655=" ",$K656=BC$3),$O656,0)</f>
        <v>0</v>
      </c>
      <c r="BD656" s="198">
        <f>IF(AND($B655=" ",$K656=BD$3),$O656,0)</f>
        <v>0</v>
      </c>
      <c r="BE656" s="199">
        <f>IF(AND($B655=" ",$K656=BE$3),$O656,0)</f>
        <v>0</v>
      </c>
      <c r="BF656" s="197">
        <f>IF($K656=BF$3,IF($C656="X",0,$O656),0)</f>
        <v>0</v>
      </c>
      <c r="BG656" s="198">
        <f>IF($K656=BG$3,IF($C656="X",0,$O656),0)</f>
        <v>0</v>
      </c>
      <c r="BH656" s="198">
        <f>IF($K656=BH$3,IF($C656="X",0,$O656),0)</f>
        <v>0</v>
      </c>
      <c r="BI656" s="198">
        <f>IF($K656=BI$3,IF($C656="X",0,$O656),0)</f>
        <v>0</v>
      </c>
      <c r="BJ656" s="198">
        <f>IF($K656=BJ$3,IF($C656="X",0,$O656),0)</f>
        <v>0</v>
      </c>
      <c r="BK656" s="198">
        <f>IF($K656=BK$3,IF($C656="X",0,$O656),0)</f>
        <v>0</v>
      </c>
      <c r="BL656" s="198">
        <f>IF($K656=BL$3,IF($C656="X",0,$O656),0)</f>
        <v>0</v>
      </c>
      <c r="BM656" s="227">
        <f>IF($K656=BM$3,IF($C656="X",0,$O656),0)</f>
        <v>0</v>
      </c>
      <c r="BN656" s="205">
        <f>IF($K656=BN$3,IF($C656="X",0,$O656),0)</f>
        <v>0</v>
      </c>
      <c r="BO656" s="205">
        <f>IF($K656=BO$3,IF($C656="X",0,$O656),0)</f>
        <v>0</v>
      </c>
      <c r="BP656" s="205">
        <f>IF($K656=BP$3,IF($C656="X",0,$O656),0)</f>
        <v>0</v>
      </c>
      <c r="BQ656" s="202">
        <f>IF($K656=BQ$3,IF($C656="X",0,$O656),0)</f>
        <v>0</v>
      </c>
      <c r="BR656" s="199">
        <f>IF($K656=BR$3,IF($C656="X",0,$O656),0)</f>
        <v>0</v>
      </c>
      <c r="BS656" s="228"/>
      <c r="BT656" s="229"/>
      <c r="BU656" s="140"/>
      <c r="BV656" s="229"/>
      <c r="BW656" s="140"/>
      <c r="BX656" s="140"/>
      <c r="BY656" s="140"/>
      <c r="BZ656" s="229"/>
      <c r="CA656" s="140"/>
      <c r="CB656" s="140"/>
      <c r="CC656" s="140"/>
      <c r="CD656" s="141"/>
      <c r="CE656" s="142"/>
      <c r="CF656" s="230">
        <f>IF(CF$3=$K656,IF($C656="W",1,IF($C656="1/2W",0.5,0)),0)</f>
        <v>0</v>
      </c>
      <c r="CG656" s="231">
        <f>IF(CF$3=$K656,IF($C656="L",1,IF($C656="1/2L",0.5,0)),0)</f>
        <v>0</v>
      </c>
      <c r="CH656" s="231">
        <f>IF(CH$3=$K656,IF($C656="W",1,IF($C656="1/2W",0.5,0)),0)</f>
        <v>0</v>
      </c>
      <c r="CI656" s="231">
        <f>IF(CH$3=$K656,IF($C656="L",1,IF($C656="1/2L",0.5,0)),0)</f>
        <v>0</v>
      </c>
      <c r="CJ656" s="231">
        <f>IF(CJ$3=$K656,IF($C656="W",1,IF($C656="1/2W",0.5,0)),0)</f>
        <v>0</v>
      </c>
      <c r="CK656" s="231">
        <f>IF(CJ$3=$K656,IF($C656="L",1,IF($C656="1/2L",0.5,0)),0)</f>
        <v>0</v>
      </c>
      <c r="CL656" s="231">
        <f>IF(CL$3=$K656,IF($C656="W",1,IF($C656="1/2W",0.5,0)),0)</f>
        <v>0</v>
      </c>
      <c r="CM656" s="231">
        <f>IF(CL$3=$K656,IF($C656="L",1,IF($C656="1/2L",0.5,0)),0)</f>
        <v>0</v>
      </c>
      <c r="CN656" s="231">
        <f>IF(CN$3=$K656,IF($C656="W",1,IF($C656="1/2W",0.5,0)),0)</f>
        <v>0</v>
      </c>
      <c r="CO656" s="231">
        <f>IF(CN$3=$K656,IF($C656="L",1,IF($C656="1/2L",0.5,0)),0)</f>
        <v>0</v>
      </c>
      <c r="CP656" s="231">
        <f>IF(CP$3=$K656,IF($C656="W",1,IF($C656="1/2W",0.5,0)),0)</f>
        <v>0</v>
      </c>
      <c r="CQ656" s="231">
        <f>IF(CP$3=$K656,IF($C656="L",1,IF($C656="1/2L",0.5,0)),0)</f>
        <v>0</v>
      </c>
      <c r="CR656" s="231">
        <f>IF(CR$3=$K656,IF($C656="W",1,IF($C656="1/2W",0.5,0)),0)</f>
        <v>0</v>
      </c>
      <c r="CS656" s="231">
        <f>IF(CR$3=$K656,IF($C656="L",1,IF($C656="1/2L",0.5,0)),0)</f>
        <v>0</v>
      </c>
      <c r="CT656" s="208">
        <f>IF(CT$3=$K656,IF($C656="W",1,IF($C656="1/2W",0.5,0)),0)</f>
        <v>0</v>
      </c>
      <c r="CU656" s="209">
        <f>IF(CT$3=$K656,IF($C656="L",1,IF($C656="1/2L",0.5,0)),0)</f>
        <v>0</v>
      </c>
      <c r="CV656" s="209">
        <f>IF(CV$3=$K656,IF($C656="W",1,IF($C656="1/2W",0.5,0)),0)</f>
        <v>0</v>
      </c>
      <c r="CW656" s="209">
        <f>IF(CV$3=$K656,IF($C656="L",1,IF($C656="1/2L",0.5,0)),0)</f>
        <v>0</v>
      </c>
      <c r="CX656" s="209">
        <f>IF(CX$3=$K656,IF($C656="W",1,IF($C656="1/2W",0.5,0)),0)</f>
        <v>0</v>
      </c>
      <c r="CY656" s="209">
        <f>IF(CX$3=$K656,IF($C656="L",1,IF($C656="1/2L",0.5,0)),0)</f>
        <v>0</v>
      </c>
      <c r="CZ656" s="209">
        <f>IF(CZ$3=$K656,IF($C656="W",1,IF($C656="1/2W",0.5,0)),0)</f>
        <v>0</v>
      </c>
      <c r="DA656" s="209">
        <f>IF(CZ$3=$K656,IF($C656="L",1,IF($C656="1/2L",0.5,0)),0)</f>
        <v>0</v>
      </c>
      <c r="DB656" s="209">
        <f>IF(DB$3=$K656,IF($C656="W",1,IF($C656="1/2W",0.5,0)),0)</f>
        <v>0</v>
      </c>
      <c r="DC656" s="209">
        <f>IF(DB$3=$K656,IF($C656="L",1,IF($C656="1/2L",0.5,0)),0)</f>
        <v>0</v>
      </c>
      <c r="DD656" s="209">
        <f>IF(DD$3=$K656,IF($C656="W",1,IF($C656="1/2W",0.5,0)),0)</f>
        <v>0</v>
      </c>
      <c r="DE656" s="210">
        <f>IF(DD$3=$K656,IF($C656="L",1,IF($C656="1/2L",0.5,0)),0)</f>
        <v>0</v>
      </c>
      <c r="DF656" s="211">
        <f>IF(AND(L656&lt;DF$3,$C656="W"),1+DF655,DF655)</f>
        <v>17</v>
      </c>
      <c r="DG656" s="198">
        <f>IF(DF656&gt;DF655,L656+DG655,DG655)</f>
        <v>22.628</v>
      </c>
      <c r="DH656" s="209">
        <f>IF(AND(L656&gt;DH$3,$C656="W"),1+DH655,0+DH655)</f>
        <v>16</v>
      </c>
      <c r="DI656" s="198">
        <f>IF(DH656&gt;DH655,L656+DI655,DI655)</f>
        <v>85.45999999999999</v>
      </c>
      <c r="DJ656" t="s" s="306">
        <f>IF($D655="","",$D655)</f>
        <v>467</v>
      </c>
      <c r="DK656" s="232"/>
    </row>
    <row r="657" ht="14.55" customHeight="1">
      <c r="A657" s="149"/>
      <c r="B657" s="150"/>
      <c r="C657" t="s" s="233">
        <v>58</v>
      </c>
      <c r="D657" s="152"/>
      <c r="E657" s="153"/>
      <c r="F657" s="155"/>
      <c r="G657" s="234"/>
      <c r="H657" s="156"/>
      <c r="I657" s="235"/>
      <c r="J657" s="236"/>
      <c r="K657" s="237"/>
      <c r="L657" s="238"/>
      <c r="M657" s="239"/>
      <c r="N657" s="161"/>
      <c r="O657" t="s" s="240">
        <f>IF(OR(AE655="",AE656=""),"",IF(L657&gt;0,ROUND(IF(M657&gt;0,M657,IF(M655&gt;0,ROUND((M655*AE657)/AE655,IF(N655=0,2,IF(N655=0.1,1,0))),IF(M656&gt;0,ROUND((M656*AE657)/AE656,IF(N655=0,2,IF(N655=0.1,1,0))),IF(M657&gt;0,M657,0)))),2),""))</f>
      </c>
      <c r="P657" t="s" s="241">
        <f>IF(I656="Lay",O656*(L656/(L656-1))-O656,IF(I655="Lay",O655*(L655/(L655-1))-O655,IF(OR(L657="",O657=""),"",IF($C657="1/2W",O657/2+O657/2*L657,IF($C657="1/2L",O657/2,(O657*L657-O657)*(1-_xlfn.XLOOKUP(K657,'Janeiro 2023 - Valor Real'!A3:A15,'Janeiro 2023 - Valor Real'!C3:C15,0))+O657)))))</f>
      </c>
      <c r="Q657" t="s" s="242">
        <f>IF(K657="","",IF(_xlfn.XLOOKUP(K657,K$124:K430,DJ$124:DJ430,0,,-1)=DJ657,_xlfn.XLOOKUP(K657,K$124:K430,Q$124:Q430,1,,-1)+1,1))</f>
      </c>
      <c r="R657" t="s" s="243">
        <f>IF(K657="","",_xlfn.XLOOKUP(K657,K$124:K430,R$124:R430,0,,-1)+IF($C657=" ",1,0))</f>
      </c>
      <c r="S657" s="166"/>
      <c r="T657" s="155"/>
      <c r="U657" s="155"/>
      <c r="V657" s="166"/>
      <c r="W657" s="155"/>
      <c r="X657" s="167"/>
      <c r="Y657" s="128"/>
      <c r="Z657" s="129"/>
      <c r="AA657" s="129"/>
      <c r="AB657" s="129"/>
      <c r="AC657" s="129"/>
      <c r="AD657" s="244">
        <f>((L656/(L656-1)-1))</f>
        <v>2.7027027027027</v>
      </c>
      <c r="AE657" t="s" s="245">
        <f>IF(L657="","",(SUM(((L655-1)*(1-_xlfn.XLOOKUP(K655,'Janeiro 2023 - Valor Real'!A3:A15,'Janeiro 2023 - Valor Real'!C3:C15,0))+1),((L656-1)*(1-_xlfn.XLOOKUP(K656,'Janeiro 2023 - Valor Real'!A3:A15,'Janeiro 2023 - Valor Real'!C3:C15,0))+1),((L657-1)*(1-_xlfn.XLOOKUP(K657,'Janeiro 2023 - Valor Real'!A3:A15,'Janeiro 2023 - Valor Real'!C3:C15,0))+1))/((L657-1)*(1-_xlfn.XLOOKUP(K657,'Janeiro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Real'!C3:C15,0))+1))/((L655-1)*(1-_xlfn.XLOOKUP(K655,'Janeiro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Real'!C3:C15,0))+1))/((L656-1)*(1-_xlfn.XLOOKUP(K656,'Janeiro 2023 - Valor Real'!A3:A15,'Janeiro 2023 - Valor Real'!C3:C15,0))+1)+SUM(((L655-1)*(1-_xlfn.XLOOKUP(K655,'Janeiro 2023 - Valor Real'!A3:A15,'Janeiro 2023 - Valor Real'!C3:C15,0))+1),((L656-1)*(1-_xlfn.XLOOKUP(K656,'Janeiro 2023 - Valor Real'!A3:A15,'Janeiro 2023 - Valor Real'!C3:C15,0))+1),((L657-1)*(1-_xlfn.XLOOKUP(K657,'Janeiro 2023 - Valor Real'!A3:A15,'Janeiro 2023 - Valor Real'!C3:C15,0))+1))/((L657-1)*(1-_xlfn.XLOOKUP(K657,'Janeiro 2023 - Valor Real'!A3:A15,'Janeiro 2023 - Valor Real'!C3:C15,0))+1)))</f>
      </c>
      <c r="AF657" s="197">
        <f>IF($K657=AF$3,ROUND(IF(OR($C657="W",$C657="1/2W",$C657="1/2L"),$P657-$O657,IF($C657="X",0,-$O657)),2),0)</f>
        <v>0</v>
      </c>
      <c r="AG657" s="198">
        <f>IF($K657=AG$3,ROUND(IF(OR($C657="W",$C657="1/2W",$C657="1/2L"),$P657-$O657,IF($C657="X",0,-$O657)),2),0)</f>
        <v>0</v>
      </c>
      <c r="AH657" s="198">
        <f>IF($K657=AH$3,ROUND(IF(OR($C657="W",$C657="1/2W",$C657="1/2L"),$P657-$O657,IF($C657="X",0,-$O657)),2),0)</f>
        <v>0</v>
      </c>
      <c r="AI657" s="198">
        <f>IF($K657=AI$3,ROUND(IF(OR($C657="W",$C657="1/2W",$C657="1/2L"),$P657-$O657,IF($C657="X",0,-$O657)),2),0)</f>
        <v>0</v>
      </c>
      <c r="AJ657" s="198">
        <f>IF($K657=AJ$3,ROUND(IF(OR($C657="W",$C657="1/2W",$C657="1/2L"),$P657-$O657,IF($C657="X",0,-$O657)),2),0)</f>
        <v>0</v>
      </c>
      <c r="AK657" s="198">
        <f>IF($K657=AK$3,ROUND(IF(OR($C657="W",$C657="1/2W",$C657="1/2L"),$P657-$O657,IF($C657="X",0,-$O657)),2),0)</f>
        <v>0</v>
      </c>
      <c r="AL657" s="198">
        <f>IF($K657=AL$3,ROUND(IF(OR($C657="W",$C657="1/2W",$C657="1/2L"),$P657-$O657,IF($C657="X",0,-$O657)),2),0)</f>
        <v>0</v>
      </c>
      <c r="AM657" s="198">
        <f>IF($K657=AM$3,ROUND(IF(OR($C657="W",$C657="1/2W",$C657="1/2L"),$P657-$O657,IF($C657="X",0,-$O657)),2),0)</f>
        <v>0</v>
      </c>
      <c r="AN657" s="198">
        <f>IF($K657=AN$3,ROUND(IF(OR($C657="W",$C657="1/2W",$C657="1/2L"),$P657-$O657,IF($C657="X",0,-$O657)),2),0)</f>
        <v>0</v>
      </c>
      <c r="AO657" s="198">
        <f>IF($K657=AO$3,ROUND(IF(OR($C657="W",$C657="1/2W",$C657="1/2L"),$P657-$O657,IF($C657="X",0,-$O657)),2),0)</f>
        <v>0</v>
      </c>
      <c r="AP657" s="198">
        <f>IF($K657=AP$3,ROUND(IF(OR($C657="W",$C657="1/2W",$C657="1/2L"),$P657-$O657,IF($C657="X",0,-$O657)),2),0)</f>
        <v>0</v>
      </c>
      <c r="AQ657" s="198">
        <f>IF($K657=AQ$3,ROUND(IF(OR($C657="W",$C657="1/2W",$C657="1/2L"),$P657-$O657,IF($C657="X",0,-$O657)),2),0)</f>
        <v>0</v>
      </c>
      <c r="AR657" s="199">
        <f>IF($K657=AR$3,ROUND(IF(OR($C657="W",$C657="1/2W",$C657="1/2L"),$P657-$O657,IF($C657="X",0,-$O657)),2),0)</f>
        <v>0</v>
      </c>
      <c r="AS657" s="197">
        <f>IF(AND($B655=" ",$K657=AS$3),$O657,0)</f>
        <v>0</v>
      </c>
      <c r="AT657" s="198">
        <f>IF(AND($B655=" ",K657=AT$3),$O657,0)</f>
        <v>0</v>
      </c>
      <c r="AU657" s="198">
        <f>IF(AND($B655=" ",$K657=AU$3),$O657,0)</f>
        <v>0</v>
      </c>
      <c r="AV657" s="198">
        <f>IF(AND($B655=" ",$K657=AV$3),$O657,0)</f>
        <v>0</v>
      </c>
      <c r="AW657" s="198">
        <f>IF(AND($B655=" ",$K657=AW$3),$O657,0)</f>
        <v>0</v>
      </c>
      <c r="AX657" s="198">
        <f>IF(AND($B655=" ",$K657=AX$3),$O657,0)</f>
        <v>0</v>
      </c>
      <c r="AY657" s="200">
        <f>IF(AND($B655=" ",$K657=AY$3),$O657,0)</f>
        <v>0</v>
      </c>
      <c r="AZ657" s="201">
        <f>IF(AND($B655=" ",$K657=AZ$3),$O657,0)</f>
        <v>0</v>
      </c>
      <c r="BA657" s="201">
        <f>IF(AND($B655=" ",$K657=BA$3),$O657,0)</f>
        <v>0</v>
      </c>
      <c r="BB657" s="201">
        <f>IF(AND($B655=" ",$K657=BB$3),$O657,0)</f>
        <v>0</v>
      </c>
      <c r="BC657" s="202">
        <f>IF(AND($B655=" ",$K657=BC$3),$O657,0)</f>
        <v>0</v>
      </c>
      <c r="BD657" s="198">
        <f>IF(AND($B655=" ",$K657=BD$3),$O657,0)</f>
        <v>0</v>
      </c>
      <c r="BE657" s="199">
        <f>IF(AND($B655=" ",$K657=BE$3),$O657,0)</f>
        <v>0</v>
      </c>
      <c r="BF657" s="197">
        <f>IF($K657=BF$3,IF($C657="X",0,$O657),0)</f>
        <v>0</v>
      </c>
      <c r="BG657" s="198">
        <f>IF($K657=BG$3,IF($C657="X",0,$O657),0)</f>
        <v>0</v>
      </c>
      <c r="BH657" s="198">
        <f>IF($K657=BH$3,IF($C657="X",0,$O657),0)</f>
        <v>0</v>
      </c>
      <c r="BI657" s="198">
        <f>IF($K657=BI$3,IF($C657="X",0,$O657),0)</f>
        <v>0</v>
      </c>
      <c r="BJ657" s="198">
        <f>IF($K657=BJ$3,IF($C657="X",0,$O657),0)</f>
        <v>0</v>
      </c>
      <c r="BK657" s="198">
        <f>IF($K657=BK$3,IF($C657="X",0,$O657),0)</f>
        <v>0</v>
      </c>
      <c r="BL657" s="198">
        <f>IF($K657=BL$3,IF($C657="X",0,$O657),0)</f>
        <v>0</v>
      </c>
      <c r="BM657" s="200">
        <f>IF($K657=BM$3,IF($C657="X",0,$O657),0)</f>
        <v>0</v>
      </c>
      <c r="BN657" s="201">
        <f>IF($K657=BN$3,IF($C657="X",0,$O657),0)</f>
        <v>0</v>
      </c>
      <c r="BO657" s="201">
        <f>IF($K657=BO$3,IF($C657="X",0,$O657),0)</f>
        <v>0</v>
      </c>
      <c r="BP657" s="201">
        <f>IF($K657=BP$3,IF($C657="X",0,$O657),0)</f>
        <v>0</v>
      </c>
      <c r="BQ657" s="202">
        <f>IF($K657=BQ$3,IF($C657="X",0,$O657),0)</f>
        <v>0</v>
      </c>
      <c r="BR657" s="199">
        <f>IF($K657=BR$3,IF($C657="X",0,$O657),0)</f>
        <v>0</v>
      </c>
      <c r="BS657" s="228"/>
      <c r="BT657" s="229"/>
      <c r="BU657" s="140"/>
      <c r="BV657" s="229"/>
      <c r="BW657" s="140"/>
      <c r="BX657" s="140"/>
      <c r="BY657" s="140"/>
      <c r="BZ657" s="229"/>
      <c r="CA657" s="140"/>
      <c r="CB657" s="140"/>
      <c r="CC657" s="140"/>
      <c r="CD657" s="141"/>
      <c r="CE657" s="142"/>
      <c r="CF657" s="230">
        <f>IF(CF$3=$K657,IF($C657="W",1,IF($C657="1/2W",0.5,0)),0)</f>
        <v>0</v>
      </c>
      <c r="CG657" s="231">
        <f>IF(CF$3=$K657,IF($C657="L",1,IF($C657="1/2L",0.5,0)),0)</f>
        <v>0</v>
      </c>
      <c r="CH657" s="231">
        <f>IF(CH$3=$K657,IF($C657="W",1,IF($C657="1/2W",0.5,0)),0)</f>
        <v>0</v>
      </c>
      <c r="CI657" s="231">
        <f>IF(CH$3=$K657,IF($C657="L",1,IF($C657="1/2L",0.5,0)),0)</f>
        <v>0</v>
      </c>
      <c r="CJ657" s="231">
        <f>IF(CJ$3=$K657,IF($C657="W",1,IF($C657="1/2W",0.5,0)),0)</f>
        <v>0</v>
      </c>
      <c r="CK657" s="231">
        <f>IF(CJ$3=$K657,IF($C657="L",1,IF($C657="1/2L",0.5,0)),0)</f>
        <v>0</v>
      </c>
      <c r="CL657" s="231">
        <f>IF(CL$3=$K657,IF($C657="W",1,IF($C657="1/2W",0.5,0)),0)</f>
        <v>0</v>
      </c>
      <c r="CM657" s="231">
        <f>IF(CL$3=$K657,IF($C657="L",1,IF($C657="1/2L",0.5,0)),0)</f>
        <v>0</v>
      </c>
      <c r="CN657" s="231">
        <f>IF(CN$3=$K657,IF($C657="W",1,IF($C657="1/2W",0.5,0)),0)</f>
        <v>0</v>
      </c>
      <c r="CO657" s="231">
        <f>IF(CN$3=$K657,IF($C657="L",1,IF($C657="1/2L",0.5,0)),0)</f>
        <v>0</v>
      </c>
      <c r="CP657" s="231">
        <f>IF(CP$3=$K657,IF($C657="W",1,IF($C657="1/2W",0.5,0)),0)</f>
        <v>0</v>
      </c>
      <c r="CQ657" s="231">
        <f>IF(CP$3=$K657,IF($C657="L",1,IF($C657="1/2L",0.5,0)),0)</f>
        <v>0</v>
      </c>
      <c r="CR657" s="231">
        <f>IF(CR$3=$K657,IF($C657="W",1,IF($C657="1/2W",0.5,0)),0)</f>
        <v>0</v>
      </c>
      <c r="CS657" s="231">
        <f>IF(CR$3=$K657,IF($C657="L",1,IF($C657="1/2L",0.5,0)),0)</f>
        <v>0</v>
      </c>
      <c r="CT657" s="208">
        <f>IF(CT$3=$K657,IF($C657="W",1,IF($C657="1/2W",0.5,0)),0)</f>
        <v>0</v>
      </c>
      <c r="CU657" s="209">
        <f>IF(CT$3=$K657,IF($C657="L",1,IF($C657="1/2L",0.5,0)),0)</f>
        <v>0</v>
      </c>
      <c r="CV657" s="209">
        <f>IF(CV$3=$K657,IF($C657="W",1,IF($C657="1/2W",0.5,0)),0)</f>
        <v>0</v>
      </c>
      <c r="CW657" s="209">
        <f>IF(CV$3=$K657,IF($C657="L",1,IF($C657="1/2L",0.5,0)),0)</f>
        <v>0</v>
      </c>
      <c r="CX657" s="209">
        <f>IF(CX$3=$K657,IF($C657="W",1,IF($C657="1/2W",0.5,0)),0)</f>
        <v>0</v>
      </c>
      <c r="CY657" s="209">
        <f>IF(CX$3=$K657,IF($C657="L",1,IF($C657="1/2L",0.5,0)),0)</f>
        <v>0</v>
      </c>
      <c r="CZ657" s="209">
        <f>IF(CZ$3=$K657,IF($C657="W",1,IF($C657="1/2W",0.5,0)),0)</f>
        <v>0</v>
      </c>
      <c r="DA657" s="209">
        <f>IF(CZ$3=$K657,IF($C657="L",1,IF($C657="1/2L",0.5,0)),0)</f>
        <v>0</v>
      </c>
      <c r="DB657" s="209">
        <f>IF(DB$3=$K657,IF($C657="W",1,IF($C657="1/2W",0.5,0)),0)</f>
        <v>0</v>
      </c>
      <c r="DC657" s="209">
        <f>IF(DB$3=$K657,IF($C657="L",1,IF($C657="1/2L",0.5,0)),0)</f>
        <v>0</v>
      </c>
      <c r="DD657" s="209">
        <f>IF(DD$3=$K657,IF($C657="W",1,IF($C657="1/2W",0.5,0)),0)</f>
        <v>0</v>
      </c>
      <c r="DE657" s="210">
        <f>IF(DD$3=$K657,IF($C657="L",1,IF($C657="1/2L",0.5,0)),0)</f>
        <v>0</v>
      </c>
      <c r="DF657" s="211">
        <f>IF(AND(L657&lt;DF$3,$C657="W"),1+DF656,DF656)</f>
        <v>17</v>
      </c>
      <c r="DG657" s="198">
        <f>IF(DF657&gt;DF656,L657+DG656,DG656)</f>
        <v>22.628</v>
      </c>
      <c r="DH657" s="209">
        <f>IF(AND(L657&gt;DH$3,$C657="W"),1+DH656,0+DH656)</f>
        <v>16</v>
      </c>
      <c r="DI657" s="198">
        <f>IF(DH657&gt;DH656,L657+DI656,DI656)</f>
        <v>85.45999999999999</v>
      </c>
      <c r="DJ657" t="s" s="306">
        <f>IF($D655="","",$D655)</f>
        <v>467</v>
      </c>
      <c r="DK657" s="232"/>
    </row>
    <row r="658" ht="14.55" customHeight="1">
      <c r="A658" s="246">
        <f>$A655+1</f>
        <v>219</v>
      </c>
      <c r="B658" t="s" s="247">
        <f>IF(AND(_xlfn.XLOOKUP(H658,H$107:H437,G$107:G437,0)=G658,_xlfn.XLOOKUP("TempoBet",K658:K660,L658:L660,0)&gt;0),"X",IF(OR(C658="W",C659="W",C660="W",C658="1/2W",C659="1/2W",C660="1/2W",C658="1/2L",C659="1/2L",C660="1/2L"),"OK",IF(OR(C658="L",C659="L",C660="L"),"LOSS",IF(OR(C658="X",C659="X",C660="X"),"Anulado"," "))))</f>
        <v>50</v>
      </c>
      <c r="C658" t="s" s="248">
        <v>51</v>
      </c>
      <c r="D658" t="s" s="303">
        <f>IF(G658="","",$D655)</f>
        <v>467</v>
      </c>
      <c r="E658" t="s" s="250">
        <v>106</v>
      </c>
      <c r="F658" t="s" s="251">
        <f>IF(G658="","",IF(OR(AND($C658&lt;&gt;" ",$C659=" "),AND($C659&lt;&gt;" ",$C658=" "),AND(L660&gt;0,OR(AND($C660&lt;&gt;" ",OR($C658=" ",$C659=" ")),AND($C660=" ",OR($C658&lt;&gt;" ",$C659&lt;&gt;" "))))),IF(SUM(F$4:F657)=0,1,LARGE(F$4:F657,1)+1),IF(MONTH(G658)=MONTH(TODAY()),IF(AND(DAY(G658)&lt;DAY(TODAY()),$B658=" "),IF(SUM(F$4:F657)=0,1,LARGE(F$4:F657,1)+1),IF($B658=" ",IF(AND(DAY(G658)=DAY(TODAY()),HOUR(G658)&lt;=HOUR(NOW())+1),IF(AND(HOUR(G658)+2&lt;=HOUR(NOW()),DAY(G658)&lt;=DAY(TODAY()),MINUTE(G658)&lt;=MINUTE(NOW())),IF(SUM(F$4:F657)=0,1,LARGE(F$4:F657,1)+1),IF(OR(MINUTE(G658)&lt;=MINUTE(NOW()),HOUR(G658)&lt;=HOUR(NOW())),"!!!","")),""),"")),"")))</f>
      </c>
      <c r="G658" s="252">
        <v>44959.333333333336</v>
      </c>
      <c r="H658" t="s" s="253">
        <v>472</v>
      </c>
      <c r="I658" s="292">
        <v>2</v>
      </c>
      <c r="J658" s="293"/>
      <c r="K658" t="s" s="256">
        <v>40</v>
      </c>
      <c r="L658" s="257">
        <v>5.25</v>
      </c>
      <c r="M658" s="258">
        <v>5.55</v>
      </c>
      <c r="N658" s="259">
        <v>0.1</v>
      </c>
      <c r="O658" s="260">
        <f>IF(OR(AE658="",AE659=""),"",ROUND(IF(L660&gt;0,IF(M658&gt;0,M658,IF(M659&gt;0,ROUND((M659*AE658)/AE659,IF(N658=0,2,IF(N658=0.1,1,0))),ROUND((M660*AE658)/AE660,IF(N658=0,2,IF(N658=0.1,1,0))))),IF(M658&gt;0,M658,ROUND((M659*AE658)/AE659,IF(N658=0,2,IF(N658=0.1,1,0))))),2))</f>
        <v>5.55</v>
      </c>
      <c r="P658" s="261">
        <f>IF(OR(L658="",O658=""),"",IF($C658="1/2W",O658/2+O658/2*L658,IF($C658="1/2L",O658/2,IF(I658="Lay",(O658*(L658/(L658-1))-O658)*(1-_xlfn.XLOOKUP(K658,'Janeiro 2023 - Valor Real'!A3:A15,'Janeiro 2023 - Valor Real'!C3:C15,0))+O658,(O658*L658-O658)*(1-_xlfn.XLOOKUP(K658,'Janeiro 2023 - Valor Real'!A3:A15,'Janeiro 2023 - Valor Real'!C3:C15,0))+O658))))</f>
        <v>29.1375</v>
      </c>
      <c r="Q658" s="262">
        <f>IF(K658="","",IF(_xlfn.XLOOKUP(K658,K$107:K437,DJ$107:DJ437,0,,-1)=DJ658,_xlfn.XLOOKUP(K658,K$107:K437,Q$107:Q437,1,,-1)+1,1))</f>
        <v>1</v>
      </c>
      <c r="R658" s="263">
        <f>IF(K658="","",_xlfn.XLOOKUP(K658,K$107:K437,R$107:R437,0,,-1)+IF($C658=" ",1,0))</f>
        <v>0</v>
      </c>
      <c r="S658" s="264">
        <f>IF($B658="Anulado",0,ROUND(IF(OR($B658="LOSS",$B658="OK"),IF(OR($C658="W",$C658="1/2W",$C658="1/2L"),P658-O658,IF($C658="L",-O658,0))+IF(OR($C659="W",$C659="1/2W",$C659="1/2L"),P659-O659,IF($C659="L",-O659,0))+IF(OR($C660="W",$C660="1/2W",$C660="1/2L"),P660-O660,IF($C660="L",-O660,0)),IF(AND(OR($C658="W",$C658="1/2W",$C658="1/2L"),C659="W"),P658+P659-SUM(O658:O660)+_xlfn.XLOOKUP("X",C658:C660,O658:O660,0),IF(AND(C658=TRUE,C660="W"),P658+P660-SUM(O658:O660),IF(AND(C659="W",C660="W"),P659+P660-SUM(O658:O660)+_xlfn.XLOOKUP("X",C658:C660,O658:O660,0),IF(L660&gt;0,IF(OR($C658="W",$C658="1/2W",$C658="1/2L"),P658-SUM(O658:O660)+_xlfn.XLOOKUP("X",C658:C660,O658:O660,0),IF(OR($C658="W",$C658="1/2W",$C658="1/2L"),P659-SUM(O658:O660)+_xlfn.XLOOKUP("X",C658:C660,O658:O660,0),IF(OR($C658="W",$C658="1/2W",$C658="1/2L"),P660-SUM(O658:O660)+_xlfn.XLOOKUP("X",C658:C660,O658:O660,0),IF(SUM(P658:P660)/3-SUM(O658:O660)+_xlfn.XLOOKUP("X",C658:C660,O658:O660,0)&gt;0,SUM(P658:P660)/3-SUM(O658:O660)+_xlfn.XLOOKUP("X",C658:C660,O658:O660,0),LARGE(P658:P660,1)-SUM(O658:O660))))),IF(OR($C658="W",$C658="1/2W",$C658="1/2L"),P658-SUM(O658:O659)+_xlfn.XLOOKUP("X",C658:C660,O658:O660,0),IF(OR($C658="W",$C658="1/2W",$C658="1/2L"),P659-SUM(O658:O659)+_xlfn.XLOOKUP("X",C658:C660,O658:O660,0),SUM(P658:P659)/2-SUM(O658:O659)+_xlfn.XLOOKUP("X",C658:C660,O658:O660,0)))))))),2))</f>
        <v>1</v>
      </c>
      <c r="T658" s="265">
        <f>IF(S658=0,0,S658/SUM(O658:O660))</f>
        <v>0.0355239786856128</v>
      </c>
      <c r="U658" s="266">
        <f>IF($D658=$D655,IF(OR($B658="LOSS",$B658="OK",$B658="Anulada"),S658,0)+U655,IF(OR($B658="LOSS",$B658="OK",$B658="Anulada"),S658,0))</f>
        <v>4.82</v>
      </c>
      <c r="V658" s="266">
        <f>IF($D658="",0,IF($D658=$D655,IF($B658=" ",IF(I660="",IF(OR(AND(I658="DNB1",I659="DNB2"),AND(OR(I658="DNB1",I658="DNB2"),J659=0),AND(OR(I659="DNB1",I659="DNB2"),J658=0),AND(I658="DNB2",I659="DNB1"),AND(IF(J658=0,(J658+1)/ROUND(J658+1,0),J658/ROUND(J658,0))=1,IF(J659=0,(J659+1)/ROUND(IF(J659="",0,J659)+1,0),IF(J659="",0,J659)/ROUND(IF(J659="",1,J659),0))=1,OR(J658&lt;&gt;""),J659&lt;&gt;"")),0,IF(S658&lt;0,IF(I660="",SMALL(P658:P659,1)-SUM(O658:O659),0),SMALL(P658:P659,1)-SUM(O658:O659))),IF(S658&lt;0,IF(I660="",SMALL(P658:P660,1)-SUM(O658:O660),0),LARGE(P658:P660,1)-SUM(O658:O660))),S658)+V655,IF(I660="",IF(OR(AND(I658="DNB1",I659="DNB2"),AND(OR(I658="DNB1",I658="DNB2"),J659=0),AND(OR(I659="DNB1",I659="DNB2"),J658=0),AND(I658="DNB2",I659="DNB1"),AND(IF(J658=0,(J658+1)/ROUND(J658+1,0),J658/ROUND(J658,0))=1,IF(J659=0,(IF(J659="",0,J659)+1)/ROUND(IF(J659="",0,J659)+1,0),IF(J659="",0,J659)/ROUND(IF(J659="",0,J659)+1,0))=1,OR(J658&lt;&gt;""),J659&lt;&gt;"")),0,IF(S658&lt;0,IF(I660="",SMALL(P658:P659,1)-SUM(O658:O659),0),SMALL(P658:P660,1)-SUM(O658:O660))),IF(S658&lt;0,IF(I660="",SMALL(P658:P660,1)-SUM(O658:O660),0),LARGE(P658:P660,1)-SUM(O658:O660)))))</f>
        <v>4.818</v>
      </c>
      <c r="W658" s="266">
        <f>IF($D658=$D655,IF(S658&lt;0,IF(I660="",S658,0),S658)+W655,S658)</f>
        <v>4.82</v>
      </c>
      <c r="X658" t="s" s="267">
        <f>IF(OR(SUM(R658:R660)=0,V658=W658),ROUND(IF(W658=0,0,W658/Y658)*100,2)&amp;"%",ROUND(IF(V658=0,0,V658/Y658)*100,2)&amp;"% a "&amp;ROUND(IF(W658=0,0,W658/Y658)*100,2)&amp;"%")</f>
        <v>473</v>
      </c>
      <c r="Y658" s="268">
        <f>IF($D658=$D655,Y655+SUM(O658:O660),SUM(O658:O660))</f>
        <v>151.88</v>
      </c>
      <c r="Z658" s="266">
        <f>IF($B658=" ",SUM(O658:O660),0)+Z655</f>
        <v>0</v>
      </c>
      <c r="AA658" s="266">
        <f>IF(G658="","",IF($B658="Anulado",LARGE(P658:P660,1)-SUM(O658:O660)+AA655,AA655))</f>
        <v>27.7065076923077</v>
      </c>
      <c r="AB658" s="266">
        <f>IF($D658="","",AB655+S658)</f>
        <v>466.05</v>
      </c>
      <c r="AC658" s="269">
        <f>IF($D658="","",IF($B658=" ",IF(DAY(G658)=DAY(TODAY()),1+AC655,0+AC655),0+AC655))</f>
        <v>0</v>
      </c>
      <c r="AD658" s="270">
        <f>(1-_xlfn.XLOOKUP(K656,'Janeiro 2023 - Valor Real'!A3:A15,'Janeiro 2023 - Valor Real'!C3:C15,0))+1</f>
        <v>2</v>
      </c>
      <c r="AE658" s="271">
        <f>IF(L658="","",IF(L660&gt;0,(SUM(((L658-1)*(1-_xlfn.XLOOKUP(K658,'Janeiro 2023 - Valor Real'!A3:A15,'Janeiro 2023 - Valor Real'!C3:C15,0))+1),((L659-1)*(1-_xlfn.XLOOKUP(K659,'Janeiro 2023 - Valor Real'!A3:A15,'Janeiro 2023 - Valor Real'!C3:C15,0))+1),((L660-1)*(1-_xlfn.XLOOKUP(K660,'Janeiro 2023 - Valor Real'!A3:A15,'Janeiro 2023 - Valor Real'!C3:C15,0))+1))/((L658-1)*(1-_xlfn.XLOOKUP(K658,'Janeiro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Real'!C3:C15,0))+1))/((L658-1)*(1-_xlfn.XLOOKUP(K658,'Janeiro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Real'!C3:C15,0))+1))/((L659-1)*(1-_xlfn.XLOOKUP(K659,'Janeiro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Real'!C3:C15,0))+1))/((L660-1)*(1-_xlfn.XLOOKUP(K660,'Janeiro 2023 - Valor Real'!A3:A15,'Janeiro 2023 - Valor Real'!C3:C15,0))+1)),IF(I658="Lay",IF(I659="Lay",((L659/(L659-1)-1)*(1-_xlfn.XLOOKUP(K659,'Janeiro 2023 - Valor Real'!A3:A15,'Janeiro 2023 - Valor Real'!C3:C15,0))+1)/(((L659/(L659-1)-1)*(1-_xlfn.XLOOKUP(K659,'Janeiro 2023 - Valor Real'!A3:A15,'Janeiro 2023 - Valor Real'!C3:C15,0))+1)+((L658/(L658-1)-1)*(1-_xlfn.XLOOKUP(K658,'Janeiro 2023 - Valor Real'!A3:A15,'Janeiro 2023 - Valor Real'!C3:C15,0))+1)),((L659-1)*(1-_xlfn.XLOOKUP(K659,'Janeiro 2023 - Valor Real'!A3:A15,'Janeiro 2023 - Valor Real'!C3:C15,0))+1)/(((L659-1)*(1-_xlfn.XLOOKUP(K659,'Janeiro 2023 - Valor Real'!A3:A15,'Janeiro 2023 - Valor Real'!C3:C15,0))+1)+((L658/(L658-1)-1)*(1-_xlfn.XLOOKUP(K658,'Janeiro 2023 - Valor Real'!A3:A15,'Janeiro 2023 - Valor Real'!C3:C15,0))+1))),IF(I659="Lay",(((L659/(L659-1)-1)*(1-_xlfn.XLOOKUP(K659,'Janeiro 2023 - Valor Real'!A3:A15,'Janeiro 2023 - Valor Real'!C3:C15,0))+1))/(((L658-1)*(1-_xlfn.XLOOKUP(K658,'Janeiro 2023 - Valor Real'!A3:A15,'Janeiro 2023 - Valor Real'!C3:C15,0))+1)+((L659/(L659-1)-1)*(1-_xlfn.XLOOKUP(K659,'Janeiro 2023 - Valor Real'!A3:A15,'Janeiro 2023 - Valor Real'!C3:C15,0))+1)),((L659-1)*(1-_xlfn.XLOOKUP(K659,'Janeiro 2023 - Valor Real'!A3:A15,'Janeiro 2023 - Valor Real'!C3:C15,0))+1)/(((L659-1)*(1-_xlfn.XLOOKUP(K659,'Janeiro 2023 - Valor Real'!A3:A15,'Janeiro 2023 - Valor Real'!C3:C15,0))+1)+((L658-1)*(1-_xlfn.XLOOKUP(K658,'Janeiro 2023 - Valor Real'!A3:A15,'Janeiro 2023 - Valor Real'!C3:C15,0))+1))))))</f>
        <v>0.197247706422018</v>
      </c>
      <c r="AF658" s="132">
        <f>IF($K658=AF$3,ROUND(IF(OR($C658="W",$C658="1/2W",$C658="1/2L"),$P658-$O658,IF($C658="X",0,-$O658)),2),0)</f>
        <v>0</v>
      </c>
      <c r="AG658" s="133">
        <f>IF($K658=AG$3,ROUND(IF(OR($C658="W",$C658="1/2W",$C658="1/2L"),$P658-$O658,IF($C658="X",0,-$O658)),2),0)</f>
        <v>0</v>
      </c>
      <c r="AH658" s="133">
        <f>IF($K658=AH$3,ROUND(IF(OR($C658="W",$C658="1/2W",$C658="1/2L"),$P658-$O658,IF($C658="X",0,-$O658)),2),0)</f>
        <v>0</v>
      </c>
      <c r="AI658" s="133">
        <f>IF($K658=AI$3,ROUND(IF(OR($C658="W",$C658="1/2W",$C658="1/2L"),$P658-$O658,IF($C658="X",0,-$O658)),2),0)</f>
        <v>-5.55</v>
      </c>
      <c r="AJ658" s="133">
        <f>IF($K658=AJ$3,ROUND(IF(OR($C658="W",$C658="1/2W",$C658="1/2L"),$P658-$O658,IF($C658="X",0,-$O658)),2),0)</f>
        <v>0</v>
      </c>
      <c r="AK658" s="133">
        <f>IF($K658=AK$3,ROUND(IF(OR($C658="W",$C658="1/2W",$C658="1/2L"),$P658-$O658,IF($C658="X",0,-$O658)),2),0)</f>
        <v>0</v>
      </c>
      <c r="AL658" s="133">
        <f>IF($K658=AL$3,ROUND(IF(OR($C658="W",$C658="1/2W",$C658="1/2L"),$P658-$O658,IF($C658="X",0,-$O658)),2),0)</f>
        <v>0</v>
      </c>
      <c r="AM658" s="133">
        <f>IF($K658=AM$3,ROUND(IF(OR($C658="W",$C658="1/2W",$C658="1/2L"),$P658-$O658,IF($C658="X",0,-$O658)),2),0)</f>
        <v>0</v>
      </c>
      <c r="AN658" s="133">
        <f>IF($K658=AN$3,ROUND(IF(OR($C658="W",$C658="1/2W",$C658="1/2L"),$P658-$O658,IF($C658="X",0,-$O658)),2),0)</f>
        <v>0</v>
      </c>
      <c r="AO658" s="133">
        <f>IF($K658=AO$3,ROUND(IF(OR($C658="W",$C658="1/2W",$C658="1/2L"),$P658-$O658,IF($C658="X",0,-$O658)),2),0)</f>
        <v>0</v>
      </c>
      <c r="AP658" s="133">
        <f>IF($K658=AP$3,ROUND(IF(OR($C658="W",$C658="1/2W",$C658="1/2L"),$P658-$O658,IF($C658="X",0,-$O658)),2),0)</f>
        <v>0</v>
      </c>
      <c r="AQ658" s="133">
        <f>IF($K658=AQ$3,ROUND(IF(OR($C658="W",$C658="1/2W",$C658="1/2L"),$P658-$O658,IF($C658="X",0,-$O658)),2),0)</f>
        <v>0</v>
      </c>
      <c r="AR658" s="134">
        <f>IF($K658=AR$3,ROUND(IF(OR($C658="W",$C658="1/2W",$C658="1/2L"),$P658-$O658,IF($C658="X",0,-$O658)),2),0)</f>
        <v>0</v>
      </c>
      <c r="AS658" s="132">
        <f>IF(AND($B658=" ",$K658=AS$3),$O658,0)</f>
        <v>0</v>
      </c>
      <c r="AT658" s="133">
        <f>IF(AND($B658=" ",$K658=AT$3),$O658,0)</f>
        <v>0</v>
      </c>
      <c r="AU658" s="133">
        <f>IF(AND($B658=" ",$K658=AU$3),$O658,0)</f>
        <v>0</v>
      </c>
      <c r="AV658" s="133">
        <f>IF(AND($B658=" ",$K658=AV$3),$O658,0)</f>
        <v>0</v>
      </c>
      <c r="AW658" s="133">
        <f>IF(AND($B658=" ",$K658=AW$3),$O658,0)</f>
        <v>0</v>
      </c>
      <c r="AX658" s="133">
        <f>IF(AND($B658=" ",$K658=AX$3),$O658,0)</f>
        <v>0</v>
      </c>
      <c r="AY658" s="135">
        <f>IF(AND($B658=" ",$K658=AY$3),$O658,0)</f>
        <v>0</v>
      </c>
      <c r="AZ658" s="136">
        <f>IF(AND($B658=" ",$K658=AZ$3),$O658,0)</f>
        <v>0</v>
      </c>
      <c r="BA658" s="136">
        <f>IF(AND($B658=" ",$K658=BA$3),$O658,0)</f>
        <v>0</v>
      </c>
      <c r="BB658" s="136">
        <f>IF(AND($B658=" ",$K658=BB$3),$O658,0)</f>
        <v>0</v>
      </c>
      <c r="BC658" s="137">
        <f>IF(AND($B658=" ",$K658=BC$3),$O658,0)</f>
        <v>0</v>
      </c>
      <c r="BD658" s="133">
        <f>IF(AND($B658=" ",$K658=BD$3),$O658,0)</f>
        <v>0</v>
      </c>
      <c r="BE658" s="134">
        <f>IF(AND($B658=" ",$K658=BE$3),$O658,0)</f>
        <v>0</v>
      </c>
      <c r="BF658" s="132">
        <f>IF($K658=BF$3,IF($C658="X",0,$O658),0)</f>
        <v>0</v>
      </c>
      <c r="BG658" s="133">
        <f>IF($K658=BG$3,IF($C658="X",0,$O658),0)</f>
        <v>0</v>
      </c>
      <c r="BH658" s="133">
        <f>IF($K658=BH$3,IF($C658="X",0,$O658),0)</f>
        <v>0</v>
      </c>
      <c r="BI658" s="133">
        <f>IF($K658=BI$3,IF($C658="X",0,$O658),0)</f>
        <v>5.55</v>
      </c>
      <c r="BJ658" s="133">
        <f>IF($K658=BJ$3,IF($C658="X",0,$O658),0)</f>
        <v>0</v>
      </c>
      <c r="BK658" s="133">
        <f>IF($K658=BK$3,IF($C658="X",0,$O658),0)</f>
        <v>0</v>
      </c>
      <c r="BL658" s="133">
        <f>IF($K658=BL$3,IF($C658="X",0,$O658),0)</f>
        <v>0</v>
      </c>
      <c r="BM658" s="135">
        <f>IF($K658=BM$3,IF($C658="X",0,$O658),0)</f>
        <v>0</v>
      </c>
      <c r="BN658" s="136">
        <f>IF($K658=BN$3,IF($C658="X",0,$O658),0)</f>
        <v>0</v>
      </c>
      <c r="BO658" s="136">
        <f>IF($K658=BO$3,IF($C658="X",0,$O658),0)</f>
        <v>0</v>
      </c>
      <c r="BP658" s="136">
        <f>IF($K658=BP$3,IF($C658="X",0,$O658),0)</f>
        <v>0</v>
      </c>
      <c r="BQ658" s="137">
        <f>IF($K658=BQ$3,IF($C658="X",0,$O658),0)</f>
        <v>0</v>
      </c>
      <c r="BR658" s="134">
        <f>IF($K658=BR$3,IF($C658="X",0,$O658),0)</f>
        <v>0</v>
      </c>
      <c r="BS658" s="170">
        <f>IF($B658="LOSS",IF(AND($K658=BS$3,$C658="L"),-$O658,0)+IF(AND($K659=BS$3,$C659="L"),-$O659,0)+IF(AND($K660=BS$3,$C660="L"),-$O660,0),IF(OR(AND($K658=BS$3,OR($C658="W",$C658="1/2W")),AND($K659=BS$3,OR($C659="W",$C659="1/2W")),AND($K660=BS$3,OR($C660="W",$C660="1/2W"))),$S658,0))</f>
        <v>0</v>
      </c>
      <c r="BT658" s="272">
        <f>IF($B658="LOSS",IF(AND($K658=BT$3,$C658="L"),-$O658,0)+IF(AND($K659=BT$3,$C659="L"),-$O659,0)+IF(AND($K659=BT$3,$C660="L"),-$O660,0),IF(OR(AND($K659=BT$3,OR($C658="W",$C658="1/2W")),AND($K659=BT$3,OR($C659="W",$C659="1/2W")),AND($K659=BT$3,OR($C660="W",$C660="1/2W"))),$S658,0))</f>
        <v>0</v>
      </c>
      <c r="BU658" s="136">
        <f>IF($B658="LOSS",IF(AND($K658=BU$3,$C658="L"),-$O658,0)+IF(AND($K659=BU$3,$C659="L"),-$O659,0)+IF(AND($K659=BU$3,$C660="L"),-$O660,0),IF(OR(AND($K659=BU$3,OR($C658="W",$C658="1/2W")),AND($K659=BU$3,OR($C659="W",$C659="1/2W")),AND($K659=BU$3,OR($C660="W",$C660="1/2W"))),$S658,0))</f>
        <v>0</v>
      </c>
      <c r="BV658" s="136">
        <f>IF($B658="LOSS",IF(AND($K658=BV$3,$C658="L"),-$O658,0)+IF(AND($K659=BV$3,$C659="L"),-$O659,0)+IF(AND($K660=BV$3,$C660="L"),-$O660,0),IF(OR(AND($K658=BV$3,OR($C658="W",$C658="1/2W")),AND($K659=BV$3,OR($C659="W",$C659="1/2W")),AND($K660=BV$3,OR($C660="W",$C660="1/2W"))),$S658,0))</f>
        <v>0</v>
      </c>
      <c r="BW658" s="136">
        <f>IF($B658="LOSS",IF(AND($K658=BW$3,$C658="L"),-$O658,0)+IF(AND($K659=BW$3,$C659="L"),-$O659,0)+IF(AND($K660=BW$3,$C660="L"),-$O660,0),IF(OR(AND($K658=BW$3,OR($C658="W",$C658="1/2W")),AND($K659=BW$3,OR($C659="W",$C659="1/2W")),AND($K660=BW$3,OR($C660="W",$C660="1/2W"))),$S658,0))</f>
        <v>1</v>
      </c>
      <c r="BX658" s="136">
        <f>IF($B658="LOSS",IF(AND($K658=BX$3,$C658="L"),-$O658,0)+IF(AND($K659=BX$3,$C659="L"),-$O659,0)+IF(AND($K660=BX$3,$C660="L"),-$O660,0),IF(OR(AND($K658=BX$3,OR($C658="W",$C658="1/2W")),AND($K659=BX$3,OR($C659="W",$C659="1/2W")),AND($K660=BX$3,OR($C660="W",$C660="1/2W"))),$S658,0))</f>
        <v>0</v>
      </c>
      <c r="BY658" s="136">
        <f>IF($B658="LOSS",IF(AND($K658=BY$3,$C658="L"),-$O658,0)+IF(AND($K659=BY$3,$C659="L"),-$O659,0)+IF(AND($K660=BY$3,$C660="L"),-$O660,0),IF(OR(AND($K658=BY$3,OR($C658="W",$C658="1/2W")),AND($K659=BY$3,OR($C659="W",$C659="1/2W")),AND($K660=BY$3,OR($C660="W",$C660="1/2W"))),$S658,0))</f>
        <v>0</v>
      </c>
      <c r="BZ658" s="136">
        <f>IF($B658="LOSS",IF(AND($K658=BZ$3,$C658="L"),-$O658,0)+IF(AND($K659=BZ$3,$C659="L"),-$O659,0)+IF(AND($K660=BZ$3,$C660="L"),-$O660,0),IF(OR(AND($K658=BZ$3,OR($C658="W",$C658="1/2W")),AND($K659=BZ$3,OR($C659="W",$C659="1/2W")),AND($K660=BZ$3,OR($C660="W",$C660="1/2W"))),$S658,0))</f>
        <v>0</v>
      </c>
      <c r="CA658" s="136">
        <f>IF($B658="LOSS",IF(AND($K658=CA$3,$C658="L"),-$O658,0)+IF(AND($K659=CA$3,$C659="L"),-$O659,0)+IF(AND($K660=CA$3,$C660="L"),-$O660,0),IF(OR(AND($K658=CA$3,OR($C658="W",$C658="1/2W")),AND($K659=CA$3,OR($C659="W",$C659="1/2W")),AND($K660=CA$3,OR($C660="W",$C660="1/2W"))),$S658,0))</f>
        <v>0</v>
      </c>
      <c r="CB658" s="136">
        <f>IF($B658="LOSS",IF(AND($K658=CB$3,$C658="L"),-$O658,0)+IF(AND($K659=CB$3,$C659="L"),-$O659,0)+IF(AND($K660=CB$3,$C660="L"),-$O660,0),IF(OR(AND($K658=CB$3,OR($C658="W",$C658="1/2W")),AND($K659=CB$3,OR($C659="W",$C659="1/2W")),AND($K660=CB$3,OR($C660="W",$C660="1/2W"))),$S658,0))</f>
        <v>0</v>
      </c>
      <c r="CC658" s="136">
        <f>IF($B658="LOSS",IF(AND($K658=CC$3,$C658="L"),-$O658,0)+IF(AND($K659=CC$3,$C659="L"),-$O659,0)+IF(AND($K660=CC$3,$C660="L"),-$O660,0),IF(OR(AND($K658=CC$3,OR($C658="W",$C658="1/2W")),AND($K659=CC$3,OR($C659="W",$C659="1/2W")),AND($K660=CC$3,OR($C660="W",$C660="1/2W"))),$S658,0))</f>
        <v>0</v>
      </c>
      <c r="CD658" s="137">
        <f>IF($B658="LOSS",IF(AND($K658=CD$3,$C658="L"),-$O658,0)+IF(AND($K659=CD$3,$C659="L"),-$O659,0)+IF(AND($K660=CD$3,$C660="L"),-$O660,0),IF(OR(AND($K658=CD$3,OR($C658="W",$C658="1/2W")),AND($K659=CD$3,OR($C659="W",$C659="1/2W")),AND($K660=CD$3,OR($C660="W",$C660="1/2W"))),$S658,0))</f>
        <v>0</v>
      </c>
      <c r="CE658" s="134">
        <f>IF($B658="LOSS",IF(AND($K658=CE$3,$C658="L"),-$O658,0)+IF(AND($K659=CE$3,$C659="L"),-$O659,0)+IF(AND($K660=CE$3,$C660="L"),-$O660,0),IF(OR(AND($K658=CE$3,OR($C658="W",$C658="1/2W")),AND($K659=CE$3,OR($C659="W",$C659="1/2W")),AND($K660=CE$3,OR($C660="W",$C660="1/2W"))),$S658,0))</f>
        <v>0</v>
      </c>
      <c r="CF658" s="273">
        <f>IF(CF$3=$K658,IF($C658="W",1,IF($C658="1/2W",0.5,0)),0)</f>
        <v>0</v>
      </c>
      <c r="CG658" s="274">
        <f>IF(CF$3=$K658,IF($C658="L",1,IF($C658="1/2L",0.5,0)),0)</f>
        <v>0</v>
      </c>
      <c r="CH658" s="274">
        <f>IF(CH$3=$K658,IF($C658="W",1,IF($C658="1/2W",0.5,0)),0)</f>
        <v>0</v>
      </c>
      <c r="CI658" s="274">
        <f>IF(CH$3=$K658,IF($C658="L",1,IF($C658="1/2L",0.5,0)),0)</f>
        <v>0</v>
      </c>
      <c r="CJ658" s="274">
        <f>IF(CJ$3=$K658,IF($C658="W",1,IF($C658="1/2W",0.5,0)),0)</f>
        <v>0</v>
      </c>
      <c r="CK658" s="274">
        <f>IF(CJ$3=$K658,IF($C658="L",1,IF($C658="1/2L",0.5,0)),0)</f>
        <v>0</v>
      </c>
      <c r="CL658" s="274">
        <f>IF(CL$3=$K658,IF($C658="W",1,IF($C658="1/2W",0.5,0)),0)</f>
        <v>0</v>
      </c>
      <c r="CM658" s="274">
        <f>IF(CL$3=$K658,IF($C658="L",1,IF($C658="1/2L",0.5,0)),0)</f>
        <v>1</v>
      </c>
      <c r="CN658" s="274">
        <f>IF(CN$3=$K658,IF($C658="W",1,IF($C658="1/2W",0.5,0)),0)</f>
        <v>0</v>
      </c>
      <c r="CO658" s="274">
        <f>IF(CN$3=$K658,IF($C658="L",1,IF($C658="1/2L",0.5,0)),0)</f>
        <v>0</v>
      </c>
      <c r="CP658" s="274">
        <f>IF(CP$3=$K658,IF($C658="W",1,IF($C658="1/2W",0.5,0)),0)</f>
        <v>0</v>
      </c>
      <c r="CQ658" s="274">
        <f>IF(CP$3=$K658,IF($C658="L",1,IF($C658="1/2L",0.5,0)),0)</f>
        <v>0</v>
      </c>
      <c r="CR658" s="274">
        <f>IF(CR$3=$K658,IF($C658="W",1,IF($C658="1/2W",0.5,0)),0)</f>
        <v>0</v>
      </c>
      <c r="CS658" s="274">
        <f>IF(CR$3=$K658,IF($C658="L",1,IF($C658="1/2L",0.5,0)),0)</f>
        <v>0</v>
      </c>
      <c r="CT658" s="145">
        <f>IF(CT$3=$K658,IF($C658="W",1,IF($C658="1/2W",0.5,0)),0)</f>
        <v>0</v>
      </c>
      <c r="CU658" s="146">
        <f>IF(CT$3=$K658,IF($C658="L",1,IF($C658="1/2L",0.5,0)),0)</f>
        <v>0</v>
      </c>
      <c r="CV658" s="146">
        <f>IF(CV$3=$K658,IF($C658="W",1,IF($C658="1/2W",0.5,0)),0)</f>
        <v>0</v>
      </c>
      <c r="CW658" s="146">
        <f>IF(CV$3=$K658,IF($C658="L",1,IF($C658="1/2L",0.5,0)),0)</f>
        <v>0</v>
      </c>
      <c r="CX658" s="146">
        <f>IF(CX$3=$K658,IF($C658="W",1,IF($C658="1/2W",0.5,0)),0)</f>
        <v>0</v>
      </c>
      <c r="CY658" s="146">
        <f>IF(CX$3=$K658,IF($C658="L",1,IF($C658="1/2L",0.5,0)),0)</f>
        <v>0</v>
      </c>
      <c r="CZ658" s="146">
        <f>IF(CZ$3=$K658,IF($C658="W",1,IF($C658="1/2W",0.5,0)),0)</f>
        <v>0</v>
      </c>
      <c r="DA658" s="146">
        <f>IF(CZ$3=$K658,IF($C658="L",1,IF($C658="1/2L",0.5,0)),0)</f>
        <v>0</v>
      </c>
      <c r="DB658" s="146">
        <f>IF(DB$3=$K658,IF($C658="W",1,IF($C658="1/2W",0.5,0)),0)</f>
        <v>0</v>
      </c>
      <c r="DC658" s="146">
        <f>IF(DB$3=$K658,IF($C658="L",1,IF($C658="1/2L",0.5,0)),0)</f>
        <v>0</v>
      </c>
      <c r="DD658" s="146">
        <f>IF(DD$3=$K658,IF($C658="W",1,IF($C658="1/2W",0.5,0)),0)</f>
        <v>0</v>
      </c>
      <c r="DE658" s="147">
        <f>IF(DD$3=$K658,IF($C658="L",1,IF($C658="1/2L",0.5,0)),0)</f>
        <v>0</v>
      </c>
      <c r="DF658" s="143">
        <f>IF(AND(L658&lt;DF$3,$C658="W"),1+DF657,DF657)</f>
        <v>17</v>
      </c>
      <c r="DG658" s="133">
        <f>IF(DF658&gt;DF657,L658+DG657,DG657)</f>
        <v>22.628</v>
      </c>
      <c r="DH658" s="146">
        <f>IF(AND(L658&gt;DH$3,$C658="W"),1+DH657,0+DH657)</f>
        <v>16</v>
      </c>
      <c r="DI658" s="133">
        <f>IF(DH658&gt;DH657,L658+DI657,DI657)</f>
        <v>85.45999999999999</v>
      </c>
      <c r="DJ658" t="s" s="304">
        <f>IF($D658="","",$D658)</f>
        <v>467</v>
      </c>
      <c r="DK658" s="146">
        <f>IF(AND($B658=" ",$D658&lt;&gt;""),1,0)</f>
        <v>0</v>
      </c>
    </row>
    <row r="659" ht="14.55" customHeight="1">
      <c r="A659" s="107"/>
      <c r="B659" s="108"/>
      <c r="C659" t="s" s="109">
        <v>56</v>
      </c>
      <c r="D659" s="110"/>
      <c r="E659" s="111"/>
      <c r="F659" s="113"/>
      <c r="G659" s="252"/>
      <c r="H659" s="114"/>
      <c r="I659" s="294">
        <v>1</v>
      </c>
      <c r="J659" t="s" s="295">
        <f>IF(OR(I658="TO",I658="TU",I658="TO1",I658="TU1",I658="TO2",I658="TU2"),J658,IF(OR(I658="AH1",I658="AH2"),IF(OR(I659="AH1",I659="AH2"),-J658,IF(OR(I659="EH1",I659="EH2"),-J658+0.5,"")),IF(OR(I658="EH1",I658="EH2"),IF(OR(I659="AH1",I659="AH2"),-J658+0.5,IF(OR(I659="EH1",I659="EH2"),-J658+1,"")),IF(AND(OR(I658="DNB1",I658="DNB2"),OR(I659="AH1",I659="AH2")),0,IF(AND(I658="Not ScoreBoth",OR(I659="TO1",I659="TO2")),0.5,"")))))</f>
      </c>
      <c r="K659" t="s" s="117">
        <v>41</v>
      </c>
      <c r="L659" s="277">
        <v>1.29</v>
      </c>
      <c r="M659" s="278"/>
      <c r="N659" s="120"/>
      <c r="O659" s="121">
        <f>IF(OR(AE658="",AE659=""),"",ROUND(IF(L660&gt;0,IF(M659&gt;0,M659,IF(M658&gt;0,IF(N658=TRUE,ROUND((M658*AE659)/AE658,0),(M658*AE659)/AE658),IF(M659&gt;0,ROUND(M659,IF(N658=0,2,IF(N658=0.1,1,0))),IF(M660&gt;0,ROUND(O660*AE659/AE660,IF(N658=0,2,IF(N658=0.1,1,0))),0)))),IF(M659&gt;0,M659,ROUND((M658*AE659)/AE658,IF(N658=0,2,IF(N658=0.1,1,0))))),2))</f>
        <v>22.6</v>
      </c>
      <c r="P659" s="122">
        <f>IF(OR(L659="",O659=""),"",IF($C659="1/2W",O659/2+O659/2*L659,IF($C659="1/2L",O659/2,IF(I659="Lay",((O659*(L659/(L659-1)))-O659)*(1-_xlfn.XLOOKUP(K659,'Janeiro 2023 - Valor Real'!A3:A15,'Janeiro 2023 - Valor Real'!C3:C15,0))+O659,(O659*L659-O659)*(1-_xlfn.XLOOKUP(K659,'Janeiro 2023 - Valor Real'!A3:A15,'Janeiro 2023 - Valor Real'!C3:C15,0))+O659))))</f>
        <v>29.154</v>
      </c>
      <c r="Q659" s="279">
        <f>IF(K659="","",IF(_xlfn.XLOOKUP(K659,K$120:K438,DJ$120:DJ438,0,,-1)=DJ659,_xlfn.XLOOKUP(K659,K$120:K438,Q$120:Q438,1,,-1)+1,1))</f>
        <v>1</v>
      </c>
      <c r="R659" s="280">
        <f>IF(K659="","",_xlfn.XLOOKUP(K659,K$120:K438,R$120:R438,0,,-1)+IF($C659=" ",1,0))</f>
        <v>0</v>
      </c>
      <c r="S659" s="125"/>
      <c r="T659" s="126"/>
      <c r="U659" s="126"/>
      <c r="V659" s="224"/>
      <c r="W659" s="126"/>
      <c r="X659" s="127"/>
      <c r="Y659" s="128"/>
      <c r="Z659" s="129"/>
      <c r="AA659" s="129"/>
      <c r="AB659" s="129"/>
      <c r="AC659" s="129"/>
      <c r="AD659" s="130"/>
      <c r="AE659" s="131">
        <f>IF(L659="","",IF(L660&gt;0,(SUM(((L658-1)*(1-_xlfn.XLOOKUP(K658,'Janeiro 2023 - Valor Real'!A3:A15,'Janeiro 2023 - Valor Real'!C3:C15,0))+1),((L659-1)*(1-_xlfn.XLOOKUP(K659,'Janeiro 2023 - Valor Real'!A3:A15,'Janeiro 2023 - Valor Real'!C3:C15,0))+1),((L660-1)*(1-_xlfn.XLOOKUP(K660,'Janeiro 2023 - Valor Real'!A3:A15,'Janeiro 2023 - Valor Real'!C3:C15,0))+1))/((L659-1)*(1-_xlfn.XLOOKUP(K659,'Janeiro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Real'!C3:C15,0))+1))/((L658-1)*(1-_xlfn.XLOOKUP(K658,'Janeiro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Real'!C3:C15,0))+1))/((L659-1)*(1-_xlfn.XLOOKUP(K659,'Janeiro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Real'!C3:C15,0))+1))/((L660-1)*(1-_xlfn.XLOOKUP(K660,'Janeiro 2023 - Valor Real'!A3:A15,'Janeiro 2023 - Valor Real'!C3:C15,0))+1)),IF(I659="Lay",IF(I658="Lay",((L658/(L658-1)-1)*(1-_xlfn.XLOOKUP(K658,'Janeiro 2023 - Valor Real'!A3:A15,'Janeiro 2023 - Valor Real'!C3:C15,0))+1)/(((L658/(L658-1)-1)*(1-_xlfn.XLOOKUP(K658,'Janeiro 2023 - Valor Real'!A3:A15,'Janeiro 2023 - Valor Real'!C3:C15,0))+1)+((L659/(L659-1)-1)*(1-_xlfn.XLOOKUP(K659,'Janeiro 2023 - Valor Real'!A3:A15,'Janeiro 2023 - Valor Real'!C3:C15,0))+1)),((L658-1)*(1-_xlfn.XLOOKUP(K658,'Janeiro 2023 - Valor Real'!A3:A15,'Janeiro 2023 - Valor Real'!C3:C15,0))+1)/(((L658-1)*(1-_xlfn.XLOOKUP(K658,'Janeiro 2023 - Valor Real'!A3:A15,'Janeiro 2023 - Valor Real'!C3:C15,0))+1)+((L659/(L659-1)-1)*(1-_xlfn.XLOOKUP(K659,'Janeiro 2023 - Valor Real'!A3:A15,'Janeiro 2023 - Valor Real'!C3:C15,0))+1))),IF(I658="Lay",((L658/(L658-1)-1)*(1-_xlfn.XLOOKUP(K658,'Janeiro 2023 - Valor Real'!A3:A15,'Janeiro 2023 - Valor Real'!C3:C15,0))+1)/((((L658/(L658-1)-1)*(1-_xlfn.XLOOKUP(K658,'Janeiro 2023 - Valor Real'!A3:A15,'Janeiro 2023 - Valor Real'!C3:C15,0))+1))+((L659-1)*(1-_xlfn.XLOOKUP(K659,'Janeiro 2023 - Valor Real'!A3:A15,'Janeiro 2023 - Valor Real'!C3:C15,0))+1)),((L658-1)*(1-_xlfn.XLOOKUP(K658,'Janeiro 2023 - Valor Real'!A3:A15,'Janeiro 2023 - Valor Real'!C3:C15,0))+1)/(((L658-1)*(1-_xlfn.XLOOKUP(K658,'Janeiro 2023 - Valor Real'!A3:A15,'Janeiro 2023 - Valor Real'!C3:C15,0))+1)+((L659-1)*(1-_xlfn.XLOOKUP(K659,'Janeiro 2023 - Valor Real'!A3:A15,'Janeiro 2023 - Valor Real'!C3:C15,0))+1))))))</f>
        <v>0.8027522935779819</v>
      </c>
      <c r="AF659" s="132">
        <f>IF($K659=AF$3,ROUND(IF(OR($C659="W",$C659="1/2W",$C659="1/2L"),$P659-$O659,IF($C659="X",0,-$O659)),2),0)</f>
        <v>0</v>
      </c>
      <c r="AG659" s="133">
        <f>IF($K659=AG$3,ROUND(IF(OR($C659="W",$C659="1/2W",$C659="1/2L"),$P659-$O659,IF($C659="X",0,-$O659)),2),0)</f>
        <v>0</v>
      </c>
      <c r="AH659" s="133">
        <f>IF($K659=AH$3,ROUND(IF(OR($C659="W",$C659="1/2W",$C659="1/2L"),$P659-$O659,IF($C659="X",0,-$O659)),2),0)</f>
        <v>0</v>
      </c>
      <c r="AI659" s="133">
        <f>IF($K659=AI$3,ROUND(IF(OR($C659="W",$C659="1/2W",$C659="1/2L"),$P659-$O659,IF($C659="X",0,-$O659)),2),0)</f>
        <v>0</v>
      </c>
      <c r="AJ659" s="133">
        <f>IF($K659=AJ$3,ROUND(IF(OR($C659="W",$C659="1/2W",$C659="1/2L"),$P659-$O659,IF($C659="X",0,-$O659)),2),0)</f>
        <v>6.55</v>
      </c>
      <c r="AK659" s="133">
        <f>IF($K659=AK$3,ROUND(IF(OR($C659="W",$C659="1/2W",$C659="1/2L"),$P659-$O659,IF($C659="X",0,-$O659)),2),0)</f>
        <v>0</v>
      </c>
      <c r="AL659" s="133">
        <f>IF($K659=AL$3,ROUND(IF(OR($C659="W",$C659="1/2W",$C659="1/2L"),$P659-$O659,IF($C659="X",0,-$O659)),2),0)</f>
        <v>0</v>
      </c>
      <c r="AM659" s="133">
        <f>IF($K659=AM$3,ROUND(IF(OR($C659="W",$C659="1/2W",$C659="1/2L"),$P659-$O659,IF($C659="X",0,-$O659)),2),0)</f>
        <v>0</v>
      </c>
      <c r="AN659" s="133">
        <f>IF($K659=AN$3,ROUND(IF(OR($C659="W",$C659="1/2W",$C659="1/2L"),$P659-$O659,IF($C659="X",0,-$O659)),2),0)</f>
        <v>0</v>
      </c>
      <c r="AO659" s="133">
        <f>IF($K659=AO$3,ROUND(IF(OR($C659="W",$C659="1/2W",$C659="1/2L"),$P659-$O659,IF($C659="X",0,-$O659)),2),0)</f>
        <v>0</v>
      </c>
      <c r="AP659" s="133">
        <f>IF($K659=AP$3,ROUND(IF(OR($C659="W",$C659="1/2W",$C659="1/2L"),$P659-$O659,IF($C659="X",0,-$O659)),2),0)</f>
        <v>0</v>
      </c>
      <c r="AQ659" s="133">
        <f>IF($K659=AQ$3,ROUND(IF(OR($C659="W",$C659="1/2W",$C659="1/2L"),$P659-$O659,IF($C659="X",0,-$O659)),2),0)</f>
        <v>0</v>
      </c>
      <c r="AR659" s="134">
        <f>IF($K659=AR$3,ROUND(IF(OR($C659="W",$C659="1/2W",$C659="1/2L"),$P659-$O659,IF($C659="X",0,-$O659)),2),0)</f>
        <v>0</v>
      </c>
      <c r="AS659" s="132">
        <f>IF(AND($B658=" ",$K659=AS$3),$O659,0)</f>
        <v>0</v>
      </c>
      <c r="AT659" s="133">
        <f>IF(AND($B658=" ",K659=AT$3),$O659,0)</f>
        <v>0</v>
      </c>
      <c r="AU659" s="133">
        <f>IF(AND($B658=" ",$K659=AU$3),$O659,0)</f>
        <v>0</v>
      </c>
      <c r="AV659" s="133">
        <f>IF(AND($B658=" ",$K659=AV$3),$O659,0)</f>
        <v>0</v>
      </c>
      <c r="AW659" s="133">
        <f>IF(AND($B658=" ",$K659=AW$3),$O659,0)</f>
        <v>0</v>
      </c>
      <c r="AX659" s="133">
        <f>IF(AND($B658=" ",$K659=AX$3),$O659,0)</f>
        <v>0</v>
      </c>
      <c r="AY659" s="135">
        <f>IF(AND($B658=" ",$K659=AY$3),$O659,0)</f>
        <v>0</v>
      </c>
      <c r="AZ659" s="136">
        <f>IF(AND($B658=" ",$K659=AZ$3),$O659,0)</f>
        <v>0</v>
      </c>
      <c r="BA659" s="136">
        <f>IF(AND($B658=" ",$K659=BA$3),$O659,0)</f>
        <v>0</v>
      </c>
      <c r="BB659" s="136">
        <f>IF(AND($B658=" ",$K659=BB$3),$O659,0)</f>
        <v>0</v>
      </c>
      <c r="BC659" s="137">
        <f>IF(AND($B658=" ",$K659=BC$3),$O659,0)</f>
        <v>0</v>
      </c>
      <c r="BD659" s="133">
        <f>IF(AND($B658=" ",$K659=BD$3),$O659,0)</f>
        <v>0</v>
      </c>
      <c r="BE659" s="134">
        <f>IF(AND($B658=" ",$K659=BE$3),$O659,0)</f>
        <v>0</v>
      </c>
      <c r="BF659" s="132">
        <f>IF($K659=BF$3,IF($C659="X",0,$O659),0)</f>
        <v>0</v>
      </c>
      <c r="BG659" s="281">
        <f>IF($K659=BG$3,IF($C659="X",0,$O659),0)</f>
        <v>0</v>
      </c>
      <c r="BH659" s="133">
        <f>IF($K659=BH$3,IF($C659="X",0,$O659),0)</f>
        <v>0</v>
      </c>
      <c r="BI659" s="133">
        <f>IF($K659=BI$3,IF($C659="X",0,$O659),0)</f>
        <v>0</v>
      </c>
      <c r="BJ659" s="133">
        <f>IF($K659=BJ$3,IF($C659="X",0,$O659),0)</f>
        <v>22.6</v>
      </c>
      <c r="BK659" s="133">
        <f>IF($K659=BK$3,IF($C659="X",0,$O659),0)</f>
        <v>0</v>
      </c>
      <c r="BL659" s="133">
        <f>IF($K659=BL$3,IF($C659="X",0,$O659),0)</f>
        <v>0</v>
      </c>
      <c r="BM659" s="135">
        <f>IF($K659=BM$3,IF($C659="X",0,$O659),0)</f>
        <v>0</v>
      </c>
      <c r="BN659" s="136">
        <f>IF($K659=BN$3,IF($C659="X",0,$O659),0)</f>
        <v>0</v>
      </c>
      <c r="BO659" s="136">
        <f>IF($K659=BO$3,IF($C659="X",0,$O659),0)</f>
        <v>0</v>
      </c>
      <c r="BP659" s="136">
        <f>IF($K659=BP$3,IF($C659="X",0,$O659),0)</f>
        <v>0</v>
      </c>
      <c r="BQ659" s="137">
        <f>IF($K659=BQ$3,IF($C659="X",0,$O659),0)</f>
        <v>0</v>
      </c>
      <c r="BR659" s="134">
        <f>IF($K659=BR$3,IF($C659="X",0,$O659),0)</f>
        <v>0</v>
      </c>
      <c r="BS659" s="282"/>
      <c r="BT659" s="283"/>
      <c r="BU659" s="140"/>
      <c r="BV659" s="283"/>
      <c r="BW659" s="140"/>
      <c r="BX659" s="140"/>
      <c r="BY659" s="140"/>
      <c r="BZ659" s="283"/>
      <c r="CA659" s="140"/>
      <c r="CB659" s="140"/>
      <c r="CC659" s="140"/>
      <c r="CD659" s="141"/>
      <c r="CE659" s="142"/>
      <c r="CF659" s="284">
        <f>IF(CF$3=$K659,IF($C659="W",1,IF($C659="1/2W",0.5,0)),0)</f>
        <v>0</v>
      </c>
      <c r="CG659" s="285">
        <f>IF(CF$3=$K659,IF($C659="L",1,IF($C659="1/2L",0.5,0)),0)</f>
        <v>0</v>
      </c>
      <c r="CH659" s="285">
        <f>IF(CH$3=$K659,IF($C659="W",1,IF($C659="1/2W",0.5,0)),0)</f>
        <v>0</v>
      </c>
      <c r="CI659" s="285">
        <f>IF(CH$3=$K659,IF($C659="L",1,IF($C659="1/2L",0.5,0)),0)</f>
        <v>0</v>
      </c>
      <c r="CJ659" s="285">
        <f>IF(CJ$3=$K659,IF($C659="W",1,IF($C659="1/2W",0.5,0)),0)</f>
        <v>0</v>
      </c>
      <c r="CK659" s="285">
        <f>IF(CJ$3=$K659,IF($C659="L",1,IF($C659="1/2L",0.5,0)),0)</f>
        <v>0</v>
      </c>
      <c r="CL659" s="285">
        <f>IF(CL$3=$K659,IF($C659="W",1,IF($C659="1/2W",0.5,0)),0)</f>
        <v>0</v>
      </c>
      <c r="CM659" s="285">
        <f>IF(CL$3=$K659,IF($C659="L",1,IF($C659="1/2L",0.5,0)),0)</f>
        <v>0</v>
      </c>
      <c r="CN659" s="285">
        <f>IF(CN$3=$K659,IF($C659="W",1,IF($C659="1/2W",0.5,0)),0)</f>
        <v>1</v>
      </c>
      <c r="CO659" s="285">
        <f>IF(CN$3=$K659,IF($C659="L",1,IF($C659="1/2L",0.5,0)),0)</f>
        <v>0</v>
      </c>
      <c r="CP659" s="285">
        <f>IF(CP$3=$K659,IF($C659="W",1,IF($C659="1/2W",0.5,0)),0)</f>
        <v>0</v>
      </c>
      <c r="CQ659" s="285">
        <f>IF(CP$3=$K659,IF($C659="L",1,IF($C659="1/2L",0.5,0)),0)</f>
        <v>0</v>
      </c>
      <c r="CR659" s="285">
        <f>IF(CR$3=$K659,IF($C659="W",1,IF($C659="1/2W",0.5,0)),0)</f>
        <v>0</v>
      </c>
      <c r="CS659" s="285">
        <f>IF(CR$3=$K659,IF($C659="L",1,IF($C659="1/2L",0.5,0)),0)</f>
        <v>0</v>
      </c>
      <c r="CT659" s="145">
        <f>IF(CT$3=$K659,IF($C659="W",1,IF($C659="1/2W",0.5,0)),0)</f>
        <v>0</v>
      </c>
      <c r="CU659" s="146">
        <f>IF(CT$3=$K659,IF($C659="L",1,IF($C659="1/2L",0.5,0)),0)</f>
        <v>0</v>
      </c>
      <c r="CV659" s="146">
        <f>IF(CV$3=$K659,IF($C659="W",1,IF($C659="1/2W",0.5,0)),0)</f>
        <v>0</v>
      </c>
      <c r="CW659" s="146">
        <f>IF(CV$3=$K659,IF($C659="L",1,IF($C659="1/2L",0.5,0)),0)</f>
        <v>0</v>
      </c>
      <c r="CX659" s="146">
        <f>IF(CX$3=$K659,IF($C659="W",1,IF($C659="1/2W",0.5,0)),0)</f>
        <v>0</v>
      </c>
      <c r="CY659" s="146">
        <f>IF(CX$3=$K659,IF($C659="L",1,IF($C659="1/2L",0.5,0)),0)</f>
        <v>0</v>
      </c>
      <c r="CZ659" s="146">
        <f>IF(CZ$3=$K659,IF($C659="W",1,IF($C659="1/2W",0.5,0)),0)</f>
        <v>0</v>
      </c>
      <c r="DA659" s="146">
        <f>IF(CZ$3=$K659,IF($C659="L",1,IF($C659="1/2L",0.5,0)),0)</f>
        <v>0</v>
      </c>
      <c r="DB659" s="146">
        <f>IF(DB$3=$K659,IF($C659="W",1,IF($C659="1/2W",0.5,0)),0)</f>
        <v>0</v>
      </c>
      <c r="DC659" s="146">
        <f>IF(DB$3=$K659,IF($C659="L",1,IF($C659="1/2L",0.5,0)),0)</f>
        <v>0</v>
      </c>
      <c r="DD659" s="146">
        <f>IF(DD$3=$K659,IF($C659="W",1,IF($C659="1/2W",0.5,0)),0)</f>
        <v>0</v>
      </c>
      <c r="DE659" s="147">
        <f>IF(DD$3=$K659,IF($C659="L",1,IF($C659="1/2L",0.5,0)),0)</f>
        <v>0</v>
      </c>
      <c r="DF659" s="143">
        <f>IF(AND(L659&lt;DF$3,$C659="W"),1+DF658,DF658)</f>
        <v>18</v>
      </c>
      <c r="DG659" s="133">
        <f>IF(DF659&gt;DF658,L659+DG658,DG658)</f>
        <v>23.918</v>
      </c>
      <c r="DH659" s="146">
        <f>IF(AND(L659&gt;DH$3,$C659="W"),1+DH658,0+DH658)</f>
        <v>16</v>
      </c>
      <c r="DI659" s="133">
        <f>IF(DH659&gt;DH658,L659+DI658,DI658)</f>
        <v>85.45999999999999</v>
      </c>
      <c r="DJ659" t="s" s="304">
        <f>IF($D658="","",$D658)</f>
        <v>467</v>
      </c>
      <c r="DK659" s="286"/>
    </row>
    <row r="660" ht="14.55" customHeight="1">
      <c r="A660" s="149"/>
      <c r="B660" s="150"/>
      <c r="C660" t="s" s="151">
        <v>58</v>
      </c>
      <c r="D660" s="152"/>
      <c r="E660" s="153"/>
      <c r="F660" s="155"/>
      <c r="G660" s="252"/>
      <c r="H660" s="156"/>
      <c r="I660" s="287"/>
      <c r="J660" s="288"/>
      <c r="K660" s="156"/>
      <c r="L660" s="289"/>
      <c r="M660" s="290"/>
      <c r="N660" s="161"/>
      <c r="O660" t="s" s="162">
        <f>IF(OR(AE658="",AE659=""),"",IF(L660&gt;0,ROUND(IF(M660&gt;0,M660,IF(M658&gt;0,ROUND((M658*AE660)/AE658,IF(N658=0,2,IF(N658=0.1,1,0))),IF(M659&gt;0,ROUND((M659*AE660)/AE659,IF(N658=0,2,IF(N658=0.1,1,0))),IF(M660&gt;0,M660,0)))),2),""))</f>
      </c>
      <c r="P660" t="s" s="163">
        <f>IF(I659="Lay",O659*(L659/(L659-1))-O659,IF(I658="Lay",O658*(L658/(L658-1))-O658,IF(OR(L660="",O660=""),"",IF($C660="1/2W",O660/2+O660/2*L660,IF($C660="1/2L",O660/2,(O660*L660-O660)*(1-_xlfn.XLOOKUP(K660,'Janeiro 2023 - Valor Real'!A3:A15,'Janeiro 2023 - Valor Real'!C3:C15,0))+O660)))))</f>
      </c>
      <c r="Q660" t="s" s="154">
        <f>IF(K660="","",IF(_xlfn.XLOOKUP(K660,K$121:K439,DJ$121:DJ439,0,,-1)=DJ660,_xlfn.XLOOKUP(K660,K$121:K439,Q$121:Q439,1,,-1)+1,1))</f>
      </c>
      <c r="R660" t="s" s="163">
        <f>IF(K660="","",_xlfn.XLOOKUP(K660,K$121:K439,R$121:R439,0,,-1)+IF($C660=" ",1,0))</f>
      </c>
      <c r="S660" s="166"/>
      <c r="T660" s="155"/>
      <c r="U660" s="155"/>
      <c r="V660" s="166"/>
      <c r="W660" s="155"/>
      <c r="X660" s="167"/>
      <c r="Y660" s="128"/>
      <c r="Z660" s="129"/>
      <c r="AA660" s="129"/>
      <c r="AB660" s="129"/>
      <c r="AC660" s="129"/>
      <c r="AD660" s="168"/>
      <c r="AE660" t="s" s="169">
        <f>IF(L660="","",(SUM(((L658-1)*(1-_xlfn.XLOOKUP(K658,'Janeiro 2023 - Valor Real'!A3:A15,'Janeiro 2023 - Valor Real'!C3:C15,0))+1),((L659-1)*(1-_xlfn.XLOOKUP(K659,'Janeiro 2023 - Valor Real'!A3:A15,'Janeiro 2023 - Valor Real'!C3:C15,0))+1),((L660-1)*(1-_xlfn.XLOOKUP(K660,'Janeiro 2023 - Valor Real'!A3:A15,'Janeiro 2023 - Valor Real'!C3:C15,0))+1))/((L660-1)*(1-_xlfn.XLOOKUP(K660,'Janeiro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Real'!C3:C15,0))+1))/((L658-1)*(1-_xlfn.XLOOKUP(K658,'Janeiro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Real'!C3:C15,0))+1))/((L659-1)*(1-_xlfn.XLOOKUP(K659,'Janeiro 2023 - Valor Real'!A3:A15,'Janeiro 2023 - Valor Real'!C3:C15,0))+1)+SUM(((L658-1)*(1-_xlfn.XLOOKUP(K658,'Janeiro 2023 - Valor Real'!A3:A15,'Janeiro 2023 - Valor Real'!C3:C15,0))+1),((L659-1)*(1-_xlfn.XLOOKUP(K659,'Janeiro 2023 - Valor Real'!A3:A15,'Janeiro 2023 - Valor Real'!C3:C15,0))+1),((L660-1)*(1-_xlfn.XLOOKUP(K660,'Janeiro 2023 - Valor Real'!A3:A15,'Janeiro 2023 - Valor Real'!C3:C15,0))+1))/((L660-1)*(1-_xlfn.XLOOKUP(K660,'Janeiro 2023 - Valor Real'!A3:A15,'Janeiro 2023 - Valor Real'!C3:C15,0))+1)))</f>
      </c>
      <c r="AF660" s="132">
        <f>IF($K660=AF$3,ROUND(IF(OR($C660="W",$C660="1/2W",$C660="1/2L"),$P660-$O660,IF($C660="X",0,-$O660)),2),0)</f>
        <v>0</v>
      </c>
      <c r="AG660" s="133">
        <f>IF($K660=AG$3,ROUND(IF(OR($C660="W",$C660="1/2W",$C660="1/2L"),$P660-$O660,IF($C660="X",0,-$O660)),2),0)</f>
        <v>0</v>
      </c>
      <c r="AH660" s="133">
        <f>IF($K660=AH$3,ROUND(IF(OR($C660="W",$C660="1/2W",$C660="1/2L"),$P660-$O660,IF($C660="X",0,-$O660)),2),0)</f>
        <v>0</v>
      </c>
      <c r="AI660" s="133">
        <f>IF($K660=AI$3,ROUND(IF(OR($C660="W",$C660="1/2W",$C660="1/2L"),$P660-$O660,IF($C660="X",0,-$O660)),2),0)</f>
        <v>0</v>
      </c>
      <c r="AJ660" s="133">
        <f>IF($K660=AJ$3,ROUND(IF(OR($C660="W",$C660="1/2W",$C660="1/2L"),$P660-$O660,IF($C660="X",0,-$O660)),2),0)</f>
        <v>0</v>
      </c>
      <c r="AK660" s="133">
        <f>IF($K660=AK$3,ROUND(IF(OR($C660="W",$C660="1/2W",$C660="1/2L"),$P660-$O660,IF($C660="X",0,-$O660)),2),0)</f>
        <v>0</v>
      </c>
      <c r="AL660" s="133">
        <f>IF($K660=AL$3,ROUND(IF(OR($C660="W",$C660="1/2W",$C660="1/2L"),$P660-$O660,IF($C660="X",0,-$O660)),2),0)</f>
        <v>0</v>
      </c>
      <c r="AM660" s="133">
        <f>IF($K660=AM$3,ROUND(IF(OR($C660="W",$C660="1/2W",$C660="1/2L"),$P660-$O660,IF($C660="X",0,-$O660)),2),0)</f>
        <v>0</v>
      </c>
      <c r="AN660" s="133">
        <f>IF($K660=AN$3,ROUND(IF(OR($C660="W",$C660="1/2W",$C660="1/2L"),$P660-$O660,IF($C660="X",0,-$O660)),2),0)</f>
        <v>0</v>
      </c>
      <c r="AO660" s="133">
        <f>IF($K660=AO$3,ROUND(IF(OR($C660="W",$C660="1/2W",$C660="1/2L"),$P660-$O660,IF($C660="X",0,-$O660)),2),0)</f>
        <v>0</v>
      </c>
      <c r="AP660" s="133">
        <f>IF($K660=AP$3,ROUND(IF(OR($C660="W",$C660="1/2W",$C660="1/2L"),$P660-$O660,IF($C660="X",0,-$O660)),2),0)</f>
        <v>0</v>
      </c>
      <c r="AQ660" s="133">
        <f>IF($K660=AQ$3,ROUND(IF(OR($C660="W",$C660="1/2W",$C660="1/2L"),$P660-$O660,IF($C660="X",0,-$O660)),2),0)</f>
        <v>0</v>
      </c>
      <c r="AR660" s="134">
        <f>IF($K660=AR$3,ROUND(IF(OR($C660="W",$C660="1/2W",$C660="1/2L"),$P660-$O660,IF($C660="X",0,-$O660)),2),0)</f>
        <v>0</v>
      </c>
      <c r="AS660" s="132">
        <f>IF(AND($B658=" ",$K660=AS$3),$O660,0)</f>
        <v>0</v>
      </c>
      <c r="AT660" s="133">
        <f>IF(AND($B658=" ",K660=AT$3),$O660,0)</f>
        <v>0</v>
      </c>
      <c r="AU660" s="133">
        <f>IF(AND($B658=" ",$K660=AU$3),$O660,0)</f>
        <v>0</v>
      </c>
      <c r="AV660" s="133">
        <f>IF(AND($B658=" ",$K660=AV$3),$O660,0)</f>
        <v>0</v>
      </c>
      <c r="AW660" s="133">
        <f>IF(AND($B658=" ",$K660=AW$3),$O660,0)</f>
        <v>0</v>
      </c>
      <c r="AX660" s="133">
        <f>IF(AND($B658=" ",$K660=AX$3),$O660,0)</f>
        <v>0</v>
      </c>
      <c r="AY660" s="135">
        <f>IF(AND($B658=" ",$K660=AY$3),$O660,0)</f>
        <v>0</v>
      </c>
      <c r="AZ660" s="136">
        <f>IF(AND($B658=" ",$K660=AZ$3),$O660,0)</f>
        <v>0</v>
      </c>
      <c r="BA660" s="136">
        <f>IF(AND($B658=" ",$K660=BA$3),$O660,0)</f>
        <v>0</v>
      </c>
      <c r="BB660" s="136">
        <f>IF(AND($B658=" ",$K660=BB$3),$O660,0)</f>
        <v>0</v>
      </c>
      <c r="BC660" s="137">
        <f>IF(AND($B658=" ",$K660=BC$3),$O660,0)</f>
        <v>0</v>
      </c>
      <c r="BD660" s="133">
        <f>IF(AND($B658=" ",$K660=BD$3),$O660,0)</f>
        <v>0</v>
      </c>
      <c r="BE660" s="134">
        <f>IF(AND($B658=" ",$K660=BE$3),$O660,0)</f>
        <v>0</v>
      </c>
      <c r="BF660" s="132">
        <f>IF($K660=BF$3,IF($C660="X",0,$O660),0)</f>
        <v>0</v>
      </c>
      <c r="BG660" s="281">
        <f>IF($K660=BG$3,IF($C660="X",0,$O660),0)</f>
        <v>0</v>
      </c>
      <c r="BH660" s="133">
        <f>IF($K660=BH$3,IF($C660="X",0,$O660),0)</f>
        <v>0</v>
      </c>
      <c r="BI660" s="133">
        <f>IF($K660=BI$3,IF($C660="X",0,$O660),0)</f>
        <v>0</v>
      </c>
      <c r="BJ660" s="133">
        <f>IF($K660=BJ$3,IF($C660="X",0,$O660),0)</f>
        <v>0</v>
      </c>
      <c r="BK660" s="133">
        <f>IF($K660=BK$3,IF($C660="X",0,$O660),0)</f>
        <v>0</v>
      </c>
      <c r="BL660" s="133">
        <f>IF($K660=BL$3,IF($C660="X",0,$O660),0)</f>
        <v>0</v>
      </c>
      <c r="BM660" s="135">
        <f>IF($K660=BM$3,IF($C660="X",0,$O660),0)</f>
        <v>0</v>
      </c>
      <c r="BN660" s="136">
        <f>IF($K660=BN$3,IF($C660="X",0,$O660),0)</f>
        <v>0</v>
      </c>
      <c r="BO660" s="136">
        <f>IF($K660=BO$3,IF($C660="X",0,$O660),0)</f>
        <v>0</v>
      </c>
      <c r="BP660" s="136">
        <f>IF($K660=BP$3,IF($C660="X",0,$O660),0)</f>
        <v>0</v>
      </c>
      <c r="BQ660" s="137">
        <f>IF($K660=BQ$3,IF($C660="X",0,$O660),0)</f>
        <v>0</v>
      </c>
      <c r="BR660" s="134">
        <f>IF($K660=BR$3,IF($C660="X",0,$O660),0)</f>
        <v>0</v>
      </c>
      <c r="BS660" s="282"/>
      <c r="BT660" s="283"/>
      <c r="BU660" s="140"/>
      <c r="BV660" s="283"/>
      <c r="BW660" s="140"/>
      <c r="BX660" s="140"/>
      <c r="BY660" s="140"/>
      <c r="BZ660" s="283"/>
      <c r="CA660" s="140"/>
      <c r="CB660" s="140"/>
      <c r="CC660" s="140"/>
      <c r="CD660" s="141"/>
      <c r="CE660" s="142"/>
      <c r="CF660" s="284">
        <f>IF(CF$3=$K660,IF($C660="W",1,IF($C660="1/2W",0.5,0)),0)</f>
        <v>0</v>
      </c>
      <c r="CG660" s="285">
        <f>IF(CF$3=$K660,IF($C660="L",1,IF($C660="1/2L",0.5,0)),0)</f>
        <v>0</v>
      </c>
      <c r="CH660" s="285">
        <f>IF(CH$3=$K660,IF($C660="W",1,IF($C660="1/2W",0.5,0)),0)</f>
        <v>0</v>
      </c>
      <c r="CI660" s="285">
        <f>IF(CH$3=$K660,IF($C660="L",1,IF($C660="1/2L",0.5,0)),0)</f>
        <v>0</v>
      </c>
      <c r="CJ660" s="285">
        <f>IF(CJ$3=$K660,IF($C660="W",1,IF($C660="1/2W",0.5,0)),0)</f>
        <v>0</v>
      </c>
      <c r="CK660" s="285">
        <f>IF(CJ$3=$K660,IF($C660="L",1,IF($C660="1/2L",0.5,0)),0)</f>
        <v>0</v>
      </c>
      <c r="CL660" s="285">
        <f>IF(CL$3=$K660,IF($C660="W",1,IF($C660="1/2W",0.5,0)),0)</f>
        <v>0</v>
      </c>
      <c r="CM660" s="285">
        <f>IF(CL$3=$K660,IF($C660="L",1,IF($C660="1/2L",0.5,0)),0)</f>
        <v>0</v>
      </c>
      <c r="CN660" s="285">
        <f>IF(CN$3=$K660,IF($C660="W",1,IF($C660="1/2W",0.5,0)),0)</f>
        <v>0</v>
      </c>
      <c r="CO660" s="285">
        <f>IF(CN$3=$K660,IF($C660="L",1,IF($C660="1/2L",0.5,0)),0)</f>
        <v>0</v>
      </c>
      <c r="CP660" s="285">
        <f>IF(CP$3=$K660,IF($C660="W",1,IF($C660="1/2W",0.5,0)),0)</f>
        <v>0</v>
      </c>
      <c r="CQ660" s="285">
        <f>IF(CP$3=$K660,IF($C660="L",1,IF($C660="1/2L",0.5,0)),0)</f>
        <v>0</v>
      </c>
      <c r="CR660" s="285">
        <f>IF(CR$3=$K660,IF($C660="W",1,IF($C660="1/2W",0.5,0)),0)</f>
        <v>0</v>
      </c>
      <c r="CS660" s="285">
        <f>IF(CR$3=$K660,IF($C660="L",1,IF($C660="1/2L",0.5,0)),0)</f>
        <v>0</v>
      </c>
      <c r="CT660" s="145">
        <f>IF(CT$3=$K660,IF($C660="W",1,IF($C660="1/2W",0.5,0)),0)</f>
        <v>0</v>
      </c>
      <c r="CU660" s="146">
        <f>IF(CT$3=$K660,IF($C660="L",1,IF($C660="1/2L",0.5,0)),0)</f>
        <v>0</v>
      </c>
      <c r="CV660" s="146">
        <f>IF(CV$3=$K660,IF($C660="W",1,IF($C660="1/2W",0.5,0)),0)</f>
        <v>0</v>
      </c>
      <c r="CW660" s="146">
        <f>IF(CV$3=$K660,IF($C660="L",1,IF($C660="1/2L",0.5,0)),0)</f>
        <v>0</v>
      </c>
      <c r="CX660" s="146">
        <f>IF(CX$3=$K660,IF($C660="W",1,IF($C660="1/2W",0.5,0)),0)</f>
        <v>0</v>
      </c>
      <c r="CY660" s="146">
        <f>IF(CX$3=$K660,IF($C660="L",1,IF($C660="1/2L",0.5,0)),0)</f>
        <v>0</v>
      </c>
      <c r="CZ660" s="146">
        <f>IF(CZ$3=$K660,IF($C660="W",1,IF($C660="1/2W",0.5,0)),0)</f>
        <v>0</v>
      </c>
      <c r="DA660" s="146">
        <f>IF(CZ$3=$K660,IF($C660="L",1,IF($C660="1/2L",0.5,0)),0)</f>
        <v>0</v>
      </c>
      <c r="DB660" s="146">
        <f>IF(DB$3=$K660,IF($C660="W",1,IF($C660="1/2W",0.5,0)),0)</f>
        <v>0</v>
      </c>
      <c r="DC660" s="146">
        <f>IF(DB$3=$K660,IF($C660="L",1,IF($C660="1/2L",0.5,0)),0)</f>
        <v>0</v>
      </c>
      <c r="DD660" s="146">
        <f>IF(DD$3=$K660,IF($C660="W",1,IF($C660="1/2W",0.5,0)),0)</f>
        <v>0</v>
      </c>
      <c r="DE660" s="147">
        <f>IF(DD$3=$K660,IF($C660="L",1,IF($C660="1/2L",0.5,0)),0)</f>
        <v>0</v>
      </c>
      <c r="DF660" s="143">
        <f>IF(AND(L660&lt;DF$3,$C660="W"),1+DF659,DF659)</f>
        <v>18</v>
      </c>
      <c r="DG660" s="133">
        <f>IF(DF660&gt;DF659,L660+DG659,DG659)</f>
        <v>23.918</v>
      </c>
      <c r="DH660" s="146">
        <f>IF(AND(L660&gt;DH$3,$C660="W"),1+DH659,0+DH659)</f>
        <v>16</v>
      </c>
      <c r="DI660" s="133">
        <f>IF(DH660&gt;DH659,L660+DI659,DI659)</f>
        <v>85.45999999999999</v>
      </c>
      <c r="DJ660" t="s" s="304">
        <f>IF($D658="","",$D658)</f>
        <v>467</v>
      </c>
      <c r="DK660" s="286"/>
    </row>
    <row r="661" ht="14.55" customHeight="1">
      <c r="A661" s="171">
        <f>$A658+1</f>
        <v>220</v>
      </c>
      <c r="B661" t="s" s="172">
        <f>IF(AND(_xlfn.XLOOKUP(H661,H$122:H434,G$122:G434,0)=G661,_xlfn.XLOOKUP("TempoBet",K661:K663,L661:L663,0)&gt;0),"X",IF(OR(C661="W",C662="W",C663="W",C661="1/2W",C662="1/2W",C663="1/2W",C661="1/2L",C662="1/2L",C663="1/2L"),"OK",IF(OR(C661="L",C662="L",C663="L"),"LOSS",IF(OR(C661="X",C662="X",C663="X"),"Anulado"," "))))</f>
        <v>50</v>
      </c>
      <c r="C661" t="s" s="173">
        <v>56</v>
      </c>
      <c r="D661" t="s" s="305">
        <f>IF(G661="","",$D658)</f>
        <v>467</v>
      </c>
      <c r="E661" t="s" s="175">
        <f>IF(G661=""," ","– "&amp;COUNTIF(D$4:D663,$D661))</f>
        <v>108</v>
      </c>
      <c r="F661" t="s" s="176">
        <f>IF(G661="","",IF(OR(AND($C661&lt;&gt;" ",$C662=" "),AND($C662&lt;&gt;" ",$C661=" "),AND(L663&gt;0,OR(AND($C663&lt;&gt;" ",OR($C661=" ",$C662=" ")),AND($C663=" ",OR($C661&lt;&gt;" ",$C662&lt;&gt;" "))))),IF(SUM(F$4:F660)=0,1,LARGE(F$4:F660,1)+1),IF(MONTH(G661)=MONTH(TODAY()),IF(AND(DAY(G661)&lt;DAY(TODAY()),$B661=" "),IF(SUM(F$4:F660)=0,1,LARGE(F$4:F660,1)+1),IF($B661=" ",IF(AND(DAY(G661)=DAY(TODAY()),HOUR(G661)&lt;=HOUR(NOW())+1),IF(AND(HOUR(G661)+2&lt;=HOUR(NOW()),DAY(G661)&lt;=DAY(TODAY()),MINUTE(G661)&lt;=MINUTE(NOW())),IF(SUM(F$4:F660)=0,1,LARGE(F$4:F660,1)+1),IF(OR(MINUTE(G661)&lt;=MINUTE(NOW()),HOUR(G661)&lt;=HOUR(NOW())),"!!!","")),""),"")),"")))</f>
      </c>
      <c r="G661" s="177">
        <v>44956.375</v>
      </c>
      <c r="H661" t="s" s="178">
        <v>474</v>
      </c>
      <c r="I661" t="s" s="179">
        <v>65</v>
      </c>
      <c r="J661" s="291">
        <v>2</v>
      </c>
      <c r="K661" t="s" s="181">
        <v>44</v>
      </c>
      <c r="L661" s="182">
        <v>1.552</v>
      </c>
      <c r="M661" s="183">
        <v>17.35</v>
      </c>
      <c r="N661" s="184">
        <v>0</v>
      </c>
      <c r="O661" s="185">
        <f>IF(OR(AE661="",AE662=""),"",ROUND(IF(L663&gt;0,IF(M661&gt;0,M661,IF(M662&gt;0,ROUND((M662*AE661)/AE662,IF(N661=0,2,IF(N661=0.1,1,0))),ROUND((M663*AE661)/AE663,IF(N661=0,2,IF(N661=0.1,1,0))))),IF(M661&gt;0,M661,ROUND((M662*AE661)/AE662,IF(N661=0,2,IF(N661=0.1,1,0))))),2))</f>
        <v>17.35</v>
      </c>
      <c r="P661" s="186">
        <f>IF(OR(L661="",O661=""),"",IF($C661="1/2W",O661/2+O661/2*L661,IF($C661="1/2L",O661/2,IF(I661="Lay",(O661*(L661/(L661-1))-O661)*(1-_xlfn.XLOOKUP(K661,'Janeiro 2023 - Valor Real'!A3:A15,'Janeiro 2023 - Valor Real'!C3:C15,0))+O661,(O661*L661-O661)*(1-_xlfn.XLOOKUP(K661,'Janeiro 2023 - Valor Real'!A3:A15,'Janeiro 2023 - Valor Real'!C3:C15,0))+O661))))</f>
        <v>26.9272</v>
      </c>
      <c r="Q661" s="187">
        <f>IF(K661="","",IF(_xlfn.XLOOKUP(K661,K$122:K434,DJ$122:DJ434,0,,-1)=DJ661,_xlfn.XLOOKUP(K661,K$122:K434,Q$122:Q434,1,,-1)+1,1))</f>
        <v>1</v>
      </c>
      <c r="R661" s="188">
        <f>IF(K661="","",_xlfn.XLOOKUP(K661,K$122:K434,R$122:R434,0,,-1)+IF($C661=" ",1,0))</f>
        <v>0</v>
      </c>
      <c r="S661" s="189">
        <f>IF($B661="Anulado",0,ROUND(IF(OR($B661="LOSS",$B661="OK"),IF(OR($C661="W",$C661="1/2W",$C661="1/2L"),P661-O661,IF($C661="L",-O661,0))+IF(OR($C662="W",$C662="1/2W",$C662="1/2L"),P662-O662,IF($C662="L",-O662,0))+IF(OR($C663="W",$C663="1/2W",$C663="1/2L"),P663-O663,IF($C663="L",-O663,0)),IF(AND(OR($C661="W",$C661="1/2W",$C661="1/2L"),C662="W"),P661+P662-SUM(O661:O663)+_xlfn.XLOOKUP("X",C661:C663,O661:O663,0),IF(AND(C661=TRUE,C663="W"),P661+P663-SUM(O661:O663),IF(AND(C662="W",C663="W"),P662+P663-SUM(O661:O663)+_xlfn.XLOOKUP("X",C661:C663,O661:O663,0),IF(L663&gt;0,IF(OR($C661="W",$C661="1/2W",$C661="1/2L"),P661-SUM(O661:O663)+_xlfn.XLOOKUP("X",C661:C663,O661:O663,0),IF(OR($C661="W",$C661="1/2W",$C661="1/2L"),P662-SUM(O661:O663)+_xlfn.XLOOKUP("X",C661:C663,O661:O663,0),IF(OR($C661="W",$C661="1/2W",$C661="1/2L"),P663-SUM(O661:O663)+_xlfn.XLOOKUP("X",C661:C663,O661:O663,0),IF(SUM(P661:P663)/3-SUM(O661:O663)+_xlfn.XLOOKUP("X",C661:C663,O661:O663,0)&gt;0,SUM(P661:P663)/3-SUM(O661:O663)+_xlfn.XLOOKUP("X",C661:C663,O661:O663,0),LARGE(P661:P663,1)-SUM(O661:O663))))),IF(OR($C661="W",$C661="1/2W",$C661="1/2L"),P661-SUM(O661:O662)+_xlfn.XLOOKUP("X",C661:C663,O661:O663,0),IF(OR($C661="W",$C661="1/2W",$C661="1/2L"),P662-SUM(O661:O662)+_xlfn.XLOOKUP("X",C661:C663,O661:O663,0),SUM(P661:P662)/2-SUM(O661:O662)+_xlfn.XLOOKUP("X",C661:C663,O661:O663,0)))))))),2))</f>
        <v>2.08</v>
      </c>
      <c r="T661" s="190">
        <f>IF(S661=0,0,S661/SUM(O661:O663))</f>
        <v>0.0837022132796781</v>
      </c>
      <c r="U661" s="191">
        <f>IF($D661=$D658,IF(OR($B661="LOSS",$B661="OK",$B661="Anulada"),S661,0)+U658,IF(OR($B661="LOSS",$B661="OK",$B661="Anulada"),S661,0))</f>
        <v>6.9</v>
      </c>
      <c r="V661" s="191">
        <f>IF($D661="",0,IF($D661=$D658,IF($B661=" ",IF(I663="",IF(OR(AND(I661="DNB1",I662="DNB2"),AND(OR(I661="DNB1",I661="DNB2"),J662=0),AND(OR(I662="DNB1",I662="DNB2"),J661=0),AND(I661="DNB2",I662="DNB1"),AND(IF(J661=0,(J661+1)/ROUND(J661+1,0),J661/ROUND(J661,0))=1,IF(J662=0,(J662+1)/ROUND(IF(J662="",0,J662)+1,0),IF(J662="",0,J662)/ROUND(IF(J662="",1,J662),0))=1,OR(J661&lt;&gt;""),J662&lt;&gt;"")),0,IF(S661&lt;0,IF(I663="",SMALL(P661:P662,1)-SUM(O661:O662),0),SMALL(P661:P662,1)-SUM(O661:O662))),IF(S661&lt;0,IF(I663="",SMALL(P661:P663,1)-SUM(O661:O663),0),LARGE(P661:P663,1)-SUM(O661:O663))),S661)+V658,IF(I663="",IF(OR(AND(I661="DNB1",I662="DNB2"),AND(OR(I661="DNB1",I661="DNB2"),J662=0),AND(OR(I662="DNB1",I662="DNB2"),J661=0),AND(I661="DNB2",I662="DNB1"),AND(IF(J661=0,(J661+1)/ROUND(J661+1,0),J661/ROUND(J661,0))=1,IF(J662=0,(IF(J662="",0,J662)+1)/ROUND(IF(J662="",0,J662)+1,0),IF(J662="",0,J662)/ROUND(IF(J662="",0,J662)+1,0))=1,OR(J661&lt;&gt;""),J662&lt;&gt;"")),0,IF(S661&lt;0,IF(I663="",SMALL(P661:P662,1)-SUM(O661:O662),0),SMALL(P661:P663,1)-SUM(O661:O663))),IF(S661&lt;0,IF(I663="",SMALL(P661:P663,1)-SUM(O661:O663),0),LARGE(P661:P663,1)-SUM(O661:O663)))))</f>
        <v>6.898</v>
      </c>
      <c r="W661" s="191">
        <f>IF($D661=$D658,IF(S661&lt;0,IF(I663="",S661,0),S661)+W658,S661)</f>
        <v>6.9</v>
      </c>
      <c r="X661" t="s" s="192">
        <f>IF(OR(SUM(R661:R663)=0,V661=W661),ROUND(IF(W661=0,0,W661/Y661)*100,2)&amp;"%",ROUND(IF(V661=0,0,V661/Y661)*100,2)&amp;"% a "&amp;ROUND(IF(W661=0,0,W661/Y661)*100,2)&amp;"%")</f>
        <v>475</v>
      </c>
      <c r="Y661" s="193">
        <f>IF($D661=$D658,Y658+SUM(O661:O663),SUM(O661:O663))</f>
        <v>176.73</v>
      </c>
      <c r="Z661" s="191">
        <f>IF($B661=" ",SUM(O661:O663),0)+Z658</f>
        <v>0</v>
      </c>
      <c r="AA661" s="191">
        <f>IF(G661="","",IF($B661="Anulado",LARGE(P661:P663,1)-SUM(O661:O663)+AA658,AA658))</f>
        <v>27.7065076923077</v>
      </c>
      <c r="AB661" s="191">
        <f>IF($D661="","",AB658+S661)</f>
        <v>468.13</v>
      </c>
      <c r="AC661" s="194">
        <f>IF($D661="","",IF($B661=" ",IF(DAY(G661)=DAY(TODAY()),1+AC658,0+AC658),0+AC658))</f>
        <v>0</v>
      </c>
      <c r="AD661" s="195">
        <f>(((L662/(L662-1)-1)*(1-_xlfn.XLOOKUP(K662,'Janeiro 2023 - Valor Real'!A3:A15,'Janeiro 2023 - Valor Real'!C3:C15,0))+1))/(((L661-1)*(1-_xlfn.XLOOKUP(K661,'Janeiro 2023 - Valor Real'!A3:A15,'Janeiro 2023 - Valor Real'!C3:C15,0))+1)+((L662/(L662-1)-1)*(1-_xlfn.XLOOKUP(K662,'Janeiro 2023 - Valor Real'!A3:A15,'Janeiro 2023 - Valor Real'!C3:C15,0))+1))</f>
        <v>0.526724329119539</v>
      </c>
      <c r="AE661" s="196">
        <f>IF(L661="","",IF(L663&gt;0,(SUM(((L661-1)*(1-_xlfn.XLOOKUP(K661,'Janeiro 2023 - Valor Real'!A3:A15,'Janeiro 2023 - Valor Real'!C3:C15,0))+1),((L662-1)*(1-_xlfn.XLOOKUP(K662,'Janeiro 2023 - Valor Real'!A3:A15,'Janeiro 2023 - Valor Real'!C3:C15,0))+1),((L663-1)*(1-_xlfn.XLOOKUP(K663,'Janeiro 2023 - Valor Real'!A3:A15,'Janeiro 2023 - Valor Real'!C3:C15,0))+1))/((L661-1)*(1-_xlfn.XLOOKUP(K661,'Janeiro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Real'!C3:C15,0))+1))/((L661-1)*(1-_xlfn.XLOOKUP(K661,'Janeiro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Real'!C3:C15,0))+1))/((L662-1)*(1-_xlfn.XLOOKUP(K662,'Janeiro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Real'!C3:C15,0))+1))/((L663-1)*(1-_xlfn.XLOOKUP(K663,'Janeiro 2023 - Valor Real'!A3:A15,'Janeiro 2023 - Valor Real'!C3:C15,0))+1)),IF(I661="Lay",IF(I662="Lay",((L662/(L662-1)-1)*(1-_xlfn.XLOOKUP(K662,'Janeiro 2023 - Valor Real'!A3:A15,'Janeiro 2023 - Valor Real'!C3:C15,0))+1)/(((L662/(L662-1)-1)*(1-_xlfn.XLOOKUP(K662,'Janeiro 2023 - Valor Real'!A3:A15,'Janeiro 2023 - Valor Real'!C3:C15,0))+1)+((L661/(L661-1)-1)*(1-_xlfn.XLOOKUP(K661,'Janeiro 2023 - Valor Real'!A3:A15,'Janeiro 2023 - Valor Real'!C3:C15,0))+1)),((L662-1)*(1-_xlfn.XLOOKUP(K662,'Janeiro 2023 - Valor Real'!A3:A15,'Janeiro 2023 - Valor Real'!C3:C15,0))+1)/(((L662-1)*(1-_xlfn.XLOOKUP(K662,'Janeiro 2023 - Valor Real'!A3:A15,'Janeiro 2023 - Valor Real'!C3:C15,0))+1)+((L661/(L661-1)-1)*(1-_xlfn.XLOOKUP(K661,'Janeiro 2023 - Valor Real'!A3:A15,'Janeiro 2023 - Valor Real'!C3:C15,0))+1))),IF(I662="Lay",(((L662/(L662-1)-1)*(1-_xlfn.XLOOKUP(K662,'Janeiro 2023 - Valor Real'!A3:A15,'Janeiro 2023 - Valor Real'!C3:C15,0))+1))/(((L661-1)*(1-_xlfn.XLOOKUP(K661,'Janeiro 2023 - Valor Real'!A3:A15,'Janeiro 2023 - Valor Real'!C3:C15,0))+1)+((L662/(L662-1)-1)*(1-_xlfn.XLOOKUP(K662,'Janeiro 2023 - Valor Real'!A3:A15,'Janeiro 2023 - Valor Real'!C3:C15,0))+1)),((L662-1)*(1-_xlfn.XLOOKUP(K662,'Janeiro 2023 - Valor Real'!A3:A15,'Janeiro 2023 - Valor Real'!C3:C15,0))+1)/(((L662-1)*(1-_xlfn.XLOOKUP(K662,'Janeiro 2023 - Valor Real'!A3:A15,'Janeiro 2023 - Valor Real'!C3:C15,0))+1)+((L661-1)*(1-_xlfn.XLOOKUP(K661,'Janeiro 2023 - Valor Real'!A3:A15,'Janeiro 2023 - Valor Real'!C3:C15,0))+1))))))</f>
        <v>0.50919771879422</v>
      </c>
      <c r="AF661" s="197">
        <f>IF($K661=AF$3,ROUND(IF(OR($C661="W",$C661="1/2W",$C661="1/2L"),$P661-$O661,IF($C661="X",0,-$O661)),2),0)</f>
        <v>0</v>
      </c>
      <c r="AG661" s="198">
        <f>IF($K661=AG$3,ROUND(IF(OR($C661="W",$C661="1/2W",$C661="1/2L"),$P661-$O661,IF($C661="X",0,-$O661)),2),0)</f>
        <v>0</v>
      </c>
      <c r="AH661" s="198">
        <f>IF($K661=AH$3,ROUND(IF(OR($C661="W",$C661="1/2W",$C661="1/2L"),$P661-$O661,IF($C661="X",0,-$O661)),2),0)</f>
        <v>0</v>
      </c>
      <c r="AI661" s="198">
        <f>IF($K661=AI$3,ROUND(IF(OR($C661="W",$C661="1/2W",$C661="1/2L"),$P661-$O661,IF($C661="X",0,-$O661)),2),0)</f>
        <v>0</v>
      </c>
      <c r="AJ661" s="198">
        <f>IF($K661=AJ$3,ROUND(IF(OR($C661="W",$C661="1/2W",$C661="1/2L"),$P661-$O661,IF($C661="X",0,-$O661)),2),0)</f>
        <v>0</v>
      </c>
      <c r="AK661" s="198">
        <f>IF($K661=AK$3,ROUND(IF(OR($C661="W",$C661="1/2W",$C661="1/2L"),$P661-$O661,IF($C661="X",0,-$O661)),2),0)</f>
        <v>0</v>
      </c>
      <c r="AL661" s="198">
        <f>IF($K661=AL$3,ROUND(IF(OR($C661="W",$C661="1/2W",$C661="1/2L"),$P661-$O661,IF($C661="X",0,-$O661)),2),0)</f>
        <v>0</v>
      </c>
      <c r="AM661" s="198">
        <f>IF($K661=AM$3,ROUND(IF(OR($C661="W",$C661="1/2W",$C661="1/2L"),$P661-$O661,IF($C661="X",0,-$O661)),2),0)</f>
        <v>9.58</v>
      </c>
      <c r="AN661" s="198">
        <f>IF($K661=AN$3,ROUND(IF(OR($C661="W",$C661="1/2W",$C661="1/2L"),$P661-$O661,IF($C661="X",0,-$O661)),2),0)</f>
        <v>0</v>
      </c>
      <c r="AO661" s="198">
        <f>IF($K661=AO$3,ROUND(IF(OR($C661="W",$C661="1/2W",$C661="1/2L"),$P661-$O661,IF($C661="X",0,-$O661)),2),0)</f>
        <v>0</v>
      </c>
      <c r="AP661" s="198">
        <f>IF($K661=AP$3,ROUND(IF(OR($C661="W",$C661="1/2W",$C661="1/2L"),$P661-$O661,IF($C661="X",0,-$O661)),2),0)</f>
        <v>0</v>
      </c>
      <c r="AQ661" s="198">
        <f>IF($K661=AQ$3,ROUND(IF(OR($C661="W",$C661="1/2W",$C661="1/2L"),$P661-$O661,IF($C661="X",0,-$O661)),2),0)</f>
        <v>0</v>
      </c>
      <c r="AR661" s="199">
        <f>IF($K661=AR$3,ROUND(IF(OR($C661="W",$C661="1/2W",$C661="1/2L"),$P661-$O661,IF($C661="X",0,-$O661)),2),0)</f>
        <v>0</v>
      </c>
      <c r="AS661" s="197">
        <f>IF(AND($B661=" ",$K661=AS$3),$O661,0)</f>
        <v>0</v>
      </c>
      <c r="AT661" s="198">
        <f>IF(AND($B661=" ",$K661=AT$3),$O661,0)</f>
        <v>0</v>
      </c>
      <c r="AU661" s="198">
        <f>IF(AND($B661=" ",$K661=AU$3),$O661,0)</f>
        <v>0</v>
      </c>
      <c r="AV661" s="198">
        <f>IF(AND($B661=" ",$K661=AV$3),$O661,0)</f>
        <v>0</v>
      </c>
      <c r="AW661" s="198">
        <f>IF(AND($B661=" ",$K661=AW$3),$O661,0)</f>
        <v>0</v>
      </c>
      <c r="AX661" s="198">
        <f>IF(AND($B661=" ",$K661=AX$3),$O661,0)</f>
        <v>0</v>
      </c>
      <c r="AY661" s="200">
        <f>IF(AND($B661=" ",$K661=AY$3),$O661,0)</f>
        <v>0</v>
      </c>
      <c r="AZ661" s="201">
        <f>IF(AND($B661=" ",$K661=AZ$3),$O661,0)</f>
        <v>0</v>
      </c>
      <c r="BA661" s="201">
        <f>IF(AND($B661=" ",$K661=BA$3),$O661,0)</f>
        <v>0</v>
      </c>
      <c r="BB661" s="201">
        <f>IF(AND($B661=" ",$K661=BB$3),$O661,0)</f>
        <v>0</v>
      </c>
      <c r="BC661" s="202">
        <f>IF(AND($B661=" ",$K661=BC$3),$O661,0)</f>
        <v>0</v>
      </c>
      <c r="BD661" s="198">
        <f>IF(AND($B661=" ",$K661=BD$3),$O661,0)</f>
        <v>0</v>
      </c>
      <c r="BE661" s="199">
        <f>IF(AND($B661=" ",$K661=BE$3),$O661,0)</f>
        <v>0</v>
      </c>
      <c r="BF661" s="203">
        <f>IF($K661=BF$3,IF($C661="X",0,$O661),0)</f>
        <v>0</v>
      </c>
      <c r="BG661" s="198">
        <f>IF($K661=BG$3,IF($C661="X",0,$O661),0)</f>
        <v>0</v>
      </c>
      <c r="BH661" s="198">
        <f>IF($K661=BH$3,IF($C661="X",0,$O661),0)</f>
        <v>0</v>
      </c>
      <c r="BI661" s="198">
        <f>IF($K661=BI$3,IF($C661="X",0,$O661),0)</f>
        <v>0</v>
      </c>
      <c r="BJ661" s="198">
        <f>IF($K661=BJ$3,IF($C661="X",0,$O661),0)</f>
        <v>0</v>
      </c>
      <c r="BK661" s="198">
        <f>IF($K661=BK$3,IF($C661="X",0,$O661),0)</f>
        <v>0</v>
      </c>
      <c r="BL661" s="198">
        <f>IF($K661=BL$3,IF($C661="X",0,$O661),0)</f>
        <v>0</v>
      </c>
      <c r="BM661" s="200">
        <f>IF($K661=BM$3,IF($C661="X",0,$O661),0)</f>
        <v>17.35</v>
      </c>
      <c r="BN661" s="201">
        <f>IF($K661=BN$3,IF($C661="X",0,$O661),0)</f>
        <v>0</v>
      </c>
      <c r="BO661" s="201">
        <f>IF($K661=BO$3,IF($C661="X",0,$O661),0)</f>
        <v>0</v>
      </c>
      <c r="BP661" s="201">
        <f>IF($K661=BP$3,IF($C661="X",0,$O661),0)</f>
        <v>0</v>
      </c>
      <c r="BQ661" s="202">
        <f>IF($K661=BQ$3,IF($C661="X",0,$O661),0)</f>
        <v>0</v>
      </c>
      <c r="BR661" s="199">
        <f>IF($K661=BR$3,IF($C661="X",0,$O661),0)</f>
        <v>0</v>
      </c>
      <c r="BS661" s="204">
        <f>IF($B661="LOSS",IF(AND($K661=BS$3,$C661="L"),-$O661,0)+IF(AND($K662=BS$3,$C662="L"),-$O662,0)+IF(AND($K663=BS$3,$C663="L"),-$O663,0),IF(OR(AND($K661=BS$3,OR($C661="W",$C661="1/2W")),AND($K662=BS$3,OR($C662="W",$C662="1/2W")),AND($K663=BS$3,OR($C663="W",$C663="1/2W"))),$S661,0))</f>
        <v>0</v>
      </c>
      <c r="BT661" s="201">
        <f>IF($B661="LOSS",IF(AND($K661=BT$3,$C661="L"),-$O661,0)+IF(AND($K662=BT$3,$C662="L"),-$O662,0)+IF(AND($K662=BT$3,$C663="L"),-$O663,0),IF(OR(AND($K662=BT$3,OR($C661="W",$C661="1/2W")),AND($K662=BT$3,OR($C662="W",$C662="1/2W")),AND($K662=BT$3,OR($C663="W",$C663="1/2W"))),$S661,0))</f>
        <v>0</v>
      </c>
      <c r="BU661" s="201">
        <f>IF($B661="LOSS",IF(AND($K661=BU$3,$C661="L"),-$O661,0)+IF(AND($K662=BU$3,$C662="L"),-$O662,0)+IF(AND($K662=BU$3,$C663="L"),-$O663,0),IF(OR(AND($K662=BU$3,OR($C661="W",$C661="1/2W")),AND($K662=BU$3,OR($C662="W",$C662="1/2W")),AND($K662=BU$3,OR($C663="W",$C663="1/2W"))),$S661,0))</f>
        <v>0</v>
      </c>
      <c r="BV661" s="201">
        <f>IF($B661="LOSS",IF(AND($K661=BV$3,$C661="L"),-$O661,0)+IF(AND($K662=BV$3,$C662="L"),-$O662,0)+IF(AND($K663=BV$3,$C663="L"),-$O663,0),IF(OR(AND($K661=BV$3,OR($C661="W",$C661="1/2W")),AND($K662=BV$3,OR($C662="W",$C662="1/2W")),AND($K663=BV$3,OR($C663="W",$C663="1/2W"))),$S661,0))</f>
        <v>0</v>
      </c>
      <c r="BW661" s="201">
        <f>IF($B661="LOSS",IF(AND($K661=BW$3,$C661="L"),-$O661,0)+IF(AND($K662=BW$3,$C662="L"),-$O662,0)+IF(AND($K663=BW$3,$C663="L"),-$O663,0),IF(OR(AND($K661=BW$3,OR($C661="W",$C661="1/2W")),AND($K662=BW$3,OR($C662="W",$C662="1/2W")),AND($K663=BW$3,OR($C663="W",$C663="1/2W"))),$S661,0))</f>
        <v>0</v>
      </c>
      <c r="BX661" s="201">
        <f>IF($B661="LOSS",IF(AND($K661=BX$3,$C661="L"),-$O661,0)+IF(AND($K662=BX$3,$C662="L"),-$O662,0)+IF(AND($K663=BX$3,$C663="L"),-$O663,0),IF(OR(AND($K661=BX$3,OR($C661="W",$C661="1/2W")),AND($K662=BX$3,OR($C662="W",$C662="1/2W")),AND($K663=BX$3,OR($C663="W",$C663="1/2W"))),$S661,0))</f>
        <v>0</v>
      </c>
      <c r="BY661" s="201">
        <f>IF($B661="LOSS",IF(AND($K661=BY$3,$C661="L"),-$O661,0)+IF(AND($K662=BY$3,$C662="L"),-$O662,0)+IF(AND($K663=BY$3,$C663="L"),-$O663,0),IF(OR(AND($K661=BY$3,OR($C661="W",$C661="1/2W")),AND($K662=BY$3,OR($C662="W",$C662="1/2W")),AND($K663=BY$3,OR($C663="W",$C663="1/2W"))),$S661,0))</f>
        <v>0</v>
      </c>
      <c r="BZ661" s="205">
        <f>IF($B661="LOSS",IF(AND($K661=BZ$3,$C661="L"),-$O661,0)+IF(AND($K662=BZ$3,$C662="L"),-$O662,0)+IF(AND($K663=BZ$3,$C663="L"),-$O663,0),IF(OR(AND($K661=BZ$3,OR($C661="W",$C661="1/2W")),AND($K662=BZ$3,OR($C662="W",$C662="1/2W")),AND($K663=BZ$3,OR($C663="W",$C663="1/2W"))),$S661,0))</f>
        <v>2.08</v>
      </c>
      <c r="CA661" s="205">
        <f>IF($B661="LOSS",IF(AND($K661=CA$3,$C661="L"),-$O661,0)+IF(AND($K662=CA$3,$C662="L"),-$O662,0)+IF(AND($K663=CA$3,$C663="L"),-$O663,0),IF(OR(AND($K661=CA$3,OR($C661="W",$C661="1/2W")),AND($K662=CA$3,OR($C662="W",$C662="1/2W")),AND($K663=CA$3,OR($C663="W",$C663="1/2W"))),$S661,0))</f>
        <v>0</v>
      </c>
      <c r="CB661" s="205">
        <f>IF($B661="LOSS",IF(AND($K661=CB$3,$C661="L"),-$O661,0)+IF(AND($K662=CB$3,$C662="L"),-$O662,0)+IF(AND($K663=CB$3,$C663="L"),-$O663,0),IF(OR(AND($K661=CB$3,OR($C661="W",$C661="1/2W")),AND($K662=CB$3,OR($C662="W",$C662="1/2W")),AND($K663=CB$3,OR($C663="W",$C663="1/2W"))),$S661,0))</f>
        <v>0</v>
      </c>
      <c r="CC661" s="205">
        <f>IF($B661="LOSS",IF(AND($K661=CC$3,$C661="L"),-$O661,0)+IF(AND($K662=CC$3,$C662="L"),-$O662,0)+IF(AND($K663=CC$3,$C663="L"),-$O663,0),IF(OR(AND($K661=CC$3,OR($C661="W",$C661="1/2W")),AND($K662=CC$3,OR($C662="W",$C662="1/2W")),AND($K663=CC$3,OR($C663="W",$C663="1/2W"))),$S661,0))</f>
        <v>0</v>
      </c>
      <c r="CD661" s="202">
        <f>IF($B661="LOSS",IF(AND($K661=CD$3,$C661="L"),-$O661,0)+IF(AND($K662=CD$3,$C662="L"),-$O662,0)+IF(AND($K663=CD$3,$C663="L"),-$O663,0),IF(OR(AND($K661=CD$3,OR($C661="W",$C661="1/2W")),AND($K662=CD$3,OR($C662="W",$C662="1/2W")),AND($K663=CD$3,OR($C663="W",$C663="1/2W"))),$S661,0))</f>
        <v>0</v>
      </c>
      <c r="CE661" s="199">
        <f>IF($B661="LOSS",IF(AND($K661=CE$3,$C661="L"),-$O661,0)+IF(AND($K662=CE$3,$C662="L"),-$O662,0)+IF(AND($K663=CE$3,$C663="L"),-$O663,0),IF(OR(AND($K661=CE$3,OR($C661="W",$C661="1/2W")),AND($K662=CE$3,OR($C662="W",$C662="1/2W")),AND($K663=CE$3,OR($C663="W",$C663="1/2W"))),$S661,0))</f>
        <v>0</v>
      </c>
      <c r="CF661" s="206">
        <f>IF(CF$3=$K661,IF($C661="W",1,IF($C661="1/2W",0.5,0)),0)</f>
        <v>0</v>
      </c>
      <c r="CG661" s="207">
        <f>IF(CF$3=$K661,IF($C661="L",1,IF($C661="1/2L",0.5,0)),0)</f>
        <v>0</v>
      </c>
      <c r="CH661" s="207">
        <f>IF(CH$3=$K661,IF($C661="W",1,IF($C661="1/2W",0.5,0)),0)</f>
        <v>0</v>
      </c>
      <c r="CI661" s="207">
        <f>IF(CH$3=$K661,IF($C661="L",1,IF($C661="1/2L",0.5,0)),0)</f>
        <v>0</v>
      </c>
      <c r="CJ661" s="207">
        <f>IF(CJ$3=$K661,IF($C661="W",1,IF($C661="1/2W",0.5,0)),0)</f>
        <v>0</v>
      </c>
      <c r="CK661" s="207">
        <f>IF(CJ$3=$K661,IF($C661="L",1,IF($C661="1/2L",0.5,0)),0)</f>
        <v>0</v>
      </c>
      <c r="CL661" s="207">
        <f>IF(CL$3=$K661,IF($C661="W",1,IF($C661="1/2W",0.5,0)),0)</f>
        <v>0</v>
      </c>
      <c r="CM661" s="207">
        <f>IF(CL$3=$K661,IF($C661="L",1,IF($C661="1/2L",0.5,0)),0)</f>
        <v>0</v>
      </c>
      <c r="CN661" s="207">
        <f>IF(CN$3=$K661,IF($C661="W",1,IF($C661="1/2W",0.5,0)),0)</f>
        <v>0</v>
      </c>
      <c r="CO661" s="207">
        <f>IF(CN$3=$K661,IF($C661="L",1,IF($C661="1/2L",0.5,0)),0)</f>
        <v>0</v>
      </c>
      <c r="CP661" s="207">
        <f>IF(CP$3=$K661,IF($C661="W",1,IF($C661="1/2W",0.5,0)),0)</f>
        <v>0</v>
      </c>
      <c r="CQ661" s="207">
        <f>IF(CP$3=$K661,IF($C661="L",1,IF($C661="1/2L",0.5,0)),0)</f>
        <v>0</v>
      </c>
      <c r="CR661" s="207">
        <f>IF(CR$3=$K661,IF($C661="W",1,IF($C661="1/2W",0.5,0)),0)</f>
        <v>0</v>
      </c>
      <c r="CS661" s="207">
        <f>IF(CR$3=$K661,IF($C661="L",1,IF($C661="1/2L",0.5,0)),0)</f>
        <v>0</v>
      </c>
      <c r="CT661" s="208">
        <f>IF(CT$3=$K661,IF($C661="W",1,IF($C661="1/2W",0.5,0)),0)</f>
        <v>1</v>
      </c>
      <c r="CU661" s="209">
        <f>IF(CT$3=$K661,IF($C661="L",1,IF($C661="1/2L",0.5,0)),0)</f>
        <v>0</v>
      </c>
      <c r="CV661" s="209">
        <f>IF(CV$3=$K661,IF($C661="W",1,IF($C661="1/2W",0.5,0)),0)</f>
        <v>0</v>
      </c>
      <c r="CW661" s="209">
        <f>IF(CV$3=$K661,IF($C661="L",1,IF($C661="1/2L",0.5,0)),0)</f>
        <v>0</v>
      </c>
      <c r="CX661" s="209">
        <f>IF(CX$3=$K661,IF($C661="W",1,IF($C661="1/2W",0.5,0)),0)</f>
        <v>0</v>
      </c>
      <c r="CY661" s="209">
        <f>IF(CX$3=$K661,IF($C661="L",1,IF($C661="1/2L",0.5,0)),0)</f>
        <v>0</v>
      </c>
      <c r="CZ661" s="209">
        <f>IF(CZ$3=$K661,IF($C661="W",1,IF($C661="1/2W",0.5,0)),0)</f>
        <v>0</v>
      </c>
      <c r="DA661" s="209">
        <f>IF(CZ$3=$K661,IF($C661="L",1,IF($C661="1/2L",0.5,0)),0)</f>
        <v>0</v>
      </c>
      <c r="DB661" s="209">
        <f>IF(DB$3=$K661,IF($C661="W",1,IF($C661="1/2W",0.5,0)),0)</f>
        <v>0</v>
      </c>
      <c r="DC661" s="209">
        <f>IF(DB$3=$K661,IF($C661="L",1,IF($C661="1/2L",0.5,0)),0)</f>
        <v>0</v>
      </c>
      <c r="DD661" s="209">
        <f>IF(DD$3=$K661,IF($C661="W",1,IF($C661="1/2W",0.5,0)),0)</f>
        <v>0</v>
      </c>
      <c r="DE661" s="210">
        <f>IF(DD$3=$K661,IF($C661="L",1,IF($C661="1/2L",0.5,0)),0)</f>
        <v>0</v>
      </c>
      <c r="DF661" s="211">
        <f>IF(AND(L661&lt;DF$3,$C661="W"),1+DF660,DF660)</f>
        <v>18</v>
      </c>
      <c r="DG661" s="198">
        <f>IF(DF661&gt;DF660,L661+DG660,DG660)</f>
        <v>23.918</v>
      </c>
      <c r="DH661" s="209">
        <f>IF(AND(L661&gt;DH$3,$C661="W"),1+DH660,0+DH660)</f>
        <v>16</v>
      </c>
      <c r="DI661" s="198">
        <f>IF(DH661&gt;DH660,L661+DI660,DI660)</f>
        <v>85.45999999999999</v>
      </c>
      <c r="DJ661" t="s" s="306">
        <f>IF($D661="","",$D661)</f>
        <v>467</v>
      </c>
      <c r="DK661" s="209">
        <f>IF(AND($B661=" ",$D661&lt;&gt;""),1,0)</f>
        <v>0</v>
      </c>
    </row>
    <row r="662" ht="14.55" customHeight="1">
      <c r="A662" s="107"/>
      <c r="B662" s="108"/>
      <c r="C662" t="s" s="213">
        <v>51</v>
      </c>
      <c r="D662" s="110"/>
      <c r="E662" s="111"/>
      <c r="F662" s="113"/>
      <c r="G662" s="214"/>
      <c r="H662" s="114"/>
      <c r="I662" t="s" s="215">
        <v>67</v>
      </c>
      <c r="J662" s="296">
        <v>2.5</v>
      </c>
      <c r="K662" t="s" s="217">
        <v>40</v>
      </c>
      <c r="L662" s="218">
        <v>2.375</v>
      </c>
      <c r="M662" s="219">
        <v>4.03</v>
      </c>
      <c r="N662" s="120"/>
      <c r="O662" s="220">
        <f>IF(OR(AE661="",AE662=""),"",ROUND(IF(L663&gt;0,IF(M662&gt;0,M662,IF(M661&gt;0,IF(N661=TRUE,ROUND((M661*AE662)/AE661,0),(M661*AE662)/AE661),IF(M662&gt;0,ROUND(M662,IF(N661=0,2,IF(N661=0.1,1,0))),IF(M663&gt;0,ROUND(O663*AE662/AE663,IF(N661=0,2,IF(N661=0.1,1,0))),0)))),IF(M662&gt;0,M662,ROUND((M661*AE662)/AE661,IF(N661=0,2,IF(N661=0.1,1,0))))),2))</f>
        <v>4.03</v>
      </c>
      <c r="P662" s="221">
        <f>IF(OR(L662="",O662=""),"",IF($C662="1/2W",O662/2+O662/2*L662,IF($C662="1/2L",O662/2,IF(I662="Lay",((O662*(L662/(L662-1)))-O662)*(1-_xlfn.XLOOKUP(K662,'Janeiro 2023 - Valor Real'!A3:A15,'Janeiro 2023 - Valor Real'!C3:C15,0))+O662,(O662*L662-O662)*(1-_xlfn.XLOOKUP(K662,'Janeiro 2023 - Valor Real'!A3:A15,'Janeiro 2023 - Valor Real'!C3:C15,0))+O662))))</f>
        <v>9.571249999999999</v>
      </c>
      <c r="Q662" s="222">
        <f>IF(K662="","",IF(_xlfn.XLOOKUP(K662,K$123:K435,DJ$123:DJ435,0,,-1)=DJ662,_xlfn.XLOOKUP(K662,K$123:K435,Q$123:Q435,1,,-1)+1,1))</f>
        <v>1</v>
      </c>
      <c r="R662" s="223">
        <f>IF(K662="","",_xlfn.XLOOKUP(K662,K$123:K435,R$123:R435,0,,-1)+IF($C662=" ",1,0))</f>
        <v>0</v>
      </c>
      <c r="S662" s="125"/>
      <c r="T662" s="126"/>
      <c r="U662" s="126"/>
      <c r="V662" s="224"/>
      <c r="W662" s="126"/>
      <c r="X662" s="127"/>
      <c r="Y662" s="128"/>
      <c r="Z662" s="129"/>
      <c r="AA662" s="129"/>
      <c r="AB662" s="129"/>
      <c r="AC662" s="129"/>
      <c r="AD662" s="225">
        <f>(((L662/(L662-1)-1)*(1-_xlfn.XLOOKUP(K662,'Janeiro 2023 - Valor Real'!A3:A15,'Janeiro 2023 - Valor Real'!C3:C15,0))+1))</f>
        <v>1.72727272727273</v>
      </c>
      <c r="AE662" s="226">
        <f>IF(L662="","",IF(L663&gt;0,(SUM(((L661-1)*(1-_xlfn.XLOOKUP(K661,'Janeiro 2023 - Valor Real'!A3:A15,'Janeiro 2023 - Valor Real'!C3:C15,0))+1),((L662-1)*(1-_xlfn.XLOOKUP(K662,'Janeiro 2023 - Valor Real'!A3:A15,'Janeiro 2023 - Valor Real'!C3:C15,0))+1),((L663-1)*(1-_xlfn.XLOOKUP(K663,'Janeiro 2023 - Valor Real'!A3:A15,'Janeiro 2023 - Valor Real'!C3:C15,0))+1))/((L662-1)*(1-_xlfn.XLOOKUP(K662,'Janeiro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Real'!C3:C15,0))+1))/((L661-1)*(1-_xlfn.XLOOKUP(K661,'Janeiro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Real'!C3:C15,0))+1))/((L662-1)*(1-_xlfn.XLOOKUP(K662,'Janeiro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Real'!C3:C15,0))+1))/((L663-1)*(1-_xlfn.XLOOKUP(K663,'Janeiro 2023 - Valor Real'!A3:A15,'Janeiro 2023 - Valor Real'!C3:C15,0))+1)),IF(I662="Lay",IF(I661="Lay",((L661/(L661-1)-1)*(1-_xlfn.XLOOKUP(K661,'Janeiro 2023 - Valor Real'!A3:A15,'Janeiro 2023 - Valor Real'!C3:C15,0))+1)/(((L661/(L661-1)-1)*(1-_xlfn.XLOOKUP(K661,'Janeiro 2023 - Valor Real'!A3:A15,'Janeiro 2023 - Valor Real'!C3:C15,0))+1)+((L662/(L662-1)-1)*(1-_xlfn.XLOOKUP(K662,'Janeiro 2023 - Valor Real'!A3:A15,'Janeiro 2023 - Valor Real'!C3:C15,0))+1)),((L661-1)*(1-_xlfn.XLOOKUP(K661,'Janeiro 2023 - Valor Real'!A3:A15,'Janeiro 2023 - Valor Real'!C3:C15,0))+1)/(((L661-1)*(1-_xlfn.XLOOKUP(K661,'Janeiro 2023 - Valor Real'!A3:A15,'Janeiro 2023 - Valor Real'!C3:C15,0))+1)+((L662/(L662-1)-1)*(1-_xlfn.XLOOKUP(K662,'Janeiro 2023 - Valor Real'!A3:A15,'Janeiro 2023 - Valor Real'!C3:C15,0))+1))),IF(I661="Lay",((L661/(L661-1)-1)*(1-_xlfn.XLOOKUP(K661,'Janeiro 2023 - Valor Real'!A3:A15,'Janeiro 2023 - Valor Real'!C3:C15,0))+1)/((((L661/(L661-1)-1)*(1-_xlfn.XLOOKUP(K661,'Janeiro 2023 - Valor Real'!A3:A15,'Janeiro 2023 - Valor Real'!C3:C15,0))+1))+((L662-1)*(1-_xlfn.XLOOKUP(K662,'Janeiro 2023 - Valor Real'!A3:A15,'Janeiro 2023 - Valor Real'!C3:C15,0))+1)),((L661-1)*(1-_xlfn.XLOOKUP(K661,'Janeiro 2023 - Valor Real'!A3:A15,'Janeiro 2023 - Valor Real'!C3:C15,0))+1)/(((L661-1)*(1-_xlfn.XLOOKUP(K661,'Janeiro 2023 - Valor Real'!A3:A15,'Janeiro 2023 - Valor Real'!C3:C15,0))+1)+((L662-1)*(1-_xlfn.XLOOKUP(K662,'Janeiro 2023 - Valor Real'!A3:A15,'Janeiro 2023 - Valor Real'!C3:C15,0))+1))))))</f>
        <v>0.332747309292054</v>
      </c>
      <c r="AF662" s="197">
        <f>IF($K662=AF$3,ROUND(IF(OR($C662="W",$C662="1/2W",$C662="1/2L"),$P662-$O662,IF($C662="X",0,-$O662)),2),0)</f>
        <v>0</v>
      </c>
      <c r="AG662" s="198">
        <f>IF($K662=AG$3,ROUND(IF(OR($C662="W",$C662="1/2W",$C662="1/2L"),$P662-$O662,IF($C662="X",0,-$O662)),2),0)</f>
        <v>0</v>
      </c>
      <c r="AH662" s="198">
        <f>IF($K662=AH$3,ROUND(IF(OR($C662="W",$C662="1/2W",$C662="1/2L"),$P662-$O662,IF($C662="X",0,-$O662)),2),0)</f>
        <v>0</v>
      </c>
      <c r="AI662" s="198">
        <f>IF($K662=AI$3,ROUND(IF(OR($C662="W",$C662="1/2W",$C662="1/2L"),$P662-$O662,IF($C662="X",0,-$O662)),2),0)</f>
        <v>-4.03</v>
      </c>
      <c r="AJ662" s="198">
        <f>IF($K662=AJ$3,ROUND(IF(OR($C662="W",$C662="1/2W",$C662="1/2L"),$P662-$O662,IF($C662="X",0,-$O662)),2),0)</f>
        <v>0</v>
      </c>
      <c r="AK662" s="198">
        <f>IF($K662=AK$3,ROUND(IF(OR($C662="W",$C662="1/2W",$C662="1/2L"),$P662-$O662,IF($C662="X",0,-$O662)),2),0)</f>
        <v>0</v>
      </c>
      <c r="AL662" s="198">
        <f>IF($K662=AL$3,ROUND(IF(OR($C662="W",$C662="1/2W",$C662="1/2L"),$P662-$O662,IF($C662="X",0,-$O662)),2),0)</f>
        <v>0</v>
      </c>
      <c r="AM662" s="198">
        <f>IF($K662=AM$3,ROUND(IF(OR($C662="W",$C662="1/2W",$C662="1/2L"),$P662-$O662,IF($C662="X",0,-$O662)),2),0)</f>
        <v>0</v>
      </c>
      <c r="AN662" s="198">
        <f>IF($K662=AN$3,ROUND(IF(OR($C662="W",$C662="1/2W",$C662="1/2L"),$P662-$O662,IF($C662="X",0,-$O662)),2),0)</f>
        <v>0</v>
      </c>
      <c r="AO662" s="198">
        <f>IF($K662=AO$3,ROUND(IF(OR($C662="W",$C662="1/2W",$C662="1/2L"),$P662-$O662,IF($C662="X",0,-$O662)),2),0)</f>
        <v>0</v>
      </c>
      <c r="AP662" s="198">
        <f>IF($K662=AP$3,ROUND(IF(OR($C662="W",$C662="1/2W",$C662="1/2L"),$P662-$O662,IF($C662="X",0,-$O662)),2),0)</f>
        <v>0</v>
      </c>
      <c r="AQ662" s="198">
        <f>IF($K662=AQ$3,ROUND(IF(OR($C662="W",$C662="1/2W",$C662="1/2L"),$P662-$O662,IF($C662="X",0,-$O662)),2),0)</f>
        <v>0</v>
      </c>
      <c r="AR662" s="199">
        <f>IF($K662=AR$3,ROUND(IF(OR($C662="W",$C662="1/2W",$C662="1/2L"),$P662-$O662,IF($C662="X",0,-$O662)),2),0)</f>
        <v>0</v>
      </c>
      <c r="AS662" s="197">
        <f>IF(AND($B661=" ",$K662=AS$3),$O662,0)</f>
        <v>0</v>
      </c>
      <c r="AT662" s="198">
        <f>IF(AND($B661=" ",K662=AT$3),$O662,0)</f>
        <v>0</v>
      </c>
      <c r="AU662" s="198">
        <f>IF(AND($B661=" ",$K662=AU$3),$O662,0)</f>
        <v>0</v>
      </c>
      <c r="AV662" s="198">
        <f>IF(AND($B661=" ",$K662=AV$3),$O662,0)</f>
        <v>0</v>
      </c>
      <c r="AW662" s="198">
        <f>IF(AND($B661=" ",$K662=AW$3),$O662,0)</f>
        <v>0</v>
      </c>
      <c r="AX662" s="198">
        <f>IF(AND($B661=" ",$K662=AX$3),$O662,0)</f>
        <v>0</v>
      </c>
      <c r="AY662" s="200">
        <f>IF(AND($B661=" ",$K662=AY$3),$O662,0)</f>
        <v>0</v>
      </c>
      <c r="AZ662" s="201">
        <f>IF(AND($B661=" ",$K662=AZ$3),$O662,0)</f>
        <v>0</v>
      </c>
      <c r="BA662" s="201">
        <f>IF(AND($B661=" ",$K662=BA$3),$O662,0)</f>
        <v>0</v>
      </c>
      <c r="BB662" s="201">
        <f>IF(AND($B661=" ",$K662=BB$3),$O662,0)</f>
        <v>0</v>
      </c>
      <c r="BC662" s="202">
        <f>IF(AND($B661=" ",$K662=BC$3),$O662,0)</f>
        <v>0</v>
      </c>
      <c r="BD662" s="198">
        <f>IF(AND($B661=" ",$K662=BD$3),$O662,0)</f>
        <v>0</v>
      </c>
      <c r="BE662" s="199">
        <f>IF(AND($B661=" ",$K662=BE$3),$O662,0)</f>
        <v>0</v>
      </c>
      <c r="BF662" s="197">
        <f>IF($K662=BF$3,IF($C662="X",0,$O662),0)</f>
        <v>0</v>
      </c>
      <c r="BG662" s="198">
        <f>IF($K662=BG$3,IF($C662="X",0,$O662),0)</f>
        <v>0</v>
      </c>
      <c r="BH662" s="198">
        <f>IF($K662=BH$3,IF($C662="X",0,$O662),0)</f>
        <v>0</v>
      </c>
      <c r="BI662" s="198">
        <f>IF($K662=BI$3,IF($C662="X",0,$O662),0)</f>
        <v>4.03</v>
      </c>
      <c r="BJ662" s="198">
        <f>IF($K662=BJ$3,IF($C662="X",0,$O662),0)</f>
        <v>0</v>
      </c>
      <c r="BK662" s="198">
        <f>IF($K662=BK$3,IF($C662="X",0,$O662),0)</f>
        <v>0</v>
      </c>
      <c r="BL662" s="198">
        <f>IF($K662=BL$3,IF($C662="X",0,$O662),0)</f>
        <v>0</v>
      </c>
      <c r="BM662" s="227">
        <f>IF($K662=BM$3,IF($C662="X",0,$O662),0)</f>
        <v>0</v>
      </c>
      <c r="BN662" s="205">
        <f>IF($K662=BN$3,IF($C662="X",0,$O662),0)</f>
        <v>0</v>
      </c>
      <c r="BO662" s="205">
        <f>IF($K662=BO$3,IF($C662="X",0,$O662),0)</f>
        <v>0</v>
      </c>
      <c r="BP662" s="205">
        <f>IF($K662=BP$3,IF($C662="X",0,$O662),0)</f>
        <v>0</v>
      </c>
      <c r="BQ662" s="202">
        <f>IF($K662=BQ$3,IF($C662="X",0,$O662),0)</f>
        <v>0</v>
      </c>
      <c r="BR662" s="199">
        <f>IF($K662=BR$3,IF($C662="X",0,$O662),0)</f>
        <v>0</v>
      </c>
      <c r="BS662" s="228"/>
      <c r="BT662" s="229"/>
      <c r="BU662" s="140"/>
      <c r="BV662" s="229"/>
      <c r="BW662" s="140"/>
      <c r="BX662" s="140"/>
      <c r="BY662" s="140"/>
      <c r="BZ662" s="229"/>
      <c r="CA662" s="140"/>
      <c r="CB662" s="140"/>
      <c r="CC662" s="140"/>
      <c r="CD662" s="141"/>
      <c r="CE662" s="142"/>
      <c r="CF662" s="230">
        <f>IF(CF$3=$K662,IF($C662="W",1,IF($C662="1/2W",0.5,0)),0)</f>
        <v>0</v>
      </c>
      <c r="CG662" s="231">
        <f>IF(CF$3=$K662,IF($C662="L",1,IF($C662="1/2L",0.5,0)),0)</f>
        <v>0</v>
      </c>
      <c r="CH662" s="231">
        <f>IF(CH$3=$K662,IF($C662="W",1,IF($C662="1/2W",0.5,0)),0)</f>
        <v>0</v>
      </c>
      <c r="CI662" s="231">
        <f>IF(CH$3=$K662,IF($C662="L",1,IF($C662="1/2L",0.5,0)),0)</f>
        <v>0</v>
      </c>
      <c r="CJ662" s="231">
        <f>IF(CJ$3=$K662,IF($C662="W",1,IF($C662="1/2W",0.5,0)),0)</f>
        <v>0</v>
      </c>
      <c r="CK662" s="231">
        <f>IF(CJ$3=$K662,IF($C662="L",1,IF($C662="1/2L",0.5,0)),0)</f>
        <v>0</v>
      </c>
      <c r="CL662" s="231">
        <f>IF(CL$3=$K662,IF($C662="W",1,IF($C662="1/2W",0.5,0)),0)</f>
        <v>0</v>
      </c>
      <c r="CM662" s="231">
        <f>IF(CL$3=$K662,IF($C662="L",1,IF($C662="1/2L",0.5,0)),0)</f>
        <v>1</v>
      </c>
      <c r="CN662" s="231">
        <f>IF(CN$3=$K662,IF($C662="W",1,IF($C662="1/2W",0.5,0)),0)</f>
        <v>0</v>
      </c>
      <c r="CO662" s="231">
        <f>IF(CN$3=$K662,IF($C662="L",1,IF($C662="1/2L",0.5,0)),0)</f>
        <v>0</v>
      </c>
      <c r="CP662" s="231">
        <f>IF(CP$3=$K662,IF($C662="W",1,IF($C662="1/2W",0.5,0)),0)</f>
        <v>0</v>
      </c>
      <c r="CQ662" s="231">
        <f>IF(CP$3=$K662,IF($C662="L",1,IF($C662="1/2L",0.5,0)),0)</f>
        <v>0</v>
      </c>
      <c r="CR662" s="231">
        <f>IF(CR$3=$K662,IF($C662="W",1,IF($C662="1/2W",0.5,0)),0)</f>
        <v>0</v>
      </c>
      <c r="CS662" s="231">
        <f>IF(CR$3=$K662,IF($C662="L",1,IF($C662="1/2L",0.5,0)),0)</f>
        <v>0</v>
      </c>
      <c r="CT662" s="208">
        <f>IF(CT$3=$K662,IF($C662="W",1,IF($C662="1/2W",0.5,0)),0)</f>
        <v>0</v>
      </c>
      <c r="CU662" s="209">
        <f>IF(CT$3=$K662,IF($C662="L",1,IF($C662="1/2L",0.5,0)),0)</f>
        <v>0</v>
      </c>
      <c r="CV662" s="209">
        <f>IF(CV$3=$K662,IF($C662="W",1,IF($C662="1/2W",0.5,0)),0)</f>
        <v>0</v>
      </c>
      <c r="CW662" s="209">
        <f>IF(CV$3=$K662,IF($C662="L",1,IF($C662="1/2L",0.5,0)),0)</f>
        <v>0</v>
      </c>
      <c r="CX662" s="209">
        <f>IF(CX$3=$K662,IF($C662="W",1,IF($C662="1/2W",0.5,0)),0)</f>
        <v>0</v>
      </c>
      <c r="CY662" s="209">
        <f>IF(CX$3=$K662,IF($C662="L",1,IF($C662="1/2L",0.5,0)),0)</f>
        <v>0</v>
      </c>
      <c r="CZ662" s="209">
        <f>IF(CZ$3=$K662,IF($C662="W",1,IF($C662="1/2W",0.5,0)),0)</f>
        <v>0</v>
      </c>
      <c r="DA662" s="209">
        <f>IF(CZ$3=$K662,IF($C662="L",1,IF($C662="1/2L",0.5,0)),0)</f>
        <v>0</v>
      </c>
      <c r="DB662" s="209">
        <f>IF(DB$3=$K662,IF($C662="W",1,IF($C662="1/2W",0.5,0)),0)</f>
        <v>0</v>
      </c>
      <c r="DC662" s="209">
        <f>IF(DB$3=$K662,IF($C662="L",1,IF($C662="1/2L",0.5,0)),0)</f>
        <v>0</v>
      </c>
      <c r="DD662" s="209">
        <f>IF(DD$3=$K662,IF($C662="W",1,IF($C662="1/2W",0.5,0)),0)</f>
        <v>0</v>
      </c>
      <c r="DE662" s="210">
        <f>IF(DD$3=$K662,IF($C662="L",1,IF($C662="1/2L",0.5,0)),0)</f>
        <v>0</v>
      </c>
      <c r="DF662" s="211">
        <f>IF(AND(L662&lt;DF$3,$C662="W"),1+DF661,DF661)</f>
        <v>18</v>
      </c>
      <c r="DG662" s="198">
        <f>IF(DF662&gt;DF661,L662+DG661,DG661)</f>
        <v>23.918</v>
      </c>
      <c r="DH662" s="209">
        <f>IF(AND(L662&gt;DH$3,$C662="W"),1+DH661,0+DH661)</f>
        <v>16</v>
      </c>
      <c r="DI662" s="198">
        <f>IF(DH662&gt;DH661,L662+DI661,DI661)</f>
        <v>85.45999999999999</v>
      </c>
      <c r="DJ662" t="s" s="306">
        <f>IF($D661="","",$D661)</f>
        <v>467</v>
      </c>
      <c r="DK662" s="232"/>
    </row>
    <row r="663" ht="14.55" customHeight="1">
      <c r="A663" s="149"/>
      <c r="B663" s="150"/>
      <c r="C663" t="s" s="233">
        <v>51</v>
      </c>
      <c r="D663" s="152"/>
      <c r="E663" s="153"/>
      <c r="F663" s="155"/>
      <c r="G663" s="234"/>
      <c r="H663" s="156"/>
      <c r="I663" t="s" s="349">
        <v>67</v>
      </c>
      <c r="J663" s="350">
        <v>1.5</v>
      </c>
      <c r="K663" t="s" s="351">
        <v>40</v>
      </c>
      <c r="L663" s="352">
        <v>5</v>
      </c>
      <c r="M663" s="239">
        <v>3.47</v>
      </c>
      <c r="N663" s="161"/>
      <c r="O663" s="335">
        <f>IF(OR(AE661="",AE662=""),"",IF(L663&gt;0,ROUND(IF(M663&gt;0,M663,IF(M661&gt;0,ROUND((M661*AE663)/AE661,IF(N661=0,2,IF(N661=0.1,1,0))),IF(M662&gt;0,ROUND((M662*AE663)/AE662,IF(N661=0,2,IF(N661=0.1,1,0))),IF(M663&gt;0,M663,0)))),2),""))</f>
        <v>3.47</v>
      </c>
      <c r="P663" s="309">
        <f>IF(I662="Lay",O662*(L662/(L662-1))-O662,IF(I661="Lay",O661*(L661/(L661-1))-O661,IF(OR(L663="",O663=""),"",IF($C663="1/2W",O663/2+O663/2*L663,IF($C663="1/2L",O663/2,(O663*L663-O663)*(1-_xlfn.XLOOKUP(K663,'Janeiro 2023 - Valor Real'!A3:A15,'Janeiro 2023 - Valor Real'!C3:C15,0))+O663)))))</f>
        <v>17.35</v>
      </c>
      <c r="Q663" s="336">
        <f>IF(K663="","",IF(_xlfn.XLOOKUP(K663,K$124:K436,DJ$124:DJ436,0,,-1)=DJ663,_xlfn.XLOOKUP(K663,K$124:K436,Q$124:Q436,1,,-1)+1,1))</f>
        <v>1</v>
      </c>
      <c r="R663" s="337">
        <f>IF(K663="","",_xlfn.XLOOKUP(K663,K$124:K436,R$124:R436,0,,-1)+IF($C663=" ",1,0))</f>
        <v>0</v>
      </c>
      <c r="S663" s="166"/>
      <c r="T663" s="155"/>
      <c r="U663" s="155"/>
      <c r="V663" s="166"/>
      <c r="W663" s="155"/>
      <c r="X663" s="167"/>
      <c r="Y663" s="128"/>
      <c r="Z663" s="129"/>
      <c r="AA663" s="129"/>
      <c r="AB663" s="129"/>
      <c r="AC663" s="129"/>
      <c r="AD663" s="244">
        <f>((L662/(L662-1)-1))</f>
        <v>0.727272727272727</v>
      </c>
      <c r="AE663" s="338">
        <f>IF(L663="","",(SUM(((L661-1)*(1-_xlfn.XLOOKUP(K661,'Janeiro 2023 - Valor Real'!A3:A15,'Janeiro 2023 - Valor Real'!C3:C15,0))+1),((L662-1)*(1-_xlfn.XLOOKUP(K662,'Janeiro 2023 - Valor Real'!A3:A15,'Janeiro 2023 - Valor Real'!C3:C15,0))+1),((L663-1)*(1-_xlfn.XLOOKUP(K663,'Janeiro 2023 - Valor Real'!A3:A15,'Janeiro 2023 - Valor Real'!C3:C15,0))+1))/((L663-1)*(1-_xlfn.XLOOKUP(K663,'Janeiro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Real'!C3:C15,0))+1))/((L661-1)*(1-_xlfn.XLOOKUP(K661,'Janeiro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Real'!C3:C15,0))+1))/((L662-1)*(1-_xlfn.XLOOKUP(K662,'Janeiro 2023 - Valor Real'!A3:A15,'Janeiro 2023 - Valor Real'!C3:C15,0))+1)+SUM(((L661-1)*(1-_xlfn.XLOOKUP(K661,'Janeiro 2023 - Valor Real'!A3:A15,'Janeiro 2023 - Valor Real'!C3:C15,0))+1),((L662-1)*(1-_xlfn.XLOOKUP(K662,'Janeiro 2023 - Valor Real'!A3:A15,'Janeiro 2023 - Valor Real'!C3:C15,0))+1),((L663-1)*(1-_xlfn.XLOOKUP(K663,'Janeiro 2023 - Valor Real'!A3:A15,'Janeiro 2023 - Valor Real'!C3:C15,0))+1))/((L663-1)*(1-_xlfn.XLOOKUP(K663,'Janeiro 2023 - Valor Real'!A3:A15,'Janeiro 2023 - Valor Real'!C3:C15,0))+1)))</f>
        <v>0.158054971913726</v>
      </c>
      <c r="AF663" s="197">
        <f>IF($K663=AF$3,ROUND(IF(OR($C663="W",$C663="1/2W",$C663="1/2L"),$P663-$O663,IF($C663="X",0,-$O663)),2),0)</f>
        <v>0</v>
      </c>
      <c r="AG663" s="198">
        <f>IF($K663=AG$3,ROUND(IF(OR($C663="W",$C663="1/2W",$C663="1/2L"),$P663-$O663,IF($C663="X",0,-$O663)),2),0)</f>
        <v>0</v>
      </c>
      <c r="AH663" s="198">
        <f>IF($K663=AH$3,ROUND(IF(OR($C663="W",$C663="1/2W",$C663="1/2L"),$P663-$O663,IF($C663="X",0,-$O663)),2),0)</f>
        <v>0</v>
      </c>
      <c r="AI663" s="198">
        <f>IF($K663=AI$3,ROUND(IF(OR($C663="W",$C663="1/2W",$C663="1/2L"),$P663-$O663,IF($C663="X",0,-$O663)),2),0)</f>
        <v>-3.47</v>
      </c>
      <c r="AJ663" s="198">
        <f>IF($K663=AJ$3,ROUND(IF(OR($C663="W",$C663="1/2W",$C663="1/2L"),$P663-$O663,IF($C663="X",0,-$O663)),2),0)</f>
        <v>0</v>
      </c>
      <c r="AK663" s="198">
        <f>IF($K663=AK$3,ROUND(IF(OR($C663="W",$C663="1/2W",$C663="1/2L"),$P663-$O663,IF($C663="X",0,-$O663)),2),0)</f>
        <v>0</v>
      </c>
      <c r="AL663" s="198">
        <f>IF($K663=AL$3,ROUND(IF(OR($C663="W",$C663="1/2W",$C663="1/2L"),$P663-$O663,IF($C663="X",0,-$O663)),2),0)</f>
        <v>0</v>
      </c>
      <c r="AM663" s="198">
        <f>IF($K663=AM$3,ROUND(IF(OR($C663="W",$C663="1/2W",$C663="1/2L"),$P663-$O663,IF($C663="X",0,-$O663)),2),0)</f>
        <v>0</v>
      </c>
      <c r="AN663" s="198">
        <f>IF($K663=AN$3,ROUND(IF(OR($C663="W",$C663="1/2W",$C663="1/2L"),$P663-$O663,IF($C663="X",0,-$O663)),2),0)</f>
        <v>0</v>
      </c>
      <c r="AO663" s="198">
        <f>IF($K663=AO$3,ROUND(IF(OR($C663="W",$C663="1/2W",$C663="1/2L"),$P663-$O663,IF($C663="X",0,-$O663)),2),0)</f>
        <v>0</v>
      </c>
      <c r="AP663" s="198">
        <f>IF($K663=AP$3,ROUND(IF(OR($C663="W",$C663="1/2W",$C663="1/2L"),$P663-$O663,IF($C663="X",0,-$O663)),2),0)</f>
        <v>0</v>
      </c>
      <c r="AQ663" s="198">
        <f>IF($K663=AQ$3,ROUND(IF(OR($C663="W",$C663="1/2W",$C663="1/2L"),$P663-$O663,IF($C663="X",0,-$O663)),2),0)</f>
        <v>0</v>
      </c>
      <c r="AR663" s="199">
        <f>IF($K663=AR$3,ROUND(IF(OR($C663="W",$C663="1/2W",$C663="1/2L"),$P663-$O663,IF($C663="X",0,-$O663)),2),0)</f>
        <v>0</v>
      </c>
      <c r="AS663" s="197">
        <f>IF(AND($B661=" ",$K663=AS$3),$O663,0)</f>
        <v>0</v>
      </c>
      <c r="AT663" s="198">
        <f>IF(AND($B661=" ",K663=AT$3),$O663,0)</f>
        <v>0</v>
      </c>
      <c r="AU663" s="198">
        <f>IF(AND($B661=" ",$K663=AU$3),$O663,0)</f>
        <v>0</v>
      </c>
      <c r="AV663" s="198">
        <f>IF(AND($B661=" ",$K663=AV$3),$O663,0)</f>
        <v>0</v>
      </c>
      <c r="AW663" s="198">
        <f>IF(AND($B661=" ",$K663=AW$3),$O663,0)</f>
        <v>0</v>
      </c>
      <c r="AX663" s="198">
        <f>IF(AND($B661=" ",$K663=AX$3),$O663,0)</f>
        <v>0</v>
      </c>
      <c r="AY663" s="200">
        <f>IF(AND($B661=" ",$K663=AY$3),$O663,0)</f>
        <v>0</v>
      </c>
      <c r="AZ663" s="201">
        <f>IF(AND($B661=" ",$K663=AZ$3),$O663,0)</f>
        <v>0</v>
      </c>
      <c r="BA663" s="201">
        <f>IF(AND($B661=" ",$K663=BA$3),$O663,0)</f>
        <v>0</v>
      </c>
      <c r="BB663" s="201">
        <f>IF(AND($B661=" ",$K663=BB$3),$O663,0)</f>
        <v>0</v>
      </c>
      <c r="BC663" s="202">
        <f>IF(AND($B661=" ",$K663=BC$3),$O663,0)</f>
        <v>0</v>
      </c>
      <c r="BD663" s="198">
        <f>IF(AND($B661=" ",$K663=BD$3),$O663,0)</f>
        <v>0</v>
      </c>
      <c r="BE663" s="199">
        <f>IF(AND($B661=" ",$K663=BE$3),$O663,0)</f>
        <v>0</v>
      </c>
      <c r="BF663" s="197">
        <f>IF($K663=BF$3,IF($C663="X",0,$O663),0)</f>
        <v>0</v>
      </c>
      <c r="BG663" s="198">
        <f>IF($K663=BG$3,IF($C663="X",0,$O663),0)</f>
        <v>0</v>
      </c>
      <c r="BH663" s="198">
        <f>IF($K663=BH$3,IF($C663="X",0,$O663),0)</f>
        <v>0</v>
      </c>
      <c r="BI663" s="198">
        <f>IF($K663=BI$3,IF($C663="X",0,$O663),0)</f>
        <v>3.47</v>
      </c>
      <c r="BJ663" s="198">
        <f>IF($K663=BJ$3,IF($C663="X",0,$O663),0)</f>
        <v>0</v>
      </c>
      <c r="BK663" s="198">
        <f>IF($K663=BK$3,IF($C663="X",0,$O663),0)</f>
        <v>0</v>
      </c>
      <c r="BL663" s="198">
        <f>IF($K663=BL$3,IF($C663="X",0,$O663),0)</f>
        <v>0</v>
      </c>
      <c r="BM663" s="200">
        <f>IF($K663=BM$3,IF($C663="X",0,$O663),0)</f>
        <v>0</v>
      </c>
      <c r="BN663" s="201">
        <f>IF($K663=BN$3,IF($C663="X",0,$O663),0)</f>
        <v>0</v>
      </c>
      <c r="BO663" s="201">
        <f>IF($K663=BO$3,IF($C663="X",0,$O663),0)</f>
        <v>0</v>
      </c>
      <c r="BP663" s="201">
        <f>IF($K663=BP$3,IF($C663="X",0,$O663),0)</f>
        <v>0</v>
      </c>
      <c r="BQ663" s="202">
        <f>IF($K663=BQ$3,IF($C663="X",0,$O663),0)</f>
        <v>0</v>
      </c>
      <c r="BR663" s="199">
        <f>IF($K663=BR$3,IF($C663="X",0,$O663),0)</f>
        <v>0</v>
      </c>
      <c r="BS663" s="228"/>
      <c r="BT663" s="229"/>
      <c r="BU663" s="140"/>
      <c r="BV663" s="229"/>
      <c r="BW663" s="140"/>
      <c r="BX663" s="140"/>
      <c r="BY663" s="140"/>
      <c r="BZ663" s="229"/>
      <c r="CA663" s="140"/>
      <c r="CB663" s="140"/>
      <c r="CC663" s="140"/>
      <c r="CD663" s="141"/>
      <c r="CE663" s="142"/>
      <c r="CF663" s="230">
        <f>IF(CF$3=$K663,IF($C663="W",1,IF($C663="1/2W",0.5,0)),0)</f>
        <v>0</v>
      </c>
      <c r="CG663" s="231">
        <f>IF(CF$3=$K663,IF($C663="L",1,IF($C663="1/2L",0.5,0)),0)</f>
        <v>0</v>
      </c>
      <c r="CH663" s="231">
        <f>IF(CH$3=$K663,IF($C663="W",1,IF($C663="1/2W",0.5,0)),0)</f>
        <v>0</v>
      </c>
      <c r="CI663" s="231">
        <f>IF(CH$3=$K663,IF($C663="L",1,IF($C663="1/2L",0.5,0)),0)</f>
        <v>0</v>
      </c>
      <c r="CJ663" s="231">
        <f>IF(CJ$3=$K663,IF($C663="W",1,IF($C663="1/2W",0.5,0)),0)</f>
        <v>0</v>
      </c>
      <c r="CK663" s="231">
        <f>IF(CJ$3=$K663,IF($C663="L",1,IF($C663="1/2L",0.5,0)),0)</f>
        <v>0</v>
      </c>
      <c r="CL663" s="231">
        <f>IF(CL$3=$K663,IF($C663="W",1,IF($C663="1/2W",0.5,0)),0)</f>
        <v>0</v>
      </c>
      <c r="CM663" s="231">
        <f>IF(CL$3=$K663,IF($C663="L",1,IF($C663="1/2L",0.5,0)),0)</f>
        <v>1</v>
      </c>
      <c r="CN663" s="231">
        <f>IF(CN$3=$K663,IF($C663="W",1,IF($C663="1/2W",0.5,0)),0)</f>
        <v>0</v>
      </c>
      <c r="CO663" s="231">
        <f>IF(CN$3=$K663,IF($C663="L",1,IF($C663="1/2L",0.5,0)),0)</f>
        <v>0</v>
      </c>
      <c r="CP663" s="231">
        <f>IF(CP$3=$K663,IF($C663="W",1,IF($C663="1/2W",0.5,0)),0)</f>
        <v>0</v>
      </c>
      <c r="CQ663" s="231">
        <f>IF(CP$3=$K663,IF($C663="L",1,IF($C663="1/2L",0.5,0)),0)</f>
        <v>0</v>
      </c>
      <c r="CR663" s="231">
        <f>IF(CR$3=$K663,IF($C663="W",1,IF($C663="1/2W",0.5,0)),0)</f>
        <v>0</v>
      </c>
      <c r="CS663" s="231">
        <f>IF(CR$3=$K663,IF($C663="L",1,IF($C663="1/2L",0.5,0)),0)</f>
        <v>0</v>
      </c>
      <c r="CT663" s="208">
        <f>IF(CT$3=$K663,IF($C663="W",1,IF($C663="1/2W",0.5,0)),0)</f>
        <v>0</v>
      </c>
      <c r="CU663" s="209">
        <f>IF(CT$3=$K663,IF($C663="L",1,IF($C663="1/2L",0.5,0)),0)</f>
        <v>0</v>
      </c>
      <c r="CV663" s="209">
        <f>IF(CV$3=$K663,IF($C663="W",1,IF($C663="1/2W",0.5,0)),0)</f>
        <v>0</v>
      </c>
      <c r="CW663" s="209">
        <f>IF(CV$3=$K663,IF($C663="L",1,IF($C663="1/2L",0.5,0)),0)</f>
        <v>0</v>
      </c>
      <c r="CX663" s="209">
        <f>IF(CX$3=$K663,IF($C663="W",1,IF($C663="1/2W",0.5,0)),0)</f>
        <v>0</v>
      </c>
      <c r="CY663" s="209">
        <f>IF(CX$3=$K663,IF($C663="L",1,IF($C663="1/2L",0.5,0)),0)</f>
        <v>0</v>
      </c>
      <c r="CZ663" s="209">
        <f>IF(CZ$3=$K663,IF($C663="W",1,IF($C663="1/2W",0.5,0)),0)</f>
        <v>0</v>
      </c>
      <c r="DA663" s="209">
        <f>IF(CZ$3=$K663,IF($C663="L",1,IF($C663="1/2L",0.5,0)),0)</f>
        <v>0</v>
      </c>
      <c r="DB663" s="209">
        <f>IF(DB$3=$K663,IF($C663="W",1,IF($C663="1/2W",0.5,0)),0)</f>
        <v>0</v>
      </c>
      <c r="DC663" s="209">
        <f>IF(DB$3=$K663,IF($C663="L",1,IF($C663="1/2L",0.5,0)),0)</f>
        <v>0</v>
      </c>
      <c r="DD663" s="209">
        <f>IF(DD$3=$K663,IF($C663="W",1,IF($C663="1/2W",0.5,0)),0)</f>
        <v>0</v>
      </c>
      <c r="DE663" s="210">
        <f>IF(DD$3=$K663,IF($C663="L",1,IF($C663="1/2L",0.5,0)),0)</f>
        <v>0</v>
      </c>
      <c r="DF663" s="211">
        <f>IF(AND(L663&lt;DF$3,$C663="W"),1+DF662,DF662)</f>
        <v>18</v>
      </c>
      <c r="DG663" s="198">
        <f>IF(DF663&gt;DF662,L663+DG662,DG662)</f>
        <v>23.918</v>
      </c>
      <c r="DH663" s="209">
        <f>IF(AND(L663&gt;DH$3,$C663="W"),1+DH662,0+DH662)</f>
        <v>16</v>
      </c>
      <c r="DI663" s="198">
        <f>IF(DH663&gt;DH662,L663+DI662,DI662)</f>
        <v>85.45999999999999</v>
      </c>
      <c r="DJ663" t="s" s="306">
        <f>IF($D661="","",$D661)</f>
        <v>467</v>
      </c>
      <c r="DK663" s="232"/>
    </row>
    <row r="664" ht="14.55" customHeight="1">
      <c r="A664" s="246">
        <f>$A661+1</f>
        <v>221</v>
      </c>
      <c r="B664" t="s" s="247">
        <f>IF(AND(_xlfn.XLOOKUP(H664,H$107:H443,G$107:G443,0)=G664,_xlfn.XLOOKUP("TempoBet",K664:K666,L664:L666,0)&gt;0),"X",IF(OR(C664="W",C665="W",C666="W",C664="1/2W",C665="1/2W",C666="1/2W",C664="1/2L",C665="1/2L",C666="1/2L"),"OK",IF(OR(C664="L",C665="L",C666="L"),"LOSS",IF(OR(C664="X",C665="X",C666="X"),"Anulado"," "))))</f>
        <v>50</v>
      </c>
      <c r="C664" t="s" s="248">
        <v>51</v>
      </c>
      <c r="D664" t="s" s="303">
        <f>IF(G664="","",$D661)</f>
        <v>467</v>
      </c>
      <c r="E664" t="s" s="250">
        <v>111</v>
      </c>
      <c r="F664" t="s" s="251">
        <f>IF(G664="","",IF(OR(AND($C664&lt;&gt;" ",$C665=" "),AND($C665&lt;&gt;" ",$C664=" "),AND(L666&gt;0,OR(AND($C666&lt;&gt;" ",OR($C664=" ",$C665=" ")),AND($C666=" ",OR($C664&lt;&gt;" ",$C665&lt;&gt;" "))))),IF(SUM(F$4:F663)=0,1,LARGE(F$4:F663,1)+1),IF(MONTH(G664)=MONTH(TODAY()),IF(AND(DAY(G664)&lt;DAY(TODAY()),$B664=" "),IF(SUM(F$4:F663)=0,1,LARGE(F$4:F663,1)+1),IF($B664=" ",IF(AND(DAY(G664)=DAY(TODAY()),HOUR(G664)&lt;=HOUR(NOW())+1),IF(AND(HOUR(G664)+2&lt;=HOUR(NOW()),DAY(G664)&lt;=DAY(TODAY()),MINUTE(G664)&lt;=MINUTE(NOW())),IF(SUM(F$4:F663)=0,1,LARGE(F$4:F663,1)+1),IF(OR(MINUTE(G664)&lt;=MINUTE(NOW()),HOUR(G664)&lt;=HOUR(NOW())),"!!!","")),""),"")),"")))</f>
      </c>
      <c r="G664" s="252">
        <v>44956.416666666664</v>
      </c>
      <c r="H664" t="s" s="253">
        <v>476</v>
      </c>
      <c r="I664" t="s" s="254">
        <v>54</v>
      </c>
      <c r="J664" s="255">
        <v>0</v>
      </c>
      <c r="K664" t="s" s="256">
        <v>44</v>
      </c>
      <c r="L664" s="257">
        <v>2.24</v>
      </c>
      <c r="M664" s="258"/>
      <c r="N664" s="259">
        <v>0</v>
      </c>
      <c r="O664" s="260">
        <f>IF(OR(AE664="",AE665=""),"",ROUND(IF(L666&gt;0,IF(M664&gt;0,M664,IF(M665&gt;0,ROUND((M665*AE664)/AE665,IF(N664=0,2,IF(N664=0.1,1,0))),ROUND((M666*AE664)/AE666,IF(N664=0,2,IF(N664=0.1,1,0))))),IF(M664&gt;0,M664,ROUND((M665*AE664)/AE665,IF(N664=0,2,IF(N664=0.1,1,0))))),2))</f>
        <v>20.51</v>
      </c>
      <c r="P664" s="261">
        <f>IF(OR(L664="",O664=""),"",IF($C664="1/2W",O664/2+O664/2*L664,IF($C664="1/2L",O664/2,IF(I664="Lay",(O664*(L664/(L664-1))-O664)*(1-_xlfn.XLOOKUP(K664,'Janeiro 2023 - Valor Real'!A3:A15,'Janeiro 2023 - Valor Real'!C3:C15,0))+O664,(O664*L664-O664)*(1-_xlfn.XLOOKUP(K664,'Janeiro 2023 - Valor Real'!A3:A15,'Janeiro 2023 - Valor Real'!C3:C15,0))+O664))))</f>
        <v>45.9424</v>
      </c>
      <c r="Q664" s="262">
        <f>IF(K664="","",IF(_xlfn.XLOOKUP(K664,K$107:K443,DJ$107:DJ443,0,,-1)=DJ664,_xlfn.XLOOKUP(K664,K$107:K443,Q$107:Q443,1,,-1)+1,1))</f>
        <v>1</v>
      </c>
      <c r="R664" s="263">
        <f>IF(K664="","",_xlfn.XLOOKUP(K664,K$107:K443,R$107:R443,0,,-1)+IF($C664=" ",1,0))</f>
        <v>0</v>
      </c>
      <c r="S664" s="264">
        <f>IF($B664="Anulado",0,ROUND(IF(OR($B664="LOSS",$B664="OK"),IF(OR($C664="W",$C664="1/2W",$C664="1/2L"),P664-O664,IF($C664="L",-O664,0))+IF(OR($C665="W",$C665="1/2W",$C665="1/2L"),P665-O665,IF($C665="L",-O665,0))+IF(OR($C666="W",$C666="1/2W",$C666="1/2L"),P666-O666,IF($C666="L",-O666,0)),IF(AND(OR($C664="W",$C664="1/2W",$C664="1/2L"),C665="W"),P664+P665-SUM(O664:O666)+_xlfn.XLOOKUP("X",C664:C666,O664:O666,0),IF(AND(C664=TRUE,C666="W"),P664+P666-SUM(O664:O666),IF(AND(C665="W",C666="W"),P665+P666-SUM(O664:O666)+_xlfn.XLOOKUP("X",C664:C666,O664:O666,0),IF(L666&gt;0,IF(OR($C664="W",$C664="1/2W",$C664="1/2L"),P664-SUM(O664:O666)+_xlfn.XLOOKUP("X",C664:C666,O664:O666,0),IF(OR($C664="W",$C664="1/2W",$C664="1/2L"),P665-SUM(O664:O666)+_xlfn.XLOOKUP("X",C664:C666,O664:O666,0),IF(OR($C664="W",$C664="1/2W",$C664="1/2L"),P666-SUM(O664:O666)+_xlfn.XLOOKUP("X",C664:C666,O664:O666,0),IF(SUM(P664:P666)/3-SUM(O664:O666)+_xlfn.XLOOKUP("X",C664:C666,O664:O666,0)&gt;0,SUM(P664:P666)/3-SUM(O664:O666)+_xlfn.XLOOKUP("X",C664:C666,O664:O666,0),LARGE(P664:P666,1)-SUM(O664:O666))))),IF(OR($C664="W",$C664="1/2W",$C664="1/2L"),P664-SUM(O664:O665)+_xlfn.XLOOKUP("X",C664:C666,O664:O666,0),IF(OR($C664="W",$C664="1/2W",$C664="1/2L"),P665-SUM(O664:O665)+_xlfn.XLOOKUP("X",C664:C666,O664:O666,0),SUM(P664:P665)/2-SUM(O664:O665)+_xlfn.XLOOKUP("X",C664:C666,O664:O666,0)))))))),2))</f>
        <v>1.99</v>
      </c>
      <c r="T664" s="265">
        <f>IF(S664=0,0,S664/SUM(O664:O666))</f>
        <v>0.0452787258248009</v>
      </c>
      <c r="U664" s="266">
        <f>IF($D664=$D661,IF(OR($B664="LOSS",$B664="OK",$B664="Anulada"),S664,0)+U661,IF(OR($B664="LOSS",$B664="OK",$B664="Anulada"),S664,0))</f>
        <v>8.890000000000001</v>
      </c>
      <c r="V664" s="266">
        <f>IF($D664="",0,IF($D664=$D661,IF($B664=" ",IF(I666="",IF(OR(AND(I664="DNB1",I665="DNB2"),AND(OR(I664="DNB1",I664="DNB2"),J665=0),AND(OR(I665="DNB1",I665="DNB2"),J664=0),AND(I664="DNB2",I665="DNB1"),AND(IF(J664=0,(J664+1)/ROUND(J664+1,0),J664/ROUND(J664,0))=1,IF(J665=0,(J665+1)/ROUND(IF(J665="",0,J665)+1,0),IF(J665="",0,J665)/ROUND(IF(J665="",1,J665),0))=1,OR(J664&lt;&gt;""),J665&lt;&gt;"")),0,IF(S664&lt;0,IF(I666="",SMALL(P664:P665,1)-SUM(O664:O665),0),SMALL(P664:P665,1)-SUM(O664:O665))),IF(S664&lt;0,IF(I666="",SMALL(P664:P666,1)-SUM(O664:O666),0),LARGE(P664:P666,1)-SUM(O664:O666))),S664)+V661,IF(I666="",IF(OR(AND(I664="DNB1",I665="DNB2"),AND(OR(I664="DNB1",I664="DNB2"),J665=0),AND(OR(I665="DNB1",I665="DNB2"),J664=0),AND(I664="DNB2",I665="DNB1"),AND(IF(J664=0,(J664+1)/ROUND(J664+1,0),J664/ROUND(J664,0))=1,IF(J665=0,(IF(J665="",0,J665)+1)/ROUND(IF(J665="",0,J665)+1,0),IF(J665="",0,J665)/ROUND(IF(J665="",0,J665)+1,0))=1,OR(J664&lt;&gt;""),J665&lt;&gt;"")),0,IF(S664&lt;0,IF(I666="",SMALL(P664:P665,1)-SUM(O664:O665),0),SMALL(P664:P666,1)-SUM(O664:O666))),IF(S664&lt;0,IF(I666="",SMALL(P664:P666,1)-SUM(O664:O666),0),LARGE(P664:P666,1)-SUM(O664:O666)))))</f>
        <v>8.888</v>
      </c>
      <c r="W664" s="266">
        <f>IF($D664=$D661,IF(S664&lt;0,IF(I666="",S664,0),S664)+W661,S664)</f>
        <v>8.890000000000001</v>
      </c>
      <c r="X664" t="s" s="267">
        <f>IF(OR(SUM(R664:R666)=0,V664=W664),ROUND(IF(W664=0,0,W664/Y664)*100,2)&amp;"%",ROUND(IF(V664=0,0,V664/Y664)*100,2)&amp;"% a "&amp;ROUND(IF(W664=0,0,W664/Y664)*100,2)&amp;"%")</f>
        <v>175</v>
      </c>
      <c r="Y664" s="268">
        <f>IF($D664=$D661,Y661+SUM(O664:O666),SUM(O664:O666))</f>
        <v>220.68</v>
      </c>
      <c r="Z664" s="266">
        <f>IF($B664=" ",SUM(O664:O666),0)+Z661</f>
        <v>0</v>
      </c>
      <c r="AA664" s="266">
        <f>IF(G664="","",IF($B664="Anulado",LARGE(P664:P666,1)-SUM(O664:O666)+AA661,AA661))</f>
        <v>27.7065076923077</v>
      </c>
      <c r="AB664" s="266">
        <f>IF($D664="","",AB661+S664)</f>
        <v>470.12</v>
      </c>
      <c r="AC664" s="269">
        <f>IF($D664="","",IF($B664=" ",IF(DAY(G664)=DAY(TODAY()),1+AC661,0+AC661),0+AC661))</f>
        <v>0</v>
      </c>
      <c r="AD664" s="270">
        <f>(1-_xlfn.XLOOKUP(K662,'Janeiro 2023 - Valor Real'!A3:A15,'Janeiro 2023 - Valor Real'!C3:C15,0))+1</f>
        <v>2</v>
      </c>
      <c r="AE664" s="271">
        <f>IF(L664="","",IF(L666&gt;0,(SUM(((L664-1)*(1-_xlfn.XLOOKUP(K664,'Janeiro 2023 - Valor Real'!A3:A15,'Janeiro 2023 - Valor Real'!C3:C15,0))+1),((L665-1)*(1-_xlfn.XLOOKUP(K665,'Janeiro 2023 - Valor Real'!A3:A15,'Janeiro 2023 - Valor Real'!C3:C15,0))+1),((L666-1)*(1-_xlfn.XLOOKUP(K666,'Janeiro 2023 - Valor Real'!A3:A15,'Janeiro 2023 - Valor Real'!C3:C15,0))+1))/((L664-1)*(1-_xlfn.XLOOKUP(K664,'Janeiro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Real'!C3:C15,0))+1))/((L664-1)*(1-_xlfn.XLOOKUP(K664,'Janeiro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Real'!C3:C15,0))+1))/((L665-1)*(1-_xlfn.XLOOKUP(K665,'Janeiro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Real'!C3:C15,0))+1))/((L666-1)*(1-_xlfn.XLOOKUP(K666,'Janeiro 2023 - Valor Real'!A3:A15,'Janeiro 2023 - Valor Real'!C3:C15,0))+1)),IF(I664="Lay",IF(I665="Lay",((L665/(L665-1)-1)*(1-_xlfn.XLOOKUP(K665,'Janeiro 2023 - Valor Real'!A3:A15,'Janeiro 2023 - Valor Real'!C3:C15,0))+1)/(((L665/(L665-1)-1)*(1-_xlfn.XLOOKUP(K665,'Janeiro 2023 - Valor Real'!A3:A15,'Janeiro 2023 - Valor Real'!C3:C15,0))+1)+((L664/(L664-1)-1)*(1-_xlfn.XLOOKUP(K664,'Janeiro 2023 - Valor Real'!A3:A15,'Janeiro 2023 - Valor Real'!C3:C15,0))+1)),((L665-1)*(1-_xlfn.XLOOKUP(K665,'Janeiro 2023 - Valor Real'!A3:A15,'Janeiro 2023 - Valor Real'!C3:C15,0))+1)/(((L665-1)*(1-_xlfn.XLOOKUP(K665,'Janeiro 2023 - Valor Real'!A3:A15,'Janeiro 2023 - Valor Real'!C3:C15,0))+1)+((L664/(L664-1)-1)*(1-_xlfn.XLOOKUP(K664,'Janeiro 2023 - Valor Real'!A3:A15,'Janeiro 2023 - Valor Real'!C3:C15,0))+1))),IF(I665="Lay",(((L665/(L665-1)-1)*(1-_xlfn.XLOOKUP(K665,'Janeiro 2023 - Valor Real'!A3:A15,'Janeiro 2023 - Valor Real'!C3:C15,0))+1))/(((L664-1)*(1-_xlfn.XLOOKUP(K664,'Janeiro 2023 - Valor Real'!A3:A15,'Janeiro 2023 - Valor Real'!C3:C15,0))+1)+((L665/(L665-1)-1)*(1-_xlfn.XLOOKUP(K665,'Janeiro 2023 - Valor Real'!A3:A15,'Janeiro 2023 - Valor Real'!C3:C15,0))+1)),((L665-1)*(1-_xlfn.XLOOKUP(K665,'Janeiro 2023 - Valor Real'!A3:A15,'Janeiro 2023 - Valor Real'!C3:C15,0))+1)/(((L665-1)*(1-_xlfn.XLOOKUP(K665,'Janeiro 2023 - Valor Real'!A3:A15,'Janeiro 2023 - Valor Real'!C3:C15,0))+1)+((L664-1)*(1-_xlfn.XLOOKUP(K664,'Janeiro 2023 - Valor Real'!A3:A15,'Janeiro 2023 - Valor Real'!C3:C15,0))+1))))))</f>
        <v>0.466666666666667</v>
      </c>
      <c r="AF664" s="132">
        <f>IF($K664=AF$3,ROUND(IF(OR($C664="W",$C664="1/2W",$C664="1/2L"),$P664-$O664,IF($C664="X",0,-$O664)),2),0)</f>
        <v>0</v>
      </c>
      <c r="AG664" s="133">
        <f>IF($K664=AG$3,ROUND(IF(OR($C664="W",$C664="1/2W",$C664="1/2L"),$P664-$O664,IF($C664="X",0,-$O664)),2),0)</f>
        <v>0</v>
      </c>
      <c r="AH664" s="133">
        <f>IF($K664=AH$3,ROUND(IF(OR($C664="W",$C664="1/2W",$C664="1/2L"),$P664-$O664,IF($C664="X",0,-$O664)),2),0)</f>
        <v>0</v>
      </c>
      <c r="AI664" s="133">
        <f>IF($K664=AI$3,ROUND(IF(OR($C664="W",$C664="1/2W",$C664="1/2L"),$P664-$O664,IF($C664="X",0,-$O664)),2),0)</f>
        <v>0</v>
      </c>
      <c r="AJ664" s="133">
        <f>IF($K664=AJ$3,ROUND(IF(OR($C664="W",$C664="1/2W",$C664="1/2L"),$P664-$O664,IF($C664="X",0,-$O664)),2),0)</f>
        <v>0</v>
      </c>
      <c r="AK664" s="133">
        <f>IF($K664=AK$3,ROUND(IF(OR($C664="W",$C664="1/2W",$C664="1/2L"),$P664-$O664,IF($C664="X",0,-$O664)),2),0)</f>
        <v>0</v>
      </c>
      <c r="AL664" s="133">
        <f>IF($K664=AL$3,ROUND(IF(OR($C664="W",$C664="1/2W",$C664="1/2L"),$P664-$O664,IF($C664="X",0,-$O664)),2),0)</f>
        <v>0</v>
      </c>
      <c r="AM664" s="133">
        <f>IF($K664=AM$3,ROUND(IF(OR($C664="W",$C664="1/2W",$C664="1/2L"),$P664-$O664,IF($C664="X",0,-$O664)),2),0)</f>
        <v>-20.51</v>
      </c>
      <c r="AN664" s="133">
        <f>IF($K664=AN$3,ROUND(IF(OR($C664="W",$C664="1/2W",$C664="1/2L"),$P664-$O664,IF($C664="X",0,-$O664)),2),0)</f>
        <v>0</v>
      </c>
      <c r="AO664" s="133">
        <f>IF($K664=AO$3,ROUND(IF(OR($C664="W",$C664="1/2W",$C664="1/2L"),$P664-$O664,IF($C664="X",0,-$O664)),2),0)</f>
        <v>0</v>
      </c>
      <c r="AP664" s="133">
        <f>IF($K664=AP$3,ROUND(IF(OR($C664="W",$C664="1/2W",$C664="1/2L"),$P664-$O664,IF($C664="X",0,-$O664)),2),0)</f>
        <v>0</v>
      </c>
      <c r="AQ664" s="133">
        <f>IF($K664=AQ$3,ROUND(IF(OR($C664="W",$C664="1/2W",$C664="1/2L"),$P664-$O664,IF($C664="X",0,-$O664)),2),0)</f>
        <v>0</v>
      </c>
      <c r="AR664" s="134">
        <f>IF($K664=AR$3,ROUND(IF(OR($C664="W",$C664="1/2W",$C664="1/2L"),$P664-$O664,IF($C664="X",0,-$O664)),2),0)</f>
        <v>0</v>
      </c>
      <c r="AS664" s="132">
        <f>IF(AND($B664=" ",$K664=AS$3),$O664,0)</f>
        <v>0</v>
      </c>
      <c r="AT664" s="133">
        <f>IF(AND($B664=" ",$K664=AT$3),$O664,0)</f>
        <v>0</v>
      </c>
      <c r="AU664" s="133">
        <f>IF(AND($B664=" ",$K664=AU$3),$O664,0)</f>
        <v>0</v>
      </c>
      <c r="AV664" s="133">
        <f>IF(AND($B664=" ",$K664=AV$3),$O664,0)</f>
        <v>0</v>
      </c>
      <c r="AW664" s="133">
        <f>IF(AND($B664=" ",$K664=AW$3),$O664,0)</f>
        <v>0</v>
      </c>
      <c r="AX664" s="133">
        <f>IF(AND($B664=" ",$K664=AX$3),$O664,0)</f>
        <v>0</v>
      </c>
      <c r="AY664" s="135">
        <f>IF(AND($B664=" ",$K664=AY$3),$O664,0)</f>
        <v>0</v>
      </c>
      <c r="AZ664" s="136">
        <f>IF(AND($B664=" ",$K664=AZ$3),$O664,0)</f>
        <v>0</v>
      </c>
      <c r="BA664" s="136">
        <f>IF(AND($B664=" ",$K664=BA$3),$O664,0)</f>
        <v>0</v>
      </c>
      <c r="BB664" s="136">
        <f>IF(AND($B664=" ",$K664=BB$3),$O664,0)</f>
        <v>0</v>
      </c>
      <c r="BC664" s="137">
        <f>IF(AND($B664=" ",$K664=BC$3),$O664,0)</f>
        <v>0</v>
      </c>
      <c r="BD664" s="133">
        <f>IF(AND($B664=" ",$K664=BD$3),$O664,0)</f>
        <v>0</v>
      </c>
      <c r="BE664" s="134">
        <f>IF(AND($B664=" ",$K664=BE$3),$O664,0)</f>
        <v>0</v>
      </c>
      <c r="BF664" s="132">
        <f>IF($K664=BF$3,IF($C664="X",0,$O664),0)</f>
        <v>0</v>
      </c>
      <c r="BG664" s="133">
        <f>IF($K664=BG$3,IF($C664="X",0,$O664),0)</f>
        <v>0</v>
      </c>
      <c r="BH664" s="133">
        <f>IF($K664=BH$3,IF($C664="X",0,$O664),0)</f>
        <v>0</v>
      </c>
      <c r="BI664" s="133">
        <f>IF($K664=BI$3,IF($C664="X",0,$O664),0)</f>
        <v>0</v>
      </c>
      <c r="BJ664" s="133">
        <f>IF($K664=BJ$3,IF($C664="X",0,$O664),0)</f>
        <v>0</v>
      </c>
      <c r="BK664" s="133">
        <f>IF($K664=BK$3,IF($C664="X",0,$O664),0)</f>
        <v>0</v>
      </c>
      <c r="BL664" s="133">
        <f>IF($K664=BL$3,IF($C664="X",0,$O664),0)</f>
        <v>0</v>
      </c>
      <c r="BM664" s="135">
        <f>IF($K664=BM$3,IF($C664="X",0,$O664),0)</f>
        <v>20.51</v>
      </c>
      <c r="BN664" s="136">
        <f>IF($K664=BN$3,IF($C664="X",0,$O664),0)</f>
        <v>0</v>
      </c>
      <c r="BO664" s="136">
        <f>IF($K664=BO$3,IF($C664="X",0,$O664),0)</f>
        <v>0</v>
      </c>
      <c r="BP664" s="136">
        <f>IF($K664=BP$3,IF($C664="X",0,$O664),0)</f>
        <v>0</v>
      </c>
      <c r="BQ664" s="137">
        <f>IF($K664=BQ$3,IF($C664="X",0,$O664),0)</f>
        <v>0</v>
      </c>
      <c r="BR664" s="134">
        <f>IF($K664=BR$3,IF($C664="X",0,$O664),0)</f>
        <v>0</v>
      </c>
      <c r="BS664" s="170">
        <f>IF($B664="LOSS",IF(AND($K664=BS$3,$C664="L"),-$O664,0)+IF(AND($K665=BS$3,$C665="L"),-$O665,0)+IF(AND($K666=BS$3,$C666="L"),-$O666,0),IF(OR(AND($K664=BS$3,OR($C664="W",$C664="1/2W")),AND($K665=BS$3,OR($C665="W",$C665="1/2W")),AND($K666=BS$3,OR($C666="W",$C666="1/2W"))),$S664,0))</f>
        <v>0</v>
      </c>
      <c r="BT664" s="272">
        <f>IF($B664="LOSS",IF(AND($K664=BT$3,$C664="L"),-$O664,0)+IF(AND($K665=BT$3,$C665="L"),-$O665,0)+IF(AND($K665=BT$3,$C666="L"),-$O666,0),IF(OR(AND($K665=BT$3,OR($C664="W",$C664="1/2W")),AND($K665=BT$3,OR($C665="W",$C665="1/2W")),AND($K665=BT$3,OR($C666="W",$C666="1/2W"))),$S664,0))</f>
        <v>0</v>
      </c>
      <c r="BU664" s="136">
        <f>IF($B664="LOSS",IF(AND($K664=BU$3,$C664="L"),-$O664,0)+IF(AND($K665=BU$3,$C665="L"),-$O665,0)+IF(AND($K665=BU$3,$C666="L"),-$O666,0),IF(OR(AND($K665=BU$3,OR($C664="W",$C664="1/2W")),AND($K665=BU$3,OR($C665="W",$C665="1/2W")),AND($K665=BU$3,OR($C666="W",$C666="1/2W"))),$S664,0))</f>
        <v>0</v>
      </c>
      <c r="BV664" s="136">
        <f>IF($B664="LOSS",IF(AND($K664=BV$3,$C664="L"),-$O664,0)+IF(AND($K665=BV$3,$C665="L"),-$O665,0)+IF(AND($K666=BV$3,$C666="L"),-$O666,0),IF(OR(AND($K664=BV$3,OR($C664="W",$C664="1/2W")),AND($K665=BV$3,OR($C665="W",$C665="1/2W")),AND($K666=BV$3,OR($C666="W",$C666="1/2W"))),$S664,0))</f>
        <v>0</v>
      </c>
      <c r="BW664" s="136">
        <f>IF($B664="LOSS",IF(AND($K664=BW$3,$C664="L"),-$O664,0)+IF(AND($K665=BW$3,$C665="L"),-$O665,0)+IF(AND($K666=BW$3,$C666="L"),-$O666,0),IF(OR(AND($K664=BW$3,OR($C664="W",$C664="1/2W")),AND($K665=BW$3,OR($C665="W",$C665="1/2W")),AND($K666=BW$3,OR($C666="W",$C666="1/2W"))),$S664,0))</f>
        <v>1.99</v>
      </c>
      <c r="BX664" s="136">
        <f>IF($B664="LOSS",IF(AND($K664=BX$3,$C664="L"),-$O664,0)+IF(AND($K665=BX$3,$C665="L"),-$O665,0)+IF(AND($K666=BX$3,$C666="L"),-$O666,0),IF(OR(AND($K664=BX$3,OR($C664="W",$C664="1/2W")),AND($K665=BX$3,OR($C665="W",$C665="1/2W")),AND($K666=BX$3,OR($C666="W",$C666="1/2W"))),$S664,0))</f>
        <v>0</v>
      </c>
      <c r="BY664" s="136">
        <f>IF($B664="LOSS",IF(AND($K664=BY$3,$C664="L"),-$O664,0)+IF(AND($K665=BY$3,$C665="L"),-$O665,0)+IF(AND($K666=BY$3,$C666="L"),-$O666,0),IF(OR(AND($K664=BY$3,OR($C664="W",$C664="1/2W")),AND($K665=BY$3,OR($C665="W",$C665="1/2W")),AND($K666=BY$3,OR($C666="W",$C666="1/2W"))),$S664,0))</f>
        <v>0</v>
      </c>
      <c r="BZ664" s="136">
        <f>IF($B664="LOSS",IF(AND($K664=BZ$3,$C664="L"),-$O664,0)+IF(AND($K665=BZ$3,$C665="L"),-$O665,0)+IF(AND($K666=BZ$3,$C666="L"),-$O666,0),IF(OR(AND($K664=BZ$3,OR($C664="W",$C664="1/2W")),AND($K665=BZ$3,OR($C665="W",$C665="1/2W")),AND($K666=BZ$3,OR($C666="W",$C666="1/2W"))),$S664,0))</f>
        <v>0</v>
      </c>
      <c r="CA664" s="136">
        <f>IF($B664="LOSS",IF(AND($K664=CA$3,$C664="L"),-$O664,0)+IF(AND($K665=CA$3,$C665="L"),-$O665,0)+IF(AND($K666=CA$3,$C666="L"),-$O666,0),IF(OR(AND($K664=CA$3,OR($C664="W",$C664="1/2W")),AND($K665=CA$3,OR($C665="W",$C665="1/2W")),AND($K666=CA$3,OR($C666="W",$C666="1/2W"))),$S664,0))</f>
        <v>0</v>
      </c>
      <c r="CB664" s="136">
        <f>IF($B664="LOSS",IF(AND($K664=CB$3,$C664="L"),-$O664,0)+IF(AND($K665=CB$3,$C665="L"),-$O665,0)+IF(AND($K666=CB$3,$C666="L"),-$O666,0),IF(OR(AND($K664=CB$3,OR($C664="W",$C664="1/2W")),AND($K665=CB$3,OR($C665="W",$C665="1/2W")),AND($K666=CB$3,OR($C666="W",$C666="1/2W"))),$S664,0))</f>
        <v>0</v>
      </c>
      <c r="CC664" s="136">
        <f>IF($B664="LOSS",IF(AND($K664=CC$3,$C664="L"),-$O664,0)+IF(AND($K665=CC$3,$C665="L"),-$O665,0)+IF(AND($K666=CC$3,$C666="L"),-$O666,0),IF(OR(AND($K664=CC$3,OR($C664="W",$C664="1/2W")),AND($K665=CC$3,OR($C665="W",$C665="1/2W")),AND($K666=CC$3,OR($C666="W",$C666="1/2W"))),$S664,0))</f>
        <v>0</v>
      </c>
      <c r="CD664" s="137">
        <f>IF($B664="LOSS",IF(AND($K664=CD$3,$C664="L"),-$O664,0)+IF(AND($K665=CD$3,$C665="L"),-$O665,0)+IF(AND($K666=CD$3,$C666="L"),-$O666,0),IF(OR(AND($K664=CD$3,OR($C664="W",$C664="1/2W")),AND($K665=CD$3,OR($C665="W",$C665="1/2W")),AND($K666=CD$3,OR($C666="W",$C666="1/2W"))),$S664,0))</f>
        <v>0</v>
      </c>
      <c r="CE664" s="134">
        <f>IF($B664="LOSS",IF(AND($K664=CE$3,$C664="L"),-$O664,0)+IF(AND($K665=CE$3,$C665="L"),-$O665,0)+IF(AND($K666=CE$3,$C666="L"),-$O666,0),IF(OR(AND($K664=CE$3,OR($C664="W",$C664="1/2W")),AND($K665=CE$3,OR($C665="W",$C665="1/2W")),AND($K666=CE$3,OR($C666="W",$C666="1/2W"))),$S664,0))</f>
        <v>0</v>
      </c>
      <c r="CF664" s="273">
        <f>IF(CF$3=$K664,IF($C664="W",1,IF($C664="1/2W",0.5,0)),0)</f>
        <v>0</v>
      </c>
      <c r="CG664" s="274">
        <f>IF(CF$3=$K664,IF($C664="L",1,IF($C664="1/2L",0.5,0)),0)</f>
        <v>0</v>
      </c>
      <c r="CH664" s="274">
        <f>IF(CH$3=$K664,IF($C664="W",1,IF($C664="1/2W",0.5,0)),0)</f>
        <v>0</v>
      </c>
      <c r="CI664" s="274">
        <f>IF(CH$3=$K664,IF($C664="L",1,IF($C664="1/2L",0.5,0)),0)</f>
        <v>0</v>
      </c>
      <c r="CJ664" s="274">
        <f>IF(CJ$3=$K664,IF($C664="W",1,IF($C664="1/2W",0.5,0)),0)</f>
        <v>0</v>
      </c>
      <c r="CK664" s="274">
        <f>IF(CJ$3=$K664,IF($C664="L",1,IF($C664="1/2L",0.5,0)),0)</f>
        <v>0</v>
      </c>
      <c r="CL664" s="274">
        <f>IF(CL$3=$K664,IF($C664="W",1,IF($C664="1/2W",0.5,0)),0)</f>
        <v>0</v>
      </c>
      <c r="CM664" s="274">
        <f>IF(CL$3=$K664,IF($C664="L",1,IF($C664="1/2L",0.5,0)),0)</f>
        <v>0</v>
      </c>
      <c r="CN664" s="274">
        <f>IF(CN$3=$K664,IF($C664="W",1,IF($C664="1/2W",0.5,0)),0)</f>
        <v>0</v>
      </c>
      <c r="CO664" s="274">
        <f>IF(CN$3=$K664,IF($C664="L",1,IF($C664="1/2L",0.5,0)),0)</f>
        <v>0</v>
      </c>
      <c r="CP664" s="274">
        <f>IF(CP$3=$K664,IF($C664="W",1,IF($C664="1/2W",0.5,0)),0)</f>
        <v>0</v>
      </c>
      <c r="CQ664" s="274">
        <f>IF(CP$3=$K664,IF($C664="L",1,IF($C664="1/2L",0.5,0)),0)</f>
        <v>0</v>
      </c>
      <c r="CR664" s="274">
        <f>IF(CR$3=$K664,IF($C664="W",1,IF($C664="1/2W",0.5,0)),0)</f>
        <v>0</v>
      </c>
      <c r="CS664" s="274">
        <f>IF(CR$3=$K664,IF($C664="L",1,IF($C664="1/2L",0.5,0)),0)</f>
        <v>0</v>
      </c>
      <c r="CT664" s="145">
        <f>IF(CT$3=$K664,IF($C664="W",1,IF($C664="1/2W",0.5,0)),0)</f>
        <v>0</v>
      </c>
      <c r="CU664" s="146">
        <f>IF(CT$3=$K664,IF($C664="L",1,IF($C664="1/2L",0.5,0)),0)</f>
        <v>1</v>
      </c>
      <c r="CV664" s="146">
        <f>IF(CV$3=$K664,IF($C664="W",1,IF($C664="1/2W",0.5,0)),0)</f>
        <v>0</v>
      </c>
      <c r="CW664" s="146">
        <f>IF(CV$3=$K664,IF($C664="L",1,IF($C664="1/2L",0.5,0)),0)</f>
        <v>0</v>
      </c>
      <c r="CX664" s="146">
        <f>IF(CX$3=$K664,IF($C664="W",1,IF($C664="1/2W",0.5,0)),0)</f>
        <v>0</v>
      </c>
      <c r="CY664" s="146">
        <f>IF(CX$3=$K664,IF($C664="L",1,IF($C664="1/2L",0.5,0)),0)</f>
        <v>0</v>
      </c>
      <c r="CZ664" s="146">
        <f>IF(CZ$3=$K664,IF($C664="W",1,IF($C664="1/2W",0.5,0)),0)</f>
        <v>0</v>
      </c>
      <c r="DA664" s="146">
        <f>IF(CZ$3=$K664,IF($C664="L",1,IF($C664="1/2L",0.5,0)),0)</f>
        <v>0</v>
      </c>
      <c r="DB664" s="146">
        <f>IF(DB$3=$K664,IF($C664="W",1,IF($C664="1/2W",0.5,0)),0)</f>
        <v>0</v>
      </c>
      <c r="DC664" s="146">
        <f>IF(DB$3=$K664,IF($C664="L",1,IF($C664="1/2L",0.5,0)),0)</f>
        <v>0</v>
      </c>
      <c r="DD664" s="146">
        <f>IF(DD$3=$K664,IF($C664="W",1,IF($C664="1/2W",0.5,0)),0)</f>
        <v>0</v>
      </c>
      <c r="DE664" s="147">
        <f>IF(DD$3=$K664,IF($C664="L",1,IF($C664="1/2L",0.5,0)),0)</f>
        <v>0</v>
      </c>
      <c r="DF664" s="143">
        <f>IF(AND(L664&lt;DF$3,$C664="W"),1+DF663,DF663)</f>
        <v>18</v>
      </c>
      <c r="DG664" s="133">
        <f>IF(DF664&gt;DF663,L664+DG663,DG663)</f>
        <v>23.918</v>
      </c>
      <c r="DH664" s="146">
        <f>IF(AND(L664&gt;DH$3,$C664="W"),1+DH663,0+DH663)</f>
        <v>16</v>
      </c>
      <c r="DI664" s="133">
        <f>IF(DH664&gt;DH663,L664+DI663,DI663)</f>
        <v>85.45999999999999</v>
      </c>
      <c r="DJ664" t="s" s="304">
        <f>IF($D664="","",$D664)</f>
        <v>467</v>
      </c>
      <c r="DK664" s="146">
        <f>IF(AND($B664=" ",$D664&lt;&gt;""),1,0)</f>
        <v>0</v>
      </c>
    </row>
    <row r="665" ht="14.55" customHeight="1">
      <c r="A665" s="107"/>
      <c r="B665" s="108"/>
      <c r="C665" t="s" s="109">
        <v>56</v>
      </c>
      <c r="D665" s="110"/>
      <c r="E665" s="111"/>
      <c r="F665" s="113"/>
      <c r="G665" s="252"/>
      <c r="H665" s="114"/>
      <c r="I665" t="s" s="275">
        <v>57</v>
      </c>
      <c r="J665" s="276">
        <f>IF(OR(I664="TO",I664="TU",I664="TO1",I664="TU1",I664="TO2",I664="TU2"),J664,IF(OR(I664="AH1",I664="AH2"),IF(OR(I665="AH1",I665="AH2"),-J664,IF(OR(I665="EH1",I665="EH2"),-J664+0.5,"")),IF(OR(I664="EH1",I664="EH2"),IF(OR(I665="AH1",I665="AH2"),-J664+0.5,IF(OR(I665="EH1",I665="EH2"),-J664+1,"")),IF(AND(OR(I664="DNB1",I664="DNB2"),OR(I665="AH1",I665="AH2")),0,IF(AND(I664="Not ScoreBoth",OR(I665="TO1",I665="TO2")),0.5,"")))))</f>
        <v>0</v>
      </c>
      <c r="K665" t="s" s="117">
        <v>41</v>
      </c>
      <c r="L665" s="277">
        <v>1.96</v>
      </c>
      <c r="M665" s="278">
        <v>23.44</v>
      </c>
      <c r="N665" s="120"/>
      <c r="O665" s="121">
        <f>IF(OR(AE664="",AE665=""),"",ROUND(IF(L666&gt;0,IF(M665&gt;0,M665,IF(M664&gt;0,IF(N664=TRUE,ROUND((M664*AE665)/AE664,0),(M664*AE665)/AE664),IF(M665&gt;0,ROUND(M665,IF(N664=0,2,IF(N664=0.1,1,0))),IF(M666&gt;0,ROUND(O666*AE665/AE666,IF(N664=0,2,IF(N664=0.1,1,0))),0)))),IF(M665&gt;0,M665,ROUND((M664*AE665)/AE664,IF(N664=0,2,IF(N664=0.1,1,0))))),2))</f>
        <v>23.44</v>
      </c>
      <c r="P665" s="122">
        <f>IF(OR(L665="",O665=""),"",IF($C665="1/2W",O665/2+O665/2*L665,IF($C665="1/2L",O665/2,IF(I665="Lay",((O665*(L665/(L665-1)))-O665)*(1-_xlfn.XLOOKUP(K665,'Janeiro 2023 - Valor Real'!A3:A15,'Janeiro 2023 - Valor Real'!C3:C15,0))+O665,(O665*L665-O665)*(1-_xlfn.XLOOKUP(K665,'Janeiro 2023 - Valor Real'!A3:A15,'Janeiro 2023 - Valor Real'!C3:C15,0))+O665))))</f>
        <v>45.9424</v>
      </c>
      <c r="Q665" s="279">
        <f>IF(K665="","",IF(_xlfn.XLOOKUP(K665,K$120:K444,DJ$120:DJ444,0,,-1)=DJ665,_xlfn.XLOOKUP(K665,K$120:K444,Q$120:Q444,1,,-1)+1,1))</f>
        <v>1</v>
      </c>
      <c r="R665" s="280">
        <f>IF(K665="","",_xlfn.XLOOKUP(K665,K$120:K444,R$120:R444,0,,-1)+IF($C665=" ",1,0))</f>
        <v>0</v>
      </c>
      <c r="S665" s="125"/>
      <c r="T665" s="126"/>
      <c r="U665" s="126"/>
      <c r="V665" s="224"/>
      <c r="W665" s="126"/>
      <c r="X665" s="127"/>
      <c r="Y665" s="128"/>
      <c r="Z665" s="129"/>
      <c r="AA665" s="129"/>
      <c r="AB665" s="129"/>
      <c r="AC665" s="129"/>
      <c r="AD665" s="130"/>
      <c r="AE665" s="131">
        <f>IF(L665="","",IF(L666&gt;0,(SUM(((L664-1)*(1-_xlfn.XLOOKUP(K664,'Janeiro 2023 - Valor Real'!A3:A15,'Janeiro 2023 - Valor Real'!C3:C15,0))+1),((L665-1)*(1-_xlfn.XLOOKUP(K665,'Janeiro 2023 - Valor Real'!A3:A15,'Janeiro 2023 - Valor Real'!C3:C15,0))+1),((L666-1)*(1-_xlfn.XLOOKUP(K666,'Janeiro 2023 - Valor Real'!A3:A15,'Janeiro 2023 - Valor Real'!C3:C15,0))+1))/((L665-1)*(1-_xlfn.XLOOKUP(K665,'Janeiro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Real'!C3:C15,0))+1))/((L664-1)*(1-_xlfn.XLOOKUP(K664,'Janeiro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Real'!C3:C15,0))+1))/((L665-1)*(1-_xlfn.XLOOKUP(K665,'Janeiro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Real'!C3:C15,0))+1))/((L666-1)*(1-_xlfn.XLOOKUP(K666,'Janeiro 2023 - Valor Real'!A3:A15,'Janeiro 2023 - Valor Real'!C3:C15,0))+1)),IF(I665="Lay",IF(I664="Lay",((L664/(L664-1)-1)*(1-_xlfn.XLOOKUP(K664,'Janeiro 2023 - Valor Real'!A3:A15,'Janeiro 2023 - Valor Real'!C3:C15,0))+1)/(((L664/(L664-1)-1)*(1-_xlfn.XLOOKUP(K664,'Janeiro 2023 - Valor Real'!A3:A15,'Janeiro 2023 - Valor Real'!C3:C15,0))+1)+((L665/(L665-1)-1)*(1-_xlfn.XLOOKUP(K665,'Janeiro 2023 - Valor Real'!A3:A15,'Janeiro 2023 - Valor Real'!C3:C15,0))+1)),((L664-1)*(1-_xlfn.XLOOKUP(K664,'Janeiro 2023 - Valor Real'!A3:A15,'Janeiro 2023 - Valor Real'!C3:C15,0))+1)/(((L664-1)*(1-_xlfn.XLOOKUP(K664,'Janeiro 2023 - Valor Real'!A3:A15,'Janeiro 2023 - Valor Real'!C3:C15,0))+1)+((L665/(L665-1)-1)*(1-_xlfn.XLOOKUP(K665,'Janeiro 2023 - Valor Real'!A3:A15,'Janeiro 2023 - Valor Real'!C3:C15,0))+1))),IF(I664="Lay",((L664/(L664-1)-1)*(1-_xlfn.XLOOKUP(K664,'Janeiro 2023 - Valor Real'!A3:A15,'Janeiro 2023 - Valor Real'!C3:C15,0))+1)/((((L664/(L664-1)-1)*(1-_xlfn.XLOOKUP(K664,'Janeiro 2023 - Valor Real'!A3:A15,'Janeiro 2023 - Valor Real'!C3:C15,0))+1))+((L665-1)*(1-_xlfn.XLOOKUP(K665,'Janeiro 2023 - Valor Real'!A3:A15,'Janeiro 2023 - Valor Real'!C3:C15,0))+1)),((L664-1)*(1-_xlfn.XLOOKUP(K664,'Janeiro 2023 - Valor Real'!A3:A15,'Janeiro 2023 - Valor Real'!C3:C15,0))+1)/(((L664-1)*(1-_xlfn.XLOOKUP(K664,'Janeiro 2023 - Valor Real'!A3:A15,'Janeiro 2023 - Valor Real'!C3:C15,0))+1)+((L665-1)*(1-_xlfn.XLOOKUP(K665,'Janeiro 2023 - Valor Real'!A3:A15,'Janeiro 2023 - Valor Real'!C3:C15,0))+1))))))</f>
        <v>0.533333333333333</v>
      </c>
      <c r="AF665" s="132">
        <f>IF($K665=AF$3,ROUND(IF(OR($C665="W",$C665="1/2W",$C665="1/2L"),$P665-$O665,IF($C665="X",0,-$O665)),2),0)</f>
        <v>0</v>
      </c>
      <c r="AG665" s="133">
        <f>IF($K665=AG$3,ROUND(IF(OR($C665="W",$C665="1/2W",$C665="1/2L"),$P665-$O665,IF($C665="X",0,-$O665)),2),0)</f>
        <v>0</v>
      </c>
      <c r="AH665" s="133">
        <f>IF($K665=AH$3,ROUND(IF(OR($C665="W",$C665="1/2W",$C665="1/2L"),$P665-$O665,IF($C665="X",0,-$O665)),2),0)</f>
        <v>0</v>
      </c>
      <c r="AI665" s="133">
        <f>IF($K665=AI$3,ROUND(IF(OR($C665="W",$C665="1/2W",$C665="1/2L"),$P665-$O665,IF($C665="X",0,-$O665)),2),0)</f>
        <v>0</v>
      </c>
      <c r="AJ665" s="133">
        <f>IF($K665=AJ$3,ROUND(IF(OR($C665="W",$C665="1/2W",$C665="1/2L"),$P665-$O665,IF($C665="X",0,-$O665)),2),0)</f>
        <v>22.5</v>
      </c>
      <c r="AK665" s="133">
        <f>IF($K665=AK$3,ROUND(IF(OR($C665="W",$C665="1/2W",$C665="1/2L"),$P665-$O665,IF($C665="X",0,-$O665)),2),0)</f>
        <v>0</v>
      </c>
      <c r="AL665" s="133">
        <f>IF($K665=AL$3,ROUND(IF(OR($C665="W",$C665="1/2W",$C665="1/2L"),$P665-$O665,IF($C665="X",0,-$O665)),2),0)</f>
        <v>0</v>
      </c>
      <c r="AM665" s="133">
        <f>IF($K665=AM$3,ROUND(IF(OR($C665="W",$C665="1/2W",$C665="1/2L"),$P665-$O665,IF($C665="X",0,-$O665)),2),0)</f>
        <v>0</v>
      </c>
      <c r="AN665" s="133">
        <f>IF($K665=AN$3,ROUND(IF(OR($C665="W",$C665="1/2W",$C665="1/2L"),$P665-$O665,IF($C665="X",0,-$O665)),2),0)</f>
        <v>0</v>
      </c>
      <c r="AO665" s="133">
        <f>IF($K665=AO$3,ROUND(IF(OR($C665="W",$C665="1/2W",$C665="1/2L"),$P665-$O665,IF($C665="X",0,-$O665)),2),0)</f>
        <v>0</v>
      </c>
      <c r="AP665" s="133">
        <f>IF($K665=AP$3,ROUND(IF(OR($C665="W",$C665="1/2W",$C665="1/2L"),$P665-$O665,IF($C665="X",0,-$O665)),2),0)</f>
        <v>0</v>
      </c>
      <c r="AQ665" s="133">
        <f>IF($K665=AQ$3,ROUND(IF(OR($C665="W",$C665="1/2W",$C665="1/2L"),$P665-$O665,IF($C665="X",0,-$O665)),2),0)</f>
        <v>0</v>
      </c>
      <c r="AR665" s="134">
        <f>IF($K665=AR$3,ROUND(IF(OR($C665="W",$C665="1/2W",$C665="1/2L"),$P665-$O665,IF($C665="X",0,-$O665)),2),0)</f>
        <v>0</v>
      </c>
      <c r="AS665" s="132">
        <f>IF(AND($B664=" ",$K665=AS$3),$O665,0)</f>
        <v>0</v>
      </c>
      <c r="AT665" s="133">
        <f>IF(AND($B664=" ",K665=AT$3),$O665,0)</f>
        <v>0</v>
      </c>
      <c r="AU665" s="133">
        <f>IF(AND($B664=" ",$K665=AU$3),$O665,0)</f>
        <v>0</v>
      </c>
      <c r="AV665" s="133">
        <f>IF(AND($B664=" ",$K665=AV$3),$O665,0)</f>
        <v>0</v>
      </c>
      <c r="AW665" s="133">
        <f>IF(AND($B664=" ",$K665=AW$3),$O665,0)</f>
        <v>0</v>
      </c>
      <c r="AX665" s="133">
        <f>IF(AND($B664=" ",$K665=AX$3),$O665,0)</f>
        <v>0</v>
      </c>
      <c r="AY665" s="135">
        <f>IF(AND($B664=" ",$K665=AY$3),$O665,0)</f>
        <v>0</v>
      </c>
      <c r="AZ665" s="136">
        <f>IF(AND($B664=" ",$K665=AZ$3),$O665,0)</f>
        <v>0</v>
      </c>
      <c r="BA665" s="136">
        <f>IF(AND($B664=" ",$K665=BA$3),$O665,0)</f>
        <v>0</v>
      </c>
      <c r="BB665" s="136">
        <f>IF(AND($B664=" ",$K665=BB$3),$O665,0)</f>
        <v>0</v>
      </c>
      <c r="BC665" s="137">
        <f>IF(AND($B664=" ",$K665=BC$3),$O665,0)</f>
        <v>0</v>
      </c>
      <c r="BD665" s="133">
        <f>IF(AND($B664=" ",$K665=BD$3),$O665,0)</f>
        <v>0</v>
      </c>
      <c r="BE665" s="134">
        <f>IF(AND($B664=" ",$K665=BE$3),$O665,0)</f>
        <v>0</v>
      </c>
      <c r="BF665" s="132">
        <f>IF($K665=BF$3,IF($C665="X",0,$O665),0)</f>
        <v>0</v>
      </c>
      <c r="BG665" s="281">
        <f>IF($K665=BG$3,IF($C665="X",0,$O665),0)</f>
        <v>0</v>
      </c>
      <c r="BH665" s="133">
        <f>IF($K665=BH$3,IF($C665="X",0,$O665),0)</f>
        <v>0</v>
      </c>
      <c r="BI665" s="133">
        <f>IF($K665=BI$3,IF($C665="X",0,$O665),0)</f>
        <v>0</v>
      </c>
      <c r="BJ665" s="133">
        <f>IF($K665=BJ$3,IF($C665="X",0,$O665),0)</f>
        <v>23.44</v>
      </c>
      <c r="BK665" s="133">
        <f>IF($K665=BK$3,IF($C665="X",0,$O665),0)</f>
        <v>0</v>
      </c>
      <c r="BL665" s="133">
        <f>IF($K665=BL$3,IF($C665="X",0,$O665),0)</f>
        <v>0</v>
      </c>
      <c r="BM665" s="135">
        <f>IF($K665=BM$3,IF($C665="X",0,$O665),0)</f>
        <v>0</v>
      </c>
      <c r="BN665" s="136">
        <f>IF($K665=BN$3,IF($C665="X",0,$O665),0)</f>
        <v>0</v>
      </c>
      <c r="BO665" s="136">
        <f>IF($K665=BO$3,IF($C665="X",0,$O665),0)</f>
        <v>0</v>
      </c>
      <c r="BP665" s="136">
        <f>IF($K665=BP$3,IF($C665="X",0,$O665),0)</f>
        <v>0</v>
      </c>
      <c r="BQ665" s="137">
        <f>IF($K665=BQ$3,IF($C665="X",0,$O665),0)</f>
        <v>0</v>
      </c>
      <c r="BR665" s="134">
        <f>IF($K665=BR$3,IF($C665="X",0,$O665),0)</f>
        <v>0</v>
      </c>
      <c r="BS665" s="282"/>
      <c r="BT665" s="283"/>
      <c r="BU665" s="140"/>
      <c r="BV665" s="283"/>
      <c r="BW665" s="140"/>
      <c r="BX665" s="140"/>
      <c r="BY665" s="140"/>
      <c r="BZ665" s="283"/>
      <c r="CA665" s="140"/>
      <c r="CB665" s="140"/>
      <c r="CC665" s="140"/>
      <c r="CD665" s="141"/>
      <c r="CE665" s="142"/>
      <c r="CF665" s="284">
        <f>IF(CF$3=$K665,IF($C665="W",1,IF($C665="1/2W",0.5,0)),0)</f>
        <v>0</v>
      </c>
      <c r="CG665" s="285">
        <f>IF(CF$3=$K665,IF($C665="L",1,IF($C665="1/2L",0.5,0)),0)</f>
        <v>0</v>
      </c>
      <c r="CH665" s="285">
        <f>IF(CH$3=$K665,IF($C665="W",1,IF($C665="1/2W",0.5,0)),0)</f>
        <v>0</v>
      </c>
      <c r="CI665" s="285">
        <f>IF(CH$3=$K665,IF($C665="L",1,IF($C665="1/2L",0.5,0)),0)</f>
        <v>0</v>
      </c>
      <c r="CJ665" s="285">
        <f>IF(CJ$3=$K665,IF($C665="W",1,IF($C665="1/2W",0.5,0)),0)</f>
        <v>0</v>
      </c>
      <c r="CK665" s="285">
        <f>IF(CJ$3=$K665,IF($C665="L",1,IF($C665="1/2L",0.5,0)),0)</f>
        <v>0</v>
      </c>
      <c r="CL665" s="285">
        <f>IF(CL$3=$K665,IF($C665="W",1,IF($C665="1/2W",0.5,0)),0)</f>
        <v>0</v>
      </c>
      <c r="CM665" s="285">
        <f>IF(CL$3=$K665,IF($C665="L",1,IF($C665="1/2L",0.5,0)),0)</f>
        <v>0</v>
      </c>
      <c r="CN665" s="285">
        <f>IF(CN$3=$K665,IF($C665="W",1,IF($C665="1/2W",0.5,0)),0)</f>
        <v>1</v>
      </c>
      <c r="CO665" s="285">
        <f>IF(CN$3=$K665,IF($C665="L",1,IF($C665="1/2L",0.5,0)),0)</f>
        <v>0</v>
      </c>
      <c r="CP665" s="285">
        <f>IF(CP$3=$K665,IF($C665="W",1,IF($C665="1/2W",0.5,0)),0)</f>
        <v>0</v>
      </c>
      <c r="CQ665" s="285">
        <f>IF(CP$3=$K665,IF($C665="L",1,IF($C665="1/2L",0.5,0)),0)</f>
        <v>0</v>
      </c>
      <c r="CR665" s="285">
        <f>IF(CR$3=$K665,IF($C665="W",1,IF($C665="1/2W",0.5,0)),0)</f>
        <v>0</v>
      </c>
      <c r="CS665" s="285">
        <f>IF(CR$3=$K665,IF($C665="L",1,IF($C665="1/2L",0.5,0)),0)</f>
        <v>0</v>
      </c>
      <c r="CT665" s="145">
        <f>IF(CT$3=$K665,IF($C665="W",1,IF($C665="1/2W",0.5,0)),0)</f>
        <v>0</v>
      </c>
      <c r="CU665" s="146">
        <f>IF(CT$3=$K665,IF($C665="L",1,IF($C665="1/2L",0.5,0)),0)</f>
        <v>0</v>
      </c>
      <c r="CV665" s="146">
        <f>IF(CV$3=$K665,IF($C665="W",1,IF($C665="1/2W",0.5,0)),0)</f>
        <v>0</v>
      </c>
      <c r="CW665" s="146">
        <f>IF(CV$3=$K665,IF($C665="L",1,IF($C665="1/2L",0.5,0)),0)</f>
        <v>0</v>
      </c>
      <c r="CX665" s="146">
        <f>IF(CX$3=$K665,IF($C665="W",1,IF($C665="1/2W",0.5,0)),0)</f>
        <v>0</v>
      </c>
      <c r="CY665" s="146">
        <f>IF(CX$3=$K665,IF($C665="L",1,IF($C665="1/2L",0.5,0)),0)</f>
        <v>0</v>
      </c>
      <c r="CZ665" s="146">
        <f>IF(CZ$3=$K665,IF($C665="W",1,IF($C665="1/2W",0.5,0)),0)</f>
        <v>0</v>
      </c>
      <c r="DA665" s="146">
        <f>IF(CZ$3=$K665,IF($C665="L",1,IF($C665="1/2L",0.5,0)),0)</f>
        <v>0</v>
      </c>
      <c r="DB665" s="146">
        <f>IF(DB$3=$K665,IF($C665="W",1,IF($C665="1/2W",0.5,0)),0)</f>
        <v>0</v>
      </c>
      <c r="DC665" s="146">
        <f>IF(DB$3=$K665,IF($C665="L",1,IF($C665="1/2L",0.5,0)),0)</f>
        <v>0</v>
      </c>
      <c r="DD665" s="146">
        <f>IF(DD$3=$K665,IF($C665="W",1,IF($C665="1/2W",0.5,0)),0)</f>
        <v>0</v>
      </c>
      <c r="DE665" s="147">
        <f>IF(DD$3=$K665,IF($C665="L",1,IF($C665="1/2L",0.5,0)),0)</f>
        <v>0</v>
      </c>
      <c r="DF665" s="143">
        <f>IF(AND(L665&lt;DF$3,$C665="W"),1+DF664,DF664)</f>
        <v>18</v>
      </c>
      <c r="DG665" s="133">
        <f>IF(DF665&gt;DF664,L665+DG664,DG664)</f>
        <v>23.918</v>
      </c>
      <c r="DH665" s="146">
        <f>IF(AND(L665&gt;DH$3,$C665="W"),1+DH664,0+DH664)</f>
        <v>16</v>
      </c>
      <c r="DI665" s="133">
        <f>IF(DH665&gt;DH664,L665+DI664,DI664)</f>
        <v>85.45999999999999</v>
      </c>
      <c r="DJ665" t="s" s="304">
        <f>IF($D664="","",$D664)</f>
        <v>467</v>
      </c>
      <c r="DK665" s="286"/>
    </row>
    <row r="666" ht="14.55" customHeight="1">
      <c r="A666" s="149"/>
      <c r="B666" s="150"/>
      <c r="C666" t="s" s="151">
        <v>58</v>
      </c>
      <c r="D666" s="152"/>
      <c r="E666" s="153"/>
      <c r="F666" s="155"/>
      <c r="G666" s="252"/>
      <c r="H666" s="156"/>
      <c r="I666" s="287"/>
      <c r="J666" s="288"/>
      <c r="K666" s="156"/>
      <c r="L666" s="289"/>
      <c r="M666" s="290"/>
      <c r="N666" s="161"/>
      <c r="O666" t="s" s="162">
        <f>IF(OR(AE664="",AE665=""),"",IF(L666&gt;0,ROUND(IF(M666&gt;0,M666,IF(M664&gt;0,ROUND((M664*AE666)/AE664,IF(N664=0,2,IF(N664=0.1,1,0))),IF(M665&gt;0,ROUND((M665*AE666)/AE665,IF(N664=0,2,IF(N664=0.1,1,0))),IF(M666&gt;0,M666,0)))),2),""))</f>
      </c>
      <c r="P666" t="s" s="163">
        <f>IF(I665="Lay",O665*(L665/(L665-1))-O665,IF(I664="Lay",O664*(L664/(L664-1))-O664,IF(OR(L666="",O666=""),"",IF($C666="1/2W",O666/2+O666/2*L666,IF($C666="1/2L",O666/2,(O666*L666-O666)*(1-_xlfn.XLOOKUP(K666,'Janeiro 2023 - Valor Real'!A3:A15,'Janeiro 2023 - Valor Real'!C3:C15,0))+O666)))))</f>
      </c>
      <c r="Q666" t="s" s="154">
        <f>IF(K666="","",IF(_xlfn.XLOOKUP(K666,K$121:K445,DJ$121:DJ445,0,,-1)=DJ666,_xlfn.XLOOKUP(K666,K$121:K445,Q$121:Q445,1,,-1)+1,1))</f>
      </c>
      <c r="R666" t="s" s="163">
        <f>IF(K666="","",_xlfn.XLOOKUP(K666,K$121:K445,R$121:R445,0,,-1)+IF($C666=" ",1,0))</f>
      </c>
      <c r="S666" s="166"/>
      <c r="T666" s="155"/>
      <c r="U666" s="155"/>
      <c r="V666" s="166"/>
      <c r="W666" s="155"/>
      <c r="X666" s="167"/>
      <c r="Y666" s="128"/>
      <c r="Z666" s="129"/>
      <c r="AA666" s="129"/>
      <c r="AB666" s="129"/>
      <c r="AC666" s="129"/>
      <c r="AD666" s="168"/>
      <c r="AE666" t="s" s="169">
        <f>IF(L666="","",(SUM(((L664-1)*(1-_xlfn.XLOOKUP(K664,'Janeiro 2023 - Valor Real'!A3:A15,'Janeiro 2023 - Valor Real'!C3:C15,0))+1),((L665-1)*(1-_xlfn.XLOOKUP(K665,'Janeiro 2023 - Valor Real'!A3:A15,'Janeiro 2023 - Valor Real'!C3:C15,0))+1),((L666-1)*(1-_xlfn.XLOOKUP(K666,'Janeiro 2023 - Valor Real'!A3:A15,'Janeiro 2023 - Valor Real'!C3:C15,0))+1))/((L666-1)*(1-_xlfn.XLOOKUP(K666,'Janeiro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Real'!C3:C15,0))+1))/((L664-1)*(1-_xlfn.XLOOKUP(K664,'Janeiro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Real'!C3:C15,0))+1))/((L665-1)*(1-_xlfn.XLOOKUP(K665,'Janeiro 2023 - Valor Real'!A3:A15,'Janeiro 2023 - Valor Real'!C3:C15,0))+1)+SUM(((L664-1)*(1-_xlfn.XLOOKUP(K664,'Janeiro 2023 - Valor Real'!A3:A15,'Janeiro 2023 - Valor Real'!C3:C15,0))+1),((L665-1)*(1-_xlfn.XLOOKUP(K665,'Janeiro 2023 - Valor Real'!A3:A15,'Janeiro 2023 - Valor Real'!C3:C15,0))+1),((L666-1)*(1-_xlfn.XLOOKUP(K666,'Janeiro 2023 - Valor Real'!A3:A15,'Janeiro 2023 - Valor Real'!C3:C15,0))+1))/((L666-1)*(1-_xlfn.XLOOKUP(K666,'Janeiro 2023 - Valor Real'!A3:A15,'Janeiro 2023 - Valor Real'!C3:C15,0))+1)))</f>
      </c>
      <c r="AF666" s="132">
        <f>IF($K666=AF$3,ROUND(IF(OR($C666="W",$C666="1/2W",$C666="1/2L"),$P666-$O666,IF($C666="X",0,-$O666)),2),0)</f>
        <v>0</v>
      </c>
      <c r="AG666" s="133">
        <f>IF($K666=AG$3,ROUND(IF(OR($C666="W",$C666="1/2W",$C666="1/2L"),$P666-$O666,IF($C666="X",0,-$O666)),2),0)</f>
        <v>0</v>
      </c>
      <c r="AH666" s="133">
        <f>IF($K666=AH$3,ROUND(IF(OR($C666="W",$C666="1/2W",$C666="1/2L"),$P666-$O666,IF($C666="X",0,-$O666)),2),0)</f>
        <v>0</v>
      </c>
      <c r="AI666" s="133">
        <f>IF($K666=AI$3,ROUND(IF(OR($C666="W",$C666="1/2W",$C666="1/2L"),$P666-$O666,IF($C666="X",0,-$O666)),2),0)</f>
        <v>0</v>
      </c>
      <c r="AJ666" s="133">
        <f>IF($K666=AJ$3,ROUND(IF(OR($C666="W",$C666="1/2W",$C666="1/2L"),$P666-$O666,IF($C666="X",0,-$O666)),2),0)</f>
        <v>0</v>
      </c>
      <c r="AK666" s="133">
        <f>IF($K666=AK$3,ROUND(IF(OR($C666="W",$C666="1/2W",$C666="1/2L"),$P666-$O666,IF($C666="X",0,-$O666)),2),0)</f>
        <v>0</v>
      </c>
      <c r="AL666" s="133">
        <f>IF($K666=AL$3,ROUND(IF(OR($C666="W",$C666="1/2W",$C666="1/2L"),$P666-$O666,IF($C666="X",0,-$O666)),2),0)</f>
        <v>0</v>
      </c>
      <c r="AM666" s="133">
        <f>IF($K666=AM$3,ROUND(IF(OR($C666="W",$C666="1/2W",$C666="1/2L"),$P666-$O666,IF($C666="X",0,-$O666)),2),0)</f>
        <v>0</v>
      </c>
      <c r="AN666" s="133">
        <f>IF($K666=AN$3,ROUND(IF(OR($C666="W",$C666="1/2W",$C666="1/2L"),$P666-$O666,IF($C666="X",0,-$O666)),2),0)</f>
        <v>0</v>
      </c>
      <c r="AO666" s="133">
        <f>IF($K666=AO$3,ROUND(IF(OR($C666="W",$C666="1/2W",$C666="1/2L"),$P666-$O666,IF($C666="X",0,-$O666)),2),0)</f>
        <v>0</v>
      </c>
      <c r="AP666" s="133">
        <f>IF($K666=AP$3,ROUND(IF(OR($C666="W",$C666="1/2W",$C666="1/2L"),$P666-$O666,IF($C666="X",0,-$O666)),2),0)</f>
        <v>0</v>
      </c>
      <c r="AQ666" s="133">
        <f>IF($K666=AQ$3,ROUND(IF(OR($C666="W",$C666="1/2W",$C666="1/2L"),$P666-$O666,IF($C666="X",0,-$O666)),2),0)</f>
        <v>0</v>
      </c>
      <c r="AR666" s="134">
        <f>IF($K666=AR$3,ROUND(IF(OR($C666="W",$C666="1/2W",$C666="1/2L"),$P666-$O666,IF($C666="X",0,-$O666)),2),0)</f>
        <v>0</v>
      </c>
      <c r="AS666" s="132">
        <f>IF(AND($B664=" ",$K666=AS$3),$O666,0)</f>
        <v>0</v>
      </c>
      <c r="AT666" s="133">
        <f>IF(AND($B664=" ",K666=AT$3),$O666,0)</f>
        <v>0</v>
      </c>
      <c r="AU666" s="133">
        <f>IF(AND($B664=" ",$K666=AU$3),$O666,0)</f>
        <v>0</v>
      </c>
      <c r="AV666" s="133">
        <f>IF(AND($B664=" ",$K666=AV$3),$O666,0)</f>
        <v>0</v>
      </c>
      <c r="AW666" s="133">
        <f>IF(AND($B664=" ",$K666=AW$3),$O666,0)</f>
        <v>0</v>
      </c>
      <c r="AX666" s="133">
        <f>IF(AND($B664=" ",$K666=AX$3),$O666,0)</f>
        <v>0</v>
      </c>
      <c r="AY666" s="135">
        <f>IF(AND($B664=" ",$K666=AY$3),$O666,0)</f>
        <v>0</v>
      </c>
      <c r="AZ666" s="136">
        <f>IF(AND($B664=" ",$K666=AZ$3),$O666,0)</f>
        <v>0</v>
      </c>
      <c r="BA666" s="136">
        <f>IF(AND($B664=" ",$K666=BA$3),$O666,0)</f>
        <v>0</v>
      </c>
      <c r="BB666" s="136">
        <f>IF(AND($B664=" ",$K666=BB$3),$O666,0)</f>
        <v>0</v>
      </c>
      <c r="BC666" s="137">
        <f>IF(AND($B664=" ",$K666=BC$3),$O666,0)</f>
        <v>0</v>
      </c>
      <c r="BD666" s="133">
        <f>IF(AND($B664=" ",$K666=BD$3),$O666,0)</f>
        <v>0</v>
      </c>
      <c r="BE666" s="134">
        <f>IF(AND($B664=" ",$K666=BE$3),$O666,0)</f>
        <v>0</v>
      </c>
      <c r="BF666" s="132">
        <f>IF($K666=BF$3,IF($C666="X",0,$O666),0)</f>
        <v>0</v>
      </c>
      <c r="BG666" s="281">
        <f>IF($K666=BG$3,IF($C666="X",0,$O666),0)</f>
        <v>0</v>
      </c>
      <c r="BH666" s="133">
        <f>IF($K666=BH$3,IF($C666="X",0,$O666),0)</f>
        <v>0</v>
      </c>
      <c r="BI666" s="133">
        <f>IF($K666=BI$3,IF($C666="X",0,$O666),0)</f>
        <v>0</v>
      </c>
      <c r="BJ666" s="133">
        <f>IF($K666=BJ$3,IF($C666="X",0,$O666),0)</f>
        <v>0</v>
      </c>
      <c r="BK666" s="133">
        <f>IF($K666=BK$3,IF($C666="X",0,$O666),0)</f>
        <v>0</v>
      </c>
      <c r="BL666" s="133">
        <f>IF($K666=BL$3,IF($C666="X",0,$O666),0)</f>
        <v>0</v>
      </c>
      <c r="BM666" s="135">
        <f>IF($K666=BM$3,IF($C666="X",0,$O666),0)</f>
        <v>0</v>
      </c>
      <c r="BN666" s="136">
        <f>IF($K666=BN$3,IF($C666="X",0,$O666),0)</f>
        <v>0</v>
      </c>
      <c r="BO666" s="136">
        <f>IF($K666=BO$3,IF($C666="X",0,$O666),0)</f>
        <v>0</v>
      </c>
      <c r="BP666" s="136">
        <f>IF($K666=BP$3,IF($C666="X",0,$O666),0)</f>
        <v>0</v>
      </c>
      <c r="BQ666" s="137">
        <f>IF($K666=BQ$3,IF($C666="X",0,$O666),0)</f>
        <v>0</v>
      </c>
      <c r="BR666" s="134">
        <f>IF($K666=BR$3,IF($C666="X",0,$O666),0)</f>
        <v>0</v>
      </c>
      <c r="BS666" s="282"/>
      <c r="BT666" s="283"/>
      <c r="BU666" s="140"/>
      <c r="BV666" s="283"/>
      <c r="BW666" s="140"/>
      <c r="BX666" s="140"/>
      <c r="BY666" s="140"/>
      <c r="BZ666" s="283"/>
      <c r="CA666" s="140"/>
      <c r="CB666" s="140"/>
      <c r="CC666" s="140"/>
      <c r="CD666" s="141"/>
      <c r="CE666" s="142"/>
      <c r="CF666" s="284">
        <f>IF(CF$3=$K666,IF($C666="W",1,IF($C666="1/2W",0.5,0)),0)</f>
        <v>0</v>
      </c>
      <c r="CG666" s="285">
        <f>IF(CF$3=$K666,IF($C666="L",1,IF($C666="1/2L",0.5,0)),0)</f>
        <v>0</v>
      </c>
      <c r="CH666" s="285">
        <f>IF(CH$3=$K666,IF($C666="W",1,IF($C666="1/2W",0.5,0)),0)</f>
        <v>0</v>
      </c>
      <c r="CI666" s="285">
        <f>IF(CH$3=$K666,IF($C666="L",1,IF($C666="1/2L",0.5,0)),0)</f>
        <v>0</v>
      </c>
      <c r="CJ666" s="285">
        <f>IF(CJ$3=$K666,IF($C666="W",1,IF($C666="1/2W",0.5,0)),0)</f>
        <v>0</v>
      </c>
      <c r="CK666" s="285">
        <f>IF(CJ$3=$K666,IF($C666="L",1,IF($C666="1/2L",0.5,0)),0)</f>
        <v>0</v>
      </c>
      <c r="CL666" s="285">
        <f>IF(CL$3=$K666,IF($C666="W",1,IF($C666="1/2W",0.5,0)),0)</f>
        <v>0</v>
      </c>
      <c r="CM666" s="285">
        <f>IF(CL$3=$K666,IF($C666="L",1,IF($C666="1/2L",0.5,0)),0)</f>
        <v>0</v>
      </c>
      <c r="CN666" s="285">
        <f>IF(CN$3=$K666,IF($C666="W",1,IF($C666="1/2W",0.5,0)),0)</f>
        <v>0</v>
      </c>
      <c r="CO666" s="285">
        <f>IF(CN$3=$K666,IF($C666="L",1,IF($C666="1/2L",0.5,0)),0)</f>
        <v>0</v>
      </c>
      <c r="CP666" s="285">
        <f>IF(CP$3=$K666,IF($C666="W",1,IF($C666="1/2W",0.5,0)),0)</f>
        <v>0</v>
      </c>
      <c r="CQ666" s="285">
        <f>IF(CP$3=$K666,IF($C666="L",1,IF($C666="1/2L",0.5,0)),0)</f>
        <v>0</v>
      </c>
      <c r="CR666" s="285">
        <f>IF(CR$3=$K666,IF($C666="W",1,IF($C666="1/2W",0.5,0)),0)</f>
        <v>0</v>
      </c>
      <c r="CS666" s="285">
        <f>IF(CR$3=$K666,IF($C666="L",1,IF($C666="1/2L",0.5,0)),0)</f>
        <v>0</v>
      </c>
      <c r="CT666" s="145">
        <f>IF(CT$3=$K666,IF($C666="W",1,IF($C666="1/2W",0.5,0)),0)</f>
        <v>0</v>
      </c>
      <c r="CU666" s="146">
        <f>IF(CT$3=$K666,IF($C666="L",1,IF($C666="1/2L",0.5,0)),0)</f>
        <v>0</v>
      </c>
      <c r="CV666" s="146">
        <f>IF(CV$3=$K666,IF($C666="W",1,IF($C666="1/2W",0.5,0)),0)</f>
        <v>0</v>
      </c>
      <c r="CW666" s="146">
        <f>IF(CV$3=$K666,IF($C666="L",1,IF($C666="1/2L",0.5,0)),0)</f>
        <v>0</v>
      </c>
      <c r="CX666" s="146">
        <f>IF(CX$3=$K666,IF($C666="W",1,IF($C666="1/2W",0.5,0)),0)</f>
        <v>0</v>
      </c>
      <c r="CY666" s="146">
        <f>IF(CX$3=$K666,IF($C666="L",1,IF($C666="1/2L",0.5,0)),0)</f>
        <v>0</v>
      </c>
      <c r="CZ666" s="146">
        <f>IF(CZ$3=$K666,IF($C666="W",1,IF($C666="1/2W",0.5,0)),0)</f>
        <v>0</v>
      </c>
      <c r="DA666" s="146">
        <f>IF(CZ$3=$K666,IF($C666="L",1,IF($C666="1/2L",0.5,0)),0)</f>
        <v>0</v>
      </c>
      <c r="DB666" s="146">
        <f>IF(DB$3=$K666,IF($C666="W",1,IF($C666="1/2W",0.5,0)),0)</f>
        <v>0</v>
      </c>
      <c r="DC666" s="146">
        <f>IF(DB$3=$K666,IF($C666="L",1,IF($C666="1/2L",0.5,0)),0)</f>
        <v>0</v>
      </c>
      <c r="DD666" s="146">
        <f>IF(DD$3=$K666,IF($C666="W",1,IF($C666="1/2W",0.5,0)),0)</f>
        <v>0</v>
      </c>
      <c r="DE666" s="147">
        <f>IF(DD$3=$K666,IF($C666="L",1,IF($C666="1/2L",0.5,0)),0)</f>
        <v>0</v>
      </c>
      <c r="DF666" s="143">
        <f>IF(AND(L666&lt;DF$3,$C666="W"),1+DF665,DF665)</f>
        <v>18</v>
      </c>
      <c r="DG666" s="133">
        <f>IF(DF666&gt;DF665,L666+DG665,DG665)</f>
        <v>23.918</v>
      </c>
      <c r="DH666" s="146">
        <f>IF(AND(L666&gt;DH$3,$C666="W"),1+DH665,0+DH665)</f>
        <v>16</v>
      </c>
      <c r="DI666" s="133">
        <f>IF(DH666&gt;DH665,L666+DI665,DI665)</f>
        <v>85.45999999999999</v>
      </c>
      <c r="DJ666" t="s" s="304">
        <f>IF($D664="","",$D664)</f>
        <v>467</v>
      </c>
      <c r="DK666" s="286"/>
    </row>
    <row r="667" ht="14.55" customHeight="1">
      <c r="A667" s="171">
        <f>$A664+1</f>
        <v>222</v>
      </c>
      <c r="B667" t="s" s="172">
        <f>IF(AND(_xlfn.XLOOKUP(H667,H$122:H440,G$122:G440,0)=G667,_xlfn.XLOOKUP("TempoBet",K667:K669,L667:L669,0)&gt;0),"X",IF(OR(C667="W",C668="W",C669="W",C667="1/2W",C668="1/2W",C669="1/2W",C667="1/2L",C668="1/2L",C669="1/2L"),"OK",IF(OR(C667="L",C668="L",C669="L"),"LOSS",IF(OR(C667="X",C668="X",C669="X"),"Anulado"," "))))</f>
        <v>50</v>
      </c>
      <c r="C667" t="s" s="173">
        <v>56</v>
      </c>
      <c r="D667" t="s" s="305">
        <f>IF(G667="","",$D664)</f>
        <v>467</v>
      </c>
      <c r="E667" t="s" s="175">
        <f>IF(G667=""," ","– "&amp;COUNTIF(D$4:D669,$D667))</f>
        <v>115</v>
      </c>
      <c r="F667" t="s" s="176">
        <f>IF(G667="","",IF(OR(AND($C667&lt;&gt;" ",$C668=" "),AND($C668&lt;&gt;" ",$C667=" "),AND(L669&gt;0,OR(AND($C669&lt;&gt;" ",OR($C667=" ",$C668=" ")),AND($C669=" ",OR($C667&lt;&gt;" ",$C668&lt;&gt;" "))))),IF(SUM(F$4:F666)=0,1,LARGE(F$4:F666,1)+1),IF(MONTH(G667)=MONTH(TODAY()),IF(AND(DAY(G667)&lt;DAY(TODAY()),$B667=" "),IF(SUM(F$4:F666)=0,1,LARGE(F$4:F666,1)+1),IF($B667=" ",IF(AND(DAY(G667)=DAY(TODAY()),HOUR(G667)&lt;=HOUR(NOW())+1),IF(AND(HOUR(G667)+2&lt;=HOUR(NOW()),DAY(G667)&lt;=DAY(TODAY()),MINUTE(G667)&lt;=MINUTE(NOW())),IF(SUM(F$4:F666)=0,1,LARGE(F$4:F666,1)+1),IF(OR(MINUTE(G667)&lt;=MINUTE(NOW()),HOUR(G667)&lt;=HOUR(NOW())),"!!!","")),""),"")),"")))</f>
      </c>
      <c r="G667" s="177">
        <v>44957.583333333336</v>
      </c>
      <c r="H667" t="s" s="178">
        <v>477</v>
      </c>
      <c r="I667" s="298">
        <v>1</v>
      </c>
      <c r="J667" s="180"/>
      <c r="K667" t="s" s="181">
        <v>48</v>
      </c>
      <c r="L667" s="182">
        <v>1.56</v>
      </c>
      <c r="M667" s="183"/>
      <c r="N667" s="184">
        <v>0.1</v>
      </c>
      <c r="O667" s="185">
        <f>IF(OR(AE667="",AE668=""),"",ROUND(IF(L669&gt;0,IF(M667&gt;0,M667,IF(M668&gt;0,ROUND((M668*AE667)/AE668,IF(N667=0,2,IF(N667=0.1,1,0))),ROUND((M669*AE667)/AE669,IF(N667=0,2,IF(N667=0.1,1,0))))),IF(M667&gt;0,M667,ROUND((M668*AE667)/AE668,IF(N667=0,2,IF(N667=0.1,1,0))))),2))</f>
        <v>13</v>
      </c>
      <c r="P667" s="186">
        <f>IF(OR(L667="",O667=""),"",IF($C667="1/2W",O667/2+O667/2*L667,IF($C667="1/2L",O667/2,IF(I667="Lay",(O667*(L667/(L667-1))-O667)*(1-_xlfn.XLOOKUP(K667,'Janeiro 2023 - Valor Real'!A3:A15,'Janeiro 2023 - Valor Real'!C3:C15,0))+O667,(O667*L667-O667)*(1-_xlfn.XLOOKUP(K667,'Janeiro 2023 - Valor Real'!A3:A15,'Janeiro 2023 - Valor Real'!C3:C15,0))+O667))))</f>
        <v>20.28</v>
      </c>
      <c r="Q667" s="187">
        <f>IF(K667="","",IF(_xlfn.XLOOKUP(K667,K$122:K440,DJ$122:DJ440,0,,-1)=DJ667,_xlfn.XLOOKUP(K667,K$122:K440,Q$122:Q440,1,,-1)+1,1))</f>
        <v>1</v>
      </c>
      <c r="R667" s="188">
        <f>IF(K667="","",_xlfn.XLOOKUP(K667,K$122:K440,R$122:R440,0,,-1)+IF($C667=" ",1,0))</f>
        <v>0</v>
      </c>
      <c r="S667" s="189">
        <f>IF($B667="Anulado",0,ROUND(IF(OR($B667="LOSS",$B667="OK"),IF(OR($C667="W",$C667="1/2W",$C667="1/2L"),P667-O667,IF($C667="L",-O667,0))+IF(OR($C668="W",$C668="1/2W",$C668="1/2L"),P668-O668,IF($C668="L",-O668,0))+IF(OR($C669="W",$C669="1/2W",$C669="1/2L"),P669-O669,IF($C669="L",-O669,0)),IF(AND(OR($C667="W",$C667="1/2W",$C667="1/2L"),C668="W"),P667+P668-SUM(O667:O669)+_xlfn.XLOOKUP("X",C667:C669,O667:O669,0),IF(AND(C667=TRUE,C669="W"),P667+P669-SUM(O667:O669),IF(AND(C668="W",C669="W"),P668+P669-SUM(O667:O669)+_xlfn.XLOOKUP("X",C667:C669,O667:O669,0),IF(L669&gt;0,IF(OR($C667="W",$C667="1/2W",$C667="1/2L"),P667-SUM(O667:O669)+_xlfn.XLOOKUP("X",C667:C669,O667:O669,0),IF(OR($C667="W",$C667="1/2W",$C667="1/2L"),P668-SUM(O667:O669)+_xlfn.XLOOKUP("X",C667:C669,O667:O669,0),IF(OR($C667="W",$C667="1/2W",$C667="1/2L"),P669-SUM(O667:O669)+_xlfn.XLOOKUP("X",C667:C669,O667:O669,0),IF(SUM(P667:P669)/3-SUM(O667:O669)+_xlfn.XLOOKUP("X",C667:C669,O667:O669,0)&gt;0,SUM(P667:P669)/3-SUM(O667:O669)+_xlfn.XLOOKUP("X",C667:C669,O667:O669,0),LARGE(P667:P669,1)-SUM(O667:O669))))),IF(OR($C667="W",$C667="1/2W",$C667="1/2L"),P667-SUM(O667:O668)+_xlfn.XLOOKUP("X",C667:C669,O667:O669,0),IF(OR($C667="W",$C667="1/2W",$C667="1/2L"),P668-SUM(O667:O668)+_xlfn.XLOOKUP("X",C667:C669,O667:O669,0),SUM(P667:P668)/2-SUM(O667:O668)+_xlfn.XLOOKUP("X",C667:C669,O667:O669,0)))))))),2))</f>
        <v>1.06</v>
      </c>
      <c r="T667" s="190">
        <f>IF(S667=0,0,S667/SUM(O667:O669))</f>
        <v>0.0551508844953174</v>
      </c>
      <c r="U667" s="191">
        <f>IF($D667=$D664,IF(OR($B667="LOSS",$B667="OK",$B667="Anulada"),S667,0)+U664,IF(OR($B667="LOSS",$B667="OK",$B667="Anulada"),S667,0))</f>
        <v>9.949999999999999</v>
      </c>
      <c r="V667" s="191">
        <f>IF($D667="",0,IF($D667=$D664,IF($B667=" ",IF(I669="",IF(OR(AND(I667="DNB1",I668="DNB2"),AND(OR(I667="DNB1",I667="DNB2"),J668=0),AND(OR(I668="DNB1",I668="DNB2"),J667=0),AND(I667="DNB2",I668="DNB1"),AND(IF(J667=0,(J667+1)/ROUND(J667+1,0),J667/ROUND(J667,0))=1,IF(J668=0,(J668+1)/ROUND(IF(J668="",0,J668)+1,0),IF(J668="",0,J668)/ROUND(IF(J668="",1,J668),0))=1,OR(J667&lt;&gt;""),J668&lt;&gt;"")),0,IF(S667&lt;0,IF(I669="",SMALL(P667:P668,1)-SUM(O667:O668),0),SMALL(P667:P668,1)-SUM(O667:O668))),IF(S667&lt;0,IF(I669="",SMALL(P667:P669,1)-SUM(O667:O669),0),LARGE(P667:P669,1)-SUM(O667:O669))),S667)+V664,IF(I669="",IF(OR(AND(I667="DNB1",I668="DNB2"),AND(OR(I667="DNB1",I667="DNB2"),J668=0),AND(OR(I668="DNB1",I668="DNB2"),J667=0),AND(I667="DNB2",I668="DNB1"),AND(IF(J667=0,(J667+1)/ROUND(J667+1,0),J667/ROUND(J667,0))=1,IF(J668=0,(IF(J668="",0,J668)+1)/ROUND(IF(J668="",0,J668)+1,0),IF(J668="",0,J668)/ROUND(IF(J668="",0,J668)+1,0))=1,OR(J667&lt;&gt;""),J668&lt;&gt;"")),0,IF(S667&lt;0,IF(I669="",SMALL(P667:P668,1)-SUM(O667:O668),0),SMALL(P667:P669,1)-SUM(O667:O669))),IF(S667&lt;0,IF(I669="",SMALL(P667:P669,1)-SUM(O667:O669),0),LARGE(P667:P669,1)-SUM(O667:O669)))))</f>
        <v>9.948</v>
      </c>
      <c r="W667" s="191">
        <f>IF($D667=$D664,IF(S667&lt;0,IF(I669="",S667,0),S667)+W664,S667)</f>
        <v>9.949999999999999</v>
      </c>
      <c r="X667" t="s" s="192">
        <f>IF(OR(SUM(R667:R669)=0,V667=W667),ROUND(IF(W667=0,0,W667/Y667)*100,2)&amp;"%",ROUND(IF(V667=0,0,V667/Y667)*100,2)&amp;"% a "&amp;ROUND(IF(W667=0,0,W667/Y667)*100,2)&amp;"%")</f>
        <v>224</v>
      </c>
      <c r="Y667" s="193">
        <f>IF($D667=$D664,Y664+SUM(O667:O669),SUM(O667:O669))</f>
        <v>239.9</v>
      </c>
      <c r="Z667" s="191">
        <f>IF($B667=" ",SUM(O667:O669),0)+Z664</f>
        <v>0</v>
      </c>
      <c r="AA667" s="191">
        <f>IF(G667="","",IF($B667="Anulado",LARGE(P667:P669,1)-SUM(O667:O669)+AA664,AA664))</f>
        <v>27.7065076923077</v>
      </c>
      <c r="AB667" s="191">
        <f>IF($D667="","",AB664+S667)</f>
        <v>471.18</v>
      </c>
      <c r="AC667" s="194">
        <f>IF($D667="","",IF($B667=" ",IF(DAY(G667)=DAY(TODAY()),1+AC664,0+AC664),0+AC664))</f>
        <v>0</v>
      </c>
      <c r="AD667" s="195">
        <f>(((L668/(L668-1)-1)*(1-_xlfn.XLOOKUP(K668,'Janeiro 2023 - Valor Real'!A3:A15,'Janeiro 2023 - Valor Real'!C3:C15,0))+1))/(((L667-1)*(1-_xlfn.XLOOKUP(K667,'Janeiro 2023 - Valor Real'!A3:A15,'Janeiro 2023 - Valor Real'!C3:C15,0))+1)+((L668/(L668-1)-1)*(1-_xlfn.XLOOKUP(K668,'Janeiro 2023 - Valor Real'!A3:A15,'Janeiro 2023 - Valor Real'!C3:C15,0))+1))</f>
        <v>0.480769230769231</v>
      </c>
      <c r="AE667" s="196">
        <f>IF(L667="","",IF(L669&gt;0,(SUM(((L667-1)*(1-_xlfn.XLOOKUP(K667,'Janeiro 2023 - Valor Real'!A3:A15,'Janeiro 2023 - Valor Real'!C3:C15,0))+1),((L668-1)*(1-_xlfn.XLOOKUP(K668,'Janeiro 2023 - Valor Real'!A3:A15,'Janeiro 2023 - Valor Real'!C3:C15,0))+1),((L669-1)*(1-_xlfn.XLOOKUP(K669,'Janeiro 2023 - Valor Real'!A3:A15,'Janeiro 2023 - Valor Real'!C3:C15,0))+1))/((L667-1)*(1-_xlfn.XLOOKUP(K667,'Janeiro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Real'!C3:C15,0))+1))/((L667-1)*(1-_xlfn.XLOOKUP(K667,'Janeiro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Real'!C3:C15,0))+1))/((L668-1)*(1-_xlfn.XLOOKUP(K668,'Janeiro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Real'!C3:C15,0))+1))/((L669-1)*(1-_xlfn.XLOOKUP(K669,'Janeiro 2023 - Valor Real'!A3:A15,'Janeiro 2023 - Valor Real'!C3:C15,0))+1)),IF(I667="Lay",IF(I668="Lay",((L668/(L668-1)-1)*(1-_xlfn.XLOOKUP(K668,'Janeiro 2023 - Valor Real'!A3:A15,'Janeiro 2023 - Valor Real'!C3:C15,0))+1)/(((L668/(L668-1)-1)*(1-_xlfn.XLOOKUP(K668,'Janeiro 2023 - Valor Real'!A3:A15,'Janeiro 2023 - Valor Real'!C3:C15,0))+1)+((L667/(L667-1)-1)*(1-_xlfn.XLOOKUP(K667,'Janeiro 2023 - Valor Real'!A3:A15,'Janeiro 2023 - Valor Real'!C3:C15,0))+1)),((L668-1)*(1-_xlfn.XLOOKUP(K668,'Janeiro 2023 - Valor Real'!A3:A15,'Janeiro 2023 - Valor Real'!C3:C15,0))+1)/(((L668-1)*(1-_xlfn.XLOOKUP(K668,'Janeiro 2023 - Valor Real'!A3:A15,'Janeiro 2023 - Valor Real'!C3:C15,0))+1)+((L667/(L667-1)-1)*(1-_xlfn.XLOOKUP(K667,'Janeiro 2023 - Valor Real'!A3:A15,'Janeiro 2023 - Valor Real'!C3:C15,0))+1))),IF(I668="Lay",(((L668/(L668-1)-1)*(1-_xlfn.XLOOKUP(K668,'Janeiro 2023 - Valor Real'!A3:A15,'Janeiro 2023 - Valor Real'!C3:C15,0))+1))/(((L667-1)*(1-_xlfn.XLOOKUP(K667,'Janeiro 2023 - Valor Real'!A3:A15,'Janeiro 2023 - Valor Real'!C3:C15,0))+1)+((L668/(L668-1)-1)*(1-_xlfn.XLOOKUP(K668,'Janeiro 2023 - Valor Real'!A3:A15,'Janeiro 2023 - Valor Real'!C3:C15,0))+1)),((L668-1)*(1-_xlfn.XLOOKUP(K668,'Janeiro 2023 - Valor Real'!A3:A15,'Janeiro 2023 - Valor Real'!C3:C15,0))+1)/(((L668-1)*(1-_xlfn.XLOOKUP(K668,'Janeiro 2023 - Valor Real'!A3:A15,'Janeiro 2023 - Valor Real'!C3:C15,0))+1)+((L667-1)*(1-_xlfn.XLOOKUP(K667,'Janeiro 2023 - Valor Real'!A3:A15,'Janeiro 2023 - Valor Real'!C3:C15,0))+1))))))</f>
        <v>0.675675675675676</v>
      </c>
      <c r="AF667" s="197">
        <f>IF($K667=AF$3,ROUND(IF(OR($C667="W",$C667="1/2W",$C667="1/2L"),$P667-$O667,IF($C667="X",0,-$O667)),2),0)</f>
        <v>0</v>
      </c>
      <c r="AG667" s="198">
        <f>IF($K667=AG$3,ROUND(IF(OR($C667="W",$C667="1/2W",$C667="1/2L"),$P667-$O667,IF($C667="X",0,-$O667)),2),0)</f>
        <v>0</v>
      </c>
      <c r="AH667" s="198">
        <f>IF($K667=AH$3,ROUND(IF(OR($C667="W",$C667="1/2W",$C667="1/2L"),$P667-$O667,IF($C667="X",0,-$O667)),2),0)</f>
        <v>0</v>
      </c>
      <c r="AI667" s="198">
        <f>IF($K667=AI$3,ROUND(IF(OR($C667="W",$C667="1/2W",$C667="1/2L"),$P667-$O667,IF($C667="X",0,-$O667)),2),0)</f>
        <v>0</v>
      </c>
      <c r="AJ667" s="198">
        <f>IF($K667=AJ$3,ROUND(IF(OR($C667="W",$C667="1/2W",$C667="1/2L"),$P667-$O667,IF($C667="X",0,-$O667)),2),0)</f>
        <v>0</v>
      </c>
      <c r="AK667" s="198">
        <f>IF($K667=AK$3,ROUND(IF(OR($C667="W",$C667="1/2W",$C667="1/2L"),$P667-$O667,IF($C667="X",0,-$O667)),2),0)</f>
        <v>0</v>
      </c>
      <c r="AL667" s="198">
        <f>IF($K667=AL$3,ROUND(IF(OR($C667="W",$C667="1/2W",$C667="1/2L"),$P667-$O667,IF($C667="X",0,-$O667)),2),0)</f>
        <v>0</v>
      </c>
      <c r="AM667" s="198">
        <f>IF($K667=AM$3,ROUND(IF(OR($C667="W",$C667="1/2W",$C667="1/2L"),$P667-$O667,IF($C667="X",0,-$O667)),2),0)</f>
        <v>0</v>
      </c>
      <c r="AN667" s="198">
        <f>IF($K667=AN$3,ROUND(IF(OR($C667="W",$C667="1/2W",$C667="1/2L"),$P667-$O667,IF($C667="X",0,-$O667)),2),0)</f>
        <v>0</v>
      </c>
      <c r="AO667" s="198">
        <f>IF($K667=AO$3,ROUND(IF(OR($C667="W",$C667="1/2W",$C667="1/2L"),$P667-$O667,IF($C667="X",0,-$O667)),2),0)</f>
        <v>0</v>
      </c>
      <c r="AP667" s="198">
        <f>IF($K667=AP$3,ROUND(IF(OR($C667="W",$C667="1/2W",$C667="1/2L"),$P667-$O667,IF($C667="X",0,-$O667)),2),0)</f>
        <v>0</v>
      </c>
      <c r="AQ667" s="198">
        <f>IF($K667=AQ$3,ROUND(IF(OR($C667="W",$C667="1/2W",$C667="1/2L"),$P667-$O667,IF($C667="X",0,-$O667)),2),0)</f>
        <v>7.28</v>
      </c>
      <c r="AR667" s="199">
        <f>IF($K667=AR$3,ROUND(IF(OR($C667="W",$C667="1/2W",$C667="1/2L"),$P667-$O667,IF($C667="X",0,-$O667)),2),0)</f>
        <v>0</v>
      </c>
      <c r="AS667" s="197">
        <f>IF(AND($B667=" ",$K667=AS$3),$O667,0)</f>
        <v>0</v>
      </c>
      <c r="AT667" s="198">
        <f>IF(AND($B667=" ",$K667=AT$3),$O667,0)</f>
        <v>0</v>
      </c>
      <c r="AU667" s="198">
        <f>IF(AND($B667=" ",$K667=AU$3),$O667,0)</f>
        <v>0</v>
      </c>
      <c r="AV667" s="198">
        <f>IF(AND($B667=" ",$K667=AV$3),$O667,0)</f>
        <v>0</v>
      </c>
      <c r="AW667" s="198">
        <f>IF(AND($B667=" ",$K667=AW$3),$O667,0)</f>
        <v>0</v>
      </c>
      <c r="AX667" s="198">
        <f>IF(AND($B667=" ",$K667=AX$3),$O667,0)</f>
        <v>0</v>
      </c>
      <c r="AY667" s="200">
        <f>IF(AND($B667=" ",$K667=AY$3),$O667,0)</f>
        <v>0</v>
      </c>
      <c r="AZ667" s="201">
        <f>IF(AND($B667=" ",$K667=AZ$3),$O667,0)</f>
        <v>0</v>
      </c>
      <c r="BA667" s="201">
        <f>IF(AND($B667=" ",$K667=BA$3),$O667,0)</f>
        <v>0</v>
      </c>
      <c r="BB667" s="201">
        <f>IF(AND($B667=" ",$K667=BB$3),$O667,0)</f>
        <v>0</v>
      </c>
      <c r="BC667" s="202">
        <f>IF(AND($B667=" ",$K667=BC$3),$O667,0)</f>
        <v>0</v>
      </c>
      <c r="BD667" s="198">
        <f>IF(AND($B667=" ",$K667=BD$3),$O667,0)</f>
        <v>0</v>
      </c>
      <c r="BE667" s="199">
        <f>IF(AND($B667=" ",$K667=BE$3),$O667,0)</f>
        <v>0</v>
      </c>
      <c r="BF667" s="203">
        <f>IF($K667=BF$3,IF($C667="X",0,$O667),0)</f>
        <v>0</v>
      </c>
      <c r="BG667" s="198">
        <f>IF($K667=BG$3,IF($C667="X",0,$O667),0)</f>
        <v>0</v>
      </c>
      <c r="BH667" s="198">
        <f>IF($K667=BH$3,IF($C667="X",0,$O667),0)</f>
        <v>0</v>
      </c>
      <c r="BI667" s="198">
        <f>IF($K667=BI$3,IF($C667="X",0,$O667),0)</f>
        <v>0</v>
      </c>
      <c r="BJ667" s="198">
        <f>IF($K667=BJ$3,IF($C667="X",0,$O667),0)</f>
        <v>0</v>
      </c>
      <c r="BK667" s="198">
        <f>IF($K667=BK$3,IF($C667="X",0,$O667),0)</f>
        <v>0</v>
      </c>
      <c r="BL667" s="198">
        <f>IF($K667=BL$3,IF($C667="X",0,$O667),0)</f>
        <v>0</v>
      </c>
      <c r="BM667" s="200">
        <f>IF($K667=BM$3,IF($C667="X",0,$O667),0)</f>
        <v>0</v>
      </c>
      <c r="BN667" s="201">
        <f>IF($K667=BN$3,IF($C667="X",0,$O667),0)</f>
        <v>0</v>
      </c>
      <c r="BO667" s="201">
        <f>IF($K667=BO$3,IF($C667="X",0,$O667),0)</f>
        <v>0</v>
      </c>
      <c r="BP667" s="201">
        <f>IF($K667=BP$3,IF($C667="X",0,$O667),0)</f>
        <v>0</v>
      </c>
      <c r="BQ667" s="202">
        <f>IF($K667=BQ$3,IF($C667="X",0,$O667),0)</f>
        <v>13</v>
      </c>
      <c r="BR667" s="199">
        <f>IF($K667=BR$3,IF($C667="X",0,$O667),0)</f>
        <v>0</v>
      </c>
      <c r="BS667" s="204">
        <f>IF($B667="LOSS",IF(AND($K667=BS$3,$C667="L"),-$O667,0)+IF(AND($K668=BS$3,$C668="L"),-$O668,0)+IF(AND($K669=BS$3,$C669="L"),-$O669,0),IF(OR(AND($K667=BS$3,OR($C667="W",$C667="1/2W")),AND($K668=BS$3,OR($C668="W",$C668="1/2W")),AND($K669=BS$3,OR($C669="W",$C669="1/2W"))),$S667,0))</f>
        <v>0</v>
      </c>
      <c r="BT667" s="201">
        <f>IF($B667="LOSS",IF(AND($K667=BT$3,$C667="L"),-$O667,0)+IF(AND($K668=BT$3,$C668="L"),-$O668,0)+IF(AND($K668=BT$3,$C669="L"),-$O669,0),IF(OR(AND($K668=BT$3,OR($C667="W",$C667="1/2W")),AND($K668=BT$3,OR($C668="W",$C668="1/2W")),AND($K668=BT$3,OR($C669="W",$C669="1/2W"))),$S667,0))</f>
        <v>0</v>
      </c>
      <c r="BU667" s="201">
        <f>IF($B667="LOSS",IF(AND($K667=BU$3,$C667="L"),-$O667,0)+IF(AND($K668=BU$3,$C668="L"),-$O668,0)+IF(AND($K668=BU$3,$C669="L"),-$O669,0),IF(OR(AND($K668=BU$3,OR($C667="W",$C667="1/2W")),AND($K668=BU$3,OR($C668="W",$C668="1/2W")),AND($K668=BU$3,OR($C669="W",$C669="1/2W"))),$S667,0))</f>
        <v>0</v>
      </c>
      <c r="BV667" s="201">
        <f>IF($B667="LOSS",IF(AND($K667=BV$3,$C667="L"),-$O667,0)+IF(AND($K668=BV$3,$C668="L"),-$O668,0)+IF(AND($K669=BV$3,$C669="L"),-$O669,0),IF(OR(AND($K667=BV$3,OR($C667="W",$C667="1/2W")),AND($K668=BV$3,OR($C668="W",$C668="1/2W")),AND($K669=BV$3,OR($C669="W",$C669="1/2W"))),$S667,0))</f>
        <v>0</v>
      </c>
      <c r="BW667" s="201">
        <f>IF($B667="LOSS",IF(AND($K667=BW$3,$C667="L"),-$O667,0)+IF(AND($K668=BW$3,$C668="L"),-$O668,0)+IF(AND($K669=BW$3,$C669="L"),-$O669,0),IF(OR(AND($K667=BW$3,OR($C667="W",$C667="1/2W")),AND($K668=BW$3,OR($C668="W",$C668="1/2W")),AND($K669=BW$3,OR($C669="W",$C669="1/2W"))),$S667,0))</f>
        <v>0</v>
      </c>
      <c r="BX667" s="201">
        <f>IF($B667="LOSS",IF(AND($K667=BX$3,$C667="L"),-$O667,0)+IF(AND($K668=BX$3,$C668="L"),-$O668,0)+IF(AND($K669=BX$3,$C669="L"),-$O669,0),IF(OR(AND($K667=BX$3,OR($C667="W",$C667="1/2W")),AND($K668=BX$3,OR($C668="W",$C668="1/2W")),AND($K669=BX$3,OR($C669="W",$C669="1/2W"))),$S667,0))</f>
        <v>0</v>
      </c>
      <c r="BY667" s="201">
        <f>IF($B667="LOSS",IF(AND($K667=BY$3,$C667="L"),-$O667,0)+IF(AND($K668=BY$3,$C668="L"),-$O668,0)+IF(AND($K669=BY$3,$C669="L"),-$O669,0),IF(OR(AND($K667=BY$3,OR($C667="W",$C667="1/2W")),AND($K668=BY$3,OR($C668="W",$C668="1/2W")),AND($K669=BY$3,OR($C669="W",$C669="1/2W"))),$S667,0))</f>
        <v>0</v>
      </c>
      <c r="BZ667" s="205">
        <f>IF($B667="LOSS",IF(AND($K667=BZ$3,$C667="L"),-$O667,0)+IF(AND($K668=BZ$3,$C668="L"),-$O668,0)+IF(AND($K669=BZ$3,$C669="L"),-$O669,0),IF(OR(AND($K667=BZ$3,OR($C667="W",$C667="1/2W")),AND($K668=BZ$3,OR($C668="W",$C668="1/2W")),AND($K669=BZ$3,OR($C669="W",$C669="1/2W"))),$S667,0))</f>
        <v>0</v>
      </c>
      <c r="CA667" s="205">
        <f>IF($B667="LOSS",IF(AND($K667=CA$3,$C667="L"),-$O667,0)+IF(AND($K668=CA$3,$C668="L"),-$O668,0)+IF(AND($K669=CA$3,$C669="L"),-$O669,0),IF(OR(AND($K667=CA$3,OR($C667="W",$C667="1/2W")),AND($K668=CA$3,OR($C668="W",$C668="1/2W")),AND($K669=CA$3,OR($C669="W",$C669="1/2W"))),$S667,0))</f>
        <v>0</v>
      </c>
      <c r="CB667" s="205">
        <f>IF($B667="LOSS",IF(AND($K667=CB$3,$C667="L"),-$O667,0)+IF(AND($K668=CB$3,$C668="L"),-$O668,0)+IF(AND($K669=CB$3,$C669="L"),-$O669,0),IF(OR(AND($K667=CB$3,OR($C667="W",$C667="1/2W")),AND($K668=CB$3,OR($C668="W",$C668="1/2W")),AND($K669=CB$3,OR($C669="W",$C669="1/2W"))),$S667,0))</f>
        <v>0</v>
      </c>
      <c r="CC667" s="205">
        <f>IF($B667="LOSS",IF(AND($K667=CC$3,$C667="L"),-$O667,0)+IF(AND($K668=CC$3,$C668="L"),-$O668,0)+IF(AND($K669=CC$3,$C669="L"),-$O669,0),IF(OR(AND($K667=CC$3,OR($C667="W",$C667="1/2W")),AND($K668=CC$3,OR($C668="W",$C668="1/2W")),AND($K669=CC$3,OR($C669="W",$C669="1/2W"))),$S667,0))</f>
        <v>0</v>
      </c>
      <c r="CD667" s="202">
        <f>IF($B667="LOSS",IF(AND($K667=CD$3,$C667="L"),-$O667,0)+IF(AND($K668=CD$3,$C668="L"),-$O668,0)+IF(AND($K669=CD$3,$C669="L"),-$O669,0),IF(OR(AND($K667=CD$3,OR($C667="W",$C667="1/2W")),AND($K668=CD$3,OR($C668="W",$C668="1/2W")),AND($K669=CD$3,OR($C669="W",$C669="1/2W"))),$S667,0))</f>
        <v>1.06</v>
      </c>
      <c r="CE667" s="199">
        <f>IF($B667="LOSS",IF(AND($K667=CE$3,$C667="L"),-$O667,0)+IF(AND($K668=CE$3,$C668="L"),-$O668,0)+IF(AND($K669=CE$3,$C669="L"),-$O669,0),IF(OR(AND($K667=CE$3,OR($C667="W",$C667="1/2W")),AND($K668=CE$3,OR($C668="W",$C668="1/2W")),AND($K669=CE$3,OR($C669="W",$C669="1/2W"))),$S667,0))</f>
        <v>0</v>
      </c>
      <c r="CF667" s="206">
        <f>IF(CF$3=$K667,IF($C667="W",1,IF($C667="1/2W",0.5,0)),0)</f>
        <v>0</v>
      </c>
      <c r="CG667" s="207">
        <f>IF(CF$3=$K667,IF($C667="L",1,IF($C667="1/2L",0.5,0)),0)</f>
        <v>0</v>
      </c>
      <c r="CH667" s="207">
        <f>IF(CH$3=$K667,IF($C667="W",1,IF($C667="1/2W",0.5,0)),0)</f>
        <v>0</v>
      </c>
      <c r="CI667" s="207">
        <f>IF(CH$3=$K667,IF($C667="L",1,IF($C667="1/2L",0.5,0)),0)</f>
        <v>0</v>
      </c>
      <c r="CJ667" s="207">
        <f>IF(CJ$3=$K667,IF($C667="W",1,IF($C667="1/2W",0.5,0)),0)</f>
        <v>0</v>
      </c>
      <c r="CK667" s="207">
        <f>IF(CJ$3=$K667,IF($C667="L",1,IF($C667="1/2L",0.5,0)),0)</f>
        <v>0</v>
      </c>
      <c r="CL667" s="207">
        <f>IF(CL$3=$K667,IF($C667="W",1,IF($C667="1/2W",0.5,0)),0)</f>
        <v>0</v>
      </c>
      <c r="CM667" s="207">
        <f>IF(CL$3=$K667,IF($C667="L",1,IF($C667="1/2L",0.5,0)),0)</f>
        <v>0</v>
      </c>
      <c r="CN667" s="207">
        <f>IF(CN$3=$K667,IF($C667="W",1,IF($C667="1/2W",0.5,0)),0)</f>
        <v>0</v>
      </c>
      <c r="CO667" s="207">
        <f>IF(CN$3=$K667,IF($C667="L",1,IF($C667="1/2L",0.5,0)),0)</f>
        <v>0</v>
      </c>
      <c r="CP667" s="207">
        <f>IF(CP$3=$K667,IF($C667="W",1,IF($C667="1/2W",0.5,0)),0)</f>
        <v>0</v>
      </c>
      <c r="CQ667" s="207">
        <f>IF(CP$3=$K667,IF($C667="L",1,IF($C667="1/2L",0.5,0)),0)</f>
        <v>0</v>
      </c>
      <c r="CR667" s="207">
        <f>IF(CR$3=$K667,IF($C667="W",1,IF($C667="1/2W",0.5,0)),0)</f>
        <v>0</v>
      </c>
      <c r="CS667" s="207">
        <f>IF(CR$3=$K667,IF($C667="L",1,IF($C667="1/2L",0.5,0)),0)</f>
        <v>0</v>
      </c>
      <c r="CT667" s="208">
        <f>IF(CT$3=$K667,IF($C667="W",1,IF($C667="1/2W",0.5,0)),0)</f>
        <v>0</v>
      </c>
      <c r="CU667" s="209">
        <f>IF(CT$3=$K667,IF($C667="L",1,IF($C667="1/2L",0.5,0)),0)</f>
        <v>0</v>
      </c>
      <c r="CV667" s="209">
        <f>IF(CV$3=$K667,IF($C667="W",1,IF($C667="1/2W",0.5,0)),0)</f>
        <v>0</v>
      </c>
      <c r="CW667" s="209">
        <f>IF(CV$3=$K667,IF($C667="L",1,IF($C667="1/2L",0.5,0)),0)</f>
        <v>0</v>
      </c>
      <c r="CX667" s="209">
        <f>IF(CX$3=$K667,IF($C667="W",1,IF($C667="1/2W",0.5,0)),0)</f>
        <v>0</v>
      </c>
      <c r="CY667" s="209">
        <f>IF(CX$3=$K667,IF($C667="L",1,IF($C667="1/2L",0.5,0)),0)</f>
        <v>0</v>
      </c>
      <c r="CZ667" s="209">
        <f>IF(CZ$3=$K667,IF($C667="W",1,IF($C667="1/2W",0.5,0)),0)</f>
        <v>0</v>
      </c>
      <c r="DA667" s="209">
        <f>IF(CZ$3=$K667,IF($C667="L",1,IF($C667="1/2L",0.5,0)),0)</f>
        <v>0</v>
      </c>
      <c r="DB667" s="209">
        <f>IF(DB$3=$K667,IF($C667="W",1,IF($C667="1/2W",0.5,0)),0)</f>
        <v>1</v>
      </c>
      <c r="DC667" s="209">
        <f>IF(DB$3=$K667,IF($C667="L",1,IF($C667="1/2L",0.5,0)),0)</f>
        <v>0</v>
      </c>
      <c r="DD667" s="209">
        <f>IF(DD$3=$K667,IF($C667="W",1,IF($C667="1/2W",0.5,0)),0)</f>
        <v>0</v>
      </c>
      <c r="DE667" s="210">
        <f>IF(DD$3=$K667,IF($C667="L",1,IF($C667="1/2L",0.5,0)),0)</f>
        <v>0</v>
      </c>
      <c r="DF667" s="211">
        <f>IF(AND(L667&lt;DF$3,$C667="W"),1+DF666,DF666)</f>
        <v>18</v>
      </c>
      <c r="DG667" s="198">
        <f>IF(DF667&gt;DF666,L667+DG666,DG666)</f>
        <v>23.918</v>
      </c>
      <c r="DH667" s="209">
        <f>IF(AND(L667&gt;DH$3,$C667="W"),1+DH666,0+DH666)</f>
        <v>16</v>
      </c>
      <c r="DI667" s="198">
        <f>IF(DH667&gt;DH666,L667+DI666,DI666)</f>
        <v>85.45999999999999</v>
      </c>
      <c r="DJ667" t="s" s="306">
        <f>IF($D667="","",$D667)</f>
        <v>467</v>
      </c>
      <c r="DK667" s="209">
        <f>IF(AND($B667=" ",$D667&lt;&gt;""),1,0)</f>
        <v>0</v>
      </c>
    </row>
    <row r="668" ht="14.55" customHeight="1">
      <c r="A668" s="107"/>
      <c r="B668" s="108"/>
      <c r="C668" t="s" s="213">
        <v>51</v>
      </c>
      <c r="D668" s="110"/>
      <c r="E668" s="111"/>
      <c r="F668" s="113"/>
      <c r="G668" s="214"/>
      <c r="H668" s="114"/>
      <c r="I668" s="299">
        <v>2</v>
      </c>
      <c r="J668" t="s" s="216">
        <f>IF(OR(I667="TO",I667="TU",I667="TO1",I667="TU1",I667="TO2",I667="TU2"),J667,IF(OR(I667="AH1",I667="AH2"),IF(OR(I668="AH1",I668="AH2"),-J667,IF(OR(I668="EH1",I668="EH2"),-J667+0.5,"")),IF(OR(I667="EH1",I667="EH2"),IF(OR(I668="AH1",I668="AH2"),-J667+0.5,IF(OR(I668="EH1",I668="EH2"),-J667+1,"")),IF(AND(OR(I667="DNB1",I667="DNB2"),OR(I668="AH1",I668="AH2")),0,IF(AND(I667="Not ScoreBoth",OR(I668="TO1",I668="TO2")),0.5,"")))))</f>
      </c>
      <c r="K668" t="s" s="217">
        <v>37</v>
      </c>
      <c r="L668" s="218">
        <v>3.25</v>
      </c>
      <c r="M668" s="219">
        <v>6.22</v>
      </c>
      <c r="N668" s="120"/>
      <c r="O668" s="220">
        <f>IF(OR(AE667="",AE668=""),"",ROUND(IF(L669&gt;0,IF(M668&gt;0,M668,IF(M667&gt;0,IF(N667=TRUE,ROUND((M667*AE668)/AE667,0),(M667*AE668)/AE667),IF(M668&gt;0,ROUND(M668,IF(N667=0,2,IF(N667=0.1,1,0))),IF(M669&gt;0,ROUND(O669*AE668/AE669,IF(N667=0,2,IF(N667=0.1,1,0))),0)))),IF(M668&gt;0,M668,ROUND((M667*AE668)/AE667,IF(N667=0,2,IF(N667=0.1,1,0))))),2))</f>
        <v>6.22</v>
      </c>
      <c r="P668" s="221">
        <f>IF(OR(L668="",O668=""),"",IF($C668="1/2W",O668/2+O668/2*L668,IF($C668="1/2L",O668/2,IF(I668="Lay",((O668*(L668/(L668-1)))-O668)*(1-_xlfn.XLOOKUP(K668,'Janeiro 2023 - Valor Real'!A3:A15,'Janeiro 2023 - Valor Real'!C3:C15,0))+O668,(O668*L668-O668)*(1-_xlfn.XLOOKUP(K668,'Janeiro 2023 - Valor Real'!A3:A15,'Janeiro 2023 - Valor Real'!C3:C15,0))+O668))))</f>
        <v>20.215</v>
      </c>
      <c r="Q668" s="222">
        <f>IF(K668="","",IF(_xlfn.XLOOKUP(K668,K$123:K441,DJ$123:DJ441,0,,-1)=DJ668,_xlfn.XLOOKUP(K668,K$123:K441,Q$123:Q441,1,,-1)+1,1))</f>
        <v>1</v>
      </c>
      <c r="R668" s="223">
        <f>IF(K668="","",_xlfn.XLOOKUP(K668,K$123:K441,R$123:R441,0,,-1)+IF($C668=" ",1,0))</f>
        <v>0</v>
      </c>
      <c r="S668" s="125"/>
      <c r="T668" s="126"/>
      <c r="U668" s="126"/>
      <c r="V668" s="224"/>
      <c r="W668" s="126"/>
      <c r="X668" s="127"/>
      <c r="Y668" s="128"/>
      <c r="Z668" s="129"/>
      <c r="AA668" s="129"/>
      <c r="AB668" s="129"/>
      <c r="AC668" s="129"/>
      <c r="AD668" s="225">
        <f>(((L668/(L668-1)-1)*(1-_xlfn.XLOOKUP(K668,'Janeiro 2023 - Valor Real'!A3:A15,'Janeiro 2023 - Valor Real'!C3:C15,0))+1))</f>
        <v>1.44444444444444</v>
      </c>
      <c r="AE668" s="226">
        <f>IF(L668="","",IF(L669&gt;0,(SUM(((L667-1)*(1-_xlfn.XLOOKUP(K667,'Janeiro 2023 - Valor Real'!A3:A15,'Janeiro 2023 - Valor Real'!C3:C15,0))+1),((L668-1)*(1-_xlfn.XLOOKUP(K668,'Janeiro 2023 - Valor Real'!A3:A15,'Janeiro 2023 - Valor Real'!C3:C15,0))+1),((L669-1)*(1-_xlfn.XLOOKUP(K669,'Janeiro 2023 - Valor Real'!A3:A15,'Janeiro 2023 - Valor Real'!C3:C15,0))+1))/((L668-1)*(1-_xlfn.XLOOKUP(K668,'Janeiro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Real'!C3:C15,0))+1))/((L667-1)*(1-_xlfn.XLOOKUP(K667,'Janeiro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Real'!C3:C15,0))+1))/((L668-1)*(1-_xlfn.XLOOKUP(K668,'Janeiro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Real'!C3:C15,0))+1))/((L669-1)*(1-_xlfn.XLOOKUP(K669,'Janeiro 2023 - Valor Real'!A3:A15,'Janeiro 2023 - Valor Real'!C3:C15,0))+1)),IF(I668="Lay",IF(I667="Lay",((L667/(L667-1)-1)*(1-_xlfn.XLOOKUP(K667,'Janeiro 2023 - Valor Real'!A3:A15,'Janeiro 2023 - Valor Real'!C3:C15,0))+1)/(((L667/(L667-1)-1)*(1-_xlfn.XLOOKUP(K667,'Janeiro 2023 - Valor Real'!A3:A15,'Janeiro 2023 - Valor Real'!C3:C15,0))+1)+((L668/(L668-1)-1)*(1-_xlfn.XLOOKUP(K668,'Janeiro 2023 - Valor Real'!A3:A15,'Janeiro 2023 - Valor Real'!C3:C15,0))+1)),((L667-1)*(1-_xlfn.XLOOKUP(K667,'Janeiro 2023 - Valor Real'!A3:A15,'Janeiro 2023 - Valor Real'!C3:C15,0))+1)/(((L667-1)*(1-_xlfn.XLOOKUP(K667,'Janeiro 2023 - Valor Real'!A3:A15,'Janeiro 2023 - Valor Real'!C3:C15,0))+1)+((L668/(L668-1)-1)*(1-_xlfn.XLOOKUP(K668,'Janeiro 2023 - Valor Real'!A3:A15,'Janeiro 2023 - Valor Real'!C3:C15,0))+1))),IF(I667="Lay",((L667/(L667-1)-1)*(1-_xlfn.XLOOKUP(K667,'Janeiro 2023 - Valor Real'!A3:A15,'Janeiro 2023 - Valor Real'!C3:C15,0))+1)/((((L667/(L667-1)-1)*(1-_xlfn.XLOOKUP(K667,'Janeiro 2023 - Valor Real'!A3:A15,'Janeiro 2023 - Valor Real'!C3:C15,0))+1))+((L668-1)*(1-_xlfn.XLOOKUP(K668,'Janeiro 2023 - Valor Real'!A3:A15,'Janeiro 2023 - Valor Real'!C3:C15,0))+1)),((L667-1)*(1-_xlfn.XLOOKUP(K667,'Janeiro 2023 - Valor Real'!A3:A15,'Janeiro 2023 - Valor Real'!C3:C15,0))+1)/(((L667-1)*(1-_xlfn.XLOOKUP(K667,'Janeiro 2023 - Valor Real'!A3:A15,'Janeiro 2023 - Valor Real'!C3:C15,0))+1)+((L668-1)*(1-_xlfn.XLOOKUP(K668,'Janeiro 2023 - Valor Real'!A3:A15,'Janeiro 2023 - Valor Real'!C3:C15,0))+1))))))</f>
        <v>0.324324324324324</v>
      </c>
      <c r="AF668" s="197">
        <f>IF($K668=AF$3,ROUND(IF(OR($C668="W",$C668="1/2W",$C668="1/2L"),$P668-$O668,IF($C668="X",0,-$O668)),2),0)</f>
        <v>-6.22</v>
      </c>
      <c r="AG668" s="198">
        <f>IF($K668=AG$3,ROUND(IF(OR($C668="W",$C668="1/2W",$C668="1/2L"),$P668-$O668,IF($C668="X",0,-$O668)),2),0)</f>
        <v>0</v>
      </c>
      <c r="AH668" s="198">
        <f>IF($K668=AH$3,ROUND(IF(OR($C668="W",$C668="1/2W",$C668="1/2L"),$P668-$O668,IF($C668="X",0,-$O668)),2),0)</f>
        <v>0</v>
      </c>
      <c r="AI668" s="198">
        <f>IF($K668=AI$3,ROUND(IF(OR($C668="W",$C668="1/2W",$C668="1/2L"),$P668-$O668,IF($C668="X",0,-$O668)),2),0)</f>
        <v>0</v>
      </c>
      <c r="AJ668" s="198">
        <f>IF($K668=AJ$3,ROUND(IF(OR($C668="W",$C668="1/2W",$C668="1/2L"),$P668-$O668,IF($C668="X",0,-$O668)),2),0)</f>
        <v>0</v>
      </c>
      <c r="AK668" s="198">
        <f>IF($K668=AK$3,ROUND(IF(OR($C668="W",$C668="1/2W",$C668="1/2L"),$P668-$O668,IF($C668="X",0,-$O668)),2),0)</f>
        <v>0</v>
      </c>
      <c r="AL668" s="198">
        <f>IF($K668=AL$3,ROUND(IF(OR($C668="W",$C668="1/2W",$C668="1/2L"),$P668-$O668,IF($C668="X",0,-$O668)),2),0)</f>
        <v>0</v>
      </c>
      <c r="AM668" s="198">
        <f>IF($K668=AM$3,ROUND(IF(OR($C668="W",$C668="1/2W",$C668="1/2L"),$P668-$O668,IF($C668="X",0,-$O668)),2),0)</f>
        <v>0</v>
      </c>
      <c r="AN668" s="198">
        <f>IF($K668=AN$3,ROUND(IF(OR($C668="W",$C668="1/2W",$C668="1/2L"),$P668-$O668,IF($C668="X",0,-$O668)),2),0)</f>
        <v>0</v>
      </c>
      <c r="AO668" s="198">
        <f>IF($K668=AO$3,ROUND(IF(OR($C668="W",$C668="1/2W",$C668="1/2L"),$P668-$O668,IF($C668="X",0,-$O668)),2),0)</f>
        <v>0</v>
      </c>
      <c r="AP668" s="198">
        <f>IF($K668=AP$3,ROUND(IF(OR($C668="W",$C668="1/2W",$C668="1/2L"),$P668-$O668,IF($C668="X",0,-$O668)),2),0)</f>
        <v>0</v>
      </c>
      <c r="AQ668" s="198">
        <f>IF($K668=AQ$3,ROUND(IF(OR($C668="W",$C668="1/2W",$C668="1/2L"),$P668-$O668,IF($C668="X",0,-$O668)),2),0)</f>
        <v>0</v>
      </c>
      <c r="AR668" s="199">
        <f>IF($K668=AR$3,ROUND(IF(OR($C668="W",$C668="1/2W",$C668="1/2L"),$P668-$O668,IF($C668="X",0,-$O668)),2),0)</f>
        <v>0</v>
      </c>
      <c r="AS668" s="197">
        <f>IF(AND($B667=" ",$K668=AS$3),$O668,0)</f>
        <v>0</v>
      </c>
      <c r="AT668" s="198">
        <f>IF(AND($B667=" ",K668=AT$3),$O668,0)</f>
        <v>0</v>
      </c>
      <c r="AU668" s="198">
        <f>IF(AND($B667=" ",$K668=AU$3),$O668,0)</f>
        <v>0</v>
      </c>
      <c r="AV668" s="198">
        <f>IF(AND($B667=" ",$K668=AV$3),$O668,0)</f>
        <v>0</v>
      </c>
      <c r="AW668" s="198">
        <f>IF(AND($B667=" ",$K668=AW$3),$O668,0)</f>
        <v>0</v>
      </c>
      <c r="AX668" s="198">
        <f>IF(AND($B667=" ",$K668=AX$3),$O668,0)</f>
        <v>0</v>
      </c>
      <c r="AY668" s="200">
        <f>IF(AND($B667=" ",$K668=AY$3),$O668,0)</f>
        <v>0</v>
      </c>
      <c r="AZ668" s="201">
        <f>IF(AND($B667=" ",$K668=AZ$3),$O668,0)</f>
        <v>0</v>
      </c>
      <c r="BA668" s="201">
        <f>IF(AND($B667=" ",$K668=BA$3),$O668,0)</f>
        <v>0</v>
      </c>
      <c r="BB668" s="201">
        <f>IF(AND($B667=" ",$K668=BB$3),$O668,0)</f>
        <v>0</v>
      </c>
      <c r="BC668" s="202">
        <f>IF(AND($B667=" ",$K668=BC$3),$O668,0)</f>
        <v>0</v>
      </c>
      <c r="BD668" s="198">
        <f>IF(AND($B667=" ",$K668=BD$3),$O668,0)</f>
        <v>0</v>
      </c>
      <c r="BE668" s="199">
        <f>IF(AND($B667=" ",$K668=BE$3),$O668,0)</f>
        <v>0</v>
      </c>
      <c r="BF668" s="197">
        <f>IF($K668=BF$3,IF($C668="X",0,$O668),0)</f>
        <v>6.22</v>
      </c>
      <c r="BG668" s="198">
        <f>IF($K668=BG$3,IF($C668="X",0,$O668),0)</f>
        <v>0</v>
      </c>
      <c r="BH668" s="198">
        <f>IF($K668=BH$3,IF($C668="X",0,$O668),0)</f>
        <v>0</v>
      </c>
      <c r="BI668" s="198">
        <f>IF($K668=BI$3,IF($C668="X",0,$O668),0)</f>
        <v>0</v>
      </c>
      <c r="BJ668" s="198">
        <f>IF($K668=BJ$3,IF($C668="X",0,$O668),0)</f>
        <v>0</v>
      </c>
      <c r="BK668" s="198">
        <f>IF($K668=BK$3,IF($C668="X",0,$O668),0)</f>
        <v>0</v>
      </c>
      <c r="BL668" s="198">
        <f>IF($K668=BL$3,IF($C668="X",0,$O668),0)</f>
        <v>0</v>
      </c>
      <c r="BM668" s="227">
        <f>IF($K668=BM$3,IF($C668="X",0,$O668),0)</f>
        <v>0</v>
      </c>
      <c r="BN668" s="205">
        <f>IF($K668=BN$3,IF($C668="X",0,$O668),0)</f>
        <v>0</v>
      </c>
      <c r="BO668" s="205">
        <f>IF($K668=BO$3,IF($C668="X",0,$O668),0)</f>
        <v>0</v>
      </c>
      <c r="BP668" s="205">
        <f>IF($K668=BP$3,IF($C668="X",0,$O668),0)</f>
        <v>0</v>
      </c>
      <c r="BQ668" s="202">
        <f>IF($K668=BQ$3,IF($C668="X",0,$O668),0)</f>
        <v>0</v>
      </c>
      <c r="BR668" s="199">
        <f>IF($K668=BR$3,IF($C668="X",0,$O668),0)</f>
        <v>0</v>
      </c>
      <c r="BS668" s="228"/>
      <c r="BT668" s="229"/>
      <c r="BU668" s="140"/>
      <c r="BV668" s="229"/>
      <c r="BW668" s="140"/>
      <c r="BX668" s="140"/>
      <c r="BY668" s="140"/>
      <c r="BZ668" s="229"/>
      <c r="CA668" s="140"/>
      <c r="CB668" s="140"/>
      <c r="CC668" s="140"/>
      <c r="CD668" s="141"/>
      <c r="CE668" s="142"/>
      <c r="CF668" s="230">
        <f>IF(CF$3=$K668,IF($C668="W",1,IF($C668="1/2W",0.5,0)),0)</f>
        <v>0</v>
      </c>
      <c r="CG668" s="231">
        <f>IF(CF$3=$K668,IF($C668="L",1,IF($C668="1/2L",0.5,0)),0)</f>
        <v>1</v>
      </c>
      <c r="CH668" s="231">
        <f>IF(CH$3=$K668,IF($C668="W",1,IF($C668="1/2W",0.5,0)),0)</f>
        <v>0</v>
      </c>
      <c r="CI668" s="231">
        <f>IF(CH$3=$K668,IF($C668="L",1,IF($C668="1/2L",0.5,0)),0)</f>
        <v>0</v>
      </c>
      <c r="CJ668" s="231">
        <f>IF(CJ$3=$K668,IF($C668="W",1,IF($C668="1/2W",0.5,0)),0)</f>
        <v>0</v>
      </c>
      <c r="CK668" s="231">
        <f>IF(CJ$3=$K668,IF($C668="L",1,IF($C668="1/2L",0.5,0)),0)</f>
        <v>0</v>
      </c>
      <c r="CL668" s="231">
        <f>IF(CL$3=$K668,IF($C668="W",1,IF($C668="1/2W",0.5,0)),0)</f>
        <v>0</v>
      </c>
      <c r="CM668" s="231">
        <f>IF(CL$3=$K668,IF($C668="L",1,IF($C668="1/2L",0.5,0)),0)</f>
        <v>0</v>
      </c>
      <c r="CN668" s="231">
        <f>IF(CN$3=$K668,IF($C668="W",1,IF($C668="1/2W",0.5,0)),0)</f>
        <v>0</v>
      </c>
      <c r="CO668" s="231">
        <f>IF(CN$3=$K668,IF($C668="L",1,IF($C668="1/2L",0.5,0)),0)</f>
        <v>0</v>
      </c>
      <c r="CP668" s="231">
        <f>IF(CP$3=$K668,IF($C668="W",1,IF($C668="1/2W",0.5,0)),0)</f>
        <v>0</v>
      </c>
      <c r="CQ668" s="231">
        <f>IF(CP$3=$K668,IF($C668="L",1,IF($C668="1/2L",0.5,0)),0)</f>
        <v>0</v>
      </c>
      <c r="CR668" s="231">
        <f>IF(CR$3=$K668,IF($C668="W",1,IF($C668="1/2W",0.5,0)),0)</f>
        <v>0</v>
      </c>
      <c r="CS668" s="231">
        <f>IF(CR$3=$K668,IF($C668="L",1,IF($C668="1/2L",0.5,0)),0)</f>
        <v>0</v>
      </c>
      <c r="CT668" s="208">
        <f>IF(CT$3=$K668,IF($C668="W",1,IF($C668="1/2W",0.5,0)),0)</f>
        <v>0</v>
      </c>
      <c r="CU668" s="209">
        <f>IF(CT$3=$K668,IF($C668="L",1,IF($C668="1/2L",0.5,0)),0)</f>
        <v>0</v>
      </c>
      <c r="CV668" s="209">
        <f>IF(CV$3=$K668,IF($C668="W",1,IF($C668="1/2W",0.5,0)),0)</f>
        <v>0</v>
      </c>
      <c r="CW668" s="209">
        <f>IF(CV$3=$K668,IF($C668="L",1,IF($C668="1/2L",0.5,0)),0)</f>
        <v>0</v>
      </c>
      <c r="CX668" s="209">
        <f>IF(CX$3=$K668,IF($C668="W",1,IF($C668="1/2W",0.5,0)),0)</f>
        <v>0</v>
      </c>
      <c r="CY668" s="209">
        <f>IF(CX$3=$K668,IF($C668="L",1,IF($C668="1/2L",0.5,0)),0)</f>
        <v>0</v>
      </c>
      <c r="CZ668" s="209">
        <f>IF(CZ$3=$K668,IF($C668="W",1,IF($C668="1/2W",0.5,0)),0)</f>
        <v>0</v>
      </c>
      <c r="DA668" s="209">
        <f>IF(CZ$3=$K668,IF($C668="L",1,IF($C668="1/2L",0.5,0)),0)</f>
        <v>0</v>
      </c>
      <c r="DB668" s="209">
        <f>IF(DB$3=$K668,IF($C668="W",1,IF($C668="1/2W",0.5,0)),0)</f>
        <v>0</v>
      </c>
      <c r="DC668" s="209">
        <f>IF(DB$3=$K668,IF($C668="L",1,IF($C668="1/2L",0.5,0)),0)</f>
        <v>0</v>
      </c>
      <c r="DD668" s="209">
        <f>IF(DD$3=$K668,IF($C668="W",1,IF($C668="1/2W",0.5,0)),0)</f>
        <v>0</v>
      </c>
      <c r="DE668" s="210">
        <f>IF(DD$3=$K668,IF($C668="L",1,IF($C668="1/2L",0.5,0)),0)</f>
        <v>0</v>
      </c>
      <c r="DF668" s="211">
        <f>IF(AND(L668&lt;DF$3,$C668="W"),1+DF667,DF667)</f>
        <v>18</v>
      </c>
      <c r="DG668" s="198">
        <f>IF(DF668&gt;DF667,L668+DG667,DG667)</f>
        <v>23.918</v>
      </c>
      <c r="DH668" s="209">
        <f>IF(AND(L668&gt;DH$3,$C668="W"),1+DH667,0+DH667)</f>
        <v>16</v>
      </c>
      <c r="DI668" s="198">
        <f>IF(DH668&gt;DH667,L668+DI667,DI667)</f>
        <v>85.45999999999999</v>
      </c>
      <c r="DJ668" t="s" s="306">
        <f>IF($D667="","",$D667)</f>
        <v>467</v>
      </c>
      <c r="DK668" s="232"/>
    </row>
    <row r="669" ht="14.55" customHeight="1">
      <c r="A669" s="149"/>
      <c r="B669" s="150"/>
      <c r="C669" t="s" s="233">
        <v>58</v>
      </c>
      <c r="D669" s="152"/>
      <c r="E669" s="153"/>
      <c r="F669" s="155"/>
      <c r="G669" s="234"/>
      <c r="H669" s="156"/>
      <c r="I669" s="235"/>
      <c r="J669" s="236"/>
      <c r="K669" s="237"/>
      <c r="L669" s="238"/>
      <c r="M669" s="239"/>
      <c r="N669" s="161"/>
      <c r="O669" t="s" s="240">
        <f>IF(OR(AE667="",AE668=""),"",IF(L669&gt;0,ROUND(IF(M669&gt;0,M669,IF(M667&gt;0,ROUND((M667*AE669)/AE667,IF(N667=0,2,IF(N667=0.1,1,0))),IF(M668&gt;0,ROUND((M668*AE669)/AE668,IF(N667=0,2,IF(N667=0.1,1,0))),IF(M669&gt;0,M669,0)))),2),""))</f>
      </c>
      <c r="P669" t="s" s="241">
        <f>IF(I668="Lay",O668*(L668/(L668-1))-O668,IF(I667="Lay",O667*(L667/(L667-1))-O667,IF(OR(L669="",O669=""),"",IF($C669="1/2W",O669/2+O669/2*L669,IF($C669="1/2L",O669/2,(O669*L669-O669)*(1-_xlfn.XLOOKUP(K669,'Janeiro 2023 - Valor Real'!A3:A15,'Janeiro 2023 - Valor Real'!C3:C15,0))+O669)))))</f>
      </c>
      <c r="Q669" t="s" s="242">
        <f>IF(K669="","",IF(_xlfn.XLOOKUP(K669,K$124:K442,DJ$124:DJ442,0,,-1)=DJ669,_xlfn.XLOOKUP(K669,K$124:K442,Q$124:Q442,1,,-1)+1,1))</f>
      </c>
      <c r="R669" t="s" s="243">
        <f>IF(K669="","",_xlfn.XLOOKUP(K669,K$124:K442,R$124:R442,0,,-1)+IF($C669=" ",1,0))</f>
      </c>
      <c r="S669" s="166"/>
      <c r="T669" s="155"/>
      <c r="U669" s="155"/>
      <c r="V669" s="166"/>
      <c r="W669" s="155"/>
      <c r="X669" s="167"/>
      <c r="Y669" s="128"/>
      <c r="Z669" s="129"/>
      <c r="AA669" s="129"/>
      <c r="AB669" s="129"/>
      <c r="AC669" s="129"/>
      <c r="AD669" s="244">
        <f>((L668/(L668-1)-1))</f>
        <v>0.444444444444444</v>
      </c>
      <c r="AE669" t="s" s="245">
        <f>IF(L669="","",(SUM(((L667-1)*(1-_xlfn.XLOOKUP(K667,'Janeiro 2023 - Valor Real'!A3:A15,'Janeiro 2023 - Valor Real'!C3:C15,0))+1),((L668-1)*(1-_xlfn.XLOOKUP(K668,'Janeiro 2023 - Valor Real'!A3:A15,'Janeiro 2023 - Valor Real'!C3:C15,0))+1),((L669-1)*(1-_xlfn.XLOOKUP(K669,'Janeiro 2023 - Valor Real'!A3:A15,'Janeiro 2023 - Valor Real'!C3:C15,0))+1))/((L669-1)*(1-_xlfn.XLOOKUP(K669,'Janeiro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Real'!C3:C15,0))+1))/((L667-1)*(1-_xlfn.XLOOKUP(K667,'Janeiro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Real'!C3:C15,0))+1))/((L668-1)*(1-_xlfn.XLOOKUP(K668,'Janeiro 2023 - Valor Real'!A3:A15,'Janeiro 2023 - Valor Real'!C3:C15,0))+1)+SUM(((L667-1)*(1-_xlfn.XLOOKUP(K667,'Janeiro 2023 - Valor Real'!A3:A15,'Janeiro 2023 - Valor Real'!C3:C15,0))+1),((L668-1)*(1-_xlfn.XLOOKUP(K668,'Janeiro 2023 - Valor Real'!A3:A15,'Janeiro 2023 - Valor Real'!C3:C15,0))+1),((L669-1)*(1-_xlfn.XLOOKUP(K669,'Janeiro 2023 - Valor Real'!A3:A15,'Janeiro 2023 - Valor Real'!C3:C15,0))+1))/((L669-1)*(1-_xlfn.XLOOKUP(K669,'Janeiro 2023 - Valor Real'!A3:A15,'Janeiro 2023 - Valor Real'!C3:C15,0))+1)))</f>
      </c>
      <c r="AF669" s="197">
        <f>IF($K669=AF$3,ROUND(IF(OR($C669="W",$C669="1/2W",$C669="1/2L"),$P669-$O669,IF($C669="X",0,-$O669)),2),0)</f>
        <v>0</v>
      </c>
      <c r="AG669" s="198">
        <f>IF($K669=AG$3,ROUND(IF(OR($C669="W",$C669="1/2W",$C669="1/2L"),$P669-$O669,IF($C669="X",0,-$O669)),2),0)</f>
        <v>0</v>
      </c>
      <c r="AH669" s="198">
        <f>IF($K669=AH$3,ROUND(IF(OR($C669="W",$C669="1/2W",$C669="1/2L"),$P669-$O669,IF($C669="X",0,-$O669)),2),0)</f>
        <v>0</v>
      </c>
      <c r="AI669" s="198">
        <f>IF($K669=AI$3,ROUND(IF(OR($C669="W",$C669="1/2W",$C669="1/2L"),$P669-$O669,IF($C669="X",0,-$O669)),2),0)</f>
        <v>0</v>
      </c>
      <c r="AJ669" s="198">
        <f>IF($K669=AJ$3,ROUND(IF(OR($C669="W",$C669="1/2W",$C669="1/2L"),$P669-$O669,IF($C669="X",0,-$O669)),2),0)</f>
        <v>0</v>
      </c>
      <c r="AK669" s="198">
        <f>IF($K669=AK$3,ROUND(IF(OR($C669="W",$C669="1/2W",$C669="1/2L"),$P669-$O669,IF($C669="X",0,-$O669)),2),0)</f>
        <v>0</v>
      </c>
      <c r="AL669" s="198">
        <f>IF($K669=AL$3,ROUND(IF(OR($C669="W",$C669="1/2W",$C669="1/2L"),$P669-$O669,IF($C669="X",0,-$O669)),2),0)</f>
        <v>0</v>
      </c>
      <c r="AM669" s="198">
        <f>IF($K669=AM$3,ROUND(IF(OR($C669="W",$C669="1/2W",$C669="1/2L"),$P669-$O669,IF($C669="X",0,-$O669)),2),0)</f>
        <v>0</v>
      </c>
      <c r="AN669" s="198">
        <f>IF($K669=AN$3,ROUND(IF(OR($C669="W",$C669="1/2W",$C669="1/2L"),$P669-$O669,IF($C669="X",0,-$O669)),2),0)</f>
        <v>0</v>
      </c>
      <c r="AO669" s="198">
        <f>IF($K669=AO$3,ROUND(IF(OR($C669="W",$C669="1/2W",$C669="1/2L"),$P669-$O669,IF($C669="X",0,-$O669)),2),0)</f>
        <v>0</v>
      </c>
      <c r="AP669" s="198">
        <f>IF($K669=AP$3,ROUND(IF(OR($C669="W",$C669="1/2W",$C669="1/2L"),$P669-$O669,IF($C669="X",0,-$O669)),2),0)</f>
        <v>0</v>
      </c>
      <c r="AQ669" s="198">
        <f>IF($K669=AQ$3,ROUND(IF(OR($C669="W",$C669="1/2W",$C669="1/2L"),$P669-$O669,IF($C669="X",0,-$O669)),2),0)</f>
        <v>0</v>
      </c>
      <c r="AR669" s="199">
        <f>IF($K669=AR$3,ROUND(IF(OR($C669="W",$C669="1/2W",$C669="1/2L"),$P669-$O669,IF($C669="X",0,-$O669)),2),0)</f>
        <v>0</v>
      </c>
      <c r="AS669" s="197">
        <f>IF(AND($B667=" ",$K669=AS$3),$O669,0)</f>
        <v>0</v>
      </c>
      <c r="AT669" s="198">
        <f>IF(AND($B667=" ",K669=AT$3),$O669,0)</f>
        <v>0</v>
      </c>
      <c r="AU669" s="198">
        <f>IF(AND($B667=" ",$K669=AU$3),$O669,0)</f>
        <v>0</v>
      </c>
      <c r="AV669" s="198">
        <f>IF(AND($B667=" ",$K669=AV$3),$O669,0)</f>
        <v>0</v>
      </c>
      <c r="AW669" s="198">
        <f>IF(AND($B667=" ",$K669=AW$3),$O669,0)</f>
        <v>0</v>
      </c>
      <c r="AX669" s="198">
        <f>IF(AND($B667=" ",$K669=AX$3),$O669,0)</f>
        <v>0</v>
      </c>
      <c r="AY669" s="200">
        <f>IF(AND($B667=" ",$K669=AY$3),$O669,0)</f>
        <v>0</v>
      </c>
      <c r="AZ669" s="201">
        <f>IF(AND($B667=" ",$K669=AZ$3),$O669,0)</f>
        <v>0</v>
      </c>
      <c r="BA669" s="201">
        <f>IF(AND($B667=" ",$K669=BA$3),$O669,0)</f>
        <v>0</v>
      </c>
      <c r="BB669" s="201">
        <f>IF(AND($B667=" ",$K669=BB$3),$O669,0)</f>
        <v>0</v>
      </c>
      <c r="BC669" s="202">
        <f>IF(AND($B667=" ",$K669=BC$3),$O669,0)</f>
        <v>0</v>
      </c>
      <c r="BD669" s="198">
        <f>IF(AND($B667=" ",$K669=BD$3),$O669,0)</f>
        <v>0</v>
      </c>
      <c r="BE669" s="199">
        <f>IF(AND($B667=" ",$K669=BE$3),$O669,0)</f>
        <v>0</v>
      </c>
      <c r="BF669" s="197">
        <f>IF($K669=BF$3,IF($C669="X",0,$O669),0)</f>
        <v>0</v>
      </c>
      <c r="BG669" s="198">
        <f>IF($K669=BG$3,IF($C669="X",0,$O669),0)</f>
        <v>0</v>
      </c>
      <c r="BH669" s="198">
        <f>IF($K669=BH$3,IF($C669="X",0,$O669),0)</f>
        <v>0</v>
      </c>
      <c r="BI669" s="198">
        <f>IF($K669=BI$3,IF($C669="X",0,$O669),0)</f>
        <v>0</v>
      </c>
      <c r="BJ669" s="198">
        <f>IF($K669=BJ$3,IF($C669="X",0,$O669),0)</f>
        <v>0</v>
      </c>
      <c r="BK669" s="198">
        <f>IF($K669=BK$3,IF($C669="X",0,$O669),0)</f>
        <v>0</v>
      </c>
      <c r="BL669" s="198">
        <f>IF($K669=BL$3,IF($C669="X",0,$O669),0)</f>
        <v>0</v>
      </c>
      <c r="BM669" s="200">
        <f>IF($K669=BM$3,IF($C669="X",0,$O669),0)</f>
        <v>0</v>
      </c>
      <c r="BN669" s="201">
        <f>IF($K669=BN$3,IF($C669="X",0,$O669),0)</f>
        <v>0</v>
      </c>
      <c r="BO669" s="201">
        <f>IF($K669=BO$3,IF($C669="X",0,$O669),0)</f>
        <v>0</v>
      </c>
      <c r="BP669" s="201">
        <f>IF($K669=BP$3,IF($C669="X",0,$O669),0)</f>
        <v>0</v>
      </c>
      <c r="BQ669" s="202">
        <f>IF($K669=BQ$3,IF($C669="X",0,$O669),0)</f>
        <v>0</v>
      </c>
      <c r="BR669" s="199">
        <f>IF($K669=BR$3,IF($C669="X",0,$O669),0)</f>
        <v>0</v>
      </c>
      <c r="BS669" s="228"/>
      <c r="BT669" s="229"/>
      <c r="BU669" s="140"/>
      <c r="BV669" s="229"/>
      <c r="BW669" s="140"/>
      <c r="BX669" s="140"/>
      <c r="BY669" s="140"/>
      <c r="BZ669" s="229"/>
      <c r="CA669" s="140"/>
      <c r="CB669" s="140"/>
      <c r="CC669" s="140"/>
      <c r="CD669" s="141"/>
      <c r="CE669" s="142"/>
      <c r="CF669" s="230">
        <f>IF(CF$3=$K669,IF($C669="W",1,IF($C669="1/2W",0.5,0)),0)</f>
        <v>0</v>
      </c>
      <c r="CG669" s="231">
        <f>IF(CF$3=$K669,IF($C669="L",1,IF($C669="1/2L",0.5,0)),0)</f>
        <v>0</v>
      </c>
      <c r="CH669" s="231">
        <f>IF(CH$3=$K669,IF($C669="W",1,IF($C669="1/2W",0.5,0)),0)</f>
        <v>0</v>
      </c>
      <c r="CI669" s="231">
        <f>IF(CH$3=$K669,IF($C669="L",1,IF($C669="1/2L",0.5,0)),0)</f>
        <v>0</v>
      </c>
      <c r="CJ669" s="231">
        <f>IF(CJ$3=$K669,IF($C669="W",1,IF($C669="1/2W",0.5,0)),0)</f>
        <v>0</v>
      </c>
      <c r="CK669" s="231">
        <f>IF(CJ$3=$K669,IF($C669="L",1,IF($C669="1/2L",0.5,0)),0)</f>
        <v>0</v>
      </c>
      <c r="CL669" s="231">
        <f>IF(CL$3=$K669,IF($C669="W",1,IF($C669="1/2W",0.5,0)),0)</f>
        <v>0</v>
      </c>
      <c r="CM669" s="231">
        <f>IF(CL$3=$K669,IF($C669="L",1,IF($C669="1/2L",0.5,0)),0)</f>
        <v>0</v>
      </c>
      <c r="CN669" s="231">
        <f>IF(CN$3=$K669,IF($C669="W",1,IF($C669="1/2W",0.5,0)),0)</f>
        <v>0</v>
      </c>
      <c r="CO669" s="231">
        <f>IF(CN$3=$K669,IF($C669="L",1,IF($C669="1/2L",0.5,0)),0)</f>
        <v>0</v>
      </c>
      <c r="CP669" s="231">
        <f>IF(CP$3=$K669,IF($C669="W",1,IF($C669="1/2W",0.5,0)),0)</f>
        <v>0</v>
      </c>
      <c r="CQ669" s="231">
        <f>IF(CP$3=$K669,IF($C669="L",1,IF($C669="1/2L",0.5,0)),0)</f>
        <v>0</v>
      </c>
      <c r="CR669" s="231">
        <f>IF(CR$3=$K669,IF($C669="W",1,IF($C669="1/2W",0.5,0)),0)</f>
        <v>0</v>
      </c>
      <c r="CS669" s="231">
        <f>IF(CR$3=$K669,IF($C669="L",1,IF($C669="1/2L",0.5,0)),0)</f>
        <v>0</v>
      </c>
      <c r="CT669" s="208">
        <f>IF(CT$3=$K669,IF($C669="W",1,IF($C669="1/2W",0.5,0)),0)</f>
        <v>0</v>
      </c>
      <c r="CU669" s="209">
        <f>IF(CT$3=$K669,IF($C669="L",1,IF($C669="1/2L",0.5,0)),0)</f>
        <v>0</v>
      </c>
      <c r="CV669" s="209">
        <f>IF(CV$3=$K669,IF($C669="W",1,IF($C669="1/2W",0.5,0)),0)</f>
        <v>0</v>
      </c>
      <c r="CW669" s="209">
        <f>IF(CV$3=$K669,IF($C669="L",1,IF($C669="1/2L",0.5,0)),0)</f>
        <v>0</v>
      </c>
      <c r="CX669" s="209">
        <f>IF(CX$3=$K669,IF($C669="W",1,IF($C669="1/2W",0.5,0)),0)</f>
        <v>0</v>
      </c>
      <c r="CY669" s="209">
        <f>IF(CX$3=$K669,IF($C669="L",1,IF($C669="1/2L",0.5,0)),0)</f>
        <v>0</v>
      </c>
      <c r="CZ669" s="209">
        <f>IF(CZ$3=$K669,IF($C669="W",1,IF($C669="1/2W",0.5,0)),0)</f>
        <v>0</v>
      </c>
      <c r="DA669" s="209">
        <f>IF(CZ$3=$K669,IF($C669="L",1,IF($C669="1/2L",0.5,0)),0)</f>
        <v>0</v>
      </c>
      <c r="DB669" s="209">
        <f>IF(DB$3=$K669,IF($C669="W",1,IF($C669="1/2W",0.5,0)),0)</f>
        <v>0</v>
      </c>
      <c r="DC669" s="209">
        <f>IF(DB$3=$K669,IF($C669="L",1,IF($C669="1/2L",0.5,0)),0)</f>
        <v>0</v>
      </c>
      <c r="DD669" s="209">
        <f>IF(DD$3=$K669,IF($C669="W",1,IF($C669="1/2W",0.5,0)),0)</f>
        <v>0</v>
      </c>
      <c r="DE669" s="210">
        <f>IF(DD$3=$K669,IF($C669="L",1,IF($C669="1/2L",0.5,0)),0)</f>
        <v>0</v>
      </c>
      <c r="DF669" s="211">
        <f>IF(AND(L669&lt;DF$3,$C669="W"),1+DF668,DF668)</f>
        <v>18</v>
      </c>
      <c r="DG669" s="198">
        <f>IF(DF669&gt;DF668,L669+DG668,DG668)</f>
        <v>23.918</v>
      </c>
      <c r="DH669" s="209">
        <f>IF(AND(L669&gt;DH$3,$C669="W"),1+DH668,0+DH668)</f>
        <v>16</v>
      </c>
      <c r="DI669" s="198">
        <f>IF(DH669&gt;DH668,L669+DI668,DI668)</f>
        <v>85.45999999999999</v>
      </c>
      <c r="DJ669" t="s" s="306">
        <f>IF($D667="","",$D667)</f>
        <v>467</v>
      </c>
      <c r="DK669" s="232"/>
    </row>
    <row r="670" ht="14.55" customHeight="1">
      <c r="A670" s="246">
        <f>$A667+1</f>
        <v>223</v>
      </c>
      <c r="B670" t="s" s="247">
        <f>IF(AND(_xlfn.XLOOKUP(H670,H$107:H449,G$107:G449,0)=G670,_xlfn.XLOOKUP("TempoBet",K670:K672,L670:L672,0)&gt;0),"X",IF(OR(C670="W",C671="W",C672="W",C670="1/2W",C671="1/2W",C672="1/2W",C670="1/2L",C671="1/2L",C672="1/2L"),"OK",IF(OR(C670="L",C671="L",C672="L"),"LOSS",IF(OR(C670="X",C671="X",C672="X"),"Anulado"," "))))</f>
        <v>50</v>
      </c>
      <c r="C670" t="s" s="248">
        <v>56</v>
      </c>
      <c r="D670" t="s" s="303">
        <v>478</v>
      </c>
      <c r="E670" t="s" s="250">
        <v>52</v>
      </c>
      <c r="F670" t="s" s="251">
        <f>IF(G670="","",IF(OR(AND($C670&lt;&gt;" ",$C671=" "),AND($C671&lt;&gt;" ",$C670=" "),AND(L672&gt;0,OR(AND($C672&lt;&gt;" ",OR($C670=" ",$C671=" ")),AND($C672=" ",OR($C670&lt;&gt;" ",$C671&lt;&gt;" "))))),IF(SUM(F$4:F669)=0,1,LARGE(F$4:F669,1)+1),IF(MONTH(G670)=MONTH(TODAY()),IF(AND(DAY(G670)&lt;DAY(TODAY()),$B670=" "),IF(SUM(F$4:F669)=0,1,LARGE(F$4:F669,1)+1),IF($B670=" ",IF(AND(DAY(G670)=DAY(TODAY()),HOUR(G670)&lt;=HOUR(NOW())+1),IF(AND(HOUR(G670)+2&lt;=HOUR(NOW()),DAY(G670)&lt;=DAY(TODAY()),MINUTE(G670)&lt;=MINUTE(NOW())),IF(SUM(F$4:F669)=0,1,LARGE(F$4:F669,1)+1),IF(OR(MINUTE(G670)&lt;=MINUTE(NOW()),HOUR(G670)&lt;=HOUR(NOW())),"!!!","")),""),"")),"")))</f>
      </c>
      <c r="G670" s="252">
        <v>44959.833333333336</v>
      </c>
      <c r="H670" t="s" s="253">
        <v>479</v>
      </c>
      <c r="I670" t="s" s="254">
        <v>54</v>
      </c>
      <c r="J670" s="255">
        <v>4</v>
      </c>
      <c r="K670" t="s" s="256">
        <v>41</v>
      </c>
      <c r="L670" s="257">
        <v>1.91</v>
      </c>
      <c r="M670" s="258">
        <v>12.36</v>
      </c>
      <c r="N670" s="259">
        <v>0</v>
      </c>
      <c r="O670" s="260">
        <f>IF(OR(AE670="",AE671=""),"",ROUND(IF(L672&gt;0,IF(M670&gt;0,M670,IF(M671&gt;0,ROUND((M671*AE670)/AE671,IF(N670=0,2,IF(N670=0.1,1,0))),ROUND((M672*AE670)/AE672,IF(N670=0,2,IF(N670=0.1,1,0))))),IF(M670&gt;0,M670,ROUND((M671*AE670)/AE671,IF(N670=0,2,IF(N670=0.1,1,0))))),2))</f>
        <v>12.36</v>
      </c>
      <c r="P670" s="261">
        <f>IF(OR(L670="",O670=""),"",IF($C670="1/2W",O670/2+O670/2*L670,IF($C670="1/2L",O670/2,IF(I670="Lay",(O670*(L670/(L670-1))-O670)*(1-_xlfn.XLOOKUP(K670,'Janeiro 2023 - Valor Real'!A3:A15,'Janeiro 2023 - Valor Real'!C3:C15,0))+O670,(O670*L670-O670)*(1-_xlfn.XLOOKUP(K670,'Janeiro 2023 - Valor Real'!A3:A15,'Janeiro 2023 - Valor Real'!C3:C15,0))+O670))))</f>
        <v>23.6076</v>
      </c>
      <c r="Q670" s="262">
        <f>IF(K670="","",IF(_xlfn.XLOOKUP(K670,K$107:K449,DJ$107:DJ449,0,,-1)=DJ670,_xlfn.XLOOKUP(K670,K$107:K449,Q$107:Q449,1,,-1)+1,1))</f>
        <v>1</v>
      </c>
      <c r="R670" s="263">
        <f>IF(K670="","",_xlfn.XLOOKUP(K670,K$107:K449,R$107:R449,0,,-1)+IF($C670=" ",1,0))</f>
        <v>0</v>
      </c>
      <c r="S670" s="264">
        <f>IF($B670="Anulado",0,ROUND(IF(OR($B670="LOSS",$B670="OK"),IF(OR($C670="W",$C670="1/2W",$C670="1/2L"),P670-O670,IF($C670="L",-O670,0))+IF(OR($C671="W",$C671="1/2W",$C671="1/2L"),P671-O671,IF($C671="L",-O671,0))+IF(OR($C672="W",$C672="1/2W",$C672="1/2L"),P672-O672,IF($C672="L",-O672,0)),IF(AND(OR($C670="W",$C670="1/2W",$C670="1/2L"),C671="W"),P670+P671-SUM(O670:O672)+_xlfn.XLOOKUP("X",C670:C672,O670:O672,0),IF(AND(C670=TRUE,C672="W"),P670+P672-SUM(O670:O672),IF(AND(C671="W",C672="W"),P671+P672-SUM(O670:O672)+_xlfn.XLOOKUP("X",C670:C672,O670:O672,0),IF(L672&gt;0,IF(OR($C670="W",$C670="1/2W",$C670="1/2L"),P670-SUM(O670:O672)+_xlfn.XLOOKUP("X",C670:C672,O670:O672,0),IF(OR($C670="W",$C670="1/2W",$C670="1/2L"),P671-SUM(O670:O672)+_xlfn.XLOOKUP("X",C670:C672,O670:O672,0),IF(OR($C670="W",$C670="1/2W",$C670="1/2L"),P672-SUM(O670:O672)+_xlfn.XLOOKUP("X",C670:C672,O670:O672,0),IF(SUM(P670:P672)/3-SUM(O670:O672)+_xlfn.XLOOKUP("X",C670:C672,O670:O672,0)&gt;0,SUM(P670:P672)/3-SUM(O670:O672)+_xlfn.XLOOKUP("X",C670:C672,O670:O672,0),LARGE(P670:P672,1)-SUM(O670:O672))))),IF(OR($C670="W",$C670="1/2W",$C670="1/2L"),P670-SUM(O670:O671)+_xlfn.XLOOKUP("X",C670:C672,O670:O672,0),IF(OR($C670="W",$C670="1/2W",$C670="1/2L"),P671-SUM(O670:O671)+_xlfn.XLOOKUP("X",C670:C672,O670:O672,0),SUM(P670:P671)/2-SUM(O670:O671)+_xlfn.XLOOKUP("X",C670:C672,O670:O672,0)))))))),2))</f>
        <v>1.41</v>
      </c>
      <c r="T670" s="265">
        <f>IF(S670=0,0,S670/SUM(O670:O672))</f>
        <v>0.0635135135135135</v>
      </c>
      <c r="U670" s="266">
        <f>IF($D670=$D667,IF(OR($B670="LOSS",$B670="OK",$B670="Anulada"),S670,0)+U667,IF(OR($B670="LOSS",$B670="OK",$B670="Anulada"),S670,0))</f>
        <v>1.41</v>
      </c>
      <c r="V670" s="266">
        <f>IF($D670="",0,IF($D670=$D667,IF($B670=" ",IF(I672="",IF(OR(AND(I670="DNB1",I671="DNB2"),AND(OR(I670="DNB1",I670="DNB2"),J671=0),AND(OR(I671="DNB1",I671="DNB2"),J670=0),AND(I670="DNB2",I671="DNB1"),AND(IF(J670=0,(J670+1)/ROUND(J670+1,0),J670/ROUND(J670,0))=1,IF(J671=0,(J671+1)/ROUND(IF(J671="",0,J671)+1,0),IF(J671="",0,J671)/ROUND(IF(J671="",1,J671),0))=1,OR(J670&lt;&gt;""),J671&lt;&gt;"")),0,IF(S670&lt;0,IF(I672="",SMALL(P670:P671,1)-SUM(O670:O671),0),SMALL(P670:P671,1)-SUM(O670:O671))),IF(S670&lt;0,IF(I672="",SMALL(P670:P672,1)-SUM(O670:O672),0),LARGE(P670:P672,1)-SUM(O670:O672))),S670)+V667,IF(I672="",IF(OR(AND(I670="DNB1",I671="DNB2"),AND(OR(I670="DNB1",I670="DNB2"),J671=0),AND(OR(I671="DNB1",I671="DNB2"),J670=0),AND(I670="DNB2",I671="DNB1"),AND(IF(J670=0,(J670+1)/ROUND(J670+1,0),J670/ROUND(J670,0))=1,IF(J671=0,(IF(J671="",0,J671)+1)/ROUND(IF(J671="",0,J671)+1,0),IF(J671="",0,J671)/ROUND(IF(J671="",0,J671)+1,0))=1,OR(J670&lt;&gt;""),J671&lt;&gt;"")),0,IF(S670&lt;0,IF(I672="",SMALL(P670:P671,1)-SUM(O670:O671),0),SMALL(P670:P672,1)-SUM(O670:O672))),IF(S670&lt;0,IF(I672="",SMALL(P670:P672,1)-SUM(O670:O672),0),LARGE(P670:P672,1)-SUM(O670:O672)))))</f>
        <v>1.4076</v>
      </c>
      <c r="W670" s="266">
        <f>IF($D670=$D667,IF(S670&lt;0,IF(I672="",S670,0),S670)+W667,S670)</f>
        <v>1.41</v>
      </c>
      <c r="X670" t="s" s="267">
        <f>IF(OR(SUM(R670:R672)=0,V670=W670),ROUND(IF(W670=0,0,W670/Y670)*100,2)&amp;"%",ROUND(IF(V670=0,0,V670/Y670)*100,2)&amp;"% a "&amp;ROUND(IF(W670=0,0,W670/Y670)*100,2)&amp;"%")</f>
        <v>480</v>
      </c>
      <c r="Y670" s="268">
        <f>IF($D670=$D667,Y667+SUM(O670:O672),SUM(O670:O672))</f>
        <v>22.2</v>
      </c>
      <c r="Z670" s="266">
        <f>IF($B670=" ",SUM(O670:O672),0)+Z667</f>
        <v>0</v>
      </c>
      <c r="AA670" s="266">
        <f>IF(G670="","",IF($B670="Anulado",LARGE(P670:P672,1)-SUM(O670:O672)+AA667,AA667))</f>
        <v>27.7065076923077</v>
      </c>
      <c r="AB670" s="266">
        <f>IF($D670="","",AB667+S670)</f>
        <v>472.59</v>
      </c>
      <c r="AC670" s="269">
        <f>IF($D670="","",IF($B670=" ",IF(DAY(G670)=DAY(TODAY()),1+AC667,0+AC667),0+AC667))</f>
        <v>0</v>
      </c>
      <c r="AD670" s="270">
        <f>(1-_xlfn.XLOOKUP(K668,'Janeiro 2023 - Valor Real'!A3:A15,'Janeiro 2023 - Valor Real'!C3:C15,0))+1</f>
        <v>2</v>
      </c>
      <c r="AE670" s="271">
        <f>IF(L670="","",IF(L672&gt;0,(SUM(((L670-1)*(1-_xlfn.XLOOKUP(K670,'Janeiro 2023 - Valor Real'!A3:A15,'Janeiro 2023 - Valor Real'!C3:C15,0))+1),((L671-1)*(1-_xlfn.XLOOKUP(K671,'Janeiro 2023 - Valor Real'!A3:A15,'Janeiro 2023 - Valor Real'!C3:C15,0))+1),((L672-1)*(1-_xlfn.XLOOKUP(K672,'Janeiro 2023 - Valor Real'!A3:A15,'Janeiro 2023 - Valor Real'!C3:C15,0))+1))/((L670-1)*(1-_xlfn.XLOOKUP(K670,'Janeiro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Real'!C3:C15,0))+1))/((L670-1)*(1-_xlfn.XLOOKUP(K670,'Janeiro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Real'!C3:C15,0))+1))/((L671-1)*(1-_xlfn.XLOOKUP(K671,'Janeiro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Real'!C3:C15,0))+1))/((L672-1)*(1-_xlfn.XLOOKUP(K672,'Janeiro 2023 - Valor Real'!A3:A15,'Janeiro 2023 - Valor Real'!C3:C15,0))+1)),IF(I670="Lay",IF(I671="Lay",((L671/(L671-1)-1)*(1-_xlfn.XLOOKUP(K671,'Janeiro 2023 - Valor Real'!A3:A15,'Janeiro 2023 - Valor Real'!C3:C15,0))+1)/(((L671/(L671-1)-1)*(1-_xlfn.XLOOKUP(K671,'Janeiro 2023 - Valor Real'!A3:A15,'Janeiro 2023 - Valor Real'!C3:C15,0))+1)+((L670/(L670-1)-1)*(1-_xlfn.XLOOKUP(K670,'Janeiro 2023 - Valor Real'!A3:A15,'Janeiro 2023 - Valor Real'!C3:C15,0))+1)),((L671-1)*(1-_xlfn.XLOOKUP(K671,'Janeiro 2023 - Valor Real'!A3:A15,'Janeiro 2023 - Valor Real'!C3:C15,0))+1)/(((L671-1)*(1-_xlfn.XLOOKUP(K671,'Janeiro 2023 - Valor Real'!A3:A15,'Janeiro 2023 - Valor Real'!C3:C15,0))+1)+((L670/(L670-1)-1)*(1-_xlfn.XLOOKUP(K670,'Janeiro 2023 - Valor Real'!A3:A15,'Janeiro 2023 - Valor Real'!C3:C15,0))+1))),IF(I671="Lay",(((L671/(L671-1)-1)*(1-_xlfn.XLOOKUP(K671,'Janeiro 2023 - Valor Real'!A3:A15,'Janeiro 2023 - Valor Real'!C3:C15,0))+1))/(((L670-1)*(1-_xlfn.XLOOKUP(K670,'Janeiro 2023 - Valor Real'!A3:A15,'Janeiro 2023 - Valor Real'!C3:C15,0))+1)+((L671/(L671-1)-1)*(1-_xlfn.XLOOKUP(K671,'Janeiro 2023 - Valor Real'!A3:A15,'Janeiro 2023 - Valor Real'!C3:C15,0))+1)),((L671-1)*(1-_xlfn.XLOOKUP(K671,'Janeiro 2023 - Valor Real'!A3:A15,'Janeiro 2023 - Valor Real'!C3:C15,0))+1)/(((L671-1)*(1-_xlfn.XLOOKUP(K671,'Janeiro 2023 - Valor Real'!A3:A15,'Janeiro 2023 - Valor Real'!C3:C15,0))+1)+((L670-1)*(1-_xlfn.XLOOKUP(K670,'Janeiro 2023 - Valor Real'!A3:A15,'Janeiro 2023 - Valor Real'!C3:C15,0))+1))))))</f>
        <v>0.556844547563805</v>
      </c>
      <c r="AF670" s="132">
        <f>IF($K670=AF$3,ROUND(IF(OR($C670="W",$C670="1/2W",$C670="1/2L"),$P670-$O670,IF($C670="X",0,-$O670)),2),0)</f>
        <v>0</v>
      </c>
      <c r="AG670" s="133">
        <f>IF($K670=AG$3,ROUND(IF(OR($C670="W",$C670="1/2W",$C670="1/2L"),$P670-$O670,IF($C670="X",0,-$O670)),2),0)</f>
        <v>0</v>
      </c>
      <c r="AH670" s="133">
        <f>IF($K670=AH$3,ROUND(IF(OR($C670="W",$C670="1/2W",$C670="1/2L"),$P670-$O670,IF($C670="X",0,-$O670)),2),0)</f>
        <v>0</v>
      </c>
      <c r="AI670" s="133">
        <f>IF($K670=AI$3,ROUND(IF(OR($C670="W",$C670="1/2W",$C670="1/2L"),$P670-$O670,IF($C670="X",0,-$O670)),2),0)</f>
        <v>0</v>
      </c>
      <c r="AJ670" s="133">
        <f>IF($K670=AJ$3,ROUND(IF(OR($C670="W",$C670="1/2W",$C670="1/2L"),$P670-$O670,IF($C670="X",0,-$O670)),2),0)</f>
        <v>11.25</v>
      </c>
      <c r="AK670" s="133">
        <f>IF($K670=AK$3,ROUND(IF(OR($C670="W",$C670="1/2W",$C670="1/2L"),$P670-$O670,IF($C670="X",0,-$O670)),2),0)</f>
        <v>0</v>
      </c>
      <c r="AL670" s="133">
        <f>IF($K670=AL$3,ROUND(IF(OR($C670="W",$C670="1/2W",$C670="1/2L"),$P670-$O670,IF($C670="X",0,-$O670)),2),0)</f>
        <v>0</v>
      </c>
      <c r="AM670" s="133">
        <f>IF($K670=AM$3,ROUND(IF(OR($C670="W",$C670="1/2W",$C670="1/2L"),$P670-$O670,IF($C670="X",0,-$O670)),2),0)</f>
        <v>0</v>
      </c>
      <c r="AN670" s="133">
        <f>IF($K670=AN$3,ROUND(IF(OR($C670="W",$C670="1/2W",$C670="1/2L"),$P670-$O670,IF($C670="X",0,-$O670)),2),0)</f>
        <v>0</v>
      </c>
      <c r="AO670" s="133">
        <f>IF($K670=AO$3,ROUND(IF(OR($C670="W",$C670="1/2W",$C670="1/2L"),$P670-$O670,IF($C670="X",0,-$O670)),2),0)</f>
        <v>0</v>
      </c>
      <c r="AP670" s="133">
        <f>IF($K670=AP$3,ROUND(IF(OR($C670="W",$C670="1/2W",$C670="1/2L"),$P670-$O670,IF($C670="X",0,-$O670)),2),0)</f>
        <v>0</v>
      </c>
      <c r="AQ670" s="133">
        <f>IF($K670=AQ$3,ROUND(IF(OR($C670="W",$C670="1/2W",$C670="1/2L"),$P670-$O670,IF($C670="X",0,-$O670)),2),0)</f>
        <v>0</v>
      </c>
      <c r="AR670" s="134">
        <f>IF($K670=AR$3,ROUND(IF(OR($C670="W",$C670="1/2W",$C670="1/2L"),$P670-$O670,IF($C670="X",0,-$O670)),2),0)</f>
        <v>0</v>
      </c>
      <c r="AS670" s="132">
        <f>IF(AND($B670=" ",$K670=AS$3),$O670,0)</f>
        <v>0</v>
      </c>
      <c r="AT670" s="133">
        <f>IF(AND($B670=" ",$K670=AT$3),$O670,0)</f>
        <v>0</v>
      </c>
      <c r="AU670" s="133">
        <f>IF(AND($B670=" ",$K670=AU$3),$O670,0)</f>
        <v>0</v>
      </c>
      <c r="AV670" s="133">
        <f>IF(AND($B670=" ",$K670=AV$3),$O670,0)</f>
        <v>0</v>
      </c>
      <c r="AW670" s="133">
        <f>IF(AND($B670=" ",$K670=AW$3),$O670,0)</f>
        <v>0</v>
      </c>
      <c r="AX670" s="133">
        <f>IF(AND($B670=" ",$K670=AX$3),$O670,0)</f>
        <v>0</v>
      </c>
      <c r="AY670" s="135">
        <f>IF(AND($B670=" ",$K670=AY$3),$O670,0)</f>
        <v>0</v>
      </c>
      <c r="AZ670" s="136">
        <f>IF(AND($B670=" ",$K670=AZ$3),$O670,0)</f>
        <v>0</v>
      </c>
      <c r="BA670" s="136">
        <f>IF(AND($B670=" ",$K670=BA$3),$O670,0)</f>
        <v>0</v>
      </c>
      <c r="BB670" s="136">
        <f>IF(AND($B670=" ",$K670=BB$3),$O670,0)</f>
        <v>0</v>
      </c>
      <c r="BC670" s="137">
        <f>IF(AND($B670=" ",$K670=BC$3),$O670,0)</f>
        <v>0</v>
      </c>
      <c r="BD670" s="133">
        <f>IF(AND($B670=" ",$K670=BD$3),$O670,0)</f>
        <v>0</v>
      </c>
      <c r="BE670" s="134">
        <f>IF(AND($B670=" ",$K670=BE$3),$O670,0)</f>
        <v>0</v>
      </c>
      <c r="BF670" s="132">
        <f>IF($K670=BF$3,IF($C670="X",0,$O670),0)</f>
        <v>0</v>
      </c>
      <c r="BG670" s="133">
        <f>IF($K670=BG$3,IF($C670="X",0,$O670),0)</f>
        <v>0</v>
      </c>
      <c r="BH670" s="133">
        <f>IF($K670=BH$3,IF($C670="X",0,$O670),0)</f>
        <v>0</v>
      </c>
      <c r="BI670" s="133">
        <f>IF($K670=BI$3,IF($C670="X",0,$O670),0)</f>
        <v>0</v>
      </c>
      <c r="BJ670" s="133">
        <f>IF($K670=BJ$3,IF($C670="X",0,$O670),0)</f>
        <v>12.36</v>
      </c>
      <c r="BK670" s="133">
        <f>IF($K670=BK$3,IF($C670="X",0,$O670),0)</f>
        <v>0</v>
      </c>
      <c r="BL670" s="133">
        <f>IF($K670=BL$3,IF($C670="X",0,$O670),0)</f>
        <v>0</v>
      </c>
      <c r="BM670" s="135">
        <f>IF($K670=BM$3,IF($C670="X",0,$O670),0)</f>
        <v>0</v>
      </c>
      <c r="BN670" s="136">
        <f>IF($K670=BN$3,IF($C670="X",0,$O670),0)</f>
        <v>0</v>
      </c>
      <c r="BO670" s="136">
        <f>IF($K670=BO$3,IF($C670="X",0,$O670),0)</f>
        <v>0</v>
      </c>
      <c r="BP670" s="136">
        <f>IF($K670=BP$3,IF($C670="X",0,$O670),0)</f>
        <v>0</v>
      </c>
      <c r="BQ670" s="137">
        <f>IF($K670=BQ$3,IF($C670="X",0,$O670),0)</f>
        <v>0</v>
      </c>
      <c r="BR670" s="134">
        <f>IF($K670=BR$3,IF($C670="X",0,$O670),0)</f>
        <v>0</v>
      </c>
      <c r="BS670" s="170">
        <f>IF($B670="LOSS",IF(AND($K670=BS$3,$C670="L"),-$O670,0)+IF(AND($K671=BS$3,$C671="L"),-$O671,0)+IF(AND($K672=BS$3,$C672="L"),-$O672,0),IF(OR(AND($K670=BS$3,OR($C670="W",$C670="1/2W")),AND($K671=BS$3,OR($C671="W",$C671="1/2W")),AND($K672=BS$3,OR($C672="W",$C672="1/2W"))),$S670,0))</f>
        <v>0</v>
      </c>
      <c r="BT670" s="272">
        <f>IF($B670="LOSS",IF(AND($K670=BT$3,$C670="L"),-$O670,0)+IF(AND($K671=BT$3,$C671="L"),-$O671,0)+IF(AND($K671=BT$3,$C672="L"),-$O672,0),IF(OR(AND($K671=BT$3,OR($C670="W",$C670="1/2W")),AND($K671=BT$3,OR($C671="W",$C671="1/2W")),AND($K671=BT$3,OR($C672="W",$C672="1/2W"))),$S670,0))</f>
        <v>0</v>
      </c>
      <c r="BU670" s="136">
        <f>IF($B670="LOSS",IF(AND($K670=BU$3,$C670="L"),-$O670,0)+IF(AND($K671=BU$3,$C671="L"),-$O671,0)+IF(AND($K671=BU$3,$C672="L"),-$O672,0),IF(OR(AND($K671=BU$3,OR($C670="W",$C670="1/2W")),AND($K671=BU$3,OR($C671="W",$C671="1/2W")),AND($K671=BU$3,OR($C672="W",$C672="1/2W"))),$S670,0))</f>
        <v>0</v>
      </c>
      <c r="BV670" s="136">
        <f>IF($B670="LOSS",IF(AND($K670=BV$3,$C670="L"),-$O670,0)+IF(AND($K671=BV$3,$C671="L"),-$O671,0)+IF(AND($K672=BV$3,$C672="L"),-$O672,0),IF(OR(AND($K670=BV$3,OR($C670="W",$C670="1/2W")),AND($K671=BV$3,OR($C671="W",$C671="1/2W")),AND($K672=BV$3,OR($C672="W",$C672="1/2W"))),$S670,0))</f>
        <v>0</v>
      </c>
      <c r="BW670" s="136">
        <f>IF($B670="LOSS",IF(AND($K670=BW$3,$C670="L"),-$O670,0)+IF(AND($K671=BW$3,$C671="L"),-$O671,0)+IF(AND($K672=BW$3,$C672="L"),-$O672,0),IF(OR(AND($K670=BW$3,OR($C670="W",$C670="1/2W")),AND($K671=BW$3,OR($C671="W",$C671="1/2W")),AND($K672=BW$3,OR($C672="W",$C672="1/2W"))),$S670,0))</f>
        <v>1.41</v>
      </c>
      <c r="BX670" s="136">
        <f>IF($B670="LOSS",IF(AND($K670=BX$3,$C670="L"),-$O670,0)+IF(AND($K671=BX$3,$C671="L"),-$O671,0)+IF(AND($K672=BX$3,$C672="L"),-$O672,0),IF(OR(AND($K670=BX$3,OR($C670="W",$C670="1/2W")),AND($K671=BX$3,OR($C671="W",$C671="1/2W")),AND($K672=BX$3,OR($C672="W",$C672="1/2W"))),$S670,0))</f>
        <v>0</v>
      </c>
      <c r="BY670" s="136">
        <f>IF($B670="LOSS",IF(AND($K670=BY$3,$C670="L"),-$O670,0)+IF(AND($K671=BY$3,$C671="L"),-$O671,0)+IF(AND($K672=BY$3,$C672="L"),-$O672,0),IF(OR(AND($K670=BY$3,OR($C670="W",$C670="1/2W")),AND($K671=BY$3,OR($C671="W",$C671="1/2W")),AND($K672=BY$3,OR($C672="W",$C672="1/2W"))),$S670,0))</f>
        <v>0</v>
      </c>
      <c r="BZ670" s="136">
        <f>IF($B670="LOSS",IF(AND($K670=BZ$3,$C670="L"),-$O670,0)+IF(AND($K671=BZ$3,$C671="L"),-$O671,0)+IF(AND($K672=BZ$3,$C672="L"),-$O672,0),IF(OR(AND($K670=BZ$3,OR($C670="W",$C670="1/2W")),AND($K671=BZ$3,OR($C671="W",$C671="1/2W")),AND($K672=BZ$3,OR($C672="W",$C672="1/2W"))),$S670,0))</f>
        <v>0</v>
      </c>
      <c r="CA670" s="136">
        <f>IF($B670="LOSS",IF(AND($K670=CA$3,$C670="L"),-$O670,0)+IF(AND($K671=CA$3,$C671="L"),-$O671,0)+IF(AND($K672=CA$3,$C672="L"),-$O672,0),IF(OR(AND($K670=CA$3,OR($C670="W",$C670="1/2W")),AND($K671=CA$3,OR($C671="W",$C671="1/2W")),AND($K672=CA$3,OR($C672="W",$C672="1/2W"))),$S670,0))</f>
        <v>0</v>
      </c>
      <c r="CB670" s="136">
        <f>IF($B670="LOSS",IF(AND($K670=CB$3,$C670="L"),-$O670,0)+IF(AND($K671=CB$3,$C671="L"),-$O671,0)+IF(AND($K672=CB$3,$C672="L"),-$O672,0),IF(OR(AND($K670=CB$3,OR($C670="W",$C670="1/2W")),AND($K671=CB$3,OR($C671="W",$C671="1/2W")),AND($K672=CB$3,OR($C672="W",$C672="1/2W"))),$S670,0))</f>
        <v>0</v>
      </c>
      <c r="CC670" s="136">
        <f>IF($B670="LOSS",IF(AND($K670=CC$3,$C670="L"),-$O670,0)+IF(AND($K671=CC$3,$C671="L"),-$O671,0)+IF(AND($K672=CC$3,$C672="L"),-$O672,0),IF(OR(AND($K670=CC$3,OR($C670="W",$C670="1/2W")),AND($K671=CC$3,OR($C671="W",$C671="1/2W")),AND($K672=CC$3,OR($C672="W",$C672="1/2W"))),$S670,0))</f>
        <v>0</v>
      </c>
      <c r="CD670" s="137">
        <f>IF($B670="LOSS",IF(AND($K670=CD$3,$C670="L"),-$O670,0)+IF(AND($K671=CD$3,$C671="L"),-$O671,0)+IF(AND($K672=CD$3,$C672="L"),-$O672,0),IF(OR(AND($K670=CD$3,OR($C670="W",$C670="1/2W")),AND($K671=CD$3,OR($C671="W",$C671="1/2W")),AND($K672=CD$3,OR($C672="W",$C672="1/2W"))),$S670,0))</f>
        <v>0</v>
      </c>
      <c r="CE670" s="134">
        <f>IF($B670="LOSS",IF(AND($K670=CE$3,$C670="L"),-$O670,0)+IF(AND($K671=CE$3,$C671="L"),-$O671,0)+IF(AND($K672=CE$3,$C672="L"),-$O672,0),IF(OR(AND($K670=CE$3,OR($C670="W",$C670="1/2W")),AND($K671=CE$3,OR($C671="W",$C671="1/2W")),AND($K672=CE$3,OR($C672="W",$C672="1/2W"))),$S670,0))</f>
        <v>0</v>
      </c>
      <c r="CF670" s="273">
        <f>IF(CF$3=$K670,IF($C670="W",1,IF($C670="1/2W",0.5,0)),0)</f>
        <v>0</v>
      </c>
      <c r="CG670" s="274">
        <f>IF(CF$3=$K670,IF($C670="L",1,IF($C670="1/2L",0.5,0)),0)</f>
        <v>0</v>
      </c>
      <c r="CH670" s="274">
        <f>IF(CH$3=$K670,IF($C670="W",1,IF($C670="1/2W",0.5,0)),0)</f>
        <v>0</v>
      </c>
      <c r="CI670" s="274">
        <f>IF(CH$3=$K670,IF($C670="L",1,IF($C670="1/2L",0.5,0)),0)</f>
        <v>0</v>
      </c>
      <c r="CJ670" s="274">
        <f>IF(CJ$3=$K670,IF($C670="W",1,IF($C670="1/2W",0.5,0)),0)</f>
        <v>0</v>
      </c>
      <c r="CK670" s="274">
        <f>IF(CJ$3=$K670,IF($C670="L",1,IF($C670="1/2L",0.5,0)),0)</f>
        <v>0</v>
      </c>
      <c r="CL670" s="274">
        <f>IF(CL$3=$K670,IF($C670="W",1,IF($C670="1/2W",0.5,0)),0)</f>
        <v>0</v>
      </c>
      <c r="CM670" s="274">
        <f>IF(CL$3=$K670,IF($C670="L",1,IF($C670="1/2L",0.5,0)),0)</f>
        <v>0</v>
      </c>
      <c r="CN670" s="274">
        <f>IF(CN$3=$K670,IF($C670="W",1,IF($C670="1/2W",0.5,0)),0)</f>
        <v>1</v>
      </c>
      <c r="CO670" s="274">
        <f>IF(CN$3=$K670,IF($C670="L",1,IF($C670="1/2L",0.5,0)),0)</f>
        <v>0</v>
      </c>
      <c r="CP670" s="274">
        <f>IF(CP$3=$K670,IF($C670="W",1,IF($C670="1/2W",0.5,0)),0)</f>
        <v>0</v>
      </c>
      <c r="CQ670" s="274">
        <f>IF(CP$3=$K670,IF($C670="L",1,IF($C670="1/2L",0.5,0)),0)</f>
        <v>0</v>
      </c>
      <c r="CR670" s="274">
        <f>IF(CR$3=$K670,IF($C670="W",1,IF($C670="1/2W",0.5,0)),0)</f>
        <v>0</v>
      </c>
      <c r="CS670" s="274">
        <f>IF(CR$3=$K670,IF($C670="L",1,IF($C670="1/2L",0.5,0)),0)</f>
        <v>0</v>
      </c>
      <c r="CT670" s="145">
        <f>IF(CT$3=$K670,IF($C670="W",1,IF($C670="1/2W",0.5,0)),0)</f>
        <v>0</v>
      </c>
      <c r="CU670" s="146">
        <f>IF(CT$3=$K670,IF($C670="L",1,IF($C670="1/2L",0.5,0)),0)</f>
        <v>0</v>
      </c>
      <c r="CV670" s="146">
        <f>IF(CV$3=$K670,IF($C670="W",1,IF($C670="1/2W",0.5,0)),0)</f>
        <v>0</v>
      </c>
      <c r="CW670" s="146">
        <f>IF(CV$3=$K670,IF($C670="L",1,IF($C670="1/2L",0.5,0)),0)</f>
        <v>0</v>
      </c>
      <c r="CX670" s="146">
        <f>IF(CX$3=$K670,IF($C670="W",1,IF($C670="1/2W",0.5,0)),0)</f>
        <v>0</v>
      </c>
      <c r="CY670" s="146">
        <f>IF(CX$3=$K670,IF($C670="L",1,IF($C670="1/2L",0.5,0)),0)</f>
        <v>0</v>
      </c>
      <c r="CZ670" s="146">
        <f>IF(CZ$3=$K670,IF($C670="W",1,IF($C670="1/2W",0.5,0)),0)</f>
        <v>0</v>
      </c>
      <c r="DA670" s="146">
        <f>IF(CZ$3=$K670,IF($C670="L",1,IF($C670="1/2L",0.5,0)),0)</f>
        <v>0</v>
      </c>
      <c r="DB670" s="146">
        <f>IF(DB$3=$K670,IF($C670="W",1,IF($C670="1/2W",0.5,0)),0)</f>
        <v>0</v>
      </c>
      <c r="DC670" s="146">
        <f>IF(DB$3=$K670,IF($C670="L",1,IF($C670="1/2L",0.5,0)),0)</f>
        <v>0</v>
      </c>
      <c r="DD670" s="146">
        <f>IF(DD$3=$K670,IF($C670="W",1,IF($C670="1/2W",0.5,0)),0)</f>
        <v>0</v>
      </c>
      <c r="DE670" s="147">
        <f>IF(DD$3=$K670,IF($C670="L",1,IF($C670="1/2L",0.5,0)),0)</f>
        <v>0</v>
      </c>
      <c r="DF670" s="143">
        <f>IF(AND(L670&lt;DF$3,$C670="W"),1+DF669,DF669)</f>
        <v>18</v>
      </c>
      <c r="DG670" s="133">
        <f>IF(DF670&gt;DF669,L670+DG669,DG669)</f>
        <v>23.918</v>
      </c>
      <c r="DH670" s="146">
        <f>IF(AND(L670&gt;DH$3,$C670="W"),1+DH669,0+DH669)</f>
        <v>16</v>
      </c>
      <c r="DI670" s="133">
        <f>IF(DH670&gt;DH669,L670+DI669,DI669)</f>
        <v>85.45999999999999</v>
      </c>
      <c r="DJ670" t="s" s="304">
        <f>IF($D670="","",$D670)</f>
        <v>481</v>
      </c>
      <c r="DK670" s="146">
        <f>IF(AND($B670=" ",$D670&lt;&gt;""),1,0)</f>
        <v>0</v>
      </c>
    </row>
    <row r="671" ht="14.55" customHeight="1">
      <c r="A671" s="107"/>
      <c r="B671" s="108"/>
      <c r="C671" t="s" s="109">
        <v>51</v>
      </c>
      <c r="D671" s="110"/>
      <c r="E671" s="111"/>
      <c r="F671" s="113"/>
      <c r="G671" s="252"/>
      <c r="H671" s="114"/>
      <c r="I671" t="s" s="275">
        <v>57</v>
      </c>
      <c r="J671" s="276">
        <f>IF(OR(I670="TO",I670="TU",I670="TO1",I670="TU1",I670="TO2",I670="TU2"),J670,IF(OR(I670="AH1",I670="AH2"),IF(OR(I671="AH1",I671="AH2"),-J670,IF(OR(I671="EH1",I671="EH2"),-J670+0.5,"")),IF(OR(I670="EH1",I670="EH2"),IF(OR(I671="AH1",I671="AH2"),-J670+0.5,IF(OR(I671="EH1",I671="EH2"),-J670+1,"")),IF(AND(OR(I670="DNB1",I670="DNB2"),OR(I671="AH1",I671="AH2")),0,IF(AND(I670="Not ScoreBoth",OR(I671="TO1",I671="TO2")),0.5,"")))))</f>
        <v>-4</v>
      </c>
      <c r="K671" t="s" s="117">
        <v>44</v>
      </c>
      <c r="L671" s="277">
        <v>2.4</v>
      </c>
      <c r="M671" s="278"/>
      <c r="N671" s="120"/>
      <c r="O671" s="121">
        <f>IF(OR(AE670="",AE671=""),"",ROUND(IF(L672&gt;0,IF(M671&gt;0,M671,IF(M670&gt;0,IF(N670=TRUE,ROUND((M670*AE671)/AE670,0),(M670*AE671)/AE670),IF(M671&gt;0,ROUND(M671,IF(N670=0,2,IF(N670=0.1,1,0))),IF(M672&gt;0,ROUND(O672*AE671/AE672,IF(N670=0,2,IF(N670=0.1,1,0))),0)))),IF(M671&gt;0,M671,ROUND((M670*AE671)/AE670,IF(N670=0,2,IF(N670=0.1,1,0))))),2))</f>
        <v>9.84</v>
      </c>
      <c r="P671" s="122">
        <f>IF(OR(L671="",O671=""),"",IF($C671="1/2W",O671/2+O671/2*L671,IF($C671="1/2L",O671/2,IF(I671="Lay",((O671*(L671/(L671-1)))-O671)*(1-_xlfn.XLOOKUP(K671,'Janeiro 2023 - Valor Real'!A3:A15,'Janeiro 2023 - Valor Real'!C3:C15,0))+O671,(O671*L671-O671)*(1-_xlfn.XLOOKUP(K671,'Janeiro 2023 - Valor Real'!A3:A15,'Janeiro 2023 - Valor Real'!C3:C15,0))+O671))))</f>
        <v>23.616</v>
      </c>
      <c r="Q671" s="279">
        <f>IF(K671="","",IF(_xlfn.XLOOKUP(K671,K$120:K450,DJ$120:DJ450,0,,-1)=DJ671,_xlfn.XLOOKUP(K671,K$120:K450,Q$120:Q450,1,,-1)+1,1))</f>
        <v>1</v>
      </c>
      <c r="R671" s="280">
        <f>IF(K671="","",_xlfn.XLOOKUP(K671,K$120:K450,R$120:R450,0,,-1)+IF($C671=" ",1,0))</f>
        <v>0</v>
      </c>
      <c r="S671" s="125"/>
      <c r="T671" s="126"/>
      <c r="U671" s="126"/>
      <c r="V671" s="224"/>
      <c r="W671" s="126"/>
      <c r="X671" s="127"/>
      <c r="Y671" s="128"/>
      <c r="Z671" s="129"/>
      <c r="AA671" s="129"/>
      <c r="AB671" s="129"/>
      <c r="AC671" s="129"/>
      <c r="AD671" s="130"/>
      <c r="AE671" s="131">
        <f>IF(L671="","",IF(L672&gt;0,(SUM(((L670-1)*(1-_xlfn.XLOOKUP(K670,'Janeiro 2023 - Valor Real'!A3:A15,'Janeiro 2023 - Valor Real'!C3:C15,0))+1),((L671-1)*(1-_xlfn.XLOOKUP(K671,'Janeiro 2023 - Valor Real'!A3:A15,'Janeiro 2023 - Valor Real'!C3:C15,0))+1),((L672-1)*(1-_xlfn.XLOOKUP(K672,'Janeiro 2023 - Valor Real'!A3:A15,'Janeiro 2023 - Valor Real'!C3:C15,0))+1))/((L671-1)*(1-_xlfn.XLOOKUP(K671,'Janeiro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Real'!C3:C15,0))+1))/((L670-1)*(1-_xlfn.XLOOKUP(K670,'Janeiro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Real'!C3:C15,0))+1))/((L671-1)*(1-_xlfn.XLOOKUP(K671,'Janeiro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Real'!C3:C15,0))+1))/((L672-1)*(1-_xlfn.XLOOKUP(K672,'Janeiro 2023 - Valor Real'!A3:A15,'Janeiro 2023 - Valor Real'!C3:C15,0))+1)),IF(I671="Lay",IF(I670="Lay",((L670/(L670-1)-1)*(1-_xlfn.XLOOKUP(K670,'Janeiro 2023 - Valor Real'!A3:A15,'Janeiro 2023 - Valor Real'!C3:C15,0))+1)/(((L670/(L670-1)-1)*(1-_xlfn.XLOOKUP(K670,'Janeiro 2023 - Valor Real'!A3:A15,'Janeiro 2023 - Valor Real'!C3:C15,0))+1)+((L671/(L671-1)-1)*(1-_xlfn.XLOOKUP(K671,'Janeiro 2023 - Valor Real'!A3:A15,'Janeiro 2023 - Valor Real'!C3:C15,0))+1)),((L670-1)*(1-_xlfn.XLOOKUP(K670,'Janeiro 2023 - Valor Real'!A3:A15,'Janeiro 2023 - Valor Real'!C3:C15,0))+1)/(((L670-1)*(1-_xlfn.XLOOKUP(K670,'Janeiro 2023 - Valor Real'!A3:A15,'Janeiro 2023 - Valor Real'!C3:C15,0))+1)+((L671/(L671-1)-1)*(1-_xlfn.XLOOKUP(K671,'Janeiro 2023 - Valor Real'!A3:A15,'Janeiro 2023 - Valor Real'!C3:C15,0))+1))),IF(I670="Lay",((L670/(L670-1)-1)*(1-_xlfn.XLOOKUP(K670,'Janeiro 2023 - Valor Real'!A3:A15,'Janeiro 2023 - Valor Real'!C3:C15,0))+1)/((((L670/(L670-1)-1)*(1-_xlfn.XLOOKUP(K670,'Janeiro 2023 - Valor Real'!A3:A15,'Janeiro 2023 - Valor Real'!C3:C15,0))+1))+((L671-1)*(1-_xlfn.XLOOKUP(K671,'Janeiro 2023 - Valor Real'!A3:A15,'Janeiro 2023 - Valor Real'!C3:C15,0))+1)),((L670-1)*(1-_xlfn.XLOOKUP(K670,'Janeiro 2023 - Valor Real'!A3:A15,'Janeiro 2023 - Valor Real'!C3:C15,0))+1)/(((L670-1)*(1-_xlfn.XLOOKUP(K670,'Janeiro 2023 - Valor Real'!A3:A15,'Janeiro 2023 - Valor Real'!C3:C15,0))+1)+((L671-1)*(1-_xlfn.XLOOKUP(K671,'Janeiro 2023 - Valor Real'!A3:A15,'Janeiro 2023 - Valor Real'!C3:C15,0))+1))))))</f>
        <v>0.443155452436195</v>
      </c>
      <c r="AF671" s="132">
        <f>IF($K671=AF$3,ROUND(IF(OR($C671="W",$C671="1/2W",$C671="1/2L"),$P671-$O671,IF($C671="X",0,-$O671)),2),0)</f>
        <v>0</v>
      </c>
      <c r="AG671" s="133">
        <f>IF($K671=AG$3,ROUND(IF(OR($C671="W",$C671="1/2W",$C671="1/2L"),$P671-$O671,IF($C671="X",0,-$O671)),2),0)</f>
        <v>0</v>
      </c>
      <c r="AH671" s="133">
        <f>IF($K671=AH$3,ROUND(IF(OR($C671="W",$C671="1/2W",$C671="1/2L"),$P671-$O671,IF($C671="X",0,-$O671)),2),0)</f>
        <v>0</v>
      </c>
      <c r="AI671" s="133">
        <f>IF($K671=AI$3,ROUND(IF(OR($C671="W",$C671="1/2W",$C671="1/2L"),$P671-$O671,IF($C671="X",0,-$O671)),2),0)</f>
        <v>0</v>
      </c>
      <c r="AJ671" s="133">
        <f>IF($K671=AJ$3,ROUND(IF(OR($C671="W",$C671="1/2W",$C671="1/2L"),$P671-$O671,IF($C671="X",0,-$O671)),2),0)</f>
        <v>0</v>
      </c>
      <c r="AK671" s="133">
        <f>IF($K671=AK$3,ROUND(IF(OR($C671="W",$C671="1/2W",$C671="1/2L"),$P671-$O671,IF($C671="X",0,-$O671)),2),0)</f>
        <v>0</v>
      </c>
      <c r="AL671" s="133">
        <f>IF($K671=AL$3,ROUND(IF(OR($C671="W",$C671="1/2W",$C671="1/2L"),$P671-$O671,IF($C671="X",0,-$O671)),2),0)</f>
        <v>0</v>
      </c>
      <c r="AM671" s="133">
        <f>IF($K671=AM$3,ROUND(IF(OR($C671="W",$C671="1/2W",$C671="1/2L"),$P671-$O671,IF($C671="X",0,-$O671)),2),0)</f>
        <v>-9.84</v>
      </c>
      <c r="AN671" s="133">
        <f>IF($K671=AN$3,ROUND(IF(OR($C671="W",$C671="1/2W",$C671="1/2L"),$P671-$O671,IF($C671="X",0,-$O671)),2),0)</f>
        <v>0</v>
      </c>
      <c r="AO671" s="133">
        <f>IF($K671=AO$3,ROUND(IF(OR($C671="W",$C671="1/2W",$C671="1/2L"),$P671-$O671,IF($C671="X",0,-$O671)),2),0)</f>
        <v>0</v>
      </c>
      <c r="AP671" s="133">
        <f>IF($K671=AP$3,ROUND(IF(OR($C671="W",$C671="1/2W",$C671="1/2L"),$P671-$O671,IF($C671="X",0,-$O671)),2),0)</f>
        <v>0</v>
      </c>
      <c r="AQ671" s="133">
        <f>IF($K671=AQ$3,ROUND(IF(OR($C671="W",$C671="1/2W",$C671="1/2L"),$P671-$O671,IF($C671="X",0,-$O671)),2),0)</f>
        <v>0</v>
      </c>
      <c r="AR671" s="134">
        <f>IF($K671=AR$3,ROUND(IF(OR($C671="W",$C671="1/2W",$C671="1/2L"),$P671-$O671,IF($C671="X",0,-$O671)),2),0)</f>
        <v>0</v>
      </c>
      <c r="AS671" s="132">
        <f>IF(AND($B670=" ",$K671=AS$3),$O671,0)</f>
        <v>0</v>
      </c>
      <c r="AT671" s="133">
        <f>IF(AND($B670=" ",K671=AT$3),$O671,0)</f>
        <v>0</v>
      </c>
      <c r="AU671" s="133">
        <f>IF(AND($B670=" ",$K671=AU$3),$O671,0)</f>
        <v>0</v>
      </c>
      <c r="AV671" s="133">
        <f>IF(AND($B670=" ",$K671=AV$3),$O671,0)</f>
        <v>0</v>
      </c>
      <c r="AW671" s="133">
        <f>IF(AND($B670=" ",$K671=AW$3),$O671,0)</f>
        <v>0</v>
      </c>
      <c r="AX671" s="133">
        <f>IF(AND($B670=" ",$K671=AX$3),$O671,0)</f>
        <v>0</v>
      </c>
      <c r="AY671" s="135">
        <f>IF(AND($B670=" ",$K671=AY$3),$O671,0)</f>
        <v>0</v>
      </c>
      <c r="AZ671" s="136">
        <f>IF(AND($B670=" ",$K671=AZ$3),$O671,0)</f>
        <v>0</v>
      </c>
      <c r="BA671" s="136">
        <f>IF(AND($B670=" ",$K671=BA$3),$O671,0)</f>
        <v>0</v>
      </c>
      <c r="BB671" s="136">
        <f>IF(AND($B670=" ",$K671=BB$3),$O671,0)</f>
        <v>0</v>
      </c>
      <c r="BC671" s="137">
        <f>IF(AND($B670=" ",$K671=BC$3),$O671,0)</f>
        <v>0</v>
      </c>
      <c r="BD671" s="133">
        <f>IF(AND($B670=" ",$K671=BD$3),$O671,0)</f>
        <v>0</v>
      </c>
      <c r="BE671" s="134">
        <f>IF(AND($B670=" ",$K671=BE$3),$O671,0)</f>
        <v>0</v>
      </c>
      <c r="BF671" s="132">
        <f>IF($K671=BF$3,IF($C671="X",0,$O671),0)</f>
        <v>0</v>
      </c>
      <c r="BG671" s="281">
        <f>IF($K671=BG$3,IF($C671="X",0,$O671),0)</f>
        <v>0</v>
      </c>
      <c r="BH671" s="133">
        <f>IF($K671=BH$3,IF($C671="X",0,$O671),0)</f>
        <v>0</v>
      </c>
      <c r="BI671" s="133">
        <f>IF($K671=BI$3,IF($C671="X",0,$O671),0)</f>
        <v>0</v>
      </c>
      <c r="BJ671" s="133">
        <f>IF($K671=BJ$3,IF($C671="X",0,$O671),0)</f>
        <v>0</v>
      </c>
      <c r="BK671" s="133">
        <f>IF($K671=BK$3,IF($C671="X",0,$O671),0)</f>
        <v>0</v>
      </c>
      <c r="BL671" s="133">
        <f>IF($K671=BL$3,IF($C671="X",0,$O671),0)</f>
        <v>0</v>
      </c>
      <c r="BM671" s="135">
        <f>IF($K671=BM$3,IF($C671="X",0,$O671),0)</f>
        <v>9.84</v>
      </c>
      <c r="BN671" s="136">
        <f>IF($K671=BN$3,IF($C671="X",0,$O671),0)</f>
        <v>0</v>
      </c>
      <c r="BO671" s="136">
        <f>IF($K671=BO$3,IF($C671="X",0,$O671),0)</f>
        <v>0</v>
      </c>
      <c r="BP671" s="136">
        <f>IF($K671=BP$3,IF($C671="X",0,$O671),0)</f>
        <v>0</v>
      </c>
      <c r="BQ671" s="137">
        <f>IF($K671=BQ$3,IF($C671="X",0,$O671),0)</f>
        <v>0</v>
      </c>
      <c r="BR671" s="134">
        <f>IF($K671=BR$3,IF($C671="X",0,$O671),0)</f>
        <v>0</v>
      </c>
      <c r="BS671" s="282"/>
      <c r="BT671" s="283"/>
      <c r="BU671" s="140"/>
      <c r="BV671" s="283"/>
      <c r="BW671" s="140"/>
      <c r="BX671" s="140"/>
      <c r="BY671" s="140"/>
      <c r="BZ671" s="283"/>
      <c r="CA671" s="140"/>
      <c r="CB671" s="140"/>
      <c r="CC671" s="140"/>
      <c r="CD671" s="141"/>
      <c r="CE671" s="142"/>
      <c r="CF671" s="284">
        <f>IF(CF$3=$K671,IF($C671="W",1,IF($C671="1/2W",0.5,0)),0)</f>
        <v>0</v>
      </c>
      <c r="CG671" s="285">
        <f>IF(CF$3=$K671,IF($C671="L",1,IF($C671="1/2L",0.5,0)),0)</f>
        <v>0</v>
      </c>
      <c r="CH671" s="285">
        <f>IF(CH$3=$K671,IF($C671="W",1,IF($C671="1/2W",0.5,0)),0)</f>
        <v>0</v>
      </c>
      <c r="CI671" s="285">
        <f>IF(CH$3=$K671,IF($C671="L",1,IF($C671="1/2L",0.5,0)),0)</f>
        <v>0</v>
      </c>
      <c r="CJ671" s="285">
        <f>IF(CJ$3=$K671,IF($C671="W",1,IF($C671="1/2W",0.5,0)),0)</f>
        <v>0</v>
      </c>
      <c r="CK671" s="285">
        <f>IF(CJ$3=$K671,IF($C671="L",1,IF($C671="1/2L",0.5,0)),0)</f>
        <v>0</v>
      </c>
      <c r="CL671" s="285">
        <f>IF(CL$3=$K671,IF($C671="W",1,IF($C671="1/2W",0.5,0)),0)</f>
        <v>0</v>
      </c>
      <c r="CM671" s="285">
        <f>IF(CL$3=$K671,IF($C671="L",1,IF($C671="1/2L",0.5,0)),0)</f>
        <v>0</v>
      </c>
      <c r="CN671" s="285">
        <f>IF(CN$3=$K671,IF($C671="W",1,IF($C671="1/2W",0.5,0)),0)</f>
        <v>0</v>
      </c>
      <c r="CO671" s="285">
        <f>IF(CN$3=$K671,IF($C671="L",1,IF($C671="1/2L",0.5,0)),0)</f>
        <v>0</v>
      </c>
      <c r="CP671" s="285">
        <f>IF(CP$3=$K671,IF($C671="W",1,IF($C671="1/2W",0.5,0)),0)</f>
        <v>0</v>
      </c>
      <c r="CQ671" s="285">
        <f>IF(CP$3=$K671,IF($C671="L",1,IF($C671="1/2L",0.5,0)),0)</f>
        <v>0</v>
      </c>
      <c r="CR671" s="285">
        <f>IF(CR$3=$K671,IF($C671="W",1,IF($C671="1/2W",0.5,0)),0)</f>
        <v>0</v>
      </c>
      <c r="CS671" s="285">
        <f>IF(CR$3=$K671,IF($C671="L",1,IF($C671="1/2L",0.5,0)),0)</f>
        <v>0</v>
      </c>
      <c r="CT671" s="145">
        <f>IF(CT$3=$K671,IF($C671="W",1,IF($C671="1/2W",0.5,0)),0)</f>
        <v>0</v>
      </c>
      <c r="CU671" s="146">
        <f>IF(CT$3=$K671,IF($C671="L",1,IF($C671="1/2L",0.5,0)),0)</f>
        <v>1</v>
      </c>
      <c r="CV671" s="146">
        <f>IF(CV$3=$K671,IF($C671="W",1,IF($C671="1/2W",0.5,0)),0)</f>
        <v>0</v>
      </c>
      <c r="CW671" s="146">
        <f>IF(CV$3=$K671,IF($C671="L",1,IF($C671="1/2L",0.5,0)),0)</f>
        <v>0</v>
      </c>
      <c r="CX671" s="146">
        <f>IF(CX$3=$K671,IF($C671="W",1,IF($C671="1/2W",0.5,0)),0)</f>
        <v>0</v>
      </c>
      <c r="CY671" s="146">
        <f>IF(CX$3=$K671,IF($C671="L",1,IF($C671="1/2L",0.5,0)),0)</f>
        <v>0</v>
      </c>
      <c r="CZ671" s="146">
        <f>IF(CZ$3=$K671,IF($C671="W",1,IF($C671="1/2W",0.5,0)),0)</f>
        <v>0</v>
      </c>
      <c r="DA671" s="146">
        <f>IF(CZ$3=$K671,IF($C671="L",1,IF($C671="1/2L",0.5,0)),0)</f>
        <v>0</v>
      </c>
      <c r="DB671" s="146">
        <f>IF(DB$3=$K671,IF($C671="W",1,IF($C671="1/2W",0.5,0)),0)</f>
        <v>0</v>
      </c>
      <c r="DC671" s="146">
        <f>IF(DB$3=$K671,IF($C671="L",1,IF($C671="1/2L",0.5,0)),0)</f>
        <v>0</v>
      </c>
      <c r="DD671" s="146">
        <f>IF(DD$3=$K671,IF($C671="W",1,IF($C671="1/2W",0.5,0)),0)</f>
        <v>0</v>
      </c>
      <c r="DE671" s="147">
        <f>IF(DD$3=$K671,IF($C671="L",1,IF($C671="1/2L",0.5,0)),0)</f>
        <v>0</v>
      </c>
      <c r="DF671" s="143">
        <f>IF(AND(L671&lt;DF$3,$C671="W"),1+DF670,DF670)</f>
        <v>18</v>
      </c>
      <c r="DG671" s="133">
        <f>IF(DF671&gt;DF670,L671+DG670,DG670)</f>
        <v>23.918</v>
      </c>
      <c r="DH671" s="146">
        <f>IF(AND(L671&gt;DH$3,$C671="W"),1+DH670,0+DH670)</f>
        <v>16</v>
      </c>
      <c r="DI671" s="133">
        <f>IF(DH671&gt;DH670,L671+DI670,DI670)</f>
        <v>85.45999999999999</v>
      </c>
      <c r="DJ671" t="s" s="304">
        <f>IF($D670="","",$D670)</f>
        <v>481</v>
      </c>
      <c r="DK671" s="286"/>
    </row>
    <row r="672" ht="14.55" customHeight="1">
      <c r="A672" s="149"/>
      <c r="B672" s="150"/>
      <c r="C672" t="s" s="151">
        <v>58</v>
      </c>
      <c r="D672" s="152"/>
      <c r="E672" s="153"/>
      <c r="F672" s="155"/>
      <c r="G672" s="252"/>
      <c r="H672" s="156"/>
      <c r="I672" s="287"/>
      <c r="J672" s="288"/>
      <c r="K672" s="156"/>
      <c r="L672" s="289"/>
      <c r="M672" s="290"/>
      <c r="N672" s="161"/>
      <c r="O672" t="s" s="162">
        <f>IF(OR(AE670="",AE671=""),"",IF(L672&gt;0,ROUND(IF(M672&gt;0,M672,IF(M670&gt;0,ROUND((M670*AE672)/AE670,IF(N670=0,2,IF(N670=0.1,1,0))),IF(M671&gt;0,ROUND((M671*AE672)/AE671,IF(N670=0,2,IF(N670=0.1,1,0))),IF(M672&gt;0,M672,0)))),2),""))</f>
      </c>
      <c r="P672" t="s" s="163">
        <f>IF(I671="Lay",O671*(L671/(L671-1))-O671,IF(I670="Lay",O670*(L670/(L670-1))-O670,IF(OR(L672="",O672=""),"",IF($C672="1/2W",O672/2+O672/2*L672,IF($C672="1/2L",O672/2,(O672*L672-O672)*(1-_xlfn.XLOOKUP(K672,'Janeiro 2023 - Valor Real'!A3:A15,'Janeiro 2023 - Valor Real'!C3:C15,0))+O672)))))</f>
      </c>
      <c r="Q672" t="s" s="154">
        <f>IF(K672="","",IF(_xlfn.XLOOKUP(K672,K$121:K451,DJ$121:DJ451,0,,-1)=DJ672,_xlfn.XLOOKUP(K672,K$121:K451,Q$121:Q451,1,,-1)+1,1))</f>
      </c>
      <c r="R672" t="s" s="163">
        <f>IF(K672="","",_xlfn.XLOOKUP(K672,K$121:K451,R$121:R451,0,,-1)+IF($C672=" ",1,0))</f>
      </c>
      <c r="S672" s="166"/>
      <c r="T672" s="155"/>
      <c r="U672" s="155"/>
      <c r="V672" s="166"/>
      <c r="W672" s="155"/>
      <c r="X672" s="167"/>
      <c r="Y672" s="128"/>
      <c r="Z672" s="129"/>
      <c r="AA672" s="129"/>
      <c r="AB672" s="129"/>
      <c r="AC672" s="129"/>
      <c r="AD672" s="168"/>
      <c r="AE672" t="s" s="169">
        <f>IF(L672="","",(SUM(((L670-1)*(1-_xlfn.XLOOKUP(K670,'Janeiro 2023 - Valor Real'!A3:A15,'Janeiro 2023 - Valor Real'!C3:C15,0))+1),((L671-1)*(1-_xlfn.XLOOKUP(K671,'Janeiro 2023 - Valor Real'!A3:A15,'Janeiro 2023 - Valor Real'!C3:C15,0))+1),((L672-1)*(1-_xlfn.XLOOKUP(K672,'Janeiro 2023 - Valor Real'!A3:A15,'Janeiro 2023 - Valor Real'!C3:C15,0))+1))/((L672-1)*(1-_xlfn.XLOOKUP(K672,'Janeiro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Real'!C3:C15,0))+1))/((L670-1)*(1-_xlfn.XLOOKUP(K670,'Janeiro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Real'!C3:C15,0))+1))/((L671-1)*(1-_xlfn.XLOOKUP(K671,'Janeiro 2023 - Valor Real'!A3:A15,'Janeiro 2023 - Valor Real'!C3:C15,0))+1)+SUM(((L670-1)*(1-_xlfn.XLOOKUP(K670,'Janeiro 2023 - Valor Real'!A3:A15,'Janeiro 2023 - Valor Real'!C3:C15,0))+1),((L671-1)*(1-_xlfn.XLOOKUP(K671,'Janeiro 2023 - Valor Real'!A3:A15,'Janeiro 2023 - Valor Real'!C3:C15,0))+1),((L672-1)*(1-_xlfn.XLOOKUP(K672,'Janeiro 2023 - Valor Real'!A3:A15,'Janeiro 2023 - Valor Real'!C3:C15,0))+1))/((L672-1)*(1-_xlfn.XLOOKUP(K672,'Janeiro 2023 - Valor Real'!A3:A15,'Janeiro 2023 - Valor Real'!C3:C15,0))+1)))</f>
      </c>
      <c r="AF672" s="132">
        <f>IF($K672=AF$3,ROUND(IF(OR($C672="W",$C672="1/2W",$C672="1/2L"),$P672-$O672,IF($C672="X",0,-$O672)),2),0)</f>
        <v>0</v>
      </c>
      <c r="AG672" s="133">
        <f>IF($K672=AG$3,ROUND(IF(OR($C672="W",$C672="1/2W",$C672="1/2L"),$P672-$O672,IF($C672="X",0,-$O672)),2),0)</f>
        <v>0</v>
      </c>
      <c r="AH672" s="133">
        <f>IF($K672=AH$3,ROUND(IF(OR($C672="W",$C672="1/2W",$C672="1/2L"),$P672-$O672,IF($C672="X",0,-$O672)),2),0)</f>
        <v>0</v>
      </c>
      <c r="AI672" s="133">
        <f>IF($K672=AI$3,ROUND(IF(OR($C672="W",$C672="1/2W",$C672="1/2L"),$P672-$O672,IF($C672="X",0,-$O672)),2),0)</f>
        <v>0</v>
      </c>
      <c r="AJ672" s="133">
        <f>IF($K672=AJ$3,ROUND(IF(OR($C672="W",$C672="1/2W",$C672="1/2L"),$P672-$O672,IF($C672="X",0,-$O672)),2),0)</f>
        <v>0</v>
      </c>
      <c r="AK672" s="133">
        <f>IF($K672=AK$3,ROUND(IF(OR($C672="W",$C672="1/2W",$C672="1/2L"),$P672-$O672,IF($C672="X",0,-$O672)),2),0)</f>
        <v>0</v>
      </c>
      <c r="AL672" s="133">
        <f>IF($K672=AL$3,ROUND(IF(OR($C672="W",$C672="1/2W",$C672="1/2L"),$P672-$O672,IF($C672="X",0,-$O672)),2),0)</f>
        <v>0</v>
      </c>
      <c r="AM672" s="133">
        <f>IF($K672=AM$3,ROUND(IF(OR($C672="W",$C672="1/2W",$C672="1/2L"),$P672-$O672,IF($C672="X",0,-$O672)),2),0)</f>
        <v>0</v>
      </c>
      <c r="AN672" s="133">
        <f>IF($K672=AN$3,ROUND(IF(OR($C672="W",$C672="1/2W",$C672="1/2L"),$P672-$O672,IF($C672="X",0,-$O672)),2),0)</f>
        <v>0</v>
      </c>
      <c r="AO672" s="133">
        <f>IF($K672=AO$3,ROUND(IF(OR($C672="W",$C672="1/2W",$C672="1/2L"),$P672-$O672,IF($C672="X",0,-$O672)),2),0)</f>
        <v>0</v>
      </c>
      <c r="AP672" s="133">
        <f>IF($K672=AP$3,ROUND(IF(OR($C672="W",$C672="1/2W",$C672="1/2L"),$P672-$O672,IF($C672="X",0,-$O672)),2),0)</f>
        <v>0</v>
      </c>
      <c r="AQ672" s="133">
        <f>IF($K672=AQ$3,ROUND(IF(OR($C672="W",$C672="1/2W",$C672="1/2L"),$P672-$O672,IF($C672="X",0,-$O672)),2),0)</f>
        <v>0</v>
      </c>
      <c r="AR672" s="134">
        <f>IF($K672=AR$3,ROUND(IF(OR($C672="W",$C672="1/2W",$C672="1/2L"),$P672-$O672,IF($C672="X",0,-$O672)),2),0)</f>
        <v>0</v>
      </c>
      <c r="AS672" s="132">
        <f>IF(AND($B670=" ",$K672=AS$3),$O672,0)</f>
        <v>0</v>
      </c>
      <c r="AT672" s="133">
        <f>IF(AND($B670=" ",K672=AT$3),$O672,0)</f>
        <v>0</v>
      </c>
      <c r="AU672" s="133">
        <f>IF(AND($B670=" ",$K672=AU$3),$O672,0)</f>
        <v>0</v>
      </c>
      <c r="AV672" s="133">
        <f>IF(AND($B670=" ",$K672=AV$3),$O672,0)</f>
        <v>0</v>
      </c>
      <c r="AW672" s="133">
        <f>IF(AND($B670=" ",$K672=AW$3),$O672,0)</f>
        <v>0</v>
      </c>
      <c r="AX672" s="133">
        <f>IF(AND($B670=" ",$K672=AX$3),$O672,0)</f>
        <v>0</v>
      </c>
      <c r="AY672" s="135">
        <f>IF(AND($B670=" ",$K672=AY$3),$O672,0)</f>
        <v>0</v>
      </c>
      <c r="AZ672" s="136">
        <f>IF(AND($B670=" ",$K672=AZ$3),$O672,0)</f>
        <v>0</v>
      </c>
      <c r="BA672" s="136">
        <f>IF(AND($B670=" ",$K672=BA$3),$O672,0)</f>
        <v>0</v>
      </c>
      <c r="BB672" s="136">
        <f>IF(AND($B670=" ",$K672=BB$3),$O672,0)</f>
        <v>0</v>
      </c>
      <c r="BC672" s="137">
        <f>IF(AND($B670=" ",$K672=BC$3),$O672,0)</f>
        <v>0</v>
      </c>
      <c r="BD672" s="133">
        <f>IF(AND($B670=" ",$K672=BD$3),$O672,0)</f>
        <v>0</v>
      </c>
      <c r="BE672" s="134">
        <f>IF(AND($B670=" ",$K672=BE$3),$O672,0)</f>
        <v>0</v>
      </c>
      <c r="BF672" s="132">
        <f>IF($K672=BF$3,IF($C672="X",0,$O672),0)</f>
        <v>0</v>
      </c>
      <c r="BG672" s="281">
        <f>IF($K672=BG$3,IF($C672="X",0,$O672),0)</f>
        <v>0</v>
      </c>
      <c r="BH672" s="133">
        <f>IF($K672=BH$3,IF($C672="X",0,$O672),0)</f>
        <v>0</v>
      </c>
      <c r="BI672" s="133">
        <f>IF($K672=BI$3,IF($C672="X",0,$O672),0)</f>
        <v>0</v>
      </c>
      <c r="BJ672" s="133">
        <f>IF($K672=BJ$3,IF($C672="X",0,$O672),0)</f>
        <v>0</v>
      </c>
      <c r="BK672" s="133">
        <f>IF($K672=BK$3,IF($C672="X",0,$O672),0)</f>
        <v>0</v>
      </c>
      <c r="BL672" s="133">
        <f>IF($K672=BL$3,IF($C672="X",0,$O672),0)</f>
        <v>0</v>
      </c>
      <c r="BM672" s="135">
        <f>IF($K672=BM$3,IF($C672="X",0,$O672),0)</f>
        <v>0</v>
      </c>
      <c r="BN672" s="136">
        <f>IF($K672=BN$3,IF($C672="X",0,$O672),0)</f>
        <v>0</v>
      </c>
      <c r="BO672" s="136">
        <f>IF($K672=BO$3,IF($C672="X",0,$O672),0)</f>
        <v>0</v>
      </c>
      <c r="BP672" s="136">
        <f>IF($K672=BP$3,IF($C672="X",0,$O672),0)</f>
        <v>0</v>
      </c>
      <c r="BQ672" s="137">
        <f>IF($K672=BQ$3,IF($C672="X",0,$O672),0)</f>
        <v>0</v>
      </c>
      <c r="BR672" s="134">
        <f>IF($K672=BR$3,IF($C672="X",0,$O672),0)</f>
        <v>0</v>
      </c>
      <c r="BS672" s="282"/>
      <c r="BT672" s="283"/>
      <c r="BU672" s="140"/>
      <c r="BV672" s="283"/>
      <c r="BW672" s="140"/>
      <c r="BX672" s="140"/>
      <c r="BY672" s="140"/>
      <c r="BZ672" s="283"/>
      <c r="CA672" s="140"/>
      <c r="CB672" s="140"/>
      <c r="CC672" s="140"/>
      <c r="CD672" s="141"/>
      <c r="CE672" s="142"/>
      <c r="CF672" s="284">
        <f>IF(CF$3=$K672,IF($C672="W",1,IF($C672="1/2W",0.5,0)),0)</f>
        <v>0</v>
      </c>
      <c r="CG672" s="285">
        <f>IF(CF$3=$K672,IF($C672="L",1,IF($C672="1/2L",0.5,0)),0)</f>
        <v>0</v>
      </c>
      <c r="CH672" s="285">
        <f>IF(CH$3=$K672,IF($C672="W",1,IF($C672="1/2W",0.5,0)),0)</f>
        <v>0</v>
      </c>
      <c r="CI672" s="285">
        <f>IF(CH$3=$K672,IF($C672="L",1,IF($C672="1/2L",0.5,0)),0)</f>
        <v>0</v>
      </c>
      <c r="CJ672" s="285">
        <f>IF(CJ$3=$K672,IF($C672="W",1,IF($C672="1/2W",0.5,0)),0)</f>
        <v>0</v>
      </c>
      <c r="CK672" s="285">
        <f>IF(CJ$3=$K672,IF($C672="L",1,IF($C672="1/2L",0.5,0)),0)</f>
        <v>0</v>
      </c>
      <c r="CL672" s="285">
        <f>IF(CL$3=$K672,IF($C672="W",1,IF($C672="1/2W",0.5,0)),0)</f>
        <v>0</v>
      </c>
      <c r="CM672" s="285">
        <f>IF(CL$3=$K672,IF($C672="L",1,IF($C672="1/2L",0.5,0)),0)</f>
        <v>0</v>
      </c>
      <c r="CN672" s="285">
        <f>IF(CN$3=$K672,IF($C672="W",1,IF($C672="1/2W",0.5,0)),0)</f>
        <v>0</v>
      </c>
      <c r="CO672" s="285">
        <f>IF(CN$3=$K672,IF($C672="L",1,IF($C672="1/2L",0.5,0)),0)</f>
        <v>0</v>
      </c>
      <c r="CP672" s="285">
        <f>IF(CP$3=$K672,IF($C672="W",1,IF($C672="1/2W",0.5,0)),0)</f>
        <v>0</v>
      </c>
      <c r="CQ672" s="285">
        <f>IF(CP$3=$K672,IF($C672="L",1,IF($C672="1/2L",0.5,0)),0)</f>
        <v>0</v>
      </c>
      <c r="CR672" s="285">
        <f>IF(CR$3=$K672,IF($C672="W",1,IF($C672="1/2W",0.5,0)),0)</f>
        <v>0</v>
      </c>
      <c r="CS672" s="285">
        <f>IF(CR$3=$K672,IF($C672="L",1,IF($C672="1/2L",0.5,0)),0)</f>
        <v>0</v>
      </c>
      <c r="CT672" s="145">
        <f>IF(CT$3=$K672,IF($C672="W",1,IF($C672="1/2W",0.5,0)),0)</f>
        <v>0</v>
      </c>
      <c r="CU672" s="146">
        <f>IF(CT$3=$K672,IF($C672="L",1,IF($C672="1/2L",0.5,0)),0)</f>
        <v>0</v>
      </c>
      <c r="CV672" s="146">
        <f>IF(CV$3=$K672,IF($C672="W",1,IF($C672="1/2W",0.5,0)),0)</f>
        <v>0</v>
      </c>
      <c r="CW672" s="146">
        <f>IF(CV$3=$K672,IF($C672="L",1,IF($C672="1/2L",0.5,0)),0)</f>
        <v>0</v>
      </c>
      <c r="CX672" s="146">
        <f>IF(CX$3=$K672,IF($C672="W",1,IF($C672="1/2W",0.5,0)),0)</f>
        <v>0</v>
      </c>
      <c r="CY672" s="146">
        <f>IF(CX$3=$K672,IF($C672="L",1,IF($C672="1/2L",0.5,0)),0)</f>
        <v>0</v>
      </c>
      <c r="CZ672" s="146">
        <f>IF(CZ$3=$K672,IF($C672="W",1,IF($C672="1/2W",0.5,0)),0)</f>
        <v>0</v>
      </c>
      <c r="DA672" s="146">
        <f>IF(CZ$3=$K672,IF($C672="L",1,IF($C672="1/2L",0.5,0)),0)</f>
        <v>0</v>
      </c>
      <c r="DB672" s="146">
        <f>IF(DB$3=$K672,IF($C672="W",1,IF($C672="1/2W",0.5,0)),0)</f>
        <v>0</v>
      </c>
      <c r="DC672" s="146">
        <f>IF(DB$3=$K672,IF($C672="L",1,IF($C672="1/2L",0.5,0)),0)</f>
        <v>0</v>
      </c>
      <c r="DD672" s="146">
        <f>IF(DD$3=$K672,IF($C672="W",1,IF($C672="1/2W",0.5,0)),0)</f>
        <v>0</v>
      </c>
      <c r="DE672" s="147">
        <f>IF(DD$3=$K672,IF($C672="L",1,IF($C672="1/2L",0.5,0)),0)</f>
        <v>0</v>
      </c>
      <c r="DF672" s="143">
        <f>IF(AND(L672&lt;DF$3,$C672="W"),1+DF671,DF671)</f>
        <v>18</v>
      </c>
      <c r="DG672" s="133">
        <f>IF(DF672&gt;DF671,L672+DG671,DG671)</f>
        <v>23.918</v>
      </c>
      <c r="DH672" s="146">
        <f>IF(AND(L672&gt;DH$3,$C672="W"),1+DH671,0+DH671)</f>
        <v>16</v>
      </c>
      <c r="DI672" s="133">
        <f>IF(DH672&gt;DH671,L672+DI671,DI671)</f>
        <v>85.45999999999999</v>
      </c>
      <c r="DJ672" t="s" s="304">
        <f>IF($D670="","",$D670)</f>
        <v>481</v>
      </c>
      <c r="DK672" s="286"/>
    </row>
    <row r="673" ht="14.55" customHeight="1">
      <c r="A673" s="171">
        <f>$A670+1</f>
        <v>224</v>
      </c>
      <c r="B673" t="s" s="172">
        <f>IF(AND(_xlfn.XLOOKUP(H673,H$122:H446,G$122:G446,0)=G673,_xlfn.XLOOKUP("TempoBet",K673:K675,L673:L675,0)&gt;0),"X",IF(OR(C673="W",C674="W",C675="W",C673="1/2W",C674="1/2W",C675="1/2W",C673="1/2L",C674="1/2L",C675="1/2L"),"OK",IF(OR(C673="L",C674="L",C675="L"),"LOSS",IF(OR(C673="X",C674="X",C675="X"),"Anulado"," "))))</f>
        <v>50</v>
      </c>
      <c r="C673" t="s" s="173">
        <v>56</v>
      </c>
      <c r="D673" t="s" s="305">
        <f>IF(G673="","",$D670)</f>
        <v>481</v>
      </c>
      <c r="E673" t="s" s="175">
        <f>IF(G673=""," ","– "&amp;COUNTIF(D$4:D675,$D673))</f>
        <v>59</v>
      </c>
      <c r="F673" t="s" s="176">
        <f>IF(G673="","",IF(OR(AND($C673&lt;&gt;" ",$C674=" "),AND($C674&lt;&gt;" ",$C673=" "),AND(L675&gt;0,OR(AND($C675&lt;&gt;" ",OR($C673=" ",$C674=" ")),AND($C675=" ",OR($C673&lt;&gt;" ",$C674&lt;&gt;" "))))),IF(SUM(F$4:F672)=0,1,LARGE(F$4:F672,1)+1),IF(MONTH(G673)=MONTH(TODAY()),IF(AND(DAY(G673)&lt;DAY(TODAY()),$B673=" "),IF(SUM(F$4:F672)=0,1,LARGE(F$4:F672,1)+1),IF($B673=" ",IF(AND(DAY(G673)=DAY(TODAY()),HOUR(G673)&lt;=HOUR(NOW())+1),IF(AND(HOUR(G673)+2&lt;=HOUR(NOW()),DAY(G673)&lt;=DAY(TODAY()),MINUTE(G673)&lt;=MINUTE(NOW())),IF(SUM(F$4:F672)=0,1,LARGE(F$4:F672,1)+1),IF(OR(MINUTE(G673)&lt;=MINUTE(NOW()),HOUR(G673)&lt;=HOUR(NOW())),"!!!","")),""),"")),"")))</f>
      </c>
      <c r="G673" s="177">
        <v>44959.833333333336</v>
      </c>
      <c r="H673" t="s" s="178">
        <v>479</v>
      </c>
      <c r="I673" t="s" s="179">
        <v>54</v>
      </c>
      <c r="J673" s="291">
        <v>3.5</v>
      </c>
      <c r="K673" t="s" s="181">
        <v>41</v>
      </c>
      <c r="L673" s="182">
        <v>2.21</v>
      </c>
      <c r="M673" s="183">
        <v>9.300000000000001</v>
      </c>
      <c r="N673" s="184">
        <v>0</v>
      </c>
      <c r="O673" s="185">
        <f>IF(OR(AE673="",AE674=""),"",ROUND(IF(L675&gt;0,IF(M673&gt;0,M673,IF(M674&gt;0,ROUND((M674*AE673)/AE674,IF(N673=0,2,IF(N673=0.1,1,0))),ROUND((M675*AE673)/AE675,IF(N673=0,2,IF(N673=0.1,1,0))))),IF(M673&gt;0,M673,ROUND((M674*AE673)/AE674,IF(N673=0,2,IF(N673=0.1,1,0))))),2))</f>
        <v>9.300000000000001</v>
      </c>
      <c r="P673" s="186">
        <f>IF(OR(L673="",O673=""),"",IF($C673="1/2W",O673/2+O673/2*L673,IF($C673="1/2L",O673/2,IF(I673="Lay",(O673*(L673/(L673-1))-O673)*(1-_xlfn.XLOOKUP(K673,'Janeiro 2023 - Valor Real'!A3:A15,'Janeiro 2023 - Valor Real'!C3:C15,0))+O673,(O673*L673-O673)*(1-_xlfn.XLOOKUP(K673,'Janeiro 2023 - Valor Real'!A3:A15,'Janeiro 2023 - Valor Real'!C3:C15,0))+O673))))</f>
        <v>20.553</v>
      </c>
      <c r="Q673" s="187">
        <f>IF(K673="","",IF(_xlfn.XLOOKUP(K673,K$122:K446,DJ$122:DJ446,0,,-1)=DJ673,_xlfn.XLOOKUP(K673,K$122:K446,Q$122:Q446,1,,-1)+1,1))</f>
        <v>1</v>
      </c>
      <c r="R673" s="188">
        <f>IF(K673="","",_xlfn.XLOOKUP(K673,K$122:K446,R$122:R446,0,,-1)+IF($C673=" ",1,0))</f>
        <v>0</v>
      </c>
      <c r="S673" s="189">
        <f>IF($B673="Anulado",0,ROUND(IF(OR($B673="LOSS",$B673="OK"),IF(OR($C673="W",$C673="1/2W",$C673="1/2L"),P673-O673,IF($C673="L",-O673,0))+IF(OR($C674="W",$C674="1/2W",$C674="1/2L"),P674-O674,IF($C674="L",-O674,0))+IF(OR($C675="W",$C675="1/2W",$C675="1/2L"),P675-O675,IF($C675="L",-O675,0)),IF(AND(OR($C673="W",$C673="1/2W",$C673="1/2L"),C674="W"),P673+P674-SUM(O673:O675)+_xlfn.XLOOKUP("X",C673:C675,O673:O675,0),IF(AND(C673=TRUE,C675="W"),P673+P675-SUM(O673:O675),IF(AND(C674="W",C675="W"),P674+P675-SUM(O673:O675)+_xlfn.XLOOKUP("X",C673:C675,O673:O675,0),IF(L675&gt;0,IF(OR($C673="W",$C673="1/2W",$C673="1/2L"),P673-SUM(O673:O675)+_xlfn.XLOOKUP("X",C673:C675,O673:O675,0),IF(OR($C673="W",$C673="1/2W",$C673="1/2L"),P674-SUM(O673:O675)+_xlfn.XLOOKUP("X",C673:C675,O673:O675,0),IF(OR($C673="W",$C673="1/2W",$C673="1/2L"),P675-SUM(O673:O675)+_xlfn.XLOOKUP("X",C673:C675,O673:O675,0),IF(SUM(P673:P675)/3-SUM(O673:O675)+_xlfn.XLOOKUP("X",C673:C675,O673:O675,0)&gt;0,SUM(P673:P675)/3-SUM(O673:O675)+_xlfn.XLOOKUP("X",C673:C675,O673:O675,0),LARGE(P673:P675,1)-SUM(O673:O675))))),IF(OR($C673="W",$C673="1/2W",$C673="1/2L"),P673-SUM(O673:O674)+_xlfn.XLOOKUP("X",C673:C675,O673:O675,0),IF(OR($C673="W",$C673="1/2W",$C673="1/2L"),P674-SUM(O673:O674)+_xlfn.XLOOKUP("X",C673:C675,O673:O675,0),SUM(P673:P674)/2-SUM(O673:O674)+_xlfn.XLOOKUP("X",C673:C675,O673:O675,0)))))))),2))</f>
        <v>0.82</v>
      </c>
      <c r="T673" s="190">
        <f>IF(S673=0,0,S673/SUM(O673:O675))</f>
        <v>0.0415610745058287</v>
      </c>
      <c r="U673" s="191">
        <f>IF($D673=$D670,IF(OR($B673="LOSS",$B673="OK",$B673="Anulada"),S673,0)+U670,IF(OR($B673="LOSS",$B673="OK",$B673="Anulada"),S673,0))</f>
        <v>2.23</v>
      </c>
      <c r="V673" s="191">
        <f>IF($D673="",0,IF($D673=$D670,IF($B673=" ",IF(I675="",IF(OR(AND(I673="DNB1",I674="DNB2"),AND(OR(I673="DNB1",I673="DNB2"),J674=0),AND(OR(I674="DNB1",I674="DNB2"),J673=0),AND(I673="DNB2",I674="DNB1"),AND(IF(J673=0,(J673+1)/ROUND(J673+1,0),J673/ROUND(J673,0))=1,IF(J674=0,(J674+1)/ROUND(IF(J674="",0,J674)+1,0),IF(J674="",0,J674)/ROUND(IF(J674="",1,J674),0))=1,OR(J673&lt;&gt;""),J674&lt;&gt;"")),0,IF(S673&lt;0,IF(I675="",SMALL(P673:P674,1)-SUM(O673:O674),0),SMALL(P673:P674,1)-SUM(O673:O674))),IF(S673&lt;0,IF(I675="",SMALL(P673:P675,1)-SUM(O673:O675),0),LARGE(P673:P675,1)-SUM(O673:O675))),S673)+V670,IF(I675="",IF(OR(AND(I673="DNB1",I674="DNB2"),AND(OR(I673="DNB1",I673="DNB2"),J674=0),AND(OR(I674="DNB1",I674="DNB2"),J673=0),AND(I673="DNB2",I674="DNB1"),AND(IF(J673=0,(J673+1)/ROUND(J673+1,0),J673/ROUND(J673,0))=1,IF(J674=0,(IF(J674="",0,J674)+1)/ROUND(IF(J674="",0,J674)+1,0),IF(J674="",0,J674)/ROUND(IF(J674="",0,J674)+1,0))=1,OR(J673&lt;&gt;""),J674&lt;&gt;"")),0,IF(S673&lt;0,IF(I675="",SMALL(P673:P674,1)-SUM(O673:O674),0),SMALL(P673:P675,1)-SUM(O673:O675))),IF(S673&lt;0,IF(I675="",SMALL(P673:P675,1)-SUM(O673:O675),0),LARGE(P673:P675,1)-SUM(O673:O675)))))</f>
        <v>2.2276</v>
      </c>
      <c r="W673" s="191">
        <f>IF($D673=$D670,IF(S673&lt;0,IF(I675="",S673,0),S673)+W670,S673)</f>
        <v>2.23</v>
      </c>
      <c r="X673" t="s" s="192">
        <f>IF(OR(SUM(R673:R675)=0,V673=W673),ROUND(IF(W673=0,0,W673/Y673)*100,2)&amp;"%",ROUND(IF(V673=0,0,V673/Y673)*100,2)&amp;"% a "&amp;ROUND(IF(W673=0,0,W673/Y673)*100,2)&amp;"%")</f>
        <v>110</v>
      </c>
      <c r="Y673" s="193">
        <f>IF($D673=$D670,Y670+SUM(O673:O675),SUM(O673:O675))</f>
        <v>41.93</v>
      </c>
      <c r="Z673" s="191">
        <f>IF($B673=" ",SUM(O673:O675),0)+Z670</f>
        <v>0</v>
      </c>
      <c r="AA673" s="191">
        <f>IF(G673="","",IF($B673="Anulado",LARGE(P673:P675,1)-SUM(O673:O675)+AA670,AA670))</f>
        <v>27.7065076923077</v>
      </c>
      <c r="AB673" s="191">
        <f>IF($D673="","",AB670+S673)</f>
        <v>473.41</v>
      </c>
      <c r="AC673" s="194">
        <f>IF($D673="","",IF($B673=" ",IF(DAY(G673)=DAY(TODAY()),1+AC670,0+AC670),0+AC670))</f>
        <v>0</v>
      </c>
      <c r="AD673" s="195">
        <f>(((L674/(L674-1)-1)*(1-_xlfn.XLOOKUP(K674,'Janeiro 2023 - Valor Real'!A3:A15,'Janeiro 2023 - Valor Real'!C3:C15,0))+1))/(((L673-1)*(1-_xlfn.XLOOKUP(K673,'Janeiro 2023 - Valor Real'!A3:A15,'Janeiro 2023 - Valor Real'!C3:C15,0))+1)+((L674/(L674-1)-1)*(1-_xlfn.XLOOKUP(K674,'Janeiro 2023 - Valor Real'!A3:A15,'Janeiro 2023 - Valor Real'!C3:C15,0))+1))</f>
        <v>0.478887619418042</v>
      </c>
      <c r="AE673" s="196">
        <f>IF(L673="","",IF(L675&gt;0,(SUM(((L673-1)*(1-_xlfn.XLOOKUP(K673,'Janeiro 2023 - Valor Real'!A3:A15,'Janeiro 2023 - Valor Real'!C3:C15,0))+1),((L674-1)*(1-_xlfn.XLOOKUP(K674,'Janeiro 2023 - Valor Real'!A3:A15,'Janeiro 2023 - Valor Real'!C3:C15,0))+1),((L675-1)*(1-_xlfn.XLOOKUP(K675,'Janeiro 2023 - Valor Real'!A3:A15,'Janeiro 2023 - Valor Real'!C3:C15,0))+1))/((L673-1)*(1-_xlfn.XLOOKUP(K673,'Janeiro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Real'!C3:C15,0))+1))/((L673-1)*(1-_xlfn.XLOOKUP(K673,'Janeiro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Real'!C3:C15,0))+1))/((L674-1)*(1-_xlfn.XLOOKUP(K674,'Janeiro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Real'!C3:C15,0))+1))/((L675-1)*(1-_xlfn.XLOOKUP(K675,'Janeiro 2023 - Valor Real'!A3:A15,'Janeiro 2023 - Valor Real'!C3:C15,0))+1)),IF(I673="Lay",IF(I674="Lay",((L674/(L674-1)-1)*(1-_xlfn.XLOOKUP(K674,'Janeiro 2023 - Valor Real'!A3:A15,'Janeiro 2023 - Valor Real'!C3:C15,0))+1)/(((L674/(L674-1)-1)*(1-_xlfn.XLOOKUP(K674,'Janeiro 2023 - Valor Real'!A3:A15,'Janeiro 2023 - Valor Real'!C3:C15,0))+1)+((L673/(L673-1)-1)*(1-_xlfn.XLOOKUP(K673,'Janeiro 2023 - Valor Real'!A3:A15,'Janeiro 2023 - Valor Real'!C3:C15,0))+1)),((L674-1)*(1-_xlfn.XLOOKUP(K674,'Janeiro 2023 - Valor Real'!A3:A15,'Janeiro 2023 - Valor Real'!C3:C15,0))+1)/(((L674-1)*(1-_xlfn.XLOOKUP(K674,'Janeiro 2023 - Valor Real'!A3:A15,'Janeiro 2023 - Valor Real'!C3:C15,0))+1)+((L673/(L673-1)-1)*(1-_xlfn.XLOOKUP(K673,'Janeiro 2023 - Valor Real'!A3:A15,'Janeiro 2023 - Valor Real'!C3:C15,0))+1))),IF(I674="Lay",(((L674/(L674-1)-1)*(1-_xlfn.XLOOKUP(K674,'Janeiro 2023 - Valor Real'!A3:A15,'Janeiro 2023 - Valor Real'!C3:C15,0))+1))/(((L673-1)*(1-_xlfn.XLOOKUP(K673,'Janeiro 2023 - Valor Real'!A3:A15,'Janeiro 2023 - Valor Real'!C3:C15,0))+1)+((L674/(L674-1)-1)*(1-_xlfn.XLOOKUP(K674,'Janeiro 2023 - Valor Real'!A3:A15,'Janeiro 2023 - Valor Real'!C3:C15,0))+1)),((L674-1)*(1-_xlfn.XLOOKUP(K674,'Janeiro 2023 - Valor Real'!A3:A15,'Janeiro 2023 - Valor Real'!C3:C15,0))+1)/(((L674-1)*(1-_xlfn.XLOOKUP(K674,'Janeiro 2023 - Valor Real'!A3:A15,'Janeiro 2023 - Valor Real'!C3:C15,0))+1)+((L673-1)*(1-_xlfn.XLOOKUP(K673,'Janeiro 2023 - Valor Real'!A3:A15,'Janeiro 2023 - Valor Real'!C3:C15,0))+1))))))</f>
        <v>0.471291866028708</v>
      </c>
      <c r="AF673" s="197">
        <f>IF($K673=AF$3,ROUND(IF(OR($C673="W",$C673="1/2W",$C673="1/2L"),$P673-$O673,IF($C673="X",0,-$O673)),2),0)</f>
        <v>0</v>
      </c>
      <c r="AG673" s="198">
        <f>IF($K673=AG$3,ROUND(IF(OR($C673="W",$C673="1/2W",$C673="1/2L"),$P673-$O673,IF($C673="X",0,-$O673)),2),0)</f>
        <v>0</v>
      </c>
      <c r="AH673" s="198">
        <f>IF($K673=AH$3,ROUND(IF(OR($C673="W",$C673="1/2W",$C673="1/2L"),$P673-$O673,IF($C673="X",0,-$O673)),2),0)</f>
        <v>0</v>
      </c>
      <c r="AI673" s="198">
        <f>IF($K673=AI$3,ROUND(IF(OR($C673="W",$C673="1/2W",$C673="1/2L"),$P673-$O673,IF($C673="X",0,-$O673)),2),0)</f>
        <v>0</v>
      </c>
      <c r="AJ673" s="198">
        <f>IF($K673=AJ$3,ROUND(IF(OR($C673="W",$C673="1/2W",$C673="1/2L"),$P673-$O673,IF($C673="X",0,-$O673)),2),0)</f>
        <v>11.25</v>
      </c>
      <c r="AK673" s="198">
        <f>IF($K673=AK$3,ROUND(IF(OR($C673="W",$C673="1/2W",$C673="1/2L"),$P673-$O673,IF($C673="X",0,-$O673)),2),0)</f>
        <v>0</v>
      </c>
      <c r="AL673" s="198">
        <f>IF($K673=AL$3,ROUND(IF(OR($C673="W",$C673="1/2W",$C673="1/2L"),$P673-$O673,IF($C673="X",0,-$O673)),2),0)</f>
        <v>0</v>
      </c>
      <c r="AM673" s="198">
        <f>IF($K673=AM$3,ROUND(IF(OR($C673="W",$C673="1/2W",$C673="1/2L"),$P673-$O673,IF($C673="X",0,-$O673)),2),0)</f>
        <v>0</v>
      </c>
      <c r="AN673" s="198">
        <f>IF($K673=AN$3,ROUND(IF(OR($C673="W",$C673="1/2W",$C673="1/2L"),$P673-$O673,IF($C673="X",0,-$O673)),2),0)</f>
        <v>0</v>
      </c>
      <c r="AO673" s="198">
        <f>IF($K673=AO$3,ROUND(IF(OR($C673="W",$C673="1/2W",$C673="1/2L"),$P673-$O673,IF($C673="X",0,-$O673)),2),0)</f>
        <v>0</v>
      </c>
      <c r="AP673" s="198">
        <f>IF($K673=AP$3,ROUND(IF(OR($C673="W",$C673="1/2W",$C673="1/2L"),$P673-$O673,IF($C673="X",0,-$O673)),2),0)</f>
        <v>0</v>
      </c>
      <c r="AQ673" s="198">
        <f>IF($K673=AQ$3,ROUND(IF(OR($C673="W",$C673="1/2W",$C673="1/2L"),$P673-$O673,IF($C673="X",0,-$O673)),2),0)</f>
        <v>0</v>
      </c>
      <c r="AR673" s="199">
        <f>IF($K673=AR$3,ROUND(IF(OR($C673="W",$C673="1/2W",$C673="1/2L"),$P673-$O673,IF($C673="X",0,-$O673)),2),0)</f>
        <v>0</v>
      </c>
      <c r="AS673" s="197">
        <f>IF(AND($B673=" ",$K673=AS$3),$O673,0)</f>
        <v>0</v>
      </c>
      <c r="AT673" s="198">
        <f>IF(AND($B673=" ",$K673=AT$3),$O673,0)</f>
        <v>0</v>
      </c>
      <c r="AU673" s="198">
        <f>IF(AND($B673=" ",$K673=AU$3),$O673,0)</f>
        <v>0</v>
      </c>
      <c r="AV673" s="198">
        <f>IF(AND($B673=" ",$K673=AV$3),$O673,0)</f>
        <v>0</v>
      </c>
      <c r="AW673" s="198">
        <f>IF(AND($B673=" ",$K673=AW$3),$O673,0)</f>
        <v>0</v>
      </c>
      <c r="AX673" s="198">
        <f>IF(AND($B673=" ",$K673=AX$3),$O673,0)</f>
        <v>0</v>
      </c>
      <c r="AY673" s="200">
        <f>IF(AND($B673=" ",$K673=AY$3),$O673,0)</f>
        <v>0</v>
      </c>
      <c r="AZ673" s="201">
        <f>IF(AND($B673=" ",$K673=AZ$3),$O673,0)</f>
        <v>0</v>
      </c>
      <c r="BA673" s="201">
        <f>IF(AND($B673=" ",$K673=BA$3),$O673,0)</f>
        <v>0</v>
      </c>
      <c r="BB673" s="201">
        <f>IF(AND($B673=" ",$K673=BB$3),$O673,0)</f>
        <v>0</v>
      </c>
      <c r="BC673" s="202">
        <f>IF(AND($B673=" ",$K673=BC$3),$O673,0)</f>
        <v>0</v>
      </c>
      <c r="BD673" s="198">
        <f>IF(AND($B673=" ",$K673=BD$3),$O673,0)</f>
        <v>0</v>
      </c>
      <c r="BE673" s="199">
        <f>IF(AND($B673=" ",$K673=BE$3),$O673,0)</f>
        <v>0</v>
      </c>
      <c r="BF673" s="203">
        <f>IF($K673=BF$3,IF($C673="X",0,$O673),0)</f>
        <v>0</v>
      </c>
      <c r="BG673" s="198">
        <f>IF($K673=BG$3,IF($C673="X",0,$O673),0)</f>
        <v>0</v>
      </c>
      <c r="BH673" s="198">
        <f>IF($K673=BH$3,IF($C673="X",0,$O673),0)</f>
        <v>0</v>
      </c>
      <c r="BI673" s="198">
        <f>IF($K673=BI$3,IF($C673="X",0,$O673),0)</f>
        <v>0</v>
      </c>
      <c r="BJ673" s="198">
        <f>IF($K673=BJ$3,IF($C673="X",0,$O673),0)</f>
        <v>9.300000000000001</v>
      </c>
      <c r="BK673" s="198">
        <f>IF($K673=BK$3,IF($C673="X",0,$O673),0)</f>
        <v>0</v>
      </c>
      <c r="BL673" s="198">
        <f>IF($K673=BL$3,IF($C673="X",0,$O673),0)</f>
        <v>0</v>
      </c>
      <c r="BM673" s="200">
        <f>IF($K673=BM$3,IF($C673="X",0,$O673),0)</f>
        <v>0</v>
      </c>
      <c r="BN673" s="201">
        <f>IF($K673=BN$3,IF($C673="X",0,$O673),0)</f>
        <v>0</v>
      </c>
      <c r="BO673" s="201">
        <f>IF($K673=BO$3,IF($C673="X",0,$O673),0)</f>
        <v>0</v>
      </c>
      <c r="BP673" s="201">
        <f>IF($K673=BP$3,IF($C673="X",0,$O673),0)</f>
        <v>0</v>
      </c>
      <c r="BQ673" s="202">
        <f>IF($K673=BQ$3,IF($C673="X",0,$O673),0)</f>
        <v>0</v>
      </c>
      <c r="BR673" s="199">
        <f>IF($K673=BR$3,IF($C673="X",0,$O673),0)</f>
        <v>0</v>
      </c>
      <c r="BS673" s="204">
        <f>IF($B673="LOSS",IF(AND($K673=BS$3,$C673="L"),-$O673,0)+IF(AND($K674=BS$3,$C674="L"),-$O674,0)+IF(AND($K675=BS$3,$C675="L"),-$O675,0),IF(OR(AND($K673=BS$3,OR($C673="W",$C673="1/2W")),AND($K674=BS$3,OR($C674="W",$C674="1/2W")),AND($K675=BS$3,OR($C675="W",$C675="1/2W"))),$S673,0))</f>
        <v>0</v>
      </c>
      <c r="BT673" s="201">
        <f>IF($B673="LOSS",IF(AND($K673=BT$3,$C673="L"),-$O673,0)+IF(AND($K674=BT$3,$C674="L"),-$O674,0)+IF(AND($K674=BT$3,$C675="L"),-$O675,0),IF(OR(AND($K674=BT$3,OR($C673="W",$C673="1/2W")),AND($K674=BT$3,OR($C674="W",$C674="1/2W")),AND($K674=BT$3,OR($C675="W",$C675="1/2W"))),$S673,0))</f>
        <v>0</v>
      </c>
      <c r="BU673" s="201">
        <f>IF($B673="LOSS",IF(AND($K673=BU$3,$C673="L"),-$O673,0)+IF(AND($K674=BU$3,$C674="L"),-$O674,0)+IF(AND($K674=BU$3,$C675="L"),-$O675,0),IF(OR(AND($K674=BU$3,OR($C673="W",$C673="1/2W")),AND($K674=BU$3,OR($C674="W",$C674="1/2W")),AND($K674=BU$3,OR($C675="W",$C675="1/2W"))),$S673,0))</f>
        <v>0</v>
      </c>
      <c r="BV673" s="201">
        <f>IF($B673="LOSS",IF(AND($K673=BV$3,$C673="L"),-$O673,0)+IF(AND($K674=BV$3,$C674="L"),-$O674,0)+IF(AND($K675=BV$3,$C675="L"),-$O675,0),IF(OR(AND($K673=BV$3,OR($C673="W",$C673="1/2W")),AND($K674=BV$3,OR($C674="W",$C674="1/2W")),AND($K675=BV$3,OR($C675="W",$C675="1/2W"))),$S673,0))</f>
        <v>0</v>
      </c>
      <c r="BW673" s="201">
        <f>IF($B673="LOSS",IF(AND($K673=BW$3,$C673="L"),-$O673,0)+IF(AND($K674=BW$3,$C674="L"),-$O674,0)+IF(AND($K675=BW$3,$C675="L"),-$O675,0),IF(OR(AND($K673=BW$3,OR($C673="W",$C673="1/2W")),AND($K674=BW$3,OR($C674="W",$C674="1/2W")),AND($K675=BW$3,OR($C675="W",$C675="1/2W"))),$S673,0))</f>
        <v>0.82</v>
      </c>
      <c r="BX673" s="201">
        <f>IF($B673="LOSS",IF(AND($K673=BX$3,$C673="L"),-$O673,0)+IF(AND($K674=BX$3,$C674="L"),-$O674,0)+IF(AND($K675=BX$3,$C675="L"),-$O675,0),IF(OR(AND($K673=BX$3,OR($C673="W",$C673="1/2W")),AND($K674=BX$3,OR($C674="W",$C674="1/2W")),AND($K675=BX$3,OR($C675="W",$C675="1/2W"))),$S673,0))</f>
        <v>0</v>
      </c>
      <c r="BY673" s="201">
        <f>IF($B673="LOSS",IF(AND($K673=BY$3,$C673="L"),-$O673,0)+IF(AND($K674=BY$3,$C674="L"),-$O674,0)+IF(AND($K675=BY$3,$C675="L"),-$O675,0),IF(OR(AND($K673=BY$3,OR($C673="W",$C673="1/2W")),AND($K674=BY$3,OR($C674="W",$C674="1/2W")),AND($K675=BY$3,OR($C675="W",$C675="1/2W"))),$S673,0))</f>
        <v>0</v>
      </c>
      <c r="BZ673" s="205">
        <f>IF($B673="LOSS",IF(AND($K673=BZ$3,$C673="L"),-$O673,0)+IF(AND($K674=BZ$3,$C674="L"),-$O674,0)+IF(AND($K675=BZ$3,$C675="L"),-$O675,0),IF(OR(AND($K673=BZ$3,OR($C673="W",$C673="1/2W")),AND($K674=BZ$3,OR($C674="W",$C674="1/2W")),AND($K675=BZ$3,OR($C675="W",$C675="1/2W"))),$S673,0))</f>
        <v>0</v>
      </c>
      <c r="CA673" s="205">
        <f>IF($B673="LOSS",IF(AND($K673=CA$3,$C673="L"),-$O673,0)+IF(AND($K674=CA$3,$C674="L"),-$O674,0)+IF(AND($K675=CA$3,$C675="L"),-$O675,0),IF(OR(AND($K673=CA$3,OR($C673="W",$C673="1/2W")),AND($K674=CA$3,OR($C674="W",$C674="1/2W")),AND($K675=CA$3,OR($C675="W",$C675="1/2W"))),$S673,0))</f>
        <v>0</v>
      </c>
      <c r="CB673" s="205">
        <f>IF($B673="LOSS",IF(AND($K673=CB$3,$C673="L"),-$O673,0)+IF(AND($K674=CB$3,$C674="L"),-$O674,0)+IF(AND($K675=CB$3,$C675="L"),-$O675,0),IF(OR(AND($K673=CB$3,OR($C673="W",$C673="1/2W")),AND($K674=CB$3,OR($C674="W",$C674="1/2W")),AND($K675=CB$3,OR($C675="W",$C675="1/2W"))),$S673,0))</f>
        <v>0</v>
      </c>
      <c r="CC673" s="205">
        <f>IF($B673="LOSS",IF(AND($K673=CC$3,$C673="L"),-$O673,0)+IF(AND($K674=CC$3,$C674="L"),-$O674,0)+IF(AND($K675=CC$3,$C675="L"),-$O675,0),IF(OR(AND($K673=CC$3,OR($C673="W",$C673="1/2W")),AND($K674=CC$3,OR($C674="W",$C674="1/2W")),AND($K675=CC$3,OR($C675="W",$C675="1/2W"))),$S673,0))</f>
        <v>0</v>
      </c>
      <c r="CD673" s="202">
        <f>IF($B673="LOSS",IF(AND($K673=CD$3,$C673="L"),-$O673,0)+IF(AND($K674=CD$3,$C674="L"),-$O674,0)+IF(AND($K675=CD$3,$C675="L"),-$O675,0),IF(OR(AND($K673=CD$3,OR($C673="W",$C673="1/2W")),AND($K674=CD$3,OR($C674="W",$C674="1/2W")),AND($K675=CD$3,OR($C675="W",$C675="1/2W"))),$S673,0))</f>
        <v>0</v>
      </c>
      <c r="CE673" s="199">
        <f>IF($B673="LOSS",IF(AND($K673=CE$3,$C673="L"),-$O673,0)+IF(AND($K674=CE$3,$C674="L"),-$O674,0)+IF(AND($K675=CE$3,$C675="L"),-$O675,0),IF(OR(AND($K673=CE$3,OR($C673="W",$C673="1/2W")),AND($K674=CE$3,OR($C674="W",$C674="1/2W")),AND($K675=CE$3,OR($C675="W",$C675="1/2W"))),$S673,0))</f>
        <v>0</v>
      </c>
      <c r="CF673" s="206">
        <f>IF(CF$3=$K673,IF($C673="W",1,IF($C673="1/2W",0.5,0)),0)</f>
        <v>0</v>
      </c>
      <c r="CG673" s="207">
        <f>IF(CF$3=$K673,IF($C673="L",1,IF($C673="1/2L",0.5,0)),0)</f>
        <v>0</v>
      </c>
      <c r="CH673" s="207">
        <f>IF(CH$3=$K673,IF($C673="W",1,IF($C673="1/2W",0.5,0)),0)</f>
        <v>0</v>
      </c>
      <c r="CI673" s="207">
        <f>IF(CH$3=$K673,IF($C673="L",1,IF($C673="1/2L",0.5,0)),0)</f>
        <v>0</v>
      </c>
      <c r="CJ673" s="207">
        <f>IF(CJ$3=$K673,IF($C673="W",1,IF($C673="1/2W",0.5,0)),0)</f>
        <v>0</v>
      </c>
      <c r="CK673" s="207">
        <f>IF(CJ$3=$K673,IF($C673="L",1,IF($C673="1/2L",0.5,0)),0)</f>
        <v>0</v>
      </c>
      <c r="CL673" s="207">
        <f>IF(CL$3=$K673,IF($C673="W",1,IF($C673="1/2W",0.5,0)),0)</f>
        <v>0</v>
      </c>
      <c r="CM673" s="207">
        <f>IF(CL$3=$K673,IF($C673="L",1,IF($C673="1/2L",0.5,0)),0)</f>
        <v>0</v>
      </c>
      <c r="CN673" s="207">
        <f>IF(CN$3=$K673,IF($C673="W",1,IF($C673="1/2W",0.5,0)),0)</f>
        <v>1</v>
      </c>
      <c r="CO673" s="207">
        <f>IF(CN$3=$K673,IF($C673="L",1,IF($C673="1/2L",0.5,0)),0)</f>
        <v>0</v>
      </c>
      <c r="CP673" s="207">
        <f>IF(CP$3=$K673,IF($C673="W",1,IF($C673="1/2W",0.5,0)),0)</f>
        <v>0</v>
      </c>
      <c r="CQ673" s="207">
        <f>IF(CP$3=$K673,IF($C673="L",1,IF($C673="1/2L",0.5,0)),0)</f>
        <v>0</v>
      </c>
      <c r="CR673" s="207">
        <f>IF(CR$3=$K673,IF($C673="W",1,IF($C673="1/2W",0.5,0)),0)</f>
        <v>0</v>
      </c>
      <c r="CS673" s="207">
        <f>IF(CR$3=$K673,IF($C673="L",1,IF($C673="1/2L",0.5,0)),0)</f>
        <v>0</v>
      </c>
      <c r="CT673" s="208">
        <f>IF(CT$3=$K673,IF($C673="W",1,IF($C673="1/2W",0.5,0)),0)</f>
        <v>0</v>
      </c>
      <c r="CU673" s="209">
        <f>IF(CT$3=$K673,IF($C673="L",1,IF($C673="1/2L",0.5,0)),0)</f>
        <v>0</v>
      </c>
      <c r="CV673" s="209">
        <f>IF(CV$3=$K673,IF($C673="W",1,IF($C673="1/2W",0.5,0)),0)</f>
        <v>0</v>
      </c>
      <c r="CW673" s="209">
        <f>IF(CV$3=$K673,IF($C673="L",1,IF($C673="1/2L",0.5,0)),0)</f>
        <v>0</v>
      </c>
      <c r="CX673" s="209">
        <f>IF(CX$3=$K673,IF($C673="W",1,IF($C673="1/2W",0.5,0)),0)</f>
        <v>0</v>
      </c>
      <c r="CY673" s="209">
        <f>IF(CX$3=$K673,IF($C673="L",1,IF($C673="1/2L",0.5,0)),0)</f>
        <v>0</v>
      </c>
      <c r="CZ673" s="209">
        <f>IF(CZ$3=$K673,IF($C673="W",1,IF($C673="1/2W",0.5,0)),0)</f>
        <v>0</v>
      </c>
      <c r="DA673" s="209">
        <f>IF(CZ$3=$K673,IF($C673="L",1,IF($C673="1/2L",0.5,0)),0)</f>
        <v>0</v>
      </c>
      <c r="DB673" s="209">
        <f>IF(DB$3=$K673,IF($C673="W",1,IF($C673="1/2W",0.5,0)),0)</f>
        <v>0</v>
      </c>
      <c r="DC673" s="209">
        <f>IF(DB$3=$K673,IF($C673="L",1,IF($C673="1/2L",0.5,0)),0)</f>
        <v>0</v>
      </c>
      <c r="DD673" s="209">
        <f>IF(DD$3=$K673,IF($C673="W",1,IF($C673="1/2W",0.5,0)),0)</f>
        <v>0</v>
      </c>
      <c r="DE673" s="210">
        <f>IF(DD$3=$K673,IF($C673="L",1,IF($C673="1/2L",0.5,0)),0)</f>
        <v>0</v>
      </c>
      <c r="DF673" s="211">
        <f>IF(AND(L673&lt;DF$3,$C673="W"),1+DF672,DF672)</f>
        <v>18</v>
      </c>
      <c r="DG673" s="198">
        <f>IF(DF673&gt;DF672,L673+DG672,DG672)</f>
        <v>23.918</v>
      </c>
      <c r="DH673" s="209">
        <f>IF(AND(L673&gt;DH$3,$C673="W"),1+DH672,0+DH672)</f>
        <v>16</v>
      </c>
      <c r="DI673" s="198">
        <f>IF(DH673&gt;DH672,L673+DI672,DI672)</f>
        <v>85.45999999999999</v>
      </c>
      <c r="DJ673" t="s" s="306">
        <f>IF($D673="","",$D673)</f>
        <v>481</v>
      </c>
      <c r="DK673" s="209">
        <f>IF(AND($B673=" ",$D673&lt;&gt;""),1,0)</f>
        <v>0</v>
      </c>
    </row>
    <row r="674" ht="14.55" customHeight="1">
      <c r="A674" s="107"/>
      <c r="B674" s="108"/>
      <c r="C674" t="s" s="213">
        <v>51</v>
      </c>
      <c r="D674" s="110"/>
      <c r="E674" s="111"/>
      <c r="F674" s="113"/>
      <c r="G674" s="214"/>
      <c r="H674" s="114"/>
      <c r="I674" t="s" s="215">
        <v>57</v>
      </c>
      <c r="J674" s="296">
        <f>IF(OR(I673="TO",I673="TU",I673="TO1",I673="TU1",I673="TO2",I673="TU2"),J673,IF(OR(I673="AH1",I673="AH2"),IF(OR(I674="AH1",I674="AH2"),-J673,IF(OR(I674="EH1",I674="EH2"),-J673+0.5,"")),IF(OR(I673="EH1",I673="EH2"),IF(OR(I674="AH1",I674="AH2"),-J673+0.5,IF(OR(I674="EH1",I674="EH2"),-J673+1,"")),IF(AND(OR(I673="DNB1",I673="DNB2"),OR(I674="AH1",I674="AH2")),0,IF(AND(I673="Not ScoreBoth",OR(I674="TO1",I674="TO2")),0.5,"")))))</f>
        <v>-3.5</v>
      </c>
      <c r="K674" t="s" s="217">
        <v>44</v>
      </c>
      <c r="L674" s="218">
        <v>1.97</v>
      </c>
      <c r="M674" s="219"/>
      <c r="N674" s="120"/>
      <c r="O674" s="220">
        <f>IF(OR(AE673="",AE674=""),"",ROUND(IF(L675&gt;0,IF(M674&gt;0,M674,IF(M673&gt;0,IF(N673=TRUE,ROUND((M673*AE674)/AE673,0),(M673*AE674)/AE673),IF(M674&gt;0,ROUND(M674,IF(N673=0,2,IF(N673=0.1,1,0))),IF(M675&gt;0,ROUND(O675*AE674/AE675,IF(N673=0,2,IF(N673=0.1,1,0))),0)))),IF(M674&gt;0,M674,ROUND((M673*AE674)/AE673,IF(N673=0,2,IF(N673=0.1,1,0))))),2))</f>
        <v>10.43</v>
      </c>
      <c r="P674" s="221">
        <f>IF(OR(L674="",O674=""),"",IF($C674="1/2W",O674/2+O674/2*L674,IF($C674="1/2L",O674/2,IF(I674="Lay",((O674*(L674/(L674-1)))-O674)*(1-_xlfn.XLOOKUP(K674,'Janeiro 2023 - Valor Real'!A3:A15,'Janeiro 2023 - Valor Real'!C3:C15,0))+O674,(O674*L674-O674)*(1-_xlfn.XLOOKUP(K674,'Janeiro 2023 - Valor Real'!A3:A15,'Janeiro 2023 - Valor Real'!C3:C15,0))+O674))))</f>
        <v>20.5471</v>
      </c>
      <c r="Q674" s="222">
        <f>IF(K674="","",IF(_xlfn.XLOOKUP(K674,K$123:K447,DJ$123:DJ447,0,,-1)=DJ674,_xlfn.XLOOKUP(K674,K$123:K447,Q$123:Q447,1,,-1)+1,1))</f>
        <v>1</v>
      </c>
      <c r="R674" s="223">
        <f>IF(K674="","",_xlfn.XLOOKUP(K674,K$123:K447,R$123:R447,0,,-1)+IF($C674=" ",1,0))</f>
        <v>0</v>
      </c>
      <c r="S674" s="125"/>
      <c r="T674" s="126"/>
      <c r="U674" s="126"/>
      <c r="V674" s="224"/>
      <c r="W674" s="126"/>
      <c r="X674" s="127"/>
      <c r="Y674" s="128"/>
      <c r="Z674" s="129"/>
      <c r="AA674" s="129"/>
      <c r="AB674" s="129"/>
      <c r="AC674" s="129"/>
      <c r="AD674" s="225">
        <f>(((L674/(L674-1)-1)*(1-_xlfn.XLOOKUP(K674,'Janeiro 2023 - Valor Real'!A3:A15,'Janeiro 2023 - Valor Real'!C3:C15,0))+1))</f>
        <v>2.03092783505155</v>
      </c>
      <c r="AE674" s="226">
        <f>IF(L674="","",IF(L675&gt;0,(SUM(((L673-1)*(1-_xlfn.XLOOKUP(K673,'Janeiro 2023 - Valor Real'!A3:A15,'Janeiro 2023 - Valor Real'!C3:C15,0))+1),((L674-1)*(1-_xlfn.XLOOKUP(K674,'Janeiro 2023 - Valor Real'!A3:A15,'Janeiro 2023 - Valor Real'!C3:C15,0))+1),((L675-1)*(1-_xlfn.XLOOKUP(K675,'Janeiro 2023 - Valor Real'!A3:A15,'Janeiro 2023 - Valor Real'!C3:C15,0))+1))/((L674-1)*(1-_xlfn.XLOOKUP(K674,'Janeiro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Real'!C3:C15,0))+1))/((L673-1)*(1-_xlfn.XLOOKUP(K673,'Janeiro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Real'!C3:C15,0))+1))/((L674-1)*(1-_xlfn.XLOOKUP(K674,'Janeiro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Real'!C3:C15,0))+1))/((L675-1)*(1-_xlfn.XLOOKUP(K675,'Janeiro 2023 - Valor Real'!A3:A15,'Janeiro 2023 - Valor Real'!C3:C15,0))+1)),IF(I674="Lay",IF(I673="Lay",((L673/(L673-1)-1)*(1-_xlfn.XLOOKUP(K673,'Janeiro 2023 - Valor Real'!A3:A15,'Janeiro 2023 - Valor Real'!C3:C15,0))+1)/(((L673/(L673-1)-1)*(1-_xlfn.XLOOKUP(K673,'Janeiro 2023 - Valor Real'!A3:A15,'Janeiro 2023 - Valor Real'!C3:C15,0))+1)+((L674/(L674-1)-1)*(1-_xlfn.XLOOKUP(K674,'Janeiro 2023 - Valor Real'!A3:A15,'Janeiro 2023 - Valor Real'!C3:C15,0))+1)),((L673-1)*(1-_xlfn.XLOOKUP(K673,'Janeiro 2023 - Valor Real'!A3:A15,'Janeiro 2023 - Valor Real'!C3:C15,0))+1)/(((L673-1)*(1-_xlfn.XLOOKUP(K673,'Janeiro 2023 - Valor Real'!A3:A15,'Janeiro 2023 - Valor Real'!C3:C15,0))+1)+((L674/(L674-1)-1)*(1-_xlfn.XLOOKUP(K674,'Janeiro 2023 - Valor Real'!A3:A15,'Janeiro 2023 - Valor Real'!C3:C15,0))+1))),IF(I673="Lay",((L673/(L673-1)-1)*(1-_xlfn.XLOOKUP(K673,'Janeiro 2023 - Valor Real'!A3:A15,'Janeiro 2023 - Valor Real'!C3:C15,0))+1)/((((L673/(L673-1)-1)*(1-_xlfn.XLOOKUP(K673,'Janeiro 2023 - Valor Real'!A3:A15,'Janeiro 2023 - Valor Real'!C3:C15,0))+1))+((L674-1)*(1-_xlfn.XLOOKUP(K674,'Janeiro 2023 - Valor Real'!A3:A15,'Janeiro 2023 - Valor Real'!C3:C15,0))+1)),((L673-1)*(1-_xlfn.XLOOKUP(K673,'Janeiro 2023 - Valor Real'!A3:A15,'Janeiro 2023 - Valor Real'!C3:C15,0))+1)/(((L673-1)*(1-_xlfn.XLOOKUP(K673,'Janeiro 2023 - Valor Real'!A3:A15,'Janeiro 2023 - Valor Real'!C3:C15,0))+1)+((L674-1)*(1-_xlfn.XLOOKUP(K674,'Janeiro 2023 - Valor Real'!A3:A15,'Janeiro 2023 - Valor Real'!C3:C15,0))+1))))))</f>
        <v>0.528708133971292</v>
      </c>
      <c r="AF674" s="197">
        <f>IF($K674=AF$3,ROUND(IF(OR($C674="W",$C674="1/2W",$C674="1/2L"),$P674-$O674,IF($C674="X",0,-$O674)),2),0)</f>
        <v>0</v>
      </c>
      <c r="AG674" s="198">
        <f>IF($K674=AG$3,ROUND(IF(OR($C674="W",$C674="1/2W",$C674="1/2L"),$P674-$O674,IF($C674="X",0,-$O674)),2),0)</f>
        <v>0</v>
      </c>
      <c r="AH674" s="198">
        <f>IF($K674=AH$3,ROUND(IF(OR($C674="W",$C674="1/2W",$C674="1/2L"),$P674-$O674,IF($C674="X",0,-$O674)),2),0)</f>
        <v>0</v>
      </c>
      <c r="AI674" s="198">
        <f>IF($K674=AI$3,ROUND(IF(OR($C674="W",$C674="1/2W",$C674="1/2L"),$P674-$O674,IF($C674="X",0,-$O674)),2),0)</f>
        <v>0</v>
      </c>
      <c r="AJ674" s="198">
        <f>IF($K674=AJ$3,ROUND(IF(OR($C674="W",$C674="1/2W",$C674="1/2L"),$P674-$O674,IF($C674="X",0,-$O674)),2),0)</f>
        <v>0</v>
      </c>
      <c r="AK674" s="198">
        <f>IF($K674=AK$3,ROUND(IF(OR($C674="W",$C674="1/2W",$C674="1/2L"),$P674-$O674,IF($C674="X",0,-$O674)),2),0)</f>
        <v>0</v>
      </c>
      <c r="AL674" s="198">
        <f>IF($K674=AL$3,ROUND(IF(OR($C674="W",$C674="1/2W",$C674="1/2L"),$P674-$O674,IF($C674="X",0,-$O674)),2),0)</f>
        <v>0</v>
      </c>
      <c r="AM674" s="198">
        <f>IF($K674=AM$3,ROUND(IF(OR($C674="W",$C674="1/2W",$C674="1/2L"),$P674-$O674,IF($C674="X",0,-$O674)),2),0)</f>
        <v>-10.43</v>
      </c>
      <c r="AN674" s="198">
        <f>IF($K674=AN$3,ROUND(IF(OR($C674="W",$C674="1/2W",$C674="1/2L"),$P674-$O674,IF($C674="X",0,-$O674)),2),0)</f>
        <v>0</v>
      </c>
      <c r="AO674" s="198">
        <f>IF($K674=AO$3,ROUND(IF(OR($C674="W",$C674="1/2W",$C674="1/2L"),$P674-$O674,IF($C674="X",0,-$O674)),2),0)</f>
        <v>0</v>
      </c>
      <c r="AP674" s="198">
        <f>IF($K674=AP$3,ROUND(IF(OR($C674="W",$C674="1/2W",$C674="1/2L"),$P674-$O674,IF($C674="X",0,-$O674)),2),0)</f>
        <v>0</v>
      </c>
      <c r="AQ674" s="198">
        <f>IF($K674=AQ$3,ROUND(IF(OR($C674="W",$C674="1/2W",$C674="1/2L"),$P674-$O674,IF($C674="X",0,-$O674)),2),0)</f>
        <v>0</v>
      </c>
      <c r="AR674" s="199">
        <f>IF($K674=AR$3,ROUND(IF(OR($C674="W",$C674="1/2W",$C674="1/2L"),$P674-$O674,IF($C674="X",0,-$O674)),2),0)</f>
        <v>0</v>
      </c>
      <c r="AS674" s="197">
        <f>IF(AND($B673=" ",$K674=AS$3),$O674,0)</f>
        <v>0</v>
      </c>
      <c r="AT674" s="198">
        <f>IF(AND($B673=" ",K674=AT$3),$O674,0)</f>
        <v>0</v>
      </c>
      <c r="AU674" s="198">
        <f>IF(AND($B673=" ",$K674=AU$3),$O674,0)</f>
        <v>0</v>
      </c>
      <c r="AV674" s="198">
        <f>IF(AND($B673=" ",$K674=AV$3),$O674,0)</f>
        <v>0</v>
      </c>
      <c r="AW674" s="198">
        <f>IF(AND($B673=" ",$K674=AW$3),$O674,0)</f>
        <v>0</v>
      </c>
      <c r="AX674" s="198">
        <f>IF(AND($B673=" ",$K674=AX$3),$O674,0)</f>
        <v>0</v>
      </c>
      <c r="AY674" s="200">
        <f>IF(AND($B673=" ",$K674=AY$3),$O674,0)</f>
        <v>0</v>
      </c>
      <c r="AZ674" s="201">
        <f>IF(AND($B673=" ",$K674=AZ$3),$O674,0)</f>
        <v>0</v>
      </c>
      <c r="BA674" s="201">
        <f>IF(AND($B673=" ",$K674=BA$3),$O674,0)</f>
        <v>0</v>
      </c>
      <c r="BB674" s="201">
        <f>IF(AND($B673=" ",$K674=BB$3),$O674,0)</f>
        <v>0</v>
      </c>
      <c r="BC674" s="202">
        <f>IF(AND($B673=" ",$K674=BC$3),$O674,0)</f>
        <v>0</v>
      </c>
      <c r="BD674" s="198">
        <f>IF(AND($B673=" ",$K674=BD$3),$O674,0)</f>
        <v>0</v>
      </c>
      <c r="BE674" s="199">
        <f>IF(AND($B673=" ",$K674=BE$3),$O674,0)</f>
        <v>0</v>
      </c>
      <c r="BF674" s="197">
        <f>IF($K674=BF$3,IF($C674="X",0,$O674),0)</f>
        <v>0</v>
      </c>
      <c r="BG674" s="198">
        <f>IF($K674=BG$3,IF($C674="X",0,$O674),0)</f>
        <v>0</v>
      </c>
      <c r="BH674" s="198">
        <f>IF($K674=BH$3,IF($C674="X",0,$O674),0)</f>
        <v>0</v>
      </c>
      <c r="BI674" s="198">
        <f>IF($K674=BI$3,IF($C674="X",0,$O674),0)</f>
        <v>0</v>
      </c>
      <c r="BJ674" s="198">
        <f>IF($K674=BJ$3,IF($C674="X",0,$O674),0)</f>
        <v>0</v>
      </c>
      <c r="BK674" s="198">
        <f>IF($K674=BK$3,IF($C674="X",0,$O674),0)</f>
        <v>0</v>
      </c>
      <c r="BL674" s="198">
        <f>IF($K674=BL$3,IF($C674="X",0,$O674),0)</f>
        <v>0</v>
      </c>
      <c r="BM674" s="227">
        <f>IF($K674=BM$3,IF($C674="X",0,$O674),0)</f>
        <v>10.43</v>
      </c>
      <c r="BN674" s="205">
        <f>IF($K674=BN$3,IF($C674="X",0,$O674),0)</f>
        <v>0</v>
      </c>
      <c r="BO674" s="205">
        <f>IF($K674=BO$3,IF($C674="X",0,$O674),0)</f>
        <v>0</v>
      </c>
      <c r="BP674" s="205">
        <f>IF($K674=BP$3,IF($C674="X",0,$O674),0)</f>
        <v>0</v>
      </c>
      <c r="BQ674" s="202">
        <f>IF($K674=BQ$3,IF($C674="X",0,$O674),0)</f>
        <v>0</v>
      </c>
      <c r="BR674" s="199">
        <f>IF($K674=BR$3,IF($C674="X",0,$O674),0)</f>
        <v>0</v>
      </c>
      <c r="BS674" s="228"/>
      <c r="BT674" s="229"/>
      <c r="BU674" s="140"/>
      <c r="BV674" s="229"/>
      <c r="BW674" s="140"/>
      <c r="BX674" s="140"/>
      <c r="BY674" s="140"/>
      <c r="BZ674" s="229"/>
      <c r="CA674" s="140"/>
      <c r="CB674" s="140"/>
      <c r="CC674" s="140"/>
      <c r="CD674" s="141"/>
      <c r="CE674" s="142"/>
      <c r="CF674" s="230">
        <f>IF(CF$3=$K674,IF($C674="W",1,IF($C674="1/2W",0.5,0)),0)</f>
        <v>0</v>
      </c>
      <c r="CG674" s="231">
        <f>IF(CF$3=$K674,IF($C674="L",1,IF($C674="1/2L",0.5,0)),0)</f>
        <v>0</v>
      </c>
      <c r="CH674" s="231">
        <f>IF(CH$3=$K674,IF($C674="W",1,IF($C674="1/2W",0.5,0)),0)</f>
        <v>0</v>
      </c>
      <c r="CI674" s="231">
        <f>IF(CH$3=$K674,IF($C674="L",1,IF($C674="1/2L",0.5,0)),0)</f>
        <v>0</v>
      </c>
      <c r="CJ674" s="231">
        <f>IF(CJ$3=$K674,IF($C674="W",1,IF($C674="1/2W",0.5,0)),0)</f>
        <v>0</v>
      </c>
      <c r="CK674" s="231">
        <f>IF(CJ$3=$K674,IF($C674="L",1,IF($C674="1/2L",0.5,0)),0)</f>
        <v>0</v>
      </c>
      <c r="CL674" s="231">
        <f>IF(CL$3=$K674,IF($C674="W",1,IF($C674="1/2W",0.5,0)),0)</f>
        <v>0</v>
      </c>
      <c r="CM674" s="231">
        <f>IF(CL$3=$K674,IF($C674="L",1,IF($C674="1/2L",0.5,0)),0)</f>
        <v>0</v>
      </c>
      <c r="CN674" s="231">
        <f>IF(CN$3=$K674,IF($C674="W",1,IF($C674="1/2W",0.5,0)),0)</f>
        <v>0</v>
      </c>
      <c r="CO674" s="231">
        <f>IF(CN$3=$K674,IF($C674="L",1,IF($C674="1/2L",0.5,0)),0)</f>
        <v>0</v>
      </c>
      <c r="CP674" s="231">
        <f>IF(CP$3=$K674,IF($C674="W",1,IF($C674="1/2W",0.5,0)),0)</f>
        <v>0</v>
      </c>
      <c r="CQ674" s="231">
        <f>IF(CP$3=$K674,IF($C674="L",1,IF($C674="1/2L",0.5,0)),0)</f>
        <v>0</v>
      </c>
      <c r="CR674" s="231">
        <f>IF(CR$3=$K674,IF($C674="W",1,IF($C674="1/2W",0.5,0)),0)</f>
        <v>0</v>
      </c>
      <c r="CS674" s="231">
        <f>IF(CR$3=$K674,IF($C674="L",1,IF($C674="1/2L",0.5,0)),0)</f>
        <v>0</v>
      </c>
      <c r="CT674" s="208">
        <f>IF(CT$3=$K674,IF($C674="W",1,IF($C674="1/2W",0.5,0)),0)</f>
        <v>0</v>
      </c>
      <c r="CU674" s="209">
        <f>IF(CT$3=$K674,IF($C674="L",1,IF($C674="1/2L",0.5,0)),0)</f>
        <v>1</v>
      </c>
      <c r="CV674" s="209">
        <f>IF(CV$3=$K674,IF($C674="W",1,IF($C674="1/2W",0.5,0)),0)</f>
        <v>0</v>
      </c>
      <c r="CW674" s="209">
        <f>IF(CV$3=$K674,IF($C674="L",1,IF($C674="1/2L",0.5,0)),0)</f>
        <v>0</v>
      </c>
      <c r="CX674" s="209">
        <f>IF(CX$3=$K674,IF($C674="W",1,IF($C674="1/2W",0.5,0)),0)</f>
        <v>0</v>
      </c>
      <c r="CY674" s="209">
        <f>IF(CX$3=$K674,IF($C674="L",1,IF($C674="1/2L",0.5,0)),0)</f>
        <v>0</v>
      </c>
      <c r="CZ674" s="209">
        <f>IF(CZ$3=$K674,IF($C674="W",1,IF($C674="1/2W",0.5,0)),0)</f>
        <v>0</v>
      </c>
      <c r="DA674" s="209">
        <f>IF(CZ$3=$K674,IF($C674="L",1,IF($C674="1/2L",0.5,0)),0)</f>
        <v>0</v>
      </c>
      <c r="DB674" s="209">
        <f>IF(DB$3=$K674,IF($C674="W",1,IF($C674="1/2W",0.5,0)),0)</f>
        <v>0</v>
      </c>
      <c r="DC674" s="209">
        <f>IF(DB$3=$K674,IF($C674="L",1,IF($C674="1/2L",0.5,0)),0)</f>
        <v>0</v>
      </c>
      <c r="DD674" s="209">
        <f>IF(DD$3=$K674,IF($C674="W",1,IF($C674="1/2W",0.5,0)),0)</f>
        <v>0</v>
      </c>
      <c r="DE674" s="210">
        <f>IF(DD$3=$K674,IF($C674="L",1,IF($C674="1/2L",0.5,0)),0)</f>
        <v>0</v>
      </c>
      <c r="DF674" s="211">
        <f>IF(AND(L674&lt;DF$3,$C674="W"),1+DF673,DF673)</f>
        <v>18</v>
      </c>
      <c r="DG674" s="198">
        <f>IF(DF674&gt;DF673,L674+DG673,DG673)</f>
        <v>23.918</v>
      </c>
      <c r="DH674" s="209">
        <f>IF(AND(L674&gt;DH$3,$C674="W"),1+DH673,0+DH673)</f>
        <v>16</v>
      </c>
      <c r="DI674" s="198">
        <f>IF(DH674&gt;DH673,L674+DI673,DI673)</f>
        <v>85.45999999999999</v>
      </c>
      <c r="DJ674" t="s" s="306">
        <f>IF($D673="","",$D673)</f>
        <v>481</v>
      </c>
      <c r="DK674" s="232"/>
    </row>
    <row r="675" ht="14.55" customHeight="1">
      <c r="A675" s="149"/>
      <c r="B675" s="150"/>
      <c r="C675" t="s" s="233">
        <v>58</v>
      </c>
      <c r="D675" s="152"/>
      <c r="E675" s="153"/>
      <c r="F675" s="155"/>
      <c r="G675" s="234"/>
      <c r="H675" s="156"/>
      <c r="I675" s="235"/>
      <c r="J675" s="236"/>
      <c r="K675" s="237"/>
      <c r="L675" s="238"/>
      <c r="M675" s="239"/>
      <c r="N675" s="161"/>
      <c r="O675" t="s" s="240">
        <f>IF(OR(AE673="",AE674=""),"",IF(L675&gt;0,ROUND(IF(M675&gt;0,M675,IF(M673&gt;0,ROUND((M673*AE675)/AE673,IF(N673=0,2,IF(N673=0.1,1,0))),IF(M674&gt;0,ROUND((M674*AE675)/AE674,IF(N673=0,2,IF(N673=0.1,1,0))),IF(M675&gt;0,M675,0)))),2),""))</f>
      </c>
      <c r="P675" t="s" s="241">
        <f>IF(I674="Lay",O674*(L674/(L674-1))-O674,IF(I673="Lay",O673*(L673/(L673-1))-O673,IF(OR(L675="",O675=""),"",IF($C675="1/2W",O675/2+O675/2*L675,IF($C675="1/2L",O675/2,(O675*L675-O675)*(1-_xlfn.XLOOKUP(K675,'Janeiro 2023 - Valor Real'!A3:A15,'Janeiro 2023 - Valor Real'!C3:C15,0))+O675)))))</f>
      </c>
      <c r="Q675" t="s" s="242">
        <f>IF(K675="","",IF(_xlfn.XLOOKUP(K675,K$124:K448,DJ$124:DJ448,0,,-1)=DJ675,_xlfn.XLOOKUP(K675,K$124:K448,Q$124:Q448,1,,-1)+1,1))</f>
      </c>
      <c r="R675" t="s" s="243">
        <f>IF(K675="","",_xlfn.XLOOKUP(K675,K$124:K448,R$124:R448,0,,-1)+IF($C675=" ",1,0))</f>
      </c>
      <c r="S675" s="166"/>
      <c r="T675" s="155"/>
      <c r="U675" s="155"/>
      <c r="V675" s="166"/>
      <c r="W675" s="155"/>
      <c r="X675" s="167"/>
      <c r="Y675" s="128"/>
      <c r="Z675" s="129"/>
      <c r="AA675" s="129"/>
      <c r="AB675" s="129"/>
      <c r="AC675" s="129"/>
      <c r="AD675" s="244">
        <f>((L674/(L674-1)-1))</f>
        <v>1.03092783505155</v>
      </c>
      <c r="AE675" t="s" s="245">
        <f>IF(L675="","",(SUM(((L673-1)*(1-_xlfn.XLOOKUP(K673,'Janeiro 2023 - Valor Real'!A3:A15,'Janeiro 2023 - Valor Real'!C3:C15,0))+1),((L674-1)*(1-_xlfn.XLOOKUP(K674,'Janeiro 2023 - Valor Real'!A3:A15,'Janeiro 2023 - Valor Real'!C3:C15,0))+1),((L675-1)*(1-_xlfn.XLOOKUP(K675,'Janeiro 2023 - Valor Real'!A3:A15,'Janeiro 2023 - Valor Real'!C3:C15,0))+1))/((L675-1)*(1-_xlfn.XLOOKUP(K675,'Janeiro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Real'!C3:C15,0))+1))/((L673-1)*(1-_xlfn.XLOOKUP(K673,'Janeiro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Real'!C3:C15,0))+1))/((L674-1)*(1-_xlfn.XLOOKUP(K674,'Janeiro 2023 - Valor Real'!A3:A15,'Janeiro 2023 - Valor Real'!C3:C15,0))+1)+SUM(((L673-1)*(1-_xlfn.XLOOKUP(K673,'Janeiro 2023 - Valor Real'!A3:A15,'Janeiro 2023 - Valor Real'!C3:C15,0))+1),((L674-1)*(1-_xlfn.XLOOKUP(K674,'Janeiro 2023 - Valor Real'!A3:A15,'Janeiro 2023 - Valor Real'!C3:C15,0))+1),((L675-1)*(1-_xlfn.XLOOKUP(K675,'Janeiro 2023 - Valor Real'!A3:A15,'Janeiro 2023 - Valor Real'!C3:C15,0))+1))/((L675-1)*(1-_xlfn.XLOOKUP(K675,'Janeiro 2023 - Valor Real'!A3:A15,'Janeiro 2023 - Valor Real'!C3:C15,0))+1)))</f>
      </c>
      <c r="AF675" s="197">
        <f>IF($K675=AF$3,ROUND(IF(OR($C675="W",$C675="1/2W",$C675="1/2L"),$P675-$O675,IF($C675="X",0,-$O675)),2),0)</f>
        <v>0</v>
      </c>
      <c r="AG675" s="198">
        <f>IF($K675=AG$3,ROUND(IF(OR($C675="W",$C675="1/2W",$C675="1/2L"),$P675-$O675,IF($C675="X",0,-$O675)),2),0)</f>
        <v>0</v>
      </c>
      <c r="AH675" s="198">
        <f>IF($K675=AH$3,ROUND(IF(OR($C675="W",$C675="1/2W",$C675="1/2L"),$P675-$O675,IF($C675="X",0,-$O675)),2),0)</f>
        <v>0</v>
      </c>
      <c r="AI675" s="198">
        <f>IF($K675=AI$3,ROUND(IF(OR($C675="W",$C675="1/2W",$C675="1/2L"),$P675-$O675,IF($C675="X",0,-$O675)),2),0)</f>
        <v>0</v>
      </c>
      <c r="AJ675" s="198">
        <f>IF($K675=AJ$3,ROUND(IF(OR($C675="W",$C675="1/2W",$C675="1/2L"),$P675-$O675,IF($C675="X",0,-$O675)),2),0)</f>
        <v>0</v>
      </c>
      <c r="AK675" s="198">
        <f>IF($K675=AK$3,ROUND(IF(OR($C675="W",$C675="1/2W",$C675="1/2L"),$P675-$O675,IF($C675="X",0,-$O675)),2),0)</f>
        <v>0</v>
      </c>
      <c r="AL675" s="198">
        <f>IF($K675=AL$3,ROUND(IF(OR($C675="W",$C675="1/2W",$C675="1/2L"),$P675-$O675,IF($C675="X",0,-$O675)),2),0)</f>
        <v>0</v>
      </c>
      <c r="AM675" s="198">
        <f>IF($K675=AM$3,ROUND(IF(OR($C675="W",$C675="1/2W",$C675="1/2L"),$P675-$O675,IF($C675="X",0,-$O675)),2),0)</f>
        <v>0</v>
      </c>
      <c r="AN675" s="198">
        <f>IF($K675=AN$3,ROUND(IF(OR($C675="W",$C675="1/2W",$C675="1/2L"),$P675-$O675,IF($C675="X",0,-$O675)),2),0)</f>
        <v>0</v>
      </c>
      <c r="AO675" s="198">
        <f>IF($K675=AO$3,ROUND(IF(OR($C675="W",$C675="1/2W",$C675="1/2L"),$P675-$O675,IF($C675="X",0,-$O675)),2),0)</f>
        <v>0</v>
      </c>
      <c r="AP675" s="198">
        <f>IF($K675=AP$3,ROUND(IF(OR($C675="W",$C675="1/2W",$C675="1/2L"),$P675-$O675,IF($C675="X",0,-$O675)),2),0)</f>
        <v>0</v>
      </c>
      <c r="AQ675" s="198">
        <f>IF($K675=AQ$3,ROUND(IF(OR($C675="W",$C675="1/2W",$C675="1/2L"),$P675-$O675,IF($C675="X",0,-$O675)),2),0)</f>
        <v>0</v>
      </c>
      <c r="AR675" s="199">
        <f>IF($K675=AR$3,ROUND(IF(OR($C675="W",$C675="1/2W",$C675="1/2L"),$P675-$O675,IF($C675="X",0,-$O675)),2),0)</f>
        <v>0</v>
      </c>
      <c r="AS675" s="197">
        <f>IF(AND($B673=" ",$K675=AS$3),$O675,0)</f>
        <v>0</v>
      </c>
      <c r="AT675" s="198">
        <f>IF(AND($B673=" ",K675=AT$3),$O675,0)</f>
        <v>0</v>
      </c>
      <c r="AU675" s="198">
        <f>IF(AND($B673=" ",$K675=AU$3),$O675,0)</f>
        <v>0</v>
      </c>
      <c r="AV675" s="198">
        <f>IF(AND($B673=" ",$K675=AV$3),$O675,0)</f>
        <v>0</v>
      </c>
      <c r="AW675" s="198">
        <f>IF(AND($B673=" ",$K675=AW$3),$O675,0)</f>
        <v>0</v>
      </c>
      <c r="AX675" s="198">
        <f>IF(AND($B673=" ",$K675=AX$3),$O675,0)</f>
        <v>0</v>
      </c>
      <c r="AY675" s="200">
        <f>IF(AND($B673=" ",$K675=AY$3),$O675,0)</f>
        <v>0</v>
      </c>
      <c r="AZ675" s="201">
        <f>IF(AND($B673=" ",$K675=AZ$3),$O675,0)</f>
        <v>0</v>
      </c>
      <c r="BA675" s="201">
        <f>IF(AND($B673=" ",$K675=BA$3),$O675,0)</f>
        <v>0</v>
      </c>
      <c r="BB675" s="201">
        <f>IF(AND($B673=" ",$K675=BB$3),$O675,0)</f>
        <v>0</v>
      </c>
      <c r="BC675" s="202">
        <f>IF(AND($B673=" ",$K675=BC$3),$O675,0)</f>
        <v>0</v>
      </c>
      <c r="BD675" s="198">
        <f>IF(AND($B673=" ",$K675=BD$3),$O675,0)</f>
        <v>0</v>
      </c>
      <c r="BE675" s="199">
        <f>IF(AND($B673=" ",$K675=BE$3),$O675,0)</f>
        <v>0</v>
      </c>
      <c r="BF675" s="197">
        <f>IF($K675=BF$3,IF($C675="X",0,$O675),0)</f>
        <v>0</v>
      </c>
      <c r="BG675" s="198">
        <f>IF($K675=BG$3,IF($C675="X",0,$O675),0)</f>
        <v>0</v>
      </c>
      <c r="BH675" s="198">
        <f>IF($K675=BH$3,IF($C675="X",0,$O675),0)</f>
        <v>0</v>
      </c>
      <c r="BI675" s="198">
        <f>IF($K675=BI$3,IF($C675="X",0,$O675),0)</f>
        <v>0</v>
      </c>
      <c r="BJ675" s="198">
        <f>IF($K675=BJ$3,IF($C675="X",0,$O675),0)</f>
        <v>0</v>
      </c>
      <c r="BK675" s="198">
        <f>IF($K675=BK$3,IF($C675="X",0,$O675),0)</f>
        <v>0</v>
      </c>
      <c r="BL675" s="198">
        <f>IF($K675=BL$3,IF($C675="X",0,$O675),0)</f>
        <v>0</v>
      </c>
      <c r="BM675" s="200">
        <f>IF($K675=BM$3,IF($C675="X",0,$O675),0)</f>
        <v>0</v>
      </c>
      <c r="BN675" s="201">
        <f>IF($K675=BN$3,IF($C675="X",0,$O675),0)</f>
        <v>0</v>
      </c>
      <c r="BO675" s="201">
        <f>IF($K675=BO$3,IF($C675="X",0,$O675),0)</f>
        <v>0</v>
      </c>
      <c r="BP675" s="201">
        <f>IF($K675=BP$3,IF($C675="X",0,$O675),0)</f>
        <v>0</v>
      </c>
      <c r="BQ675" s="202">
        <f>IF($K675=BQ$3,IF($C675="X",0,$O675),0)</f>
        <v>0</v>
      </c>
      <c r="BR675" s="199">
        <f>IF($K675=BR$3,IF($C675="X",0,$O675),0)</f>
        <v>0</v>
      </c>
      <c r="BS675" s="228"/>
      <c r="BT675" s="229"/>
      <c r="BU675" s="140"/>
      <c r="BV675" s="229"/>
      <c r="BW675" s="140"/>
      <c r="BX675" s="140"/>
      <c r="BY675" s="140"/>
      <c r="BZ675" s="229"/>
      <c r="CA675" s="140"/>
      <c r="CB675" s="140"/>
      <c r="CC675" s="140"/>
      <c r="CD675" s="141"/>
      <c r="CE675" s="142"/>
      <c r="CF675" s="230">
        <f>IF(CF$3=$K675,IF($C675="W",1,IF($C675="1/2W",0.5,0)),0)</f>
        <v>0</v>
      </c>
      <c r="CG675" s="231">
        <f>IF(CF$3=$K675,IF($C675="L",1,IF($C675="1/2L",0.5,0)),0)</f>
        <v>0</v>
      </c>
      <c r="CH675" s="231">
        <f>IF(CH$3=$K675,IF($C675="W",1,IF($C675="1/2W",0.5,0)),0)</f>
        <v>0</v>
      </c>
      <c r="CI675" s="231">
        <f>IF(CH$3=$K675,IF($C675="L",1,IF($C675="1/2L",0.5,0)),0)</f>
        <v>0</v>
      </c>
      <c r="CJ675" s="231">
        <f>IF(CJ$3=$K675,IF($C675="W",1,IF($C675="1/2W",0.5,0)),0)</f>
        <v>0</v>
      </c>
      <c r="CK675" s="231">
        <f>IF(CJ$3=$K675,IF($C675="L",1,IF($C675="1/2L",0.5,0)),0)</f>
        <v>0</v>
      </c>
      <c r="CL675" s="231">
        <f>IF(CL$3=$K675,IF($C675="W",1,IF($C675="1/2W",0.5,0)),0)</f>
        <v>0</v>
      </c>
      <c r="CM675" s="231">
        <f>IF(CL$3=$K675,IF($C675="L",1,IF($C675="1/2L",0.5,0)),0)</f>
        <v>0</v>
      </c>
      <c r="CN675" s="231">
        <f>IF(CN$3=$K675,IF($C675="W",1,IF($C675="1/2W",0.5,0)),0)</f>
        <v>0</v>
      </c>
      <c r="CO675" s="231">
        <f>IF(CN$3=$K675,IF($C675="L",1,IF($C675="1/2L",0.5,0)),0)</f>
        <v>0</v>
      </c>
      <c r="CP675" s="231">
        <f>IF(CP$3=$K675,IF($C675="W",1,IF($C675="1/2W",0.5,0)),0)</f>
        <v>0</v>
      </c>
      <c r="CQ675" s="231">
        <f>IF(CP$3=$K675,IF($C675="L",1,IF($C675="1/2L",0.5,0)),0)</f>
        <v>0</v>
      </c>
      <c r="CR675" s="231">
        <f>IF(CR$3=$K675,IF($C675="W",1,IF($C675="1/2W",0.5,0)),0)</f>
        <v>0</v>
      </c>
      <c r="CS675" s="231">
        <f>IF(CR$3=$K675,IF($C675="L",1,IF($C675="1/2L",0.5,0)),0)</f>
        <v>0</v>
      </c>
      <c r="CT675" s="208">
        <f>IF(CT$3=$K675,IF($C675="W",1,IF($C675="1/2W",0.5,0)),0)</f>
        <v>0</v>
      </c>
      <c r="CU675" s="209">
        <f>IF(CT$3=$K675,IF($C675="L",1,IF($C675="1/2L",0.5,0)),0)</f>
        <v>0</v>
      </c>
      <c r="CV675" s="209">
        <f>IF(CV$3=$K675,IF($C675="W",1,IF($C675="1/2W",0.5,0)),0)</f>
        <v>0</v>
      </c>
      <c r="CW675" s="209">
        <f>IF(CV$3=$K675,IF($C675="L",1,IF($C675="1/2L",0.5,0)),0)</f>
        <v>0</v>
      </c>
      <c r="CX675" s="209">
        <f>IF(CX$3=$K675,IF($C675="W",1,IF($C675="1/2W",0.5,0)),0)</f>
        <v>0</v>
      </c>
      <c r="CY675" s="209">
        <f>IF(CX$3=$K675,IF($C675="L",1,IF($C675="1/2L",0.5,0)),0)</f>
        <v>0</v>
      </c>
      <c r="CZ675" s="209">
        <f>IF(CZ$3=$K675,IF($C675="W",1,IF($C675="1/2W",0.5,0)),0)</f>
        <v>0</v>
      </c>
      <c r="DA675" s="209">
        <f>IF(CZ$3=$K675,IF($C675="L",1,IF($C675="1/2L",0.5,0)),0)</f>
        <v>0</v>
      </c>
      <c r="DB675" s="209">
        <f>IF(DB$3=$K675,IF($C675="W",1,IF($C675="1/2W",0.5,0)),0)</f>
        <v>0</v>
      </c>
      <c r="DC675" s="209">
        <f>IF(DB$3=$K675,IF($C675="L",1,IF($C675="1/2L",0.5,0)),0)</f>
        <v>0</v>
      </c>
      <c r="DD675" s="209">
        <f>IF(DD$3=$K675,IF($C675="W",1,IF($C675="1/2W",0.5,0)),0)</f>
        <v>0</v>
      </c>
      <c r="DE675" s="210">
        <f>IF(DD$3=$K675,IF($C675="L",1,IF($C675="1/2L",0.5,0)),0)</f>
        <v>0</v>
      </c>
      <c r="DF675" s="211">
        <f>IF(AND(L675&lt;DF$3,$C675="W"),1+DF674,DF674)</f>
        <v>18</v>
      </c>
      <c r="DG675" s="198">
        <f>IF(DF675&gt;DF674,L675+DG674,DG674)</f>
        <v>23.918</v>
      </c>
      <c r="DH675" s="209">
        <f>IF(AND(L675&gt;DH$3,$C675="W"),1+DH674,0+DH674)</f>
        <v>16</v>
      </c>
      <c r="DI675" s="198">
        <f>IF(DH675&gt;DH674,L675+DI674,DI674)</f>
        <v>85.45999999999999</v>
      </c>
      <c r="DJ675" t="s" s="306">
        <f>IF($D673="","",$D673)</f>
        <v>481</v>
      </c>
      <c r="DK675" s="232"/>
    </row>
    <row r="676" ht="14.55" customHeight="1">
      <c r="A676" s="246">
        <f>$A673+1</f>
        <v>225</v>
      </c>
      <c r="B676" t="s" s="247">
        <f>IF(AND(_xlfn.XLOOKUP(H676,H$107:H455,G$107:G455,0)=G676,_xlfn.XLOOKUP("TempoBet",K676:K678,L676:L678,0)&gt;0),"X",IF(OR(C676="W",C677="W",C678="W",C676="1/2W",C677="1/2W",C678="1/2W",C676="1/2L",C677="1/2L",C678="1/2L"),"OK",IF(OR(C676="L",C677="L",C678="L"),"LOSS",IF(OR(C676="X",C677="X",C678="X"),"Anulado"," "))))</f>
        <v>50</v>
      </c>
      <c r="C676" t="s" s="248">
        <v>56</v>
      </c>
      <c r="D676" t="s" s="303">
        <f>IF(G676="","",$D673)</f>
        <v>481</v>
      </c>
      <c r="E676" t="s" s="250">
        <v>63</v>
      </c>
      <c r="F676" t="s" s="251">
        <f>IF(G676="","",IF(OR(AND($C676&lt;&gt;" ",$C677=" "),AND($C677&lt;&gt;" ",$C676=" "),AND(L678&gt;0,OR(AND($C678&lt;&gt;" ",OR($C676=" ",$C677=" ")),AND($C678=" ",OR($C676&lt;&gt;" ",$C677&lt;&gt;" "))))),IF(SUM(F$4:F675)=0,1,LARGE(F$4:F675,1)+1),IF(MONTH(G676)=MONTH(TODAY()),IF(AND(DAY(G676)&lt;DAY(TODAY()),$B676=" "),IF(SUM(F$4:F675)=0,1,LARGE(F$4:F675,1)+1),IF($B676=" ",IF(AND(DAY(G676)=DAY(TODAY()),HOUR(G676)&lt;=HOUR(NOW())+1),IF(AND(HOUR(G676)+2&lt;=HOUR(NOW()),DAY(G676)&lt;=DAY(TODAY()),MINUTE(G676)&lt;=MINUTE(NOW())),IF(SUM(F$4:F675)=0,1,LARGE(F$4:F675,1)+1),IF(OR(MINUTE(G676)&lt;=MINUTE(NOW()),HOUR(G676)&lt;=HOUR(NOW())),"!!!","")),""),"")),"")))</f>
      </c>
      <c r="G676" s="252">
        <v>44958</v>
      </c>
      <c r="H676" t="s" s="253">
        <v>482</v>
      </c>
      <c r="I676" s="292">
        <v>2</v>
      </c>
      <c r="J676" s="293"/>
      <c r="K676" t="s" s="256">
        <v>37</v>
      </c>
      <c r="L676" s="257">
        <v>2.1</v>
      </c>
      <c r="M676" s="258">
        <v>6.36</v>
      </c>
      <c r="N676" s="259">
        <v>0</v>
      </c>
      <c r="O676" s="260">
        <f>IF(OR(AE676="",AE677=""),"",ROUND(IF(L678&gt;0,IF(M676&gt;0,M676,IF(M677&gt;0,ROUND((M677*AE676)/AE677,IF(N676=0,2,IF(N676=0.1,1,0))),ROUND((M678*AE676)/AE678,IF(N676=0,2,IF(N676=0.1,1,0))))),IF(M676&gt;0,M676,ROUND((M677*AE676)/AE677,IF(N676=0,2,IF(N676=0.1,1,0))))),2))</f>
        <v>6.36</v>
      </c>
      <c r="P676" s="261">
        <f>IF(OR(L676="",O676=""),"",IF($C676="1/2W",O676/2+O676/2*L676,IF($C676="1/2L",O676/2,IF(I676="Lay",(O676*(L676/(L676-1))-O676)*(1-_xlfn.XLOOKUP(K676,'Janeiro 2023 - Valor Real'!A3:A15,'Janeiro 2023 - Valor Real'!C3:C15,0))+O676,(O676*L676-O676)*(1-_xlfn.XLOOKUP(K676,'Janeiro 2023 - Valor Real'!A3:A15,'Janeiro 2023 - Valor Real'!C3:C15,0))+O676))))</f>
        <v>13.356</v>
      </c>
      <c r="Q676" s="262">
        <f>IF(K676="","",IF(_xlfn.XLOOKUP(K676,K$107:K455,DJ$107:DJ455,0,,-1)=DJ676,_xlfn.XLOOKUP(K676,K$107:K455,Q$107:Q455,1,,-1)+1,1))</f>
        <v>1</v>
      </c>
      <c r="R676" s="263">
        <f>IF(K676="","",_xlfn.XLOOKUP(K676,K$107:K455,R$107:R455,0,,-1)+IF($C676=" ",1,0))</f>
        <v>0</v>
      </c>
      <c r="S676" s="264">
        <f>IF($B676="Anulado",0,ROUND(IF(OR($B676="LOSS",$B676="OK"),IF(OR($C676="W",$C676="1/2W",$C676="1/2L"),P676-O676,IF($C676="L",-O676,0))+IF(OR($C677="W",$C677="1/2W",$C677="1/2L"),P677-O677,IF($C677="L",-O677,0))+IF(OR($C678="W",$C678="1/2W",$C678="1/2L"),P678-O678,IF($C678="L",-O678,0)),IF(AND(OR($C676="W",$C676="1/2W",$C676="1/2L"),C677="W"),P676+P677-SUM(O676:O678)+_xlfn.XLOOKUP("X",C676:C678,O676:O678,0),IF(AND(C676=TRUE,C678="W"),P676+P678-SUM(O676:O678),IF(AND(C677="W",C678="W"),P677+P678-SUM(O676:O678)+_xlfn.XLOOKUP("X",C676:C678,O676:O678,0),IF(L678&gt;0,IF(OR($C676="W",$C676="1/2W",$C676="1/2L"),P676-SUM(O676:O678)+_xlfn.XLOOKUP("X",C676:C678,O676:O678,0),IF(OR($C676="W",$C676="1/2W",$C676="1/2L"),P677-SUM(O676:O678)+_xlfn.XLOOKUP("X",C676:C678,O676:O678,0),IF(OR($C676="W",$C676="1/2W",$C676="1/2L"),P678-SUM(O676:O678)+_xlfn.XLOOKUP("X",C676:C678,O676:O678,0),IF(SUM(P676:P678)/3-SUM(O676:O678)+_xlfn.XLOOKUP("X",C676:C678,O676:O678,0)&gt;0,SUM(P676:P678)/3-SUM(O676:O678)+_xlfn.XLOOKUP("X",C676:C678,O676:O678,0),LARGE(P676:P678,1)-SUM(O676:O678))))),IF(OR($C676="W",$C676="1/2W",$C676="1/2L"),P676-SUM(O676:O677)+_xlfn.XLOOKUP("X",C676:C678,O676:O678,0),IF(OR($C676="W",$C676="1/2W",$C676="1/2L"),P677-SUM(O676:O677)+_xlfn.XLOOKUP("X",C676:C678,O676:O678,0),SUM(P676:P677)/2-SUM(O676:O677)+_xlfn.XLOOKUP("X",C676:C678,O676:O678,0)))))))),2))</f>
        <v>0.87</v>
      </c>
      <c r="T676" s="265">
        <f>IF(S676=0,0,S676/SUM(O676:O678))</f>
        <v>0.06965572457966369</v>
      </c>
      <c r="U676" s="266">
        <f>IF($D676=$D673,IF(OR($B676="LOSS",$B676="OK",$B676="Anulada"),S676,0)+U673,IF(OR($B676="LOSS",$B676="OK",$B676="Anulada"),S676,0))</f>
        <v>3.1</v>
      </c>
      <c r="V676" s="266">
        <f>IF($D676="",0,IF($D676=$D673,IF($B676=" ",IF(I678="",IF(OR(AND(I676="DNB1",I677="DNB2"),AND(OR(I676="DNB1",I676="DNB2"),J677=0),AND(OR(I677="DNB1",I677="DNB2"),J676=0),AND(I676="DNB2",I677="DNB1"),AND(IF(J676=0,(J676+1)/ROUND(J676+1,0),J676/ROUND(J676,0))=1,IF(J677=0,(J677+1)/ROUND(IF(J677="",0,J677)+1,0),IF(J677="",0,J677)/ROUND(IF(J677="",1,J677),0))=1,OR(J676&lt;&gt;""),J677&lt;&gt;"")),0,IF(S676&lt;0,IF(I678="",SMALL(P676:P677,1)-SUM(O676:O677),0),SMALL(P676:P677,1)-SUM(O676:O677))),IF(S676&lt;0,IF(I678="",SMALL(P676:P678,1)-SUM(O676:O678),0),LARGE(P676:P678,1)-SUM(O676:O678))),S676)+V673,IF(I678="",IF(OR(AND(I676="DNB1",I677="DNB2"),AND(OR(I676="DNB1",I676="DNB2"),J677=0),AND(OR(I677="DNB1",I677="DNB2"),J676=0),AND(I676="DNB2",I677="DNB1"),AND(IF(J676=0,(J676+1)/ROUND(J676+1,0),J676/ROUND(J676,0))=1,IF(J677=0,(IF(J677="",0,J677)+1)/ROUND(IF(J677="",0,J677)+1,0),IF(J677="",0,J677)/ROUND(IF(J677="",0,J677)+1,0))=1,OR(J676&lt;&gt;""),J677&lt;&gt;"")),0,IF(S676&lt;0,IF(I678="",SMALL(P676:P677,1)-SUM(O676:O677),0),SMALL(P676:P678,1)-SUM(O676:O678))),IF(S676&lt;0,IF(I678="",SMALL(P676:P678,1)-SUM(O676:O678),0),LARGE(P676:P678,1)-SUM(O676:O678)))))</f>
        <v>3.0976</v>
      </c>
      <c r="W676" s="266">
        <f>IF($D676=$D673,IF(S676&lt;0,IF(I678="",S676,0),S676)+W673,S676)</f>
        <v>3.1</v>
      </c>
      <c r="X676" t="s" s="267">
        <f>IF(OR(SUM(R676:R678)=0,V676=W676),ROUND(IF(W676=0,0,W676/Y676)*100,2)&amp;"%",ROUND(IF(V676=0,0,V676/Y676)*100,2)&amp;"% a "&amp;ROUND(IF(W676=0,0,W676/Y676)*100,2)&amp;"%")</f>
        <v>378</v>
      </c>
      <c r="Y676" s="268">
        <f>IF($D676=$D673,Y673+SUM(O676:O678),SUM(O676:O678))</f>
        <v>54.42</v>
      </c>
      <c r="Z676" s="266">
        <f>IF($B676=" ",SUM(O676:O678),0)+Z673</f>
        <v>0</v>
      </c>
      <c r="AA676" s="266">
        <f>IF(G676="","",IF($B676="Anulado",LARGE(P676:P678,1)-SUM(O676:O678)+AA673,AA673))</f>
        <v>27.7065076923077</v>
      </c>
      <c r="AB676" s="266">
        <f>IF($D676="","",AB673+S676)</f>
        <v>474.28</v>
      </c>
      <c r="AC676" s="269">
        <f>IF($D676="","",IF($B676=" ",IF(DAY(G676)=DAY(TODAY()),1+AC673,0+AC673),0+AC673))</f>
        <v>0</v>
      </c>
      <c r="AD676" s="270">
        <f>(1-_xlfn.XLOOKUP(K674,'Janeiro 2023 - Valor Real'!A3:A15,'Janeiro 2023 - Valor Real'!C3:C15,0))+1</f>
        <v>2</v>
      </c>
      <c r="AE676" s="271">
        <f>IF(L676="","",IF(L678&gt;0,(SUM(((L676-1)*(1-_xlfn.XLOOKUP(K676,'Janeiro 2023 - Valor Real'!A3:A15,'Janeiro 2023 - Valor Real'!C3:C15,0))+1),((L677-1)*(1-_xlfn.XLOOKUP(K677,'Janeiro 2023 - Valor Real'!A3:A15,'Janeiro 2023 - Valor Real'!C3:C15,0))+1),((L678-1)*(1-_xlfn.XLOOKUP(K678,'Janeiro 2023 - Valor Real'!A3:A15,'Janeiro 2023 - Valor Real'!C3:C15,0))+1))/((L676-1)*(1-_xlfn.XLOOKUP(K676,'Janeiro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Real'!C3:C15,0))+1))/((L676-1)*(1-_xlfn.XLOOKUP(K676,'Janeiro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Real'!C3:C15,0))+1))/((L677-1)*(1-_xlfn.XLOOKUP(K677,'Janeiro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Real'!C3:C15,0))+1))/((L678-1)*(1-_xlfn.XLOOKUP(K678,'Janeiro 2023 - Valor Real'!A3:A15,'Janeiro 2023 - Valor Real'!C3:C15,0))+1)),IF(I676="Lay",IF(I677="Lay",((L677/(L677-1)-1)*(1-_xlfn.XLOOKUP(K677,'Janeiro 2023 - Valor Real'!A3:A15,'Janeiro 2023 - Valor Real'!C3:C15,0))+1)/(((L677/(L677-1)-1)*(1-_xlfn.XLOOKUP(K677,'Janeiro 2023 - Valor Real'!A3:A15,'Janeiro 2023 - Valor Real'!C3:C15,0))+1)+((L676/(L676-1)-1)*(1-_xlfn.XLOOKUP(K676,'Janeiro 2023 - Valor Real'!A3:A15,'Janeiro 2023 - Valor Real'!C3:C15,0))+1)),((L677-1)*(1-_xlfn.XLOOKUP(K677,'Janeiro 2023 - Valor Real'!A3:A15,'Janeiro 2023 - Valor Real'!C3:C15,0))+1)/(((L677-1)*(1-_xlfn.XLOOKUP(K677,'Janeiro 2023 - Valor Real'!A3:A15,'Janeiro 2023 - Valor Real'!C3:C15,0))+1)+((L676/(L676-1)-1)*(1-_xlfn.XLOOKUP(K676,'Janeiro 2023 - Valor Real'!A3:A15,'Janeiro 2023 - Valor Real'!C3:C15,0))+1))),IF(I677="Lay",(((L677/(L677-1)-1)*(1-_xlfn.XLOOKUP(K677,'Janeiro 2023 - Valor Real'!A3:A15,'Janeiro 2023 - Valor Real'!C3:C15,0))+1))/(((L676-1)*(1-_xlfn.XLOOKUP(K676,'Janeiro 2023 - Valor Real'!A3:A15,'Janeiro 2023 - Valor Real'!C3:C15,0))+1)+((L677/(L677-1)-1)*(1-_xlfn.XLOOKUP(K677,'Janeiro 2023 - Valor Real'!A3:A15,'Janeiro 2023 - Valor Real'!C3:C15,0))+1)),((L677-1)*(1-_xlfn.XLOOKUP(K677,'Janeiro 2023 - Valor Real'!A3:A15,'Janeiro 2023 - Valor Real'!C3:C15,0))+1)/(((L677-1)*(1-_xlfn.XLOOKUP(K677,'Janeiro 2023 - Valor Real'!A3:A15,'Janeiro 2023 - Valor Real'!C3:C15,0))+1)+((L676-1)*(1-_xlfn.XLOOKUP(K676,'Janeiro 2023 - Valor Real'!A3:A15,'Janeiro 2023 - Valor Real'!C3:C15,0))+1))))))</f>
        <v>0.509345794392523</v>
      </c>
      <c r="AF676" s="132">
        <f>IF($K676=AF$3,ROUND(IF(OR($C676="W",$C676="1/2W",$C676="1/2L"),$P676-$O676,IF($C676="X",0,-$O676)),2),0)</f>
        <v>7</v>
      </c>
      <c r="AG676" s="133">
        <f>IF($K676=AG$3,ROUND(IF(OR($C676="W",$C676="1/2W",$C676="1/2L"),$P676-$O676,IF($C676="X",0,-$O676)),2),0)</f>
        <v>0</v>
      </c>
      <c r="AH676" s="133">
        <f>IF($K676=AH$3,ROUND(IF(OR($C676="W",$C676="1/2W",$C676="1/2L"),$P676-$O676,IF($C676="X",0,-$O676)),2),0)</f>
        <v>0</v>
      </c>
      <c r="AI676" s="133">
        <f>IF($K676=AI$3,ROUND(IF(OR($C676="W",$C676="1/2W",$C676="1/2L"),$P676-$O676,IF($C676="X",0,-$O676)),2),0)</f>
        <v>0</v>
      </c>
      <c r="AJ676" s="133">
        <f>IF($K676=AJ$3,ROUND(IF(OR($C676="W",$C676="1/2W",$C676="1/2L"),$P676-$O676,IF($C676="X",0,-$O676)),2),0)</f>
        <v>0</v>
      </c>
      <c r="AK676" s="133">
        <f>IF($K676=AK$3,ROUND(IF(OR($C676="W",$C676="1/2W",$C676="1/2L"),$P676-$O676,IF($C676="X",0,-$O676)),2),0)</f>
        <v>0</v>
      </c>
      <c r="AL676" s="133">
        <f>IF($K676=AL$3,ROUND(IF(OR($C676="W",$C676="1/2W",$C676="1/2L"),$P676-$O676,IF($C676="X",0,-$O676)),2),0)</f>
        <v>0</v>
      </c>
      <c r="AM676" s="133">
        <f>IF($K676=AM$3,ROUND(IF(OR($C676="W",$C676="1/2W",$C676="1/2L"),$P676-$O676,IF($C676="X",0,-$O676)),2),0)</f>
        <v>0</v>
      </c>
      <c r="AN676" s="133">
        <f>IF($K676=AN$3,ROUND(IF(OR($C676="W",$C676="1/2W",$C676="1/2L"),$P676-$O676,IF($C676="X",0,-$O676)),2),0)</f>
        <v>0</v>
      </c>
      <c r="AO676" s="133">
        <f>IF($K676=AO$3,ROUND(IF(OR($C676="W",$C676="1/2W",$C676="1/2L"),$P676-$O676,IF($C676="X",0,-$O676)),2),0)</f>
        <v>0</v>
      </c>
      <c r="AP676" s="133">
        <f>IF($K676=AP$3,ROUND(IF(OR($C676="W",$C676="1/2W",$C676="1/2L"),$P676-$O676,IF($C676="X",0,-$O676)),2),0)</f>
        <v>0</v>
      </c>
      <c r="AQ676" s="133">
        <f>IF($K676=AQ$3,ROUND(IF(OR($C676="W",$C676="1/2W",$C676="1/2L"),$P676-$O676,IF($C676="X",0,-$O676)),2),0)</f>
        <v>0</v>
      </c>
      <c r="AR676" s="134">
        <f>IF($K676=AR$3,ROUND(IF(OR($C676="W",$C676="1/2W",$C676="1/2L"),$P676-$O676,IF($C676="X",0,-$O676)),2),0)</f>
        <v>0</v>
      </c>
      <c r="AS676" s="132">
        <f>IF(AND($B676=" ",$K676=AS$3),$O676,0)</f>
        <v>0</v>
      </c>
      <c r="AT676" s="133">
        <f>IF(AND($B676=" ",$K676=AT$3),$O676,0)</f>
        <v>0</v>
      </c>
      <c r="AU676" s="133">
        <f>IF(AND($B676=" ",$K676=AU$3),$O676,0)</f>
        <v>0</v>
      </c>
      <c r="AV676" s="133">
        <f>IF(AND($B676=" ",$K676=AV$3),$O676,0)</f>
        <v>0</v>
      </c>
      <c r="AW676" s="133">
        <f>IF(AND($B676=" ",$K676=AW$3),$O676,0)</f>
        <v>0</v>
      </c>
      <c r="AX676" s="133">
        <f>IF(AND($B676=" ",$K676=AX$3),$O676,0)</f>
        <v>0</v>
      </c>
      <c r="AY676" s="135">
        <f>IF(AND($B676=" ",$K676=AY$3),$O676,0)</f>
        <v>0</v>
      </c>
      <c r="AZ676" s="136">
        <f>IF(AND($B676=" ",$K676=AZ$3),$O676,0)</f>
        <v>0</v>
      </c>
      <c r="BA676" s="136">
        <f>IF(AND($B676=" ",$K676=BA$3),$O676,0)</f>
        <v>0</v>
      </c>
      <c r="BB676" s="136">
        <f>IF(AND($B676=" ",$K676=BB$3),$O676,0)</f>
        <v>0</v>
      </c>
      <c r="BC676" s="137">
        <f>IF(AND($B676=" ",$K676=BC$3),$O676,0)</f>
        <v>0</v>
      </c>
      <c r="BD676" s="133">
        <f>IF(AND($B676=" ",$K676=BD$3),$O676,0)</f>
        <v>0</v>
      </c>
      <c r="BE676" s="134">
        <f>IF(AND($B676=" ",$K676=BE$3),$O676,0)</f>
        <v>0</v>
      </c>
      <c r="BF676" s="132">
        <f>IF($K676=BF$3,IF($C676="X",0,$O676),0)</f>
        <v>6.36</v>
      </c>
      <c r="BG676" s="133">
        <f>IF($K676=BG$3,IF($C676="X",0,$O676),0)</f>
        <v>0</v>
      </c>
      <c r="BH676" s="133">
        <f>IF($K676=BH$3,IF($C676="X",0,$O676),0)</f>
        <v>0</v>
      </c>
      <c r="BI676" s="133">
        <f>IF($K676=BI$3,IF($C676="X",0,$O676),0)</f>
        <v>0</v>
      </c>
      <c r="BJ676" s="133">
        <f>IF($K676=BJ$3,IF($C676="X",0,$O676),0)</f>
        <v>0</v>
      </c>
      <c r="BK676" s="133">
        <f>IF($K676=BK$3,IF($C676="X",0,$O676),0)</f>
        <v>0</v>
      </c>
      <c r="BL676" s="133">
        <f>IF($K676=BL$3,IF($C676="X",0,$O676),0)</f>
        <v>0</v>
      </c>
      <c r="BM676" s="135">
        <f>IF($K676=BM$3,IF($C676="X",0,$O676),0)</f>
        <v>0</v>
      </c>
      <c r="BN676" s="136">
        <f>IF($K676=BN$3,IF($C676="X",0,$O676),0)</f>
        <v>0</v>
      </c>
      <c r="BO676" s="136">
        <f>IF($K676=BO$3,IF($C676="X",0,$O676),0)</f>
        <v>0</v>
      </c>
      <c r="BP676" s="136">
        <f>IF($K676=BP$3,IF($C676="X",0,$O676),0)</f>
        <v>0</v>
      </c>
      <c r="BQ676" s="137">
        <f>IF($K676=BQ$3,IF($C676="X",0,$O676),0)</f>
        <v>0</v>
      </c>
      <c r="BR676" s="134">
        <f>IF($K676=BR$3,IF($C676="X",0,$O676),0)</f>
        <v>0</v>
      </c>
      <c r="BS676" s="170">
        <f>IF($B676="LOSS",IF(AND($K676=BS$3,$C676="L"),-$O676,0)+IF(AND($K677=BS$3,$C677="L"),-$O677,0)+IF(AND($K678=BS$3,$C678="L"),-$O678,0),IF(OR(AND($K676=BS$3,OR($C676="W",$C676="1/2W")),AND($K677=BS$3,OR($C677="W",$C677="1/2W")),AND($K678=BS$3,OR($C678="W",$C678="1/2W"))),$S676,0))</f>
        <v>0.87</v>
      </c>
      <c r="BT676" s="272">
        <f>IF($B676="LOSS",IF(AND($K676=BT$3,$C676="L"),-$O676,0)+IF(AND($K677=BT$3,$C677="L"),-$O677,0)+IF(AND($K677=BT$3,$C678="L"),-$O678,0),IF(OR(AND($K677=BT$3,OR($C676="W",$C676="1/2W")),AND($K677=BT$3,OR($C677="W",$C677="1/2W")),AND($K677=BT$3,OR($C678="W",$C678="1/2W"))),$S676,0))</f>
        <v>0</v>
      </c>
      <c r="BU676" s="136">
        <f>IF($B676="LOSS",IF(AND($K676=BU$3,$C676="L"),-$O676,0)+IF(AND($K677=BU$3,$C677="L"),-$O677,0)+IF(AND($K677=BU$3,$C678="L"),-$O678,0),IF(OR(AND($K677=BU$3,OR($C676="W",$C676="1/2W")),AND($K677=BU$3,OR($C677="W",$C677="1/2W")),AND($K677=BU$3,OR($C678="W",$C678="1/2W"))),$S676,0))</f>
        <v>0</v>
      </c>
      <c r="BV676" s="136">
        <f>IF($B676="LOSS",IF(AND($K676=BV$3,$C676="L"),-$O676,0)+IF(AND($K677=BV$3,$C677="L"),-$O677,0)+IF(AND($K678=BV$3,$C678="L"),-$O678,0),IF(OR(AND($K676=BV$3,OR($C676="W",$C676="1/2W")),AND($K677=BV$3,OR($C677="W",$C677="1/2W")),AND($K678=BV$3,OR($C678="W",$C678="1/2W"))),$S676,0))</f>
        <v>0</v>
      </c>
      <c r="BW676" s="136">
        <f>IF($B676="LOSS",IF(AND($K676=BW$3,$C676="L"),-$O676,0)+IF(AND($K677=BW$3,$C677="L"),-$O677,0)+IF(AND($K678=BW$3,$C678="L"),-$O678,0),IF(OR(AND($K676=BW$3,OR($C676="W",$C676="1/2W")),AND($K677=BW$3,OR($C677="W",$C677="1/2W")),AND($K678=BW$3,OR($C678="W",$C678="1/2W"))),$S676,0))</f>
        <v>0</v>
      </c>
      <c r="BX676" s="136">
        <f>IF($B676="LOSS",IF(AND($K676=BX$3,$C676="L"),-$O676,0)+IF(AND($K677=BX$3,$C677="L"),-$O677,0)+IF(AND($K678=BX$3,$C678="L"),-$O678,0),IF(OR(AND($K676=BX$3,OR($C676="W",$C676="1/2W")),AND($K677=BX$3,OR($C677="W",$C677="1/2W")),AND($K678=BX$3,OR($C678="W",$C678="1/2W"))),$S676,0))</f>
        <v>0</v>
      </c>
      <c r="BY676" s="136">
        <f>IF($B676="LOSS",IF(AND($K676=BY$3,$C676="L"),-$O676,0)+IF(AND($K677=BY$3,$C677="L"),-$O677,0)+IF(AND($K678=BY$3,$C678="L"),-$O678,0),IF(OR(AND($K676=BY$3,OR($C676="W",$C676="1/2W")),AND($K677=BY$3,OR($C677="W",$C677="1/2W")),AND($K678=BY$3,OR($C678="W",$C678="1/2W"))),$S676,0))</f>
        <v>0</v>
      </c>
      <c r="BZ676" s="136">
        <f>IF($B676="LOSS",IF(AND($K676=BZ$3,$C676="L"),-$O676,0)+IF(AND($K677=BZ$3,$C677="L"),-$O677,0)+IF(AND($K678=BZ$3,$C678="L"),-$O678,0),IF(OR(AND($K676=BZ$3,OR($C676="W",$C676="1/2W")),AND($K677=BZ$3,OR($C677="W",$C677="1/2W")),AND($K678=BZ$3,OR($C678="W",$C678="1/2W"))),$S676,0))</f>
        <v>0</v>
      </c>
      <c r="CA676" s="136">
        <f>IF($B676="LOSS",IF(AND($K676=CA$3,$C676="L"),-$O676,0)+IF(AND($K677=CA$3,$C677="L"),-$O677,0)+IF(AND($K678=CA$3,$C678="L"),-$O678,0),IF(OR(AND($K676=CA$3,OR($C676="W",$C676="1/2W")),AND($K677=CA$3,OR($C677="W",$C677="1/2W")),AND($K678=CA$3,OR($C678="W",$C678="1/2W"))),$S676,0))</f>
        <v>0</v>
      </c>
      <c r="CB676" s="136">
        <f>IF($B676="LOSS",IF(AND($K676=CB$3,$C676="L"),-$O676,0)+IF(AND($K677=CB$3,$C677="L"),-$O677,0)+IF(AND($K678=CB$3,$C678="L"),-$O678,0),IF(OR(AND($K676=CB$3,OR($C676="W",$C676="1/2W")),AND($K677=CB$3,OR($C677="W",$C677="1/2W")),AND($K678=CB$3,OR($C678="W",$C678="1/2W"))),$S676,0))</f>
        <v>0</v>
      </c>
      <c r="CC676" s="136">
        <f>IF($B676="LOSS",IF(AND($K676=CC$3,$C676="L"),-$O676,0)+IF(AND($K677=CC$3,$C677="L"),-$O677,0)+IF(AND($K678=CC$3,$C678="L"),-$O678,0),IF(OR(AND($K676=CC$3,OR($C676="W",$C676="1/2W")),AND($K677=CC$3,OR($C677="W",$C677="1/2W")),AND($K678=CC$3,OR($C678="W",$C678="1/2W"))),$S676,0))</f>
        <v>0</v>
      </c>
      <c r="CD676" s="137">
        <f>IF($B676="LOSS",IF(AND($K676=CD$3,$C676="L"),-$O676,0)+IF(AND($K677=CD$3,$C677="L"),-$O677,0)+IF(AND($K678=CD$3,$C678="L"),-$O678,0),IF(OR(AND($K676=CD$3,OR($C676="W",$C676="1/2W")),AND($K677=CD$3,OR($C677="W",$C677="1/2W")),AND($K678=CD$3,OR($C678="W",$C678="1/2W"))),$S676,0))</f>
        <v>0</v>
      </c>
      <c r="CE676" s="134">
        <f>IF($B676="LOSS",IF(AND($K676=CE$3,$C676="L"),-$O676,0)+IF(AND($K677=CE$3,$C677="L"),-$O677,0)+IF(AND($K678=CE$3,$C678="L"),-$O678,0),IF(OR(AND($K676=CE$3,OR($C676="W",$C676="1/2W")),AND($K677=CE$3,OR($C677="W",$C677="1/2W")),AND($K678=CE$3,OR($C678="W",$C678="1/2W"))),$S676,0))</f>
        <v>0</v>
      </c>
      <c r="CF676" s="273">
        <f>IF(CF$3=$K676,IF($C676="W",1,IF($C676="1/2W",0.5,0)),0)</f>
        <v>1</v>
      </c>
      <c r="CG676" s="274">
        <f>IF(CF$3=$K676,IF($C676="L",1,IF($C676="1/2L",0.5,0)),0)</f>
        <v>0</v>
      </c>
      <c r="CH676" s="274">
        <f>IF(CH$3=$K676,IF($C676="W",1,IF($C676="1/2W",0.5,0)),0)</f>
        <v>0</v>
      </c>
      <c r="CI676" s="274">
        <f>IF(CH$3=$K676,IF($C676="L",1,IF($C676="1/2L",0.5,0)),0)</f>
        <v>0</v>
      </c>
      <c r="CJ676" s="274">
        <f>IF(CJ$3=$K676,IF($C676="W",1,IF($C676="1/2W",0.5,0)),0)</f>
        <v>0</v>
      </c>
      <c r="CK676" s="274">
        <f>IF(CJ$3=$K676,IF($C676="L",1,IF($C676="1/2L",0.5,0)),0)</f>
        <v>0</v>
      </c>
      <c r="CL676" s="274">
        <f>IF(CL$3=$K676,IF($C676="W",1,IF($C676="1/2W",0.5,0)),0)</f>
        <v>0</v>
      </c>
      <c r="CM676" s="274">
        <f>IF(CL$3=$K676,IF($C676="L",1,IF($C676="1/2L",0.5,0)),0)</f>
        <v>0</v>
      </c>
      <c r="CN676" s="274">
        <f>IF(CN$3=$K676,IF($C676="W",1,IF($C676="1/2W",0.5,0)),0)</f>
        <v>0</v>
      </c>
      <c r="CO676" s="274">
        <f>IF(CN$3=$K676,IF($C676="L",1,IF($C676="1/2L",0.5,0)),0)</f>
        <v>0</v>
      </c>
      <c r="CP676" s="274">
        <f>IF(CP$3=$K676,IF($C676="W",1,IF($C676="1/2W",0.5,0)),0)</f>
        <v>0</v>
      </c>
      <c r="CQ676" s="274">
        <f>IF(CP$3=$K676,IF($C676="L",1,IF($C676="1/2L",0.5,0)),0)</f>
        <v>0</v>
      </c>
      <c r="CR676" s="274">
        <f>IF(CR$3=$K676,IF($C676="W",1,IF($C676="1/2W",0.5,0)),0)</f>
        <v>0</v>
      </c>
      <c r="CS676" s="274">
        <f>IF(CR$3=$K676,IF($C676="L",1,IF($C676="1/2L",0.5,0)),0)</f>
        <v>0</v>
      </c>
      <c r="CT676" s="145">
        <f>IF(CT$3=$K676,IF($C676="W",1,IF($C676="1/2W",0.5,0)),0)</f>
        <v>0</v>
      </c>
      <c r="CU676" s="146">
        <f>IF(CT$3=$K676,IF($C676="L",1,IF($C676="1/2L",0.5,0)),0)</f>
        <v>0</v>
      </c>
      <c r="CV676" s="146">
        <f>IF(CV$3=$K676,IF($C676="W",1,IF($C676="1/2W",0.5,0)),0)</f>
        <v>0</v>
      </c>
      <c r="CW676" s="146">
        <f>IF(CV$3=$K676,IF($C676="L",1,IF($C676="1/2L",0.5,0)),0)</f>
        <v>0</v>
      </c>
      <c r="CX676" s="146">
        <f>IF(CX$3=$K676,IF($C676="W",1,IF($C676="1/2W",0.5,0)),0)</f>
        <v>0</v>
      </c>
      <c r="CY676" s="146">
        <f>IF(CX$3=$K676,IF($C676="L",1,IF($C676="1/2L",0.5,0)),0)</f>
        <v>0</v>
      </c>
      <c r="CZ676" s="146">
        <f>IF(CZ$3=$K676,IF($C676="W",1,IF($C676="1/2W",0.5,0)),0)</f>
        <v>0</v>
      </c>
      <c r="DA676" s="146">
        <f>IF(CZ$3=$K676,IF($C676="L",1,IF($C676="1/2L",0.5,0)),0)</f>
        <v>0</v>
      </c>
      <c r="DB676" s="146">
        <f>IF(DB$3=$K676,IF($C676="W",1,IF($C676="1/2W",0.5,0)),0)</f>
        <v>0</v>
      </c>
      <c r="DC676" s="146">
        <f>IF(DB$3=$K676,IF($C676="L",1,IF($C676="1/2L",0.5,0)),0)</f>
        <v>0</v>
      </c>
      <c r="DD676" s="146">
        <f>IF(DD$3=$K676,IF($C676="W",1,IF($C676="1/2W",0.5,0)),0)</f>
        <v>0</v>
      </c>
      <c r="DE676" s="147">
        <f>IF(DD$3=$K676,IF($C676="L",1,IF($C676="1/2L",0.5,0)),0)</f>
        <v>0</v>
      </c>
      <c r="DF676" s="143">
        <f>IF(AND(L676&lt;DF$3,$C676="W"),1+DF675,DF675)</f>
        <v>18</v>
      </c>
      <c r="DG676" s="133">
        <f>IF(DF676&gt;DF675,L676+DG675,DG675)</f>
        <v>23.918</v>
      </c>
      <c r="DH676" s="146">
        <f>IF(AND(L676&gt;DH$3,$C676="W"),1+DH675,0+DH675)</f>
        <v>16</v>
      </c>
      <c r="DI676" s="133">
        <f>IF(DH676&gt;DH675,L676+DI675,DI675)</f>
        <v>85.45999999999999</v>
      </c>
      <c r="DJ676" t="s" s="304">
        <f>IF($D676="","",$D676)</f>
        <v>481</v>
      </c>
      <c r="DK676" s="146">
        <f>IF(AND($B676=" ",$D676&lt;&gt;""),1,0)</f>
        <v>0</v>
      </c>
    </row>
    <row r="677" ht="14.55" customHeight="1">
      <c r="A677" s="107"/>
      <c r="B677" s="108"/>
      <c r="C677" t="s" s="109">
        <v>51</v>
      </c>
      <c r="D677" s="110"/>
      <c r="E677" s="111"/>
      <c r="F677" s="113"/>
      <c r="G677" s="252"/>
      <c r="H677" s="114"/>
      <c r="I677" s="294">
        <v>1</v>
      </c>
      <c r="J677" t="s" s="295">
        <f>IF(OR(I676="TO",I676="TU",I676="TO1",I676="TU1",I676="TO2",I676="TU2"),J676,IF(OR(I676="AH1",I676="AH2"),IF(OR(I677="AH1",I677="AH2"),-J676,IF(OR(I677="EH1",I677="EH2"),-J676+0.5,"")),IF(OR(I676="EH1",I676="EH2"),IF(OR(I677="AH1",I677="AH2"),-J676+0.5,IF(OR(I677="EH1",I677="EH2"),-J676+1,"")),IF(AND(OR(I676="DNB1",I676="DNB2"),OR(I677="AH1",I677="AH2")),0,IF(AND(I676="Not ScoreBoth",OR(I677="TO1",I677="TO2")),0.5,"")))))</f>
      </c>
      <c r="K677" t="s" s="117">
        <v>48</v>
      </c>
      <c r="L677" s="277">
        <v>2.18</v>
      </c>
      <c r="M677" s="278"/>
      <c r="N677" s="120"/>
      <c r="O677" s="121">
        <f>IF(OR(AE676="",AE677=""),"",ROUND(IF(L678&gt;0,IF(M677&gt;0,M677,IF(M676&gt;0,IF(N676=TRUE,ROUND((M676*AE677)/AE676,0),(M676*AE677)/AE676),IF(M677&gt;0,ROUND(M677,IF(N676=0,2,IF(N676=0.1,1,0))),IF(M678&gt;0,ROUND(O678*AE677/AE678,IF(N676=0,2,IF(N676=0.1,1,0))),0)))),IF(M677&gt;0,M677,ROUND((M676*AE677)/AE676,IF(N676=0,2,IF(N676=0.1,1,0))))),2))</f>
        <v>6.13</v>
      </c>
      <c r="P677" s="122">
        <f>IF(OR(L677="",O677=""),"",IF($C677="1/2W",O677/2+O677/2*L677,IF($C677="1/2L",O677/2,IF(I677="Lay",((O677*(L677/(L677-1)))-O677)*(1-_xlfn.XLOOKUP(K677,'Janeiro 2023 - Valor Real'!A3:A15,'Janeiro 2023 - Valor Real'!C3:C15,0))+O677,(O677*L677-O677)*(1-_xlfn.XLOOKUP(K677,'Janeiro 2023 - Valor Real'!A3:A15,'Janeiro 2023 - Valor Real'!C3:C15,0))+O677))))</f>
        <v>13.3634</v>
      </c>
      <c r="Q677" s="279">
        <f>IF(K677="","",IF(_xlfn.XLOOKUP(K677,K$120:K456,DJ$120:DJ456,0,,-1)=DJ677,_xlfn.XLOOKUP(K677,K$120:K456,Q$120:Q456,1,,-1)+1,1))</f>
        <v>1</v>
      </c>
      <c r="R677" s="280">
        <f>IF(K677="","",_xlfn.XLOOKUP(K677,K$120:K456,R$120:R456,0,,-1)+IF($C677=" ",1,0))</f>
        <v>0</v>
      </c>
      <c r="S677" s="125"/>
      <c r="T677" s="126"/>
      <c r="U677" s="126"/>
      <c r="V677" s="224"/>
      <c r="W677" s="126"/>
      <c r="X677" s="127"/>
      <c r="Y677" s="128"/>
      <c r="Z677" s="129"/>
      <c r="AA677" s="129"/>
      <c r="AB677" s="129"/>
      <c r="AC677" s="129"/>
      <c r="AD677" s="130"/>
      <c r="AE677" s="131">
        <f>IF(L677="","",IF(L678&gt;0,(SUM(((L676-1)*(1-_xlfn.XLOOKUP(K676,'Janeiro 2023 - Valor Real'!A3:A15,'Janeiro 2023 - Valor Real'!C3:C15,0))+1),((L677-1)*(1-_xlfn.XLOOKUP(K677,'Janeiro 2023 - Valor Real'!A3:A15,'Janeiro 2023 - Valor Real'!C3:C15,0))+1),((L678-1)*(1-_xlfn.XLOOKUP(K678,'Janeiro 2023 - Valor Real'!A3:A15,'Janeiro 2023 - Valor Real'!C3:C15,0))+1))/((L677-1)*(1-_xlfn.XLOOKUP(K677,'Janeiro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Real'!C3:C15,0))+1))/((L676-1)*(1-_xlfn.XLOOKUP(K676,'Janeiro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Real'!C3:C15,0))+1))/((L677-1)*(1-_xlfn.XLOOKUP(K677,'Janeiro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Real'!C3:C15,0))+1))/((L678-1)*(1-_xlfn.XLOOKUP(K678,'Janeiro 2023 - Valor Real'!A3:A15,'Janeiro 2023 - Valor Real'!C3:C15,0))+1)),IF(I677="Lay",IF(I676="Lay",((L676/(L676-1)-1)*(1-_xlfn.XLOOKUP(K676,'Janeiro 2023 - Valor Real'!A3:A15,'Janeiro 2023 - Valor Real'!C3:C15,0))+1)/(((L676/(L676-1)-1)*(1-_xlfn.XLOOKUP(K676,'Janeiro 2023 - Valor Real'!A3:A15,'Janeiro 2023 - Valor Real'!C3:C15,0))+1)+((L677/(L677-1)-1)*(1-_xlfn.XLOOKUP(K677,'Janeiro 2023 - Valor Real'!A3:A15,'Janeiro 2023 - Valor Real'!C3:C15,0))+1)),((L676-1)*(1-_xlfn.XLOOKUP(K676,'Janeiro 2023 - Valor Real'!A3:A15,'Janeiro 2023 - Valor Real'!C3:C15,0))+1)/(((L676-1)*(1-_xlfn.XLOOKUP(K676,'Janeiro 2023 - Valor Real'!A3:A15,'Janeiro 2023 - Valor Real'!C3:C15,0))+1)+((L677/(L677-1)-1)*(1-_xlfn.XLOOKUP(K677,'Janeiro 2023 - Valor Real'!A3:A15,'Janeiro 2023 - Valor Real'!C3:C15,0))+1))),IF(I676="Lay",((L676/(L676-1)-1)*(1-_xlfn.XLOOKUP(K676,'Janeiro 2023 - Valor Real'!A3:A15,'Janeiro 2023 - Valor Real'!C3:C15,0))+1)/((((L676/(L676-1)-1)*(1-_xlfn.XLOOKUP(K676,'Janeiro 2023 - Valor Real'!A3:A15,'Janeiro 2023 - Valor Real'!C3:C15,0))+1))+((L677-1)*(1-_xlfn.XLOOKUP(K677,'Janeiro 2023 - Valor Real'!A3:A15,'Janeiro 2023 - Valor Real'!C3:C15,0))+1)),((L676-1)*(1-_xlfn.XLOOKUP(K676,'Janeiro 2023 - Valor Real'!A3:A15,'Janeiro 2023 - Valor Real'!C3:C15,0))+1)/(((L676-1)*(1-_xlfn.XLOOKUP(K676,'Janeiro 2023 - Valor Real'!A3:A15,'Janeiro 2023 - Valor Real'!C3:C15,0))+1)+((L677-1)*(1-_xlfn.XLOOKUP(K677,'Janeiro 2023 - Valor Real'!A3:A15,'Janeiro 2023 - Valor Real'!C3:C15,0))+1))))))</f>
        <v>0.490654205607477</v>
      </c>
      <c r="AF677" s="132">
        <f>IF($K677=AF$3,ROUND(IF(OR($C677="W",$C677="1/2W",$C677="1/2L"),$P677-$O677,IF($C677="X",0,-$O677)),2),0)</f>
        <v>0</v>
      </c>
      <c r="AG677" s="133">
        <f>IF($K677=AG$3,ROUND(IF(OR($C677="W",$C677="1/2W",$C677="1/2L"),$P677-$O677,IF($C677="X",0,-$O677)),2),0)</f>
        <v>0</v>
      </c>
      <c r="AH677" s="133">
        <f>IF($K677=AH$3,ROUND(IF(OR($C677="W",$C677="1/2W",$C677="1/2L"),$P677-$O677,IF($C677="X",0,-$O677)),2),0)</f>
        <v>0</v>
      </c>
      <c r="AI677" s="133">
        <f>IF($K677=AI$3,ROUND(IF(OR($C677="W",$C677="1/2W",$C677="1/2L"),$P677-$O677,IF($C677="X",0,-$O677)),2),0)</f>
        <v>0</v>
      </c>
      <c r="AJ677" s="133">
        <f>IF($K677=AJ$3,ROUND(IF(OR($C677="W",$C677="1/2W",$C677="1/2L"),$P677-$O677,IF($C677="X",0,-$O677)),2),0)</f>
        <v>0</v>
      </c>
      <c r="AK677" s="133">
        <f>IF($K677=AK$3,ROUND(IF(OR($C677="W",$C677="1/2W",$C677="1/2L"),$P677-$O677,IF($C677="X",0,-$O677)),2),0)</f>
        <v>0</v>
      </c>
      <c r="AL677" s="133">
        <f>IF($K677=AL$3,ROUND(IF(OR($C677="W",$C677="1/2W",$C677="1/2L"),$P677-$O677,IF($C677="X",0,-$O677)),2),0)</f>
        <v>0</v>
      </c>
      <c r="AM677" s="133">
        <f>IF($K677=AM$3,ROUND(IF(OR($C677="W",$C677="1/2W",$C677="1/2L"),$P677-$O677,IF($C677="X",0,-$O677)),2),0)</f>
        <v>0</v>
      </c>
      <c r="AN677" s="133">
        <f>IF($K677=AN$3,ROUND(IF(OR($C677="W",$C677="1/2W",$C677="1/2L"),$P677-$O677,IF($C677="X",0,-$O677)),2),0)</f>
        <v>0</v>
      </c>
      <c r="AO677" s="133">
        <f>IF($K677=AO$3,ROUND(IF(OR($C677="W",$C677="1/2W",$C677="1/2L"),$P677-$O677,IF($C677="X",0,-$O677)),2),0)</f>
        <v>0</v>
      </c>
      <c r="AP677" s="133">
        <f>IF($K677=AP$3,ROUND(IF(OR($C677="W",$C677="1/2W",$C677="1/2L"),$P677-$O677,IF($C677="X",0,-$O677)),2),0)</f>
        <v>0</v>
      </c>
      <c r="AQ677" s="133">
        <f>IF($K677=AQ$3,ROUND(IF(OR($C677="W",$C677="1/2W",$C677="1/2L"),$P677-$O677,IF($C677="X",0,-$O677)),2),0)</f>
        <v>-6.13</v>
      </c>
      <c r="AR677" s="134">
        <f>IF($K677=AR$3,ROUND(IF(OR($C677="W",$C677="1/2W",$C677="1/2L"),$P677-$O677,IF($C677="X",0,-$O677)),2),0)</f>
        <v>0</v>
      </c>
      <c r="AS677" s="132">
        <f>IF(AND($B676=" ",$K677=AS$3),$O677,0)</f>
        <v>0</v>
      </c>
      <c r="AT677" s="133">
        <f>IF(AND($B676=" ",K677=AT$3),$O677,0)</f>
        <v>0</v>
      </c>
      <c r="AU677" s="133">
        <f>IF(AND($B676=" ",$K677=AU$3),$O677,0)</f>
        <v>0</v>
      </c>
      <c r="AV677" s="133">
        <f>IF(AND($B676=" ",$K677=AV$3),$O677,0)</f>
        <v>0</v>
      </c>
      <c r="AW677" s="133">
        <f>IF(AND($B676=" ",$K677=AW$3),$O677,0)</f>
        <v>0</v>
      </c>
      <c r="AX677" s="133">
        <f>IF(AND($B676=" ",$K677=AX$3),$O677,0)</f>
        <v>0</v>
      </c>
      <c r="AY677" s="135">
        <f>IF(AND($B676=" ",$K677=AY$3),$O677,0)</f>
        <v>0</v>
      </c>
      <c r="AZ677" s="136">
        <f>IF(AND($B676=" ",$K677=AZ$3),$O677,0)</f>
        <v>0</v>
      </c>
      <c r="BA677" s="136">
        <f>IF(AND($B676=" ",$K677=BA$3),$O677,0)</f>
        <v>0</v>
      </c>
      <c r="BB677" s="136">
        <f>IF(AND($B676=" ",$K677=BB$3),$O677,0)</f>
        <v>0</v>
      </c>
      <c r="BC677" s="137">
        <f>IF(AND($B676=" ",$K677=BC$3),$O677,0)</f>
        <v>0</v>
      </c>
      <c r="BD677" s="133">
        <f>IF(AND($B676=" ",$K677=BD$3),$O677,0)</f>
        <v>0</v>
      </c>
      <c r="BE677" s="134">
        <f>IF(AND($B676=" ",$K677=BE$3),$O677,0)</f>
        <v>0</v>
      </c>
      <c r="BF677" s="132">
        <f>IF($K677=BF$3,IF($C677="X",0,$O677),0)</f>
        <v>0</v>
      </c>
      <c r="BG677" s="281">
        <f>IF($K677=BG$3,IF($C677="X",0,$O677),0)</f>
        <v>0</v>
      </c>
      <c r="BH677" s="133">
        <f>IF($K677=BH$3,IF($C677="X",0,$O677),0)</f>
        <v>0</v>
      </c>
      <c r="BI677" s="133">
        <f>IF($K677=BI$3,IF($C677="X",0,$O677),0)</f>
        <v>0</v>
      </c>
      <c r="BJ677" s="133">
        <f>IF($K677=BJ$3,IF($C677="X",0,$O677),0)</f>
        <v>0</v>
      </c>
      <c r="BK677" s="133">
        <f>IF($K677=BK$3,IF($C677="X",0,$O677),0)</f>
        <v>0</v>
      </c>
      <c r="BL677" s="133">
        <f>IF($K677=BL$3,IF($C677="X",0,$O677),0)</f>
        <v>0</v>
      </c>
      <c r="BM677" s="135">
        <f>IF($K677=BM$3,IF($C677="X",0,$O677),0)</f>
        <v>0</v>
      </c>
      <c r="BN677" s="136">
        <f>IF($K677=BN$3,IF($C677="X",0,$O677),0)</f>
        <v>0</v>
      </c>
      <c r="BO677" s="136">
        <f>IF($K677=BO$3,IF($C677="X",0,$O677),0)</f>
        <v>0</v>
      </c>
      <c r="BP677" s="136">
        <f>IF($K677=BP$3,IF($C677="X",0,$O677),0)</f>
        <v>0</v>
      </c>
      <c r="BQ677" s="137">
        <f>IF($K677=BQ$3,IF($C677="X",0,$O677),0)</f>
        <v>6.13</v>
      </c>
      <c r="BR677" s="134">
        <f>IF($K677=BR$3,IF($C677="X",0,$O677),0)</f>
        <v>0</v>
      </c>
      <c r="BS677" s="282"/>
      <c r="BT677" s="283"/>
      <c r="BU677" s="140"/>
      <c r="BV677" s="283"/>
      <c r="BW677" s="140"/>
      <c r="BX677" s="140"/>
      <c r="BY677" s="140"/>
      <c r="BZ677" s="283"/>
      <c r="CA677" s="140"/>
      <c r="CB677" s="140"/>
      <c r="CC677" s="140"/>
      <c r="CD677" s="141"/>
      <c r="CE677" s="142"/>
      <c r="CF677" s="284">
        <f>IF(CF$3=$K677,IF($C677="W",1,IF($C677="1/2W",0.5,0)),0)</f>
        <v>0</v>
      </c>
      <c r="CG677" s="285">
        <f>IF(CF$3=$K677,IF($C677="L",1,IF($C677="1/2L",0.5,0)),0)</f>
        <v>0</v>
      </c>
      <c r="CH677" s="285">
        <f>IF(CH$3=$K677,IF($C677="W",1,IF($C677="1/2W",0.5,0)),0)</f>
        <v>0</v>
      </c>
      <c r="CI677" s="285">
        <f>IF(CH$3=$K677,IF($C677="L",1,IF($C677="1/2L",0.5,0)),0)</f>
        <v>0</v>
      </c>
      <c r="CJ677" s="285">
        <f>IF(CJ$3=$K677,IF($C677="W",1,IF($C677="1/2W",0.5,0)),0)</f>
        <v>0</v>
      </c>
      <c r="CK677" s="285">
        <f>IF(CJ$3=$K677,IF($C677="L",1,IF($C677="1/2L",0.5,0)),0)</f>
        <v>0</v>
      </c>
      <c r="CL677" s="285">
        <f>IF(CL$3=$K677,IF($C677="W",1,IF($C677="1/2W",0.5,0)),0)</f>
        <v>0</v>
      </c>
      <c r="CM677" s="285">
        <f>IF(CL$3=$K677,IF($C677="L",1,IF($C677="1/2L",0.5,0)),0)</f>
        <v>0</v>
      </c>
      <c r="CN677" s="285">
        <f>IF(CN$3=$K677,IF($C677="W",1,IF($C677="1/2W",0.5,0)),0)</f>
        <v>0</v>
      </c>
      <c r="CO677" s="285">
        <f>IF(CN$3=$K677,IF($C677="L",1,IF($C677="1/2L",0.5,0)),0)</f>
        <v>0</v>
      </c>
      <c r="CP677" s="285">
        <f>IF(CP$3=$K677,IF($C677="W",1,IF($C677="1/2W",0.5,0)),0)</f>
        <v>0</v>
      </c>
      <c r="CQ677" s="285">
        <f>IF(CP$3=$K677,IF($C677="L",1,IF($C677="1/2L",0.5,0)),0)</f>
        <v>0</v>
      </c>
      <c r="CR677" s="285">
        <f>IF(CR$3=$K677,IF($C677="W",1,IF($C677="1/2W",0.5,0)),0)</f>
        <v>0</v>
      </c>
      <c r="CS677" s="285">
        <f>IF(CR$3=$K677,IF($C677="L",1,IF($C677="1/2L",0.5,0)),0)</f>
        <v>0</v>
      </c>
      <c r="CT677" s="145">
        <f>IF(CT$3=$K677,IF($C677="W",1,IF($C677="1/2W",0.5,0)),0)</f>
        <v>0</v>
      </c>
      <c r="CU677" s="146">
        <f>IF(CT$3=$K677,IF($C677="L",1,IF($C677="1/2L",0.5,0)),0)</f>
        <v>0</v>
      </c>
      <c r="CV677" s="146">
        <f>IF(CV$3=$K677,IF($C677="W",1,IF($C677="1/2W",0.5,0)),0)</f>
        <v>0</v>
      </c>
      <c r="CW677" s="146">
        <f>IF(CV$3=$K677,IF($C677="L",1,IF($C677="1/2L",0.5,0)),0)</f>
        <v>0</v>
      </c>
      <c r="CX677" s="146">
        <f>IF(CX$3=$K677,IF($C677="W",1,IF($C677="1/2W",0.5,0)),0)</f>
        <v>0</v>
      </c>
      <c r="CY677" s="146">
        <f>IF(CX$3=$K677,IF($C677="L",1,IF($C677="1/2L",0.5,0)),0)</f>
        <v>0</v>
      </c>
      <c r="CZ677" s="146">
        <f>IF(CZ$3=$K677,IF($C677="W",1,IF($C677="1/2W",0.5,0)),0)</f>
        <v>0</v>
      </c>
      <c r="DA677" s="146">
        <f>IF(CZ$3=$K677,IF($C677="L",1,IF($C677="1/2L",0.5,0)),0)</f>
        <v>0</v>
      </c>
      <c r="DB677" s="146">
        <f>IF(DB$3=$K677,IF($C677="W",1,IF($C677="1/2W",0.5,0)),0)</f>
        <v>0</v>
      </c>
      <c r="DC677" s="146">
        <f>IF(DB$3=$K677,IF($C677="L",1,IF($C677="1/2L",0.5,0)),0)</f>
        <v>1</v>
      </c>
      <c r="DD677" s="146">
        <f>IF(DD$3=$K677,IF($C677="W",1,IF($C677="1/2W",0.5,0)),0)</f>
        <v>0</v>
      </c>
      <c r="DE677" s="147">
        <f>IF(DD$3=$K677,IF($C677="L",1,IF($C677="1/2L",0.5,0)),0)</f>
        <v>0</v>
      </c>
      <c r="DF677" s="143">
        <f>IF(AND(L677&lt;DF$3,$C677="W"),1+DF676,DF676)</f>
        <v>18</v>
      </c>
      <c r="DG677" s="133">
        <f>IF(DF677&gt;DF676,L677+DG676,DG676)</f>
        <v>23.918</v>
      </c>
      <c r="DH677" s="146">
        <f>IF(AND(L677&gt;DH$3,$C677="W"),1+DH676,0+DH676)</f>
        <v>16</v>
      </c>
      <c r="DI677" s="133">
        <f>IF(DH677&gt;DH676,L677+DI676,DI676)</f>
        <v>85.45999999999999</v>
      </c>
      <c r="DJ677" t="s" s="304">
        <f>IF($D676="","",$D676)</f>
        <v>481</v>
      </c>
      <c r="DK677" s="286"/>
    </row>
    <row r="678" ht="14.55" customHeight="1">
      <c r="A678" s="149"/>
      <c r="B678" s="150"/>
      <c r="C678" t="s" s="151">
        <v>58</v>
      </c>
      <c r="D678" s="152"/>
      <c r="E678" s="153"/>
      <c r="F678" s="155"/>
      <c r="G678" s="252"/>
      <c r="H678" s="156"/>
      <c r="I678" s="287"/>
      <c r="J678" s="288"/>
      <c r="K678" s="156"/>
      <c r="L678" s="289"/>
      <c r="M678" s="290"/>
      <c r="N678" s="161"/>
      <c r="O678" t="s" s="162">
        <f>IF(OR(AE676="",AE677=""),"",IF(L678&gt;0,ROUND(IF(M678&gt;0,M678,IF(M676&gt;0,ROUND((M676*AE678)/AE676,IF(N676=0,2,IF(N676=0.1,1,0))),IF(M677&gt;0,ROUND((M677*AE678)/AE677,IF(N676=0,2,IF(N676=0.1,1,0))),IF(M678&gt;0,M678,0)))),2),""))</f>
      </c>
      <c r="P678" t="s" s="163">
        <f>IF(I677="Lay",O677*(L677/(L677-1))-O677,IF(I676="Lay",O676*(L676/(L676-1))-O676,IF(OR(L678="",O678=""),"",IF($C678="1/2W",O678/2+O678/2*L678,IF($C678="1/2L",O678/2,(O678*L678-O678)*(1-_xlfn.XLOOKUP(K678,'Janeiro 2023 - Valor Real'!A3:A15,'Janeiro 2023 - Valor Real'!C3:C15,0))+O678)))))</f>
      </c>
      <c r="Q678" t="s" s="154">
        <f>IF(K678="","",IF(_xlfn.XLOOKUP(K678,K$121:K457,DJ$121:DJ457,0,,-1)=DJ678,_xlfn.XLOOKUP(K678,K$121:K457,Q$121:Q457,1,,-1)+1,1))</f>
      </c>
      <c r="R678" t="s" s="163">
        <f>IF(K678="","",_xlfn.XLOOKUP(K678,K$121:K457,R$121:R457,0,,-1)+IF($C678=" ",1,0))</f>
      </c>
      <c r="S678" s="166"/>
      <c r="T678" s="155"/>
      <c r="U678" s="155"/>
      <c r="V678" s="166"/>
      <c r="W678" s="155"/>
      <c r="X678" s="167"/>
      <c r="Y678" s="128"/>
      <c r="Z678" s="129"/>
      <c r="AA678" s="129"/>
      <c r="AB678" s="129"/>
      <c r="AC678" s="129"/>
      <c r="AD678" s="168"/>
      <c r="AE678" t="s" s="169">
        <f>IF(L678="","",(SUM(((L676-1)*(1-_xlfn.XLOOKUP(K676,'Janeiro 2023 - Valor Real'!A3:A15,'Janeiro 2023 - Valor Real'!C3:C15,0))+1),((L677-1)*(1-_xlfn.XLOOKUP(K677,'Janeiro 2023 - Valor Real'!A3:A15,'Janeiro 2023 - Valor Real'!C3:C15,0))+1),((L678-1)*(1-_xlfn.XLOOKUP(K678,'Janeiro 2023 - Valor Real'!A3:A15,'Janeiro 2023 - Valor Real'!C3:C15,0))+1))/((L678-1)*(1-_xlfn.XLOOKUP(K678,'Janeiro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Real'!C3:C15,0))+1))/((L676-1)*(1-_xlfn.XLOOKUP(K676,'Janeiro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Real'!C3:C15,0))+1))/((L677-1)*(1-_xlfn.XLOOKUP(K677,'Janeiro 2023 - Valor Real'!A3:A15,'Janeiro 2023 - Valor Real'!C3:C15,0))+1)+SUM(((L676-1)*(1-_xlfn.XLOOKUP(K676,'Janeiro 2023 - Valor Real'!A3:A15,'Janeiro 2023 - Valor Real'!C3:C15,0))+1),((L677-1)*(1-_xlfn.XLOOKUP(K677,'Janeiro 2023 - Valor Real'!A3:A15,'Janeiro 2023 - Valor Real'!C3:C15,0))+1),((L678-1)*(1-_xlfn.XLOOKUP(K678,'Janeiro 2023 - Valor Real'!A3:A15,'Janeiro 2023 - Valor Real'!C3:C15,0))+1))/((L678-1)*(1-_xlfn.XLOOKUP(K678,'Janeiro 2023 - Valor Real'!A3:A15,'Janeiro 2023 - Valor Real'!C3:C15,0))+1)))</f>
      </c>
      <c r="AF678" s="132">
        <f>IF($K678=AF$3,ROUND(IF(OR($C678="W",$C678="1/2W",$C678="1/2L"),$P678-$O678,IF($C678="X",0,-$O678)),2),0)</f>
        <v>0</v>
      </c>
      <c r="AG678" s="133">
        <f>IF($K678=AG$3,ROUND(IF(OR($C678="W",$C678="1/2W",$C678="1/2L"),$P678-$O678,IF($C678="X",0,-$O678)),2),0)</f>
        <v>0</v>
      </c>
      <c r="AH678" s="133">
        <f>IF($K678=AH$3,ROUND(IF(OR($C678="W",$C678="1/2W",$C678="1/2L"),$P678-$O678,IF($C678="X",0,-$O678)),2),0)</f>
        <v>0</v>
      </c>
      <c r="AI678" s="133">
        <f>IF($K678=AI$3,ROUND(IF(OR($C678="W",$C678="1/2W",$C678="1/2L"),$P678-$O678,IF($C678="X",0,-$O678)),2),0)</f>
        <v>0</v>
      </c>
      <c r="AJ678" s="133">
        <f>IF($K678=AJ$3,ROUND(IF(OR($C678="W",$C678="1/2W",$C678="1/2L"),$P678-$O678,IF($C678="X",0,-$O678)),2),0)</f>
        <v>0</v>
      </c>
      <c r="AK678" s="133">
        <f>IF($K678=AK$3,ROUND(IF(OR($C678="W",$C678="1/2W",$C678="1/2L"),$P678-$O678,IF($C678="X",0,-$O678)),2),0)</f>
        <v>0</v>
      </c>
      <c r="AL678" s="133">
        <f>IF($K678=AL$3,ROUND(IF(OR($C678="W",$C678="1/2W",$C678="1/2L"),$P678-$O678,IF($C678="X",0,-$O678)),2),0)</f>
        <v>0</v>
      </c>
      <c r="AM678" s="133">
        <f>IF($K678=AM$3,ROUND(IF(OR($C678="W",$C678="1/2W",$C678="1/2L"),$P678-$O678,IF($C678="X",0,-$O678)),2),0)</f>
        <v>0</v>
      </c>
      <c r="AN678" s="133">
        <f>IF($K678=AN$3,ROUND(IF(OR($C678="W",$C678="1/2W",$C678="1/2L"),$P678-$O678,IF($C678="X",0,-$O678)),2),0)</f>
        <v>0</v>
      </c>
      <c r="AO678" s="133">
        <f>IF($K678=AO$3,ROUND(IF(OR($C678="W",$C678="1/2W",$C678="1/2L"),$P678-$O678,IF($C678="X",0,-$O678)),2),0)</f>
        <v>0</v>
      </c>
      <c r="AP678" s="133">
        <f>IF($K678=AP$3,ROUND(IF(OR($C678="W",$C678="1/2W",$C678="1/2L"),$P678-$O678,IF($C678="X",0,-$O678)),2),0)</f>
        <v>0</v>
      </c>
      <c r="AQ678" s="133">
        <f>IF($K678=AQ$3,ROUND(IF(OR($C678="W",$C678="1/2W",$C678="1/2L"),$P678-$O678,IF($C678="X",0,-$O678)),2),0)</f>
        <v>0</v>
      </c>
      <c r="AR678" s="134">
        <f>IF($K678=AR$3,ROUND(IF(OR($C678="W",$C678="1/2W",$C678="1/2L"),$P678-$O678,IF($C678="X",0,-$O678)),2),0)</f>
        <v>0</v>
      </c>
      <c r="AS678" s="132">
        <f>IF(AND($B676=" ",$K678=AS$3),$O678,0)</f>
        <v>0</v>
      </c>
      <c r="AT678" s="133">
        <f>IF(AND($B676=" ",K678=AT$3),$O678,0)</f>
        <v>0</v>
      </c>
      <c r="AU678" s="133">
        <f>IF(AND($B676=" ",$K678=AU$3),$O678,0)</f>
        <v>0</v>
      </c>
      <c r="AV678" s="133">
        <f>IF(AND($B676=" ",$K678=AV$3),$O678,0)</f>
        <v>0</v>
      </c>
      <c r="AW678" s="133">
        <f>IF(AND($B676=" ",$K678=AW$3),$O678,0)</f>
        <v>0</v>
      </c>
      <c r="AX678" s="133">
        <f>IF(AND($B676=" ",$K678=AX$3),$O678,0)</f>
        <v>0</v>
      </c>
      <c r="AY678" s="135">
        <f>IF(AND($B676=" ",$K678=AY$3),$O678,0)</f>
        <v>0</v>
      </c>
      <c r="AZ678" s="136">
        <f>IF(AND($B676=" ",$K678=AZ$3),$O678,0)</f>
        <v>0</v>
      </c>
      <c r="BA678" s="136">
        <f>IF(AND($B676=" ",$K678=BA$3),$O678,0)</f>
        <v>0</v>
      </c>
      <c r="BB678" s="136">
        <f>IF(AND($B676=" ",$K678=BB$3),$O678,0)</f>
        <v>0</v>
      </c>
      <c r="BC678" s="137">
        <f>IF(AND($B676=" ",$K678=BC$3),$O678,0)</f>
        <v>0</v>
      </c>
      <c r="BD678" s="133">
        <f>IF(AND($B676=" ",$K678=BD$3),$O678,0)</f>
        <v>0</v>
      </c>
      <c r="BE678" s="134">
        <f>IF(AND($B676=" ",$K678=BE$3),$O678,0)</f>
        <v>0</v>
      </c>
      <c r="BF678" s="132">
        <f>IF($K678=BF$3,IF($C678="X",0,$O678),0)</f>
        <v>0</v>
      </c>
      <c r="BG678" s="281">
        <f>IF($K678=BG$3,IF($C678="X",0,$O678),0)</f>
        <v>0</v>
      </c>
      <c r="BH678" s="133">
        <f>IF($K678=BH$3,IF($C678="X",0,$O678),0)</f>
        <v>0</v>
      </c>
      <c r="BI678" s="133">
        <f>IF($K678=BI$3,IF($C678="X",0,$O678),0)</f>
        <v>0</v>
      </c>
      <c r="BJ678" s="133">
        <f>IF($K678=BJ$3,IF($C678="X",0,$O678),0)</f>
        <v>0</v>
      </c>
      <c r="BK678" s="133">
        <f>IF($K678=BK$3,IF($C678="X",0,$O678),0)</f>
        <v>0</v>
      </c>
      <c r="BL678" s="133">
        <f>IF($K678=BL$3,IF($C678="X",0,$O678),0)</f>
        <v>0</v>
      </c>
      <c r="BM678" s="135">
        <f>IF($K678=BM$3,IF($C678="X",0,$O678),0)</f>
        <v>0</v>
      </c>
      <c r="BN678" s="136">
        <f>IF($K678=BN$3,IF($C678="X",0,$O678),0)</f>
        <v>0</v>
      </c>
      <c r="BO678" s="136">
        <f>IF($K678=BO$3,IF($C678="X",0,$O678),0)</f>
        <v>0</v>
      </c>
      <c r="BP678" s="136">
        <f>IF($K678=BP$3,IF($C678="X",0,$O678),0)</f>
        <v>0</v>
      </c>
      <c r="BQ678" s="137">
        <f>IF($K678=BQ$3,IF($C678="X",0,$O678),0)</f>
        <v>0</v>
      </c>
      <c r="BR678" s="134">
        <f>IF($K678=BR$3,IF($C678="X",0,$O678),0)</f>
        <v>0</v>
      </c>
      <c r="BS678" s="282"/>
      <c r="BT678" s="283"/>
      <c r="BU678" s="140"/>
      <c r="BV678" s="283"/>
      <c r="BW678" s="140"/>
      <c r="BX678" s="140"/>
      <c r="BY678" s="140"/>
      <c r="BZ678" s="283"/>
      <c r="CA678" s="140"/>
      <c r="CB678" s="140"/>
      <c r="CC678" s="140"/>
      <c r="CD678" s="141"/>
      <c r="CE678" s="142"/>
      <c r="CF678" s="284">
        <f>IF(CF$3=$K678,IF($C678="W",1,IF($C678="1/2W",0.5,0)),0)</f>
        <v>0</v>
      </c>
      <c r="CG678" s="285">
        <f>IF(CF$3=$K678,IF($C678="L",1,IF($C678="1/2L",0.5,0)),0)</f>
        <v>0</v>
      </c>
      <c r="CH678" s="285">
        <f>IF(CH$3=$K678,IF($C678="W",1,IF($C678="1/2W",0.5,0)),0)</f>
        <v>0</v>
      </c>
      <c r="CI678" s="285">
        <f>IF(CH$3=$K678,IF($C678="L",1,IF($C678="1/2L",0.5,0)),0)</f>
        <v>0</v>
      </c>
      <c r="CJ678" s="285">
        <f>IF(CJ$3=$K678,IF($C678="W",1,IF($C678="1/2W",0.5,0)),0)</f>
        <v>0</v>
      </c>
      <c r="CK678" s="285">
        <f>IF(CJ$3=$K678,IF($C678="L",1,IF($C678="1/2L",0.5,0)),0)</f>
        <v>0</v>
      </c>
      <c r="CL678" s="285">
        <f>IF(CL$3=$K678,IF($C678="W",1,IF($C678="1/2W",0.5,0)),0)</f>
        <v>0</v>
      </c>
      <c r="CM678" s="285">
        <f>IF(CL$3=$K678,IF($C678="L",1,IF($C678="1/2L",0.5,0)),0)</f>
        <v>0</v>
      </c>
      <c r="CN678" s="285">
        <f>IF(CN$3=$K678,IF($C678="W",1,IF($C678="1/2W",0.5,0)),0)</f>
        <v>0</v>
      </c>
      <c r="CO678" s="285">
        <f>IF(CN$3=$K678,IF($C678="L",1,IF($C678="1/2L",0.5,0)),0)</f>
        <v>0</v>
      </c>
      <c r="CP678" s="285">
        <f>IF(CP$3=$K678,IF($C678="W",1,IF($C678="1/2W",0.5,0)),0)</f>
        <v>0</v>
      </c>
      <c r="CQ678" s="285">
        <f>IF(CP$3=$K678,IF($C678="L",1,IF($C678="1/2L",0.5,0)),0)</f>
        <v>0</v>
      </c>
      <c r="CR678" s="285">
        <f>IF(CR$3=$K678,IF($C678="W",1,IF($C678="1/2W",0.5,0)),0)</f>
        <v>0</v>
      </c>
      <c r="CS678" s="285">
        <f>IF(CR$3=$K678,IF($C678="L",1,IF($C678="1/2L",0.5,0)),0)</f>
        <v>0</v>
      </c>
      <c r="CT678" s="145">
        <f>IF(CT$3=$K678,IF($C678="W",1,IF($C678="1/2W",0.5,0)),0)</f>
        <v>0</v>
      </c>
      <c r="CU678" s="146">
        <f>IF(CT$3=$K678,IF($C678="L",1,IF($C678="1/2L",0.5,0)),0)</f>
        <v>0</v>
      </c>
      <c r="CV678" s="146">
        <f>IF(CV$3=$K678,IF($C678="W",1,IF($C678="1/2W",0.5,0)),0)</f>
        <v>0</v>
      </c>
      <c r="CW678" s="146">
        <f>IF(CV$3=$K678,IF($C678="L",1,IF($C678="1/2L",0.5,0)),0)</f>
        <v>0</v>
      </c>
      <c r="CX678" s="146">
        <f>IF(CX$3=$K678,IF($C678="W",1,IF($C678="1/2W",0.5,0)),0)</f>
        <v>0</v>
      </c>
      <c r="CY678" s="146">
        <f>IF(CX$3=$K678,IF($C678="L",1,IF($C678="1/2L",0.5,0)),0)</f>
        <v>0</v>
      </c>
      <c r="CZ678" s="146">
        <f>IF(CZ$3=$K678,IF($C678="W",1,IF($C678="1/2W",0.5,0)),0)</f>
        <v>0</v>
      </c>
      <c r="DA678" s="146">
        <f>IF(CZ$3=$K678,IF($C678="L",1,IF($C678="1/2L",0.5,0)),0)</f>
        <v>0</v>
      </c>
      <c r="DB678" s="146">
        <f>IF(DB$3=$K678,IF($C678="W",1,IF($C678="1/2W",0.5,0)),0)</f>
        <v>0</v>
      </c>
      <c r="DC678" s="146">
        <f>IF(DB$3=$K678,IF($C678="L",1,IF($C678="1/2L",0.5,0)),0)</f>
        <v>0</v>
      </c>
      <c r="DD678" s="146">
        <f>IF(DD$3=$K678,IF($C678="W",1,IF($C678="1/2W",0.5,0)),0)</f>
        <v>0</v>
      </c>
      <c r="DE678" s="147">
        <f>IF(DD$3=$K678,IF($C678="L",1,IF($C678="1/2L",0.5,0)),0)</f>
        <v>0</v>
      </c>
      <c r="DF678" s="143">
        <f>IF(AND(L678&lt;DF$3,$C678="W"),1+DF677,DF677)</f>
        <v>18</v>
      </c>
      <c r="DG678" s="133">
        <f>IF(DF678&gt;DF677,L678+DG677,DG677)</f>
        <v>23.918</v>
      </c>
      <c r="DH678" s="146">
        <f>IF(AND(L678&gt;DH$3,$C678="W"),1+DH677,0+DH677)</f>
        <v>16</v>
      </c>
      <c r="DI678" s="133">
        <f>IF(DH678&gt;DH677,L678+DI677,DI677)</f>
        <v>85.45999999999999</v>
      </c>
      <c r="DJ678" t="s" s="304">
        <f>IF($D676="","",$D676)</f>
        <v>481</v>
      </c>
      <c r="DK678" s="286"/>
    </row>
    <row r="679" ht="14.55" customHeight="1">
      <c r="A679" s="171">
        <f>$A676+1</f>
        <v>226</v>
      </c>
      <c r="B679" t="s" s="172">
        <f>IF(AND(_xlfn.XLOOKUP(H679,H$122:H452,G$122:G452,0)=G679,_xlfn.XLOOKUP("TempoBet",K679:K681,L679:L681,0)&gt;0),"X",IF(OR(C679="W",C680="W",C681="W",C679="1/2W",C680="1/2W",C681="1/2W",C679="1/2L",C680="1/2L",C681="1/2L"),"OK",IF(OR(C679="L",C680="L",C681="L"),"LOSS",IF(OR(C679="X",C680="X",C681="X"),"Anulado"," "))))</f>
        <v>50</v>
      </c>
      <c r="C679" t="s" s="173">
        <v>56</v>
      </c>
      <c r="D679" t="s" s="305">
        <f>IF(G679="","",$D676)</f>
        <v>481</v>
      </c>
      <c r="E679" t="s" s="175">
        <f>IF(G679=""," ","– "&amp;COUNTIF(D$4:D681,$D679))</f>
        <v>106</v>
      </c>
      <c r="F679" t="s" s="176">
        <f>IF(G679="","",IF(OR(AND($C679&lt;&gt;" ",$C680=" "),AND($C680&lt;&gt;" ",$C679=" "),AND(L681&gt;0,OR(AND($C681&lt;&gt;" ",OR($C679=" ",$C680=" ")),AND($C681=" ",OR($C679&lt;&gt;" ",$C680&lt;&gt;" "))))),IF(SUM(F$4:F678)=0,1,LARGE(F$4:F678,1)+1),IF(MONTH(G679)=MONTH(TODAY()),IF(AND(DAY(G679)&lt;DAY(TODAY()),$B679=" "),IF(SUM(F$4:F678)=0,1,LARGE(F$4:F678,1)+1),IF($B679=" ",IF(AND(DAY(G679)=DAY(TODAY()),HOUR(G679)&lt;=HOUR(NOW())+1),IF(AND(HOUR(G679)+2&lt;=HOUR(NOW()),DAY(G679)&lt;=DAY(TODAY()),MINUTE(G679)&lt;=MINUTE(NOW())),IF(SUM(F$4:F678)=0,1,LARGE(F$4:F678,1)+1),IF(OR(MINUTE(G679)&lt;=MINUTE(NOW()),HOUR(G679)&lt;=HOUR(NOW())),"!!!","")),""),"")),"")))</f>
      </c>
      <c r="G679" s="177">
        <v>44960.520833333336</v>
      </c>
      <c r="H679" t="s" s="178">
        <v>483</v>
      </c>
      <c r="I679" s="298">
        <v>1</v>
      </c>
      <c r="J679" s="180"/>
      <c r="K679" t="s" s="181">
        <v>44</v>
      </c>
      <c r="L679" s="182">
        <v>1.699</v>
      </c>
      <c r="M679" s="183"/>
      <c r="N679" s="184">
        <v>0</v>
      </c>
      <c r="O679" s="185">
        <f>IF(OR(AE679="",AE680=""),"",ROUND(IF(L681&gt;0,IF(M679&gt;0,M679,IF(M680&gt;0,ROUND((M680*AE679)/AE680,IF(N679=0,2,IF(N679=0.1,1,0))),ROUND((M681*AE679)/AE681,IF(N679=0,2,IF(N679=0.1,1,0))))),IF(M679&gt;0,M679,ROUND((M680*AE679)/AE680,IF(N679=0,2,IF(N679=0.1,1,0))))),2))</f>
        <v>5.77</v>
      </c>
      <c r="P679" s="186">
        <f>IF(OR(L679="",O679=""),"",IF($C679="1/2W",O679/2+O679/2*L679,IF($C679="1/2L",O679/2,IF(I679="Lay",(O679*(L679/(L679-1))-O679)*(1-_xlfn.XLOOKUP(K679,'Janeiro 2023 - Valor Real'!A3:A15,'Janeiro 2023 - Valor Real'!C3:C15,0))+O679,(O679*L679-O679)*(1-_xlfn.XLOOKUP(K679,'Janeiro 2023 - Valor Real'!A3:A15,'Janeiro 2023 - Valor Real'!C3:C15,0))+O679))))</f>
        <v>9.803229999999999</v>
      </c>
      <c r="Q679" s="187">
        <f>IF(K679="","",IF(_xlfn.XLOOKUP(K679,K$122:K452,DJ$122:DJ452,0,,-1)=DJ679,_xlfn.XLOOKUP(K679,K$122:K452,Q$122:Q452,1,,-1)+1,1))</f>
        <v>1</v>
      </c>
      <c r="R679" s="188">
        <f>IF(K679="","",_xlfn.XLOOKUP(K679,K$122:K452,R$122:R452,0,,-1)+IF($C679=" ",1,0))</f>
        <v>0</v>
      </c>
      <c r="S679" s="189">
        <f>IF($B679="Anulado",0,ROUND(IF(OR($B679="LOSS",$B679="OK"),IF(OR($C679="W",$C679="1/2W",$C679="1/2L"),P679-O679,IF($C679="L",-O679,0))+IF(OR($C680="W",$C680="1/2W",$C680="1/2L"),P680-O680,IF($C680="L",-O680,0))+IF(OR($C681="W",$C681="1/2W",$C681="1/2L"),P681-O681,IF($C681="L",-O681,0)),IF(AND(OR($C679="W",$C679="1/2W",$C679="1/2L"),C680="W"),P679+P680-SUM(O679:O681)+_xlfn.XLOOKUP("X",C679:C681,O679:O681,0),IF(AND(C679=TRUE,C681="W"),P679+P681-SUM(O679:O681),IF(AND(C680="W",C681="W"),P680+P681-SUM(O679:O681)+_xlfn.XLOOKUP("X",C679:C681,O679:O681,0),IF(L681&gt;0,IF(OR($C679="W",$C679="1/2W",$C679="1/2L"),P679-SUM(O679:O681)+_xlfn.XLOOKUP("X",C679:C681,O679:O681,0),IF(OR($C679="W",$C679="1/2W",$C679="1/2L"),P680-SUM(O679:O681)+_xlfn.XLOOKUP("X",C679:C681,O679:O681,0),IF(OR($C679="W",$C679="1/2W",$C679="1/2L"),P681-SUM(O679:O681)+_xlfn.XLOOKUP("X",C679:C681,O679:O681,0),IF(SUM(P679:P681)/3-SUM(O679:O681)+_xlfn.XLOOKUP("X",C679:C681,O679:O681,0)&gt;0,SUM(P679:P681)/3-SUM(O679:O681)+_xlfn.XLOOKUP("X",C679:C681,O679:O681,0),LARGE(P679:P681,1)-SUM(O679:O681))))),IF(OR($C679="W",$C679="1/2W",$C679="1/2L"),P679-SUM(O679:O680)+_xlfn.XLOOKUP("X",C679:C681,O679:O681,0),IF(OR($C679="W",$C679="1/2W",$C679="1/2L"),P680-SUM(O679:O680)+_xlfn.XLOOKUP("X",C679:C681,O679:O681,0),SUM(P679:P680)/2-SUM(O679:O680)+_xlfn.XLOOKUP("X",C679:C681,O679:O681,0)))))))),2))</f>
        <v>1.23</v>
      </c>
      <c r="T679" s="190">
        <f>IF(S679=0,0,S679/SUM(O679:O681))</f>
        <v>0.143523920653442</v>
      </c>
      <c r="U679" s="191">
        <f>IF($D679=$D676,IF(OR($B679="LOSS",$B679="OK",$B679="Anulada"),S679,0)+U676,IF(OR($B679="LOSS",$B679="OK",$B679="Anulada"),S679,0))</f>
        <v>4.33</v>
      </c>
      <c r="V679" s="191">
        <f>IF($D679="",0,IF($D679=$D676,IF($B679=" ",IF(I681="",IF(OR(AND(I679="DNB1",I680="DNB2"),AND(OR(I679="DNB1",I679="DNB2"),J680=0),AND(OR(I680="DNB1",I680="DNB2"),J679=0),AND(I679="DNB2",I680="DNB1"),AND(IF(J679=0,(J679+1)/ROUND(J679+1,0),J679/ROUND(J679,0))=1,IF(J680=0,(J680+1)/ROUND(IF(J680="",0,J680)+1,0),IF(J680="",0,J680)/ROUND(IF(J680="",1,J680),0))=1,OR(J679&lt;&gt;""),J680&lt;&gt;"")),0,IF(S679&lt;0,IF(I681="",SMALL(P679:P680,1)-SUM(O679:O680),0),SMALL(P679:P680,1)-SUM(O679:O680))),IF(S679&lt;0,IF(I681="",SMALL(P679:P681,1)-SUM(O679:O681),0),LARGE(P679:P681,1)-SUM(O679:O681))),S679)+V676,IF(I681="",IF(OR(AND(I679="DNB1",I680="DNB2"),AND(OR(I679="DNB1",I679="DNB2"),J680=0),AND(OR(I680="DNB1",I680="DNB2"),J679=0),AND(I679="DNB2",I680="DNB1"),AND(IF(J679=0,(J679+1)/ROUND(J679+1,0),J679/ROUND(J679,0))=1,IF(J680=0,(IF(J680="",0,J680)+1)/ROUND(IF(J680="",0,J680)+1,0),IF(J680="",0,J680)/ROUND(IF(J680="",0,J680)+1,0))=1,OR(J679&lt;&gt;""),J680&lt;&gt;"")),0,IF(S679&lt;0,IF(I681="",SMALL(P679:P680,1)-SUM(O679:O680),0),SMALL(P679:P681,1)-SUM(O679:O681))),IF(S679&lt;0,IF(I681="",SMALL(P679:P681,1)-SUM(O679:O681),0),LARGE(P679:P681,1)-SUM(O679:O681)))))</f>
        <v>4.3276</v>
      </c>
      <c r="W679" s="191">
        <f>IF($D679=$D676,IF(S679&lt;0,IF(I681="",S679,0),S679)+W676,S679)</f>
        <v>4.33</v>
      </c>
      <c r="X679" t="s" s="192">
        <f>IF(OR(SUM(R679:R681)=0,V679=W679),ROUND(IF(W679=0,0,W679/Y679)*100,2)&amp;"%",ROUND(IF(V679=0,0,V679/Y679)*100,2)&amp;"% a "&amp;ROUND(IF(W679=0,0,W679/Y679)*100,2)&amp;"%")</f>
        <v>484</v>
      </c>
      <c r="Y679" s="193">
        <f>IF($D679=$D676,Y676+SUM(O679:O681),SUM(O679:O681))</f>
        <v>62.99</v>
      </c>
      <c r="Z679" s="191">
        <f>IF($B679=" ",SUM(O679:O681),0)+Z676</f>
        <v>0</v>
      </c>
      <c r="AA679" s="191">
        <f>IF(G679="","",IF($B679="Anulado",LARGE(P679:P681,1)-SUM(O679:O681)+AA676,AA676))</f>
        <v>27.7065076923077</v>
      </c>
      <c r="AB679" s="191">
        <f>IF($D679="","",AB676+S679)</f>
        <v>475.51</v>
      </c>
      <c r="AC679" s="194">
        <f>IF($D679="","",IF($B679=" ",IF(DAY(G679)=DAY(TODAY()),1+AC676,0+AC676),0+AC676))</f>
        <v>0</v>
      </c>
      <c r="AD679" s="195">
        <f>(((L680/(L680-1)-1)*(1-_xlfn.XLOOKUP(K680,'Janeiro 2023 - Valor Real'!A3:A15,'Janeiro 2023 - Valor Real'!C3:C15,0))+1))/(((L679-1)*(1-_xlfn.XLOOKUP(K679,'Janeiro 2023 - Valor Real'!A3:A15,'Janeiro 2023 - Valor Real'!C3:C15,0))+1)+((L680/(L680-1)-1)*(1-_xlfn.XLOOKUP(K680,'Janeiro 2023 - Valor Real'!A3:A15,'Janeiro 2023 - Valor Real'!C3:C15,0))+1))</f>
        <v>0.451758631816715</v>
      </c>
      <c r="AE679" s="196">
        <f>IF(L679="","",IF(L681&gt;0,(SUM(((L679-1)*(1-_xlfn.XLOOKUP(K679,'Janeiro 2023 - Valor Real'!A3:A15,'Janeiro 2023 - Valor Real'!C3:C15,0))+1),((L680-1)*(1-_xlfn.XLOOKUP(K680,'Janeiro 2023 - Valor Real'!A3:A15,'Janeiro 2023 - Valor Real'!C3:C15,0))+1),((L681-1)*(1-_xlfn.XLOOKUP(K681,'Janeiro 2023 - Valor Real'!A3:A15,'Janeiro 2023 - Valor Real'!C3:C15,0))+1))/((L679-1)*(1-_xlfn.XLOOKUP(K679,'Janeiro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Real'!C3:C15,0))+1))/((L679-1)*(1-_xlfn.XLOOKUP(K679,'Janeiro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Real'!C3:C15,0))+1))/((L680-1)*(1-_xlfn.XLOOKUP(K680,'Janeiro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Real'!C3:C15,0))+1))/((L681-1)*(1-_xlfn.XLOOKUP(K681,'Janeiro 2023 - Valor Real'!A3:A15,'Janeiro 2023 - Valor Real'!C3:C15,0))+1)),IF(I679="Lay",IF(I680="Lay",((L680/(L680-1)-1)*(1-_xlfn.XLOOKUP(K680,'Janeiro 2023 - Valor Real'!A3:A15,'Janeiro 2023 - Valor Real'!C3:C15,0))+1)/(((L680/(L680-1)-1)*(1-_xlfn.XLOOKUP(K680,'Janeiro 2023 - Valor Real'!A3:A15,'Janeiro 2023 - Valor Real'!C3:C15,0))+1)+((L679/(L679-1)-1)*(1-_xlfn.XLOOKUP(K679,'Janeiro 2023 - Valor Real'!A3:A15,'Janeiro 2023 - Valor Real'!C3:C15,0))+1)),((L680-1)*(1-_xlfn.XLOOKUP(K680,'Janeiro 2023 - Valor Real'!A3:A15,'Janeiro 2023 - Valor Real'!C3:C15,0))+1)/(((L680-1)*(1-_xlfn.XLOOKUP(K680,'Janeiro 2023 - Valor Real'!A3:A15,'Janeiro 2023 - Valor Real'!C3:C15,0))+1)+((L679/(L679-1)-1)*(1-_xlfn.XLOOKUP(K679,'Janeiro 2023 - Valor Real'!A3:A15,'Janeiro 2023 - Valor Real'!C3:C15,0))+1))),IF(I680="Lay",(((L680/(L680-1)-1)*(1-_xlfn.XLOOKUP(K680,'Janeiro 2023 - Valor Real'!A3:A15,'Janeiro 2023 - Valor Real'!C3:C15,0))+1))/(((L679-1)*(1-_xlfn.XLOOKUP(K679,'Janeiro 2023 - Valor Real'!A3:A15,'Janeiro 2023 - Valor Real'!C3:C15,0))+1)+((L680/(L680-1)-1)*(1-_xlfn.XLOOKUP(K680,'Janeiro 2023 - Valor Real'!A3:A15,'Janeiro 2023 - Valor Real'!C3:C15,0))+1)),((L680-1)*(1-_xlfn.XLOOKUP(K680,'Janeiro 2023 - Valor Real'!A3:A15,'Janeiro 2023 - Valor Real'!C3:C15,0))+1)/(((L680-1)*(1-_xlfn.XLOOKUP(K680,'Janeiro 2023 - Valor Real'!A3:A15,'Janeiro 2023 - Valor Real'!C3:C15,0))+1)+((L679-1)*(1-_xlfn.XLOOKUP(K679,'Janeiro 2023 - Valor Real'!A3:A15,'Janeiro 2023 - Valor Real'!C3:C15,0))+1))))))</f>
        <v>0.673206385843431</v>
      </c>
      <c r="AF679" s="197">
        <f>IF($K679=AF$3,ROUND(IF(OR($C679="W",$C679="1/2W",$C679="1/2L"),$P679-$O679,IF($C679="X",0,-$O679)),2),0)</f>
        <v>0</v>
      </c>
      <c r="AG679" s="198">
        <f>IF($K679=AG$3,ROUND(IF(OR($C679="W",$C679="1/2W",$C679="1/2L"),$P679-$O679,IF($C679="X",0,-$O679)),2),0)</f>
        <v>0</v>
      </c>
      <c r="AH679" s="198">
        <f>IF($K679=AH$3,ROUND(IF(OR($C679="W",$C679="1/2W",$C679="1/2L"),$P679-$O679,IF($C679="X",0,-$O679)),2),0)</f>
        <v>0</v>
      </c>
      <c r="AI679" s="198">
        <f>IF($K679=AI$3,ROUND(IF(OR($C679="W",$C679="1/2W",$C679="1/2L"),$P679-$O679,IF($C679="X",0,-$O679)),2),0)</f>
        <v>0</v>
      </c>
      <c r="AJ679" s="198">
        <f>IF($K679=AJ$3,ROUND(IF(OR($C679="W",$C679="1/2W",$C679="1/2L"),$P679-$O679,IF($C679="X",0,-$O679)),2),0)</f>
        <v>0</v>
      </c>
      <c r="AK679" s="198">
        <f>IF($K679=AK$3,ROUND(IF(OR($C679="W",$C679="1/2W",$C679="1/2L"),$P679-$O679,IF($C679="X",0,-$O679)),2),0)</f>
        <v>0</v>
      </c>
      <c r="AL679" s="198">
        <f>IF($K679=AL$3,ROUND(IF(OR($C679="W",$C679="1/2W",$C679="1/2L"),$P679-$O679,IF($C679="X",0,-$O679)),2),0)</f>
        <v>0</v>
      </c>
      <c r="AM679" s="198">
        <f>IF($K679=AM$3,ROUND(IF(OR($C679="W",$C679="1/2W",$C679="1/2L"),$P679-$O679,IF($C679="X",0,-$O679)),2),0)</f>
        <v>4.03</v>
      </c>
      <c r="AN679" s="198">
        <f>IF($K679=AN$3,ROUND(IF(OR($C679="W",$C679="1/2W",$C679="1/2L"),$P679-$O679,IF($C679="X",0,-$O679)),2),0)</f>
        <v>0</v>
      </c>
      <c r="AO679" s="198">
        <f>IF($K679=AO$3,ROUND(IF(OR($C679="W",$C679="1/2W",$C679="1/2L"),$P679-$O679,IF($C679="X",0,-$O679)),2),0)</f>
        <v>0</v>
      </c>
      <c r="AP679" s="198">
        <f>IF($K679=AP$3,ROUND(IF(OR($C679="W",$C679="1/2W",$C679="1/2L"),$P679-$O679,IF($C679="X",0,-$O679)),2),0)</f>
        <v>0</v>
      </c>
      <c r="AQ679" s="198">
        <f>IF($K679=AQ$3,ROUND(IF(OR($C679="W",$C679="1/2W",$C679="1/2L"),$P679-$O679,IF($C679="X",0,-$O679)),2),0)</f>
        <v>0</v>
      </c>
      <c r="AR679" s="199">
        <f>IF($K679=AR$3,ROUND(IF(OR($C679="W",$C679="1/2W",$C679="1/2L"),$P679-$O679,IF($C679="X",0,-$O679)),2),0)</f>
        <v>0</v>
      </c>
      <c r="AS679" s="197">
        <f>IF(AND($B679=" ",$K679=AS$3),$O679,0)</f>
        <v>0</v>
      </c>
      <c r="AT679" s="198">
        <f>IF(AND($B679=" ",$K679=AT$3),$O679,0)</f>
        <v>0</v>
      </c>
      <c r="AU679" s="198">
        <f>IF(AND($B679=" ",$K679=AU$3),$O679,0)</f>
        <v>0</v>
      </c>
      <c r="AV679" s="198">
        <f>IF(AND($B679=" ",$K679=AV$3),$O679,0)</f>
        <v>0</v>
      </c>
      <c r="AW679" s="198">
        <f>IF(AND($B679=" ",$K679=AW$3),$O679,0)</f>
        <v>0</v>
      </c>
      <c r="AX679" s="198">
        <f>IF(AND($B679=" ",$K679=AX$3),$O679,0)</f>
        <v>0</v>
      </c>
      <c r="AY679" s="200">
        <f>IF(AND($B679=" ",$K679=AY$3),$O679,0)</f>
        <v>0</v>
      </c>
      <c r="AZ679" s="201">
        <f>IF(AND($B679=" ",$K679=AZ$3),$O679,0)</f>
        <v>0</v>
      </c>
      <c r="BA679" s="201">
        <f>IF(AND($B679=" ",$K679=BA$3),$O679,0)</f>
        <v>0</v>
      </c>
      <c r="BB679" s="201">
        <f>IF(AND($B679=" ",$K679=BB$3),$O679,0)</f>
        <v>0</v>
      </c>
      <c r="BC679" s="202">
        <f>IF(AND($B679=" ",$K679=BC$3),$O679,0)</f>
        <v>0</v>
      </c>
      <c r="BD679" s="198">
        <f>IF(AND($B679=" ",$K679=BD$3),$O679,0)</f>
        <v>0</v>
      </c>
      <c r="BE679" s="199">
        <f>IF(AND($B679=" ",$K679=BE$3),$O679,0)</f>
        <v>0</v>
      </c>
      <c r="BF679" s="203">
        <f>IF($K679=BF$3,IF($C679="X",0,$O679),0)</f>
        <v>0</v>
      </c>
      <c r="BG679" s="198">
        <f>IF($K679=BG$3,IF($C679="X",0,$O679),0)</f>
        <v>0</v>
      </c>
      <c r="BH679" s="198">
        <f>IF($K679=BH$3,IF($C679="X",0,$O679),0)</f>
        <v>0</v>
      </c>
      <c r="BI679" s="198">
        <f>IF($K679=BI$3,IF($C679="X",0,$O679),0)</f>
        <v>0</v>
      </c>
      <c r="BJ679" s="198">
        <f>IF($K679=BJ$3,IF($C679="X",0,$O679),0)</f>
        <v>0</v>
      </c>
      <c r="BK679" s="198">
        <f>IF($K679=BK$3,IF($C679="X",0,$O679),0)</f>
        <v>0</v>
      </c>
      <c r="BL679" s="198">
        <f>IF($K679=BL$3,IF($C679="X",0,$O679),0)</f>
        <v>0</v>
      </c>
      <c r="BM679" s="200">
        <f>IF($K679=BM$3,IF($C679="X",0,$O679),0)</f>
        <v>5.77</v>
      </c>
      <c r="BN679" s="201">
        <f>IF($K679=BN$3,IF($C679="X",0,$O679),0)</f>
        <v>0</v>
      </c>
      <c r="BO679" s="201">
        <f>IF($K679=BO$3,IF($C679="X",0,$O679),0)</f>
        <v>0</v>
      </c>
      <c r="BP679" s="201">
        <f>IF($K679=BP$3,IF($C679="X",0,$O679),0)</f>
        <v>0</v>
      </c>
      <c r="BQ679" s="202">
        <f>IF($K679=BQ$3,IF($C679="X",0,$O679),0)</f>
        <v>0</v>
      </c>
      <c r="BR679" s="199">
        <f>IF($K679=BR$3,IF($C679="X",0,$O679),0)</f>
        <v>0</v>
      </c>
      <c r="BS679" s="204">
        <f>IF($B679="LOSS",IF(AND($K679=BS$3,$C679="L"),-$O679,0)+IF(AND($K680=BS$3,$C680="L"),-$O680,0)+IF(AND($K681=BS$3,$C681="L"),-$O681,0),IF(OR(AND($K679=BS$3,OR($C679="W",$C679="1/2W")),AND($K680=BS$3,OR($C680="W",$C680="1/2W")),AND($K681=BS$3,OR($C681="W",$C681="1/2W"))),$S679,0))</f>
        <v>0</v>
      </c>
      <c r="BT679" s="201">
        <f>IF($B679="LOSS",IF(AND($K679=BT$3,$C679="L"),-$O679,0)+IF(AND($K680=BT$3,$C680="L"),-$O680,0)+IF(AND($K680=BT$3,$C681="L"),-$O681,0),IF(OR(AND($K680=BT$3,OR($C679="W",$C679="1/2W")),AND($K680=BT$3,OR($C680="W",$C680="1/2W")),AND($K680=BT$3,OR($C681="W",$C681="1/2W"))),$S679,0))</f>
        <v>0</v>
      </c>
      <c r="BU679" s="201">
        <f>IF($B679="LOSS",IF(AND($K679=BU$3,$C679="L"),-$O679,0)+IF(AND($K680=BU$3,$C680="L"),-$O680,0)+IF(AND($K680=BU$3,$C681="L"),-$O681,0),IF(OR(AND($K680=BU$3,OR($C679="W",$C679="1/2W")),AND($K680=BU$3,OR($C680="W",$C680="1/2W")),AND($K680=BU$3,OR($C681="W",$C681="1/2W"))),$S679,0))</f>
        <v>0</v>
      </c>
      <c r="BV679" s="201">
        <f>IF($B679="LOSS",IF(AND($K679=BV$3,$C679="L"),-$O679,0)+IF(AND($K680=BV$3,$C680="L"),-$O680,0)+IF(AND($K681=BV$3,$C681="L"),-$O681,0),IF(OR(AND($K679=BV$3,OR($C679="W",$C679="1/2W")),AND($K680=BV$3,OR($C680="W",$C680="1/2W")),AND($K681=BV$3,OR($C681="W",$C681="1/2W"))),$S679,0))</f>
        <v>0</v>
      </c>
      <c r="BW679" s="201">
        <f>IF($B679="LOSS",IF(AND($K679=BW$3,$C679="L"),-$O679,0)+IF(AND($K680=BW$3,$C680="L"),-$O680,0)+IF(AND($K681=BW$3,$C681="L"),-$O681,0),IF(OR(AND($K679=BW$3,OR($C679="W",$C679="1/2W")),AND($K680=BW$3,OR($C680="W",$C680="1/2W")),AND($K681=BW$3,OR($C681="W",$C681="1/2W"))),$S679,0))</f>
        <v>0</v>
      </c>
      <c r="BX679" s="201">
        <f>IF($B679="LOSS",IF(AND($K679=BX$3,$C679="L"),-$O679,0)+IF(AND($K680=BX$3,$C680="L"),-$O680,0)+IF(AND($K681=BX$3,$C681="L"),-$O681,0),IF(OR(AND($K679=BX$3,OR($C679="W",$C679="1/2W")),AND($K680=BX$3,OR($C680="W",$C680="1/2W")),AND($K681=BX$3,OR($C681="W",$C681="1/2W"))),$S679,0))</f>
        <v>0</v>
      </c>
      <c r="BY679" s="201">
        <f>IF($B679="LOSS",IF(AND($K679=BY$3,$C679="L"),-$O679,0)+IF(AND($K680=BY$3,$C680="L"),-$O680,0)+IF(AND($K681=BY$3,$C681="L"),-$O681,0),IF(OR(AND($K679=BY$3,OR($C679="W",$C679="1/2W")),AND($K680=BY$3,OR($C680="W",$C680="1/2W")),AND($K681=BY$3,OR($C681="W",$C681="1/2W"))),$S679,0))</f>
        <v>0</v>
      </c>
      <c r="BZ679" s="205">
        <f>IF($B679="LOSS",IF(AND($K679=BZ$3,$C679="L"),-$O679,0)+IF(AND($K680=BZ$3,$C680="L"),-$O680,0)+IF(AND($K681=BZ$3,$C681="L"),-$O681,0),IF(OR(AND($K679=BZ$3,OR($C679="W",$C679="1/2W")),AND($K680=BZ$3,OR($C680="W",$C680="1/2W")),AND($K681=BZ$3,OR($C681="W",$C681="1/2W"))),$S679,0))</f>
        <v>1.23</v>
      </c>
      <c r="CA679" s="205">
        <f>IF($B679="LOSS",IF(AND($K679=CA$3,$C679="L"),-$O679,0)+IF(AND($K680=CA$3,$C680="L"),-$O680,0)+IF(AND($K681=CA$3,$C681="L"),-$O681,0),IF(OR(AND($K679=CA$3,OR($C679="W",$C679="1/2W")),AND($K680=CA$3,OR($C680="W",$C680="1/2W")),AND($K681=CA$3,OR($C681="W",$C681="1/2W"))),$S679,0))</f>
        <v>0</v>
      </c>
      <c r="CB679" s="205">
        <f>IF($B679="LOSS",IF(AND($K679=CB$3,$C679="L"),-$O679,0)+IF(AND($K680=CB$3,$C680="L"),-$O680,0)+IF(AND($K681=CB$3,$C681="L"),-$O681,0),IF(OR(AND($K679=CB$3,OR($C679="W",$C679="1/2W")),AND($K680=CB$3,OR($C680="W",$C680="1/2W")),AND($K681=CB$3,OR($C681="W",$C681="1/2W"))),$S679,0))</f>
        <v>0</v>
      </c>
      <c r="CC679" s="205">
        <f>IF($B679="LOSS",IF(AND($K679=CC$3,$C679="L"),-$O679,0)+IF(AND($K680=CC$3,$C680="L"),-$O680,0)+IF(AND($K681=CC$3,$C681="L"),-$O681,0),IF(OR(AND($K679=CC$3,OR($C679="W",$C679="1/2W")),AND($K680=CC$3,OR($C680="W",$C680="1/2W")),AND($K681=CC$3,OR($C681="W",$C681="1/2W"))),$S679,0))</f>
        <v>0</v>
      </c>
      <c r="CD679" s="202">
        <f>IF($B679="LOSS",IF(AND($K679=CD$3,$C679="L"),-$O679,0)+IF(AND($K680=CD$3,$C680="L"),-$O680,0)+IF(AND($K681=CD$3,$C681="L"),-$O681,0),IF(OR(AND($K679=CD$3,OR($C679="W",$C679="1/2W")),AND($K680=CD$3,OR($C680="W",$C680="1/2W")),AND($K681=CD$3,OR($C681="W",$C681="1/2W"))),$S679,0))</f>
        <v>0</v>
      </c>
      <c r="CE679" s="199">
        <f>IF($B679="LOSS",IF(AND($K679=CE$3,$C679="L"),-$O679,0)+IF(AND($K680=CE$3,$C680="L"),-$O680,0)+IF(AND($K681=CE$3,$C681="L"),-$O681,0),IF(OR(AND($K679=CE$3,OR($C679="W",$C679="1/2W")),AND($K680=CE$3,OR($C680="W",$C680="1/2W")),AND($K681=CE$3,OR($C681="W",$C681="1/2W"))),$S679,0))</f>
        <v>0</v>
      </c>
      <c r="CF679" s="206">
        <f>IF(CF$3=$K679,IF($C679="W",1,IF($C679="1/2W",0.5,0)),0)</f>
        <v>0</v>
      </c>
      <c r="CG679" s="207">
        <f>IF(CF$3=$K679,IF($C679="L",1,IF($C679="1/2L",0.5,0)),0)</f>
        <v>0</v>
      </c>
      <c r="CH679" s="207">
        <f>IF(CH$3=$K679,IF($C679="W",1,IF($C679="1/2W",0.5,0)),0)</f>
        <v>0</v>
      </c>
      <c r="CI679" s="207">
        <f>IF(CH$3=$K679,IF($C679="L",1,IF($C679="1/2L",0.5,0)),0)</f>
        <v>0</v>
      </c>
      <c r="CJ679" s="207">
        <f>IF(CJ$3=$K679,IF($C679="W",1,IF($C679="1/2W",0.5,0)),0)</f>
        <v>0</v>
      </c>
      <c r="CK679" s="207">
        <f>IF(CJ$3=$K679,IF($C679="L",1,IF($C679="1/2L",0.5,0)),0)</f>
        <v>0</v>
      </c>
      <c r="CL679" s="207">
        <f>IF(CL$3=$K679,IF($C679="W",1,IF($C679="1/2W",0.5,0)),0)</f>
        <v>0</v>
      </c>
      <c r="CM679" s="207">
        <f>IF(CL$3=$K679,IF($C679="L",1,IF($C679="1/2L",0.5,0)),0)</f>
        <v>0</v>
      </c>
      <c r="CN679" s="207">
        <f>IF(CN$3=$K679,IF($C679="W",1,IF($C679="1/2W",0.5,0)),0)</f>
        <v>0</v>
      </c>
      <c r="CO679" s="207">
        <f>IF(CN$3=$K679,IF($C679="L",1,IF($C679="1/2L",0.5,0)),0)</f>
        <v>0</v>
      </c>
      <c r="CP679" s="207">
        <f>IF(CP$3=$K679,IF($C679="W",1,IF($C679="1/2W",0.5,0)),0)</f>
        <v>0</v>
      </c>
      <c r="CQ679" s="207">
        <f>IF(CP$3=$K679,IF($C679="L",1,IF($C679="1/2L",0.5,0)),0)</f>
        <v>0</v>
      </c>
      <c r="CR679" s="207">
        <f>IF(CR$3=$K679,IF($C679="W",1,IF($C679="1/2W",0.5,0)),0)</f>
        <v>0</v>
      </c>
      <c r="CS679" s="207">
        <f>IF(CR$3=$K679,IF($C679="L",1,IF($C679="1/2L",0.5,0)),0)</f>
        <v>0</v>
      </c>
      <c r="CT679" s="208">
        <f>IF(CT$3=$K679,IF($C679="W",1,IF($C679="1/2W",0.5,0)),0)</f>
        <v>1</v>
      </c>
      <c r="CU679" s="209">
        <f>IF(CT$3=$K679,IF($C679="L",1,IF($C679="1/2L",0.5,0)),0)</f>
        <v>0</v>
      </c>
      <c r="CV679" s="209">
        <f>IF(CV$3=$K679,IF($C679="W",1,IF($C679="1/2W",0.5,0)),0)</f>
        <v>0</v>
      </c>
      <c r="CW679" s="209">
        <f>IF(CV$3=$K679,IF($C679="L",1,IF($C679="1/2L",0.5,0)),0)</f>
        <v>0</v>
      </c>
      <c r="CX679" s="209">
        <f>IF(CX$3=$K679,IF($C679="W",1,IF($C679="1/2W",0.5,0)),0)</f>
        <v>0</v>
      </c>
      <c r="CY679" s="209">
        <f>IF(CX$3=$K679,IF($C679="L",1,IF($C679="1/2L",0.5,0)),0)</f>
        <v>0</v>
      </c>
      <c r="CZ679" s="209">
        <f>IF(CZ$3=$K679,IF($C679="W",1,IF($C679="1/2W",0.5,0)),0)</f>
        <v>0</v>
      </c>
      <c r="DA679" s="209">
        <f>IF(CZ$3=$K679,IF($C679="L",1,IF($C679="1/2L",0.5,0)),0)</f>
        <v>0</v>
      </c>
      <c r="DB679" s="209">
        <f>IF(DB$3=$K679,IF($C679="W",1,IF($C679="1/2W",0.5,0)),0)</f>
        <v>0</v>
      </c>
      <c r="DC679" s="209">
        <f>IF(DB$3=$K679,IF($C679="L",1,IF($C679="1/2L",0.5,0)),0)</f>
        <v>0</v>
      </c>
      <c r="DD679" s="209">
        <f>IF(DD$3=$K679,IF($C679="W",1,IF($C679="1/2W",0.5,0)),0)</f>
        <v>0</v>
      </c>
      <c r="DE679" s="210">
        <f>IF(DD$3=$K679,IF($C679="L",1,IF($C679="1/2L",0.5,0)),0)</f>
        <v>0</v>
      </c>
      <c r="DF679" s="211">
        <f>IF(AND(L679&lt;DF$3,$C679="W"),1+DF678,DF678)</f>
        <v>18</v>
      </c>
      <c r="DG679" s="198">
        <f>IF(DF679&gt;DF678,L679+DG678,DG678)</f>
        <v>23.918</v>
      </c>
      <c r="DH679" s="209">
        <f>IF(AND(L679&gt;DH$3,$C679="W"),1+DH678,0+DH678)</f>
        <v>16</v>
      </c>
      <c r="DI679" s="198">
        <f>IF(DH679&gt;DH678,L679+DI678,DI678)</f>
        <v>85.45999999999999</v>
      </c>
      <c r="DJ679" t="s" s="306">
        <f>IF($D679="","",$D679)</f>
        <v>481</v>
      </c>
      <c r="DK679" s="209">
        <f>IF(AND($B679=" ",$D679&lt;&gt;""),1,0)</f>
        <v>0</v>
      </c>
    </row>
    <row r="680" ht="14.55" customHeight="1">
      <c r="A680" s="107"/>
      <c r="B680" s="108"/>
      <c r="C680" t="s" s="213">
        <v>51</v>
      </c>
      <c r="D680" s="110"/>
      <c r="E680" s="111"/>
      <c r="F680" s="113"/>
      <c r="G680" s="214"/>
      <c r="H680" s="114"/>
      <c r="I680" s="299">
        <v>2</v>
      </c>
      <c r="J680" t="s" s="216">
        <f>IF(OR(I679="TO",I679="TU",I679="TO1",I679="TU1",I679="TO2",I679="TU2"),J679,IF(OR(I679="AH1",I679="AH2"),IF(OR(I680="AH1",I680="AH2"),-J679,IF(OR(I680="EH1",I680="EH2"),-J679+0.5,"")),IF(OR(I679="EH1",I679="EH2"),IF(OR(I680="AH1",I680="AH2"),-J679+0.5,IF(OR(I680="EH1",I680="EH2"),-J679+1,"")),IF(AND(OR(I679="DNB1",I679="DNB2"),OR(I680="AH1",I680="AH2")),0,IF(AND(I679="Not ScoreBoth",OR(I680="TO1",I680="TO2")),0.5,"")))))</f>
      </c>
      <c r="K680" t="s" s="217">
        <v>37</v>
      </c>
      <c r="L680" s="218">
        <v>3.5</v>
      </c>
      <c r="M680" s="219">
        <v>2.8</v>
      </c>
      <c r="N680" s="120"/>
      <c r="O680" s="220">
        <f>IF(OR(AE679="",AE680=""),"",ROUND(IF(L681&gt;0,IF(M680&gt;0,M680,IF(M679&gt;0,IF(N679=TRUE,ROUND((M679*AE680)/AE679,0),(M679*AE680)/AE679),IF(M680&gt;0,ROUND(M680,IF(N679=0,2,IF(N679=0.1,1,0))),IF(M681&gt;0,ROUND(O681*AE680/AE681,IF(N679=0,2,IF(N679=0.1,1,0))),0)))),IF(M680&gt;0,M680,ROUND((M679*AE680)/AE679,IF(N679=0,2,IF(N679=0.1,1,0))))),2))</f>
        <v>2.8</v>
      </c>
      <c r="P680" s="221">
        <f>IF(OR(L680="",O680=""),"",IF($C680="1/2W",O680/2+O680/2*L680,IF($C680="1/2L",O680/2,IF(I680="Lay",((O680*(L680/(L680-1)))-O680)*(1-_xlfn.XLOOKUP(K680,'Janeiro 2023 - Valor Real'!A3:A15,'Janeiro 2023 - Valor Real'!C3:C15,0))+O680,(O680*L680-O680)*(1-_xlfn.XLOOKUP(K680,'Janeiro 2023 - Valor Real'!A3:A15,'Janeiro 2023 - Valor Real'!C3:C15,0))+O680))))</f>
        <v>9.800000000000001</v>
      </c>
      <c r="Q680" s="222">
        <f>IF(K680="","",IF(_xlfn.XLOOKUP(K680,K$123:K453,DJ$123:DJ453,0,,-1)=DJ680,_xlfn.XLOOKUP(K680,K$123:K453,Q$123:Q453,1,,-1)+1,1))</f>
        <v>1</v>
      </c>
      <c r="R680" s="223">
        <f>IF(K680="","",_xlfn.XLOOKUP(K680,K$123:K453,R$123:R453,0,,-1)+IF($C680=" ",1,0))</f>
        <v>0</v>
      </c>
      <c r="S680" s="125"/>
      <c r="T680" s="126"/>
      <c r="U680" s="126"/>
      <c r="V680" s="224"/>
      <c r="W680" s="126"/>
      <c r="X680" s="127"/>
      <c r="Y680" s="128"/>
      <c r="Z680" s="129"/>
      <c r="AA680" s="129"/>
      <c r="AB680" s="129"/>
      <c r="AC680" s="129"/>
      <c r="AD680" s="225">
        <f>(((L680/(L680-1)-1)*(1-_xlfn.XLOOKUP(K680,'Janeiro 2023 - Valor Real'!A3:A15,'Janeiro 2023 - Valor Real'!C3:C15,0))+1))</f>
        <v>1.4</v>
      </c>
      <c r="AE680" s="226">
        <f>IF(L680="","",IF(L681&gt;0,(SUM(((L679-1)*(1-_xlfn.XLOOKUP(K679,'Janeiro 2023 - Valor Real'!A3:A15,'Janeiro 2023 - Valor Real'!C3:C15,0))+1),((L680-1)*(1-_xlfn.XLOOKUP(K680,'Janeiro 2023 - Valor Real'!A3:A15,'Janeiro 2023 - Valor Real'!C3:C15,0))+1),((L681-1)*(1-_xlfn.XLOOKUP(K681,'Janeiro 2023 - Valor Real'!A3:A15,'Janeiro 2023 - Valor Real'!C3:C15,0))+1))/((L680-1)*(1-_xlfn.XLOOKUP(K680,'Janeiro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Real'!C3:C15,0))+1))/((L679-1)*(1-_xlfn.XLOOKUP(K679,'Janeiro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Real'!C3:C15,0))+1))/((L680-1)*(1-_xlfn.XLOOKUP(K680,'Janeiro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Real'!C3:C15,0))+1))/((L681-1)*(1-_xlfn.XLOOKUP(K681,'Janeiro 2023 - Valor Real'!A3:A15,'Janeiro 2023 - Valor Real'!C3:C15,0))+1)),IF(I680="Lay",IF(I679="Lay",((L679/(L679-1)-1)*(1-_xlfn.XLOOKUP(K679,'Janeiro 2023 - Valor Real'!A3:A15,'Janeiro 2023 - Valor Real'!C3:C15,0))+1)/(((L679/(L679-1)-1)*(1-_xlfn.XLOOKUP(K679,'Janeiro 2023 - Valor Real'!A3:A15,'Janeiro 2023 - Valor Real'!C3:C15,0))+1)+((L680/(L680-1)-1)*(1-_xlfn.XLOOKUP(K680,'Janeiro 2023 - Valor Real'!A3:A15,'Janeiro 2023 - Valor Real'!C3:C15,0))+1)),((L679-1)*(1-_xlfn.XLOOKUP(K679,'Janeiro 2023 - Valor Real'!A3:A15,'Janeiro 2023 - Valor Real'!C3:C15,0))+1)/(((L679-1)*(1-_xlfn.XLOOKUP(K679,'Janeiro 2023 - Valor Real'!A3:A15,'Janeiro 2023 - Valor Real'!C3:C15,0))+1)+((L680/(L680-1)-1)*(1-_xlfn.XLOOKUP(K680,'Janeiro 2023 - Valor Real'!A3:A15,'Janeiro 2023 - Valor Real'!C3:C15,0))+1))),IF(I679="Lay",((L679/(L679-1)-1)*(1-_xlfn.XLOOKUP(K679,'Janeiro 2023 - Valor Real'!A3:A15,'Janeiro 2023 - Valor Real'!C3:C15,0))+1)/((((L679/(L679-1)-1)*(1-_xlfn.XLOOKUP(K679,'Janeiro 2023 - Valor Real'!A3:A15,'Janeiro 2023 - Valor Real'!C3:C15,0))+1))+((L680-1)*(1-_xlfn.XLOOKUP(K680,'Janeiro 2023 - Valor Real'!A3:A15,'Janeiro 2023 - Valor Real'!C3:C15,0))+1)),((L679-1)*(1-_xlfn.XLOOKUP(K679,'Janeiro 2023 - Valor Real'!A3:A15,'Janeiro 2023 - Valor Real'!C3:C15,0))+1)/(((L679-1)*(1-_xlfn.XLOOKUP(K679,'Janeiro 2023 - Valor Real'!A3:A15,'Janeiro 2023 - Valor Real'!C3:C15,0))+1)+((L680-1)*(1-_xlfn.XLOOKUP(K680,'Janeiro 2023 - Valor Real'!A3:A15,'Janeiro 2023 - Valor Real'!C3:C15,0))+1))))))</f>
        <v>0.326793614156569</v>
      </c>
      <c r="AF680" s="197">
        <f>IF($K680=AF$3,ROUND(IF(OR($C680="W",$C680="1/2W",$C680="1/2L"),$P680-$O680,IF($C680="X",0,-$O680)),2),0)</f>
        <v>-2.8</v>
      </c>
      <c r="AG680" s="198">
        <f>IF($K680=AG$3,ROUND(IF(OR($C680="W",$C680="1/2W",$C680="1/2L"),$P680-$O680,IF($C680="X",0,-$O680)),2),0)</f>
        <v>0</v>
      </c>
      <c r="AH680" s="198">
        <f>IF($K680=AH$3,ROUND(IF(OR($C680="W",$C680="1/2W",$C680="1/2L"),$P680-$O680,IF($C680="X",0,-$O680)),2),0)</f>
        <v>0</v>
      </c>
      <c r="AI680" s="198">
        <f>IF($K680=AI$3,ROUND(IF(OR($C680="W",$C680="1/2W",$C680="1/2L"),$P680-$O680,IF($C680="X",0,-$O680)),2),0)</f>
        <v>0</v>
      </c>
      <c r="AJ680" s="198">
        <f>IF($K680=AJ$3,ROUND(IF(OR($C680="W",$C680="1/2W",$C680="1/2L"),$P680-$O680,IF($C680="X",0,-$O680)),2),0)</f>
        <v>0</v>
      </c>
      <c r="AK680" s="198">
        <f>IF($K680=AK$3,ROUND(IF(OR($C680="W",$C680="1/2W",$C680="1/2L"),$P680-$O680,IF($C680="X",0,-$O680)),2),0)</f>
        <v>0</v>
      </c>
      <c r="AL680" s="198">
        <f>IF($K680=AL$3,ROUND(IF(OR($C680="W",$C680="1/2W",$C680="1/2L"),$P680-$O680,IF($C680="X",0,-$O680)),2),0)</f>
        <v>0</v>
      </c>
      <c r="AM680" s="198">
        <f>IF($K680=AM$3,ROUND(IF(OR($C680="W",$C680="1/2W",$C680="1/2L"),$P680-$O680,IF($C680="X",0,-$O680)),2),0)</f>
        <v>0</v>
      </c>
      <c r="AN680" s="198">
        <f>IF($K680=AN$3,ROUND(IF(OR($C680="W",$C680="1/2W",$C680="1/2L"),$P680-$O680,IF($C680="X",0,-$O680)),2),0)</f>
        <v>0</v>
      </c>
      <c r="AO680" s="198">
        <f>IF($K680=AO$3,ROUND(IF(OR($C680="W",$C680="1/2W",$C680="1/2L"),$P680-$O680,IF($C680="X",0,-$O680)),2),0)</f>
        <v>0</v>
      </c>
      <c r="AP680" s="198">
        <f>IF($K680=AP$3,ROUND(IF(OR($C680="W",$C680="1/2W",$C680="1/2L"),$P680-$O680,IF($C680="X",0,-$O680)),2),0)</f>
        <v>0</v>
      </c>
      <c r="AQ680" s="198">
        <f>IF($K680=AQ$3,ROUND(IF(OR($C680="W",$C680="1/2W",$C680="1/2L"),$P680-$O680,IF($C680="X",0,-$O680)),2),0)</f>
        <v>0</v>
      </c>
      <c r="AR680" s="199">
        <f>IF($K680=AR$3,ROUND(IF(OR($C680="W",$C680="1/2W",$C680="1/2L"),$P680-$O680,IF($C680="X",0,-$O680)),2),0)</f>
        <v>0</v>
      </c>
      <c r="AS680" s="197">
        <f>IF(AND($B679=" ",$K680=AS$3),$O680,0)</f>
        <v>0</v>
      </c>
      <c r="AT680" s="198">
        <f>IF(AND($B679=" ",K680=AT$3),$O680,0)</f>
        <v>0</v>
      </c>
      <c r="AU680" s="198">
        <f>IF(AND($B679=" ",$K680=AU$3),$O680,0)</f>
        <v>0</v>
      </c>
      <c r="AV680" s="198">
        <f>IF(AND($B679=" ",$K680=AV$3),$O680,0)</f>
        <v>0</v>
      </c>
      <c r="AW680" s="198">
        <f>IF(AND($B679=" ",$K680=AW$3),$O680,0)</f>
        <v>0</v>
      </c>
      <c r="AX680" s="198">
        <f>IF(AND($B679=" ",$K680=AX$3),$O680,0)</f>
        <v>0</v>
      </c>
      <c r="AY680" s="200">
        <f>IF(AND($B679=" ",$K680=AY$3),$O680,0)</f>
        <v>0</v>
      </c>
      <c r="AZ680" s="201">
        <f>IF(AND($B679=" ",$K680=AZ$3),$O680,0)</f>
        <v>0</v>
      </c>
      <c r="BA680" s="201">
        <f>IF(AND($B679=" ",$K680=BA$3),$O680,0)</f>
        <v>0</v>
      </c>
      <c r="BB680" s="201">
        <f>IF(AND($B679=" ",$K680=BB$3),$O680,0)</f>
        <v>0</v>
      </c>
      <c r="BC680" s="202">
        <f>IF(AND($B679=" ",$K680=BC$3),$O680,0)</f>
        <v>0</v>
      </c>
      <c r="BD680" s="198">
        <f>IF(AND($B679=" ",$K680=BD$3),$O680,0)</f>
        <v>0</v>
      </c>
      <c r="BE680" s="199">
        <f>IF(AND($B679=" ",$K680=BE$3),$O680,0)</f>
        <v>0</v>
      </c>
      <c r="BF680" s="197">
        <f>IF($K680=BF$3,IF($C680="X",0,$O680),0)</f>
        <v>2.8</v>
      </c>
      <c r="BG680" s="198">
        <f>IF($K680=BG$3,IF($C680="X",0,$O680),0)</f>
        <v>0</v>
      </c>
      <c r="BH680" s="198">
        <f>IF($K680=BH$3,IF($C680="X",0,$O680),0)</f>
        <v>0</v>
      </c>
      <c r="BI680" s="198">
        <f>IF($K680=BI$3,IF($C680="X",0,$O680),0)</f>
        <v>0</v>
      </c>
      <c r="BJ680" s="198">
        <f>IF($K680=BJ$3,IF($C680="X",0,$O680),0)</f>
        <v>0</v>
      </c>
      <c r="BK680" s="198">
        <f>IF($K680=BK$3,IF($C680="X",0,$O680),0)</f>
        <v>0</v>
      </c>
      <c r="BL680" s="198">
        <f>IF($K680=BL$3,IF($C680="X",0,$O680),0)</f>
        <v>0</v>
      </c>
      <c r="BM680" s="227">
        <f>IF($K680=BM$3,IF($C680="X",0,$O680),0)</f>
        <v>0</v>
      </c>
      <c r="BN680" s="205">
        <f>IF($K680=BN$3,IF($C680="X",0,$O680),0)</f>
        <v>0</v>
      </c>
      <c r="BO680" s="205">
        <f>IF($K680=BO$3,IF($C680="X",0,$O680),0)</f>
        <v>0</v>
      </c>
      <c r="BP680" s="205">
        <f>IF($K680=BP$3,IF($C680="X",0,$O680),0)</f>
        <v>0</v>
      </c>
      <c r="BQ680" s="202">
        <f>IF($K680=BQ$3,IF($C680="X",0,$O680),0)</f>
        <v>0</v>
      </c>
      <c r="BR680" s="199">
        <f>IF($K680=BR$3,IF($C680="X",0,$O680),0)</f>
        <v>0</v>
      </c>
      <c r="BS680" s="228"/>
      <c r="BT680" s="229"/>
      <c r="BU680" s="140"/>
      <c r="BV680" s="229"/>
      <c r="BW680" s="140"/>
      <c r="BX680" s="140"/>
      <c r="BY680" s="140"/>
      <c r="BZ680" s="229"/>
      <c r="CA680" s="140"/>
      <c r="CB680" s="140"/>
      <c r="CC680" s="140"/>
      <c r="CD680" s="141"/>
      <c r="CE680" s="142"/>
      <c r="CF680" s="230">
        <f>IF(CF$3=$K680,IF($C680="W",1,IF($C680="1/2W",0.5,0)),0)</f>
        <v>0</v>
      </c>
      <c r="CG680" s="231">
        <f>IF(CF$3=$K680,IF($C680="L",1,IF($C680="1/2L",0.5,0)),0)</f>
        <v>1</v>
      </c>
      <c r="CH680" s="231">
        <f>IF(CH$3=$K680,IF($C680="W",1,IF($C680="1/2W",0.5,0)),0)</f>
        <v>0</v>
      </c>
      <c r="CI680" s="231">
        <f>IF(CH$3=$K680,IF($C680="L",1,IF($C680="1/2L",0.5,0)),0)</f>
        <v>0</v>
      </c>
      <c r="CJ680" s="231">
        <f>IF(CJ$3=$K680,IF($C680="W",1,IF($C680="1/2W",0.5,0)),0)</f>
        <v>0</v>
      </c>
      <c r="CK680" s="231">
        <f>IF(CJ$3=$K680,IF($C680="L",1,IF($C680="1/2L",0.5,0)),0)</f>
        <v>0</v>
      </c>
      <c r="CL680" s="231">
        <f>IF(CL$3=$K680,IF($C680="W",1,IF($C680="1/2W",0.5,0)),0)</f>
        <v>0</v>
      </c>
      <c r="CM680" s="231">
        <f>IF(CL$3=$K680,IF($C680="L",1,IF($C680="1/2L",0.5,0)),0)</f>
        <v>0</v>
      </c>
      <c r="CN680" s="231">
        <f>IF(CN$3=$K680,IF($C680="W",1,IF($C680="1/2W",0.5,0)),0)</f>
        <v>0</v>
      </c>
      <c r="CO680" s="231">
        <f>IF(CN$3=$K680,IF($C680="L",1,IF($C680="1/2L",0.5,0)),0)</f>
        <v>0</v>
      </c>
      <c r="CP680" s="231">
        <f>IF(CP$3=$K680,IF($C680="W",1,IF($C680="1/2W",0.5,0)),0)</f>
        <v>0</v>
      </c>
      <c r="CQ680" s="231">
        <f>IF(CP$3=$K680,IF($C680="L",1,IF($C680="1/2L",0.5,0)),0)</f>
        <v>0</v>
      </c>
      <c r="CR680" s="231">
        <f>IF(CR$3=$K680,IF($C680="W",1,IF($C680="1/2W",0.5,0)),0)</f>
        <v>0</v>
      </c>
      <c r="CS680" s="231">
        <f>IF(CR$3=$K680,IF($C680="L",1,IF($C680="1/2L",0.5,0)),0)</f>
        <v>0</v>
      </c>
      <c r="CT680" s="208">
        <f>IF(CT$3=$K680,IF($C680="W",1,IF($C680="1/2W",0.5,0)),0)</f>
        <v>0</v>
      </c>
      <c r="CU680" s="209">
        <f>IF(CT$3=$K680,IF($C680="L",1,IF($C680="1/2L",0.5,0)),0)</f>
        <v>0</v>
      </c>
      <c r="CV680" s="209">
        <f>IF(CV$3=$K680,IF($C680="W",1,IF($C680="1/2W",0.5,0)),0)</f>
        <v>0</v>
      </c>
      <c r="CW680" s="209">
        <f>IF(CV$3=$K680,IF($C680="L",1,IF($C680="1/2L",0.5,0)),0)</f>
        <v>0</v>
      </c>
      <c r="CX680" s="209">
        <f>IF(CX$3=$K680,IF($C680="W",1,IF($C680="1/2W",0.5,0)),0)</f>
        <v>0</v>
      </c>
      <c r="CY680" s="209">
        <f>IF(CX$3=$K680,IF($C680="L",1,IF($C680="1/2L",0.5,0)),0)</f>
        <v>0</v>
      </c>
      <c r="CZ680" s="209">
        <f>IF(CZ$3=$K680,IF($C680="W",1,IF($C680="1/2W",0.5,0)),0)</f>
        <v>0</v>
      </c>
      <c r="DA680" s="209">
        <f>IF(CZ$3=$K680,IF($C680="L",1,IF($C680="1/2L",0.5,0)),0)</f>
        <v>0</v>
      </c>
      <c r="DB680" s="209">
        <f>IF(DB$3=$K680,IF($C680="W",1,IF($C680="1/2W",0.5,0)),0)</f>
        <v>0</v>
      </c>
      <c r="DC680" s="209">
        <f>IF(DB$3=$K680,IF($C680="L",1,IF($C680="1/2L",0.5,0)),0)</f>
        <v>0</v>
      </c>
      <c r="DD680" s="209">
        <f>IF(DD$3=$K680,IF($C680="W",1,IF($C680="1/2W",0.5,0)),0)</f>
        <v>0</v>
      </c>
      <c r="DE680" s="210">
        <f>IF(DD$3=$K680,IF($C680="L",1,IF($C680="1/2L",0.5,0)),0)</f>
        <v>0</v>
      </c>
      <c r="DF680" s="211">
        <f>IF(AND(L680&lt;DF$3,$C680="W"),1+DF679,DF679)</f>
        <v>18</v>
      </c>
      <c r="DG680" s="198">
        <f>IF(DF680&gt;DF679,L680+DG679,DG679)</f>
        <v>23.918</v>
      </c>
      <c r="DH680" s="209">
        <f>IF(AND(L680&gt;DH$3,$C680="W"),1+DH679,0+DH679)</f>
        <v>16</v>
      </c>
      <c r="DI680" s="198">
        <f>IF(DH680&gt;DH679,L680+DI679,DI679)</f>
        <v>85.45999999999999</v>
      </c>
      <c r="DJ680" t="s" s="306">
        <f>IF($D679="","",$D679)</f>
        <v>481</v>
      </c>
      <c r="DK680" s="232"/>
    </row>
    <row r="681" ht="14.55" customHeight="1">
      <c r="A681" s="149"/>
      <c r="B681" s="150"/>
      <c r="C681" t="s" s="233">
        <v>58</v>
      </c>
      <c r="D681" s="152"/>
      <c r="E681" s="153"/>
      <c r="F681" s="155"/>
      <c r="G681" s="234"/>
      <c r="H681" s="156"/>
      <c r="I681" s="235"/>
      <c r="J681" s="236"/>
      <c r="K681" s="237"/>
      <c r="L681" s="238"/>
      <c r="M681" s="239"/>
      <c r="N681" s="161"/>
      <c r="O681" t="s" s="240">
        <f>IF(OR(AE679="",AE680=""),"",IF(L681&gt;0,ROUND(IF(M681&gt;0,M681,IF(M679&gt;0,ROUND((M679*AE681)/AE679,IF(N679=0,2,IF(N679=0.1,1,0))),IF(M680&gt;0,ROUND((M680*AE681)/AE680,IF(N679=0,2,IF(N679=0.1,1,0))),IF(M681&gt;0,M681,0)))),2),""))</f>
      </c>
      <c r="P681" t="s" s="241">
        <f>IF(I680="Lay",O680*(L680/(L680-1))-O680,IF(I679="Lay",O679*(L679/(L679-1))-O679,IF(OR(L681="",O681=""),"",IF($C681="1/2W",O681/2+O681/2*L681,IF($C681="1/2L",O681/2,(O681*L681-O681)*(1-_xlfn.XLOOKUP(K681,'Janeiro 2023 - Valor Real'!A3:A15,'Janeiro 2023 - Valor Real'!C3:C15,0))+O681)))))</f>
      </c>
      <c r="Q681" t="s" s="242">
        <f>IF(K681="","",IF(_xlfn.XLOOKUP(K681,K$124:K454,DJ$124:DJ454,0,,-1)=DJ681,_xlfn.XLOOKUP(K681,K$124:K454,Q$124:Q454,1,,-1)+1,1))</f>
      </c>
      <c r="R681" t="s" s="243">
        <f>IF(K681="","",_xlfn.XLOOKUP(K681,K$124:K454,R$124:R454,0,,-1)+IF($C681=" ",1,0))</f>
      </c>
      <c r="S681" s="166"/>
      <c r="T681" s="155"/>
      <c r="U681" s="155"/>
      <c r="V681" s="166"/>
      <c r="W681" s="155"/>
      <c r="X681" s="167"/>
      <c r="Y681" s="128"/>
      <c r="Z681" s="129"/>
      <c r="AA681" s="129"/>
      <c r="AB681" s="129"/>
      <c r="AC681" s="129"/>
      <c r="AD681" s="244">
        <f>((L680/(L680-1)-1))</f>
        <v>0.4</v>
      </c>
      <c r="AE681" t="s" s="245">
        <f>IF(L681="","",(SUM(((L679-1)*(1-_xlfn.XLOOKUP(K679,'Janeiro 2023 - Valor Real'!A3:A15,'Janeiro 2023 - Valor Real'!C3:C15,0))+1),((L680-1)*(1-_xlfn.XLOOKUP(K680,'Janeiro 2023 - Valor Real'!A3:A15,'Janeiro 2023 - Valor Real'!C3:C15,0))+1),((L681-1)*(1-_xlfn.XLOOKUP(K681,'Janeiro 2023 - Valor Real'!A3:A15,'Janeiro 2023 - Valor Real'!C3:C15,0))+1))/((L681-1)*(1-_xlfn.XLOOKUP(K681,'Janeiro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Real'!C3:C15,0))+1))/((L679-1)*(1-_xlfn.XLOOKUP(K679,'Janeiro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Real'!C3:C15,0))+1))/((L680-1)*(1-_xlfn.XLOOKUP(K680,'Janeiro 2023 - Valor Real'!A3:A15,'Janeiro 2023 - Valor Real'!C3:C15,0))+1)+SUM(((L679-1)*(1-_xlfn.XLOOKUP(K679,'Janeiro 2023 - Valor Real'!A3:A15,'Janeiro 2023 - Valor Real'!C3:C15,0))+1),((L680-1)*(1-_xlfn.XLOOKUP(K680,'Janeiro 2023 - Valor Real'!A3:A15,'Janeiro 2023 - Valor Real'!C3:C15,0))+1),((L681-1)*(1-_xlfn.XLOOKUP(K681,'Janeiro 2023 - Valor Real'!A3:A15,'Janeiro 2023 - Valor Real'!C3:C15,0))+1))/((L681-1)*(1-_xlfn.XLOOKUP(K681,'Janeiro 2023 - Valor Real'!A3:A15,'Janeiro 2023 - Valor Real'!C3:C15,0))+1)))</f>
      </c>
      <c r="AF681" s="197">
        <f>IF($K681=AF$3,ROUND(IF(OR($C681="W",$C681="1/2W",$C681="1/2L"),$P681-$O681,IF($C681="X",0,-$O681)),2),0)</f>
        <v>0</v>
      </c>
      <c r="AG681" s="198">
        <f>IF($K681=AG$3,ROUND(IF(OR($C681="W",$C681="1/2W",$C681="1/2L"),$P681-$O681,IF($C681="X",0,-$O681)),2),0)</f>
        <v>0</v>
      </c>
      <c r="AH681" s="198">
        <f>IF($K681=AH$3,ROUND(IF(OR($C681="W",$C681="1/2W",$C681="1/2L"),$P681-$O681,IF($C681="X",0,-$O681)),2),0)</f>
        <v>0</v>
      </c>
      <c r="AI681" s="198">
        <f>IF($K681=AI$3,ROUND(IF(OR($C681="W",$C681="1/2W",$C681="1/2L"),$P681-$O681,IF($C681="X",0,-$O681)),2),0)</f>
        <v>0</v>
      </c>
      <c r="AJ681" s="198">
        <f>IF($K681=AJ$3,ROUND(IF(OR($C681="W",$C681="1/2W",$C681="1/2L"),$P681-$O681,IF($C681="X",0,-$O681)),2),0)</f>
        <v>0</v>
      </c>
      <c r="AK681" s="198">
        <f>IF($K681=AK$3,ROUND(IF(OR($C681="W",$C681="1/2W",$C681="1/2L"),$P681-$O681,IF($C681="X",0,-$O681)),2),0)</f>
        <v>0</v>
      </c>
      <c r="AL681" s="198">
        <f>IF($K681=AL$3,ROUND(IF(OR($C681="W",$C681="1/2W",$C681="1/2L"),$P681-$O681,IF($C681="X",0,-$O681)),2),0)</f>
        <v>0</v>
      </c>
      <c r="AM681" s="198">
        <f>IF($K681=AM$3,ROUND(IF(OR($C681="W",$C681="1/2W",$C681="1/2L"),$P681-$O681,IF($C681="X",0,-$O681)),2),0)</f>
        <v>0</v>
      </c>
      <c r="AN681" s="198">
        <f>IF($K681=AN$3,ROUND(IF(OR($C681="W",$C681="1/2W",$C681="1/2L"),$P681-$O681,IF($C681="X",0,-$O681)),2),0)</f>
        <v>0</v>
      </c>
      <c r="AO681" s="198">
        <f>IF($K681=AO$3,ROUND(IF(OR($C681="W",$C681="1/2W",$C681="1/2L"),$P681-$O681,IF($C681="X",0,-$O681)),2),0)</f>
        <v>0</v>
      </c>
      <c r="AP681" s="198">
        <f>IF($K681=AP$3,ROUND(IF(OR($C681="W",$C681="1/2W",$C681="1/2L"),$P681-$O681,IF($C681="X",0,-$O681)),2),0)</f>
        <v>0</v>
      </c>
      <c r="AQ681" s="198">
        <f>IF($K681=AQ$3,ROUND(IF(OR($C681="W",$C681="1/2W",$C681="1/2L"),$P681-$O681,IF($C681="X",0,-$O681)),2),0)</f>
        <v>0</v>
      </c>
      <c r="AR681" s="199">
        <f>IF($K681=AR$3,ROUND(IF(OR($C681="W",$C681="1/2W",$C681="1/2L"),$P681-$O681,IF($C681="X",0,-$O681)),2),0)</f>
        <v>0</v>
      </c>
      <c r="AS681" s="197">
        <f>IF(AND($B679=" ",$K681=AS$3),$O681,0)</f>
        <v>0</v>
      </c>
      <c r="AT681" s="198">
        <f>IF(AND($B679=" ",K681=AT$3),$O681,0)</f>
        <v>0</v>
      </c>
      <c r="AU681" s="198">
        <f>IF(AND($B679=" ",$K681=AU$3),$O681,0)</f>
        <v>0</v>
      </c>
      <c r="AV681" s="198">
        <f>IF(AND($B679=" ",$K681=AV$3),$O681,0)</f>
        <v>0</v>
      </c>
      <c r="AW681" s="198">
        <f>IF(AND($B679=" ",$K681=AW$3),$O681,0)</f>
        <v>0</v>
      </c>
      <c r="AX681" s="198">
        <f>IF(AND($B679=" ",$K681=AX$3),$O681,0)</f>
        <v>0</v>
      </c>
      <c r="AY681" s="200">
        <f>IF(AND($B679=" ",$K681=AY$3),$O681,0)</f>
        <v>0</v>
      </c>
      <c r="AZ681" s="201">
        <f>IF(AND($B679=" ",$K681=AZ$3),$O681,0)</f>
        <v>0</v>
      </c>
      <c r="BA681" s="201">
        <f>IF(AND($B679=" ",$K681=BA$3),$O681,0)</f>
        <v>0</v>
      </c>
      <c r="BB681" s="201">
        <f>IF(AND($B679=" ",$K681=BB$3),$O681,0)</f>
        <v>0</v>
      </c>
      <c r="BC681" s="202">
        <f>IF(AND($B679=" ",$K681=BC$3),$O681,0)</f>
        <v>0</v>
      </c>
      <c r="BD681" s="198">
        <f>IF(AND($B679=" ",$K681=BD$3),$O681,0)</f>
        <v>0</v>
      </c>
      <c r="BE681" s="199">
        <f>IF(AND($B679=" ",$K681=BE$3),$O681,0)</f>
        <v>0</v>
      </c>
      <c r="BF681" s="197">
        <f>IF($K681=BF$3,IF($C681="X",0,$O681),0)</f>
        <v>0</v>
      </c>
      <c r="BG681" s="198">
        <f>IF($K681=BG$3,IF($C681="X",0,$O681),0)</f>
        <v>0</v>
      </c>
      <c r="BH681" s="198">
        <f>IF($K681=BH$3,IF($C681="X",0,$O681),0)</f>
        <v>0</v>
      </c>
      <c r="BI681" s="198">
        <f>IF($K681=BI$3,IF($C681="X",0,$O681),0)</f>
        <v>0</v>
      </c>
      <c r="BJ681" s="198">
        <f>IF($K681=BJ$3,IF($C681="X",0,$O681),0)</f>
        <v>0</v>
      </c>
      <c r="BK681" s="198">
        <f>IF($K681=BK$3,IF($C681="X",0,$O681),0)</f>
        <v>0</v>
      </c>
      <c r="BL681" s="198">
        <f>IF($K681=BL$3,IF($C681="X",0,$O681),0)</f>
        <v>0</v>
      </c>
      <c r="BM681" s="200">
        <f>IF($K681=BM$3,IF($C681="X",0,$O681),0)</f>
        <v>0</v>
      </c>
      <c r="BN681" s="201">
        <f>IF($K681=BN$3,IF($C681="X",0,$O681),0)</f>
        <v>0</v>
      </c>
      <c r="BO681" s="201">
        <f>IF($K681=BO$3,IF($C681="X",0,$O681),0)</f>
        <v>0</v>
      </c>
      <c r="BP681" s="201">
        <f>IF($K681=BP$3,IF($C681="X",0,$O681),0)</f>
        <v>0</v>
      </c>
      <c r="BQ681" s="202">
        <f>IF($K681=BQ$3,IF($C681="X",0,$O681),0)</f>
        <v>0</v>
      </c>
      <c r="BR681" s="199">
        <f>IF($K681=BR$3,IF($C681="X",0,$O681),0)</f>
        <v>0</v>
      </c>
      <c r="BS681" s="228"/>
      <c r="BT681" s="229"/>
      <c r="BU681" s="140"/>
      <c r="BV681" s="229"/>
      <c r="BW681" s="140"/>
      <c r="BX681" s="140"/>
      <c r="BY681" s="140"/>
      <c r="BZ681" s="229"/>
      <c r="CA681" s="140"/>
      <c r="CB681" s="140"/>
      <c r="CC681" s="140"/>
      <c r="CD681" s="141"/>
      <c r="CE681" s="142"/>
      <c r="CF681" s="230">
        <f>IF(CF$3=$K681,IF($C681="W",1,IF($C681="1/2W",0.5,0)),0)</f>
        <v>0</v>
      </c>
      <c r="CG681" s="231">
        <f>IF(CF$3=$K681,IF($C681="L",1,IF($C681="1/2L",0.5,0)),0)</f>
        <v>0</v>
      </c>
      <c r="CH681" s="231">
        <f>IF(CH$3=$K681,IF($C681="W",1,IF($C681="1/2W",0.5,0)),0)</f>
        <v>0</v>
      </c>
      <c r="CI681" s="231">
        <f>IF(CH$3=$K681,IF($C681="L",1,IF($C681="1/2L",0.5,0)),0)</f>
        <v>0</v>
      </c>
      <c r="CJ681" s="231">
        <f>IF(CJ$3=$K681,IF($C681="W",1,IF($C681="1/2W",0.5,0)),0)</f>
        <v>0</v>
      </c>
      <c r="CK681" s="231">
        <f>IF(CJ$3=$K681,IF($C681="L",1,IF($C681="1/2L",0.5,0)),0)</f>
        <v>0</v>
      </c>
      <c r="CL681" s="231">
        <f>IF(CL$3=$K681,IF($C681="W",1,IF($C681="1/2W",0.5,0)),0)</f>
        <v>0</v>
      </c>
      <c r="CM681" s="231">
        <f>IF(CL$3=$K681,IF($C681="L",1,IF($C681="1/2L",0.5,0)),0)</f>
        <v>0</v>
      </c>
      <c r="CN681" s="231">
        <f>IF(CN$3=$K681,IF($C681="W",1,IF($C681="1/2W",0.5,0)),0)</f>
        <v>0</v>
      </c>
      <c r="CO681" s="231">
        <f>IF(CN$3=$K681,IF($C681="L",1,IF($C681="1/2L",0.5,0)),0)</f>
        <v>0</v>
      </c>
      <c r="CP681" s="231">
        <f>IF(CP$3=$K681,IF($C681="W",1,IF($C681="1/2W",0.5,0)),0)</f>
        <v>0</v>
      </c>
      <c r="CQ681" s="231">
        <f>IF(CP$3=$K681,IF($C681="L",1,IF($C681="1/2L",0.5,0)),0)</f>
        <v>0</v>
      </c>
      <c r="CR681" s="231">
        <f>IF(CR$3=$K681,IF($C681="W",1,IF($C681="1/2W",0.5,0)),0)</f>
        <v>0</v>
      </c>
      <c r="CS681" s="231">
        <f>IF(CR$3=$K681,IF($C681="L",1,IF($C681="1/2L",0.5,0)),0)</f>
        <v>0</v>
      </c>
      <c r="CT681" s="208">
        <f>IF(CT$3=$K681,IF($C681="W",1,IF($C681="1/2W",0.5,0)),0)</f>
        <v>0</v>
      </c>
      <c r="CU681" s="209">
        <f>IF(CT$3=$K681,IF($C681="L",1,IF($C681="1/2L",0.5,0)),0)</f>
        <v>0</v>
      </c>
      <c r="CV681" s="209">
        <f>IF(CV$3=$K681,IF($C681="W",1,IF($C681="1/2W",0.5,0)),0)</f>
        <v>0</v>
      </c>
      <c r="CW681" s="209">
        <f>IF(CV$3=$K681,IF($C681="L",1,IF($C681="1/2L",0.5,0)),0)</f>
        <v>0</v>
      </c>
      <c r="CX681" s="209">
        <f>IF(CX$3=$K681,IF($C681="W",1,IF($C681="1/2W",0.5,0)),0)</f>
        <v>0</v>
      </c>
      <c r="CY681" s="209">
        <f>IF(CX$3=$K681,IF($C681="L",1,IF($C681="1/2L",0.5,0)),0)</f>
        <v>0</v>
      </c>
      <c r="CZ681" s="209">
        <f>IF(CZ$3=$K681,IF($C681="W",1,IF($C681="1/2W",0.5,0)),0)</f>
        <v>0</v>
      </c>
      <c r="DA681" s="209">
        <f>IF(CZ$3=$K681,IF($C681="L",1,IF($C681="1/2L",0.5,0)),0)</f>
        <v>0</v>
      </c>
      <c r="DB681" s="209">
        <f>IF(DB$3=$K681,IF($C681="W",1,IF($C681="1/2W",0.5,0)),0)</f>
        <v>0</v>
      </c>
      <c r="DC681" s="209">
        <f>IF(DB$3=$K681,IF($C681="L",1,IF($C681="1/2L",0.5,0)),0)</f>
        <v>0</v>
      </c>
      <c r="DD681" s="209">
        <f>IF(DD$3=$K681,IF($C681="W",1,IF($C681="1/2W",0.5,0)),0)</f>
        <v>0</v>
      </c>
      <c r="DE681" s="210">
        <f>IF(DD$3=$K681,IF($C681="L",1,IF($C681="1/2L",0.5,0)),0)</f>
        <v>0</v>
      </c>
      <c r="DF681" s="211">
        <f>IF(AND(L681&lt;DF$3,$C681="W"),1+DF680,DF680)</f>
        <v>18</v>
      </c>
      <c r="DG681" s="198">
        <f>IF(DF681&gt;DF680,L681+DG680,DG680)</f>
        <v>23.918</v>
      </c>
      <c r="DH681" s="209">
        <f>IF(AND(L681&gt;DH$3,$C681="W"),1+DH680,0+DH680)</f>
        <v>16</v>
      </c>
      <c r="DI681" s="198">
        <f>IF(DH681&gt;DH680,L681+DI680,DI680)</f>
        <v>85.45999999999999</v>
      </c>
      <c r="DJ681" t="s" s="306">
        <f>IF($D679="","",$D679)</f>
        <v>481</v>
      </c>
      <c r="DK681" s="232"/>
    </row>
    <row r="682" ht="14.55" customHeight="1">
      <c r="A682" s="246">
        <f>$A679+1</f>
        <v>227</v>
      </c>
      <c r="B682" t="s" s="247">
        <f>IF(AND(_xlfn.XLOOKUP(H682,H$107:H461,G$107:G461,0)=G682,_xlfn.XLOOKUP("TempoBet",K682:K684,L682:L684,0)&gt;0),"X",IF(OR(C682="W",C683="W",C684="W",C682="1/2W",C683="1/2W",C684="1/2W",C682="1/2L",C683="1/2L",C684="1/2L"),"OK",IF(OR(C682="L",C683="L",C684="L"),"LOSS",IF(OR(C682="X",C683="X",C684="X"),"Anulado"," "))))</f>
        <v>50</v>
      </c>
      <c r="C682" t="s" s="248">
        <v>56</v>
      </c>
      <c r="D682" t="s" s="303">
        <f>IF(G682="","",$D679)</f>
        <v>481</v>
      </c>
      <c r="E682" t="s" s="250">
        <v>108</v>
      </c>
      <c r="F682" t="s" s="251">
        <f>IF(G682="","",IF(OR(AND($C682&lt;&gt;" ",$C683=" "),AND($C683&lt;&gt;" ",$C682=" "),AND(L684&gt;0,OR(AND($C684&lt;&gt;" ",OR($C682=" ",$C683=" ")),AND($C684=" ",OR($C682&lt;&gt;" ",$C683&lt;&gt;" "))))),IF(SUM(F$4:F681)=0,1,LARGE(F$4:F681,1)+1),IF(MONTH(G682)=MONTH(TODAY()),IF(AND(DAY(G682)&lt;DAY(TODAY()),$B682=" "),IF(SUM(F$4:F681)=0,1,LARGE(F$4:F681,1)+1),IF($B682=" ",IF(AND(DAY(G682)=DAY(TODAY()),HOUR(G682)&lt;=HOUR(NOW())+1),IF(AND(HOUR(G682)+2&lt;=HOUR(NOW()),DAY(G682)&lt;=DAY(TODAY()),MINUTE(G682)&lt;=MINUTE(NOW())),IF(SUM(F$4:F681)=0,1,LARGE(F$4:F681,1)+1),IF(OR(MINUTE(G682)&lt;=MINUTE(NOW()),HOUR(G682)&lt;=HOUR(NOW())),"!!!","")),""),"")),"")))</f>
      </c>
      <c r="G682" s="252">
        <v>44957.25</v>
      </c>
      <c r="H682" t="s" s="253">
        <v>485</v>
      </c>
      <c r="I682" t="s" s="254">
        <v>54</v>
      </c>
      <c r="J682" s="255">
        <v>2</v>
      </c>
      <c r="K682" t="s" s="256">
        <v>37</v>
      </c>
      <c r="L682" s="257">
        <v>2</v>
      </c>
      <c r="M682" s="258"/>
      <c r="N682" s="259">
        <v>0.1</v>
      </c>
      <c r="O682" s="260">
        <f>IF(OR(AE682="",AE683=""),"",ROUND(IF(L684&gt;0,IF(M682&gt;0,M682,IF(M683&gt;0,ROUND((M683*AE682)/AE683,IF(N682=0,2,IF(N682=0.1,1,0))),ROUND((M684*AE682)/AE684,IF(N682=0,2,IF(N682=0.1,1,0))))),IF(M682&gt;0,M682,ROUND((M683*AE682)/AE683,IF(N682=0,2,IF(N682=0.1,1,0))))),2))</f>
        <v>11.9</v>
      </c>
      <c r="P682" s="261">
        <f>IF(OR(L682="",O682=""),"",IF($C682="1/2W",O682/2+O682/2*L682,IF($C682="1/2L",O682/2,IF(I682="Lay",(O682*(L682/(L682-1))-O682)*(1-_xlfn.XLOOKUP(K682,'Janeiro 2023 - Valor Real'!A3:A15,'Janeiro 2023 - Valor Real'!C3:C15,0))+O682,(O682*L682-O682)*(1-_xlfn.XLOOKUP(K682,'Janeiro 2023 - Valor Real'!A3:A15,'Janeiro 2023 - Valor Real'!C3:C15,0))+O682))))</f>
        <v>23.8</v>
      </c>
      <c r="Q682" s="262">
        <f>IF(K682="","",IF(_xlfn.XLOOKUP(K682,K$107:K461,DJ$107:DJ461,0,,-1)=DJ682,_xlfn.XLOOKUP(K682,K$107:K461,Q$107:Q461,1,,-1)+1,1))</f>
        <v>1</v>
      </c>
      <c r="R682" s="263">
        <f>IF(K682="","",_xlfn.XLOOKUP(K682,K$107:K461,R$107:R461,0,,-1)+IF($C682=" ",1,0))</f>
        <v>0</v>
      </c>
      <c r="S682" s="264">
        <f>IF($B682="Anulado",0,ROUND(IF(OR($B682="LOSS",$B682="OK"),IF(OR($C682="W",$C682="1/2W",$C682="1/2L"),P682-O682,IF($C682="L",-O682,0))+IF(OR($C683="W",$C683="1/2W",$C683="1/2L"),P683-O683,IF($C683="L",-O683,0))+IF(OR($C684="W",$C684="1/2W",$C684="1/2L"),P684-O684,IF($C684="L",-O684,0)),IF(AND(OR($C682="W",$C682="1/2W",$C682="1/2L"),C683="W"),P682+P683-SUM(O682:O684)+_xlfn.XLOOKUP("X",C682:C684,O682:O684,0),IF(AND(C682=TRUE,C684="W"),P682+P684-SUM(O682:O684),IF(AND(C683="W",C684="W"),P683+P684-SUM(O682:O684)+_xlfn.XLOOKUP("X",C682:C684,O682:O684,0),IF(L684&gt;0,IF(OR($C682="W",$C682="1/2W",$C682="1/2L"),P682-SUM(O682:O684)+_xlfn.XLOOKUP("X",C682:C684,O682:O684,0),IF(OR($C682="W",$C682="1/2W",$C682="1/2L"),P683-SUM(O682:O684)+_xlfn.XLOOKUP("X",C682:C684,O682:O684,0),IF(OR($C682="W",$C682="1/2W",$C682="1/2L"),P684-SUM(O682:O684)+_xlfn.XLOOKUP("X",C682:C684,O682:O684,0),IF(SUM(P682:P684)/3-SUM(O682:O684)+_xlfn.XLOOKUP("X",C682:C684,O682:O684,0)&gt;0,SUM(P682:P684)/3-SUM(O682:O684)+_xlfn.XLOOKUP("X",C682:C684,O682:O684,0),LARGE(P682:P684,1)-SUM(O682:O684))))),IF(OR($C682="W",$C682="1/2W",$C682="1/2L"),P682-SUM(O682:O683)+_xlfn.XLOOKUP("X",C682:C684,O682:O684,0),IF(OR($C682="W",$C682="1/2W",$C682="1/2L"),P683-SUM(O682:O683)+_xlfn.XLOOKUP("X",C682:C684,O682:O684,0),SUM(P682:P683)/2-SUM(O682:O683)+_xlfn.XLOOKUP("X",C682:C684,O682:O684,0)))))))),2))</f>
        <v>1.33</v>
      </c>
      <c r="T682" s="265">
        <f>IF(S682=0,0,S682/SUM(O682:O684))</f>
        <v>0.059190031152648</v>
      </c>
      <c r="U682" s="266">
        <f>IF($D682=$D679,IF(OR($B682="LOSS",$B682="OK",$B682="Anulada"),S682,0)+U679,IF(OR($B682="LOSS",$B682="OK",$B682="Anulada"),S682,0))</f>
        <v>5.66</v>
      </c>
      <c r="V682" s="266">
        <f>IF($D682="",0,IF($D682=$D679,IF($B682=" ",IF(I684="",IF(OR(AND(I682="DNB1",I683="DNB2"),AND(OR(I682="DNB1",I682="DNB2"),J683=0),AND(OR(I683="DNB1",I683="DNB2"),J682=0),AND(I682="DNB2",I683="DNB1"),AND(IF(J682=0,(J682+1)/ROUND(J682+1,0),J682/ROUND(J682,0))=1,IF(J683=0,(J683+1)/ROUND(IF(J683="",0,J683)+1,0),IF(J683="",0,J683)/ROUND(IF(J683="",1,J683),0))=1,OR(J682&lt;&gt;""),J683&lt;&gt;"")),0,IF(S682&lt;0,IF(I684="",SMALL(P682:P683,1)-SUM(O682:O683),0),SMALL(P682:P683,1)-SUM(O682:O683))),IF(S682&lt;0,IF(I684="",SMALL(P682:P684,1)-SUM(O682:O684),0),LARGE(P682:P684,1)-SUM(O682:O684))),S682)+V679,IF(I684="",IF(OR(AND(I682="DNB1",I683="DNB2"),AND(OR(I682="DNB1",I682="DNB2"),J683=0),AND(OR(I683="DNB1",I683="DNB2"),J682=0),AND(I682="DNB2",I683="DNB1"),AND(IF(J682=0,(J682+1)/ROUND(J682+1,0),J682/ROUND(J682,0))=1,IF(J683=0,(IF(J683="",0,J683)+1)/ROUND(IF(J683="",0,J683)+1,0),IF(J683="",0,J683)/ROUND(IF(J683="",0,J683)+1,0))=1,OR(J682&lt;&gt;""),J683&lt;&gt;"")),0,IF(S682&lt;0,IF(I684="",SMALL(P682:P683,1)-SUM(O682:O683),0),SMALL(P682:P684,1)-SUM(O682:O684))),IF(S682&lt;0,IF(I684="",SMALL(P682:P684,1)-SUM(O682:O684),0),LARGE(P682:P684,1)-SUM(O682:O684)))))</f>
        <v>5.6576</v>
      </c>
      <c r="W682" s="266">
        <f>IF($D682=$D679,IF(S682&lt;0,IF(I684="",S682,0),S682)+W679,S682)</f>
        <v>5.66</v>
      </c>
      <c r="X682" t="s" s="267">
        <f>IF(OR(SUM(R682:R684)=0,V682=W682),ROUND(IF(W682=0,0,W682/Y682)*100,2)&amp;"%",ROUND(IF(V682=0,0,V682/Y682)*100,2)&amp;"% a "&amp;ROUND(IF(W682=0,0,W682/Y682)*100,2)&amp;"%")</f>
        <v>455</v>
      </c>
      <c r="Y682" s="268">
        <f>IF($D682=$D679,Y679+SUM(O682:O684),SUM(O682:O684))</f>
        <v>85.45999999999999</v>
      </c>
      <c r="Z682" s="266">
        <f>IF($B682=" ",SUM(O682:O684),0)+Z679</f>
        <v>0</v>
      </c>
      <c r="AA682" s="266">
        <f>IF(G682="","",IF($B682="Anulado",LARGE(P682:P684,1)-SUM(O682:O684)+AA679,AA679))</f>
        <v>27.7065076923077</v>
      </c>
      <c r="AB682" s="266">
        <f>IF($D682="","",AB679+S682)</f>
        <v>476.84</v>
      </c>
      <c r="AC682" s="269">
        <f>IF($D682="","",IF($B682=" ",IF(DAY(G682)=DAY(TODAY()),1+AC679,0+AC679),0+AC679))</f>
        <v>0</v>
      </c>
      <c r="AD682" s="270">
        <f>(1-_xlfn.XLOOKUP(K680,'Janeiro 2023 - Valor Real'!A3:A15,'Janeiro 2023 - Valor Real'!C3:C15,0))+1</f>
        <v>2</v>
      </c>
      <c r="AE682" s="271">
        <f>IF(L682="","",IF(L684&gt;0,(SUM(((L682-1)*(1-_xlfn.XLOOKUP(K682,'Janeiro 2023 - Valor Real'!A3:A15,'Janeiro 2023 - Valor Real'!C3:C15,0))+1),((L683-1)*(1-_xlfn.XLOOKUP(K683,'Janeiro 2023 - Valor Real'!A3:A15,'Janeiro 2023 - Valor Real'!C3:C15,0))+1),((L684-1)*(1-_xlfn.XLOOKUP(K684,'Janeiro 2023 - Valor Real'!A3:A15,'Janeiro 2023 - Valor Real'!C3:C15,0))+1))/((L682-1)*(1-_xlfn.XLOOKUP(K682,'Janeiro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Real'!C3:C15,0))+1))/((L682-1)*(1-_xlfn.XLOOKUP(K682,'Janeiro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Real'!C3:C15,0))+1))/((L683-1)*(1-_xlfn.XLOOKUP(K683,'Janeiro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Real'!C3:C15,0))+1))/((L684-1)*(1-_xlfn.XLOOKUP(K684,'Janeiro 2023 - Valor Real'!A3:A15,'Janeiro 2023 - Valor Real'!C3:C15,0))+1)),IF(I682="Lay",IF(I683="Lay",((L683/(L683-1)-1)*(1-_xlfn.XLOOKUP(K683,'Janeiro 2023 - Valor Real'!A3:A15,'Janeiro 2023 - Valor Real'!C3:C15,0))+1)/(((L683/(L683-1)-1)*(1-_xlfn.XLOOKUP(K683,'Janeiro 2023 - Valor Real'!A3:A15,'Janeiro 2023 - Valor Real'!C3:C15,0))+1)+((L682/(L682-1)-1)*(1-_xlfn.XLOOKUP(K682,'Janeiro 2023 - Valor Real'!A3:A15,'Janeiro 2023 - Valor Real'!C3:C15,0))+1)),((L683-1)*(1-_xlfn.XLOOKUP(K683,'Janeiro 2023 - Valor Real'!A3:A15,'Janeiro 2023 - Valor Real'!C3:C15,0))+1)/(((L683-1)*(1-_xlfn.XLOOKUP(K683,'Janeiro 2023 - Valor Real'!A3:A15,'Janeiro 2023 - Valor Real'!C3:C15,0))+1)+((L682/(L682-1)-1)*(1-_xlfn.XLOOKUP(K682,'Janeiro 2023 - Valor Real'!A3:A15,'Janeiro 2023 - Valor Real'!C3:C15,0))+1))),IF(I683="Lay",(((L683/(L683-1)-1)*(1-_xlfn.XLOOKUP(K683,'Janeiro 2023 - Valor Real'!A3:A15,'Janeiro 2023 - Valor Real'!C3:C15,0))+1))/(((L682-1)*(1-_xlfn.XLOOKUP(K682,'Janeiro 2023 - Valor Real'!A3:A15,'Janeiro 2023 - Valor Real'!C3:C15,0))+1)+((L683/(L683-1)-1)*(1-_xlfn.XLOOKUP(K683,'Janeiro 2023 - Valor Real'!A3:A15,'Janeiro 2023 - Valor Real'!C3:C15,0))+1)),((L683-1)*(1-_xlfn.XLOOKUP(K683,'Janeiro 2023 - Valor Real'!A3:A15,'Janeiro 2023 - Valor Real'!C3:C15,0))+1)/(((L683-1)*(1-_xlfn.XLOOKUP(K683,'Janeiro 2023 - Valor Real'!A3:A15,'Janeiro 2023 - Valor Real'!C3:C15,0))+1)+((L682-1)*(1-_xlfn.XLOOKUP(K682,'Janeiro 2023 - Valor Real'!A3:A15,'Janeiro 2023 - Valor Real'!C3:C15,0))+1))))))</f>
        <v>0.529411764705882</v>
      </c>
      <c r="AF682" s="132">
        <f>IF($K682=AF$3,ROUND(IF(OR($C682="W",$C682="1/2W",$C682="1/2L"),$P682-$O682,IF($C682="X",0,-$O682)),2),0)</f>
        <v>11.9</v>
      </c>
      <c r="AG682" s="133">
        <f>IF($K682=AG$3,ROUND(IF(OR($C682="W",$C682="1/2W",$C682="1/2L"),$P682-$O682,IF($C682="X",0,-$O682)),2),0)</f>
        <v>0</v>
      </c>
      <c r="AH682" s="133">
        <f>IF($K682=AH$3,ROUND(IF(OR($C682="W",$C682="1/2W",$C682="1/2L"),$P682-$O682,IF($C682="X",0,-$O682)),2),0)</f>
        <v>0</v>
      </c>
      <c r="AI682" s="133">
        <f>IF($K682=AI$3,ROUND(IF(OR($C682="W",$C682="1/2W",$C682="1/2L"),$P682-$O682,IF($C682="X",0,-$O682)),2),0)</f>
        <v>0</v>
      </c>
      <c r="AJ682" s="133">
        <f>IF($K682=AJ$3,ROUND(IF(OR($C682="W",$C682="1/2W",$C682="1/2L"),$P682-$O682,IF($C682="X",0,-$O682)),2),0)</f>
        <v>0</v>
      </c>
      <c r="AK682" s="133">
        <f>IF($K682=AK$3,ROUND(IF(OR($C682="W",$C682="1/2W",$C682="1/2L"),$P682-$O682,IF($C682="X",0,-$O682)),2),0)</f>
        <v>0</v>
      </c>
      <c r="AL682" s="133">
        <f>IF($K682=AL$3,ROUND(IF(OR($C682="W",$C682="1/2W",$C682="1/2L"),$P682-$O682,IF($C682="X",0,-$O682)),2),0)</f>
        <v>0</v>
      </c>
      <c r="AM682" s="133">
        <f>IF($K682=AM$3,ROUND(IF(OR($C682="W",$C682="1/2W",$C682="1/2L"),$P682-$O682,IF($C682="X",0,-$O682)),2),0)</f>
        <v>0</v>
      </c>
      <c r="AN682" s="133">
        <f>IF($K682=AN$3,ROUND(IF(OR($C682="W",$C682="1/2W",$C682="1/2L"),$P682-$O682,IF($C682="X",0,-$O682)),2),0)</f>
        <v>0</v>
      </c>
      <c r="AO682" s="133">
        <f>IF($K682=AO$3,ROUND(IF(OR($C682="W",$C682="1/2W",$C682="1/2L"),$P682-$O682,IF($C682="X",0,-$O682)),2),0)</f>
        <v>0</v>
      </c>
      <c r="AP682" s="133">
        <f>IF($K682=AP$3,ROUND(IF(OR($C682="W",$C682="1/2W",$C682="1/2L"),$P682-$O682,IF($C682="X",0,-$O682)),2),0)</f>
        <v>0</v>
      </c>
      <c r="AQ682" s="133">
        <f>IF($K682=AQ$3,ROUND(IF(OR($C682="W",$C682="1/2W",$C682="1/2L"),$P682-$O682,IF($C682="X",0,-$O682)),2),0)</f>
        <v>0</v>
      </c>
      <c r="AR682" s="134">
        <f>IF($K682=AR$3,ROUND(IF(OR($C682="W",$C682="1/2W",$C682="1/2L"),$P682-$O682,IF($C682="X",0,-$O682)),2),0)</f>
        <v>0</v>
      </c>
      <c r="AS682" s="132">
        <f>IF(AND($B682=" ",$K682=AS$3),$O682,0)</f>
        <v>0</v>
      </c>
      <c r="AT682" s="133">
        <f>IF(AND($B682=" ",$K682=AT$3),$O682,0)</f>
        <v>0</v>
      </c>
      <c r="AU682" s="133">
        <f>IF(AND($B682=" ",$K682=AU$3),$O682,0)</f>
        <v>0</v>
      </c>
      <c r="AV682" s="133">
        <f>IF(AND($B682=" ",$K682=AV$3),$O682,0)</f>
        <v>0</v>
      </c>
      <c r="AW682" s="133">
        <f>IF(AND($B682=" ",$K682=AW$3),$O682,0)</f>
        <v>0</v>
      </c>
      <c r="AX682" s="133">
        <f>IF(AND($B682=" ",$K682=AX$3),$O682,0)</f>
        <v>0</v>
      </c>
      <c r="AY682" s="135">
        <f>IF(AND($B682=" ",$K682=AY$3),$O682,0)</f>
        <v>0</v>
      </c>
      <c r="AZ682" s="136">
        <f>IF(AND($B682=" ",$K682=AZ$3),$O682,0)</f>
        <v>0</v>
      </c>
      <c r="BA682" s="136">
        <f>IF(AND($B682=" ",$K682=BA$3),$O682,0)</f>
        <v>0</v>
      </c>
      <c r="BB682" s="136">
        <f>IF(AND($B682=" ",$K682=BB$3),$O682,0)</f>
        <v>0</v>
      </c>
      <c r="BC682" s="137">
        <f>IF(AND($B682=" ",$K682=BC$3),$O682,0)</f>
        <v>0</v>
      </c>
      <c r="BD682" s="133">
        <f>IF(AND($B682=" ",$K682=BD$3),$O682,0)</f>
        <v>0</v>
      </c>
      <c r="BE682" s="134">
        <f>IF(AND($B682=" ",$K682=BE$3),$O682,0)</f>
        <v>0</v>
      </c>
      <c r="BF682" s="132">
        <f>IF($K682=BF$3,IF($C682="X",0,$O682),0)</f>
        <v>11.9</v>
      </c>
      <c r="BG682" s="133">
        <f>IF($K682=BG$3,IF($C682="X",0,$O682),0)</f>
        <v>0</v>
      </c>
      <c r="BH682" s="133">
        <f>IF($K682=BH$3,IF($C682="X",0,$O682),0)</f>
        <v>0</v>
      </c>
      <c r="BI682" s="133">
        <f>IF($K682=BI$3,IF($C682="X",0,$O682),0)</f>
        <v>0</v>
      </c>
      <c r="BJ682" s="133">
        <f>IF($K682=BJ$3,IF($C682="X",0,$O682),0)</f>
        <v>0</v>
      </c>
      <c r="BK682" s="133">
        <f>IF($K682=BK$3,IF($C682="X",0,$O682),0)</f>
        <v>0</v>
      </c>
      <c r="BL682" s="133">
        <f>IF($K682=BL$3,IF($C682="X",0,$O682),0)</f>
        <v>0</v>
      </c>
      <c r="BM682" s="135">
        <f>IF($K682=BM$3,IF($C682="X",0,$O682),0)</f>
        <v>0</v>
      </c>
      <c r="BN682" s="136">
        <f>IF($K682=BN$3,IF($C682="X",0,$O682),0)</f>
        <v>0</v>
      </c>
      <c r="BO682" s="136">
        <f>IF($K682=BO$3,IF($C682="X",0,$O682),0)</f>
        <v>0</v>
      </c>
      <c r="BP682" s="136">
        <f>IF($K682=BP$3,IF($C682="X",0,$O682),0)</f>
        <v>0</v>
      </c>
      <c r="BQ682" s="137">
        <f>IF($K682=BQ$3,IF($C682="X",0,$O682),0)</f>
        <v>0</v>
      </c>
      <c r="BR682" s="134">
        <f>IF($K682=BR$3,IF($C682="X",0,$O682),0)</f>
        <v>0</v>
      </c>
      <c r="BS682" s="170">
        <f>IF($B682="LOSS",IF(AND($K682=BS$3,$C682="L"),-$O682,0)+IF(AND($K683=BS$3,$C683="L"),-$O683,0)+IF(AND($K684=BS$3,$C684="L"),-$O684,0),IF(OR(AND($K682=BS$3,OR($C682="W",$C682="1/2W")),AND($K683=BS$3,OR($C683="W",$C683="1/2W")),AND($K684=BS$3,OR($C684="W",$C684="1/2W"))),$S682,0))</f>
        <v>1.33</v>
      </c>
      <c r="BT682" s="272">
        <f>IF($B682="LOSS",IF(AND($K682=BT$3,$C682="L"),-$O682,0)+IF(AND($K683=BT$3,$C683="L"),-$O683,0)+IF(AND($K683=BT$3,$C684="L"),-$O684,0),IF(OR(AND($K683=BT$3,OR($C682="W",$C682="1/2W")),AND($K683=BT$3,OR($C683="W",$C683="1/2W")),AND($K683=BT$3,OR($C684="W",$C684="1/2W"))),$S682,0))</f>
        <v>0</v>
      </c>
      <c r="BU682" s="136">
        <f>IF($B682="LOSS",IF(AND($K682=BU$3,$C682="L"),-$O682,0)+IF(AND($K683=BU$3,$C683="L"),-$O683,0)+IF(AND($K683=BU$3,$C684="L"),-$O684,0),IF(OR(AND($K683=BU$3,OR($C682="W",$C682="1/2W")),AND($K683=BU$3,OR($C683="W",$C683="1/2W")),AND($K683=BU$3,OR($C684="W",$C684="1/2W"))),$S682,0))</f>
        <v>0</v>
      </c>
      <c r="BV682" s="136">
        <f>IF($B682="LOSS",IF(AND($K682=BV$3,$C682="L"),-$O682,0)+IF(AND($K683=BV$3,$C683="L"),-$O683,0)+IF(AND($K684=BV$3,$C684="L"),-$O684,0),IF(OR(AND($K682=BV$3,OR($C682="W",$C682="1/2W")),AND($K683=BV$3,OR($C683="W",$C683="1/2W")),AND($K684=BV$3,OR($C684="W",$C684="1/2W"))),$S682,0))</f>
        <v>0</v>
      </c>
      <c r="BW682" s="136">
        <f>IF($B682="LOSS",IF(AND($K682=BW$3,$C682="L"),-$O682,0)+IF(AND($K683=BW$3,$C683="L"),-$O683,0)+IF(AND($K684=BW$3,$C684="L"),-$O684,0),IF(OR(AND($K682=BW$3,OR($C682="W",$C682="1/2W")),AND($K683=BW$3,OR($C683="W",$C683="1/2W")),AND($K684=BW$3,OR($C684="W",$C684="1/2W"))),$S682,0))</f>
        <v>0</v>
      </c>
      <c r="BX682" s="136">
        <f>IF($B682="LOSS",IF(AND($K682=BX$3,$C682="L"),-$O682,0)+IF(AND($K683=BX$3,$C683="L"),-$O683,0)+IF(AND($K684=BX$3,$C684="L"),-$O684,0),IF(OR(AND($K682=BX$3,OR($C682="W",$C682="1/2W")),AND($K683=BX$3,OR($C683="W",$C683="1/2W")),AND($K684=BX$3,OR($C684="W",$C684="1/2W"))),$S682,0))</f>
        <v>0</v>
      </c>
      <c r="BY682" s="136">
        <f>IF($B682="LOSS",IF(AND($K682=BY$3,$C682="L"),-$O682,0)+IF(AND($K683=BY$3,$C683="L"),-$O683,0)+IF(AND($K684=BY$3,$C684="L"),-$O684,0),IF(OR(AND($K682=BY$3,OR($C682="W",$C682="1/2W")),AND($K683=BY$3,OR($C683="W",$C683="1/2W")),AND($K684=BY$3,OR($C684="W",$C684="1/2W"))),$S682,0))</f>
        <v>0</v>
      </c>
      <c r="BZ682" s="136">
        <f>IF($B682="LOSS",IF(AND($K682=BZ$3,$C682="L"),-$O682,0)+IF(AND($K683=BZ$3,$C683="L"),-$O683,0)+IF(AND($K684=BZ$3,$C684="L"),-$O684,0),IF(OR(AND($K682=BZ$3,OR($C682="W",$C682="1/2W")),AND($K683=BZ$3,OR($C683="W",$C683="1/2W")),AND($K684=BZ$3,OR($C684="W",$C684="1/2W"))),$S682,0))</f>
        <v>0</v>
      </c>
      <c r="CA682" s="136">
        <f>IF($B682="LOSS",IF(AND($K682=CA$3,$C682="L"),-$O682,0)+IF(AND($K683=CA$3,$C683="L"),-$O683,0)+IF(AND($K684=CA$3,$C684="L"),-$O684,0),IF(OR(AND($K682=CA$3,OR($C682="W",$C682="1/2W")),AND($K683=CA$3,OR($C683="W",$C683="1/2W")),AND($K684=CA$3,OR($C684="W",$C684="1/2W"))),$S682,0))</f>
        <v>0</v>
      </c>
      <c r="CB682" s="136">
        <f>IF($B682="LOSS",IF(AND($K682=CB$3,$C682="L"),-$O682,0)+IF(AND($K683=CB$3,$C683="L"),-$O683,0)+IF(AND($K684=CB$3,$C684="L"),-$O684,0),IF(OR(AND($K682=CB$3,OR($C682="W",$C682="1/2W")),AND($K683=CB$3,OR($C683="W",$C683="1/2W")),AND($K684=CB$3,OR($C684="W",$C684="1/2W"))),$S682,0))</f>
        <v>0</v>
      </c>
      <c r="CC682" s="136">
        <f>IF($B682="LOSS",IF(AND($K682=CC$3,$C682="L"),-$O682,0)+IF(AND($K683=CC$3,$C683="L"),-$O683,0)+IF(AND($K684=CC$3,$C684="L"),-$O684,0),IF(OR(AND($K682=CC$3,OR($C682="W",$C682="1/2W")),AND($K683=CC$3,OR($C683="W",$C683="1/2W")),AND($K684=CC$3,OR($C684="W",$C684="1/2W"))),$S682,0))</f>
        <v>0</v>
      </c>
      <c r="CD682" s="137">
        <f>IF($B682="LOSS",IF(AND($K682=CD$3,$C682="L"),-$O682,0)+IF(AND($K683=CD$3,$C683="L"),-$O683,0)+IF(AND($K684=CD$3,$C684="L"),-$O684,0),IF(OR(AND($K682=CD$3,OR($C682="W",$C682="1/2W")),AND($K683=CD$3,OR($C683="W",$C683="1/2W")),AND($K684=CD$3,OR($C684="W",$C684="1/2W"))),$S682,0))</f>
        <v>0</v>
      </c>
      <c r="CE682" s="134">
        <f>IF($B682="LOSS",IF(AND($K682=CE$3,$C682="L"),-$O682,0)+IF(AND($K683=CE$3,$C683="L"),-$O683,0)+IF(AND($K684=CE$3,$C684="L"),-$O684,0),IF(OR(AND($K682=CE$3,OR($C682="W",$C682="1/2W")),AND($K683=CE$3,OR($C683="W",$C683="1/2W")),AND($K684=CE$3,OR($C684="W",$C684="1/2W"))),$S682,0))</f>
        <v>0</v>
      </c>
      <c r="CF682" s="273">
        <f>IF(CF$3=$K682,IF($C682="W",1,IF($C682="1/2W",0.5,0)),0)</f>
        <v>1</v>
      </c>
      <c r="CG682" s="274">
        <f>IF(CF$3=$K682,IF($C682="L",1,IF($C682="1/2L",0.5,0)),0)</f>
        <v>0</v>
      </c>
      <c r="CH682" s="274">
        <f>IF(CH$3=$K682,IF($C682="W",1,IF($C682="1/2W",0.5,0)),0)</f>
        <v>0</v>
      </c>
      <c r="CI682" s="274">
        <f>IF(CH$3=$K682,IF($C682="L",1,IF($C682="1/2L",0.5,0)),0)</f>
        <v>0</v>
      </c>
      <c r="CJ682" s="274">
        <f>IF(CJ$3=$K682,IF($C682="W",1,IF($C682="1/2W",0.5,0)),0)</f>
        <v>0</v>
      </c>
      <c r="CK682" s="274">
        <f>IF(CJ$3=$K682,IF($C682="L",1,IF($C682="1/2L",0.5,0)),0)</f>
        <v>0</v>
      </c>
      <c r="CL682" s="274">
        <f>IF(CL$3=$K682,IF($C682="W",1,IF($C682="1/2W",0.5,0)),0)</f>
        <v>0</v>
      </c>
      <c r="CM682" s="274">
        <f>IF(CL$3=$K682,IF($C682="L",1,IF($C682="1/2L",0.5,0)),0)</f>
        <v>0</v>
      </c>
      <c r="CN682" s="274">
        <f>IF(CN$3=$K682,IF($C682="W",1,IF($C682="1/2W",0.5,0)),0)</f>
        <v>0</v>
      </c>
      <c r="CO682" s="274">
        <f>IF(CN$3=$K682,IF($C682="L",1,IF($C682="1/2L",0.5,0)),0)</f>
        <v>0</v>
      </c>
      <c r="CP682" s="274">
        <f>IF(CP$3=$K682,IF($C682="W",1,IF($C682="1/2W",0.5,0)),0)</f>
        <v>0</v>
      </c>
      <c r="CQ682" s="274">
        <f>IF(CP$3=$K682,IF($C682="L",1,IF($C682="1/2L",0.5,0)),0)</f>
        <v>0</v>
      </c>
      <c r="CR682" s="274">
        <f>IF(CR$3=$K682,IF($C682="W",1,IF($C682="1/2W",0.5,0)),0)</f>
        <v>0</v>
      </c>
      <c r="CS682" s="274">
        <f>IF(CR$3=$K682,IF($C682="L",1,IF($C682="1/2L",0.5,0)),0)</f>
        <v>0</v>
      </c>
      <c r="CT682" s="145">
        <f>IF(CT$3=$K682,IF($C682="W",1,IF($C682="1/2W",0.5,0)),0)</f>
        <v>0</v>
      </c>
      <c r="CU682" s="146">
        <f>IF(CT$3=$K682,IF($C682="L",1,IF($C682="1/2L",0.5,0)),0)</f>
        <v>0</v>
      </c>
      <c r="CV682" s="146">
        <f>IF(CV$3=$K682,IF($C682="W",1,IF($C682="1/2W",0.5,0)),0)</f>
        <v>0</v>
      </c>
      <c r="CW682" s="146">
        <f>IF(CV$3=$K682,IF($C682="L",1,IF($C682="1/2L",0.5,0)),0)</f>
        <v>0</v>
      </c>
      <c r="CX682" s="146">
        <f>IF(CX$3=$K682,IF($C682="W",1,IF($C682="1/2W",0.5,0)),0)</f>
        <v>0</v>
      </c>
      <c r="CY682" s="146">
        <f>IF(CX$3=$K682,IF($C682="L",1,IF($C682="1/2L",0.5,0)),0)</f>
        <v>0</v>
      </c>
      <c r="CZ682" s="146">
        <f>IF(CZ$3=$K682,IF($C682="W",1,IF($C682="1/2W",0.5,0)),0)</f>
        <v>0</v>
      </c>
      <c r="DA682" s="146">
        <f>IF(CZ$3=$K682,IF($C682="L",1,IF($C682="1/2L",0.5,0)),0)</f>
        <v>0</v>
      </c>
      <c r="DB682" s="146">
        <f>IF(DB$3=$K682,IF($C682="W",1,IF($C682="1/2W",0.5,0)),0)</f>
        <v>0</v>
      </c>
      <c r="DC682" s="146">
        <f>IF(DB$3=$K682,IF($C682="L",1,IF($C682="1/2L",0.5,0)),0)</f>
        <v>0</v>
      </c>
      <c r="DD682" s="146">
        <f>IF(DD$3=$K682,IF($C682="W",1,IF($C682="1/2W",0.5,0)),0)</f>
        <v>0</v>
      </c>
      <c r="DE682" s="147">
        <f>IF(DD$3=$K682,IF($C682="L",1,IF($C682="1/2L",0.5,0)),0)</f>
        <v>0</v>
      </c>
      <c r="DF682" s="143">
        <f>IF(AND(L682&lt;DF$3,$C682="W"),1+DF681,DF681)</f>
        <v>18</v>
      </c>
      <c r="DG682" s="133">
        <f>IF(DF682&gt;DF681,L682+DG681,DG681)</f>
        <v>23.918</v>
      </c>
      <c r="DH682" s="146">
        <f>IF(AND(L682&gt;DH$3,$C682="W"),1+DH681,0+DH681)</f>
        <v>16</v>
      </c>
      <c r="DI682" s="133">
        <f>IF(DH682&gt;DH681,L682+DI681,DI681)</f>
        <v>85.45999999999999</v>
      </c>
      <c r="DJ682" t="s" s="304">
        <f>IF($D682="","",$D682)</f>
        <v>481</v>
      </c>
      <c r="DK682" s="146">
        <f>IF(AND($B682=" ",$D682&lt;&gt;""),1,0)</f>
        <v>0</v>
      </c>
    </row>
    <row r="683" ht="14.55" customHeight="1">
      <c r="A683" s="107"/>
      <c r="B683" s="108"/>
      <c r="C683" t="s" s="109">
        <v>51</v>
      </c>
      <c r="D683" s="110"/>
      <c r="E683" s="111"/>
      <c r="F683" s="113"/>
      <c r="G683" s="252"/>
      <c r="H683" s="114"/>
      <c r="I683" t="s" s="275">
        <v>57</v>
      </c>
      <c r="J683" s="276">
        <f>IF(OR(I682="TO",I682="TU",I682="TO1",I682="TU1",I682="TO2",I682="TU2"),J682,IF(OR(I682="AH1",I682="AH2"),IF(OR(I683="AH1",I683="AH2"),-J682,IF(OR(I683="EH1",I683="EH2"),-J682+0.5,"")),IF(OR(I682="EH1",I682="EH2"),IF(OR(I683="AH1",I683="AH2"),-J682+0.5,IF(OR(I683="EH1",I683="EH2"),-J682+1,"")),IF(AND(OR(I682="DNB1",I682="DNB2"),OR(I683="AH1",I683="AH2")),0,IF(AND(I682="Not ScoreBoth",OR(I683="TO1",I683="TO2")),0.5,"")))))</f>
        <v>-2</v>
      </c>
      <c r="K683" t="s" s="117">
        <v>48</v>
      </c>
      <c r="L683" s="277">
        <v>2.25</v>
      </c>
      <c r="M683" s="278">
        <v>10.57</v>
      </c>
      <c r="N683" s="120"/>
      <c r="O683" s="121">
        <f>IF(OR(AE682="",AE683=""),"",ROUND(IF(L684&gt;0,IF(M683&gt;0,M683,IF(M682&gt;0,IF(N682=TRUE,ROUND((M682*AE683)/AE682,0),(M682*AE683)/AE682),IF(M683&gt;0,ROUND(M683,IF(N682=0,2,IF(N682=0.1,1,0))),IF(M684&gt;0,ROUND(O684*AE683/AE684,IF(N682=0,2,IF(N682=0.1,1,0))),0)))),IF(M683&gt;0,M683,ROUND((M682*AE683)/AE682,IF(N682=0,2,IF(N682=0.1,1,0))))),2))</f>
        <v>10.57</v>
      </c>
      <c r="P683" s="122">
        <f>IF(OR(L683="",O683=""),"",IF($C683="1/2W",O683/2+O683/2*L683,IF($C683="1/2L",O683/2,IF(I683="Lay",((O683*(L683/(L683-1)))-O683)*(1-_xlfn.XLOOKUP(K683,'Janeiro 2023 - Valor Real'!A3:A15,'Janeiro 2023 - Valor Real'!C3:C15,0))+O683,(O683*L683-O683)*(1-_xlfn.XLOOKUP(K683,'Janeiro 2023 - Valor Real'!A3:A15,'Janeiro 2023 - Valor Real'!C3:C15,0))+O683))))</f>
        <v>23.7825</v>
      </c>
      <c r="Q683" s="279">
        <f>IF(K683="","",IF(_xlfn.XLOOKUP(K683,K$120:K462,DJ$120:DJ462,0,,-1)=DJ683,_xlfn.XLOOKUP(K683,K$120:K462,Q$120:Q462,1,,-1)+1,1))</f>
        <v>1</v>
      </c>
      <c r="R683" s="280">
        <f>IF(K683="","",_xlfn.XLOOKUP(K683,K$120:K462,R$120:R462,0,,-1)+IF($C683=" ",1,0))</f>
        <v>0</v>
      </c>
      <c r="S683" s="125"/>
      <c r="T683" s="126"/>
      <c r="U683" s="126"/>
      <c r="V683" s="224"/>
      <c r="W683" s="126"/>
      <c r="X683" s="127"/>
      <c r="Y683" s="128"/>
      <c r="Z683" s="129"/>
      <c r="AA683" s="129"/>
      <c r="AB683" s="129"/>
      <c r="AC683" s="129"/>
      <c r="AD683" s="130"/>
      <c r="AE683" s="131">
        <f>IF(L683="","",IF(L684&gt;0,(SUM(((L682-1)*(1-_xlfn.XLOOKUP(K682,'Janeiro 2023 - Valor Real'!A3:A15,'Janeiro 2023 - Valor Real'!C3:C15,0))+1),((L683-1)*(1-_xlfn.XLOOKUP(K683,'Janeiro 2023 - Valor Real'!A3:A15,'Janeiro 2023 - Valor Real'!C3:C15,0))+1),((L684-1)*(1-_xlfn.XLOOKUP(K684,'Janeiro 2023 - Valor Real'!A3:A15,'Janeiro 2023 - Valor Real'!C3:C15,0))+1))/((L683-1)*(1-_xlfn.XLOOKUP(K683,'Janeiro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Real'!C3:C15,0))+1))/((L682-1)*(1-_xlfn.XLOOKUP(K682,'Janeiro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Real'!C3:C15,0))+1))/((L683-1)*(1-_xlfn.XLOOKUP(K683,'Janeiro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Real'!C3:C15,0))+1))/((L684-1)*(1-_xlfn.XLOOKUP(K684,'Janeiro 2023 - Valor Real'!A3:A15,'Janeiro 2023 - Valor Real'!C3:C15,0))+1)),IF(I683="Lay",IF(I682="Lay",((L682/(L682-1)-1)*(1-_xlfn.XLOOKUP(K682,'Janeiro 2023 - Valor Real'!A3:A15,'Janeiro 2023 - Valor Real'!C3:C15,0))+1)/(((L682/(L682-1)-1)*(1-_xlfn.XLOOKUP(K682,'Janeiro 2023 - Valor Real'!A3:A15,'Janeiro 2023 - Valor Real'!C3:C15,0))+1)+((L683/(L683-1)-1)*(1-_xlfn.XLOOKUP(K683,'Janeiro 2023 - Valor Real'!A3:A15,'Janeiro 2023 - Valor Real'!C3:C15,0))+1)),((L682-1)*(1-_xlfn.XLOOKUP(K682,'Janeiro 2023 - Valor Real'!A3:A15,'Janeiro 2023 - Valor Real'!C3:C15,0))+1)/(((L682-1)*(1-_xlfn.XLOOKUP(K682,'Janeiro 2023 - Valor Real'!A3:A15,'Janeiro 2023 - Valor Real'!C3:C15,0))+1)+((L683/(L683-1)-1)*(1-_xlfn.XLOOKUP(K683,'Janeiro 2023 - Valor Real'!A3:A15,'Janeiro 2023 - Valor Real'!C3:C15,0))+1))),IF(I682="Lay",((L682/(L682-1)-1)*(1-_xlfn.XLOOKUP(K682,'Janeiro 2023 - Valor Real'!A3:A15,'Janeiro 2023 - Valor Real'!C3:C15,0))+1)/((((L682/(L682-1)-1)*(1-_xlfn.XLOOKUP(K682,'Janeiro 2023 - Valor Real'!A3:A15,'Janeiro 2023 - Valor Real'!C3:C15,0))+1))+((L683-1)*(1-_xlfn.XLOOKUP(K683,'Janeiro 2023 - Valor Real'!A3:A15,'Janeiro 2023 - Valor Real'!C3:C15,0))+1)),((L682-1)*(1-_xlfn.XLOOKUP(K682,'Janeiro 2023 - Valor Real'!A3:A15,'Janeiro 2023 - Valor Real'!C3:C15,0))+1)/(((L682-1)*(1-_xlfn.XLOOKUP(K682,'Janeiro 2023 - Valor Real'!A3:A15,'Janeiro 2023 - Valor Real'!C3:C15,0))+1)+((L683-1)*(1-_xlfn.XLOOKUP(K683,'Janeiro 2023 - Valor Real'!A3:A15,'Janeiro 2023 - Valor Real'!C3:C15,0))+1))))))</f>
        <v>0.470588235294118</v>
      </c>
      <c r="AF683" s="132">
        <f>IF($K683=AF$3,ROUND(IF(OR($C683="W",$C683="1/2W",$C683="1/2L"),$P683-$O683,IF($C683="X",0,-$O683)),2),0)</f>
        <v>0</v>
      </c>
      <c r="AG683" s="133">
        <f>IF($K683=AG$3,ROUND(IF(OR($C683="W",$C683="1/2W",$C683="1/2L"),$P683-$O683,IF($C683="X",0,-$O683)),2),0)</f>
        <v>0</v>
      </c>
      <c r="AH683" s="133">
        <f>IF($K683=AH$3,ROUND(IF(OR($C683="W",$C683="1/2W",$C683="1/2L"),$P683-$O683,IF($C683="X",0,-$O683)),2),0)</f>
        <v>0</v>
      </c>
      <c r="AI683" s="133">
        <f>IF($K683=AI$3,ROUND(IF(OR($C683="W",$C683="1/2W",$C683="1/2L"),$P683-$O683,IF($C683="X",0,-$O683)),2),0)</f>
        <v>0</v>
      </c>
      <c r="AJ683" s="133">
        <f>IF($K683=AJ$3,ROUND(IF(OR($C683="W",$C683="1/2W",$C683="1/2L"),$P683-$O683,IF($C683="X",0,-$O683)),2),0)</f>
        <v>0</v>
      </c>
      <c r="AK683" s="133">
        <f>IF($K683=AK$3,ROUND(IF(OR($C683="W",$C683="1/2W",$C683="1/2L"),$P683-$O683,IF($C683="X",0,-$O683)),2),0)</f>
        <v>0</v>
      </c>
      <c r="AL683" s="133">
        <f>IF($K683=AL$3,ROUND(IF(OR($C683="W",$C683="1/2W",$C683="1/2L"),$P683-$O683,IF($C683="X",0,-$O683)),2),0)</f>
        <v>0</v>
      </c>
      <c r="AM683" s="133">
        <f>IF($K683=AM$3,ROUND(IF(OR($C683="W",$C683="1/2W",$C683="1/2L"),$P683-$O683,IF($C683="X",0,-$O683)),2),0)</f>
        <v>0</v>
      </c>
      <c r="AN683" s="133">
        <f>IF($K683=AN$3,ROUND(IF(OR($C683="W",$C683="1/2W",$C683="1/2L"),$P683-$O683,IF($C683="X",0,-$O683)),2),0)</f>
        <v>0</v>
      </c>
      <c r="AO683" s="133">
        <f>IF($K683=AO$3,ROUND(IF(OR($C683="W",$C683="1/2W",$C683="1/2L"),$P683-$O683,IF($C683="X",0,-$O683)),2),0)</f>
        <v>0</v>
      </c>
      <c r="AP683" s="133">
        <f>IF($K683=AP$3,ROUND(IF(OR($C683="W",$C683="1/2W",$C683="1/2L"),$P683-$O683,IF($C683="X",0,-$O683)),2),0)</f>
        <v>0</v>
      </c>
      <c r="AQ683" s="133">
        <f>IF($K683=AQ$3,ROUND(IF(OR($C683="W",$C683="1/2W",$C683="1/2L"),$P683-$O683,IF($C683="X",0,-$O683)),2),0)</f>
        <v>-10.57</v>
      </c>
      <c r="AR683" s="134">
        <f>IF($K683=AR$3,ROUND(IF(OR($C683="W",$C683="1/2W",$C683="1/2L"),$P683-$O683,IF($C683="X",0,-$O683)),2),0)</f>
        <v>0</v>
      </c>
      <c r="AS683" s="132">
        <f>IF(AND($B682=" ",$K683=AS$3),$O683,0)</f>
        <v>0</v>
      </c>
      <c r="AT683" s="133">
        <f>IF(AND($B682=" ",K683=AT$3),$O683,0)</f>
        <v>0</v>
      </c>
      <c r="AU683" s="133">
        <f>IF(AND($B682=" ",$K683=AU$3),$O683,0)</f>
        <v>0</v>
      </c>
      <c r="AV683" s="133">
        <f>IF(AND($B682=" ",$K683=AV$3),$O683,0)</f>
        <v>0</v>
      </c>
      <c r="AW683" s="133">
        <f>IF(AND($B682=" ",$K683=AW$3),$O683,0)</f>
        <v>0</v>
      </c>
      <c r="AX683" s="133">
        <f>IF(AND($B682=" ",$K683=AX$3),$O683,0)</f>
        <v>0</v>
      </c>
      <c r="AY683" s="135">
        <f>IF(AND($B682=" ",$K683=AY$3),$O683,0)</f>
        <v>0</v>
      </c>
      <c r="AZ683" s="136">
        <f>IF(AND($B682=" ",$K683=AZ$3),$O683,0)</f>
        <v>0</v>
      </c>
      <c r="BA683" s="136">
        <f>IF(AND($B682=" ",$K683=BA$3),$O683,0)</f>
        <v>0</v>
      </c>
      <c r="BB683" s="136">
        <f>IF(AND($B682=" ",$K683=BB$3),$O683,0)</f>
        <v>0</v>
      </c>
      <c r="BC683" s="137">
        <f>IF(AND($B682=" ",$K683=BC$3),$O683,0)</f>
        <v>0</v>
      </c>
      <c r="BD683" s="133">
        <f>IF(AND($B682=" ",$K683=BD$3),$O683,0)</f>
        <v>0</v>
      </c>
      <c r="BE683" s="134">
        <f>IF(AND($B682=" ",$K683=BE$3),$O683,0)</f>
        <v>0</v>
      </c>
      <c r="BF683" s="132">
        <f>IF($K683=BF$3,IF($C683="X",0,$O683),0)</f>
        <v>0</v>
      </c>
      <c r="BG683" s="281">
        <f>IF($K683=BG$3,IF($C683="X",0,$O683),0)</f>
        <v>0</v>
      </c>
      <c r="BH683" s="133">
        <f>IF($K683=BH$3,IF($C683="X",0,$O683),0)</f>
        <v>0</v>
      </c>
      <c r="BI683" s="133">
        <f>IF($K683=BI$3,IF($C683="X",0,$O683),0)</f>
        <v>0</v>
      </c>
      <c r="BJ683" s="133">
        <f>IF($K683=BJ$3,IF($C683="X",0,$O683),0)</f>
        <v>0</v>
      </c>
      <c r="BK683" s="133">
        <f>IF($K683=BK$3,IF($C683="X",0,$O683),0)</f>
        <v>0</v>
      </c>
      <c r="BL683" s="133">
        <f>IF($K683=BL$3,IF($C683="X",0,$O683),0)</f>
        <v>0</v>
      </c>
      <c r="BM683" s="135">
        <f>IF($K683=BM$3,IF($C683="X",0,$O683),0)</f>
        <v>0</v>
      </c>
      <c r="BN683" s="136">
        <f>IF($K683=BN$3,IF($C683="X",0,$O683),0)</f>
        <v>0</v>
      </c>
      <c r="BO683" s="136">
        <f>IF($K683=BO$3,IF($C683="X",0,$O683),0)</f>
        <v>0</v>
      </c>
      <c r="BP683" s="136">
        <f>IF($K683=BP$3,IF($C683="X",0,$O683),0)</f>
        <v>0</v>
      </c>
      <c r="BQ683" s="137">
        <f>IF($K683=BQ$3,IF($C683="X",0,$O683),0)</f>
        <v>10.57</v>
      </c>
      <c r="BR683" s="134">
        <f>IF($K683=BR$3,IF($C683="X",0,$O683),0)</f>
        <v>0</v>
      </c>
      <c r="BS683" s="282"/>
      <c r="BT683" s="283"/>
      <c r="BU683" s="140"/>
      <c r="BV683" s="283"/>
      <c r="BW683" s="140"/>
      <c r="BX683" s="140"/>
      <c r="BY683" s="140"/>
      <c r="BZ683" s="283"/>
      <c r="CA683" s="140"/>
      <c r="CB683" s="140"/>
      <c r="CC683" s="140"/>
      <c r="CD683" s="141"/>
      <c r="CE683" s="142"/>
      <c r="CF683" s="284">
        <f>IF(CF$3=$K683,IF($C683="W",1,IF($C683="1/2W",0.5,0)),0)</f>
        <v>0</v>
      </c>
      <c r="CG683" s="285">
        <f>IF(CF$3=$K683,IF($C683="L",1,IF($C683="1/2L",0.5,0)),0)</f>
        <v>0</v>
      </c>
      <c r="CH683" s="285">
        <f>IF(CH$3=$K683,IF($C683="W",1,IF($C683="1/2W",0.5,0)),0)</f>
        <v>0</v>
      </c>
      <c r="CI683" s="285">
        <f>IF(CH$3=$K683,IF($C683="L",1,IF($C683="1/2L",0.5,0)),0)</f>
        <v>0</v>
      </c>
      <c r="CJ683" s="285">
        <f>IF(CJ$3=$K683,IF($C683="W",1,IF($C683="1/2W",0.5,0)),0)</f>
        <v>0</v>
      </c>
      <c r="CK683" s="285">
        <f>IF(CJ$3=$K683,IF($C683="L",1,IF($C683="1/2L",0.5,0)),0)</f>
        <v>0</v>
      </c>
      <c r="CL683" s="285">
        <f>IF(CL$3=$K683,IF($C683="W",1,IF($C683="1/2W",0.5,0)),0)</f>
        <v>0</v>
      </c>
      <c r="CM683" s="285">
        <f>IF(CL$3=$K683,IF($C683="L",1,IF($C683="1/2L",0.5,0)),0)</f>
        <v>0</v>
      </c>
      <c r="CN683" s="285">
        <f>IF(CN$3=$K683,IF($C683="W",1,IF($C683="1/2W",0.5,0)),0)</f>
        <v>0</v>
      </c>
      <c r="CO683" s="285">
        <f>IF(CN$3=$K683,IF($C683="L",1,IF($C683="1/2L",0.5,0)),0)</f>
        <v>0</v>
      </c>
      <c r="CP683" s="285">
        <f>IF(CP$3=$K683,IF($C683="W",1,IF($C683="1/2W",0.5,0)),0)</f>
        <v>0</v>
      </c>
      <c r="CQ683" s="285">
        <f>IF(CP$3=$K683,IF($C683="L",1,IF($C683="1/2L",0.5,0)),0)</f>
        <v>0</v>
      </c>
      <c r="CR683" s="285">
        <f>IF(CR$3=$K683,IF($C683="W",1,IF($C683="1/2W",0.5,0)),0)</f>
        <v>0</v>
      </c>
      <c r="CS683" s="285">
        <f>IF(CR$3=$K683,IF($C683="L",1,IF($C683="1/2L",0.5,0)),0)</f>
        <v>0</v>
      </c>
      <c r="CT683" s="145">
        <f>IF(CT$3=$K683,IF($C683="W",1,IF($C683="1/2W",0.5,0)),0)</f>
        <v>0</v>
      </c>
      <c r="CU683" s="146">
        <f>IF(CT$3=$K683,IF($C683="L",1,IF($C683="1/2L",0.5,0)),0)</f>
        <v>0</v>
      </c>
      <c r="CV683" s="146">
        <f>IF(CV$3=$K683,IF($C683="W",1,IF($C683="1/2W",0.5,0)),0)</f>
        <v>0</v>
      </c>
      <c r="CW683" s="146">
        <f>IF(CV$3=$K683,IF($C683="L",1,IF($C683="1/2L",0.5,0)),0)</f>
        <v>0</v>
      </c>
      <c r="CX683" s="146">
        <f>IF(CX$3=$K683,IF($C683="W",1,IF($C683="1/2W",0.5,0)),0)</f>
        <v>0</v>
      </c>
      <c r="CY683" s="146">
        <f>IF(CX$3=$K683,IF($C683="L",1,IF($C683="1/2L",0.5,0)),0)</f>
        <v>0</v>
      </c>
      <c r="CZ683" s="146">
        <f>IF(CZ$3=$K683,IF($C683="W",1,IF($C683="1/2W",0.5,0)),0)</f>
        <v>0</v>
      </c>
      <c r="DA683" s="146">
        <f>IF(CZ$3=$K683,IF($C683="L",1,IF($C683="1/2L",0.5,0)),0)</f>
        <v>0</v>
      </c>
      <c r="DB683" s="146">
        <f>IF(DB$3=$K683,IF($C683="W",1,IF($C683="1/2W",0.5,0)),0)</f>
        <v>0</v>
      </c>
      <c r="DC683" s="146">
        <f>IF(DB$3=$K683,IF($C683="L",1,IF($C683="1/2L",0.5,0)),0)</f>
        <v>1</v>
      </c>
      <c r="DD683" s="146">
        <f>IF(DD$3=$K683,IF($C683="W",1,IF($C683="1/2W",0.5,0)),0)</f>
        <v>0</v>
      </c>
      <c r="DE683" s="147">
        <f>IF(DD$3=$K683,IF($C683="L",1,IF($C683="1/2L",0.5,0)),0)</f>
        <v>0</v>
      </c>
      <c r="DF683" s="143">
        <f>IF(AND(L683&lt;DF$3,$C683="W"),1+DF682,DF682)</f>
        <v>18</v>
      </c>
      <c r="DG683" s="133">
        <f>IF(DF683&gt;DF682,L683+DG682,DG682)</f>
        <v>23.918</v>
      </c>
      <c r="DH683" s="146">
        <f>IF(AND(L683&gt;DH$3,$C683="W"),1+DH682,0+DH682)</f>
        <v>16</v>
      </c>
      <c r="DI683" s="133">
        <f>IF(DH683&gt;DH682,L683+DI682,DI682)</f>
        <v>85.45999999999999</v>
      </c>
      <c r="DJ683" t="s" s="304">
        <f>IF($D682="","",$D682)</f>
        <v>481</v>
      </c>
      <c r="DK683" s="286"/>
    </row>
    <row r="684" ht="14.55" customHeight="1">
      <c r="A684" s="149"/>
      <c r="B684" s="150"/>
      <c r="C684" t="s" s="151">
        <v>58</v>
      </c>
      <c r="D684" s="152"/>
      <c r="E684" s="153"/>
      <c r="F684" s="155"/>
      <c r="G684" s="252"/>
      <c r="H684" s="156"/>
      <c r="I684" s="287"/>
      <c r="J684" s="288"/>
      <c r="K684" s="156"/>
      <c r="L684" s="289"/>
      <c r="M684" s="290"/>
      <c r="N684" s="161"/>
      <c r="O684" t="s" s="162">
        <f>IF(OR(AE682="",AE683=""),"",IF(L684&gt;0,ROUND(IF(M684&gt;0,M684,IF(M682&gt;0,ROUND((M682*AE684)/AE682,IF(N682=0,2,IF(N682=0.1,1,0))),IF(M683&gt;0,ROUND((M683*AE684)/AE683,IF(N682=0,2,IF(N682=0.1,1,0))),IF(M684&gt;0,M684,0)))),2),""))</f>
      </c>
      <c r="P684" t="s" s="163">
        <f>IF(I683="Lay",O683*(L683/(L683-1))-O683,IF(I682="Lay",O682*(L682/(L682-1))-O682,IF(OR(L684="",O684=""),"",IF($C684="1/2W",O684/2+O684/2*L684,IF($C684="1/2L",O684/2,(O684*L684-O684)*(1-_xlfn.XLOOKUP(K684,'Janeiro 2023 - Valor Real'!A3:A15,'Janeiro 2023 - Valor Real'!C3:C15,0))+O684)))))</f>
      </c>
      <c r="Q684" t="s" s="154">
        <f>IF(K684="","",IF(_xlfn.XLOOKUP(K684,K$121:K463,DJ$121:DJ463,0,,-1)=DJ684,_xlfn.XLOOKUP(K684,K$121:K463,Q$121:Q463,1,,-1)+1,1))</f>
      </c>
      <c r="R684" t="s" s="163">
        <f>IF(K684="","",_xlfn.XLOOKUP(K684,K$121:K463,R$121:R463,0,,-1)+IF($C684=" ",1,0))</f>
      </c>
      <c r="S684" s="166"/>
      <c r="T684" s="155"/>
      <c r="U684" s="155"/>
      <c r="V684" s="166"/>
      <c r="W684" s="155"/>
      <c r="X684" s="167"/>
      <c r="Y684" s="128"/>
      <c r="Z684" s="129"/>
      <c r="AA684" s="129"/>
      <c r="AB684" s="129"/>
      <c r="AC684" s="129"/>
      <c r="AD684" s="168"/>
      <c r="AE684" t="s" s="169">
        <f>IF(L684="","",(SUM(((L682-1)*(1-_xlfn.XLOOKUP(K682,'Janeiro 2023 - Valor Real'!A3:A15,'Janeiro 2023 - Valor Real'!C3:C15,0))+1),((L683-1)*(1-_xlfn.XLOOKUP(K683,'Janeiro 2023 - Valor Real'!A3:A15,'Janeiro 2023 - Valor Real'!C3:C15,0))+1),((L684-1)*(1-_xlfn.XLOOKUP(K684,'Janeiro 2023 - Valor Real'!A3:A15,'Janeiro 2023 - Valor Real'!C3:C15,0))+1))/((L684-1)*(1-_xlfn.XLOOKUP(K684,'Janeiro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Real'!C3:C15,0))+1))/((L682-1)*(1-_xlfn.XLOOKUP(K682,'Janeiro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Real'!C3:C15,0))+1))/((L683-1)*(1-_xlfn.XLOOKUP(K683,'Janeiro 2023 - Valor Real'!A3:A15,'Janeiro 2023 - Valor Real'!C3:C15,0))+1)+SUM(((L682-1)*(1-_xlfn.XLOOKUP(K682,'Janeiro 2023 - Valor Real'!A3:A15,'Janeiro 2023 - Valor Real'!C3:C15,0))+1),((L683-1)*(1-_xlfn.XLOOKUP(K683,'Janeiro 2023 - Valor Real'!A3:A15,'Janeiro 2023 - Valor Real'!C3:C15,0))+1),((L684-1)*(1-_xlfn.XLOOKUP(K684,'Janeiro 2023 - Valor Real'!A3:A15,'Janeiro 2023 - Valor Real'!C3:C15,0))+1))/((L684-1)*(1-_xlfn.XLOOKUP(K684,'Janeiro 2023 - Valor Real'!A3:A15,'Janeiro 2023 - Valor Real'!C3:C15,0))+1)))</f>
      </c>
      <c r="AF684" s="132">
        <f>IF($K684=AF$3,ROUND(IF(OR($C684="W",$C684="1/2W",$C684="1/2L"),$P684-$O684,IF($C684="X",0,-$O684)),2),0)</f>
        <v>0</v>
      </c>
      <c r="AG684" s="133">
        <f>IF($K684=AG$3,ROUND(IF(OR($C684="W",$C684="1/2W",$C684="1/2L"),$P684-$O684,IF($C684="X",0,-$O684)),2),0)</f>
        <v>0</v>
      </c>
      <c r="AH684" s="133">
        <f>IF($K684=AH$3,ROUND(IF(OR($C684="W",$C684="1/2W",$C684="1/2L"),$P684-$O684,IF($C684="X",0,-$O684)),2),0)</f>
        <v>0</v>
      </c>
      <c r="AI684" s="133">
        <f>IF($K684=AI$3,ROUND(IF(OR($C684="W",$C684="1/2W",$C684="1/2L"),$P684-$O684,IF($C684="X",0,-$O684)),2),0)</f>
        <v>0</v>
      </c>
      <c r="AJ684" s="133">
        <f>IF($K684=AJ$3,ROUND(IF(OR($C684="W",$C684="1/2W",$C684="1/2L"),$P684-$O684,IF($C684="X",0,-$O684)),2),0)</f>
        <v>0</v>
      </c>
      <c r="AK684" s="133">
        <f>IF($K684=AK$3,ROUND(IF(OR($C684="W",$C684="1/2W",$C684="1/2L"),$P684-$O684,IF($C684="X",0,-$O684)),2),0)</f>
        <v>0</v>
      </c>
      <c r="AL684" s="133">
        <f>IF($K684=AL$3,ROUND(IF(OR($C684="W",$C684="1/2W",$C684="1/2L"),$P684-$O684,IF($C684="X",0,-$O684)),2),0)</f>
        <v>0</v>
      </c>
      <c r="AM684" s="133">
        <f>IF($K684=AM$3,ROUND(IF(OR($C684="W",$C684="1/2W",$C684="1/2L"),$P684-$O684,IF($C684="X",0,-$O684)),2),0)</f>
        <v>0</v>
      </c>
      <c r="AN684" s="133">
        <f>IF($K684=AN$3,ROUND(IF(OR($C684="W",$C684="1/2W",$C684="1/2L"),$P684-$O684,IF($C684="X",0,-$O684)),2),0)</f>
        <v>0</v>
      </c>
      <c r="AO684" s="133">
        <f>IF($K684=AO$3,ROUND(IF(OR($C684="W",$C684="1/2W",$C684="1/2L"),$P684-$O684,IF($C684="X",0,-$O684)),2),0)</f>
        <v>0</v>
      </c>
      <c r="AP684" s="133">
        <f>IF($K684=AP$3,ROUND(IF(OR($C684="W",$C684="1/2W",$C684="1/2L"),$P684-$O684,IF($C684="X",0,-$O684)),2),0)</f>
        <v>0</v>
      </c>
      <c r="AQ684" s="133">
        <f>IF($K684=AQ$3,ROUND(IF(OR($C684="W",$C684="1/2W",$C684="1/2L"),$P684-$O684,IF($C684="X",0,-$O684)),2),0)</f>
        <v>0</v>
      </c>
      <c r="AR684" s="134">
        <f>IF($K684=AR$3,ROUND(IF(OR($C684="W",$C684="1/2W",$C684="1/2L"),$P684-$O684,IF($C684="X",0,-$O684)),2),0)</f>
        <v>0</v>
      </c>
      <c r="AS684" s="132">
        <f>IF(AND($B682=" ",$K684=AS$3),$O684,0)</f>
        <v>0</v>
      </c>
      <c r="AT684" s="133">
        <f>IF(AND($B682=" ",K684=AT$3),$O684,0)</f>
        <v>0</v>
      </c>
      <c r="AU684" s="133">
        <f>IF(AND($B682=" ",$K684=AU$3),$O684,0)</f>
        <v>0</v>
      </c>
      <c r="AV684" s="133">
        <f>IF(AND($B682=" ",$K684=AV$3),$O684,0)</f>
        <v>0</v>
      </c>
      <c r="AW684" s="133">
        <f>IF(AND($B682=" ",$K684=AW$3),$O684,0)</f>
        <v>0</v>
      </c>
      <c r="AX684" s="133">
        <f>IF(AND($B682=" ",$K684=AX$3),$O684,0)</f>
        <v>0</v>
      </c>
      <c r="AY684" s="135">
        <f>IF(AND($B682=" ",$K684=AY$3),$O684,0)</f>
        <v>0</v>
      </c>
      <c r="AZ684" s="136">
        <f>IF(AND($B682=" ",$K684=AZ$3),$O684,0)</f>
        <v>0</v>
      </c>
      <c r="BA684" s="136">
        <f>IF(AND($B682=" ",$K684=BA$3),$O684,0)</f>
        <v>0</v>
      </c>
      <c r="BB684" s="136">
        <f>IF(AND($B682=" ",$K684=BB$3),$O684,0)</f>
        <v>0</v>
      </c>
      <c r="BC684" s="137">
        <f>IF(AND($B682=" ",$K684=BC$3),$O684,0)</f>
        <v>0</v>
      </c>
      <c r="BD684" s="133">
        <f>IF(AND($B682=" ",$K684=BD$3),$O684,0)</f>
        <v>0</v>
      </c>
      <c r="BE684" s="134">
        <f>IF(AND($B682=" ",$K684=BE$3),$O684,0)</f>
        <v>0</v>
      </c>
      <c r="BF684" s="132">
        <f>IF($K684=BF$3,IF($C684="X",0,$O684),0)</f>
        <v>0</v>
      </c>
      <c r="BG684" s="281">
        <f>IF($K684=BG$3,IF($C684="X",0,$O684),0)</f>
        <v>0</v>
      </c>
      <c r="BH684" s="133">
        <f>IF($K684=BH$3,IF($C684="X",0,$O684),0)</f>
        <v>0</v>
      </c>
      <c r="BI684" s="133">
        <f>IF($K684=BI$3,IF($C684="X",0,$O684),0)</f>
        <v>0</v>
      </c>
      <c r="BJ684" s="133">
        <f>IF($K684=BJ$3,IF($C684="X",0,$O684),0)</f>
        <v>0</v>
      </c>
      <c r="BK684" s="133">
        <f>IF($K684=BK$3,IF($C684="X",0,$O684),0)</f>
        <v>0</v>
      </c>
      <c r="BL684" s="133">
        <f>IF($K684=BL$3,IF($C684="X",0,$O684),0)</f>
        <v>0</v>
      </c>
      <c r="BM684" s="135">
        <f>IF($K684=BM$3,IF($C684="X",0,$O684),0)</f>
        <v>0</v>
      </c>
      <c r="BN684" s="136">
        <f>IF($K684=BN$3,IF($C684="X",0,$O684),0)</f>
        <v>0</v>
      </c>
      <c r="BO684" s="136">
        <f>IF($K684=BO$3,IF($C684="X",0,$O684),0)</f>
        <v>0</v>
      </c>
      <c r="BP684" s="136">
        <f>IF($K684=BP$3,IF($C684="X",0,$O684),0)</f>
        <v>0</v>
      </c>
      <c r="BQ684" s="137">
        <f>IF($K684=BQ$3,IF($C684="X",0,$O684),0)</f>
        <v>0</v>
      </c>
      <c r="BR684" s="134">
        <f>IF($K684=BR$3,IF($C684="X",0,$O684),0)</f>
        <v>0</v>
      </c>
      <c r="BS684" s="282"/>
      <c r="BT684" s="283"/>
      <c r="BU684" s="140"/>
      <c r="BV684" s="283"/>
      <c r="BW684" s="140"/>
      <c r="BX684" s="140"/>
      <c r="BY684" s="140"/>
      <c r="BZ684" s="283"/>
      <c r="CA684" s="140"/>
      <c r="CB684" s="140"/>
      <c r="CC684" s="140"/>
      <c r="CD684" s="141"/>
      <c r="CE684" s="142"/>
      <c r="CF684" s="284">
        <f>IF(CF$3=$K684,IF($C684="W",1,IF($C684="1/2W",0.5,0)),0)</f>
        <v>0</v>
      </c>
      <c r="CG684" s="285">
        <f>IF(CF$3=$K684,IF($C684="L",1,IF($C684="1/2L",0.5,0)),0)</f>
        <v>0</v>
      </c>
      <c r="CH684" s="285">
        <f>IF(CH$3=$K684,IF($C684="W",1,IF($C684="1/2W",0.5,0)),0)</f>
        <v>0</v>
      </c>
      <c r="CI684" s="285">
        <f>IF(CH$3=$K684,IF($C684="L",1,IF($C684="1/2L",0.5,0)),0)</f>
        <v>0</v>
      </c>
      <c r="CJ684" s="285">
        <f>IF(CJ$3=$K684,IF($C684="W",1,IF($C684="1/2W",0.5,0)),0)</f>
        <v>0</v>
      </c>
      <c r="CK684" s="285">
        <f>IF(CJ$3=$K684,IF($C684="L",1,IF($C684="1/2L",0.5,0)),0)</f>
        <v>0</v>
      </c>
      <c r="CL684" s="285">
        <f>IF(CL$3=$K684,IF($C684="W",1,IF($C684="1/2W",0.5,0)),0)</f>
        <v>0</v>
      </c>
      <c r="CM684" s="285">
        <f>IF(CL$3=$K684,IF($C684="L",1,IF($C684="1/2L",0.5,0)),0)</f>
        <v>0</v>
      </c>
      <c r="CN684" s="285">
        <f>IF(CN$3=$K684,IF($C684="W",1,IF($C684="1/2W",0.5,0)),0)</f>
        <v>0</v>
      </c>
      <c r="CO684" s="285">
        <f>IF(CN$3=$K684,IF($C684="L",1,IF($C684="1/2L",0.5,0)),0)</f>
        <v>0</v>
      </c>
      <c r="CP684" s="285">
        <f>IF(CP$3=$K684,IF($C684="W",1,IF($C684="1/2W",0.5,0)),0)</f>
        <v>0</v>
      </c>
      <c r="CQ684" s="285">
        <f>IF(CP$3=$K684,IF($C684="L",1,IF($C684="1/2L",0.5,0)),0)</f>
        <v>0</v>
      </c>
      <c r="CR684" s="285">
        <f>IF(CR$3=$K684,IF($C684="W",1,IF($C684="1/2W",0.5,0)),0)</f>
        <v>0</v>
      </c>
      <c r="CS684" s="285">
        <f>IF(CR$3=$K684,IF($C684="L",1,IF($C684="1/2L",0.5,0)),0)</f>
        <v>0</v>
      </c>
      <c r="CT684" s="145">
        <f>IF(CT$3=$K684,IF($C684="W",1,IF($C684="1/2W",0.5,0)),0)</f>
        <v>0</v>
      </c>
      <c r="CU684" s="146">
        <f>IF(CT$3=$K684,IF($C684="L",1,IF($C684="1/2L",0.5,0)),0)</f>
        <v>0</v>
      </c>
      <c r="CV684" s="146">
        <f>IF(CV$3=$K684,IF($C684="W",1,IF($C684="1/2W",0.5,0)),0)</f>
        <v>0</v>
      </c>
      <c r="CW684" s="146">
        <f>IF(CV$3=$K684,IF($C684="L",1,IF($C684="1/2L",0.5,0)),0)</f>
        <v>0</v>
      </c>
      <c r="CX684" s="146">
        <f>IF(CX$3=$K684,IF($C684="W",1,IF($C684="1/2W",0.5,0)),0)</f>
        <v>0</v>
      </c>
      <c r="CY684" s="146">
        <f>IF(CX$3=$K684,IF($C684="L",1,IF($C684="1/2L",0.5,0)),0)</f>
        <v>0</v>
      </c>
      <c r="CZ684" s="146">
        <f>IF(CZ$3=$K684,IF($C684="W",1,IF($C684="1/2W",0.5,0)),0)</f>
        <v>0</v>
      </c>
      <c r="DA684" s="146">
        <f>IF(CZ$3=$K684,IF($C684="L",1,IF($C684="1/2L",0.5,0)),0)</f>
        <v>0</v>
      </c>
      <c r="DB684" s="146">
        <f>IF(DB$3=$K684,IF($C684="W",1,IF($C684="1/2W",0.5,0)),0)</f>
        <v>0</v>
      </c>
      <c r="DC684" s="146">
        <f>IF(DB$3=$K684,IF($C684="L",1,IF($C684="1/2L",0.5,0)),0)</f>
        <v>0</v>
      </c>
      <c r="DD684" s="146">
        <f>IF(DD$3=$K684,IF($C684="W",1,IF($C684="1/2W",0.5,0)),0)</f>
        <v>0</v>
      </c>
      <c r="DE684" s="147">
        <f>IF(DD$3=$K684,IF($C684="L",1,IF($C684="1/2L",0.5,0)),0)</f>
        <v>0</v>
      </c>
      <c r="DF684" s="143">
        <f>IF(AND(L684&lt;DF$3,$C684="W"),1+DF683,DF683)</f>
        <v>18</v>
      </c>
      <c r="DG684" s="133">
        <f>IF(DF684&gt;DF683,L684+DG683,DG683)</f>
        <v>23.918</v>
      </c>
      <c r="DH684" s="146">
        <f>IF(AND(L684&gt;DH$3,$C684="W"),1+DH683,0+DH683)</f>
        <v>16</v>
      </c>
      <c r="DI684" s="133">
        <f>IF(DH684&gt;DH683,L684+DI683,DI683)</f>
        <v>85.45999999999999</v>
      </c>
      <c r="DJ684" t="s" s="304">
        <f>IF($D682="","",$D682)</f>
        <v>481</v>
      </c>
      <c r="DK684" s="286"/>
    </row>
    <row r="685" ht="14.55" customHeight="1">
      <c r="A685" s="171">
        <f>$A682+1</f>
        <v>228</v>
      </c>
      <c r="B685" t="s" s="172">
        <f>IF(AND(_xlfn.XLOOKUP(H685,H$122:H458,G$122:G458,0)=G685,_xlfn.XLOOKUP("TempoBet",K685:K687,L685:L687,0)&gt;0),"X",IF(OR(C685="W",C686="W",C687="W",C685="1/2W",C686="1/2W",C687="1/2W",C685="1/2L",C686="1/2L",C687="1/2L"),"OK",IF(OR(C685="L",C686="L",C687="L"),"LOSS",IF(OR(C685="X",C686="X",C687="X"),"Anulado"," "))))</f>
        <v>50</v>
      </c>
      <c r="C685" t="s" s="173">
        <v>51</v>
      </c>
      <c r="D685" t="s" s="305">
        <f>IF(G685="","",$D682)</f>
        <v>481</v>
      </c>
      <c r="E685" t="s" s="175">
        <f>IF(G685=""," ","– "&amp;COUNTIF(D$4:D687,$D685))</f>
        <v>111</v>
      </c>
      <c r="F685" t="s" s="176">
        <f>IF(G685="","",IF(OR(AND($C685&lt;&gt;" ",$C686=" "),AND($C686&lt;&gt;" ",$C685=" "),AND(L687&gt;0,OR(AND($C687&lt;&gt;" ",OR($C685=" ",$C686=" ")),AND($C687=" ",OR($C685&lt;&gt;" ",$C686&lt;&gt;" "))))),IF(SUM(F$4:F684)=0,1,LARGE(F$4:F684,1)+1),IF(MONTH(G685)=MONTH(TODAY()),IF(AND(DAY(G685)&lt;DAY(TODAY()),$B685=" "),IF(SUM(F$4:F684)=0,1,LARGE(F$4:F684,1)+1),IF($B685=" ",IF(AND(DAY(G685)=DAY(TODAY()),HOUR(G685)&lt;=HOUR(NOW())+1),IF(AND(HOUR(G685)+2&lt;=HOUR(NOW()),DAY(G685)&lt;=DAY(TODAY()),MINUTE(G685)&lt;=MINUTE(NOW())),IF(SUM(F$4:F684)=0,1,LARGE(F$4:F684,1)+1),IF(OR(MINUTE(G685)&lt;=MINUTE(NOW()),HOUR(G685)&lt;=HOUR(NOW())),"!!!","")),""),"")),"")))</f>
      </c>
      <c r="G685" s="177">
        <v>44957.229166666664</v>
      </c>
      <c r="H685" t="s" s="178">
        <v>486</v>
      </c>
      <c r="I685" t="s" s="179">
        <v>54</v>
      </c>
      <c r="J685" s="180"/>
      <c r="K685" t="s" s="181">
        <v>44</v>
      </c>
      <c r="L685" s="182">
        <v>1.609</v>
      </c>
      <c r="M685" s="183"/>
      <c r="N685" s="184">
        <v>0</v>
      </c>
      <c r="O685" s="185">
        <f>IF(OR(AE685="",AE686=""),"",ROUND(IF(L687&gt;0,IF(M685&gt;0,M685,IF(M686&gt;0,ROUND((M686*AE685)/AE686,IF(N685=0,2,IF(N685=0.1,1,0))),ROUND((M687*AE685)/AE687,IF(N685=0,2,IF(N685=0.1,1,0))))),IF(M685&gt;0,M685,ROUND((M686*AE685)/AE686,IF(N685=0,2,IF(N685=0.1,1,0))))),2))</f>
        <v>13.8</v>
      </c>
      <c r="P685" s="186">
        <f>IF(OR(L685="",O685=""),"",IF($C685="1/2W",O685/2+O685/2*L685,IF($C685="1/2L",O685/2,IF(I685="Lay",(O685*(L685/(L685-1))-O685)*(1-_xlfn.XLOOKUP(K685,'Janeiro 2023 - Valor Real'!A3:A15,'Janeiro 2023 - Valor Real'!C3:C15,0))+O685,(O685*L685-O685)*(1-_xlfn.XLOOKUP(K685,'Janeiro 2023 - Valor Real'!A3:A15,'Janeiro 2023 - Valor Real'!C3:C15,0))+O685))))</f>
        <v>22.2042</v>
      </c>
      <c r="Q685" s="187">
        <f>IF(K685="","",IF(_xlfn.XLOOKUP(K685,K$122:K458,DJ$122:DJ458,0,,-1)=DJ685,_xlfn.XLOOKUP(K685,K$122:K458,Q$122:Q458,1,,-1)+1,1))</f>
        <v>1</v>
      </c>
      <c r="R685" s="188">
        <f>IF(K685="","",_xlfn.XLOOKUP(K685,K$122:K458,R$122:R458,0,,-1)+IF($C685=" ",1,0))</f>
        <v>0</v>
      </c>
      <c r="S685" s="189">
        <f>IF($B685="Anulado",0,ROUND(IF(OR($B685="LOSS",$B685="OK"),IF(OR($C685="W",$C685="1/2W",$C685="1/2L"),P685-O685,IF($C685="L",-O685,0))+IF(OR($C686="W",$C686="1/2W",$C686="1/2L"),P686-O686,IF($C686="L",-O686,0))+IF(OR($C687="W",$C687="1/2W",$C687="1/2L"),P687-O687,IF($C687="L",-O687,0)),IF(AND(OR($C685="W",$C685="1/2W",$C685="1/2L"),C686="W"),P685+P686-SUM(O685:O687)+_xlfn.XLOOKUP("X",C685:C687,O685:O687,0),IF(AND(C685=TRUE,C687="W"),P685+P687-SUM(O685:O687),IF(AND(C686="W",C687="W"),P686+P687-SUM(O685:O687)+_xlfn.XLOOKUP("X",C685:C687,O685:O687,0),IF(L687&gt;0,IF(OR($C685="W",$C685="1/2W",$C685="1/2L"),P685-SUM(O685:O687)+_xlfn.XLOOKUP("X",C685:C687,O685:O687,0),IF(OR($C685="W",$C685="1/2W",$C685="1/2L"),P686-SUM(O685:O687)+_xlfn.XLOOKUP("X",C685:C687,O685:O687,0),IF(OR($C685="W",$C685="1/2W",$C685="1/2L"),P687-SUM(O685:O687)+_xlfn.XLOOKUP("X",C685:C687,O685:O687,0),IF(SUM(P685:P687)/3-SUM(O685:O687)+_xlfn.XLOOKUP("X",C685:C687,O685:O687,0)&gt;0,SUM(P685:P687)/3-SUM(O685:O687)+_xlfn.XLOOKUP("X",C685:C687,O685:O687,0),LARGE(P685:P687,1)-SUM(O685:O687))))),IF(OR($C685="W",$C685="1/2W",$C685="1/2L"),P685-SUM(O685:O686)+_xlfn.XLOOKUP("X",C685:C687,O685:O687,0),IF(OR($C685="W",$C685="1/2W",$C685="1/2L"),P686-SUM(O685:O686)+_xlfn.XLOOKUP("X",C685:C687,O685:O687,0),SUM(P685:P686)/2-SUM(O685:O686)+_xlfn.XLOOKUP("X",C685:C687,O685:O687,0)))))))),2))</f>
        <v>2.85</v>
      </c>
      <c r="T685" s="190">
        <f>IF(S685=0,0,S685/SUM(O685:O687))</f>
        <v>0.147286821705426</v>
      </c>
      <c r="U685" s="191">
        <f>IF($D685=$D682,IF(OR($B685="LOSS",$B685="OK",$B685="Anulada"),S685,0)+U682,IF(OR($B685="LOSS",$B685="OK",$B685="Anulada"),S685,0))</f>
        <v>8.51</v>
      </c>
      <c r="V685" s="191">
        <f>IF($D685="",0,IF($D685=$D682,IF($B685=" ",IF(I687="",IF(OR(AND(I685="DNB1",I686="DNB2"),AND(OR(I685="DNB1",I685="DNB2"),J686=0),AND(OR(I686="DNB1",I686="DNB2"),J685=0),AND(I685="DNB2",I686="DNB1"),AND(IF(J685=0,(J685+1)/ROUND(J685+1,0),J685/ROUND(J685,0))=1,IF(J686=0,(J686+1)/ROUND(IF(J686="",0,J686)+1,0),IF(J686="",0,J686)/ROUND(IF(J686="",1,J686),0))=1,OR(J685&lt;&gt;""),J686&lt;&gt;"")),0,IF(S685&lt;0,IF(I687="",SMALL(P685:P686,1)-SUM(O685:O686),0),SMALL(P685:P686,1)-SUM(O685:O686))),IF(S685&lt;0,IF(I687="",SMALL(P685:P687,1)-SUM(O685:O687),0),LARGE(P685:P687,1)-SUM(O685:O687))),S685)+V682,IF(I687="",IF(OR(AND(I685="DNB1",I686="DNB2"),AND(OR(I685="DNB1",I685="DNB2"),J686=0),AND(OR(I686="DNB1",I686="DNB2"),J685=0),AND(I685="DNB2",I686="DNB1"),AND(IF(J685=0,(J685+1)/ROUND(J685+1,0),J685/ROUND(J685,0))=1,IF(J686=0,(IF(J686="",0,J686)+1)/ROUND(IF(J686="",0,J686)+1,0),IF(J686="",0,J686)/ROUND(IF(J686="",0,J686)+1,0))=1,OR(J685&lt;&gt;""),J686&lt;&gt;"")),0,IF(S685&lt;0,IF(I687="",SMALL(P685:P686,1)-SUM(O685:O686),0),SMALL(P685:P687,1)-SUM(O685:O687))),IF(S685&lt;0,IF(I687="",SMALL(P685:P687,1)-SUM(O685:O687),0),LARGE(P685:P687,1)-SUM(O685:O687)))))</f>
        <v>8.5076</v>
      </c>
      <c r="W685" s="191">
        <f>IF($D685=$D682,IF(S685&lt;0,IF(I687="",S685,0),S685)+W682,S685)</f>
        <v>8.51</v>
      </c>
      <c r="X685" t="s" s="192">
        <f>IF(OR(SUM(R685:R687)=0,V685=W685),ROUND(IF(W685=0,0,W685/Y685)*100,2)&amp;"%",ROUND(IF(V685=0,0,V685/Y685)*100,2)&amp;"% a "&amp;ROUND(IF(W685=0,0,W685/Y685)*100,2)&amp;"%")</f>
        <v>487</v>
      </c>
      <c r="Y685" s="193">
        <f>IF($D685=$D682,Y682+SUM(O685:O687),SUM(O685:O687))</f>
        <v>104.81</v>
      </c>
      <c r="Z685" s="191">
        <f>IF($B685=" ",SUM(O685:O687),0)+Z682</f>
        <v>0</v>
      </c>
      <c r="AA685" s="191">
        <f>IF(G685="","",IF($B685="Anulado",LARGE(P685:P687,1)-SUM(O685:O687)+AA682,AA682))</f>
        <v>27.7065076923077</v>
      </c>
      <c r="AB685" s="191">
        <f>IF($D685="","",AB682+S685)</f>
        <v>479.69</v>
      </c>
      <c r="AC685" s="194">
        <f>IF($D685="","",IF($B685=" ",IF(DAY(G685)=DAY(TODAY()),1+AC682,0+AC682),0+AC682))</f>
        <v>0</v>
      </c>
      <c r="AD685" s="195">
        <f>(((L686/(L686-1)-1)*(1-_xlfn.XLOOKUP(K686,'Janeiro 2023 - Valor Real'!A3:A15,'Janeiro 2023 - Valor Real'!C3:C15,0))+1))/(((L685-1)*(1-_xlfn.XLOOKUP(K685,'Janeiro 2023 - Valor Real'!A3:A15,'Janeiro 2023 - Valor Real'!C3:C15,0))+1)+((L686/(L686-1)-1)*(1-_xlfn.XLOOKUP(K686,'Janeiro 2023 - Valor Real'!A3:A15,'Janeiro 2023 - Valor Real'!C3:C15,0))+1))</f>
        <v>0.45315509233035</v>
      </c>
      <c r="AE685" s="196">
        <f>IF(L685="","",IF(L687&gt;0,(SUM(((L685-1)*(1-_xlfn.XLOOKUP(K685,'Janeiro 2023 - Valor Real'!A3:A15,'Janeiro 2023 - Valor Real'!C3:C15,0))+1),((L686-1)*(1-_xlfn.XLOOKUP(K686,'Janeiro 2023 - Valor Real'!A3:A15,'Janeiro 2023 - Valor Real'!C3:C15,0))+1),((L687-1)*(1-_xlfn.XLOOKUP(K687,'Janeiro 2023 - Valor Real'!A3:A15,'Janeiro 2023 - Valor Real'!C3:C15,0))+1))/((L685-1)*(1-_xlfn.XLOOKUP(K685,'Janeiro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Real'!C3:C15,0))+1))/((L685-1)*(1-_xlfn.XLOOKUP(K685,'Janeiro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Real'!C3:C15,0))+1))/((L686-1)*(1-_xlfn.XLOOKUP(K686,'Janeiro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Real'!C3:C15,0))+1))/((L687-1)*(1-_xlfn.XLOOKUP(K687,'Janeiro 2023 - Valor Real'!A3:A15,'Janeiro 2023 - Valor Real'!C3:C15,0))+1)),IF(I685="Lay",IF(I686="Lay",((L686/(L686-1)-1)*(1-_xlfn.XLOOKUP(K686,'Janeiro 2023 - Valor Real'!A3:A15,'Janeiro 2023 - Valor Real'!C3:C15,0))+1)/(((L686/(L686-1)-1)*(1-_xlfn.XLOOKUP(K686,'Janeiro 2023 - Valor Real'!A3:A15,'Janeiro 2023 - Valor Real'!C3:C15,0))+1)+((L685/(L685-1)-1)*(1-_xlfn.XLOOKUP(K685,'Janeiro 2023 - Valor Real'!A3:A15,'Janeiro 2023 - Valor Real'!C3:C15,0))+1)),((L686-1)*(1-_xlfn.XLOOKUP(K686,'Janeiro 2023 - Valor Real'!A3:A15,'Janeiro 2023 - Valor Real'!C3:C15,0))+1)/(((L686-1)*(1-_xlfn.XLOOKUP(K686,'Janeiro 2023 - Valor Real'!A3:A15,'Janeiro 2023 - Valor Real'!C3:C15,0))+1)+((L685/(L685-1)-1)*(1-_xlfn.XLOOKUP(K685,'Janeiro 2023 - Valor Real'!A3:A15,'Janeiro 2023 - Valor Real'!C3:C15,0))+1))),IF(I686="Lay",(((L686/(L686-1)-1)*(1-_xlfn.XLOOKUP(K686,'Janeiro 2023 - Valor Real'!A3:A15,'Janeiro 2023 - Valor Real'!C3:C15,0))+1))/(((L685-1)*(1-_xlfn.XLOOKUP(K685,'Janeiro 2023 - Valor Real'!A3:A15,'Janeiro 2023 - Valor Real'!C3:C15,0))+1)+((L686/(L686-1)-1)*(1-_xlfn.XLOOKUP(K686,'Janeiro 2023 - Valor Real'!A3:A15,'Janeiro 2023 - Valor Real'!C3:C15,0))+1)),((L686-1)*(1-_xlfn.XLOOKUP(K686,'Janeiro 2023 - Valor Real'!A3:A15,'Janeiro 2023 - Valor Real'!C3:C15,0))+1)/(((L686-1)*(1-_xlfn.XLOOKUP(K686,'Janeiro 2023 - Valor Real'!A3:A15,'Janeiro 2023 - Valor Real'!C3:C15,0))+1)+((L685-1)*(1-_xlfn.XLOOKUP(K685,'Janeiro 2023 - Valor Real'!A3:A15,'Janeiro 2023 - Valor Real'!C3:C15,0))+1))))))</f>
        <v>0.713139597076128</v>
      </c>
      <c r="AF685" s="197">
        <f>IF($K685=AF$3,ROUND(IF(OR($C685="W",$C685="1/2W",$C685="1/2L"),$P685-$O685,IF($C685="X",0,-$O685)),2),0)</f>
        <v>0</v>
      </c>
      <c r="AG685" s="198">
        <f>IF($K685=AG$3,ROUND(IF(OR($C685="W",$C685="1/2W",$C685="1/2L"),$P685-$O685,IF($C685="X",0,-$O685)),2),0)</f>
        <v>0</v>
      </c>
      <c r="AH685" s="198">
        <f>IF($K685=AH$3,ROUND(IF(OR($C685="W",$C685="1/2W",$C685="1/2L"),$P685-$O685,IF($C685="X",0,-$O685)),2),0)</f>
        <v>0</v>
      </c>
      <c r="AI685" s="198">
        <f>IF($K685=AI$3,ROUND(IF(OR($C685="W",$C685="1/2W",$C685="1/2L"),$P685-$O685,IF($C685="X",0,-$O685)),2),0)</f>
        <v>0</v>
      </c>
      <c r="AJ685" s="198">
        <f>IF($K685=AJ$3,ROUND(IF(OR($C685="W",$C685="1/2W",$C685="1/2L"),$P685-$O685,IF($C685="X",0,-$O685)),2),0)</f>
        <v>0</v>
      </c>
      <c r="AK685" s="198">
        <f>IF($K685=AK$3,ROUND(IF(OR($C685="W",$C685="1/2W",$C685="1/2L"),$P685-$O685,IF($C685="X",0,-$O685)),2),0)</f>
        <v>0</v>
      </c>
      <c r="AL685" s="198">
        <f>IF($K685=AL$3,ROUND(IF(OR($C685="W",$C685="1/2W",$C685="1/2L"),$P685-$O685,IF($C685="X",0,-$O685)),2),0)</f>
        <v>0</v>
      </c>
      <c r="AM685" s="198">
        <f>IF($K685=AM$3,ROUND(IF(OR($C685="W",$C685="1/2W",$C685="1/2L"),$P685-$O685,IF($C685="X",0,-$O685)),2),0)</f>
        <v>-13.8</v>
      </c>
      <c r="AN685" s="198">
        <f>IF($K685=AN$3,ROUND(IF(OR($C685="W",$C685="1/2W",$C685="1/2L"),$P685-$O685,IF($C685="X",0,-$O685)),2),0)</f>
        <v>0</v>
      </c>
      <c r="AO685" s="198">
        <f>IF($K685=AO$3,ROUND(IF(OR($C685="W",$C685="1/2W",$C685="1/2L"),$P685-$O685,IF($C685="X",0,-$O685)),2),0)</f>
        <v>0</v>
      </c>
      <c r="AP685" s="198">
        <f>IF($K685=AP$3,ROUND(IF(OR($C685="W",$C685="1/2W",$C685="1/2L"),$P685-$O685,IF($C685="X",0,-$O685)),2),0)</f>
        <v>0</v>
      </c>
      <c r="AQ685" s="198">
        <f>IF($K685=AQ$3,ROUND(IF(OR($C685="W",$C685="1/2W",$C685="1/2L"),$P685-$O685,IF($C685="X",0,-$O685)),2),0)</f>
        <v>0</v>
      </c>
      <c r="AR685" s="199">
        <f>IF($K685=AR$3,ROUND(IF(OR($C685="W",$C685="1/2W",$C685="1/2L"),$P685-$O685,IF($C685="X",0,-$O685)),2),0)</f>
        <v>0</v>
      </c>
      <c r="AS685" s="197">
        <f>IF(AND($B685=" ",$K685=AS$3),$O685,0)</f>
        <v>0</v>
      </c>
      <c r="AT685" s="198">
        <f>IF(AND($B685=" ",$K685=AT$3),$O685,0)</f>
        <v>0</v>
      </c>
      <c r="AU685" s="198">
        <f>IF(AND($B685=" ",$K685=AU$3),$O685,0)</f>
        <v>0</v>
      </c>
      <c r="AV685" s="198">
        <f>IF(AND($B685=" ",$K685=AV$3),$O685,0)</f>
        <v>0</v>
      </c>
      <c r="AW685" s="198">
        <f>IF(AND($B685=" ",$K685=AW$3),$O685,0)</f>
        <v>0</v>
      </c>
      <c r="AX685" s="198">
        <f>IF(AND($B685=" ",$K685=AX$3),$O685,0)</f>
        <v>0</v>
      </c>
      <c r="AY685" s="200">
        <f>IF(AND($B685=" ",$K685=AY$3),$O685,0)</f>
        <v>0</v>
      </c>
      <c r="AZ685" s="201">
        <f>IF(AND($B685=" ",$K685=AZ$3),$O685,0)</f>
        <v>0</v>
      </c>
      <c r="BA685" s="201">
        <f>IF(AND($B685=" ",$K685=BA$3),$O685,0)</f>
        <v>0</v>
      </c>
      <c r="BB685" s="201">
        <f>IF(AND($B685=" ",$K685=BB$3),$O685,0)</f>
        <v>0</v>
      </c>
      <c r="BC685" s="202">
        <f>IF(AND($B685=" ",$K685=BC$3),$O685,0)</f>
        <v>0</v>
      </c>
      <c r="BD685" s="198">
        <f>IF(AND($B685=" ",$K685=BD$3),$O685,0)</f>
        <v>0</v>
      </c>
      <c r="BE685" s="199">
        <f>IF(AND($B685=" ",$K685=BE$3),$O685,0)</f>
        <v>0</v>
      </c>
      <c r="BF685" s="203">
        <f>IF($K685=BF$3,IF($C685="X",0,$O685),0)</f>
        <v>0</v>
      </c>
      <c r="BG685" s="198">
        <f>IF($K685=BG$3,IF($C685="X",0,$O685),0)</f>
        <v>0</v>
      </c>
      <c r="BH685" s="198">
        <f>IF($K685=BH$3,IF($C685="X",0,$O685),0)</f>
        <v>0</v>
      </c>
      <c r="BI685" s="198">
        <f>IF($K685=BI$3,IF($C685="X",0,$O685),0)</f>
        <v>0</v>
      </c>
      <c r="BJ685" s="198">
        <f>IF($K685=BJ$3,IF($C685="X",0,$O685),0)</f>
        <v>0</v>
      </c>
      <c r="BK685" s="198">
        <f>IF($K685=BK$3,IF($C685="X",0,$O685),0)</f>
        <v>0</v>
      </c>
      <c r="BL685" s="198">
        <f>IF($K685=BL$3,IF($C685="X",0,$O685),0)</f>
        <v>0</v>
      </c>
      <c r="BM685" s="200">
        <f>IF($K685=BM$3,IF($C685="X",0,$O685),0)</f>
        <v>13.8</v>
      </c>
      <c r="BN685" s="201">
        <f>IF($K685=BN$3,IF($C685="X",0,$O685),0)</f>
        <v>0</v>
      </c>
      <c r="BO685" s="201">
        <f>IF($K685=BO$3,IF($C685="X",0,$O685),0)</f>
        <v>0</v>
      </c>
      <c r="BP685" s="201">
        <f>IF($K685=BP$3,IF($C685="X",0,$O685),0)</f>
        <v>0</v>
      </c>
      <c r="BQ685" s="202">
        <f>IF($K685=BQ$3,IF($C685="X",0,$O685),0)</f>
        <v>0</v>
      </c>
      <c r="BR685" s="199">
        <f>IF($K685=BR$3,IF($C685="X",0,$O685),0)</f>
        <v>0</v>
      </c>
      <c r="BS685" s="204">
        <f>IF($B685="LOSS",IF(AND($K685=BS$3,$C685="L"),-$O685,0)+IF(AND($K686=BS$3,$C686="L"),-$O686,0)+IF(AND($K687=BS$3,$C687="L"),-$O687,0),IF(OR(AND($K685=BS$3,OR($C685="W",$C685="1/2W")),AND($K686=BS$3,OR($C686="W",$C686="1/2W")),AND($K687=BS$3,OR($C687="W",$C687="1/2W"))),$S685,0))</f>
        <v>0</v>
      </c>
      <c r="BT685" s="201">
        <f>IF($B685="LOSS",IF(AND($K685=BT$3,$C685="L"),-$O685,0)+IF(AND($K686=BT$3,$C686="L"),-$O686,0)+IF(AND($K686=BT$3,$C687="L"),-$O687,0),IF(OR(AND($K686=BT$3,OR($C685="W",$C685="1/2W")),AND($K686=BT$3,OR($C686="W",$C686="1/2W")),AND($K686=BT$3,OR($C687="W",$C687="1/2W"))),$S685,0))</f>
        <v>0</v>
      </c>
      <c r="BU685" s="201">
        <f>IF($B685="LOSS",IF(AND($K685=BU$3,$C685="L"),-$O685,0)+IF(AND($K686=BU$3,$C686="L"),-$O686,0)+IF(AND($K686=BU$3,$C687="L"),-$O687,0),IF(OR(AND($K686=BU$3,OR($C685="W",$C685="1/2W")),AND($K686=BU$3,OR($C686="W",$C686="1/2W")),AND($K686=BU$3,OR($C687="W",$C687="1/2W"))),$S685,0))</f>
        <v>0</v>
      </c>
      <c r="BV685" s="201">
        <f>IF($B685="LOSS",IF(AND($K685=BV$3,$C685="L"),-$O685,0)+IF(AND($K686=BV$3,$C686="L"),-$O686,0)+IF(AND($K687=BV$3,$C687="L"),-$O687,0),IF(OR(AND($K685=BV$3,OR($C685="W",$C685="1/2W")),AND($K686=BV$3,OR($C686="W",$C686="1/2W")),AND($K687=BV$3,OR($C687="W",$C687="1/2W"))),$S685,0))</f>
        <v>2.85</v>
      </c>
      <c r="BW685" s="201">
        <f>IF($B685="LOSS",IF(AND($K685=BW$3,$C685="L"),-$O685,0)+IF(AND($K686=BW$3,$C686="L"),-$O686,0)+IF(AND($K687=BW$3,$C687="L"),-$O687,0),IF(OR(AND($K685=BW$3,OR($C685="W",$C685="1/2W")),AND($K686=BW$3,OR($C686="W",$C686="1/2W")),AND($K687=BW$3,OR($C687="W",$C687="1/2W"))),$S685,0))</f>
        <v>0</v>
      </c>
      <c r="BX685" s="201">
        <f>IF($B685="LOSS",IF(AND($K685=BX$3,$C685="L"),-$O685,0)+IF(AND($K686=BX$3,$C686="L"),-$O686,0)+IF(AND($K687=BX$3,$C687="L"),-$O687,0),IF(OR(AND($K685=BX$3,OR($C685="W",$C685="1/2W")),AND($K686=BX$3,OR($C686="W",$C686="1/2W")),AND($K687=BX$3,OR($C687="W",$C687="1/2W"))),$S685,0))</f>
        <v>0</v>
      </c>
      <c r="BY685" s="201">
        <f>IF($B685="LOSS",IF(AND($K685=BY$3,$C685="L"),-$O685,0)+IF(AND($K686=BY$3,$C686="L"),-$O686,0)+IF(AND($K687=BY$3,$C687="L"),-$O687,0),IF(OR(AND($K685=BY$3,OR($C685="W",$C685="1/2W")),AND($K686=BY$3,OR($C686="W",$C686="1/2W")),AND($K687=BY$3,OR($C687="W",$C687="1/2W"))),$S685,0))</f>
        <v>0</v>
      </c>
      <c r="BZ685" s="205">
        <f>IF($B685="LOSS",IF(AND($K685=BZ$3,$C685="L"),-$O685,0)+IF(AND($K686=BZ$3,$C686="L"),-$O686,0)+IF(AND($K687=BZ$3,$C687="L"),-$O687,0),IF(OR(AND($K685=BZ$3,OR($C685="W",$C685="1/2W")),AND($K686=BZ$3,OR($C686="W",$C686="1/2W")),AND($K687=BZ$3,OR($C687="W",$C687="1/2W"))),$S685,0))</f>
        <v>0</v>
      </c>
      <c r="CA685" s="205">
        <f>IF($B685="LOSS",IF(AND($K685=CA$3,$C685="L"),-$O685,0)+IF(AND($K686=CA$3,$C686="L"),-$O686,0)+IF(AND($K687=CA$3,$C687="L"),-$O687,0),IF(OR(AND($K685=CA$3,OR($C685="W",$C685="1/2W")),AND($K686=CA$3,OR($C686="W",$C686="1/2W")),AND($K687=CA$3,OR($C687="W",$C687="1/2W"))),$S685,0))</f>
        <v>0</v>
      </c>
      <c r="CB685" s="205">
        <f>IF($B685="LOSS",IF(AND($K685=CB$3,$C685="L"),-$O685,0)+IF(AND($K686=CB$3,$C686="L"),-$O686,0)+IF(AND($K687=CB$3,$C687="L"),-$O687,0),IF(OR(AND($K685=CB$3,OR($C685="W",$C685="1/2W")),AND($K686=CB$3,OR($C686="W",$C686="1/2W")),AND($K687=CB$3,OR($C687="W",$C687="1/2W"))),$S685,0))</f>
        <v>0</v>
      </c>
      <c r="CC685" s="205">
        <f>IF($B685="LOSS",IF(AND($K685=CC$3,$C685="L"),-$O685,0)+IF(AND($K686=CC$3,$C686="L"),-$O686,0)+IF(AND($K687=CC$3,$C687="L"),-$O687,0),IF(OR(AND($K685=CC$3,OR($C685="W",$C685="1/2W")),AND($K686=CC$3,OR($C686="W",$C686="1/2W")),AND($K687=CC$3,OR($C687="W",$C687="1/2W"))),$S685,0))</f>
        <v>0</v>
      </c>
      <c r="CD685" s="202">
        <f>IF($B685="LOSS",IF(AND($K685=CD$3,$C685="L"),-$O685,0)+IF(AND($K686=CD$3,$C686="L"),-$O686,0)+IF(AND($K687=CD$3,$C687="L"),-$O687,0),IF(OR(AND($K685=CD$3,OR($C685="W",$C685="1/2W")),AND($K686=CD$3,OR($C686="W",$C686="1/2W")),AND($K687=CD$3,OR($C687="W",$C687="1/2W"))),$S685,0))</f>
        <v>0</v>
      </c>
      <c r="CE685" s="199">
        <f>IF($B685="LOSS",IF(AND($K685=CE$3,$C685="L"),-$O685,0)+IF(AND($K686=CE$3,$C686="L"),-$O686,0)+IF(AND($K687=CE$3,$C687="L"),-$O687,0),IF(OR(AND($K685=CE$3,OR($C685="W",$C685="1/2W")),AND($K686=CE$3,OR($C686="W",$C686="1/2W")),AND($K687=CE$3,OR($C687="W",$C687="1/2W"))),$S685,0))</f>
        <v>0</v>
      </c>
      <c r="CF685" s="206">
        <f>IF(CF$3=$K685,IF($C685="W",1,IF($C685="1/2W",0.5,0)),0)</f>
        <v>0</v>
      </c>
      <c r="CG685" s="207">
        <f>IF(CF$3=$K685,IF($C685="L",1,IF($C685="1/2L",0.5,0)),0)</f>
        <v>0</v>
      </c>
      <c r="CH685" s="207">
        <f>IF(CH$3=$K685,IF($C685="W",1,IF($C685="1/2W",0.5,0)),0)</f>
        <v>0</v>
      </c>
      <c r="CI685" s="207">
        <f>IF(CH$3=$K685,IF($C685="L",1,IF($C685="1/2L",0.5,0)),0)</f>
        <v>0</v>
      </c>
      <c r="CJ685" s="207">
        <f>IF(CJ$3=$K685,IF($C685="W",1,IF($C685="1/2W",0.5,0)),0)</f>
        <v>0</v>
      </c>
      <c r="CK685" s="207">
        <f>IF(CJ$3=$K685,IF($C685="L",1,IF($C685="1/2L",0.5,0)),0)</f>
        <v>0</v>
      </c>
      <c r="CL685" s="207">
        <f>IF(CL$3=$K685,IF($C685="W",1,IF($C685="1/2W",0.5,0)),0)</f>
        <v>0</v>
      </c>
      <c r="CM685" s="207">
        <f>IF(CL$3=$K685,IF($C685="L",1,IF($C685="1/2L",0.5,0)),0)</f>
        <v>0</v>
      </c>
      <c r="CN685" s="207">
        <f>IF(CN$3=$K685,IF($C685="W",1,IF($C685="1/2W",0.5,0)),0)</f>
        <v>0</v>
      </c>
      <c r="CO685" s="207">
        <f>IF(CN$3=$K685,IF($C685="L",1,IF($C685="1/2L",0.5,0)),0)</f>
        <v>0</v>
      </c>
      <c r="CP685" s="207">
        <f>IF(CP$3=$K685,IF($C685="W",1,IF($C685="1/2W",0.5,0)),0)</f>
        <v>0</v>
      </c>
      <c r="CQ685" s="207">
        <f>IF(CP$3=$K685,IF($C685="L",1,IF($C685="1/2L",0.5,0)),0)</f>
        <v>0</v>
      </c>
      <c r="CR685" s="207">
        <f>IF(CR$3=$K685,IF($C685="W",1,IF($C685="1/2W",0.5,0)),0)</f>
        <v>0</v>
      </c>
      <c r="CS685" s="207">
        <f>IF(CR$3=$K685,IF($C685="L",1,IF($C685="1/2L",0.5,0)),0)</f>
        <v>0</v>
      </c>
      <c r="CT685" s="208">
        <f>IF(CT$3=$K685,IF($C685="W",1,IF($C685="1/2W",0.5,0)),0)</f>
        <v>0</v>
      </c>
      <c r="CU685" s="209">
        <f>IF(CT$3=$K685,IF($C685="L",1,IF($C685="1/2L",0.5,0)),0)</f>
        <v>1</v>
      </c>
      <c r="CV685" s="209">
        <f>IF(CV$3=$K685,IF($C685="W",1,IF($C685="1/2W",0.5,0)),0)</f>
        <v>0</v>
      </c>
      <c r="CW685" s="209">
        <f>IF(CV$3=$K685,IF($C685="L",1,IF($C685="1/2L",0.5,0)),0)</f>
        <v>0</v>
      </c>
      <c r="CX685" s="209">
        <f>IF(CX$3=$K685,IF($C685="W",1,IF($C685="1/2W",0.5,0)),0)</f>
        <v>0</v>
      </c>
      <c r="CY685" s="209">
        <f>IF(CX$3=$K685,IF($C685="L",1,IF($C685="1/2L",0.5,0)),0)</f>
        <v>0</v>
      </c>
      <c r="CZ685" s="209">
        <f>IF(CZ$3=$K685,IF($C685="W",1,IF($C685="1/2W",0.5,0)),0)</f>
        <v>0</v>
      </c>
      <c r="DA685" s="209">
        <f>IF(CZ$3=$K685,IF($C685="L",1,IF($C685="1/2L",0.5,0)),0)</f>
        <v>0</v>
      </c>
      <c r="DB685" s="209">
        <f>IF(DB$3=$K685,IF($C685="W",1,IF($C685="1/2W",0.5,0)),0)</f>
        <v>0</v>
      </c>
      <c r="DC685" s="209">
        <f>IF(DB$3=$K685,IF($C685="L",1,IF($C685="1/2L",0.5,0)),0)</f>
        <v>0</v>
      </c>
      <c r="DD685" s="209">
        <f>IF(DD$3=$K685,IF($C685="W",1,IF($C685="1/2W",0.5,0)),0)</f>
        <v>0</v>
      </c>
      <c r="DE685" s="210">
        <f>IF(DD$3=$K685,IF($C685="L",1,IF($C685="1/2L",0.5,0)),0)</f>
        <v>0</v>
      </c>
      <c r="DF685" s="211">
        <f>IF(AND(L685&lt;DF$3,$C685="W"),1+DF684,DF684)</f>
        <v>18</v>
      </c>
      <c r="DG685" s="198">
        <f>IF(DF685&gt;DF684,L685+DG684,DG684)</f>
        <v>23.918</v>
      </c>
      <c r="DH685" s="209">
        <f>IF(AND(L685&gt;DH$3,$C685="W"),1+DH684,0+DH684)</f>
        <v>16</v>
      </c>
      <c r="DI685" s="198">
        <f>IF(DH685&gt;DH684,L685+DI684,DI684)</f>
        <v>85.45999999999999</v>
      </c>
      <c r="DJ685" t="s" s="306">
        <f>IF($D685="","",$D685)</f>
        <v>481</v>
      </c>
      <c r="DK685" s="209">
        <f>IF(AND($B685=" ",$D685&lt;&gt;""),1,0)</f>
        <v>0</v>
      </c>
    </row>
    <row r="686" ht="14.55" customHeight="1">
      <c r="A686" s="107"/>
      <c r="B686" s="108"/>
      <c r="C686" t="s" s="213">
        <v>56</v>
      </c>
      <c r="D686" s="110"/>
      <c r="E686" s="111"/>
      <c r="F686" s="113"/>
      <c r="G686" s="214"/>
      <c r="H686" s="114"/>
      <c r="I686" t="s" s="215">
        <v>62</v>
      </c>
      <c r="J686" t="s" s="216">
        <f>IF(OR(I685="TO",I685="TU",I685="TO1",I685="TU1",I685="TO2",I685="TU2"),J685,IF(OR(I685="AH1",I685="AH2"),IF(OR(I686="AH1",I686="AH2"),-J685,IF(OR(I686="EH1",I686="EH2"),-J685+0.5,"")),IF(OR(I685="EH1",I685="EH2"),IF(OR(I686="AH1",I686="AH2"),-J685+0.5,IF(OR(I686="EH1",I686="EH2"),-J685+1,"")),IF(AND(OR(I685="DNB1",I685="DNB2"),OR(I686="AH1",I686="AH2")),0,IF(AND(I685="Not ScoreBoth",OR(I686="TO1",I686="TO2")),0.5,"")))))</f>
      </c>
      <c r="K686" t="s" s="217">
        <v>40</v>
      </c>
      <c r="L686" s="218">
        <v>4</v>
      </c>
      <c r="M686" s="219">
        <v>5.55</v>
      </c>
      <c r="N686" s="120"/>
      <c r="O686" s="220">
        <f>IF(OR(AE685="",AE686=""),"",ROUND(IF(L687&gt;0,IF(M686&gt;0,M686,IF(M685&gt;0,IF(N685=TRUE,ROUND((M685*AE686)/AE685,0),(M685*AE686)/AE685),IF(M686&gt;0,ROUND(M686,IF(N685=0,2,IF(N685=0.1,1,0))),IF(M687&gt;0,ROUND(O687*AE686/AE687,IF(N685=0,2,IF(N685=0.1,1,0))),0)))),IF(M686&gt;0,M686,ROUND((M685*AE686)/AE685,IF(N685=0,2,IF(N685=0.1,1,0))))),2))</f>
        <v>5.55</v>
      </c>
      <c r="P686" s="221">
        <f>IF(OR(L686="",O686=""),"",IF($C686="1/2W",O686/2+O686/2*L686,IF($C686="1/2L",O686/2,IF(I686="Lay",((O686*(L686/(L686-1)))-O686)*(1-_xlfn.XLOOKUP(K686,'Janeiro 2023 - Valor Real'!A3:A15,'Janeiro 2023 - Valor Real'!C3:C15,0))+O686,(O686*L686-O686)*(1-_xlfn.XLOOKUP(K686,'Janeiro 2023 - Valor Real'!A3:A15,'Janeiro 2023 - Valor Real'!C3:C15,0))+O686))))</f>
        <v>22.2</v>
      </c>
      <c r="Q686" s="222">
        <f>IF(K686="","",IF(_xlfn.XLOOKUP(K686,K$123:K459,DJ$123:DJ459,0,,-1)=DJ686,_xlfn.XLOOKUP(K686,K$123:K459,Q$123:Q459,1,,-1)+1,1))</f>
        <v>1</v>
      </c>
      <c r="R686" s="223">
        <f>IF(K686="","",_xlfn.XLOOKUP(K686,K$123:K459,R$123:R459,0,,-1)+IF($C686=" ",1,0))</f>
        <v>0</v>
      </c>
      <c r="S686" s="125"/>
      <c r="T686" s="126"/>
      <c r="U686" s="126"/>
      <c r="V686" s="224"/>
      <c r="W686" s="126"/>
      <c r="X686" s="127"/>
      <c r="Y686" s="128"/>
      <c r="Z686" s="129"/>
      <c r="AA686" s="129"/>
      <c r="AB686" s="129"/>
      <c r="AC686" s="129"/>
      <c r="AD686" s="225">
        <f>(((L686/(L686-1)-1)*(1-_xlfn.XLOOKUP(K686,'Janeiro 2023 - Valor Real'!A3:A15,'Janeiro 2023 - Valor Real'!C3:C15,0))+1))</f>
        <v>1.33333333333333</v>
      </c>
      <c r="AE686" s="226">
        <f>IF(L686="","",IF(L687&gt;0,(SUM(((L685-1)*(1-_xlfn.XLOOKUP(K685,'Janeiro 2023 - Valor Real'!A3:A15,'Janeiro 2023 - Valor Real'!C3:C15,0))+1),((L686-1)*(1-_xlfn.XLOOKUP(K686,'Janeiro 2023 - Valor Real'!A3:A15,'Janeiro 2023 - Valor Real'!C3:C15,0))+1),((L687-1)*(1-_xlfn.XLOOKUP(K687,'Janeiro 2023 - Valor Real'!A3:A15,'Janeiro 2023 - Valor Real'!C3:C15,0))+1))/((L686-1)*(1-_xlfn.XLOOKUP(K686,'Janeiro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Real'!C3:C15,0))+1))/((L685-1)*(1-_xlfn.XLOOKUP(K685,'Janeiro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Real'!C3:C15,0))+1))/((L686-1)*(1-_xlfn.XLOOKUP(K686,'Janeiro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Real'!C3:C15,0))+1))/((L687-1)*(1-_xlfn.XLOOKUP(K687,'Janeiro 2023 - Valor Real'!A3:A15,'Janeiro 2023 - Valor Real'!C3:C15,0))+1)),IF(I686="Lay",IF(I685="Lay",((L685/(L685-1)-1)*(1-_xlfn.XLOOKUP(K685,'Janeiro 2023 - Valor Real'!A3:A15,'Janeiro 2023 - Valor Real'!C3:C15,0))+1)/(((L685/(L685-1)-1)*(1-_xlfn.XLOOKUP(K685,'Janeiro 2023 - Valor Real'!A3:A15,'Janeiro 2023 - Valor Real'!C3:C15,0))+1)+((L686/(L686-1)-1)*(1-_xlfn.XLOOKUP(K686,'Janeiro 2023 - Valor Real'!A3:A15,'Janeiro 2023 - Valor Real'!C3:C15,0))+1)),((L685-1)*(1-_xlfn.XLOOKUP(K685,'Janeiro 2023 - Valor Real'!A3:A15,'Janeiro 2023 - Valor Real'!C3:C15,0))+1)/(((L685-1)*(1-_xlfn.XLOOKUP(K685,'Janeiro 2023 - Valor Real'!A3:A15,'Janeiro 2023 - Valor Real'!C3:C15,0))+1)+((L686/(L686-1)-1)*(1-_xlfn.XLOOKUP(K686,'Janeiro 2023 - Valor Real'!A3:A15,'Janeiro 2023 - Valor Real'!C3:C15,0))+1))),IF(I685="Lay",((L685/(L685-1)-1)*(1-_xlfn.XLOOKUP(K685,'Janeiro 2023 - Valor Real'!A3:A15,'Janeiro 2023 - Valor Real'!C3:C15,0))+1)/((((L685/(L685-1)-1)*(1-_xlfn.XLOOKUP(K685,'Janeiro 2023 - Valor Real'!A3:A15,'Janeiro 2023 - Valor Real'!C3:C15,0))+1))+((L686-1)*(1-_xlfn.XLOOKUP(K686,'Janeiro 2023 - Valor Real'!A3:A15,'Janeiro 2023 - Valor Real'!C3:C15,0))+1)),((L685-1)*(1-_xlfn.XLOOKUP(K685,'Janeiro 2023 - Valor Real'!A3:A15,'Janeiro 2023 - Valor Real'!C3:C15,0))+1)/(((L685-1)*(1-_xlfn.XLOOKUP(K685,'Janeiro 2023 - Valor Real'!A3:A15,'Janeiro 2023 - Valor Real'!C3:C15,0))+1)+((L686-1)*(1-_xlfn.XLOOKUP(K686,'Janeiro 2023 - Valor Real'!A3:A15,'Janeiro 2023 - Valor Real'!C3:C15,0))+1))))))</f>
        <v>0.286860402923872</v>
      </c>
      <c r="AF686" s="197">
        <f>IF($K686=AF$3,ROUND(IF(OR($C686="W",$C686="1/2W",$C686="1/2L"),$P686-$O686,IF($C686="X",0,-$O686)),2),0)</f>
        <v>0</v>
      </c>
      <c r="AG686" s="198">
        <f>IF($K686=AG$3,ROUND(IF(OR($C686="W",$C686="1/2W",$C686="1/2L"),$P686-$O686,IF($C686="X",0,-$O686)),2),0)</f>
        <v>0</v>
      </c>
      <c r="AH686" s="198">
        <f>IF($K686=AH$3,ROUND(IF(OR($C686="W",$C686="1/2W",$C686="1/2L"),$P686-$O686,IF($C686="X",0,-$O686)),2),0)</f>
        <v>0</v>
      </c>
      <c r="AI686" s="198">
        <f>IF($K686=AI$3,ROUND(IF(OR($C686="W",$C686="1/2W",$C686="1/2L"),$P686-$O686,IF($C686="X",0,-$O686)),2),0)</f>
        <v>16.65</v>
      </c>
      <c r="AJ686" s="198">
        <f>IF($K686=AJ$3,ROUND(IF(OR($C686="W",$C686="1/2W",$C686="1/2L"),$P686-$O686,IF($C686="X",0,-$O686)),2),0)</f>
        <v>0</v>
      </c>
      <c r="AK686" s="198">
        <f>IF($K686=AK$3,ROUND(IF(OR($C686="W",$C686="1/2W",$C686="1/2L"),$P686-$O686,IF($C686="X",0,-$O686)),2),0)</f>
        <v>0</v>
      </c>
      <c r="AL686" s="198">
        <f>IF($K686=AL$3,ROUND(IF(OR($C686="W",$C686="1/2W",$C686="1/2L"),$P686-$O686,IF($C686="X",0,-$O686)),2),0)</f>
        <v>0</v>
      </c>
      <c r="AM686" s="198">
        <f>IF($K686=AM$3,ROUND(IF(OR($C686="W",$C686="1/2W",$C686="1/2L"),$P686-$O686,IF($C686="X",0,-$O686)),2),0)</f>
        <v>0</v>
      </c>
      <c r="AN686" s="198">
        <f>IF($K686=AN$3,ROUND(IF(OR($C686="W",$C686="1/2W",$C686="1/2L"),$P686-$O686,IF($C686="X",0,-$O686)),2),0)</f>
        <v>0</v>
      </c>
      <c r="AO686" s="198">
        <f>IF($K686=AO$3,ROUND(IF(OR($C686="W",$C686="1/2W",$C686="1/2L"),$P686-$O686,IF($C686="X",0,-$O686)),2),0)</f>
        <v>0</v>
      </c>
      <c r="AP686" s="198">
        <f>IF($K686=AP$3,ROUND(IF(OR($C686="W",$C686="1/2W",$C686="1/2L"),$P686-$O686,IF($C686="X",0,-$O686)),2),0)</f>
        <v>0</v>
      </c>
      <c r="AQ686" s="198">
        <f>IF($K686=AQ$3,ROUND(IF(OR($C686="W",$C686="1/2W",$C686="1/2L"),$P686-$O686,IF($C686="X",0,-$O686)),2),0)</f>
        <v>0</v>
      </c>
      <c r="AR686" s="199">
        <f>IF($K686=AR$3,ROUND(IF(OR($C686="W",$C686="1/2W",$C686="1/2L"),$P686-$O686,IF($C686="X",0,-$O686)),2),0)</f>
        <v>0</v>
      </c>
      <c r="AS686" s="197">
        <f>IF(AND($B685=" ",$K686=AS$3),$O686,0)</f>
        <v>0</v>
      </c>
      <c r="AT686" s="198">
        <f>IF(AND($B685=" ",K686=AT$3),$O686,0)</f>
        <v>0</v>
      </c>
      <c r="AU686" s="198">
        <f>IF(AND($B685=" ",$K686=AU$3),$O686,0)</f>
        <v>0</v>
      </c>
      <c r="AV686" s="198">
        <f>IF(AND($B685=" ",$K686=AV$3),$O686,0)</f>
        <v>0</v>
      </c>
      <c r="AW686" s="198">
        <f>IF(AND($B685=" ",$K686=AW$3),$O686,0)</f>
        <v>0</v>
      </c>
      <c r="AX686" s="198">
        <f>IF(AND($B685=" ",$K686=AX$3),$O686,0)</f>
        <v>0</v>
      </c>
      <c r="AY686" s="200">
        <f>IF(AND($B685=" ",$K686=AY$3),$O686,0)</f>
        <v>0</v>
      </c>
      <c r="AZ686" s="201">
        <f>IF(AND($B685=" ",$K686=AZ$3),$O686,0)</f>
        <v>0</v>
      </c>
      <c r="BA686" s="201">
        <f>IF(AND($B685=" ",$K686=BA$3),$O686,0)</f>
        <v>0</v>
      </c>
      <c r="BB686" s="201">
        <f>IF(AND($B685=" ",$K686=BB$3),$O686,0)</f>
        <v>0</v>
      </c>
      <c r="BC686" s="202">
        <f>IF(AND($B685=" ",$K686=BC$3),$O686,0)</f>
        <v>0</v>
      </c>
      <c r="BD686" s="198">
        <f>IF(AND($B685=" ",$K686=BD$3),$O686,0)</f>
        <v>0</v>
      </c>
      <c r="BE686" s="199">
        <f>IF(AND($B685=" ",$K686=BE$3),$O686,0)</f>
        <v>0</v>
      </c>
      <c r="BF686" s="197">
        <f>IF($K686=BF$3,IF($C686="X",0,$O686),0)</f>
        <v>0</v>
      </c>
      <c r="BG686" s="198">
        <f>IF($K686=BG$3,IF($C686="X",0,$O686),0)</f>
        <v>0</v>
      </c>
      <c r="BH686" s="198">
        <f>IF($K686=BH$3,IF($C686="X",0,$O686),0)</f>
        <v>0</v>
      </c>
      <c r="BI686" s="198">
        <f>IF($K686=BI$3,IF($C686="X",0,$O686),0)</f>
        <v>5.55</v>
      </c>
      <c r="BJ686" s="198">
        <f>IF($K686=BJ$3,IF($C686="X",0,$O686),0)</f>
        <v>0</v>
      </c>
      <c r="BK686" s="198">
        <f>IF($K686=BK$3,IF($C686="X",0,$O686),0)</f>
        <v>0</v>
      </c>
      <c r="BL686" s="198">
        <f>IF($K686=BL$3,IF($C686="X",0,$O686),0)</f>
        <v>0</v>
      </c>
      <c r="BM686" s="227">
        <f>IF($K686=BM$3,IF($C686="X",0,$O686),0)</f>
        <v>0</v>
      </c>
      <c r="BN686" s="205">
        <f>IF($K686=BN$3,IF($C686="X",0,$O686),0)</f>
        <v>0</v>
      </c>
      <c r="BO686" s="205">
        <f>IF($K686=BO$3,IF($C686="X",0,$O686),0)</f>
        <v>0</v>
      </c>
      <c r="BP686" s="205">
        <f>IF($K686=BP$3,IF($C686="X",0,$O686),0)</f>
        <v>0</v>
      </c>
      <c r="BQ686" s="202">
        <f>IF($K686=BQ$3,IF($C686="X",0,$O686),0)</f>
        <v>0</v>
      </c>
      <c r="BR686" s="199">
        <f>IF($K686=BR$3,IF($C686="X",0,$O686),0)</f>
        <v>0</v>
      </c>
      <c r="BS686" s="228"/>
      <c r="BT686" s="229"/>
      <c r="BU686" s="140"/>
      <c r="BV686" s="229"/>
      <c r="BW686" s="140"/>
      <c r="BX686" s="140"/>
      <c r="BY686" s="140"/>
      <c r="BZ686" s="229"/>
      <c r="CA686" s="140"/>
      <c r="CB686" s="140"/>
      <c r="CC686" s="140"/>
      <c r="CD686" s="141"/>
      <c r="CE686" s="142"/>
      <c r="CF686" s="230">
        <f>IF(CF$3=$K686,IF($C686="W",1,IF($C686="1/2W",0.5,0)),0)</f>
        <v>0</v>
      </c>
      <c r="CG686" s="231">
        <f>IF(CF$3=$K686,IF($C686="L",1,IF($C686="1/2L",0.5,0)),0)</f>
        <v>0</v>
      </c>
      <c r="CH686" s="231">
        <f>IF(CH$3=$K686,IF($C686="W",1,IF($C686="1/2W",0.5,0)),0)</f>
        <v>0</v>
      </c>
      <c r="CI686" s="231">
        <f>IF(CH$3=$K686,IF($C686="L",1,IF($C686="1/2L",0.5,0)),0)</f>
        <v>0</v>
      </c>
      <c r="CJ686" s="231">
        <f>IF(CJ$3=$K686,IF($C686="W",1,IF($C686="1/2W",0.5,0)),0)</f>
        <v>0</v>
      </c>
      <c r="CK686" s="231">
        <f>IF(CJ$3=$K686,IF($C686="L",1,IF($C686="1/2L",0.5,0)),0)</f>
        <v>0</v>
      </c>
      <c r="CL686" s="231">
        <f>IF(CL$3=$K686,IF($C686="W",1,IF($C686="1/2W",0.5,0)),0)</f>
        <v>1</v>
      </c>
      <c r="CM686" s="231">
        <f>IF(CL$3=$K686,IF($C686="L",1,IF($C686="1/2L",0.5,0)),0)</f>
        <v>0</v>
      </c>
      <c r="CN686" s="231">
        <f>IF(CN$3=$K686,IF($C686="W",1,IF($C686="1/2W",0.5,0)),0)</f>
        <v>0</v>
      </c>
      <c r="CO686" s="231">
        <f>IF(CN$3=$K686,IF($C686="L",1,IF($C686="1/2L",0.5,0)),0)</f>
        <v>0</v>
      </c>
      <c r="CP686" s="231">
        <f>IF(CP$3=$K686,IF($C686="W",1,IF($C686="1/2W",0.5,0)),0)</f>
        <v>0</v>
      </c>
      <c r="CQ686" s="231">
        <f>IF(CP$3=$K686,IF($C686="L",1,IF($C686="1/2L",0.5,0)),0)</f>
        <v>0</v>
      </c>
      <c r="CR686" s="231">
        <f>IF(CR$3=$K686,IF($C686="W",1,IF($C686="1/2W",0.5,0)),0)</f>
        <v>0</v>
      </c>
      <c r="CS686" s="231">
        <f>IF(CR$3=$K686,IF($C686="L",1,IF($C686="1/2L",0.5,0)),0)</f>
        <v>0</v>
      </c>
      <c r="CT686" s="208">
        <f>IF(CT$3=$K686,IF($C686="W",1,IF($C686="1/2W",0.5,0)),0)</f>
        <v>0</v>
      </c>
      <c r="CU686" s="209">
        <f>IF(CT$3=$K686,IF($C686="L",1,IF($C686="1/2L",0.5,0)),0)</f>
        <v>0</v>
      </c>
      <c r="CV686" s="209">
        <f>IF(CV$3=$K686,IF($C686="W",1,IF($C686="1/2W",0.5,0)),0)</f>
        <v>0</v>
      </c>
      <c r="CW686" s="209">
        <f>IF(CV$3=$K686,IF($C686="L",1,IF($C686="1/2L",0.5,0)),0)</f>
        <v>0</v>
      </c>
      <c r="CX686" s="209">
        <f>IF(CX$3=$K686,IF($C686="W",1,IF($C686="1/2W",0.5,0)),0)</f>
        <v>0</v>
      </c>
      <c r="CY686" s="209">
        <f>IF(CX$3=$K686,IF($C686="L",1,IF($C686="1/2L",0.5,0)),0)</f>
        <v>0</v>
      </c>
      <c r="CZ686" s="209">
        <f>IF(CZ$3=$K686,IF($C686="W",1,IF($C686="1/2W",0.5,0)),0)</f>
        <v>0</v>
      </c>
      <c r="DA686" s="209">
        <f>IF(CZ$3=$K686,IF($C686="L",1,IF($C686="1/2L",0.5,0)),0)</f>
        <v>0</v>
      </c>
      <c r="DB686" s="209">
        <f>IF(DB$3=$K686,IF($C686="W",1,IF($C686="1/2W",0.5,0)),0)</f>
        <v>0</v>
      </c>
      <c r="DC686" s="209">
        <f>IF(DB$3=$K686,IF($C686="L",1,IF($C686="1/2L",0.5,0)),0)</f>
        <v>0</v>
      </c>
      <c r="DD686" s="209">
        <f>IF(DD$3=$K686,IF($C686="W",1,IF($C686="1/2W",0.5,0)),0)</f>
        <v>0</v>
      </c>
      <c r="DE686" s="210">
        <f>IF(DD$3=$K686,IF($C686="L",1,IF($C686="1/2L",0.5,0)),0)</f>
        <v>0</v>
      </c>
      <c r="DF686" s="211">
        <f>IF(AND(L686&lt;DF$3,$C686="W"),1+DF685,DF685)</f>
        <v>18</v>
      </c>
      <c r="DG686" s="198">
        <f>IF(DF686&gt;DF685,L686+DG685,DG685)</f>
        <v>23.918</v>
      </c>
      <c r="DH686" s="209">
        <f>IF(AND(L686&gt;DH$3,$C686="W"),1+DH685,0+DH685)</f>
        <v>17</v>
      </c>
      <c r="DI686" s="198">
        <f>IF(DH686&gt;DH685,L686+DI685,DI685)</f>
        <v>89.45999999999999</v>
      </c>
      <c r="DJ686" t="s" s="306">
        <f>IF($D685="","",$D685)</f>
        <v>481</v>
      </c>
      <c r="DK686" s="232"/>
    </row>
    <row r="687" ht="14.55" customHeight="1">
      <c r="A687" s="149"/>
      <c r="B687" s="150"/>
      <c r="C687" t="s" s="233">
        <v>58</v>
      </c>
      <c r="D687" s="152"/>
      <c r="E687" s="153"/>
      <c r="F687" s="155"/>
      <c r="G687" s="234"/>
      <c r="H687" s="156"/>
      <c r="I687" s="235"/>
      <c r="J687" s="236"/>
      <c r="K687" s="237"/>
      <c r="L687" s="238"/>
      <c r="M687" s="239"/>
      <c r="N687" s="161"/>
      <c r="O687" t="s" s="240">
        <f>IF(OR(AE685="",AE686=""),"",IF(L687&gt;0,ROUND(IF(M687&gt;0,M687,IF(M685&gt;0,ROUND((M685*AE687)/AE685,IF(N685=0,2,IF(N685=0.1,1,0))),IF(M686&gt;0,ROUND((M686*AE687)/AE686,IF(N685=0,2,IF(N685=0.1,1,0))),IF(M687&gt;0,M687,0)))),2),""))</f>
      </c>
      <c r="P687" t="s" s="241">
        <f>IF(I686="Lay",O686*(L686/(L686-1))-O686,IF(I685="Lay",O685*(L685/(L685-1))-O685,IF(OR(L687="",O687=""),"",IF($C687="1/2W",O687/2+O687/2*L687,IF($C687="1/2L",O687/2,(O687*L687-O687)*(1-_xlfn.XLOOKUP(K687,'Janeiro 2023 - Valor Real'!A3:A15,'Janeiro 2023 - Valor Real'!C3:C15,0))+O687)))))</f>
      </c>
      <c r="Q687" t="s" s="242">
        <f>IF(K687="","",IF(_xlfn.XLOOKUP(K687,K$124:K460,DJ$124:DJ460,0,,-1)=DJ687,_xlfn.XLOOKUP(K687,K$124:K460,Q$124:Q460,1,,-1)+1,1))</f>
      </c>
      <c r="R687" t="s" s="243">
        <f>IF(K687="","",_xlfn.XLOOKUP(K687,K$124:K460,R$124:R460,0,,-1)+IF($C687=" ",1,0))</f>
      </c>
      <c r="S687" s="166"/>
      <c r="T687" s="155"/>
      <c r="U687" s="155"/>
      <c r="V687" s="166"/>
      <c r="W687" s="155"/>
      <c r="X687" s="167"/>
      <c r="Y687" s="128"/>
      <c r="Z687" s="129"/>
      <c r="AA687" s="129"/>
      <c r="AB687" s="129"/>
      <c r="AC687" s="129"/>
      <c r="AD687" s="244">
        <f>((L686/(L686-1)-1))</f>
        <v>0.333333333333333</v>
      </c>
      <c r="AE687" t="s" s="245">
        <f>IF(L687="","",(SUM(((L685-1)*(1-_xlfn.XLOOKUP(K685,'Janeiro 2023 - Valor Real'!A3:A15,'Janeiro 2023 - Valor Real'!C3:C15,0))+1),((L686-1)*(1-_xlfn.XLOOKUP(K686,'Janeiro 2023 - Valor Real'!A3:A15,'Janeiro 2023 - Valor Real'!C3:C15,0))+1),((L687-1)*(1-_xlfn.XLOOKUP(K687,'Janeiro 2023 - Valor Real'!A3:A15,'Janeiro 2023 - Valor Real'!C3:C15,0))+1))/((L687-1)*(1-_xlfn.XLOOKUP(K687,'Janeiro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Real'!C3:C15,0))+1))/((L685-1)*(1-_xlfn.XLOOKUP(K685,'Janeiro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Real'!C3:C15,0))+1))/((L686-1)*(1-_xlfn.XLOOKUP(K686,'Janeiro 2023 - Valor Real'!A3:A15,'Janeiro 2023 - Valor Real'!C3:C15,0))+1)+SUM(((L685-1)*(1-_xlfn.XLOOKUP(K685,'Janeiro 2023 - Valor Real'!A3:A15,'Janeiro 2023 - Valor Real'!C3:C15,0))+1),((L686-1)*(1-_xlfn.XLOOKUP(K686,'Janeiro 2023 - Valor Real'!A3:A15,'Janeiro 2023 - Valor Real'!C3:C15,0))+1),((L687-1)*(1-_xlfn.XLOOKUP(K687,'Janeiro 2023 - Valor Real'!A3:A15,'Janeiro 2023 - Valor Real'!C3:C15,0))+1))/((L687-1)*(1-_xlfn.XLOOKUP(K687,'Janeiro 2023 - Valor Real'!A3:A15,'Janeiro 2023 - Valor Real'!C3:C15,0))+1)))</f>
      </c>
      <c r="AF687" s="197">
        <f>IF($K687=AF$3,ROUND(IF(OR($C687="W",$C687="1/2W",$C687="1/2L"),$P687-$O687,IF($C687="X",0,-$O687)),2),0)</f>
        <v>0</v>
      </c>
      <c r="AG687" s="198">
        <f>IF($K687=AG$3,ROUND(IF(OR($C687="W",$C687="1/2W",$C687="1/2L"),$P687-$O687,IF($C687="X",0,-$O687)),2),0)</f>
        <v>0</v>
      </c>
      <c r="AH687" s="198">
        <f>IF($K687=AH$3,ROUND(IF(OR($C687="W",$C687="1/2W",$C687="1/2L"),$P687-$O687,IF($C687="X",0,-$O687)),2),0)</f>
        <v>0</v>
      </c>
      <c r="AI687" s="198">
        <f>IF($K687=AI$3,ROUND(IF(OR($C687="W",$C687="1/2W",$C687="1/2L"),$P687-$O687,IF($C687="X",0,-$O687)),2),0)</f>
        <v>0</v>
      </c>
      <c r="AJ687" s="198">
        <f>IF($K687=AJ$3,ROUND(IF(OR($C687="W",$C687="1/2W",$C687="1/2L"),$P687-$O687,IF($C687="X",0,-$O687)),2),0)</f>
        <v>0</v>
      </c>
      <c r="AK687" s="198">
        <f>IF($K687=AK$3,ROUND(IF(OR($C687="W",$C687="1/2W",$C687="1/2L"),$P687-$O687,IF($C687="X",0,-$O687)),2),0)</f>
        <v>0</v>
      </c>
      <c r="AL687" s="198">
        <f>IF($K687=AL$3,ROUND(IF(OR($C687="W",$C687="1/2W",$C687="1/2L"),$P687-$O687,IF($C687="X",0,-$O687)),2),0)</f>
        <v>0</v>
      </c>
      <c r="AM687" s="198">
        <f>IF($K687=AM$3,ROUND(IF(OR($C687="W",$C687="1/2W",$C687="1/2L"),$P687-$O687,IF($C687="X",0,-$O687)),2),0)</f>
        <v>0</v>
      </c>
      <c r="AN687" s="198">
        <f>IF($K687=AN$3,ROUND(IF(OR($C687="W",$C687="1/2W",$C687="1/2L"),$P687-$O687,IF($C687="X",0,-$O687)),2),0)</f>
        <v>0</v>
      </c>
      <c r="AO687" s="198">
        <f>IF($K687=AO$3,ROUND(IF(OR($C687="W",$C687="1/2W",$C687="1/2L"),$P687-$O687,IF($C687="X",0,-$O687)),2),0)</f>
        <v>0</v>
      </c>
      <c r="AP687" s="198">
        <f>IF($K687=AP$3,ROUND(IF(OR($C687="W",$C687="1/2W",$C687="1/2L"),$P687-$O687,IF($C687="X",0,-$O687)),2),0)</f>
        <v>0</v>
      </c>
      <c r="AQ687" s="198">
        <f>IF($K687=AQ$3,ROUND(IF(OR($C687="W",$C687="1/2W",$C687="1/2L"),$P687-$O687,IF($C687="X",0,-$O687)),2),0)</f>
        <v>0</v>
      </c>
      <c r="AR687" s="199">
        <f>IF($K687=AR$3,ROUND(IF(OR($C687="W",$C687="1/2W",$C687="1/2L"),$P687-$O687,IF($C687="X",0,-$O687)),2),0)</f>
        <v>0</v>
      </c>
      <c r="AS687" s="197">
        <f>IF(AND($B685=" ",$K687=AS$3),$O687,0)</f>
        <v>0</v>
      </c>
      <c r="AT687" s="198">
        <f>IF(AND($B685=" ",K687=AT$3),$O687,0)</f>
        <v>0</v>
      </c>
      <c r="AU687" s="198">
        <f>IF(AND($B685=" ",$K687=AU$3),$O687,0)</f>
        <v>0</v>
      </c>
      <c r="AV687" s="198">
        <f>IF(AND($B685=" ",$K687=AV$3),$O687,0)</f>
        <v>0</v>
      </c>
      <c r="AW687" s="198">
        <f>IF(AND($B685=" ",$K687=AW$3),$O687,0)</f>
        <v>0</v>
      </c>
      <c r="AX687" s="198">
        <f>IF(AND($B685=" ",$K687=AX$3),$O687,0)</f>
        <v>0</v>
      </c>
      <c r="AY687" s="200">
        <f>IF(AND($B685=" ",$K687=AY$3),$O687,0)</f>
        <v>0</v>
      </c>
      <c r="AZ687" s="201">
        <f>IF(AND($B685=" ",$K687=AZ$3),$O687,0)</f>
        <v>0</v>
      </c>
      <c r="BA687" s="201">
        <f>IF(AND($B685=" ",$K687=BA$3),$O687,0)</f>
        <v>0</v>
      </c>
      <c r="BB687" s="201">
        <f>IF(AND($B685=" ",$K687=BB$3),$O687,0)</f>
        <v>0</v>
      </c>
      <c r="BC687" s="202">
        <f>IF(AND($B685=" ",$K687=BC$3),$O687,0)</f>
        <v>0</v>
      </c>
      <c r="BD687" s="198">
        <f>IF(AND($B685=" ",$K687=BD$3),$O687,0)</f>
        <v>0</v>
      </c>
      <c r="BE687" s="199">
        <f>IF(AND($B685=" ",$K687=BE$3),$O687,0)</f>
        <v>0</v>
      </c>
      <c r="BF687" s="197">
        <f>IF($K687=BF$3,IF($C687="X",0,$O687),0)</f>
        <v>0</v>
      </c>
      <c r="BG687" s="198">
        <f>IF($K687=BG$3,IF($C687="X",0,$O687),0)</f>
        <v>0</v>
      </c>
      <c r="BH687" s="198">
        <f>IF($K687=BH$3,IF($C687="X",0,$O687),0)</f>
        <v>0</v>
      </c>
      <c r="BI687" s="198">
        <f>IF($K687=BI$3,IF($C687="X",0,$O687),0)</f>
        <v>0</v>
      </c>
      <c r="BJ687" s="198">
        <f>IF($K687=BJ$3,IF($C687="X",0,$O687),0)</f>
        <v>0</v>
      </c>
      <c r="BK687" s="198">
        <f>IF($K687=BK$3,IF($C687="X",0,$O687),0)</f>
        <v>0</v>
      </c>
      <c r="BL687" s="198">
        <f>IF($K687=BL$3,IF($C687="X",0,$O687),0)</f>
        <v>0</v>
      </c>
      <c r="BM687" s="200">
        <f>IF($K687=BM$3,IF($C687="X",0,$O687),0)</f>
        <v>0</v>
      </c>
      <c r="BN687" s="201">
        <f>IF($K687=BN$3,IF($C687="X",0,$O687),0)</f>
        <v>0</v>
      </c>
      <c r="BO687" s="201">
        <f>IF($K687=BO$3,IF($C687="X",0,$O687),0)</f>
        <v>0</v>
      </c>
      <c r="BP687" s="201">
        <f>IF($K687=BP$3,IF($C687="X",0,$O687),0)</f>
        <v>0</v>
      </c>
      <c r="BQ687" s="202">
        <f>IF($K687=BQ$3,IF($C687="X",0,$O687),0)</f>
        <v>0</v>
      </c>
      <c r="BR687" s="199">
        <f>IF($K687=BR$3,IF($C687="X",0,$O687),0)</f>
        <v>0</v>
      </c>
      <c r="BS687" s="228"/>
      <c r="BT687" s="229"/>
      <c r="BU687" s="140"/>
      <c r="BV687" s="229"/>
      <c r="BW687" s="140"/>
      <c r="BX687" s="140"/>
      <c r="BY687" s="140"/>
      <c r="BZ687" s="229"/>
      <c r="CA687" s="140"/>
      <c r="CB687" s="140"/>
      <c r="CC687" s="140"/>
      <c r="CD687" s="141"/>
      <c r="CE687" s="142"/>
      <c r="CF687" s="230">
        <f>IF(CF$3=$K687,IF($C687="W",1,IF($C687="1/2W",0.5,0)),0)</f>
        <v>0</v>
      </c>
      <c r="CG687" s="231">
        <f>IF(CF$3=$K687,IF($C687="L",1,IF($C687="1/2L",0.5,0)),0)</f>
        <v>0</v>
      </c>
      <c r="CH687" s="231">
        <f>IF(CH$3=$K687,IF($C687="W",1,IF($C687="1/2W",0.5,0)),0)</f>
        <v>0</v>
      </c>
      <c r="CI687" s="231">
        <f>IF(CH$3=$K687,IF($C687="L",1,IF($C687="1/2L",0.5,0)),0)</f>
        <v>0</v>
      </c>
      <c r="CJ687" s="231">
        <f>IF(CJ$3=$K687,IF($C687="W",1,IF($C687="1/2W",0.5,0)),0)</f>
        <v>0</v>
      </c>
      <c r="CK687" s="231">
        <f>IF(CJ$3=$K687,IF($C687="L",1,IF($C687="1/2L",0.5,0)),0)</f>
        <v>0</v>
      </c>
      <c r="CL687" s="231">
        <f>IF(CL$3=$K687,IF($C687="W",1,IF($C687="1/2W",0.5,0)),0)</f>
        <v>0</v>
      </c>
      <c r="CM687" s="231">
        <f>IF(CL$3=$K687,IF($C687="L",1,IF($C687="1/2L",0.5,0)),0)</f>
        <v>0</v>
      </c>
      <c r="CN687" s="231">
        <f>IF(CN$3=$K687,IF($C687="W",1,IF($C687="1/2W",0.5,0)),0)</f>
        <v>0</v>
      </c>
      <c r="CO687" s="231">
        <f>IF(CN$3=$K687,IF($C687="L",1,IF($C687="1/2L",0.5,0)),0)</f>
        <v>0</v>
      </c>
      <c r="CP687" s="231">
        <f>IF(CP$3=$K687,IF($C687="W",1,IF($C687="1/2W",0.5,0)),0)</f>
        <v>0</v>
      </c>
      <c r="CQ687" s="231">
        <f>IF(CP$3=$K687,IF($C687="L",1,IF($C687="1/2L",0.5,0)),0)</f>
        <v>0</v>
      </c>
      <c r="CR687" s="231">
        <f>IF(CR$3=$K687,IF($C687="W",1,IF($C687="1/2W",0.5,0)),0)</f>
        <v>0</v>
      </c>
      <c r="CS687" s="231">
        <f>IF(CR$3=$K687,IF($C687="L",1,IF($C687="1/2L",0.5,0)),0)</f>
        <v>0</v>
      </c>
      <c r="CT687" s="208">
        <f>IF(CT$3=$K687,IF($C687="W",1,IF($C687="1/2W",0.5,0)),0)</f>
        <v>0</v>
      </c>
      <c r="CU687" s="209">
        <f>IF(CT$3=$K687,IF($C687="L",1,IF($C687="1/2L",0.5,0)),0)</f>
        <v>0</v>
      </c>
      <c r="CV687" s="209">
        <f>IF(CV$3=$K687,IF($C687="W",1,IF($C687="1/2W",0.5,0)),0)</f>
        <v>0</v>
      </c>
      <c r="CW687" s="209">
        <f>IF(CV$3=$K687,IF($C687="L",1,IF($C687="1/2L",0.5,0)),0)</f>
        <v>0</v>
      </c>
      <c r="CX687" s="209">
        <f>IF(CX$3=$K687,IF($C687="W",1,IF($C687="1/2W",0.5,0)),0)</f>
        <v>0</v>
      </c>
      <c r="CY687" s="209">
        <f>IF(CX$3=$K687,IF($C687="L",1,IF($C687="1/2L",0.5,0)),0)</f>
        <v>0</v>
      </c>
      <c r="CZ687" s="209">
        <f>IF(CZ$3=$K687,IF($C687="W",1,IF($C687="1/2W",0.5,0)),0)</f>
        <v>0</v>
      </c>
      <c r="DA687" s="209">
        <f>IF(CZ$3=$K687,IF($C687="L",1,IF($C687="1/2L",0.5,0)),0)</f>
        <v>0</v>
      </c>
      <c r="DB687" s="209">
        <f>IF(DB$3=$K687,IF($C687="W",1,IF($C687="1/2W",0.5,0)),0)</f>
        <v>0</v>
      </c>
      <c r="DC687" s="209">
        <f>IF(DB$3=$K687,IF($C687="L",1,IF($C687="1/2L",0.5,0)),0)</f>
        <v>0</v>
      </c>
      <c r="DD687" s="209">
        <f>IF(DD$3=$K687,IF($C687="W",1,IF($C687="1/2W",0.5,0)),0)</f>
        <v>0</v>
      </c>
      <c r="DE687" s="210">
        <f>IF(DD$3=$K687,IF($C687="L",1,IF($C687="1/2L",0.5,0)),0)</f>
        <v>0</v>
      </c>
      <c r="DF687" s="211">
        <f>IF(AND(L687&lt;DF$3,$C687="W"),1+DF686,DF686)</f>
        <v>18</v>
      </c>
      <c r="DG687" s="198">
        <f>IF(DF687&gt;DF686,L687+DG686,DG686)</f>
        <v>23.918</v>
      </c>
      <c r="DH687" s="209">
        <f>IF(AND(L687&gt;DH$3,$C687="W"),1+DH686,0+DH686)</f>
        <v>17</v>
      </c>
      <c r="DI687" s="198">
        <f>IF(DH687&gt;DH686,L687+DI686,DI686)</f>
        <v>89.45999999999999</v>
      </c>
      <c r="DJ687" t="s" s="306">
        <f>IF($D685="","",$D685)</f>
        <v>481</v>
      </c>
      <c r="DK687" s="232"/>
    </row>
    <row r="688" ht="14.55" customHeight="1">
      <c r="A688" s="246">
        <f>$A685+1</f>
        <v>229</v>
      </c>
      <c r="B688" t="s" s="247">
        <f>IF(AND(_xlfn.XLOOKUP(H688,H$107:H467,G$107:G467,0)=G688,_xlfn.XLOOKUP("TempoBet",K688:K690,L688:L690,0)&gt;0),"X",IF(OR(C688="W",C689="W",C690="W",C688="1/2W",C689="1/2W",C690="1/2W",C688="1/2L",C689="1/2L",C690="1/2L"),"OK",IF(OR(C688="L",C689="L",C690="L"),"LOSS",IF(OR(C688="X",C689="X",C690="X"),"Anulado"," "))))</f>
        <v>50</v>
      </c>
      <c r="C688" t="s" s="248">
        <v>56</v>
      </c>
      <c r="D688" t="s" s="303">
        <f>IF(G688="","",$D685)</f>
        <v>481</v>
      </c>
      <c r="E688" t="s" s="250">
        <v>115</v>
      </c>
      <c r="F688" t="s" s="251">
        <f>IF(G688="","",IF(OR(AND($C688&lt;&gt;" ",$C689=" "),AND($C689&lt;&gt;" ",$C688=" "),AND(L690&gt;0,OR(AND($C690&lt;&gt;" ",OR($C688=" ",$C689=" ")),AND($C690=" ",OR($C688&lt;&gt;" ",$C689&lt;&gt;" "))))),IF(SUM(F$4:F687)=0,1,LARGE(F$4:F687,1)+1),IF(MONTH(G688)=MONTH(TODAY()),IF(AND(DAY(G688)&lt;DAY(TODAY()),$B688=" "),IF(SUM(F$4:F687)=0,1,LARGE(F$4:F687,1)+1),IF($B688=" ",IF(AND(DAY(G688)=DAY(TODAY()),HOUR(G688)&lt;=HOUR(NOW())+1),IF(AND(HOUR(G688)+2&lt;=HOUR(NOW()),DAY(G688)&lt;=DAY(TODAY()),MINUTE(G688)&lt;=MINUTE(NOW())),IF(SUM(F$4:F687)=0,1,LARGE(F$4:F687,1)+1),IF(OR(MINUTE(G688)&lt;=MINUTE(NOW()),HOUR(G688)&lt;=HOUR(NOW())),"!!!","")),""),"")),"")))</f>
      </c>
      <c r="G688" s="252">
        <v>44958.708333333336</v>
      </c>
      <c r="H688" t="s" s="253">
        <v>488</v>
      </c>
      <c r="I688" t="s" s="254">
        <v>140</v>
      </c>
      <c r="J688" s="255">
        <v>-1</v>
      </c>
      <c r="K688" t="s" s="256">
        <v>48</v>
      </c>
      <c r="L688" s="257">
        <v>4.2</v>
      </c>
      <c r="M688" s="258">
        <v>3.91</v>
      </c>
      <c r="N688" s="259">
        <v>0</v>
      </c>
      <c r="O688" s="260">
        <f>IF(OR(AE688="",AE689=""),"",ROUND(IF(L690&gt;0,IF(M688&gt;0,M688,IF(M689&gt;0,ROUND((M689*AE688)/AE689,IF(N688=0,2,IF(N688=0.1,1,0))),ROUND((M690*AE688)/AE690,IF(N688=0,2,IF(N688=0.1,1,0))))),IF(M688&gt;0,M688,ROUND((M689*AE688)/AE689,IF(N688=0,2,IF(N688=0.1,1,0))))),2))</f>
        <v>3.91</v>
      </c>
      <c r="P688" s="261">
        <f>IF(OR(L688="",O688=""),"",IF($C688="1/2W",O688/2+O688/2*L688,IF($C688="1/2L",O688/2,IF(I688="Lay",(O688*(L688/(L688-1))-O688)*(1-_xlfn.XLOOKUP(K688,'Janeiro 2023 - Valor Real'!A3:A15,'Janeiro 2023 - Valor Real'!C3:C15,0))+O688,(O688*L688-O688)*(1-_xlfn.XLOOKUP(K688,'Janeiro 2023 - Valor Real'!A3:A15,'Janeiro 2023 - Valor Real'!C3:C15,0))+O688))))</f>
        <v>16.422</v>
      </c>
      <c r="Q688" s="262">
        <f>IF(K688="","",IF(_xlfn.XLOOKUP(K688,K$107:K467,DJ$107:DJ467,0,,-1)=DJ688,_xlfn.XLOOKUP(K688,K$107:K467,Q$107:Q467,1,,-1)+1,1))</f>
        <v>1</v>
      </c>
      <c r="R688" s="263">
        <f>IF(K688="","",_xlfn.XLOOKUP(K688,K$107:K467,R$107:R467,0,,-1)+IF($C688=" ",1,0))</f>
        <v>0</v>
      </c>
      <c r="S688" s="264">
        <f>IF($B688="Anulado",0,ROUND(IF(OR($B688="LOSS",$B688="OK"),IF(OR($C688="W",$C688="1/2W",$C688="1/2L"),P688-O688,IF($C688="L",-O688,0))+IF(OR($C689="W",$C689="1/2W",$C689="1/2L"),P689-O689,IF($C689="L",-O689,0))+IF(OR($C690="W",$C690="1/2W",$C690="1/2L"),P690-O690,IF($C690="L",-O690,0)),IF(AND(OR($C688="W",$C688="1/2W",$C688="1/2L"),C689="W"),P688+P689-SUM(O688:O690)+_xlfn.XLOOKUP("X",C688:C690,O688:O690,0),IF(AND(C688=TRUE,C690="W"),P688+P690-SUM(O688:O690),IF(AND(C689="W",C690="W"),P689+P690-SUM(O688:O690)+_xlfn.XLOOKUP("X",C688:C690,O688:O690,0),IF(L690&gt;0,IF(OR($C688="W",$C688="1/2W",$C688="1/2L"),P688-SUM(O688:O690)+_xlfn.XLOOKUP("X",C688:C690,O688:O690,0),IF(OR($C688="W",$C688="1/2W",$C688="1/2L"),P689-SUM(O688:O690)+_xlfn.XLOOKUP("X",C688:C690,O688:O690,0),IF(OR($C688="W",$C688="1/2W",$C688="1/2L"),P690-SUM(O688:O690)+_xlfn.XLOOKUP("X",C688:C690,O688:O690,0),IF(SUM(P688:P690)/3-SUM(O688:O690)+_xlfn.XLOOKUP("X",C688:C690,O688:O690,0)&gt;0,SUM(P688:P690)/3-SUM(O688:O690)+_xlfn.XLOOKUP("X",C688:C690,O688:O690,0),LARGE(P688:P690,1)-SUM(O688:O690))))),IF(OR($C688="W",$C688="1/2W",$C688="1/2L"),P688-SUM(O688:O689)+_xlfn.XLOOKUP("X",C688:C690,O688:O690,0),IF(OR($C688="W",$C688="1/2W",$C688="1/2L"),P689-SUM(O688:O689)+_xlfn.XLOOKUP("X",C688:C690,O688:O690,0),SUM(P688:P689)/2-SUM(O688:O689)+_xlfn.XLOOKUP("X",C688:C690,O688:O690,0)))))))),2))</f>
        <v>2.48</v>
      </c>
      <c r="T688" s="265">
        <f>IF(S688=0,0,S688/SUM(O688:O690))</f>
        <v>0.0371368673255466</v>
      </c>
      <c r="U688" s="266">
        <f>IF($D688=$D685,IF(OR($B688="LOSS",$B688="OK",$B688="Anulada"),S688,0)+U685,IF(OR($B688="LOSS",$B688="OK",$B688="Anulada"),S688,0))</f>
        <v>10.99</v>
      </c>
      <c r="V688" s="266">
        <f>IF($D688="",0,IF($D688=$D685,IF($B688=" ",IF(I690="",IF(OR(AND(I688="DNB1",I689="DNB2"),AND(OR(I688="DNB1",I688="DNB2"),J689=0),AND(OR(I689="DNB1",I689="DNB2"),J688=0),AND(I688="DNB2",I689="DNB1"),AND(IF(J688=0,(J688+1)/ROUND(J688+1,0),J688/ROUND(J688,0))=1,IF(J689=0,(J689+1)/ROUND(IF(J689="",0,J689)+1,0),IF(J689="",0,J689)/ROUND(IF(J689="",1,J689),0))=1,OR(J688&lt;&gt;""),J689&lt;&gt;"")),0,IF(S688&lt;0,IF(I690="",SMALL(P688:P689,1)-SUM(O688:O689),0),SMALL(P688:P689,1)-SUM(O688:O689))),IF(S688&lt;0,IF(I690="",SMALL(P688:P690,1)-SUM(O688:O690),0),LARGE(P688:P690,1)-SUM(O688:O690))),S688)+V685,IF(I690="",IF(OR(AND(I688="DNB1",I689="DNB2"),AND(OR(I688="DNB1",I688="DNB2"),J689=0),AND(OR(I689="DNB1",I689="DNB2"),J688=0),AND(I688="DNB2",I689="DNB1"),AND(IF(J688=0,(J688+1)/ROUND(J688+1,0),J688/ROUND(J688,0))=1,IF(J689=0,(IF(J689="",0,J689)+1)/ROUND(IF(J689="",0,J689)+1,0),IF(J689="",0,J689)/ROUND(IF(J689="",0,J689)+1,0))=1,OR(J688&lt;&gt;""),J689&lt;&gt;"")),0,IF(S688&lt;0,IF(I690="",SMALL(P688:P689,1)-SUM(O688:O689),0),SMALL(P688:P690,1)-SUM(O688:O690))),IF(S688&lt;0,IF(I690="",SMALL(P688:P690,1)-SUM(O688:O690),0),LARGE(P688:P690,1)-SUM(O688:O690)))))</f>
        <v>10.9876</v>
      </c>
      <c r="W688" s="266">
        <f>IF($D688=$D685,IF(S688&lt;0,IF(I690="",S688,0),S688)+W685,S688)</f>
        <v>10.99</v>
      </c>
      <c r="X688" t="s" s="267">
        <f>IF(OR(SUM(R688:R690)=0,V688=W688),ROUND(IF(W688=0,0,W688/Y688)*100,2)&amp;"%",ROUND(IF(V688=0,0,V688/Y688)*100,2)&amp;"% a "&amp;ROUND(IF(W688=0,0,W688/Y688)*100,2)&amp;"%")</f>
        <v>489</v>
      </c>
      <c r="Y688" s="268">
        <f>IF($D688=$D685,Y685+SUM(O688:O690),SUM(O688:O690))</f>
        <v>171.59</v>
      </c>
      <c r="Z688" s="266">
        <f>IF($B688=" ",SUM(O688:O690),0)+Z685</f>
        <v>0</v>
      </c>
      <c r="AA688" s="266">
        <f>IF(G688="","",IF($B688="Anulado",LARGE(P688:P690,1)-SUM(O688:O690)+AA685,AA685))</f>
        <v>27.7065076923077</v>
      </c>
      <c r="AB688" s="266">
        <f>IF($D688="","",AB685+S688)</f>
        <v>482.17</v>
      </c>
      <c r="AC688" s="269">
        <f>IF($D688="","",IF($B688=" ",IF(DAY(G688)=DAY(TODAY()),1+AC685,0+AC685),0+AC685))</f>
        <v>0</v>
      </c>
      <c r="AD688" s="270">
        <f>(1-_xlfn.XLOOKUP(K686,'Janeiro 2023 - Valor Real'!A3:A15,'Janeiro 2023 - Valor Real'!C3:C15,0))+1</f>
        <v>2</v>
      </c>
      <c r="AE688" s="271">
        <f>IF(L688="","",IF(L690&gt;0,(SUM(((L688-1)*(1-_xlfn.XLOOKUP(K688,'Janeiro 2023 - Valor Real'!A3:A15,'Janeiro 2023 - Valor Real'!C3:C15,0))+1),((L689-1)*(1-_xlfn.XLOOKUP(K689,'Janeiro 2023 - Valor Real'!A3:A15,'Janeiro 2023 - Valor Real'!C3:C15,0))+1),((L690-1)*(1-_xlfn.XLOOKUP(K690,'Janeiro 2023 - Valor Real'!A3:A15,'Janeiro 2023 - Valor Real'!C3:C15,0))+1))/((L688-1)*(1-_xlfn.XLOOKUP(K688,'Janeiro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Real'!C3:C15,0))+1))/((L688-1)*(1-_xlfn.XLOOKUP(K688,'Janeiro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Real'!C3:C15,0))+1))/((L689-1)*(1-_xlfn.XLOOKUP(K689,'Janeiro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Real'!C3:C15,0))+1))/((L690-1)*(1-_xlfn.XLOOKUP(K690,'Janeiro 2023 - Valor Real'!A3:A15,'Janeiro 2023 - Valor Real'!C3:C15,0))+1)),IF(I688="Lay",IF(I689="Lay",((L689/(L689-1)-1)*(1-_xlfn.XLOOKUP(K689,'Janeiro 2023 - Valor Real'!A3:A15,'Janeiro 2023 - Valor Real'!C3:C15,0))+1)/(((L689/(L689-1)-1)*(1-_xlfn.XLOOKUP(K689,'Janeiro 2023 - Valor Real'!A3:A15,'Janeiro 2023 - Valor Real'!C3:C15,0))+1)+((L688/(L688-1)-1)*(1-_xlfn.XLOOKUP(K688,'Janeiro 2023 - Valor Real'!A3:A15,'Janeiro 2023 - Valor Real'!C3:C15,0))+1)),((L689-1)*(1-_xlfn.XLOOKUP(K689,'Janeiro 2023 - Valor Real'!A3:A15,'Janeiro 2023 - Valor Real'!C3:C15,0))+1)/(((L689-1)*(1-_xlfn.XLOOKUP(K689,'Janeiro 2023 - Valor Real'!A3:A15,'Janeiro 2023 - Valor Real'!C3:C15,0))+1)+((L688/(L688-1)-1)*(1-_xlfn.XLOOKUP(K688,'Janeiro 2023 - Valor Real'!A3:A15,'Janeiro 2023 - Valor Real'!C3:C15,0))+1))),IF(I689="Lay",(((L689/(L689-1)-1)*(1-_xlfn.XLOOKUP(K689,'Janeiro 2023 - Valor Real'!A3:A15,'Janeiro 2023 - Valor Real'!C3:C15,0))+1))/(((L688-1)*(1-_xlfn.XLOOKUP(K688,'Janeiro 2023 - Valor Real'!A3:A15,'Janeiro 2023 - Valor Real'!C3:C15,0))+1)+((L689/(L689-1)-1)*(1-_xlfn.XLOOKUP(K689,'Janeiro 2023 - Valor Real'!A3:A15,'Janeiro 2023 - Valor Real'!C3:C15,0))+1)),((L689-1)*(1-_xlfn.XLOOKUP(K689,'Janeiro 2023 - Valor Real'!A3:A15,'Janeiro 2023 - Valor Real'!C3:C15,0))+1)/(((L689-1)*(1-_xlfn.XLOOKUP(K689,'Janeiro 2023 - Valor Real'!A3:A15,'Janeiro 2023 - Valor Real'!C3:C15,0))+1)+((L688-1)*(1-_xlfn.XLOOKUP(K688,'Janeiro 2023 - Valor Real'!A3:A15,'Janeiro 2023 - Valor Real'!C3:C15,0))+1))))))</f>
        <v>0.190336749633968</v>
      </c>
      <c r="AF688" s="132">
        <f>IF($K688=AF$3,ROUND(IF(OR($C688="W",$C688="1/2W",$C688="1/2L"),$P688-$O688,IF($C688="X",0,-$O688)),2),0)</f>
        <v>0</v>
      </c>
      <c r="AG688" s="133">
        <f>IF($K688=AG$3,ROUND(IF(OR($C688="W",$C688="1/2W",$C688="1/2L"),$P688-$O688,IF($C688="X",0,-$O688)),2),0)</f>
        <v>0</v>
      </c>
      <c r="AH688" s="133">
        <f>IF($K688=AH$3,ROUND(IF(OR($C688="W",$C688="1/2W",$C688="1/2L"),$P688-$O688,IF($C688="X",0,-$O688)),2),0)</f>
        <v>0</v>
      </c>
      <c r="AI688" s="133">
        <f>IF($K688=AI$3,ROUND(IF(OR($C688="W",$C688="1/2W",$C688="1/2L"),$P688-$O688,IF($C688="X",0,-$O688)),2),0)</f>
        <v>0</v>
      </c>
      <c r="AJ688" s="133">
        <f>IF($K688=AJ$3,ROUND(IF(OR($C688="W",$C688="1/2W",$C688="1/2L"),$P688-$O688,IF($C688="X",0,-$O688)),2),0)</f>
        <v>0</v>
      </c>
      <c r="AK688" s="133">
        <f>IF($K688=AK$3,ROUND(IF(OR($C688="W",$C688="1/2W",$C688="1/2L"),$P688-$O688,IF($C688="X",0,-$O688)),2),0)</f>
        <v>0</v>
      </c>
      <c r="AL688" s="133">
        <f>IF($K688=AL$3,ROUND(IF(OR($C688="W",$C688="1/2W",$C688="1/2L"),$P688-$O688,IF($C688="X",0,-$O688)),2),0)</f>
        <v>0</v>
      </c>
      <c r="AM688" s="133">
        <f>IF($K688=AM$3,ROUND(IF(OR($C688="W",$C688="1/2W",$C688="1/2L"),$P688-$O688,IF($C688="X",0,-$O688)),2),0)</f>
        <v>0</v>
      </c>
      <c r="AN688" s="133">
        <f>IF($K688=AN$3,ROUND(IF(OR($C688="W",$C688="1/2W",$C688="1/2L"),$P688-$O688,IF($C688="X",0,-$O688)),2),0)</f>
        <v>0</v>
      </c>
      <c r="AO688" s="133">
        <f>IF($K688=AO$3,ROUND(IF(OR($C688="W",$C688="1/2W",$C688="1/2L"),$P688-$O688,IF($C688="X",0,-$O688)),2),0)</f>
        <v>0</v>
      </c>
      <c r="AP688" s="133">
        <f>IF($K688=AP$3,ROUND(IF(OR($C688="W",$C688="1/2W",$C688="1/2L"),$P688-$O688,IF($C688="X",0,-$O688)),2),0)</f>
        <v>0</v>
      </c>
      <c r="AQ688" s="133">
        <f>IF($K688=AQ$3,ROUND(IF(OR($C688="W",$C688="1/2W",$C688="1/2L"),$P688-$O688,IF($C688="X",0,-$O688)),2),0)</f>
        <v>12.51</v>
      </c>
      <c r="AR688" s="134">
        <f>IF($K688=AR$3,ROUND(IF(OR($C688="W",$C688="1/2W",$C688="1/2L"),$P688-$O688,IF($C688="X",0,-$O688)),2),0)</f>
        <v>0</v>
      </c>
      <c r="AS688" s="132">
        <f>IF(AND($B688=" ",$K688=AS$3),$O688,0)</f>
        <v>0</v>
      </c>
      <c r="AT688" s="133">
        <f>IF(AND($B688=" ",$K688=AT$3),$O688,0)</f>
        <v>0</v>
      </c>
      <c r="AU688" s="133">
        <f>IF(AND($B688=" ",$K688=AU$3),$O688,0)</f>
        <v>0</v>
      </c>
      <c r="AV688" s="133">
        <f>IF(AND($B688=" ",$K688=AV$3),$O688,0)</f>
        <v>0</v>
      </c>
      <c r="AW688" s="133">
        <f>IF(AND($B688=" ",$K688=AW$3),$O688,0)</f>
        <v>0</v>
      </c>
      <c r="AX688" s="133">
        <f>IF(AND($B688=" ",$K688=AX$3),$O688,0)</f>
        <v>0</v>
      </c>
      <c r="AY688" s="135">
        <f>IF(AND($B688=" ",$K688=AY$3),$O688,0)</f>
        <v>0</v>
      </c>
      <c r="AZ688" s="136">
        <f>IF(AND($B688=" ",$K688=AZ$3),$O688,0)</f>
        <v>0</v>
      </c>
      <c r="BA688" s="136">
        <f>IF(AND($B688=" ",$K688=BA$3),$O688,0)</f>
        <v>0</v>
      </c>
      <c r="BB688" s="136">
        <f>IF(AND($B688=" ",$K688=BB$3),$O688,0)</f>
        <v>0</v>
      </c>
      <c r="BC688" s="137">
        <f>IF(AND($B688=" ",$K688=BC$3),$O688,0)</f>
        <v>0</v>
      </c>
      <c r="BD688" s="133">
        <f>IF(AND($B688=" ",$K688=BD$3),$O688,0)</f>
        <v>0</v>
      </c>
      <c r="BE688" s="134">
        <f>IF(AND($B688=" ",$K688=BE$3),$O688,0)</f>
        <v>0</v>
      </c>
      <c r="BF688" s="132">
        <f>IF($K688=BF$3,IF($C688="X",0,$O688),0)</f>
        <v>0</v>
      </c>
      <c r="BG688" s="133">
        <f>IF($K688=BG$3,IF($C688="X",0,$O688),0)</f>
        <v>0</v>
      </c>
      <c r="BH688" s="133">
        <f>IF($K688=BH$3,IF($C688="X",0,$O688),0)</f>
        <v>0</v>
      </c>
      <c r="BI688" s="133">
        <f>IF($K688=BI$3,IF($C688="X",0,$O688),0)</f>
        <v>0</v>
      </c>
      <c r="BJ688" s="133">
        <f>IF($K688=BJ$3,IF($C688="X",0,$O688),0)</f>
        <v>0</v>
      </c>
      <c r="BK688" s="133">
        <f>IF($K688=BK$3,IF($C688="X",0,$O688),0)</f>
        <v>0</v>
      </c>
      <c r="BL688" s="133">
        <f>IF($K688=BL$3,IF($C688="X",0,$O688),0)</f>
        <v>0</v>
      </c>
      <c r="BM688" s="135">
        <f>IF($K688=BM$3,IF($C688="X",0,$O688),0)</f>
        <v>0</v>
      </c>
      <c r="BN688" s="136">
        <f>IF($K688=BN$3,IF($C688="X",0,$O688),0)</f>
        <v>0</v>
      </c>
      <c r="BO688" s="136">
        <f>IF($K688=BO$3,IF($C688="X",0,$O688),0)</f>
        <v>0</v>
      </c>
      <c r="BP688" s="136">
        <f>IF($K688=BP$3,IF($C688="X",0,$O688),0)</f>
        <v>0</v>
      </c>
      <c r="BQ688" s="137">
        <f>IF($K688=BQ$3,IF($C688="X",0,$O688),0)</f>
        <v>3.91</v>
      </c>
      <c r="BR688" s="134">
        <f>IF($K688=BR$3,IF($C688="X",0,$O688),0)</f>
        <v>0</v>
      </c>
      <c r="BS688" s="170">
        <f>IF($B688="LOSS",IF(AND($K688=BS$3,$C688="L"),-$O688,0)+IF(AND($K689=BS$3,$C689="L"),-$O689,0)+IF(AND($K690=BS$3,$C690="L"),-$O690,0),IF(OR(AND($K688=BS$3,OR($C688="W",$C688="1/2W")),AND($K689=BS$3,OR($C689="W",$C689="1/2W")),AND($K690=BS$3,OR($C690="W",$C690="1/2W"))),$S688,0))</f>
        <v>0</v>
      </c>
      <c r="BT688" s="272">
        <f>IF($B688="LOSS",IF(AND($K688=BT$3,$C688="L"),-$O688,0)+IF(AND($K689=BT$3,$C689="L"),-$O689,0)+IF(AND($K689=BT$3,$C690="L"),-$O690,0),IF(OR(AND($K689=BT$3,OR($C688="W",$C688="1/2W")),AND($K689=BT$3,OR($C689="W",$C689="1/2W")),AND($K689=BT$3,OR($C690="W",$C690="1/2W"))),$S688,0))</f>
        <v>0</v>
      </c>
      <c r="BU688" s="136">
        <f>IF($B688="LOSS",IF(AND($K688=BU$3,$C688="L"),-$O688,0)+IF(AND($K689=BU$3,$C689="L"),-$O689,0)+IF(AND($K689=BU$3,$C690="L"),-$O690,0),IF(OR(AND($K689=BU$3,OR($C688="W",$C688="1/2W")),AND($K689=BU$3,OR($C689="W",$C689="1/2W")),AND($K689=BU$3,OR($C690="W",$C690="1/2W"))),$S688,0))</f>
        <v>0</v>
      </c>
      <c r="BV688" s="136">
        <f>IF($B688="LOSS",IF(AND($K688=BV$3,$C688="L"),-$O688,0)+IF(AND($K689=BV$3,$C689="L"),-$O689,0)+IF(AND($K690=BV$3,$C690="L"),-$O690,0),IF(OR(AND($K688=BV$3,OR($C688="W",$C688="1/2W")),AND($K689=BV$3,OR($C689="W",$C689="1/2W")),AND($K690=BV$3,OR($C690="W",$C690="1/2W"))),$S688,0))</f>
        <v>0</v>
      </c>
      <c r="BW688" s="136">
        <f>IF($B688="LOSS",IF(AND($K688=BW$3,$C688="L"),-$O688,0)+IF(AND($K689=BW$3,$C689="L"),-$O689,0)+IF(AND($K690=BW$3,$C690="L"),-$O690,0),IF(OR(AND($K688=BW$3,OR($C688="W",$C688="1/2W")),AND($K689=BW$3,OR($C689="W",$C689="1/2W")),AND($K690=BW$3,OR($C690="W",$C690="1/2W"))),$S688,0))</f>
        <v>0</v>
      </c>
      <c r="BX688" s="136">
        <f>IF($B688="LOSS",IF(AND($K688=BX$3,$C688="L"),-$O688,0)+IF(AND($K689=BX$3,$C689="L"),-$O689,0)+IF(AND($K690=BX$3,$C690="L"),-$O690,0),IF(OR(AND($K688=BX$3,OR($C688="W",$C688="1/2W")),AND($K689=BX$3,OR($C689="W",$C689="1/2W")),AND($K690=BX$3,OR($C690="W",$C690="1/2W"))),$S688,0))</f>
        <v>0</v>
      </c>
      <c r="BY688" s="136">
        <f>IF($B688="LOSS",IF(AND($K688=BY$3,$C688="L"),-$O688,0)+IF(AND($K689=BY$3,$C689="L"),-$O689,0)+IF(AND($K690=BY$3,$C690="L"),-$O690,0),IF(OR(AND($K688=BY$3,OR($C688="W",$C688="1/2W")),AND($K689=BY$3,OR($C689="W",$C689="1/2W")),AND($K690=BY$3,OR($C690="W",$C690="1/2W"))),$S688,0))</f>
        <v>0</v>
      </c>
      <c r="BZ688" s="136">
        <f>IF($B688="LOSS",IF(AND($K688=BZ$3,$C688="L"),-$O688,0)+IF(AND($K689=BZ$3,$C689="L"),-$O689,0)+IF(AND($K690=BZ$3,$C690="L"),-$O690,0),IF(OR(AND($K688=BZ$3,OR($C688="W",$C688="1/2W")),AND($K689=BZ$3,OR($C689="W",$C689="1/2W")),AND($K690=BZ$3,OR($C690="W",$C690="1/2W"))),$S688,0))</f>
        <v>0</v>
      </c>
      <c r="CA688" s="136">
        <f>IF($B688="LOSS",IF(AND($K688=CA$3,$C688="L"),-$O688,0)+IF(AND($K689=CA$3,$C689="L"),-$O689,0)+IF(AND($K690=CA$3,$C690="L"),-$O690,0),IF(OR(AND($K688=CA$3,OR($C688="W",$C688="1/2W")),AND($K689=CA$3,OR($C689="W",$C689="1/2W")),AND($K690=CA$3,OR($C690="W",$C690="1/2W"))),$S688,0))</f>
        <v>0</v>
      </c>
      <c r="CB688" s="136">
        <f>IF($B688="LOSS",IF(AND($K688=CB$3,$C688="L"),-$O688,0)+IF(AND($K689=CB$3,$C689="L"),-$O689,0)+IF(AND($K690=CB$3,$C690="L"),-$O690,0),IF(OR(AND($K688=CB$3,OR($C688="W",$C688="1/2W")),AND($K689=CB$3,OR($C689="W",$C689="1/2W")),AND($K690=CB$3,OR($C690="W",$C690="1/2W"))),$S688,0))</f>
        <v>0</v>
      </c>
      <c r="CC688" s="136">
        <f>IF($B688="LOSS",IF(AND($K688=CC$3,$C688="L"),-$O688,0)+IF(AND($K689=CC$3,$C689="L"),-$O689,0)+IF(AND($K690=CC$3,$C690="L"),-$O690,0),IF(OR(AND($K688=CC$3,OR($C688="W",$C688="1/2W")),AND($K689=CC$3,OR($C689="W",$C689="1/2W")),AND($K690=CC$3,OR($C690="W",$C690="1/2W"))),$S688,0))</f>
        <v>0</v>
      </c>
      <c r="CD688" s="137">
        <f>IF($B688="LOSS",IF(AND($K688=CD$3,$C688="L"),-$O688,0)+IF(AND($K689=CD$3,$C689="L"),-$O689,0)+IF(AND($K690=CD$3,$C690="L"),-$O690,0),IF(OR(AND($K688=CD$3,OR($C688="W",$C688="1/2W")),AND($K689=CD$3,OR($C689="W",$C689="1/2W")),AND($K690=CD$3,OR($C690="W",$C690="1/2W"))),$S688,0))</f>
        <v>2.48</v>
      </c>
      <c r="CE688" s="134">
        <f>IF($B688="LOSS",IF(AND($K688=CE$3,$C688="L"),-$O688,0)+IF(AND($K689=CE$3,$C689="L"),-$O689,0)+IF(AND($K690=CE$3,$C690="L"),-$O690,0),IF(OR(AND($K688=CE$3,OR($C688="W",$C688="1/2W")),AND($K689=CE$3,OR($C689="W",$C689="1/2W")),AND($K690=CE$3,OR($C690="W",$C690="1/2W"))),$S688,0))</f>
        <v>0</v>
      </c>
      <c r="CF688" s="273">
        <f>IF(CF$3=$K688,IF($C688="W",1,IF($C688="1/2W",0.5,0)),0)</f>
        <v>0</v>
      </c>
      <c r="CG688" s="274">
        <f>IF(CF$3=$K688,IF($C688="L",1,IF($C688="1/2L",0.5,0)),0)</f>
        <v>0</v>
      </c>
      <c r="CH688" s="274">
        <f>IF(CH$3=$K688,IF($C688="W",1,IF($C688="1/2W",0.5,0)),0)</f>
        <v>0</v>
      </c>
      <c r="CI688" s="274">
        <f>IF(CH$3=$K688,IF($C688="L",1,IF($C688="1/2L",0.5,0)),0)</f>
        <v>0</v>
      </c>
      <c r="CJ688" s="274">
        <f>IF(CJ$3=$K688,IF($C688="W",1,IF($C688="1/2W",0.5,0)),0)</f>
        <v>0</v>
      </c>
      <c r="CK688" s="274">
        <f>IF(CJ$3=$K688,IF($C688="L",1,IF($C688="1/2L",0.5,0)),0)</f>
        <v>0</v>
      </c>
      <c r="CL688" s="274">
        <f>IF(CL$3=$K688,IF($C688="W",1,IF($C688="1/2W",0.5,0)),0)</f>
        <v>0</v>
      </c>
      <c r="CM688" s="274">
        <f>IF(CL$3=$K688,IF($C688="L",1,IF($C688="1/2L",0.5,0)),0)</f>
        <v>0</v>
      </c>
      <c r="CN688" s="274">
        <f>IF(CN$3=$K688,IF($C688="W",1,IF($C688="1/2W",0.5,0)),0)</f>
        <v>0</v>
      </c>
      <c r="CO688" s="274">
        <f>IF(CN$3=$K688,IF($C688="L",1,IF($C688="1/2L",0.5,0)),0)</f>
        <v>0</v>
      </c>
      <c r="CP688" s="274">
        <f>IF(CP$3=$K688,IF($C688="W",1,IF($C688="1/2W",0.5,0)),0)</f>
        <v>0</v>
      </c>
      <c r="CQ688" s="274">
        <f>IF(CP$3=$K688,IF($C688="L",1,IF($C688="1/2L",0.5,0)),0)</f>
        <v>0</v>
      </c>
      <c r="CR688" s="274">
        <f>IF(CR$3=$K688,IF($C688="W",1,IF($C688="1/2W",0.5,0)),0)</f>
        <v>0</v>
      </c>
      <c r="CS688" s="274">
        <f>IF(CR$3=$K688,IF($C688="L",1,IF($C688="1/2L",0.5,0)),0)</f>
        <v>0</v>
      </c>
      <c r="CT688" s="145">
        <f>IF(CT$3=$K688,IF($C688="W",1,IF($C688="1/2W",0.5,0)),0)</f>
        <v>0</v>
      </c>
      <c r="CU688" s="146">
        <f>IF(CT$3=$K688,IF($C688="L",1,IF($C688="1/2L",0.5,0)),0)</f>
        <v>0</v>
      </c>
      <c r="CV688" s="146">
        <f>IF(CV$3=$K688,IF($C688="W",1,IF($C688="1/2W",0.5,0)),0)</f>
        <v>0</v>
      </c>
      <c r="CW688" s="146">
        <f>IF(CV$3=$K688,IF($C688="L",1,IF($C688="1/2L",0.5,0)),0)</f>
        <v>0</v>
      </c>
      <c r="CX688" s="146">
        <f>IF(CX$3=$K688,IF($C688="W",1,IF($C688="1/2W",0.5,0)),0)</f>
        <v>0</v>
      </c>
      <c r="CY688" s="146">
        <f>IF(CX$3=$K688,IF($C688="L",1,IF($C688="1/2L",0.5,0)),0)</f>
        <v>0</v>
      </c>
      <c r="CZ688" s="146">
        <f>IF(CZ$3=$K688,IF($C688="W",1,IF($C688="1/2W",0.5,0)),0)</f>
        <v>0</v>
      </c>
      <c r="DA688" s="146">
        <f>IF(CZ$3=$K688,IF($C688="L",1,IF($C688="1/2L",0.5,0)),0)</f>
        <v>0</v>
      </c>
      <c r="DB688" s="146">
        <f>IF(DB$3=$K688,IF($C688="W",1,IF($C688="1/2W",0.5,0)),0)</f>
        <v>1</v>
      </c>
      <c r="DC688" s="146">
        <f>IF(DB$3=$K688,IF($C688="L",1,IF($C688="1/2L",0.5,0)),0)</f>
        <v>0</v>
      </c>
      <c r="DD688" s="146">
        <f>IF(DD$3=$K688,IF($C688="W",1,IF($C688="1/2W",0.5,0)),0)</f>
        <v>0</v>
      </c>
      <c r="DE688" s="147">
        <f>IF(DD$3=$K688,IF($C688="L",1,IF($C688="1/2L",0.5,0)),0)</f>
        <v>0</v>
      </c>
      <c r="DF688" s="143">
        <f>IF(AND(L688&lt;DF$3,$C688="W"),1+DF687,DF687)</f>
        <v>18</v>
      </c>
      <c r="DG688" s="133">
        <f>IF(DF688&gt;DF687,L688+DG687,DG687)</f>
        <v>23.918</v>
      </c>
      <c r="DH688" s="146">
        <f>IF(AND(L688&gt;DH$3,$C688="W"),1+DH687,0+DH687)</f>
        <v>18</v>
      </c>
      <c r="DI688" s="133">
        <f>IF(DH688&gt;DH687,L688+DI687,DI687)</f>
        <v>93.66</v>
      </c>
      <c r="DJ688" t="s" s="304">
        <f>IF($D688="","",$D688)</f>
        <v>481</v>
      </c>
      <c r="DK688" s="146">
        <f>IF(AND($B688=" ",$D688&lt;&gt;""),1,0)</f>
        <v>0</v>
      </c>
    </row>
    <row r="689" ht="14.55" customHeight="1">
      <c r="A689" s="107"/>
      <c r="B689" s="108"/>
      <c r="C689" t="s" s="109">
        <v>56</v>
      </c>
      <c r="D689" s="110"/>
      <c r="E689" s="111"/>
      <c r="F689" s="113"/>
      <c r="G689" s="252"/>
      <c r="H689" s="114"/>
      <c r="I689" s="294">
        <v>1</v>
      </c>
      <c r="J689" t="s" s="295">
        <f>IF(OR(I688="TO",I688="TU",I688="TO1",I688="TU1",I688="TO2",I688="TU2"),J688,IF(OR(I688="AH1",I688="AH2"),IF(OR(I689="AH1",I689="AH2"),-J688,IF(OR(I689="EH1",I689="EH2"),-J688+0.5,"")),IF(OR(I688="EH1",I688="EH2"),IF(OR(I689="AH1",I689="AH2"),-J688+0.5,IF(OR(I689="EH1",I689="EH2"),-J688+1,"")),IF(AND(OR(I688="DNB1",I688="DNB2"),OR(I689="AH1",I689="AH2")),0,IF(AND(I688="Not ScoreBoth",OR(I689="TO1",I689="TO2")),0.5,"")))))</f>
      </c>
      <c r="K689" t="s" s="117">
        <v>48</v>
      </c>
      <c r="L689" s="277">
        <v>2</v>
      </c>
      <c r="M689" s="278">
        <v>26.42</v>
      </c>
      <c r="N689" s="120"/>
      <c r="O689" s="121">
        <f>IF(OR(AE688="",AE689=""),"",ROUND(IF(L690&gt;0,IF(M689&gt;0,M689,IF(M688&gt;0,IF(N688=TRUE,ROUND((M688*AE689)/AE688,0),(M688*AE689)/AE688),IF(M689&gt;0,ROUND(M689,IF(N688=0,2,IF(N688=0.1,1,0))),IF(M690&gt;0,ROUND(O690*AE689/AE690,IF(N688=0,2,IF(N688=0.1,1,0))),0)))),IF(M689&gt;0,M689,ROUND((M688*AE689)/AE688,IF(N688=0,2,IF(N688=0.1,1,0))))),2))</f>
        <v>26.42</v>
      </c>
      <c r="P689" s="122">
        <f>IF(OR(L689="",O689=""),"",IF($C689="1/2W",O689/2+O689/2*L689,IF($C689="1/2L",O689/2,IF(I689="Lay",((O689*(L689/(L689-1)))-O689)*(1-_xlfn.XLOOKUP(K689,'Janeiro 2023 - Valor Real'!A3:A15,'Janeiro 2023 - Valor Real'!C3:C15,0))+O689,(O689*L689-O689)*(1-_xlfn.XLOOKUP(K689,'Janeiro 2023 - Valor Real'!A3:A15,'Janeiro 2023 - Valor Real'!C3:C15,0))+O689))))</f>
        <v>52.84</v>
      </c>
      <c r="Q689" s="279">
        <f>IF(K689="","",IF(_xlfn.XLOOKUP(K689,K$120:K468,DJ$120:DJ468,0,,-1)=DJ689,_xlfn.XLOOKUP(K689,K$120:K468,Q$120:Q468,1,,-1)+1,1))</f>
        <v>1</v>
      </c>
      <c r="R689" s="280">
        <f>IF(K689="","",_xlfn.XLOOKUP(K689,K$120:K468,R$120:R468,0,,-1)+IF($C689=" ",1,0))</f>
        <v>0</v>
      </c>
      <c r="S689" s="125"/>
      <c r="T689" s="126"/>
      <c r="U689" s="126"/>
      <c r="V689" s="224"/>
      <c r="W689" s="126"/>
      <c r="X689" s="127"/>
      <c r="Y689" s="128"/>
      <c r="Z689" s="129"/>
      <c r="AA689" s="129"/>
      <c r="AB689" s="129"/>
      <c r="AC689" s="129"/>
      <c r="AD689" s="130"/>
      <c r="AE689" s="131">
        <f>IF(L689="","",IF(L690&gt;0,(SUM(((L688-1)*(1-_xlfn.XLOOKUP(K688,'Janeiro 2023 - Valor Real'!A3:A15,'Janeiro 2023 - Valor Real'!C3:C15,0))+1),((L689-1)*(1-_xlfn.XLOOKUP(K689,'Janeiro 2023 - Valor Real'!A3:A15,'Janeiro 2023 - Valor Real'!C3:C15,0))+1),((L690-1)*(1-_xlfn.XLOOKUP(K690,'Janeiro 2023 - Valor Real'!A3:A15,'Janeiro 2023 - Valor Real'!C3:C15,0))+1))/((L689-1)*(1-_xlfn.XLOOKUP(K689,'Janeiro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Real'!C3:C15,0))+1))/((L688-1)*(1-_xlfn.XLOOKUP(K688,'Janeiro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Real'!C3:C15,0))+1))/((L689-1)*(1-_xlfn.XLOOKUP(K689,'Janeiro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Real'!C3:C15,0))+1))/((L690-1)*(1-_xlfn.XLOOKUP(K690,'Janeiro 2023 - Valor Real'!A3:A15,'Janeiro 2023 - Valor Real'!C3:C15,0))+1)),IF(I689="Lay",IF(I688="Lay",((L688/(L688-1)-1)*(1-_xlfn.XLOOKUP(K688,'Janeiro 2023 - Valor Real'!A3:A15,'Janeiro 2023 - Valor Real'!C3:C15,0))+1)/(((L688/(L688-1)-1)*(1-_xlfn.XLOOKUP(K688,'Janeiro 2023 - Valor Real'!A3:A15,'Janeiro 2023 - Valor Real'!C3:C15,0))+1)+((L689/(L689-1)-1)*(1-_xlfn.XLOOKUP(K689,'Janeiro 2023 - Valor Real'!A3:A15,'Janeiro 2023 - Valor Real'!C3:C15,0))+1)),((L688-1)*(1-_xlfn.XLOOKUP(K688,'Janeiro 2023 - Valor Real'!A3:A15,'Janeiro 2023 - Valor Real'!C3:C15,0))+1)/(((L688-1)*(1-_xlfn.XLOOKUP(K688,'Janeiro 2023 - Valor Real'!A3:A15,'Janeiro 2023 - Valor Real'!C3:C15,0))+1)+((L689/(L689-1)-1)*(1-_xlfn.XLOOKUP(K689,'Janeiro 2023 - Valor Real'!A3:A15,'Janeiro 2023 - Valor Real'!C3:C15,0))+1))),IF(I688="Lay",((L688/(L688-1)-1)*(1-_xlfn.XLOOKUP(K688,'Janeiro 2023 - Valor Real'!A3:A15,'Janeiro 2023 - Valor Real'!C3:C15,0))+1)/((((L688/(L688-1)-1)*(1-_xlfn.XLOOKUP(K688,'Janeiro 2023 - Valor Real'!A3:A15,'Janeiro 2023 - Valor Real'!C3:C15,0))+1))+((L689-1)*(1-_xlfn.XLOOKUP(K689,'Janeiro 2023 - Valor Real'!A3:A15,'Janeiro 2023 - Valor Real'!C3:C15,0))+1)),((L688-1)*(1-_xlfn.XLOOKUP(K688,'Janeiro 2023 - Valor Real'!A3:A15,'Janeiro 2023 - Valor Real'!C3:C15,0))+1)/(((L688-1)*(1-_xlfn.XLOOKUP(K688,'Janeiro 2023 - Valor Real'!A3:A15,'Janeiro 2023 - Valor Real'!C3:C15,0))+1)+((L689-1)*(1-_xlfn.XLOOKUP(K689,'Janeiro 2023 - Valor Real'!A3:A15,'Janeiro 2023 - Valor Real'!C3:C15,0))+1))))))</f>
        <v>0.399707174231332</v>
      </c>
      <c r="AF689" s="132">
        <f>IF($K689=AF$3,ROUND(IF(OR($C689="W",$C689="1/2W",$C689="1/2L"),$P689-$O689,IF($C689="X",0,-$O689)),2),0)</f>
        <v>0</v>
      </c>
      <c r="AG689" s="133">
        <f>IF($K689=AG$3,ROUND(IF(OR($C689="W",$C689="1/2W",$C689="1/2L"),$P689-$O689,IF($C689="X",0,-$O689)),2),0)</f>
        <v>0</v>
      </c>
      <c r="AH689" s="133">
        <f>IF($K689=AH$3,ROUND(IF(OR($C689="W",$C689="1/2W",$C689="1/2L"),$P689-$O689,IF($C689="X",0,-$O689)),2),0)</f>
        <v>0</v>
      </c>
      <c r="AI689" s="133">
        <f>IF($K689=AI$3,ROUND(IF(OR($C689="W",$C689="1/2W",$C689="1/2L"),$P689-$O689,IF($C689="X",0,-$O689)),2),0)</f>
        <v>0</v>
      </c>
      <c r="AJ689" s="133">
        <f>IF($K689=AJ$3,ROUND(IF(OR($C689="W",$C689="1/2W",$C689="1/2L"),$P689-$O689,IF($C689="X",0,-$O689)),2),0)</f>
        <v>0</v>
      </c>
      <c r="AK689" s="133">
        <f>IF($K689=AK$3,ROUND(IF(OR($C689="W",$C689="1/2W",$C689="1/2L"),$P689-$O689,IF($C689="X",0,-$O689)),2),0)</f>
        <v>0</v>
      </c>
      <c r="AL689" s="133">
        <f>IF($K689=AL$3,ROUND(IF(OR($C689="W",$C689="1/2W",$C689="1/2L"),$P689-$O689,IF($C689="X",0,-$O689)),2),0)</f>
        <v>0</v>
      </c>
      <c r="AM689" s="133">
        <f>IF($K689=AM$3,ROUND(IF(OR($C689="W",$C689="1/2W",$C689="1/2L"),$P689-$O689,IF($C689="X",0,-$O689)),2),0)</f>
        <v>0</v>
      </c>
      <c r="AN689" s="133">
        <f>IF($K689=AN$3,ROUND(IF(OR($C689="W",$C689="1/2W",$C689="1/2L"),$P689-$O689,IF($C689="X",0,-$O689)),2),0)</f>
        <v>0</v>
      </c>
      <c r="AO689" s="133">
        <f>IF($K689=AO$3,ROUND(IF(OR($C689="W",$C689="1/2W",$C689="1/2L"),$P689-$O689,IF($C689="X",0,-$O689)),2),0)</f>
        <v>0</v>
      </c>
      <c r="AP689" s="133">
        <f>IF($K689=AP$3,ROUND(IF(OR($C689="W",$C689="1/2W",$C689="1/2L"),$P689-$O689,IF($C689="X",0,-$O689)),2),0)</f>
        <v>0</v>
      </c>
      <c r="AQ689" s="133">
        <f>IF($K689=AQ$3,ROUND(IF(OR($C689="W",$C689="1/2W",$C689="1/2L"),$P689-$O689,IF($C689="X",0,-$O689)),2),0)</f>
        <v>26.42</v>
      </c>
      <c r="AR689" s="134">
        <f>IF($K689=AR$3,ROUND(IF(OR($C689="W",$C689="1/2W",$C689="1/2L"),$P689-$O689,IF($C689="X",0,-$O689)),2),0)</f>
        <v>0</v>
      </c>
      <c r="AS689" s="132">
        <f>IF(AND($B688=" ",$K689=AS$3),$O689,0)</f>
        <v>0</v>
      </c>
      <c r="AT689" s="133">
        <f>IF(AND($B688=" ",K689=AT$3),$O689,0)</f>
        <v>0</v>
      </c>
      <c r="AU689" s="133">
        <f>IF(AND($B688=" ",$K689=AU$3),$O689,0)</f>
        <v>0</v>
      </c>
      <c r="AV689" s="133">
        <f>IF(AND($B688=" ",$K689=AV$3),$O689,0)</f>
        <v>0</v>
      </c>
      <c r="AW689" s="133">
        <f>IF(AND($B688=" ",$K689=AW$3),$O689,0)</f>
        <v>0</v>
      </c>
      <c r="AX689" s="133">
        <f>IF(AND($B688=" ",$K689=AX$3),$O689,0)</f>
        <v>0</v>
      </c>
      <c r="AY689" s="135">
        <f>IF(AND($B688=" ",$K689=AY$3),$O689,0)</f>
        <v>0</v>
      </c>
      <c r="AZ689" s="136">
        <f>IF(AND($B688=" ",$K689=AZ$3),$O689,0)</f>
        <v>0</v>
      </c>
      <c r="BA689" s="136">
        <f>IF(AND($B688=" ",$K689=BA$3),$O689,0)</f>
        <v>0</v>
      </c>
      <c r="BB689" s="136">
        <f>IF(AND($B688=" ",$K689=BB$3),$O689,0)</f>
        <v>0</v>
      </c>
      <c r="BC689" s="137">
        <f>IF(AND($B688=" ",$K689=BC$3),$O689,0)</f>
        <v>0</v>
      </c>
      <c r="BD689" s="133">
        <f>IF(AND($B688=" ",$K689=BD$3),$O689,0)</f>
        <v>0</v>
      </c>
      <c r="BE689" s="134">
        <f>IF(AND($B688=" ",$K689=BE$3),$O689,0)</f>
        <v>0</v>
      </c>
      <c r="BF689" s="132">
        <f>IF($K689=BF$3,IF($C689="X",0,$O689),0)</f>
        <v>0</v>
      </c>
      <c r="BG689" s="281">
        <f>IF($K689=BG$3,IF($C689="X",0,$O689),0)</f>
        <v>0</v>
      </c>
      <c r="BH689" s="133">
        <f>IF($K689=BH$3,IF($C689="X",0,$O689),0)</f>
        <v>0</v>
      </c>
      <c r="BI689" s="133">
        <f>IF($K689=BI$3,IF($C689="X",0,$O689),0)</f>
        <v>0</v>
      </c>
      <c r="BJ689" s="133">
        <f>IF($K689=BJ$3,IF($C689="X",0,$O689),0)</f>
        <v>0</v>
      </c>
      <c r="BK689" s="133">
        <f>IF($K689=BK$3,IF($C689="X",0,$O689),0)</f>
        <v>0</v>
      </c>
      <c r="BL689" s="133">
        <f>IF($K689=BL$3,IF($C689="X",0,$O689),0)</f>
        <v>0</v>
      </c>
      <c r="BM689" s="135">
        <f>IF($K689=BM$3,IF($C689="X",0,$O689),0)</f>
        <v>0</v>
      </c>
      <c r="BN689" s="136">
        <f>IF($K689=BN$3,IF($C689="X",0,$O689),0)</f>
        <v>0</v>
      </c>
      <c r="BO689" s="136">
        <f>IF($K689=BO$3,IF($C689="X",0,$O689),0)</f>
        <v>0</v>
      </c>
      <c r="BP689" s="136">
        <f>IF($K689=BP$3,IF($C689="X",0,$O689),0)</f>
        <v>0</v>
      </c>
      <c r="BQ689" s="137">
        <f>IF($K689=BQ$3,IF($C689="X",0,$O689),0)</f>
        <v>26.42</v>
      </c>
      <c r="BR689" s="134">
        <f>IF($K689=BR$3,IF($C689="X",0,$O689),0)</f>
        <v>0</v>
      </c>
      <c r="BS689" s="282"/>
      <c r="BT689" s="283"/>
      <c r="BU689" s="140"/>
      <c r="BV689" s="283"/>
      <c r="BW689" s="140"/>
      <c r="BX689" s="140"/>
      <c r="BY689" s="140"/>
      <c r="BZ689" s="283"/>
      <c r="CA689" s="140"/>
      <c r="CB689" s="140"/>
      <c r="CC689" s="140"/>
      <c r="CD689" s="141"/>
      <c r="CE689" s="142"/>
      <c r="CF689" s="284">
        <f>IF(CF$3=$K689,IF($C689="W",1,IF($C689="1/2W",0.5,0)),0)</f>
        <v>0</v>
      </c>
      <c r="CG689" s="285">
        <f>IF(CF$3=$K689,IF($C689="L",1,IF($C689="1/2L",0.5,0)),0)</f>
        <v>0</v>
      </c>
      <c r="CH689" s="285">
        <f>IF(CH$3=$K689,IF($C689="W",1,IF($C689="1/2W",0.5,0)),0)</f>
        <v>0</v>
      </c>
      <c r="CI689" s="285">
        <f>IF(CH$3=$K689,IF($C689="L",1,IF($C689="1/2L",0.5,0)),0)</f>
        <v>0</v>
      </c>
      <c r="CJ689" s="285">
        <f>IF(CJ$3=$K689,IF($C689="W",1,IF($C689="1/2W",0.5,0)),0)</f>
        <v>0</v>
      </c>
      <c r="CK689" s="285">
        <f>IF(CJ$3=$K689,IF($C689="L",1,IF($C689="1/2L",0.5,0)),0)</f>
        <v>0</v>
      </c>
      <c r="CL689" s="285">
        <f>IF(CL$3=$K689,IF($C689="W",1,IF($C689="1/2W",0.5,0)),0)</f>
        <v>0</v>
      </c>
      <c r="CM689" s="285">
        <f>IF(CL$3=$K689,IF($C689="L",1,IF($C689="1/2L",0.5,0)),0)</f>
        <v>0</v>
      </c>
      <c r="CN689" s="285">
        <f>IF(CN$3=$K689,IF($C689="W",1,IF($C689="1/2W",0.5,0)),0)</f>
        <v>0</v>
      </c>
      <c r="CO689" s="285">
        <f>IF(CN$3=$K689,IF($C689="L",1,IF($C689="1/2L",0.5,0)),0)</f>
        <v>0</v>
      </c>
      <c r="CP689" s="285">
        <f>IF(CP$3=$K689,IF($C689="W",1,IF($C689="1/2W",0.5,0)),0)</f>
        <v>0</v>
      </c>
      <c r="CQ689" s="285">
        <f>IF(CP$3=$K689,IF($C689="L",1,IF($C689="1/2L",0.5,0)),0)</f>
        <v>0</v>
      </c>
      <c r="CR689" s="285">
        <f>IF(CR$3=$K689,IF($C689="W",1,IF($C689="1/2W",0.5,0)),0)</f>
        <v>0</v>
      </c>
      <c r="CS689" s="285">
        <f>IF(CR$3=$K689,IF($C689="L",1,IF($C689="1/2L",0.5,0)),0)</f>
        <v>0</v>
      </c>
      <c r="CT689" s="145">
        <f>IF(CT$3=$K689,IF($C689="W",1,IF($C689="1/2W",0.5,0)),0)</f>
        <v>0</v>
      </c>
      <c r="CU689" s="146">
        <f>IF(CT$3=$K689,IF($C689="L",1,IF($C689="1/2L",0.5,0)),0)</f>
        <v>0</v>
      </c>
      <c r="CV689" s="146">
        <f>IF(CV$3=$K689,IF($C689="W",1,IF($C689="1/2W",0.5,0)),0)</f>
        <v>0</v>
      </c>
      <c r="CW689" s="146">
        <f>IF(CV$3=$K689,IF($C689="L",1,IF($C689="1/2L",0.5,0)),0)</f>
        <v>0</v>
      </c>
      <c r="CX689" s="146">
        <f>IF(CX$3=$K689,IF($C689="W",1,IF($C689="1/2W",0.5,0)),0)</f>
        <v>0</v>
      </c>
      <c r="CY689" s="146">
        <f>IF(CX$3=$K689,IF($C689="L",1,IF($C689="1/2L",0.5,0)),0)</f>
        <v>0</v>
      </c>
      <c r="CZ689" s="146">
        <f>IF(CZ$3=$K689,IF($C689="W",1,IF($C689="1/2W",0.5,0)),0)</f>
        <v>0</v>
      </c>
      <c r="DA689" s="146">
        <f>IF(CZ$3=$K689,IF($C689="L",1,IF($C689="1/2L",0.5,0)),0)</f>
        <v>0</v>
      </c>
      <c r="DB689" s="146">
        <f>IF(DB$3=$K689,IF($C689="W",1,IF($C689="1/2W",0.5,0)),0)</f>
        <v>1</v>
      </c>
      <c r="DC689" s="146">
        <f>IF(DB$3=$K689,IF($C689="L",1,IF($C689="1/2L",0.5,0)),0)</f>
        <v>0</v>
      </c>
      <c r="DD689" s="146">
        <f>IF(DD$3=$K689,IF($C689="W",1,IF($C689="1/2W",0.5,0)),0)</f>
        <v>0</v>
      </c>
      <c r="DE689" s="147">
        <f>IF(DD$3=$K689,IF($C689="L",1,IF($C689="1/2L",0.5,0)),0)</f>
        <v>0</v>
      </c>
      <c r="DF689" s="143">
        <f>IF(AND(L689&lt;DF$3,$C689="W"),1+DF688,DF688)</f>
        <v>18</v>
      </c>
      <c r="DG689" s="133">
        <f>IF(DF689&gt;DF688,L689+DG688,DG688)</f>
        <v>23.918</v>
      </c>
      <c r="DH689" s="146">
        <f>IF(AND(L689&gt;DH$3,$C689="W"),1+DH688,0+DH688)</f>
        <v>18</v>
      </c>
      <c r="DI689" s="133">
        <f>IF(DH689&gt;DH688,L689+DI688,DI688)</f>
        <v>93.66</v>
      </c>
      <c r="DJ689" t="s" s="304">
        <f>IF($D688="","",$D688)</f>
        <v>481</v>
      </c>
      <c r="DK689" s="286"/>
    </row>
    <row r="690" ht="14.55" customHeight="1">
      <c r="A690" s="149"/>
      <c r="B690" s="150"/>
      <c r="C690" t="s" s="151">
        <v>51</v>
      </c>
      <c r="D690" s="152"/>
      <c r="E690" s="153"/>
      <c r="F690" s="155"/>
      <c r="G690" s="252"/>
      <c r="H690" s="156"/>
      <c r="I690" t="s" s="347">
        <v>57</v>
      </c>
      <c r="J690" s="348">
        <v>0.75</v>
      </c>
      <c r="K690" t="s" s="341">
        <v>37</v>
      </c>
      <c r="L690" s="342">
        <v>1.95</v>
      </c>
      <c r="M690" s="290">
        <v>36.45</v>
      </c>
      <c r="N690" s="161"/>
      <c r="O690" s="343">
        <f>IF(OR(AE688="",AE689=""),"",IF(L690&gt;0,ROUND(IF(M690&gt;0,M690,IF(M688&gt;0,ROUND((M688*AE690)/AE688,IF(N688=0,2,IF(N688=0.1,1,0))),IF(M689&gt;0,ROUND((M689*AE690)/AE689,IF(N688=0,2,IF(N688=0.1,1,0))),IF(M690&gt;0,M690,0)))),2),""))</f>
        <v>36.45</v>
      </c>
      <c r="P690" s="297">
        <f>IF(I689="Lay",O689*(L689/(L689-1))-O689,IF(I688="Lay",O688*(L688/(L688-1))-O688,IF(OR(L690="",O690=""),"",IF($C690="1/2W",O690/2+O690/2*L690,IF($C690="1/2L",O690/2,(O690*L690-O690)*(1-_xlfn.XLOOKUP(K690,'Janeiro 2023 - Valor Real'!A3:A15,'Janeiro 2023 - Valor Real'!C3:C15,0))+O690)))))</f>
        <v>71.0775</v>
      </c>
      <c r="Q690" s="344">
        <f>IF(K690="","",IF(_xlfn.XLOOKUP(K690,K$121:K469,DJ$121:DJ469,0,,-1)=DJ690,_xlfn.XLOOKUP(K690,K$121:K469,Q$121:Q469,1,,-1)+1,1))</f>
        <v>1</v>
      </c>
      <c r="R690" s="345">
        <f>IF(K690="","",_xlfn.XLOOKUP(K690,K$121:K469,R$121:R469,0,,-1)+IF($C690=" ",1,0))</f>
        <v>0</v>
      </c>
      <c r="S690" s="166"/>
      <c r="T690" s="155"/>
      <c r="U690" s="155"/>
      <c r="V690" s="166"/>
      <c r="W690" s="155"/>
      <c r="X690" s="167"/>
      <c r="Y690" s="128"/>
      <c r="Z690" s="129"/>
      <c r="AA690" s="129"/>
      <c r="AB690" s="129"/>
      <c r="AC690" s="129"/>
      <c r="AD690" s="168"/>
      <c r="AE690" s="346">
        <f>IF(L690="","",(SUM(((L688-1)*(1-_xlfn.XLOOKUP(K688,'Janeiro 2023 - Valor Real'!A3:A15,'Janeiro 2023 - Valor Real'!C3:C15,0))+1),((L689-1)*(1-_xlfn.XLOOKUP(K689,'Janeiro 2023 - Valor Real'!A3:A15,'Janeiro 2023 - Valor Real'!C3:C15,0))+1),((L690-1)*(1-_xlfn.XLOOKUP(K690,'Janeiro 2023 - Valor Real'!A3:A15,'Janeiro 2023 - Valor Real'!C3:C15,0))+1))/((L690-1)*(1-_xlfn.XLOOKUP(K690,'Janeiro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Real'!C3:C15,0))+1))/((L688-1)*(1-_xlfn.XLOOKUP(K688,'Janeiro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Real'!C3:C15,0))+1))/((L689-1)*(1-_xlfn.XLOOKUP(K689,'Janeiro 2023 - Valor Real'!A3:A15,'Janeiro 2023 - Valor Real'!C3:C15,0))+1)+SUM(((L688-1)*(1-_xlfn.XLOOKUP(K688,'Janeiro 2023 - Valor Real'!A3:A15,'Janeiro 2023 - Valor Real'!C3:C15,0))+1),((L689-1)*(1-_xlfn.XLOOKUP(K689,'Janeiro 2023 - Valor Real'!A3:A15,'Janeiro 2023 - Valor Real'!C3:C15,0))+1),((L690-1)*(1-_xlfn.XLOOKUP(K690,'Janeiro 2023 - Valor Real'!A3:A15,'Janeiro 2023 - Valor Real'!C3:C15,0))+1))/((L690-1)*(1-_xlfn.XLOOKUP(K690,'Janeiro 2023 - Valor Real'!A3:A15,'Janeiro 2023 - Valor Real'!C3:C15,0))+1)))</f>
        <v>0.4099560761347</v>
      </c>
      <c r="AF690" s="132">
        <f>IF($K690=AF$3,ROUND(IF(OR($C690="W",$C690="1/2W",$C690="1/2L"),$P690-$O690,IF($C690="X",0,-$O690)),2),0)</f>
        <v>-36.45</v>
      </c>
      <c r="AG690" s="133">
        <f>IF($K690=AG$3,ROUND(IF(OR($C690="W",$C690="1/2W",$C690="1/2L"),$P690-$O690,IF($C690="X",0,-$O690)),2),0)</f>
        <v>0</v>
      </c>
      <c r="AH690" s="133">
        <f>IF($K690=AH$3,ROUND(IF(OR($C690="W",$C690="1/2W",$C690="1/2L"),$P690-$O690,IF($C690="X",0,-$O690)),2),0)</f>
        <v>0</v>
      </c>
      <c r="AI690" s="133">
        <f>IF($K690=AI$3,ROUND(IF(OR($C690="W",$C690="1/2W",$C690="1/2L"),$P690-$O690,IF($C690="X",0,-$O690)),2),0)</f>
        <v>0</v>
      </c>
      <c r="AJ690" s="133">
        <f>IF($K690=AJ$3,ROUND(IF(OR($C690="W",$C690="1/2W",$C690="1/2L"),$P690-$O690,IF($C690="X",0,-$O690)),2),0)</f>
        <v>0</v>
      </c>
      <c r="AK690" s="133">
        <f>IF($K690=AK$3,ROUND(IF(OR($C690="W",$C690="1/2W",$C690="1/2L"),$P690-$O690,IF($C690="X",0,-$O690)),2),0)</f>
        <v>0</v>
      </c>
      <c r="AL690" s="133">
        <f>IF($K690=AL$3,ROUND(IF(OR($C690="W",$C690="1/2W",$C690="1/2L"),$P690-$O690,IF($C690="X",0,-$O690)),2),0)</f>
        <v>0</v>
      </c>
      <c r="AM690" s="133">
        <f>IF($K690=AM$3,ROUND(IF(OR($C690="W",$C690="1/2W",$C690="1/2L"),$P690-$O690,IF($C690="X",0,-$O690)),2),0)</f>
        <v>0</v>
      </c>
      <c r="AN690" s="133">
        <f>IF($K690=AN$3,ROUND(IF(OR($C690="W",$C690="1/2W",$C690="1/2L"),$P690-$O690,IF($C690="X",0,-$O690)),2),0)</f>
        <v>0</v>
      </c>
      <c r="AO690" s="133">
        <f>IF($K690=AO$3,ROUND(IF(OR($C690="W",$C690="1/2W",$C690="1/2L"),$P690-$O690,IF($C690="X",0,-$O690)),2),0)</f>
        <v>0</v>
      </c>
      <c r="AP690" s="133">
        <f>IF($K690=AP$3,ROUND(IF(OR($C690="W",$C690="1/2W",$C690="1/2L"),$P690-$O690,IF($C690="X",0,-$O690)),2),0)</f>
        <v>0</v>
      </c>
      <c r="AQ690" s="133">
        <f>IF($K690=AQ$3,ROUND(IF(OR($C690="W",$C690="1/2W",$C690="1/2L"),$P690-$O690,IF($C690="X",0,-$O690)),2),0)</f>
        <v>0</v>
      </c>
      <c r="AR690" s="134">
        <f>IF($K690=AR$3,ROUND(IF(OR($C690="W",$C690="1/2W",$C690="1/2L"),$P690-$O690,IF($C690="X",0,-$O690)),2),0)</f>
        <v>0</v>
      </c>
      <c r="AS690" s="132">
        <f>IF(AND($B688=" ",$K690=AS$3),$O690,0)</f>
        <v>0</v>
      </c>
      <c r="AT690" s="133">
        <f>IF(AND($B688=" ",K690=AT$3),$O690,0)</f>
        <v>0</v>
      </c>
      <c r="AU690" s="133">
        <f>IF(AND($B688=" ",$K690=AU$3),$O690,0)</f>
        <v>0</v>
      </c>
      <c r="AV690" s="133">
        <f>IF(AND($B688=" ",$K690=AV$3),$O690,0)</f>
        <v>0</v>
      </c>
      <c r="AW690" s="133">
        <f>IF(AND($B688=" ",$K690=AW$3),$O690,0)</f>
        <v>0</v>
      </c>
      <c r="AX690" s="133">
        <f>IF(AND($B688=" ",$K690=AX$3),$O690,0)</f>
        <v>0</v>
      </c>
      <c r="AY690" s="135">
        <f>IF(AND($B688=" ",$K690=AY$3),$O690,0)</f>
        <v>0</v>
      </c>
      <c r="AZ690" s="136">
        <f>IF(AND($B688=" ",$K690=AZ$3),$O690,0)</f>
        <v>0</v>
      </c>
      <c r="BA690" s="136">
        <f>IF(AND($B688=" ",$K690=BA$3),$O690,0)</f>
        <v>0</v>
      </c>
      <c r="BB690" s="136">
        <f>IF(AND($B688=" ",$K690=BB$3),$O690,0)</f>
        <v>0</v>
      </c>
      <c r="BC690" s="137">
        <f>IF(AND($B688=" ",$K690=BC$3),$O690,0)</f>
        <v>0</v>
      </c>
      <c r="BD690" s="133">
        <f>IF(AND($B688=" ",$K690=BD$3),$O690,0)</f>
        <v>0</v>
      </c>
      <c r="BE690" s="134">
        <f>IF(AND($B688=" ",$K690=BE$3),$O690,0)</f>
        <v>0</v>
      </c>
      <c r="BF690" s="132">
        <f>IF($K690=BF$3,IF($C690="X",0,$O690),0)</f>
        <v>36.45</v>
      </c>
      <c r="BG690" s="281">
        <f>IF($K690=BG$3,IF($C690="X",0,$O690),0)</f>
        <v>0</v>
      </c>
      <c r="BH690" s="133">
        <f>IF($K690=BH$3,IF($C690="X",0,$O690),0)</f>
        <v>0</v>
      </c>
      <c r="BI690" s="133">
        <f>IF($K690=BI$3,IF($C690="X",0,$O690),0)</f>
        <v>0</v>
      </c>
      <c r="BJ690" s="133">
        <f>IF($K690=BJ$3,IF($C690="X",0,$O690),0)</f>
        <v>0</v>
      </c>
      <c r="BK690" s="133">
        <f>IF($K690=BK$3,IF($C690="X",0,$O690),0)</f>
        <v>0</v>
      </c>
      <c r="BL690" s="133">
        <f>IF($K690=BL$3,IF($C690="X",0,$O690),0)</f>
        <v>0</v>
      </c>
      <c r="BM690" s="135">
        <f>IF($K690=BM$3,IF($C690="X",0,$O690),0)</f>
        <v>0</v>
      </c>
      <c r="BN690" s="136">
        <f>IF($K690=BN$3,IF($C690="X",0,$O690),0)</f>
        <v>0</v>
      </c>
      <c r="BO690" s="136">
        <f>IF($K690=BO$3,IF($C690="X",0,$O690),0)</f>
        <v>0</v>
      </c>
      <c r="BP690" s="136">
        <f>IF($K690=BP$3,IF($C690="X",0,$O690),0)</f>
        <v>0</v>
      </c>
      <c r="BQ690" s="137">
        <f>IF($K690=BQ$3,IF($C690="X",0,$O690),0)</f>
        <v>0</v>
      </c>
      <c r="BR690" s="134">
        <f>IF($K690=BR$3,IF($C690="X",0,$O690),0)</f>
        <v>0</v>
      </c>
      <c r="BS690" s="282"/>
      <c r="BT690" s="283"/>
      <c r="BU690" s="140"/>
      <c r="BV690" s="283"/>
      <c r="BW690" s="140"/>
      <c r="BX690" s="140"/>
      <c r="BY690" s="140"/>
      <c r="BZ690" s="283"/>
      <c r="CA690" s="140"/>
      <c r="CB690" s="140"/>
      <c r="CC690" s="140"/>
      <c r="CD690" s="141"/>
      <c r="CE690" s="142"/>
      <c r="CF690" s="284">
        <f>IF(CF$3=$K690,IF($C690="W",1,IF($C690="1/2W",0.5,0)),0)</f>
        <v>0</v>
      </c>
      <c r="CG690" s="285">
        <f>IF(CF$3=$K690,IF($C690="L",1,IF($C690="1/2L",0.5,0)),0)</f>
        <v>1</v>
      </c>
      <c r="CH690" s="285">
        <f>IF(CH$3=$K690,IF($C690="W",1,IF($C690="1/2W",0.5,0)),0)</f>
        <v>0</v>
      </c>
      <c r="CI690" s="285">
        <f>IF(CH$3=$K690,IF($C690="L",1,IF($C690="1/2L",0.5,0)),0)</f>
        <v>0</v>
      </c>
      <c r="CJ690" s="285">
        <f>IF(CJ$3=$K690,IF($C690="W",1,IF($C690="1/2W",0.5,0)),0)</f>
        <v>0</v>
      </c>
      <c r="CK690" s="285">
        <f>IF(CJ$3=$K690,IF($C690="L",1,IF($C690="1/2L",0.5,0)),0)</f>
        <v>0</v>
      </c>
      <c r="CL690" s="285">
        <f>IF(CL$3=$K690,IF($C690="W",1,IF($C690="1/2W",0.5,0)),0)</f>
        <v>0</v>
      </c>
      <c r="CM690" s="285">
        <f>IF(CL$3=$K690,IF($C690="L",1,IF($C690="1/2L",0.5,0)),0)</f>
        <v>0</v>
      </c>
      <c r="CN690" s="285">
        <f>IF(CN$3=$K690,IF($C690="W",1,IF($C690="1/2W",0.5,0)),0)</f>
        <v>0</v>
      </c>
      <c r="CO690" s="285">
        <f>IF(CN$3=$K690,IF($C690="L",1,IF($C690="1/2L",0.5,0)),0)</f>
        <v>0</v>
      </c>
      <c r="CP690" s="285">
        <f>IF(CP$3=$K690,IF($C690="W",1,IF($C690="1/2W",0.5,0)),0)</f>
        <v>0</v>
      </c>
      <c r="CQ690" s="285">
        <f>IF(CP$3=$K690,IF($C690="L",1,IF($C690="1/2L",0.5,0)),0)</f>
        <v>0</v>
      </c>
      <c r="CR690" s="285">
        <f>IF(CR$3=$K690,IF($C690="W",1,IF($C690="1/2W",0.5,0)),0)</f>
        <v>0</v>
      </c>
      <c r="CS690" s="285">
        <f>IF(CR$3=$K690,IF($C690="L",1,IF($C690="1/2L",0.5,0)),0)</f>
        <v>0</v>
      </c>
      <c r="CT690" s="145">
        <f>IF(CT$3=$K690,IF($C690="W",1,IF($C690="1/2W",0.5,0)),0)</f>
        <v>0</v>
      </c>
      <c r="CU690" s="146">
        <f>IF(CT$3=$K690,IF($C690="L",1,IF($C690="1/2L",0.5,0)),0)</f>
        <v>0</v>
      </c>
      <c r="CV690" s="146">
        <f>IF(CV$3=$K690,IF($C690="W",1,IF($C690="1/2W",0.5,0)),0)</f>
        <v>0</v>
      </c>
      <c r="CW690" s="146">
        <f>IF(CV$3=$K690,IF($C690="L",1,IF($C690="1/2L",0.5,0)),0)</f>
        <v>0</v>
      </c>
      <c r="CX690" s="146">
        <f>IF(CX$3=$K690,IF($C690="W",1,IF($C690="1/2W",0.5,0)),0)</f>
        <v>0</v>
      </c>
      <c r="CY690" s="146">
        <f>IF(CX$3=$K690,IF($C690="L",1,IF($C690="1/2L",0.5,0)),0)</f>
        <v>0</v>
      </c>
      <c r="CZ690" s="146">
        <f>IF(CZ$3=$K690,IF($C690="W",1,IF($C690="1/2W",0.5,0)),0)</f>
        <v>0</v>
      </c>
      <c r="DA690" s="146">
        <f>IF(CZ$3=$K690,IF($C690="L",1,IF($C690="1/2L",0.5,0)),0)</f>
        <v>0</v>
      </c>
      <c r="DB690" s="146">
        <f>IF(DB$3=$K690,IF($C690="W",1,IF($C690="1/2W",0.5,0)),0)</f>
        <v>0</v>
      </c>
      <c r="DC690" s="146">
        <f>IF(DB$3=$K690,IF($C690="L",1,IF($C690="1/2L",0.5,0)),0)</f>
        <v>0</v>
      </c>
      <c r="DD690" s="146">
        <f>IF(DD$3=$K690,IF($C690="W",1,IF($C690="1/2W",0.5,0)),0)</f>
        <v>0</v>
      </c>
      <c r="DE690" s="147">
        <f>IF(DD$3=$K690,IF($C690="L",1,IF($C690="1/2L",0.5,0)),0)</f>
        <v>0</v>
      </c>
      <c r="DF690" s="143">
        <f>IF(AND(L690&lt;DF$3,$C690="W"),1+DF689,DF689)</f>
        <v>18</v>
      </c>
      <c r="DG690" s="133">
        <f>IF(DF690&gt;DF689,L690+DG689,DG689)</f>
        <v>23.918</v>
      </c>
      <c r="DH690" s="146">
        <f>IF(AND(L690&gt;DH$3,$C690="W"),1+DH689,0+DH689)</f>
        <v>18</v>
      </c>
      <c r="DI690" s="133">
        <f>IF(DH690&gt;DH689,L690+DI689,DI689)</f>
        <v>93.66</v>
      </c>
      <c r="DJ690" t="s" s="304">
        <f>IF($D688="","",$D688)</f>
        <v>481</v>
      </c>
      <c r="DK690" s="286"/>
    </row>
    <row r="691" ht="14.55" customHeight="1">
      <c r="A691" s="171">
        <f>$A688+1</f>
        <v>230</v>
      </c>
      <c r="B691" t="s" s="172">
        <f>IF(AND(_xlfn.XLOOKUP(H691,H$122:H464,G$122:G464,0)=G691,_xlfn.XLOOKUP("TempoBet",K691:K693,L691:L693,0)&gt;0),"X",IF(OR(C691="W",C692="W",C693="W",C691="1/2W",C692="1/2W",C693="1/2W",C691="1/2L",C692="1/2L",C693="1/2L"),"OK",IF(OR(C691="L",C692="L",C693="L"),"LOSS",IF(OR(C691="X",C692="X",C693="X"),"Anulado"," "))))</f>
        <v>50</v>
      </c>
      <c r="C691" t="s" s="173">
        <v>51</v>
      </c>
      <c r="D691" t="s" s="305">
        <f>IF(G691="","",$D688)</f>
        <v>481</v>
      </c>
      <c r="E691" t="s" s="175">
        <f>IF(G691=""," ","– "&amp;COUNTIF(D$4:D693,$D691))</f>
        <v>118</v>
      </c>
      <c r="F691" t="s" s="176">
        <f>IF(G691="","",IF(OR(AND($C691&lt;&gt;" ",$C692=" "),AND($C692&lt;&gt;" ",$C691=" "),AND(L693&gt;0,OR(AND($C693&lt;&gt;" ",OR($C691=" ",$C692=" ")),AND($C693=" ",OR($C691&lt;&gt;" ",$C692&lt;&gt;" "))))),IF(SUM(F$4:F690)=0,1,LARGE(F$4:F690,1)+1),IF(MONTH(G691)=MONTH(TODAY()),IF(AND(DAY(G691)&lt;DAY(TODAY()),$B691=" "),IF(SUM(F$4:F690)=0,1,LARGE(F$4:F690,1)+1),IF($B691=" ",IF(AND(DAY(G691)=DAY(TODAY()),HOUR(G691)&lt;=HOUR(NOW())+1),IF(AND(HOUR(G691)+2&lt;=HOUR(NOW()),DAY(G691)&lt;=DAY(TODAY()),MINUTE(G691)&lt;=MINUTE(NOW())),IF(SUM(F$4:F690)=0,1,LARGE(F$4:F690,1)+1),IF(OR(MINUTE(G691)&lt;=MINUTE(NOW()),HOUR(G691)&lt;=HOUR(NOW())),"!!!","")),""),"")),"")))</f>
      </c>
      <c r="G691" s="177">
        <v>44957.6875</v>
      </c>
      <c r="H691" t="s" s="178">
        <v>490</v>
      </c>
      <c r="I691" s="298">
        <v>1</v>
      </c>
      <c r="J691" s="180"/>
      <c r="K691" t="s" s="181">
        <v>38</v>
      </c>
      <c r="L691" s="182">
        <v>4.5</v>
      </c>
      <c r="M691" s="183">
        <v>1.45</v>
      </c>
      <c r="N691" s="184">
        <v>1</v>
      </c>
      <c r="O691" s="185">
        <f>IF(OR(AE691="",AE692=""),"",ROUND(IF(L693&gt;0,IF(M691&gt;0,M691,IF(M692&gt;0,ROUND((M692*AE691)/AE692,IF(N691=0,2,IF(N691=0.1,1,0))),ROUND((M693*AE691)/AE693,IF(N691=0,2,IF(N691=0.1,1,0))))),IF(M691&gt;0,M691,ROUND((M692*AE691)/AE692,IF(N691=0,2,IF(N691=0.1,1,0))))),2))</f>
        <v>1.45</v>
      </c>
      <c r="P691" s="186">
        <f>IF(OR(L691="",O691=""),"",IF($C691="1/2W",O691/2+O691/2*L691,IF($C691="1/2L",O691/2,IF(I691="Lay",(O691*(L691/(L691-1))-O691)*(1-_xlfn.XLOOKUP(K691,'Janeiro 2023 - Valor Real'!A3:A15,'Janeiro 2023 - Valor Real'!C3:C15,0))+O691,(O691*L691-O691)*(1-_xlfn.XLOOKUP(K691,'Janeiro 2023 - Valor Real'!A3:A15,'Janeiro 2023 - Valor Real'!C3:C15,0))+O691))))</f>
        <v>6.525</v>
      </c>
      <c r="Q691" s="187">
        <f>IF(K691="","",IF(_xlfn.XLOOKUP(K691,K$122:K464,DJ$122:DJ464,0,,-1)=DJ691,_xlfn.XLOOKUP(K691,K$122:K464,Q$122:Q464,1,,-1)+1,1))</f>
        <v>1</v>
      </c>
      <c r="R691" s="188">
        <f>IF(K691="","",_xlfn.XLOOKUP(K691,K$122:K464,R$122:R464,0,,-1)+IF($C691=" ",1,0))</f>
        <v>0</v>
      </c>
      <c r="S691" s="189">
        <f>IF($B691="Anulado",0,ROUND(IF(OR($B691="LOSS",$B691="OK"),IF(OR($C691="W",$C691="1/2W",$C691="1/2L"),P691-O691,IF($C691="L",-O691,0))+IF(OR($C692="W",$C692="1/2W",$C692="1/2L"),P692-O692,IF($C692="L",-O692,0))+IF(OR($C693="W",$C693="1/2W",$C693="1/2L"),P693-O693,IF($C693="L",-O693,0)),IF(AND(OR($C691="W",$C691="1/2W",$C691="1/2L"),C692="W"),P691+P692-SUM(O691:O693)+_xlfn.XLOOKUP("X",C691:C693,O691:O693,0),IF(AND(C691=TRUE,C693="W"),P691+P693-SUM(O691:O693),IF(AND(C692="W",C693="W"),P692+P693-SUM(O691:O693)+_xlfn.XLOOKUP("X",C691:C693,O691:O693,0),IF(L693&gt;0,IF(OR($C691="W",$C691="1/2W",$C691="1/2L"),P691-SUM(O691:O693)+_xlfn.XLOOKUP("X",C691:C693,O691:O693,0),IF(OR($C691="W",$C691="1/2W",$C691="1/2L"),P692-SUM(O691:O693)+_xlfn.XLOOKUP("X",C691:C693,O691:O693,0),IF(OR($C691="W",$C691="1/2W",$C691="1/2L"),P693-SUM(O691:O693)+_xlfn.XLOOKUP("X",C691:C693,O691:O693,0),IF(SUM(P691:P693)/3-SUM(O691:O693)+_xlfn.XLOOKUP("X",C691:C693,O691:O693,0)&gt;0,SUM(P691:P693)/3-SUM(O691:O693)+_xlfn.XLOOKUP("X",C691:C693,O691:O693,0),LARGE(P691:P693,1)-SUM(O691:O693))))),IF(OR($C691="W",$C691="1/2W",$C691="1/2L"),P691-SUM(O691:O692)+_xlfn.XLOOKUP("X",C691:C693,O691:O693,0),IF(OR($C691="W",$C691="1/2W",$C691="1/2L"),P692-SUM(O691:O692)+_xlfn.XLOOKUP("X",C691:C693,O691:O693,0),SUM(P691:P692)/2-SUM(O691:O692)+_xlfn.XLOOKUP("X",C691:C693,O691:O693,0)))))))),2))</f>
        <v>0.73</v>
      </c>
      <c r="T691" s="190">
        <f>IF(S691=0,0,S691/SUM(O691:O693))</f>
        <v>0.113178294573643</v>
      </c>
      <c r="U691" s="191">
        <f>IF($D691=$D688,IF(OR($B691="LOSS",$B691="OK",$B691="Anulada"),S691,0)+U688,IF(OR($B691="LOSS",$B691="OK",$B691="Anulada"),S691,0))</f>
        <v>11.72</v>
      </c>
      <c r="V691" s="191">
        <f>IF($D691="",0,IF($D691=$D688,IF($B691=" ",IF(I693="",IF(OR(AND(I691="DNB1",I692="DNB2"),AND(OR(I691="DNB1",I691="DNB2"),J692=0),AND(OR(I692="DNB1",I692="DNB2"),J691=0),AND(I691="DNB2",I692="DNB1"),AND(IF(J691=0,(J691+1)/ROUND(J691+1,0),J691/ROUND(J691,0))=1,IF(J692=0,(J692+1)/ROUND(IF(J692="",0,J692)+1,0),IF(J692="",0,J692)/ROUND(IF(J692="",1,J692),0))=1,OR(J691&lt;&gt;""),J692&lt;&gt;"")),0,IF(S691&lt;0,IF(I693="",SMALL(P691:P692,1)-SUM(O691:O692),0),SMALL(P691:P692,1)-SUM(O691:O692))),IF(S691&lt;0,IF(I693="",SMALL(P691:P693,1)-SUM(O691:O693),0),LARGE(P691:P693,1)-SUM(O691:O693))),S691)+V688,IF(I693="",IF(OR(AND(I691="DNB1",I692="DNB2"),AND(OR(I691="DNB1",I691="DNB2"),J692=0),AND(OR(I692="DNB1",I692="DNB2"),J691=0),AND(I691="DNB2",I692="DNB1"),AND(IF(J691=0,(J691+1)/ROUND(J691+1,0),J691/ROUND(J691,0))=1,IF(J692=0,(IF(J692="",0,J692)+1)/ROUND(IF(J692="",0,J692)+1,0),IF(J692="",0,J692)/ROUND(IF(J692="",0,J692)+1,0))=1,OR(J691&lt;&gt;""),J692&lt;&gt;"")),0,IF(S691&lt;0,IF(I693="",SMALL(P691:P692,1)-SUM(O691:O692),0),SMALL(P691:P693,1)-SUM(O691:O693))),IF(S691&lt;0,IF(I693="",SMALL(P691:P693,1)-SUM(O691:O693),0),LARGE(P691:P693,1)-SUM(O691:O693)))))</f>
        <v>11.7176</v>
      </c>
      <c r="W691" s="191">
        <f>IF($D691=$D688,IF(S691&lt;0,IF(I693="",S691,0),S691)+W688,S691)</f>
        <v>11.72</v>
      </c>
      <c r="X691" t="s" s="192">
        <f>IF(OR(SUM(R691:R693)=0,V691=W691),ROUND(IF(W691=0,0,W691/Y691)*100,2)&amp;"%",ROUND(IF(V691=0,0,V691/Y691)*100,2)&amp;"% a "&amp;ROUND(IF(W691=0,0,W691/Y691)*100,2)&amp;"%")</f>
        <v>445</v>
      </c>
      <c r="Y691" s="193">
        <f>IF($D691=$D688,Y688+SUM(O691:O693),SUM(O691:O693))</f>
        <v>178.04</v>
      </c>
      <c r="Z691" s="191">
        <f>IF($B691=" ",SUM(O691:O693),0)+Z688</f>
        <v>0</v>
      </c>
      <c r="AA691" s="191">
        <f>IF(G691="","",IF($B691="Anulado",LARGE(P691:P693,1)-SUM(O691:O693)+AA688,AA688))</f>
        <v>27.7065076923077</v>
      </c>
      <c r="AB691" s="191">
        <f>IF($D691="","",AB688+S691)</f>
        <v>482.9</v>
      </c>
      <c r="AC691" s="194">
        <f>IF($D691="","",IF($B691=" ",IF(DAY(G691)=DAY(TODAY()),1+AC688,0+AC688),0+AC688))</f>
        <v>0</v>
      </c>
      <c r="AD691" s="195">
        <f>(((L692/(L692-1)-1)*(1-_xlfn.XLOOKUP(K692,'Janeiro 2023 - Valor Real'!A3:A15,'Janeiro 2023 - Valor Real'!C3:C15,0))+1))/(((L691-1)*(1-_xlfn.XLOOKUP(K691,'Janeiro 2023 - Valor Real'!A3:A15,'Janeiro 2023 - Valor Real'!C3:C15,0))+1)+((L692/(L692-1)-1)*(1-_xlfn.XLOOKUP(K692,'Janeiro 2023 - Valor Real'!A3:A15,'Janeiro 2023 - Valor Real'!C3:C15,0))+1))</f>
        <v>0.422601530311948</v>
      </c>
      <c r="AE691" s="196">
        <f>IF(L691="","",IF(L693&gt;0,(SUM(((L691-1)*(1-_xlfn.XLOOKUP(K691,'Janeiro 2023 - Valor Real'!A3:A15,'Janeiro 2023 - Valor Real'!C3:C15,0))+1),((L692-1)*(1-_xlfn.XLOOKUP(K692,'Janeiro 2023 - Valor Real'!A3:A15,'Janeiro 2023 - Valor Real'!C3:C15,0))+1),((L693-1)*(1-_xlfn.XLOOKUP(K693,'Janeiro 2023 - Valor Real'!A3:A15,'Janeiro 2023 - Valor Real'!C3:C15,0))+1))/((L691-1)*(1-_xlfn.XLOOKUP(K691,'Janeiro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Real'!C3:C15,0))+1))/((L691-1)*(1-_xlfn.XLOOKUP(K691,'Janeiro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Real'!C3:C15,0))+1))/((L692-1)*(1-_xlfn.XLOOKUP(K692,'Janeiro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Real'!C3:C15,0))+1))/((L693-1)*(1-_xlfn.XLOOKUP(K693,'Janeiro 2023 - Valor Real'!A3:A15,'Janeiro 2023 - Valor Real'!C3:C15,0))+1)),IF(I691="Lay",IF(I692="Lay",((L692/(L692-1)-1)*(1-_xlfn.XLOOKUP(K692,'Janeiro 2023 - Valor Real'!A3:A15,'Janeiro 2023 - Valor Real'!C3:C15,0))+1)/(((L692/(L692-1)-1)*(1-_xlfn.XLOOKUP(K692,'Janeiro 2023 - Valor Real'!A3:A15,'Janeiro 2023 - Valor Real'!C3:C15,0))+1)+((L691/(L691-1)-1)*(1-_xlfn.XLOOKUP(K691,'Janeiro 2023 - Valor Real'!A3:A15,'Janeiro 2023 - Valor Real'!C3:C15,0))+1)),((L692-1)*(1-_xlfn.XLOOKUP(K692,'Janeiro 2023 - Valor Real'!A3:A15,'Janeiro 2023 - Valor Real'!C3:C15,0))+1)/(((L692-1)*(1-_xlfn.XLOOKUP(K692,'Janeiro 2023 - Valor Real'!A3:A15,'Janeiro 2023 - Valor Real'!C3:C15,0))+1)+((L691/(L691-1)-1)*(1-_xlfn.XLOOKUP(K691,'Janeiro 2023 - Valor Real'!A3:A15,'Janeiro 2023 - Valor Real'!C3:C15,0))+1))),IF(I692="Lay",(((L692/(L692-1)-1)*(1-_xlfn.XLOOKUP(K692,'Janeiro 2023 - Valor Real'!A3:A15,'Janeiro 2023 - Valor Real'!C3:C15,0))+1))/(((L691-1)*(1-_xlfn.XLOOKUP(K691,'Janeiro 2023 - Valor Real'!A3:A15,'Janeiro 2023 - Valor Real'!C3:C15,0))+1)+((L692/(L692-1)-1)*(1-_xlfn.XLOOKUP(K692,'Janeiro 2023 - Valor Real'!A3:A15,'Janeiro 2023 - Valor Real'!C3:C15,0))+1)),((L692-1)*(1-_xlfn.XLOOKUP(K692,'Janeiro 2023 - Valor Real'!A3:A15,'Janeiro 2023 - Valor Real'!C3:C15,0))+1)/(((L692-1)*(1-_xlfn.XLOOKUP(K692,'Janeiro 2023 - Valor Real'!A3:A15,'Janeiro 2023 - Valor Real'!C3:C15,0))+1)+((L691-1)*(1-_xlfn.XLOOKUP(K691,'Janeiro 2023 - Valor Real'!A3:A15,'Janeiro 2023 - Valor Real'!C3:C15,0))+1))))))</f>
        <v>0.241913746630728</v>
      </c>
      <c r="AF691" s="197">
        <f>IF($K691=AF$3,ROUND(IF(OR($C691="W",$C691="1/2W",$C691="1/2L"),$P691-$O691,IF($C691="X",0,-$O691)),2),0)</f>
        <v>0</v>
      </c>
      <c r="AG691" s="198">
        <f>IF($K691=AG$3,ROUND(IF(OR($C691="W",$C691="1/2W",$C691="1/2L"),$P691-$O691,IF($C691="X",0,-$O691)),2),0)</f>
        <v>-1.45</v>
      </c>
      <c r="AH691" s="198">
        <f>IF($K691=AH$3,ROUND(IF(OR($C691="W",$C691="1/2W",$C691="1/2L"),$P691-$O691,IF($C691="X",0,-$O691)),2),0)</f>
        <v>0</v>
      </c>
      <c r="AI691" s="198">
        <f>IF($K691=AI$3,ROUND(IF(OR($C691="W",$C691="1/2W",$C691="1/2L"),$P691-$O691,IF($C691="X",0,-$O691)),2),0)</f>
        <v>0</v>
      </c>
      <c r="AJ691" s="198">
        <f>IF($K691=AJ$3,ROUND(IF(OR($C691="W",$C691="1/2W",$C691="1/2L"),$P691-$O691,IF($C691="X",0,-$O691)),2),0)</f>
        <v>0</v>
      </c>
      <c r="AK691" s="198">
        <f>IF($K691=AK$3,ROUND(IF(OR($C691="W",$C691="1/2W",$C691="1/2L"),$P691-$O691,IF($C691="X",0,-$O691)),2),0)</f>
        <v>0</v>
      </c>
      <c r="AL691" s="198">
        <f>IF($K691=AL$3,ROUND(IF(OR($C691="W",$C691="1/2W",$C691="1/2L"),$P691-$O691,IF($C691="X",0,-$O691)),2),0)</f>
        <v>0</v>
      </c>
      <c r="AM691" s="198">
        <f>IF($K691=AM$3,ROUND(IF(OR($C691="W",$C691="1/2W",$C691="1/2L"),$P691-$O691,IF($C691="X",0,-$O691)),2),0)</f>
        <v>0</v>
      </c>
      <c r="AN691" s="198">
        <f>IF($K691=AN$3,ROUND(IF(OR($C691="W",$C691="1/2W",$C691="1/2L"),$P691-$O691,IF($C691="X",0,-$O691)),2),0)</f>
        <v>0</v>
      </c>
      <c r="AO691" s="198">
        <f>IF($K691=AO$3,ROUND(IF(OR($C691="W",$C691="1/2W",$C691="1/2L"),$P691-$O691,IF($C691="X",0,-$O691)),2),0)</f>
        <v>0</v>
      </c>
      <c r="AP691" s="198">
        <f>IF($K691=AP$3,ROUND(IF(OR($C691="W",$C691="1/2W",$C691="1/2L"),$P691-$O691,IF($C691="X",0,-$O691)),2),0)</f>
        <v>0</v>
      </c>
      <c r="AQ691" s="198">
        <f>IF($K691=AQ$3,ROUND(IF(OR($C691="W",$C691="1/2W",$C691="1/2L"),$P691-$O691,IF($C691="X",0,-$O691)),2),0)</f>
        <v>0</v>
      </c>
      <c r="AR691" s="199">
        <f>IF($K691=AR$3,ROUND(IF(OR($C691="W",$C691="1/2W",$C691="1/2L"),$P691-$O691,IF($C691="X",0,-$O691)),2),0)</f>
        <v>0</v>
      </c>
      <c r="AS691" s="197">
        <f>IF(AND($B691=" ",$K691=AS$3),$O691,0)</f>
        <v>0</v>
      </c>
      <c r="AT691" s="198">
        <f>IF(AND($B691=" ",$K691=AT$3),$O691,0)</f>
        <v>0</v>
      </c>
      <c r="AU691" s="198">
        <f>IF(AND($B691=" ",$K691=AU$3),$O691,0)</f>
        <v>0</v>
      </c>
      <c r="AV691" s="198">
        <f>IF(AND($B691=" ",$K691=AV$3),$O691,0)</f>
        <v>0</v>
      </c>
      <c r="AW691" s="198">
        <f>IF(AND($B691=" ",$K691=AW$3),$O691,0)</f>
        <v>0</v>
      </c>
      <c r="AX691" s="198">
        <f>IF(AND($B691=" ",$K691=AX$3),$O691,0)</f>
        <v>0</v>
      </c>
      <c r="AY691" s="200">
        <f>IF(AND($B691=" ",$K691=AY$3),$O691,0)</f>
        <v>0</v>
      </c>
      <c r="AZ691" s="201">
        <f>IF(AND($B691=" ",$K691=AZ$3),$O691,0)</f>
        <v>0</v>
      </c>
      <c r="BA691" s="201">
        <f>IF(AND($B691=" ",$K691=BA$3),$O691,0)</f>
        <v>0</v>
      </c>
      <c r="BB691" s="201">
        <f>IF(AND($B691=" ",$K691=BB$3),$O691,0)</f>
        <v>0</v>
      </c>
      <c r="BC691" s="202">
        <f>IF(AND($B691=" ",$K691=BC$3),$O691,0)</f>
        <v>0</v>
      </c>
      <c r="BD691" s="198">
        <f>IF(AND($B691=" ",$K691=BD$3),$O691,0)</f>
        <v>0</v>
      </c>
      <c r="BE691" s="199">
        <f>IF(AND($B691=" ",$K691=BE$3),$O691,0)</f>
        <v>0</v>
      </c>
      <c r="BF691" s="203">
        <f>IF($K691=BF$3,IF($C691="X",0,$O691),0)</f>
        <v>0</v>
      </c>
      <c r="BG691" s="198">
        <f>IF($K691=BG$3,IF($C691="X",0,$O691),0)</f>
        <v>1.45</v>
      </c>
      <c r="BH691" s="198">
        <f>IF($K691=BH$3,IF($C691="X",0,$O691),0)</f>
        <v>0</v>
      </c>
      <c r="BI691" s="198">
        <f>IF($K691=BI$3,IF($C691="X",0,$O691),0)</f>
        <v>0</v>
      </c>
      <c r="BJ691" s="198">
        <f>IF($K691=BJ$3,IF($C691="X",0,$O691),0)</f>
        <v>0</v>
      </c>
      <c r="BK691" s="198">
        <f>IF($K691=BK$3,IF($C691="X",0,$O691),0)</f>
        <v>0</v>
      </c>
      <c r="BL691" s="198">
        <f>IF($K691=BL$3,IF($C691="X",0,$O691),0)</f>
        <v>0</v>
      </c>
      <c r="BM691" s="200">
        <f>IF($K691=BM$3,IF($C691="X",0,$O691),0)</f>
        <v>0</v>
      </c>
      <c r="BN691" s="201">
        <f>IF($K691=BN$3,IF($C691="X",0,$O691),0)</f>
        <v>0</v>
      </c>
      <c r="BO691" s="201">
        <f>IF($K691=BO$3,IF($C691="X",0,$O691),0)</f>
        <v>0</v>
      </c>
      <c r="BP691" s="201">
        <f>IF($K691=BP$3,IF($C691="X",0,$O691),0)</f>
        <v>0</v>
      </c>
      <c r="BQ691" s="202">
        <f>IF($K691=BQ$3,IF($C691="X",0,$O691),0)</f>
        <v>0</v>
      </c>
      <c r="BR691" s="199">
        <f>IF($K691=BR$3,IF($C691="X",0,$O691),0)</f>
        <v>0</v>
      </c>
      <c r="BS691" s="204">
        <f>IF($B691="LOSS",IF(AND($K691=BS$3,$C691="L"),-$O691,0)+IF(AND($K692=BS$3,$C692="L"),-$O692,0)+IF(AND($K693=BS$3,$C693="L"),-$O693,0),IF(OR(AND($K691=BS$3,OR($C691="W",$C691="1/2W")),AND($K692=BS$3,OR($C692="W",$C692="1/2W")),AND($K693=BS$3,OR($C693="W",$C693="1/2W"))),$S691,0))</f>
        <v>0</v>
      </c>
      <c r="BT691" s="201">
        <f>IF($B691="LOSS",IF(AND($K691=BT$3,$C691="L"),-$O691,0)+IF(AND($K692=BT$3,$C692="L"),-$O692,0)+IF(AND($K692=BT$3,$C693="L"),-$O693,0),IF(OR(AND($K692=BT$3,OR($C691="W",$C691="1/2W")),AND($K692=BT$3,OR($C692="W",$C692="1/2W")),AND($K692=BT$3,OR($C693="W",$C693="1/2W"))),$S691,0))</f>
        <v>0</v>
      </c>
      <c r="BU691" s="201">
        <f>IF($B691="LOSS",IF(AND($K691=BU$3,$C691="L"),-$O691,0)+IF(AND($K692=BU$3,$C692="L"),-$O692,0)+IF(AND($K692=BU$3,$C693="L"),-$O693,0),IF(OR(AND($K692=BU$3,OR($C691="W",$C691="1/2W")),AND($K692=BU$3,OR($C692="W",$C692="1/2W")),AND($K692=BU$3,OR($C693="W",$C693="1/2W"))),$S691,0))</f>
        <v>0</v>
      </c>
      <c r="BV691" s="201">
        <f>IF($B691="LOSS",IF(AND($K691=BV$3,$C691="L"),-$O691,0)+IF(AND($K692=BV$3,$C692="L"),-$O692,0)+IF(AND($K693=BV$3,$C693="L"),-$O693,0),IF(OR(AND($K691=BV$3,OR($C691="W",$C691="1/2W")),AND($K692=BV$3,OR($C692="W",$C692="1/2W")),AND($K693=BV$3,OR($C693="W",$C693="1/2W"))),$S691,0))</f>
        <v>0</v>
      </c>
      <c r="BW691" s="201">
        <f>IF($B691="LOSS",IF(AND($K691=BW$3,$C691="L"),-$O691,0)+IF(AND($K692=BW$3,$C692="L"),-$O692,0)+IF(AND($K693=BW$3,$C693="L"),-$O693,0),IF(OR(AND($K691=BW$3,OR($C691="W",$C691="1/2W")),AND($K692=BW$3,OR($C692="W",$C692="1/2W")),AND($K693=BW$3,OR($C693="W",$C693="1/2W"))),$S691,0))</f>
        <v>0</v>
      </c>
      <c r="BX691" s="201">
        <f>IF($B691="LOSS",IF(AND($K691=BX$3,$C691="L"),-$O691,0)+IF(AND($K692=BX$3,$C692="L"),-$O692,0)+IF(AND($K693=BX$3,$C693="L"),-$O693,0),IF(OR(AND($K691=BX$3,OR($C691="W",$C691="1/2W")),AND($K692=BX$3,OR($C692="W",$C692="1/2W")),AND($K693=BX$3,OR($C693="W",$C693="1/2W"))),$S691,0))</f>
        <v>0</v>
      </c>
      <c r="BY691" s="201">
        <f>IF($B691="LOSS",IF(AND($K691=BY$3,$C691="L"),-$O691,0)+IF(AND($K692=BY$3,$C692="L"),-$O692,0)+IF(AND($K693=BY$3,$C693="L"),-$O693,0),IF(OR(AND($K691=BY$3,OR($C691="W",$C691="1/2W")),AND($K692=BY$3,OR($C692="W",$C692="1/2W")),AND($K693=BY$3,OR($C693="W",$C693="1/2W"))),$S691,0))</f>
        <v>0</v>
      </c>
      <c r="BZ691" s="205">
        <f>IF($B691="LOSS",IF(AND($K691=BZ$3,$C691="L"),-$O691,0)+IF(AND($K692=BZ$3,$C692="L"),-$O692,0)+IF(AND($K693=BZ$3,$C693="L"),-$O693,0),IF(OR(AND($K691=BZ$3,OR($C691="W",$C691="1/2W")),AND($K692=BZ$3,OR($C692="W",$C692="1/2W")),AND($K693=BZ$3,OR($C693="W",$C693="1/2W"))),$S691,0))</f>
        <v>0.73</v>
      </c>
      <c r="CA691" s="205">
        <f>IF($B691="LOSS",IF(AND($K691=CA$3,$C691="L"),-$O691,0)+IF(AND($K692=CA$3,$C692="L"),-$O692,0)+IF(AND($K693=CA$3,$C693="L"),-$O693,0),IF(OR(AND($K691=CA$3,OR($C691="W",$C691="1/2W")),AND($K692=CA$3,OR($C692="W",$C692="1/2W")),AND($K693=CA$3,OR($C693="W",$C693="1/2W"))),$S691,0))</f>
        <v>0</v>
      </c>
      <c r="CB691" s="205">
        <f>IF($B691="LOSS",IF(AND($K691=CB$3,$C691="L"),-$O691,0)+IF(AND($K692=CB$3,$C692="L"),-$O692,0)+IF(AND($K693=CB$3,$C693="L"),-$O693,0),IF(OR(AND($K691=CB$3,OR($C691="W",$C691="1/2W")),AND($K692=CB$3,OR($C692="W",$C692="1/2W")),AND($K693=CB$3,OR($C693="W",$C693="1/2W"))),$S691,0))</f>
        <v>0</v>
      </c>
      <c r="CC691" s="205">
        <f>IF($B691="LOSS",IF(AND($K691=CC$3,$C691="L"),-$O691,0)+IF(AND($K692=CC$3,$C692="L"),-$O692,0)+IF(AND($K693=CC$3,$C693="L"),-$O693,0),IF(OR(AND($K691=CC$3,OR($C691="W",$C691="1/2W")),AND($K692=CC$3,OR($C692="W",$C692="1/2W")),AND($K693=CC$3,OR($C693="W",$C693="1/2W"))),$S691,0))</f>
        <v>0</v>
      </c>
      <c r="CD691" s="202">
        <f>IF($B691="LOSS",IF(AND($K691=CD$3,$C691="L"),-$O691,0)+IF(AND($K692=CD$3,$C692="L"),-$O692,0)+IF(AND($K693=CD$3,$C693="L"),-$O693,0),IF(OR(AND($K691=CD$3,OR($C691="W",$C691="1/2W")),AND($K692=CD$3,OR($C692="W",$C692="1/2W")),AND($K693=CD$3,OR($C693="W",$C693="1/2W"))),$S691,0))</f>
        <v>0</v>
      </c>
      <c r="CE691" s="199">
        <f>IF($B691="LOSS",IF(AND($K691=CE$3,$C691="L"),-$O691,0)+IF(AND($K692=CE$3,$C692="L"),-$O692,0)+IF(AND($K693=CE$3,$C693="L"),-$O693,0),IF(OR(AND($K691=CE$3,OR($C691="W",$C691="1/2W")),AND($K692=CE$3,OR($C692="W",$C692="1/2W")),AND($K693=CE$3,OR($C693="W",$C693="1/2W"))),$S691,0))</f>
        <v>0</v>
      </c>
      <c r="CF691" s="206">
        <f>IF(CF$3=$K691,IF($C691="W",1,IF($C691="1/2W",0.5,0)),0)</f>
        <v>0</v>
      </c>
      <c r="CG691" s="207">
        <f>IF(CF$3=$K691,IF($C691="L",1,IF($C691="1/2L",0.5,0)),0)</f>
        <v>0</v>
      </c>
      <c r="CH691" s="207">
        <f>IF(CH$3=$K691,IF($C691="W",1,IF($C691="1/2W",0.5,0)),0)</f>
        <v>0</v>
      </c>
      <c r="CI691" s="207">
        <f>IF(CH$3=$K691,IF($C691="L",1,IF($C691="1/2L",0.5,0)),0)</f>
        <v>1</v>
      </c>
      <c r="CJ691" s="207">
        <f>IF(CJ$3=$K691,IF($C691="W",1,IF($C691="1/2W",0.5,0)),0)</f>
        <v>0</v>
      </c>
      <c r="CK691" s="207">
        <f>IF(CJ$3=$K691,IF($C691="L",1,IF($C691="1/2L",0.5,0)),0)</f>
        <v>0</v>
      </c>
      <c r="CL691" s="207">
        <f>IF(CL$3=$K691,IF($C691="W",1,IF($C691="1/2W",0.5,0)),0)</f>
        <v>0</v>
      </c>
      <c r="CM691" s="207">
        <f>IF(CL$3=$K691,IF($C691="L",1,IF($C691="1/2L",0.5,0)),0)</f>
        <v>0</v>
      </c>
      <c r="CN691" s="207">
        <f>IF(CN$3=$K691,IF($C691="W",1,IF($C691="1/2W",0.5,0)),0)</f>
        <v>0</v>
      </c>
      <c r="CO691" s="207">
        <f>IF(CN$3=$K691,IF($C691="L",1,IF($C691="1/2L",0.5,0)),0)</f>
        <v>0</v>
      </c>
      <c r="CP691" s="207">
        <f>IF(CP$3=$K691,IF($C691="W",1,IF($C691="1/2W",0.5,0)),0)</f>
        <v>0</v>
      </c>
      <c r="CQ691" s="207">
        <f>IF(CP$3=$K691,IF($C691="L",1,IF($C691="1/2L",0.5,0)),0)</f>
        <v>0</v>
      </c>
      <c r="CR691" s="207">
        <f>IF(CR$3=$K691,IF($C691="W",1,IF($C691="1/2W",0.5,0)),0)</f>
        <v>0</v>
      </c>
      <c r="CS691" s="207">
        <f>IF(CR$3=$K691,IF($C691="L",1,IF($C691="1/2L",0.5,0)),0)</f>
        <v>0</v>
      </c>
      <c r="CT691" s="208">
        <f>IF(CT$3=$K691,IF($C691="W",1,IF($C691="1/2W",0.5,0)),0)</f>
        <v>0</v>
      </c>
      <c r="CU691" s="209">
        <f>IF(CT$3=$K691,IF($C691="L",1,IF($C691="1/2L",0.5,0)),0)</f>
        <v>0</v>
      </c>
      <c r="CV691" s="209">
        <f>IF(CV$3=$K691,IF($C691="W",1,IF($C691="1/2W",0.5,0)),0)</f>
        <v>0</v>
      </c>
      <c r="CW691" s="209">
        <f>IF(CV$3=$K691,IF($C691="L",1,IF($C691="1/2L",0.5,0)),0)</f>
        <v>0</v>
      </c>
      <c r="CX691" s="209">
        <f>IF(CX$3=$K691,IF($C691="W",1,IF($C691="1/2W",0.5,0)),0)</f>
        <v>0</v>
      </c>
      <c r="CY691" s="209">
        <f>IF(CX$3=$K691,IF($C691="L",1,IF($C691="1/2L",0.5,0)),0)</f>
        <v>0</v>
      </c>
      <c r="CZ691" s="209">
        <f>IF(CZ$3=$K691,IF($C691="W",1,IF($C691="1/2W",0.5,0)),0)</f>
        <v>0</v>
      </c>
      <c r="DA691" s="209">
        <f>IF(CZ$3=$K691,IF($C691="L",1,IF($C691="1/2L",0.5,0)),0)</f>
        <v>0</v>
      </c>
      <c r="DB691" s="209">
        <f>IF(DB$3=$K691,IF($C691="W",1,IF($C691="1/2W",0.5,0)),0)</f>
        <v>0</v>
      </c>
      <c r="DC691" s="209">
        <f>IF(DB$3=$K691,IF($C691="L",1,IF($C691="1/2L",0.5,0)),0)</f>
        <v>0</v>
      </c>
      <c r="DD691" s="209">
        <f>IF(DD$3=$K691,IF($C691="W",1,IF($C691="1/2W",0.5,0)),0)</f>
        <v>0</v>
      </c>
      <c r="DE691" s="210">
        <f>IF(DD$3=$K691,IF($C691="L",1,IF($C691="1/2L",0.5,0)),0)</f>
        <v>0</v>
      </c>
      <c r="DF691" s="211">
        <f>IF(AND(L691&lt;DF$3,$C691="W"),1+DF690,DF690)</f>
        <v>18</v>
      </c>
      <c r="DG691" s="198">
        <f>IF(DF691&gt;DF690,L691+DG690,DG690)</f>
        <v>23.918</v>
      </c>
      <c r="DH691" s="209">
        <f>IF(AND(L691&gt;DH$3,$C691="W"),1+DH690,0+DH690)</f>
        <v>18</v>
      </c>
      <c r="DI691" s="198">
        <f>IF(DH691&gt;DH690,L691+DI690,DI690)</f>
        <v>93.66</v>
      </c>
      <c r="DJ691" t="s" s="306">
        <f>IF($D691="","",$D691)</f>
        <v>481</v>
      </c>
      <c r="DK691" s="209">
        <f>IF(AND($B691=" ",$D691&lt;&gt;""),1,0)</f>
        <v>0</v>
      </c>
    </row>
    <row r="692" ht="14.55" customHeight="1">
      <c r="A692" s="107"/>
      <c r="B692" s="108"/>
      <c r="C692" t="s" s="213">
        <v>56</v>
      </c>
      <c r="D692" s="110"/>
      <c r="E692" s="111"/>
      <c r="F692" s="113"/>
      <c r="G692" s="214"/>
      <c r="H692" s="114"/>
      <c r="I692" s="299">
        <v>2</v>
      </c>
      <c r="J692" t="s" s="216">
        <f>IF(OR(I691="TO",I691="TU",I691="TO1",I691="TU1",I691="TO2",I691="TU2"),J691,IF(OR(I691="AH1",I691="AH2"),IF(OR(I692="AH1",I692="AH2"),-J691,IF(OR(I692="EH1",I692="EH2"),-J691+0.5,"")),IF(OR(I691="EH1",I691="EH2"),IF(OR(I692="AH1",I692="AH2"),-J691+0.5,IF(OR(I692="EH1",I692="EH2"),-J691+1,"")),IF(AND(OR(I691="DNB1",I691="DNB2"),OR(I692="AH1",I692="AH2")),0,IF(AND(I691="Not ScoreBoth",OR(I692="TO1",I692="TO2")),0.5,"")))))</f>
      </c>
      <c r="K692" t="s" s="217">
        <v>44</v>
      </c>
      <c r="L692" s="218">
        <v>1.436</v>
      </c>
      <c r="M692" s="219"/>
      <c r="N692" s="120"/>
      <c r="O692" s="220">
        <f>IF(OR(AE691="",AE692=""),"",ROUND(IF(L693&gt;0,IF(M692&gt;0,M692,IF(M691&gt;0,IF(N691=TRUE,ROUND((M691*AE692)/AE691,0),(M691*AE692)/AE691),IF(M692&gt;0,ROUND(M692,IF(N691=0,2,IF(N691=0.1,1,0))),IF(M693&gt;0,ROUND(O693*AE692/AE693,IF(N691=0,2,IF(N691=0.1,1,0))),0)))),IF(M692&gt;0,M692,ROUND((M691*AE692)/AE691,IF(N691=0,2,IF(N691=0.1,1,0))))),2))</f>
        <v>5</v>
      </c>
      <c r="P692" s="221">
        <f>IF(OR(L692="",O692=""),"",IF($C692="1/2W",O692/2+O692/2*L692,IF($C692="1/2L",O692/2,IF(I692="Lay",((O692*(L692/(L692-1)))-O692)*(1-_xlfn.XLOOKUP(K692,'Janeiro 2023 - Valor Real'!A3:A15,'Janeiro 2023 - Valor Real'!C3:C15,0))+O692,(O692*L692-O692)*(1-_xlfn.XLOOKUP(K692,'Janeiro 2023 - Valor Real'!A3:A15,'Janeiro 2023 - Valor Real'!C3:C15,0))+O692))))</f>
        <v>7.18</v>
      </c>
      <c r="Q692" s="222">
        <f>IF(K692="","",IF(_xlfn.XLOOKUP(K692,K$123:K465,DJ$123:DJ465,0,,-1)=DJ692,_xlfn.XLOOKUP(K692,K$123:K465,Q$123:Q465,1,,-1)+1,1))</f>
        <v>1</v>
      </c>
      <c r="R692" s="223">
        <f>IF(K692="","",_xlfn.XLOOKUP(K692,K$123:K465,R$123:R465,0,,-1)+IF($C692=" ",1,0))</f>
        <v>0</v>
      </c>
      <c r="S692" s="125"/>
      <c r="T692" s="126"/>
      <c r="U692" s="126"/>
      <c r="V692" s="224"/>
      <c r="W692" s="126"/>
      <c r="X692" s="127"/>
      <c r="Y692" s="128"/>
      <c r="Z692" s="129"/>
      <c r="AA692" s="129"/>
      <c r="AB692" s="129"/>
      <c r="AC692" s="129"/>
      <c r="AD692" s="225">
        <f>(((L692/(L692-1)-1)*(1-_xlfn.XLOOKUP(K692,'Janeiro 2023 - Valor Real'!A3:A15,'Janeiro 2023 - Valor Real'!C3:C15,0))+1))</f>
        <v>3.29357798165138</v>
      </c>
      <c r="AE692" s="226">
        <f>IF(L692="","",IF(L693&gt;0,(SUM(((L691-1)*(1-_xlfn.XLOOKUP(K691,'Janeiro 2023 - Valor Real'!A3:A15,'Janeiro 2023 - Valor Real'!C3:C15,0))+1),((L692-1)*(1-_xlfn.XLOOKUP(K692,'Janeiro 2023 - Valor Real'!A3:A15,'Janeiro 2023 - Valor Real'!C3:C15,0))+1),((L693-1)*(1-_xlfn.XLOOKUP(K693,'Janeiro 2023 - Valor Real'!A3:A15,'Janeiro 2023 - Valor Real'!C3:C15,0))+1))/((L692-1)*(1-_xlfn.XLOOKUP(K692,'Janeiro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Real'!C3:C15,0))+1))/((L691-1)*(1-_xlfn.XLOOKUP(K691,'Janeiro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Real'!C3:C15,0))+1))/((L692-1)*(1-_xlfn.XLOOKUP(K692,'Janeiro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Real'!C3:C15,0))+1))/((L693-1)*(1-_xlfn.XLOOKUP(K693,'Janeiro 2023 - Valor Real'!A3:A15,'Janeiro 2023 - Valor Real'!C3:C15,0))+1)),IF(I692="Lay",IF(I691="Lay",((L691/(L691-1)-1)*(1-_xlfn.XLOOKUP(K691,'Janeiro 2023 - Valor Real'!A3:A15,'Janeiro 2023 - Valor Real'!C3:C15,0))+1)/(((L691/(L691-1)-1)*(1-_xlfn.XLOOKUP(K691,'Janeiro 2023 - Valor Real'!A3:A15,'Janeiro 2023 - Valor Real'!C3:C15,0))+1)+((L692/(L692-1)-1)*(1-_xlfn.XLOOKUP(K692,'Janeiro 2023 - Valor Real'!A3:A15,'Janeiro 2023 - Valor Real'!C3:C15,0))+1)),((L691-1)*(1-_xlfn.XLOOKUP(K691,'Janeiro 2023 - Valor Real'!A3:A15,'Janeiro 2023 - Valor Real'!C3:C15,0))+1)/(((L691-1)*(1-_xlfn.XLOOKUP(K691,'Janeiro 2023 - Valor Real'!A3:A15,'Janeiro 2023 - Valor Real'!C3:C15,0))+1)+((L692/(L692-1)-1)*(1-_xlfn.XLOOKUP(K692,'Janeiro 2023 - Valor Real'!A3:A15,'Janeiro 2023 - Valor Real'!C3:C15,0))+1))),IF(I691="Lay",((L691/(L691-1)-1)*(1-_xlfn.XLOOKUP(K691,'Janeiro 2023 - Valor Real'!A3:A15,'Janeiro 2023 - Valor Real'!C3:C15,0))+1)/((((L691/(L691-1)-1)*(1-_xlfn.XLOOKUP(K691,'Janeiro 2023 - Valor Real'!A3:A15,'Janeiro 2023 - Valor Real'!C3:C15,0))+1))+((L692-1)*(1-_xlfn.XLOOKUP(K692,'Janeiro 2023 - Valor Real'!A3:A15,'Janeiro 2023 - Valor Real'!C3:C15,0))+1)),((L691-1)*(1-_xlfn.XLOOKUP(K691,'Janeiro 2023 - Valor Real'!A3:A15,'Janeiro 2023 - Valor Real'!C3:C15,0))+1)/(((L691-1)*(1-_xlfn.XLOOKUP(K691,'Janeiro 2023 - Valor Real'!A3:A15,'Janeiro 2023 - Valor Real'!C3:C15,0))+1)+((L692-1)*(1-_xlfn.XLOOKUP(K692,'Janeiro 2023 - Valor Real'!A3:A15,'Janeiro 2023 - Valor Real'!C3:C15,0))+1))))))</f>
        <v>0.758086253369272</v>
      </c>
      <c r="AF692" s="197">
        <f>IF($K692=AF$3,ROUND(IF(OR($C692="W",$C692="1/2W",$C692="1/2L"),$P692-$O692,IF($C692="X",0,-$O692)),2),0)</f>
        <v>0</v>
      </c>
      <c r="AG692" s="198">
        <f>IF($K692=AG$3,ROUND(IF(OR($C692="W",$C692="1/2W",$C692="1/2L"),$P692-$O692,IF($C692="X",0,-$O692)),2),0)</f>
        <v>0</v>
      </c>
      <c r="AH692" s="198">
        <f>IF($K692=AH$3,ROUND(IF(OR($C692="W",$C692="1/2W",$C692="1/2L"),$P692-$O692,IF($C692="X",0,-$O692)),2),0)</f>
        <v>0</v>
      </c>
      <c r="AI692" s="198">
        <f>IF($K692=AI$3,ROUND(IF(OR($C692="W",$C692="1/2W",$C692="1/2L"),$P692-$O692,IF($C692="X",0,-$O692)),2),0)</f>
        <v>0</v>
      </c>
      <c r="AJ692" s="198">
        <f>IF($K692=AJ$3,ROUND(IF(OR($C692="W",$C692="1/2W",$C692="1/2L"),$P692-$O692,IF($C692="X",0,-$O692)),2),0)</f>
        <v>0</v>
      </c>
      <c r="AK692" s="198">
        <f>IF($K692=AK$3,ROUND(IF(OR($C692="W",$C692="1/2W",$C692="1/2L"),$P692-$O692,IF($C692="X",0,-$O692)),2),0)</f>
        <v>0</v>
      </c>
      <c r="AL692" s="198">
        <f>IF($K692=AL$3,ROUND(IF(OR($C692="W",$C692="1/2W",$C692="1/2L"),$P692-$O692,IF($C692="X",0,-$O692)),2),0)</f>
        <v>0</v>
      </c>
      <c r="AM692" s="198">
        <f>IF($K692=AM$3,ROUND(IF(OR($C692="W",$C692="1/2W",$C692="1/2L"),$P692-$O692,IF($C692="X",0,-$O692)),2),0)</f>
        <v>2.18</v>
      </c>
      <c r="AN692" s="198">
        <f>IF($K692=AN$3,ROUND(IF(OR($C692="W",$C692="1/2W",$C692="1/2L"),$P692-$O692,IF($C692="X",0,-$O692)),2),0)</f>
        <v>0</v>
      </c>
      <c r="AO692" s="198">
        <f>IF($K692=AO$3,ROUND(IF(OR($C692="W",$C692="1/2W",$C692="1/2L"),$P692-$O692,IF($C692="X",0,-$O692)),2),0)</f>
        <v>0</v>
      </c>
      <c r="AP692" s="198">
        <f>IF($K692=AP$3,ROUND(IF(OR($C692="W",$C692="1/2W",$C692="1/2L"),$P692-$O692,IF($C692="X",0,-$O692)),2),0)</f>
        <v>0</v>
      </c>
      <c r="AQ692" s="198">
        <f>IF($K692=AQ$3,ROUND(IF(OR($C692="W",$C692="1/2W",$C692="1/2L"),$P692-$O692,IF($C692="X",0,-$O692)),2),0)</f>
        <v>0</v>
      </c>
      <c r="AR692" s="199">
        <f>IF($K692=AR$3,ROUND(IF(OR($C692="W",$C692="1/2W",$C692="1/2L"),$P692-$O692,IF($C692="X",0,-$O692)),2),0)</f>
        <v>0</v>
      </c>
      <c r="AS692" s="197">
        <f>IF(AND($B691=" ",$K692=AS$3),$O692,0)</f>
        <v>0</v>
      </c>
      <c r="AT692" s="198">
        <f>IF(AND($B691=" ",K692=AT$3),$O692,0)</f>
        <v>0</v>
      </c>
      <c r="AU692" s="198">
        <f>IF(AND($B691=" ",$K692=AU$3),$O692,0)</f>
        <v>0</v>
      </c>
      <c r="AV692" s="198">
        <f>IF(AND($B691=" ",$K692=AV$3),$O692,0)</f>
        <v>0</v>
      </c>
      <c r="AW692" s="198">
        <f>IF(AND($B691=" ",$K692=AW$3),$O692,0)</f>
        <v>0</v>
      </c>
      <c r="AX692" s="198">
        <f>IF(AND($B691=" ",$K692=AX$3),$O692,0)</f>
        <v>0</v>
      </c>
      <c r="AY692" s="200">
        <f>IF(AND($B691=" ",$K692=AY$3),$O692,0)</f>
        <v>0</v>
      </c>
      <c r="AZ692" s="201">
        <f>IF(AND($B691=" ",$K692=AZ$3),$O692,0)</f>
        <v>0</v>
      </c>
      <c r="BA692" s="201">
        <f>IF(AND($B691=" ",$K692=BA$3),$O692,0)</f>
        <v>0</v>
      </c>
      <c r="BB692" s="201">
        <f>IF(AND($B691=" ",$K692=BB$3),$O692,0)</f>
        <v>0</v>
      </c>
      <c r="BC692" s="202">
        <f>IF(AND($B691=" ",$K692=BC$3),$O692,0)</f>
        <v>0</v>
      </c>
      <c r="BD692" s="198">
        <f>IF(AND($B691=" ",$K692=BD$3),$O692,0)</f>
        <v>0</v>
      </c>
      <c r="BE692" s="199">
        <f>IF(AND($B691=" ",$K692=BE$3),$O692,0)</f>
        <v>0</v>
      </c>
      <c r="BF692" s="197">
        <f>IF($K692=BF$3,IF($C692="X",0,$O692),0)</f>
        <v>0</v>
      </c>
      <c r="BG692" s="198">
        <f>IF($K692=BG$3,IF($C692="X",0,$O692),0)</f>
        <v>0</v>
      </c>
      <c r="BH692" s="198">
        <f>IF($K692=BH$3,IF($C692="X",0,$O692),0)</f>
        <v>0</v>
      </c>
      <c r="BI692" s="198">
        <f>IF($K692=BI$3,IF($C692="X",0,$O692),0)</f>
        <v>0</v>
      </c>
      <c r="BJ692" s="198">
        <f>IF($K692=BJ$3,IF($C692="X",0,$O692),0)</f>
        <v>0</v>
      </c>
      <c r="BK692" s="198">
        <f>IF($K692=BK$3,IF($C692="X",0,$O692),0)</f>
        <v>0</v>
      </c>
      <c r="BL692" s="198">
        <f>IF($K692=BL$3,IF($C692="X",0,$O692),0)</f>
        <v>0</v>
      </c>
      <c r="BM692" s="227">
        <f>IF($K692=BM$3,IF($C692="X",0,$O692),0)</f>
        <v>5</v>
      </c>
      <c r="BN692" s="205">
        <f>IF($K692=BN$3,IF($C692="X",0,$O692),0)</f>
        <v>0</v>
      </c>
      <c r="BO692" s="205">
        <f>IF($K692=BO$3,IF($C692="X",0,$O692),0)</f>
        <v>0</v>
      </c>
      <c r="BP692" s="205">
        <f>IF($K692=BP$3,IF($C692="X",0,$O692),0)</f>
        <v>0</v>
      </c>
      <c r="BQ692" s="202">
        <f>IF($K692=BQ$3,IF($C692="X",0,$O692),0)</f>
        <v>0</v>
      </c>
      <c r="BR692" s="199">
        <f>IF($K692=BR$3,IF($C692="X",0,$O692),0)</f>
        <v>0</v>
      </c>
      <c r="BS692" s="228"/>
      <c r="BT692" s="229"/>
      <c r="BU692" s="140"/>
      <c r="BV692" s="229"/>
      <c r="BW692" s="140"/>
      <c r="BX692" s="140"/>
      <c r="BY692" s="140"/>
      <c r="BZ692" s="229"/>
      <c r="CA692" s="140"/>
      <c r="CB692" s="140"/>
      <c r="CC692" s="140"/>
      <c r="CD692" s="141"/>
      <c r="CE692" s="142"/>
      <c r="CF692" s="230">
        <f>IF(CF$3=$K692,IF($C692="W",1,IF($C692="1/2W",0.5,0)),0)</f>
        <v>0</v>
      </c>
      <c r="CG692" s="231">
        <f>IF(CF$3=$K692,IF($C692="L",1,IF($C692="1/2L",0.5,0)),0)</f>
        <v>0</v>
      </c>
      <c r="CH692" s="231">
        <f>IF(CH$3=$K692,IF($C692="W",1,IF($C692="1/2W",0.5,0)),0)</f>
        <v>0</v>
      </c>
      <c r="CI692" s="231">
        <f>IF(CH$3=$K692,IF($C692="L",1,IF($C692="1/2L",0.5,0)),0)</f>
        <v>0</v>
      </c>
      <c r="CJ692" s="231">
        <f>IF(CJ$3=$K692,IF($C692="W",1,IF($C692="1/2W",0.5,0)),0)</f>
        <v>0</v>
      </c>
      <c r="CK692" s="231">
        <f>IF(CJ$3=$K692,IF($C692="L",1,IF($C692="1/2L",0.5,0)),0)</f>
        <v>0</v>
      </c>
      <c r="CL692" s="231">
        <f>IF(CL$3=$K692,IF($C692="W",1,IF($C692="1/2W",0.5,0)),0)</f>
        <v>0</v>
      </c>
      <c r="CM692" s="231">
        <f>IF(CL$3=$K692,IF($C692="L",1,IF($C692="1/2L",0.5,0)),0)</f>
        <v>0</v>
      </c>
      <c r="CN692" s="231">
        <f>IF(CN$3=$K692,IF($C692="W",1,IF($C692="1/2W",0.5,0)),0)</f>
        <v>0</v>
      </c>
      <c r="CO692" s="231">
        <f>IF(CN$3=$K692,IF($C692="L",1,IF($C692="1/2L",0.5,0)),0)</f>
        <v>0</v>
      </c>
      <c r="CP692" s="231">
        <f>IF(CP$3=$K692,IF($C692="W",1,IF($C692="1/2W",0.5,0)),0)</f>
        <v>0</v>
      </c>
      <c r="CQ692" s="231">
        <f>IF(CP$3=$K692,IF($C692="L",1,IF($C692="1/2L",0.5,0)),0)</f>
        <v>0</v>
      </c>
      <c r="CR692" s="231">
        <f>IF(CR$3=$K692,IF($C692="W",1,IF($C692="1/2W",0.5,0)),0)</f>
        <v>0</v>
      </c>
      <c r="CS692" s="231">
        <f>IF(CR$3=$K692,IF($C692="L",1,IF($C692="1/2L",0.5,0)),0)</f>
        <v>0</v>
      </c>
      <c r="CT692" s="208">
        <f>IF(CT$3=$K692,IF($C692="W",1,IF($C692="1/2W",0.5,0)),0)</f>
        <v>1</v>
      </c>
      <c r="CU692" s="209">
        <f>IF(CT$3=$K692,IF($C692="L",1,IF($C692="1/2L",0.5,0)),0)</f>
        <v>0</v>
      </c>
      <c r="CV692" s="209">
        <f>IF(CV$3=$K692,IF($C692="W",1,IF($C692="1/2W",0.5,0)),0)</f>
        <v>0</v>
      </c>
      <c r="CW692" s="209">
        <f>IF(CV$3=$K692,IF($C692="L",1,IF($C692="1/2L",0.5,0)),0)</f>
        <v>0</v>
      </c>
      <c r="CX692" s="209">
        <f>IF(CX$3=$K692,IF($C692="W",1,IF($C692="1/2W",0.5,0)),0)</f>
        <v>0</v>
      </c>
      <c r="CY692" s="209">
        <f>IF(CX$3=$K692,IF($C692="L",1,IF($C692="1/2L",0.5,0)),0)</f>
        <v>0</v>
      </c>
      <c r="CZ692" s="209">
        <f>IF(CZ$3=$K692,IF($C692="W",1,IF($C692="1/2W",0.5,0)),0)</f>
        <v>0</v>
      </c>
      <c r="DA692" s="209">
        <f>IF(CZ$3=$K692,IF($C692="L",1,IF($C692="1/2L",0.5,0)),0)</f>
        <v>0</v>
      </c>
      <c r="DB692" s="209">
        <f>IF(DB$3=$K692,IF($C692="W",1,IF($C692="1/2W",0.5,0)),0)</f>
        <v>0</v>
      </c>
      <c r="DC692" s="209">
        <f>IF(DB$3=$K692,IF($C692="L",1,IF($C692="1/2L",0.5,0)),0)</f>
        <v>0</v>
      </c>
      <c r="DD692" s="209">
        <f>IF(DD$3=$K692,IF($C692="W",1,IF($C692="1/2W",0.5,0)),0)</f>
        <v>0</v>
      </c>
      <c r="DE692" s="210">
        <f>IF(DD$3=$K692,IF($C692="L",1,IF($C692="1/2L",0.5,0)),0)</f>
        <v>0</v>
      </c>
      <c r="DF692" s="211">
        <f>IF(AND(L692&lt;DF$3,$C692="W"),1+DF691,DF691)</f>
        <v>19</v>
      </c>
      <c r="DG692" s="198">
        <f>IF(DF692&gt;DF691,L692+DG691,DG691)</f>
        <v>25.354</v>
      </c>
      <c r="DH692" s="209">
        <f>IF(AND(L692&gt;DH$3,$C692="W"),1+DH691,0+DH691)</f>
        <v>18</v>
      </c>
      <c r="DI692" s="198">
        <f>IF(DH692&gt;DH691,L692+DI691,DI691)</f>
        <v>93.66</v>
      </c>
      <c r="DJ692" t="s" s="306">
        <f>IF($D691="","",$D691)</f>
        <v>481</v>
      </c>
      <c r="DK692" s="232"/>
    </row>
    <row r="693" ht="14.55" customHeight="1">
      <c r="A693" s="149"/>
      <c r="B693" s="150"/>
      <c r="C693" t="s" s="233">
        <v>58</v>
      </c>
      <c r="D693" s="152"/>
      <c r="E693" s="153"/>
      <c r="F693" s="155"/>
      <c r="G693" s="234"/>
      <c r="H693" s="156"/>
      <c r="I693" s="235"/>
      <c r="J693" s="236"/>
      <c r="K693" s="237"/>
      <c r="L693" s="238"/>
      <c r="M693" s="239"/>
      <c r="N693" s="161"/>
      <c r="O693" t="s" s="240">
        <f>IF(OR(AE691="",AE692=""),"",IF(L693&gt;0,ROUND(IF(M693&gt;0,M693,IF(M691&gt;0,ROUND((M691*AE693)/AE691,IF(N691=0,2,IF(N691=0.1,1,0))),IF(M692&gt;0,ROUND((M692*AE693)/AE692,IF(N691=0,2,IF(N691=0.1,1,0))),IF(M693&gt;0,M693,0)))),2),""))</f>
      </c>
      <c r="P693" t="s" s="241">
        <f>IF(I692="Lay",O692*(L692/(L692-1))-O692,IF(I691="Lay",O691*(L691/(L691-1))-O691,IF(OR(L693="",O693=""),"",IF($C693="1/2W",O693/2+O693/2*L693,IF($C693="1/2L",O693/2,(O693*L693-O693)*(1-_xlfn.XLOOKUP(K693,'Janeiro 2023 - Valor Real'!A3:A15,'Janeiro 2023 - Valor Real'!C3:C15,0))+O693)))))</f>
      </c>
      <c r="Q693" t="s" s="242">
        <f>IF(K693="","",IF(_xlfn.XLOOKUP(K693,K$124:K466,DJ$124:DJ466,0,,-1)=DJ693,_xlfn.XLOOKUP(K693,K$124:K466,Q$124:Q466,1,,-1)+1,1))</f>
      </c>
      <c r="R693" t="s" s="243">
        <f>IF(K693="","",_xlfn.XLOOKUP(K693,K$124:K466,R$124:R466,0,,-1)+IF($C693=" ",1,0))</f>
      </c>
      <c r="S693" s="166"/>
      <c r="T693" s="155"/>
      <c r="U693" s="155"/>
      <c r="V693" s="166"/>
      <c r="W693" s="155"/>
      <c r="X693" s="167"/>
      <c r="Y693" s="128"/>
      <c r="Z693" s="129"/>
      <c r="AA693" s="129"/>
      <c r="AB693" s="129"/>
      <c r="AC693" s="129"/>
      <c r="AD693" s="244">
        <f>((L692/(L692-1)-1))</f>
        <v>2.29357798165138</v>
      </c>
      <c r="AE693" t="s" s="245">
        <f>IF(L693="","",(SUM(((L691-1)*(1-_xlfn.XLOOKUP(K691,'Janeiro 2023 - Valor Real'!A3:A15,'Janeiro 2023 - Valor Real'!C3:C15,0))+1),((L692-1)*(1-_xlfn.XLOOKUP(K692,'Janeiro 2023 - Valor Real'!A3:A15,'Janeiro 2023 - Valor Real'!C3:C15,0))+1),((L693-1)*(1-_xlfn.XLOOKUP(K693,'Janeiro 2023 - Valor Real'!A3:A15,'Janeiro 2023 - Valor Real'!C3:C15,0))+1))/((L693-1)*(1-_xlfn.XLOOKUP(K693,'Janeiro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Real'!C3:C15,0))+1))/((L691-1)*(1-_xlfn.XLOOKUP(K691,'Janeiro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Real'!C3:C15,0))+1))/((L692-1)*(1-_xlfn.XLOOKUP(K692,'Janeiro 2023 - Valor Real'!A3:A15,'Janeiro 2023 - Valor Real'!C3:C15,0))+1)+SUM(((L691-1)*(1-_xlfn.XLOOKUP(K691,'Janeiro 2023 - Valor Real'!A3:A15,'Janeiro 2023 - Valor Real'!C3:C15,0))+1),((L692-1)*(1-_xlfn.XLOOKUP(K692,'Janeiro 2023 - Valor Real'!A3:A15,'Janeiro 2023 - Valor Real'!C3:C15,0))+1),((L693-1)*(1-_xlfn.XLOOKUP(K693,'Janeiro 2023 - Valor Real'!A3:A15,'Janeiro 2023 - Valor Real'!C3:C15,0))+1))/((L693-1)*(1-_xlfn.XLOOKUP(K693,'Janeiro 2023 - Valor Real'!A3:A15,'Janeiro 2023 - Valor Real'!C3:C15,0))+1)))</f>
      </c>
      <c r="AF693" s="197">
        <f>IF($K693=AF$3,ROUND(IF(OR($C693="W",$C693="1/2W",$C693="1/2L"),$P693-$O693,IF($C693="X",0,-$O693)),2),0)</f>
        <v>0</v>
      </c>
      <c r="AG693" s="198">
        <f>IF($K693=AG$3,ROUND(IF(OR($C693="W",$C693="1/2W",$C693="1/2L"),$P693-$O693,IF($C693="X",0,-$O693)),2),0)</f>
        <v>0</v>
      </c>
      <c r="AH693" s="198">
        <f>IF($K693=AH$3,ROUND(IF(OR($C693="W",$C693="1/2W",$C693="1/2L"),$P693-$O693,IF($C693="X",0,-$O693)),2),0)</f>
        <v>0</v>
      </c>
      <c r="AI693" s="198">
        <f>IF($K693=AI$3,ROUND(IF(OR($C693="W",$C693="1/2W",$C693="1/2L"),$P693-$O693,IF($C693="X",0,-$O693)),2),0)</f>
        <v>0</v>
      </c>
      <c r="AJ693" s="198">
        <f>IF($K693=AJ$3,ROUND(IF(OR($C693="W",$C693="1/2W",$C693="1/2L"),$P693-$O693,IF($C693="X",0,-$O693)),2),0)</f>
        <v>0</v>
      </c>
      <c r="AK693" s="198">
        <f>IF($K693=AK$3,ROUND(IF(OR($C693="W",$C693="1/2W",$C693="1/2L"),$P693-$O693,IF($C693="X",0,-$O693)),2),0)</f>
        <v>0</v>
      </c>
      <c r="AL693" s="198">
        <f>IF($K693=AL$3,ROUND(IF(OR($C693="W",$C693="1/2W",$C693="1/2L"),$P693-$O693,IF($C693="X",0,-$O693)),2),0)</f>
        <v>0</v>
      </c>
      <c r="AM693" s="198">
        <f>IF($K693=AM$3,ROUND(IF(OR($C693="W",$C693="1/2W",$C693="1/2L"),$P693-$O693,IF($C693="X",0,-$O693)),2),0)</f>
        <v>0</v>
      </c>
      <c r="AN693" s="198">
        <f>IF($K693=AN$3,ROUND(IF(OR($C693="W",$C693="1/2W",$C693="1/2L"),$P693-$O693,IF($C693="X",0,-$O693)),2),0)</f>
        <v>0</v>
      </c>
      <c r="AO693" s="198">
        <f>IF($K693=AO$3,ROUND(IF(OR($C693="W",$C693="1/2W",$C693="1/2L"),$P693-$O693,IF($C693="X",0,-$O693)),2),0)</f>
        <v>0</v>
      </c>
      <c r="AP693" s="198">
        <f>IF($K693=AP$3,ROUND(IF(OR($C693="W",$C693="1/2W",$C693="1/2L"),$P693-$O693,IF($C693="X",0,-$O693)),2),0)</f>
        <v>0</v>
      </c>
      <c r="AQ693" s="198">
        <f>IF($K693=AQ$3,ROUND(IF(OR($C693="W",$C693="1/2W",$C693="1/2L"),$P693-$O693,IF($C693="X",0,-$O693)),2),0)</f>
        <v>0</v>
      </c>
      <c r="AR693" s="199">
        <f>IF($K693=AR$3,ROUND(IF(OR($C693="W",$C693="1/2W",$C693="1/2L"),$P693-$O693,IF($C693="X",0,-$O693)),2),0)</f>
        <v>0</v>
      </c>
      <c r="AS693" s="197">
        <f>IF(AND($B691=" ",$K693=AS$3),$O693,0)</f>
        <v>0</v>
      </c>
      <c r="AT693" s="198">
        <f>IF(AND($B691=" ",K693=AT$3),$O693,0)</f>
        <v>0</v>
      </c>
      <c r="AU693" s="198">
        <f>IF(AND($B691=" ",$K693=AU$3),$O693,0)</f>
        <v>0</v>
      </c>
      <c r="AV693" s="198">
        <f>IF(AND($B691=" ",$K693=AV$3),$O693,0)</f>
        <v>0</v>
      </c>
      <c r="AW693" s="198">
        <f>IF(AND($B691=" ",$K693=AW$3),$O693,0)</f>
        <v>0</v>
      </c>
      <c r="AX693" s="198">
        <f>IF(AND($B691=" ",$K693=AX$3),$O693,0)</f>
        <v>0</v>
      </c>
      <c r="AY693" s="200">
        <f>IF(AND($B691=" ",$K693=AY$3),$O693,0)</f>
        <v>0</v>
      </c>
      <c r="AZ693" s="201">
        <f>IF(AND($B691=" ",$K693=AZ$3),$O693,0)</f>
        <v>0</v>
      </c>
      <c r="BA693" s="201">
        <f>IF(AND($B691=" ",$K693=BA$3),$O693,0)</f>
        <v>0</v>
      </c>
      <c r="BB693" s="201">
        <f>IF(AND($B691=" ",$K693=BB$3),$O693,0)</f>
        <v>0</v>
      </c>
      <c r="BC693" s="202">
        <f>IF(AND($B691=" ",$K693=BC$3),$O693,0)</f>
        <v>0</v>
      </c>
      <c r="BD693" s="198">
        <f>IF(AND($B691=" ",$K693=BD$3),$O693,0)</f>
        <v>0</v>
      </c>
      <c r="BE693" s="199">
        <f>IF(AND($B691=" ",$K693=BE$3),$O693,0)</f>
        <v>0</v>
      </c>
      <c r="BF693" s="197">
        <f>IF($K693=BF$3,IF($C693="X",0,$O693),0)</f>
        <v>0</v>
      </c>
      <c r="BG693" s="198">
        <f>IF($K693=BG$3,IF($C693="X",0,$O693),0)</f>
        <v>0</v>
      </c>
      <c r="BH693" s="198">
        <f>IF($K693=BH$3,IF($C693="X",0,$O693),0)</f>
        <v>0</v>
      </c>
      <c r="BI693" s="198">
        <f>IF($K693=BI$3,IF($C693="X",0,$O693),0)</f>
        <v>0</v>
      </c>
      <c r="BJ693" s="198">
        <f>IF($K693=BJ$3,IF($C693="X",0,$O693),0)</f>
        <v>0</v>
      </c>
      <c r="BK693" s="198">
        <f>IF($K693=BK$3,IF($C693="X",0,$O693),0)</f>
        <v>0</v>
      </c>
      <c r="BL693" s="198">
        <f>IF($K693=BL$3,IF($C693="X",0,$O693),0)</f>
        <v>0</v>
      </c>
      <c r="BM693" s="200">
        <f>IF($K693=BM$3,IF($C693="X",0,$O693),0)</f>
        <v>0</v>
      </c>
      <c r="BN693" s="201">
        <f>IF($K693=BN$3,IF($C693="X",0,$O693),0)</f>
        <v>0</v>
      </c>
      <c r="BO693" s="201">
        <f>IF($K693=BO$3,IF($C693="X",0,$O693),0)</f>
        <v>0</v>
      </c>
      <c r="BP693" s="201">
        <f>IF($K693=BP$3,IF($C693="X",0,$O693),0)</f>
        <v>0</v>
      </c>
      <c r="BQ693" s="202">
        <f>IF($K693=BQ$3,IF($C693="X",0,$O693),0)</f>
        <v>0</v>
      </c>
      <c r="BR693" s="199">
        <f>IF($K693=BR$3,IF($C693="X",0,$O693),0)</f>
        <v>0</v>
      </c>
      <c r="BS693" s="228"/>
      <c r="BT693" s="229"/>
      <c r="BU693" s="140"/>
      <c r="BV693" s="229"/>
      <c r="BW693" s="140"/>
      <c r="BX693" s="140"/>
      <c r="BY693" s="140"/>
      <c r="BZ693" s="229"/>
      <c r="CA693" s="140"/>
      <c r="CB693" s="140"/>
      <c r="CC693" s="140"/>
      <c r="CD693" s="141"/>
      <c r="CE693" s="142"/>
      <c r="CF693" s="230">
        <f>IF(CF$3=$K693,IF($C693="W",1,IF($C693="1/2W",0.5,0)),0)</f>
        <v>0</v>
      </c>
      <c r="CG693" s="231">
        <f>IF(CF$3=$K693,IF($C693="L",1,IF($C693="1/2L",0.5,0)),0)</f>
        <v>0</v>
      </c>
      <c r="CH693" s="231">
        <f>IF(CH$3=$K693,IF($C693="W",1,IF($C693="1/2W",0.5,0)),0)</f>
        <v>0</v>
      </c>
      <c r="CI693" s="231">
        <f>IF(CH$3=$K693,IF($C693="L",1,IF($C693="1/2L",0.5,0)),0)</f>
        <v>0</v>
      </c>
      <c r="CJ693" s="231">
        <f>IF(CJ$3=$K693,IF($C693="W",1,IF($C693="1/2W",0.5,0)),0)</f>
        <v>0</v>
      </c>
      <c r="CK693" s="231">
        <f>IF(CJ$3=$K693,IF($C693="L",1,IF($C693="1/2L",0.5,0)),0)</f>
        <v>0</v>
      </c>
      <c r="CL693" s="231">
        <f>IF(CL$3=$K693,IF($C693="W",1,IF($C693="1/2W",0.5,0)),0)</f>
        <v>0</v>
      </c>
      <c r="CM693" s="231">
        <f>IF(CL$3=$K693,IF($C693="L",1,IF($C693="1/2L",0.5,0)),0)</f>
        <v>0</v>
      </c>
      <c r="CN693" s="231">
        <f>IF(CN$3=$K693,IF($C693="W",1,IF($C693="1/2W",0.5,0)),0)</f>
        <v>0</v>
      </c>
      <c r="CO693" s="231">
        <f>IF(CN$3=$K693,IF($C693="L",1,IF($C693="1/2L",0.5,0)),0)</f>
        <v>0</v>
      </c>
      <c r="CP693" s="231">
        <f>IF(CP$3=$K693,IF($C693="W",1,IF($C693="1/2W",0.5,0)),0)</f>
        <v>0</v>
      </c>
      <c r="CQ693" s="231">
        <f>IF(CP$3=$K693,IF($C693="L",1,IF($C693="1/2L",0.5,0)),0)</f>
        <v>0</v>
      </c>
      <c r="CR693" s="231">
        <f>IF(CR$3=$K693,IF($C693="W",1,IF($C693="1/2W",0.5,0)),0)</f>
        <v>0</v>
      </c>
      <c r="CS693" s="231">
        <f>IF(CR$3=$K693,IF($C693="L",1,IF($C693="1/2L",0.5,0)),0)</f>
        <v>0</v>
      </c>
      <c r="CT693" s="208">
        <f>IF(CT$3=$K693,IF($C693="W",1,IF($C693="1/2W",0.5,0)),0)</f>
        <v>0</v>
      </c>
      <c r="CU693" s="209">
        <f>IF(CT$3=$K693,IF($C693="L",1,IF($C693="1/2L",0.5,0)),0)</f>
        <v>0</v>
      </c>
      <c r="CV693" s="209">
        <f>IF(CV$3=$K693,IF($C693="W",1,IF($C693="1/2W",0.5,0)),0)</f>
        <v>0</v>
      </c>
      <c r="CW693" s="209">
        <f>IF(CV$3=$K693,IF($C693="L",1,IF($C693="1/2L",0.5,0)),0)</f>
        <v>0</v>
      </c>
      <c r="CX693" s="209">
        <f>IF(CX$3=$K693,IF($C693="W",1,IF($C693="1/2W",0.5,0)),0)</f>
        <v>0</v>
      </c>
      <c r="CY693" s="209">
        <f>IF(CX$3=$K693,IF($C693="L",1,IF($C693="1/2L",0.5,0)),0)</f>
        <v>0</v>
      </c>
      <c r="CZ693" s="209">
        <f>IF(CZ$3=$K693,IF($C693="W",1,IF($C693="1/2W",0.5,0)),0)</f>
        <v>0</v>
      </c>
      <c r="DA693" s="209">
        <f>IF(CZ$3=$K693,IF($C693="L",1,IF($C693="1/2L",0.5,0)),0)</f>
        <v>0</v>
      </c>
      <c r="DB693" s="209">
        <f>IF(DB$3=$K693,IF($C693="W",1,IF($C693="1/2W",0.5,0)),0)</f>
        <v>0</v>
      </c>
      <c r="DC693" s="209">
        <f>IF(DB$3=$K693,IF($C693="L",1,IF($C693="1/2L",0.5,0)),0)</f>
        <v>0</v>
      </c>
      <c r="DD693" s="209">
        <f>IF(DD$3=$K693,IF($C693="W",1,IF($C693="1/2W",0.5,0)),0)</f>
        <v>0</v>
      </c>
      <c r="DE693" s="210">
        <f>IF(DD$3=$K693,IF($C693="L",1,IF($C693="1/2L",0.5,0)),0)</f>
        <v>0</v>
      </c>
      <c r="DF693" s="211">
        <f>IF(AND(L693&lt;DF$3,$C693="W"),1+DF692,DF692)</f>
        <v>19</v>
      </c>
      <c r="DG693" s="198">
        <f>IF(DF693&gt;DF692,L693+DG692,DG692)</f>
        <v>25.354</v>
      </c>
      <c r="DH693" s="209">
        <f>IF(AND(L693&gt;DH$3,$C693="W"),1+DH692,0+DH692)</f>
        <v>18</v>
      </c>
      <c r="DI693" s="198">
        <f>IF(DH693&gt;DH692,L693+DI692,DI692)</f>
        <v>93.66</v>
      </c>
      <c r="DJ693" t="s" s="306">
        <f>IF($D691="","",$D691)</f>
        <v>481</v>
      </c>
      <c r="DK693" s="232"/>
    </row>
    <row r="694" ht="14.55" customHeight="1">
      <c r="A694" s="246">
        <f>$A691+1</f>
        <v>231</v>
      </c>
      <c r="B694" t="s" s="247">
        <f>IF(AND(_xlfn.XLOOKUP(H694,H$107:H473,G$107:G473,0)=G694,_xlfn.XLOOKUP("TempoBet",K694:K696,L694:L696,0)&gt;0),"X",IF(OR(C694="W",C695="W",C696="W",C694="1/2W",C695="1/2W",C696="1/2W",C694="1/2L",C695="1/2L",C696="1/2L"),"OK",IF(OR(C694="L",C695="L",C696="L"),"LOSS",IF(OR(C694="X",C695="X",C696="X"),"Anulado"," "))))</f>
        <v>50</v>
      </c>
      <c r="C694" t="s" s="248">
        <v>51</v>
      </c>
      <c r="D694" t="s" s="303">
        <f>IF(G694="","",$D691)</f>
        <v>481</v>
      </c>
      <c r="E694" t="s" s="250">
        <v>121</v>
      </c>
      <c r="F694" t="s" s="251">
        <f>IF(G694="","",IF(OR(AND($C694&lt;&gt;" ",$C695=" "),AND($C695&lt;&gt;" ",$C694=" "),AND(L696&gt;0,OR(AND($C696&lt;&gt;" ",OR($C694=" ",$C695=" ")),AND($C696=" ",OR($C694&lt;&gt;" ",$C695&lt;&gt;" "))))),IF(SUM(F$4:F693)=0,1,LARGE(F$4:F693,1)+1),IF(MONTH(G694)=MONTH(TODAY()),IF(AND(DAY(G694)&lt;DAY(TODAY()),$B694=" "),IF(SUM(F$4:F693)=0,1,LARGE(F$4:F693,1)+1),IF($B694=" ",IF(AND(DAY(G694)=DAY(TODAY()),HOUR(G694)&lt;=HOUR(NOW())+1),IF(AND(HOUR(G694)+2&lt;=HOUR(NOW()),DAY(G694)&lt;=DAY(TODAY()),MINUTE(G694)&lt;=MINUTE(NOW())),IF(SUM(F$4:F693)=0,1,LARGE(F$4:F693,1)+1),IF(OR(MINUTE(G694)&lt;=MINUTE(NOW()),HOUR(G694)&lt;=HOUR(NOW())),"!!!","")),""),"")),"")))</f>
      </c>
      <c r="G694" s="252">
        <v>44957.604166666664</v>
      </c>
      <c r="H694" t="s" s="253">
        <v>491</v>
      </c>
      <c r="I694" t="s" s="254">
        <v>60</v>
      </c>
      <c r="J694" s="293"/>
      <c r="K694" t="s" s="256">
        <v>48</v>
      </c>
      <c r="L694" s="257">
        <v>1.52</v>
      </c>
      <c r="M694" s="258"/>
      <c r="N694" s="259">
        <v>0</v>
      </c>
      <c r="O694" s="260">
        <f>IF(OR(AE694="",AE695=""),"",ROUND(IF(L696&gt;0,IF(M694&gt;0,M694,IF(M695&gt;0,ROUND((M695*AE694)/AE695,IF(N694=0,2,IF(N694=0.1,1,0))),ROUND((M696*AE694)/AE696,IF(N694=0,2,IF(N694=0.1,1,0))))),IF(M694&gt;0,M694,ROUND((M695*AE694)/AE695,IF(N694=0,2,IF(N694=0.1,1,0))))),2))</f>
        <v>43.32</v>
      </c>
      <c r="P694" s="261">
        <f>IF(OR(L694="",O694=""),"",IF($C694="1/2W",O694/2+O694/2*L694,IF($C694="1/2L",O694/2,IF(I694="Lay",(O694*(L694/(L694-1))-O694)*(1-_xlfn.XLOOKUP(K694,'Janeiro 2023 - Valor Real'!A3:A15,'Janeiro 2023 - Valor Real'!C3:C15,0))+O694,(O694*L694-O694)*(1-_xlfn.XLOOKUP(K694,'Janeiro 2023 - Valor Real'!A3:A15,'Janeiro 2023 - Valor Real'!C3:C15,0))+O694))))</f>
        <v>65.8464</v>
      </c>
      <c r="Q694" s="262">
        <f>IF(K694="","",IF(_xlfn.XLOOKUP(K694,K$107:K473,DJ$107:DJ473,0,,-1)=DJ694,_xlfn.XLOOKUP(K694,K$107:K473,Q$107:Q473,1,,-1)+1,1))</f>
        <v>1</v>
      </c>
      <c r="R694" s="263">
        <f>IF(K694="","",_xlfn.XLOOKUP(K694,K$107:K473,R$107:R473,0,,-1)+IF($C694=" ",1,0))</f>
        <v>0</v>
      </c>
      <c r="S694" s="264">
        <f>IF($B694="Anulado",0,ROUND(IF(OR($B694="LOSS",$B694="OK"),IF(OR($C694="W",$C694="1/2W",$C694="1/2L"),P694-O694,IF($C694="L",-O694,0))+IF(OR($C695="W",$C695="1/2W",$C695="1/2L"),P695-O695,IF($C695="L",-O695,0))+IF(OR($C696="W",$C696="1/2W",$C696="1/2L"),P696-O696,IF($C696="L",-O696,0)),IF(AND(OR($C694="W",$C694="1/2W",$C694="1/2L"),C695="W"),P694+P695-SUM(O694:O696)+_xlfn.XLOOKUP("X",C694:C696,O694:O696,0),IF(AND(C694=TRUE,C696="W"),P694+P696-SUM(O694:O696),IF(AND(C695="W",C696="W"),P695+P696-SUM(O694:O696)+_xlfn.XLOOKUP("X",C694:C696,O694:O696,0),IF(L696&gt;0,IF(OR($C694="W",$C694="1/2W",$C694="1/2L"),P694-SUM(O694:O696)+_xlfn.XLOOKUP("X",C694:C696,O694:O696,0),IF(OR($C694="W",$C694="1/2W",$C694="1/2L"),P695-SUM(O694:O696)+_xlfn.XLOOKUP("X",C694:C696,O694:O696,0),IF(OR($C694="W",$C694="1/2W",$C694="1/2L"),P696-SUM(O694:O696)+_xlfn.XLOOKUP("X",C694:C696,O694:O696,0),IF(SUM(P694:P696)/3-SUM(O694:O696)+_xlfn.XLOOKUP("X",C694:C696,O694:O696,0)&gt;0,SUM(P694:P696)/3-SUM(O694:O696)+_xlfn.XLOOKUP("X",C694:C696,O694:O696,0),LARGE(P694:P696,1)-SUM(O694:O696))))),IF(OR($C694="W",$C694="1/2W",$C694="1/2L"),P694-SUM(O694:O695)+_xlfn.XLOOKUP("X",C694:C696,O694:O696,0),IF(OR($C694="W",$C694="1/2W",$C694="1/2L"),P695-SUM(O694:O695)+_xlfn.XLOOKUP("X",C694:C696,O694:O696,0),SUM(P694:P695)/2-SUM(O694:O695)+_xlfn.XLOOKUP("X",C694:C696,O694:O696,0)))))))),2))</f>
        <v>0.58</v>
      </c>
      <c r="T694" s="265">
        <f>IF(S694=0,0,S694/SUM(O694:O696))</f>
        <v>0.00888616516010418</v>
      </c>
      <c r="U694" s="266">
        <f>IF($D694=$D691,IF(OR($B694="LOSS",$B694="OK",$B694="Anulada"),S694,0)+U691,IF(OR($B694="LOSS",$B694="OK",$B694="Anulada"),S694,0))</f>
        <v>12.3</v>
      </c>
      <c r="V694" s="266">
        <f>IF($D694="",0,IF($D694=$D691,IF($B694=" ",IF(I696="",IF(OR(AND(I694="DNB1",I695="DNB2"),AND(OR(I694="DNB1",I694="DNB2"),J695=0),AND(OR(I695="DNB1",I695="DNB2"),J694=0),AND(I694="DNB2",I695="DNB1"),AND(IF(J694=0,(J694+1)/ROUND(J694+1,0),J694/ROUND(J694,0))=1,IF(J695=0,(J695+1)/ROUND(IF(J695="",0,J695)+1,0),IF(J695="",0,J695)/ROUND(IF(J695="",1,J695),0))=1,OR(J694&lt;&gt;""),J695&lt;&gt;"")),0,IF(S694&lt;0,IF(I696="",SMALL(P694:P695,1)-SUM(O694:O695),0),SMALL(P694:P695,1)-SUM(O694:O695))),IF(S694&lt;0,IF(I696="",SMALL(P694:P696,1)-SUM(O694:O696),0),LARGE(P694:P696,1)-SUM(O694:O696))),S694)+V691,IF(I696="",IF(OR(AND(I694="DNB1",I695="DNB2"),AND(OR(I694="DNB1",I694="DNB2"),J695=0),AND(OR(I695="DNB1",I695="DNB2"),J694=0),AND(I694="DNB2",I695="DNB1"),AND(IF(J694=0,(J694+1)/ROUND(J694+1,0),J694/ROUND(J694,0))=1,IF(J695=0,(IF(J695="",0,J695)+1)/ROUND(IF(J695="",0,J695)+1,0),IF(J695="",0,J695)/ROUND(IF(J695="",0,J695)+1,0))=1,OR(J694&lt;&gt;""),J695&lt;&gt;"")),0,IF(S694&lt;0,IF(I696="",SMALL(P694:P695,1)-SUM(O694:O695),0),SMALL(P694:P696,1)-SUM(O694:O696))),IF(S694&lt;0,IF(I696="",SMALL(P694:P696,1)-SUM(O694:O696),0),LARGE(P694:P696,1)-SUM(O694:O696)))))</f>
        <v>12.2976</v>
      </c>
      <c r="W694" s="266">
        <f>IF($D694=$D691,IF(S694&lt;0,IF(I696="",S694,0),S694)+W691,S694)</f>
        <v>12.3</v>
      </c>
      <c r="X694" t="s" s="267">
        <f>IF(OR(SUM(R694:R696)=0,V694=W694),ROUND(IF(W694=0,0,W694/Y694)*100,2)&amp;"%",ROUND(IF(V694=0,0,V694/Y694)*100,2)&amp;"% a "&amp;ROUND(IF(W694=0,0,W694/Y694)*100,2)&amp;"%")</f>
        <v>492</v>
      </c>
      <c r="Y694" s="268">
        <f>IF($D694=$D691,Y691+SUM(O694:O696),SUM(O694:O696))</f>
        <v>243.31</v>
      </c>
      <c r="Z694" s="266">
        <f>IF($B694=" ",SUM(O694:O696),0)+Z691</f>
        <v>0</v>
      </c>
      <c r="AA694" s="266">
        <f>IF(G694="","",IF($B694="Anulado",LARGE(P694:P696,1)-SUM(O694:O696)+AA691,AA691))</f>
        <v>27.7065076923077</v>
      </c>
      <c r="AB694" s="266">
        <f>IF($D694="","",AB691+S694)</f>
        <v>483.48</v>
      </c>
      <c r="AC694" s="269">
        <f>IF($D694="","",IF($B694=" ",IF(DAY(G694)=DAY(TODAY()),1+AC691,0+AC691),0+AC691))</f>
        <v>0</v>
      </c>
      <c r="AD694" s="270">
        <f>(1-_xlfn.XLOOKUP(K692,'Janeiro 2023 - Valor Real'!A3:A15,'Janeiro 2023 - Valor Real'!C3:C15,0))+1</f>
        <v>2</v>
      </c>
      <c r="AE694" s="271">
        <f>IF(L694="","",IF(L696&gt;0,(SUM(((L694-1)*(1-_xlfn.XLOOKUP(K694,'Janeiro 2023 - Valor Real'!A3:A15,'Janeiro 2023 - Valor Real'!C3:C15,0))+1),((L695-1)*(1-_xlfn.XLOOKUP(K695,'Janeiro 2023 - Valor Real'!A3:A15,'Janeiro 2023 - Valor Real'!C3:C15,0))+1),((L696-1)*(1-_xlfn.XLOOKUP(K696,'Janeiro 2023 - Valor Real'!A3:A15,'Janeiro 2023 - Valor Real'!C3:C15,0))+1))/((L694-1)*(1-_xlfn.XLOOKUP(K694,'Janeiro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Real'!C3:C15,0))+1))/((L694-1)*(1-_xlfn.XLOOKUP(K694,'Janeiro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Real'!C3:C15,0))+1))/((L695-1)*(1-_xlfn.XLOOKUP(K695,'Janeiro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Real'!C3:C15,0))+1))/((L696-1)*(1-_xlfn.XLOOKUP(K696,'Janeiro 2023 - Valor Real'!A3:A15,'Janeiro 2023 - Valor Real'!C3:C15,0))+1)),IF(I694="Lay",IF(I695="Lay",((L695/(L695-1)-1)*(1-_xlfn.XLOOKUP(K695,'Janeiro 2023 - Valor Real'!A3:A15,'Janeiro 2023 - Valor Real'!C3:C15,0))+1)/(((L695/(L695-1)-1)*(1-_xlfn.XLOOKUP(K695,'Janeiro 2023 - Valor Real'!A3:A15,'Janeiro 2023 - Valor Real'!C3:C15,0))+1)+((L694/(L694-1)-1)*(1-_xlfn.XLOOKUP(K694,'Janeiro 2023 - Valor Real'!A3:A15,'Janeiro 2023 - Valor Real'!C3:C15,0))+1)),((L695-1)*(1-_xlfn.XLOOKUP(K695,'Janeiro 2023 - Valor Real'!A3:A15,'Janeiro 2023 - Valor Real'!C3:C15,0))+1)/(((L695-1)*(1-_xlfn.XLOOKUP(K695,'Janeiro 2023 - Valor Real'!A3:A15,'Janeiro 2023 - Valor Real'!C3:C15,0))+1)+((L694/(L694-1)-1)*(1-_xlfn.XLOOKUP(K694,'Janeiro 2023 - Valor Real'!A3:A15,'Janeiro 2023 - Valor Real'!C3:C15,0))+1))),IF(I695="Lay",(((L695/(L695-1)-1)*(1-_xlfn.XLOOKUP(K695,'Janeiro 2023 - Valor Real'!A3:A15,'Janeiro 2023 - Valor Real'!C3:C15,0))+1))/(((L694-1)*(1-_xlfn.XLOOKUP(K694,'Janeiro 2023 - Valor Real'!A3:A15,'Janeiro 2023 - Valor Real'!C3:C15,0))+1)+((L695/(L695-1)-1)*(1-_xlfn.XLOOKUP(K695,'Janeiro 2023 - Valor Real'!A3:A15,'Janeiro 2023 - Valor Real'!C3:C15,0))+1)),((L695-1)*(1-_xlfn.XLOOKUP(K695,'Janeiro 2023 - Valor Real'!A3:A15,'Janeiro 2023 - Valor Real'!C3:C15,0))+1)/(((L695-1)*(1-_xlfn.XLOOKUP(K695,'Janeiro 2023 - Valor Real'!A3:A15,'Janeiro 2023 - Valor Real'!C3:C15,0))+1)+((L694-1)*(1-_xlfn.XLOOKUP(K694,'Janeiro 2023 - Valor Real'!A3:A15,'Janeiro 2023 - Valor Real'!C3:C15,0))+1))))))</f>
        <v>0.663716814159292</v>
      </c>
      <c r="AF694" s="132">
        <f>IF($K694=AF$3,ROUND(IF(OR($C694="W",$C694="1/2W",$C694="1/2L"),$P694-$O694,IF($C694="X",0,-$O694)),2),0)</f>
        <v>0</v>
      </c>
      <c r="AG694" s="133">
        <f>IF($K694=AG$3,ROUND(IF(OR($C694="W",$C694="1/2W",$C694="1/2L"),$P694-$O694,IF($C694="X",0,-$O694)),2),0)</f>
        <v>0</v>
      </c>
      <c r="AH694" s="133">
        <f>IF($K694=AH$3,ROUND(IF(OR($C694="W",$C694="1/2W",$C694="1/2L"),$P694-$O694,IF($C694="X",0,-$O694)),2),0)</f>
        <v>0</v>
      </c>
      <c r="AI694" s="133">
        <f>IF($K694=AI$3,ROUND(IF(OR($C694="W",$C694="1/2W",$C694="1/2L"),$P694-$O694,IF($C694="X",0,-$O694)),2),0)</f>
        <v>0</v>
      </c>
      <c r="AJ694" s="133">
        <f>IF($K694=AJ$3,ROUND(IF(OR($C694="W",$C694="1/2W",$C694="1/2L"),$P694-$O694,IF($C694="X",0,-$O694)),2),0)</f>
        <v>0</v>
      </c>
      <c r="AK694" s="133">
        <f>IF($K694=AK$3,ROUND(IF(OR($C694="W",$C694="1/2W",$C694="1/2L"),$P694-$O694,IF($C694="X",0,-$O694)),2),0)</f>
        <v>0</v>
      </c>
      <c r="AL694" s="133">
        <f>IF($K694=AL$3,ROUND(IF(OR($C694="W",$C694="1/2W",$C694="1/2L"),$P694-$O694,IF($C694="X",0,-$O694)),2),0)</f>
        <v>0</v>
      </c>
      <c r="AM694" s="133">
        <f>IF($K694=AM$3,ROUND(IF(OR($C694="W",$C694="1/2W",$C694="1/2L"),$P694-$O694,IF($C694="X",0,-$O694)),2),0)</f>
        <v>0</v>
      </c>
      <c r="AN694" s="133">
        <f>IF($K694=AN$3,ROUND(IF(OR($C694="W",$C694="1/2W",$C694="1/2L"),$P694-$O694,IF($C694="X",0,-$O694)),2),0)</f>
        <v>0</v>
      </c>
      <c r="AO694" s="133">
        <f>IF($K694=AO$3,ROUND(IF(OR($C694="W",$C694="1/2W",$C694="1/2L"),$P694-$O694,IF($C694="X",0,-$O694)),2),0)</f>
        <v>0</v>
      </c>
      <c r="AP694" s="133">
        <f>IF($K694=AP$3,ROUND(IF(OR($C694="W",$C694="1/2W",$C694="1/2L"),$P694-$O694,IF($C694="X",0,-$O694)),2),0)</f>
        <v>0</v>
      </c>
      <c r="AQ694" s="133">
        <f>IF($K694=AQ$3,ROUND(IF(OR($C694="W",$C694="1/2W",$C694="1/2L"),$P694-$O694,IF($C694="X",0,-$O694)),2),0)</f>
        <v>-43.32</v>
      </c>
      <c r="AR694" s="134">
        <f>IF($K694=AR$3,ROUND(IF(OR($C694="W",$C694="1/2W",$C694="1/2L"),$P694-$O694,IF($C694="X",0,-$O694)),2),0)</f>
        <v>0</v>
      </c>
      <c r="AS694" s="132">
        <f>IF(AND($B694=" ",$K694=AS$3),$O694,0)</f>
        <v>0</v>
      </c>
      <c r="AT694" s="133">
        <f>IF(AND($B694=" ",$K694=AT$3),$O694,0)</f>
        <v>0</v>
      </c>
      <c r="AU694" s="133">
        <f>IF(AND($B694=" ",$K694=AU$3),$O694,0)</f>
        <v>0</v>
      </c>
      <c r="AV694" s="133">
        <f>IF(AND($B694=" ",$K694=AV$3),$O694,0)</f>
        <v>0</v>
      </c>
      <c r="AW694" s="133">
        <f>IF(AND($B694=" ",$K694=AW$3),$O694,0)</f>
        <v>0</v>
      </c>
      <c r="AX694" s="133">
        <f>IF(AND($B694=" ",$K694=AX$3),$O694,0)</f>
        <v>0</v>
      </c>
      <c r="AY694" s="135">
        <f>IF(AND($B694=" ",$K694=AY$3),$O694,0)</f>
        <v>0</v>
      </c>
      <c r="AZ694" s="136">
        <f>IF(AND($B694=" ",$K694=AZ$3),$O694,0)</f>
        <v>0</v>
      </c>
      <c r="BA694" s="136">
        <f>IF(AND($B694=" ",$K694=BA$3),$O694,0)</f>
        <v>0</v>
      </c>
      <c r="BB694" s="136">
        <f>IF(AND($B694=" ",$K694=BB$3),$O694,0)</f>
        <v>0</v>
      </c>
      <c r="BC694" s="137">
        <f>IF(AND($B694=" ",$K694=BC$3),$O694,0)</f>
        <v>0</v>
      </c>
      <c r="BD694" s="133">
        <f>IF(AND($B694=" ",$K694=BD$3),$O694,0)</f>
        <v>0</v>
      </c>
      <c r="BE694" s="134">
        <f>IF(AND($B694=" ",$K694=BE$3),$O694,0)</f>
        <v>0</v>
      </c>
      <c r="BF694" s="132">
        <f>IF($K694=BF$3,IF($C694="X",0,$O694),0)</f>
        <v>0</v>
      </c>
      <c r="BG694" s="133">
        <f>IF($K694=BG$3,IF($C694="X",0,$O694),0)</f>
        <v>0</v>
      </c>
      <c r="BH694" s="133">
        <f>IF($K694=BH$3,IF($C694="X",0,$O694),0)</f>
        <v>0</v>
      </c>
      <c r="BI694" s="133">
        <f>IF($K694=BI$3,IF($C694="X",0,$O694),0)</f>
        <v>0</v>
      </c>
      <c r="BJ694" s="133">
        <f>IF($K694=BJ$3,IF($C694="X",0,$O694),0)</f>
        <v>0</v>
      </c>
      <c r="BK694" s="133">
        <f>IF($K694=BK$3,IF($C694="X",0,$O694),0)</f>
        <v>0</v>
      </c>
      <c r="BL694" s="133">
        <f>IF($K694=BL$3,IF($C694="X",0,$O694),0)</f>
        <v>0</v>
      </c>
      <c r="BM694" s="135">
        <f>IF($K694=BM$3,IF($C694="X",0,$O694),0)</f>
        <v>0</v>
      </c>
      <c r="BN694" s="136">
        <f>IF($K694=BN$3,IF($C694="X",0,$O694),0)</f>
        <v>0</v>
      </c>
      <c r="BO694" s="136">
        <f>IF($K694=BO$3,IF($C694="X",0,$O694),0)</f>
        <v>0</v>
      </c>
      <c r="BP694" s="136">
        <f>IF($K694=BP$3,IF($C694="X",0,$O694),0)</f>
        <v>0</v>
      </c>
      <c r="BQ694" s="137">
        <f>IF($K694=BQ$3,IF($C694="X",0,$O694),0)</f>
        <v>43.32</v>
      </c>
      <c r="BR694" s="134">
        <f>IF($K694=BR$3,IF($C694="X",0,$O694),0)</f>
        <v>0</v>
      </c>
      <c r="BS694" s="170">
        <f>IF($B694="LOSS",IF(AND($K694=BS$3,$C694="L"),-$O694,0)+IF(AND($K695=BS$3,$C695="L"),-$O695,0)+IF(AND($K696=BS$3,$C696="L"),-$O696,0),IF(OR(AND($K694=BS$3,OR($C694="W",$C694="1/2W")),AND($K695=BS$3,OR($C695="W",$C695="1/2W")),AND($K696=BS$3,OR($C696="W",$C696="1/2W"))),$S694,0))</f>
        <v>0.58</v>
      </c>
      <c r="BT694" s="272">
        <f>IF($B694="LOSS",IF(AND($K694=BT$3,$C694="L"),-$O694,0)+IF(AND($K695=BT$3,$C695="L"),-$O695,0)+IF(AND($K695=BT$3,$C696="L"),-$O696,0),IF(OR(AND($K695=BT$3,OR($C694="W",$C694="1/2W")),AND($K695=BT$3,OR($C695="W",$C695="1/2W")),AND($K695=BT$3,OR($C696="W",$C696="1/2W"))),$S694,0))</f>
        <v>0</v>
      </c>
      <c r="BU694" s="136">
        <f>IF($B694="LOSS",IF(AND($K694=BU$3,$C694="L"),-$O694,0)+IF(AND($K695=BU$3,$C695="L"),-$O695,0)+IF(AND($K695=BU$3,$C696="L"),-$O696,0),IF(OR(AND($K695=BU$3,OR($C694="W",$C694="1/2W")),AND($K695=BU$3,OR($C695="W",$C695="1/2W")),AND($K695=BU$3,OR($C696="W",$C696="1/2W"))),$S694,0))</f>
        <v>0</v>
      </c>
      <c r="BV694" s="136">
        <f>IF($B694="LOSS",IF(AND($K694=BV$3,$C694="L"),-$O694,0)+IF(AND($K695=BV$3,$C695="L"),-$O695,0)+IF(AND($K696=BV$3,$C696="L"),-$O696,0),IF(OR(AND($K694=BV$3,OR($C694="W",$C694="1/2W")),AND($K695=BV$3,OR($C695="W",$C695="1/2W")),AND($K696=BV$3,OR($C696="W",$C696="1/2W"))),$S694,0))</f>
        <v>0</v>
      </c>
      <c r="BW694" s="136">
        <f>IF($B694="LOSS",IF(AND($K694=BW$3,$C694="L"),-$O694,0)+IF(AND($K695=BW$3,$C695="L"),-$O695,0)+IF(AND($K696=BW$3,$C696="L"),-$O696,0),IF(OR(AND($K694=BW$3,OR($C694="W",$C694="1/2W")),AND($K695=BW$3,OR($C695="W",$C695="1/2W")),AND($K696=BW$3,OR($C696="W",$C696="1/2W"))),$S694,0))</f>
        <v>0</v>
      </c>
      <c r="BX694" s="136">
        <f>IF($B694="LOSS",IF(AND($K694=BX$3,$C694="L"),-$O694,0)+IF(AND($K695=BX$3,$C695="L"),-$O695,0)+IF(AND($K696=BX$3,$C696="L"),-$O696,0),IF(OR(AND($K694=BX$3,OR($C694="W",$C694="1/2W")),AND($K695=BX$3,OR($C695="W",$C695="1/2W")),AND($K696=BX$3,OR($C696="W",$C696="1/2W"))),$S694,0))</f>
        <v>0</v>
      </c>
      <c r="BY694" s="136">
        <f>IF($B694="LOSS",IF(AND($K694=BY$3,$C694="L"),-$O694,0)+IF(AND($K695=BY$3,$C695="L"),-$O695,0)+IF(AND($K696=BY$3,$C696="L"),-$O696,0),IF(OR(AND($K694=BY$3,OR($C694="W",$C694="1/2W")),AND($K695=BY$3,OR($C695="W",$C695="1/2W")),AND($K696=BY$3,OR($C696="W",$C696="1/2W"))),$S694,0))</f>
        <v>0</v>
      </c>
      <c r="BZ694" s="136">
        <f>IF($B694="LOSS",IF(AND($K694=BZ$3,$C694="L"),-$O694,0)+IF(AND($K695=BZ$3,$C695="L"),-$O695,0)+IF(AND($K696=BZ$3,$C696="L"),-$O696,0),IF(OR(AND($K694=BZ$3,OR($C694="W",$C694="1/2W")),AND($K695=BZ$3,OR($C695="W",$C695="1/2W")),AND($K696=BZ$3,OR($C696="W",$C696="1/2W"))),$S694,0))</f>
        <v>0</v>
      </c>
      <c r="CA694" s="136">
        <f>IF($B694="LOSS",IF(AND($K694=CA$3,$C694="L"),-$O694,0)+IF(AND($K695=CA$3,$C695="L"),-$O695,0)+IF(AND($K696=CA$3,$C696="L"),-$O696,0),IF(OR(AND($K694=CA$3,OR($C694="W",$C694="1/2W")),AND($K695=CA$3,OR($C695="W",$C695="1/2W")),AND($K696=CA$3,OR($C696="W",$C696="1/2W"))),$S694,0))</f>
        <v>0</v>
      </c>
      <c r="CB694" s="136">
        <f>IF($B694="LOSS",IF(AND($K694=CB$3,$C694="L"),-$O694,0)+IF(AND($K695=CB$3,$C695="L"),-$O695,0)+IF(AND($K696=CB$3,$C696="L"),-$O696,0),IF(OR(AND($K694=CB$3,OR($C694="W",$C694="1/2W")),AND($K695=CB$3,OR($C695="W",$C695="1/2W")),AND($K696=CB$3,OR($C696="W",$C696="1/2W"))),$S694,0))</f>
        <v>0</v>
      </c>
      <c r="CC694" s="136">
        <f>IF($B694="LOSS",IF(AND($K694=CC$3,$C694="L"),-$O694,0)+IF(AND($K695=CC$3,$C695="L"),-$O695,0)+IF(AND($K696=CC$3,$C696="L"),-$O696,0),IF(OR(AND($K694=CC$3,OR($C694="W",$C694="1/2W")),AND($K695=CC$3,OR($C695="W",$C695="1/2W")),AND($K696=CC$3,OR($C696="W",$C696="1/2W"))),$S694,0))</f>
        <v>0</v>
      </c>
      <c r="CD694" s="137">
        <f>IF($B694="LOSS",IF(AND($K694=CD$3,$C694="L"),-$O694,0)+IF(AND($K695=CD$3,$C695="L"),-$O695,0)+IF(AND($K696=CD$3,$C696="L"),-$O696,0),IF(OR(AND($K694=CD$3,OR($C694="W",$C694="1/2W")),AND($K695=CD$3,OR($C695="W",$C695="1/2W")),AND($K696=CD$3,OR($C696="W",$C696="1/2W"))),$S694,0))</f>
        <v>0</v>
      </c>
      <c r="CE694" s="134">
        <f>IF($B694="LOSS",IF(AND($K694=CE$3,$C694="L"),-$O694,0)+IF(AND($K695=CE$3,$C695="L"),-$O695,0)+IF(AND($K696=CE$3,$C696="L"),-$O696,0),IF(OR(AND($K694=CE$3,OR($C694="W",$C694="1/2W")),AND($K695=CE$3,OR($C695="W",$C695="1/2W")),AND($K696=CE$3,OR($C696="W",$C696="1/2W"))),$S694,0))</f>
        <v>0</v>
      </c>
      <c r="CF694" s="273">
        <f>IF(CF$3=$K694,IF($C694="W",1,IF($C694="1/2W",0.5,0)),0)</f>
        <v>0</v>
      </c>
      <c r="CG694" s="274">
        <f>IF(CF$3=$K694,IF($C694="L",1,IF($C694="1/2L",0.5,0)),0)</f>
        <v>0</v>
      </c>
      <c r="CH694" s="274">
        <f>IF(CH$3=$K694,IF($C694="W",1,IF($C694="1/2W",0.5,0)),0)</f>
        <v>0</v>
      </c>
      <c r="CI694" s="274">
        <f>IF(CH$3=$K694,IF($C694="L",1,IF($C694="1/2L",0.5,0)),0)</f>
        <v>0</v>
      </c>
      <c r="CJ694" s="274">
        <f>IF(CJ$3=$K694,IF($C694="W",1,IF($C694="1/2W",0.5,0)),0)</f>
        <v>0</v>
      </c>
      <c r="CK694" s="274">
        <f>IF(CJ$3=$K694,IF($C694="L",1,IF($C694="1/2L",0.5,0)),0)</f>
        <v>0</v>
      </c>
      <c r="CL694" s="274">
        <f>IF(CL$3=$K694,IF($C694="W",1,IF($C694="1/2W",0.5,0)),0)</f>
        <v>0</v>
      </c>
      <c r="CM694" s="274">
        <f>IF(CL$3=$K694,IF($C694="L",1,IF($C694="1/2L",0.5,0)),0)</f>
        <v>0</v>
      </c>
      <c r="CN694" s="274">
        <f>IF(CN$3=$K694,IF($C694="W",1,IF($C694="1/2W",0.5,0)),0)</f>
        <v>0</v>
      </c>
      <c r="CO694" s="274">
        <f>IF(CN$3=$K694,IF($C694="L",1,IF($C694="1/2L",0.5,0)),0)</f>
        <v>0</v>
      </c>
      <c r="CP694" s="274">
        <f>IF(CP$3=$K694,IF($C694="W",1,IF($C694="1/2W",0.5,0)),0)</f>
        <v>0</v>
      </c>
      <c r="CQ694" s="274">
        <f>IF(CP$3=$K694,IF($C694="L",1,IF($C694="1/2L",0.5,0)),0)</f>
        <v>0</v>
      </c>
      <c r="CR694" s="274">
        <f>IF(CR$3=$K694,IF($C694="W",1,IF($C694="1/2W",0.5,0)),0)</f>
        <v>0</v>
      </c>
      <c r="CS694" s="274">
        <f>IF(CR$3=$K694,IF($C694="L",1,IF($C694="1/2L",0.5,0)),0)</f>
        <v>0</v>
      </c>
      <c r="CT694" s="145">
        <f>IF(CT$3=$K694,IF($C694="W",1,IF($C694="1/2W",0.5,0)),0)</f>
        <v>0</v>
      </c>
      <c r="CU694" s="146">
        <f>IF(CT$3=$K694,IF($C694="L",1,IF($C694="1/2L",0.5,0)),0)</f>
        <v>0</v>
      </c>
      <c r="CV694" s="146">
        <f>IF(CV$3=$K694,IF($C694="W",1,IF($C694="1/2W",0.5,0)),0)</f>
        <v>0</v>
      </c>
      <c r="CW694" s="146">
        <f>IF(CV$3=$K694,IF($C694="L",1,IF($C694="1/2L",0.5,0)),0)</f>
        <v>0</v>
      </c>
      <c r="CX694" s="146">
        <f>IF(CX$3=$K694,IF($C694="W",1,IF($C694="1/2W",0.5,0)),0)</f>
        <v>0</v>
      </c>
      <c r="CY694" s="146">
        <f>IF(CX$3=$K694,IF($C694="L",1,IF($C694="1/2L",0.5,0)),0)</f>
        <v>0</v>
      </c>
      <c r="CZ694" s="146">
        <f>IF(CZ$3=$K694,IF($C694="W",1,IF($C694="1/2W",0.5,0)),0)</f>
        <v>0</v>
      </c>
      <c r="DA694" s="146">
        <f>IF(CZ$3=$K694,IF($C694="L",1,IF($C694="1/2L",0.5,0)),0)</f>
        <v>0</v>
      </c>
      <c r="DB694" s="146">
        <f>IF(DB$3=$K694,IF($C694="W",1,IF($C694="1/2W",0.5,0)),0)</f>
        <v>0</v>
      </c>
      <c r="DC694" s="146">
        <f>IF(DB$3=$K694,IF($C694="L",1,IF($C694="1/2L",0.5,0)),0)</f>
        <v>1</v>
      </c>
      <c r="DD694" s="146">
        <f>IF(DD$3=$K694,IF($C694="W",1,IF($C694="1/2W",0.5,0)),0)</f>
        <v>0</v>
      </c>
      <c r="DE694" s="147">
        <f>IF(DD$3=$K694,IF($C694="L",1,IF($C694="1/2L",0.5,0)),0)</f>
        <v>0</v>
      </c>
      <c r="DF694" s="143">
        <f>IF(AND(L694&lt;DF$3,$C694="W"),1+DF693,DF693)</f>
        <v>19</v>
      </c>
      <c r="DG694" s="133">
        <f>IF(DF694&gt;DF693,L694+DG693,DG693)</f>
        <v>25.354</v>
      </c>
      <c r="DH694" s="146">
        <f>IF(AND(L694&gt;DH$3,$C694="W"),1+DH693,0+DH693)</f>
        <v>18</v>
      </c>
      <c r="DI694" s="133">
        <f>IF(DH694&gt;DH693,L694+DI693,DI693)</f>
        <v>93.66</v>
      </c>
      <c r="DJ694" t="s" s="304">
        <f>IF($D694="","",$D694)</f>
        <v>481</v>
      </c>
      <c r="DK694" s="146">
        <f>IF(AND($B694=" ",$D694&lt;&gt;""),1,0)</f>
        <v>0</v>
      </c>
    </row>
    <row r="695" ht="14.55" customHeight="1">
      <c r="A695" s="107"/>
      <c r="B695" s="108"/>
      <c r="C695" t="s" s="109">
        <v>56</v>
      </c>
      <c r="D695" s="110"/>
      <c r="E695" s="111"/>
      <c r="F695" s="113"/>
      <c r="G695" s="252"/>
      <c r="H695" s="114"/>
      <c r="I695" t="s" s="275">
        <v>62</v>
      </c>
      <c r="J695" t="s" s="295">
        <f>IF(OR(I694="TO",I694="TU",I694="TO1",I694="TU1",I694="TO2",I694="TU2"),J694,IF(OR(I694="AH1",I694="AH2"),IF(OR(I695="AH1",I695="AH2"),-J694,IF(OR(I695="EH1",I695="EH2"),-J694+0.5,"")),IF(OR(I694="EH1",I694="EH2"),IF(OR(I695="AH1",I695="AH2"),-J694+0.5,IF(OR(I695="EH1",I695="EH2"),-J694+1,"")),IF(AND(OR(I694="DNB1",I694="DNB2"),OR(I695="AH1",I695="AH2")),0,IF(AND(I694="Not ScoreBoth",OR(I695="TO1",I695="TO2")),0.5,"")))))</f>
      </c>
      <c r="K695" t="s" s="117">
        <v>37</v>
      </c>
      <c r="L695" s="277">
        <v>3</v>
      </c>
      <c r="M695" s="278">
        <v>21.95</v>
      </c>
      <c r="N695" s="120"/>
      <c r="O695" s="121">
        <f>IF(OR(AE694="",AE695=""),"",ROUND(IF(L696&gt;0,IF(M695&gt;0,M695,IF(M694&gt;0,IF(N694=TRUE,ROUND((M694*AE695)/AE694,0),(M694*AE695)/AE694),IF(M695&gt;0,ROUND(M695,IF(N694=0,2,IF(N694=0.1,1,0))),IF(M696&gt;0,ROUND(O696*AE695/AE696,IF(N694=0,2,IF(N694=0.1,1,0))),0)))),IF(M695&gt;0,M695,ROUND((M694*AE695)/AE694,IF(N694=0,2,IF(N694=0.1,1,0))))),2))</f>
        <v>21.95</v>
      </c>
      <c r="P695" s="122">
        <f>IF(OR(L695="",O695=""),"",IF($C695="1/2W",O695/2+O695/2*L695,IF($C695="1/2L",O695/2,IF(I695="Lay",((O695*(L695/(L695-1)))-O695)*(1-_xlfn.XLOOKUP(K695,'Janeiro 2023 - Valor Real'!A3:A15,'Janeiro 2023 - Valor Real'!C3:C15,0))+O695,(O695*L695-O695)*(1-_xlfn.XLOOKUP(K695,'Janeiro 2023 - Valor Real'!A3:A15,'Janeiro 2023 - Valor Real'!C3:C15,0))+O695))))</f>
        <v>65.84999999999999</v>
      </c>
      <c r="Q695" s="279">
        <f>IF(K695="","",IF(_xlfn.XLOOKUP(K695,K$120:K474,DJ$120:DJ474,0,,-1)=DJ695,_xlfn.XLOOKUP(K695,K$120:K474,Q$120:Q474,1,,-1)+1,1))</f>
        <v>1</v>
      </c>
      <c r="R695" s="280">
        <f>IF(K695="","",_xlfn.XLOOKUP(K695,K$120:K474,R$120:R474,0,,-1)+IF($C695=" ",1,0))</f>
        <v>0</v>
      </c>
      <c r="S695" s="125"/>
      <c r="T695" s="126"/>
      <c r="U695" s="126"/>
      <c r="V695" s="224"/>
      <c r="W695" s="126"/>
      <c r="X695" s="127"/>
      <c r="Y695" s="128"/>
      <c r="Z695" s="129"/>
      <c r="AA695" s="129"/>
      <c r="AB695" s="129"/>
      <c r="AC695" s="129"/>
      <c r="AD695" s="130"/>
      <c r="AE695" s="131">
        <f>IF(L695="","",IF(L696&gt;0,(SUM(((L694-1)*(1-_xlfn.XLOOKUP(K694,'Janeiro 2023 - Valor Real'!A3:A15,'Janeiro 2023 - Valor Real'!C3:C15,0))+1),((L695-1)*(1-_xlfn.XLOOKUP(K695,'Janeiro 2023 - Valor Real'!A3:A15,'Janeiro 2023 - Valor Real'!C3:C15,0))+1),((L696-1)*(1-_xlfn.XLOOKUP(K696,'Janeiro 2023 - Valor Real'!A3:A15,'Janeiro 2023 - Valor Real'!C3:C15,0))+1))/((L695-1)*(1-_xlfn.XLOOKUP(K695,'Janeiro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Real'!C3:C15,0))+1))/((L694-1)*(1-_xlfn.XLOOKUP(K694,'Janeiro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Real'!C3:C15,0))+1))/((L695-1)*(1-_xlfn.XLOOKUP(K695,'Janeiro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Real'!C3:C15,0))+1))/((L696-1)*(1-_xlfn.XLOOKUP(K696,'Janeiro 2023 - Valor Real'!A3:A15,'Janeiro 2023 - Valor Real'!C3:C15,0))+1)),IF(I695="Lay",IF(I694="Lay",((L694/(L694-1)-1)*(1-_xlfn.XLOOKUP(K694,'Janeiro 2023 - Valor Real'!A3:A15,'Janeiro 2023 - Valor Real'!C3:C15,0))+1)/(((L694/(L694-1)-1)*(1-_xlfn.XLOOKUP(K694,'Janeiro 2023 - Valor Real'!A3:A15,'Janeiro 2023 - Valor Real'!C3:C15,0))+1)+((L695/(L695-1)-1)*(1-_xlfn.XLOOKUP(K695,'Janeiro 2023 - Valor Real'!A3:A15,'Janeiro 2023 - Valor Real'!C3:C15,0))+1)),((L694-1)*(1-_xlfn.XLOOKUP(K694,'Janeiro 2023 - Valor Real'!A3:A15,'Janeiro 2023 - Valor Real'!C3:C15,0))+1)/(((L694-1)*(1-_xlfn.XLOOKUP(K694,'Janeiro 2023 - Valor Real'!A3:A15,'Janeiro 2023 - Valor Real'!C3:C15,0))+1)+((L695/(L695-1)-1)*(1-_xlfn.XLOOKUP(K695,'Janeiro 2023 - Valor Real'!A3:A15,'Janeiro 2023 - Valor Real'!C3:C15,0))+1))),IF(I694="Lay",((L694/(L694-1)-1)*(1-_xlfn.XLOOKUP(K694,'Janeiro 2023 - Valor Real'!A3:A15,'Janeiro 2023 - Valor Real'!C3:C15,0))+1)/((((L694/(L694-1)-1)*(1-_xlfn.XLOOKUP(K694,'Janeiro 2023 - Valor Real'!A3:A15,'Janeiro 2023 - Valor Real'!C3:C15,0))+1))+((L695-1)*(1-_xlfn.XLOOKUP(K695,'Janeiro 2023 - Valor Real'!A3:A15,'Janeiro 2023 - Valor Real'!C3:C15,0))+1)),((L694-1)*(1-_xlfn.XLOOKUP(K694,'Janeiro 2023 - Valor Real'!A3:A15,'Janeiro 2023 - Valor Real'!C3:C15,0))+1)/(((L694-1)*(1-_xlfn.XLOOKUP(K694,'Janeiro 2023 - Valor Real'!A3:A15,'Janeiro 2023 - Valor Real'!C3:C15,0))+1)+((L695-1)*(1-_xlfn.XLOOKUP(K695,'Janeiro 2023 - Valor Real'!A3:A15,'Janeiro 2023 - Valor Real'!C3:C15,0))+1))))))</f>
        <v>0.336283185840708</v>
      </c>
      <c r="AF695" s="132">
        <f>IF($K695=AF$3,ROUND(IF(OR($C695="W",$C695="1/2W",$C695="1/2L"),$P695-$O695,IF($C695="X",0,-$O695)),2),0)</f>
        <v>43.9</v>
      </c>
      <c r="AG695" s="133">
        <f>IF($K695=AG$3,ROUND(IF(OR($C695="W",$C695="1/2W",$C695="1/2L"),$P695-$O695,IF($C695="X",0,-$O695)),2),0)</f>
        <v>0</v>
      </c>
      <c r="AH695" s="133">
        <f>IF($K695=AH$3,ROUND(IF(OR($C695="W",$C695="1/2W",$C695="1/2L"),$P695-$O695,IF($C695="X",0,-$O695)),2),0)</f>
        <v>0</v>
      </c>
      <c r="AI695" s="133">
        <f>IF($K695=AI$3,ROUND(IF(OR($C695="W",$C695="1/2W",$C695="1/2L"),$P695-$O695,IF($C695="X",0,-$O695)),2),0)</f>
        <v>0</v>
      </c>
      <c r="AJ695" s="133">
        <f>IF($K695=AJ$3,ROUND(IF(OR($C695="W",$C695="1/2W",$C695="1/2L"),$P695-$O695,IF($C695="X",0,-$O695)),2),0)</f>
        <v>0</v>
      </c>
      <c r="AK695" s="133">
        <f>IF($K695=AK$3,ROUND(IF(OR($C695="W",$C695="1/2W",$C695="1/2L"),$P695-$O695,IF($C695="X",0,-$O695)),2),0)</f>
        <v>0</v>
      </c>
      <c r="AL695" s="133">
        <f>IF($K695=AL$3,ROUND(IF(OR($C695="W",$C695="1/2W",$C695="1/2L"),$P695-$O695,IF($C695="X",0,-$O695)),2),0)</f>
        <v>0</v>
      </c>
      <c r="AM695" s="133">
        <f>IF($K695=AM$3,ROUND(IF(OR($C695="W",$C695="1/2W",$C695="1/2L"),$P695-$O695,IF($C695="X",0,-$O695)),2),0)</f>
        <v>0</v>
      </c>
      <c r="AN695" s="133">
        <f>IF($K695=AN$3,ROUND(IF(OR($C695="W",$C695="1/2W",$C695="1/2L"),$P695-$O695,IF($C695="X",0,-$O695)),2),0)</f>
        <v>0</v>
      </c>
      <c r="AO695" s="133">
        <f>IF($K695=AO$3,ROUND(IF(OR($C695="W",$C695="1/2W",$C695="1/2L"),$P695-$O695,IF($C695="X",0,-$O695)),2),0)</f>
        <v>0</v>
      </c>
      <c r="AP695" s="133">
        <f>IF($K695=AP$3,ROUND(IF(OR($C695="W",$C695="1/2W",$C695="1/2L"),$P695-$O695,IF($C695="X",0,-$O695)),2),0)</f>
        <v>0</v>
      </c>
      <c r="AQ695" s="133">
        <f>IF($K695=AQ$3,ROUND(IF(OR($C695="W",$C695="1/2W",$C695="1/2L"),$P695-$O695,IF($C695="X",0,-$O695)),2),0)</f>
        <v>0</v>
      </c>
      <c r="AR695" s="134">
        <f>IF($K695=AR$3,ROUND(IF(OR($C695="W",$C695="1/2W",$C695="1/2L"),$P695-$O695,IF($C695="X",0,-$O695)),2),0)</f>
        <v>0</v>
      </c>
      <c r="AS695" s="132">
        <f>IF(AND($B694=" ",$K695=AS$3),$O695,0)</f>
        <v>0</v>
      </c>
      <c r="AT695" s="133">
        <f>IF(AND($B694=" ",K695=AT$3),$O695,0)</f>
        <v>0</v>
      </c>
      <c r="AU695" s="133">
        <f>IF(AND($B694=" ",$K695=AU$3),$O695,0)</f>
        <v>0</v>
      </c>
      <c r="AV695" s="133">
        <f>IF(AND($B694=" ",$K695=AV$3),$O695,0)</f>
        <v>0</v>
      </c>
      <c r="AW695" s="133">
        <f>IF(AND($B694=" ",$K695=AW$3),$O695,0)</f>
        <v>0</v>
      </c>
      <c r="AX695" s="133">
        <f>IF(AND($B694=" ",$K695=AX$3),$O695,0)</f>
        <v>0</v>
      </c>
      <c r="AY695" s="135">
        <f>IF(AND($B694=" ",$K695=AY$3),$O695,0)</f>
        <v>0</v>
      </c>
      <c r="AZ695" s="136">
        <f>IF(AND($B694=" ",$K695=AZ$3),$O695,0)</f>
        <v>0</v>
      </c>
      <c r="BA695" s="136">
        <f>IF(AND($B694=" ",$K695=BA$3),$O695,0)</f>
        <v>0</v>
      </c>
      <c r="BB695" s="136">
        <f>IF(AND($B694=" ",$K695=BB$3),$O695,0)</f>
        <v>0</v>
      </c>
      <c r="BC695" s="137">
        <f>IF(AND($B694=" ",$K695=BC$3),$O695,0)</f>
        <v>0</v>
      </c>
      <c r="BD695" s="133">
        <f>IF(AND($B694=" ",$K695=BD$3),$O695,0)</f>
        <v>0</v>
      </c>
      <c r="BE695" s="134">
        <f>IF(AND($B694=" ",$K695=BE$3),$O695,0)</f>
        <v>0</v>
      </c>
      <c r="BF695" s="132">
        <f>IF($K695=BF$3,IF($C695="X",0,$O695),0)</f>
        <v>21.95</v>
      </c>
      <c r="BG695" s="281">
        <f>IF($K695=BG$3,IF($C695="X",0,$O695),0)</f>
        <v>0</v>
      </c>
      <c r="BH695" s="133">
        <f>IF($K695=BH$3,IF($C695="X",0,$O695),0)</f>
        <v>0</v>
      </c>
      <c r="BI695" s="133">
        <f>IF($K695=BI$3,IF($C695="X",0,$O695),0)</f>
        <v>0</v>
      </c>
      <c r="BJ695" s="133">
        <f>IF($K695=BJ$3,IF($C695="X",0,$O695),0)</f>
        <v>0</v>
      </c>
      <c r="BK695" s="133">
        <f>IF($K695=BK$3,IF($C695="X",0,$O695),0)</f>
        <v>0</v>
      </c>
      <c r="BL695" s="133">
        <f>IF($K695=BL$3,IF($C695="X",0,$O695),0)</f>
        <v>0</v>
      </c>
      <c r="BM695" s="135">
        <f>IF($K695=BM$3,IF($C695="X",0,$O695),0)</f>
        <v>0</v>
      </c>
      <c r="BN695" s="136">
        <f>IF($K695=BN$3,IF($C695="X",0,$O695),0)</f>
        <v>0</v>
      </c>
      <c r="BO695" s="136">
        <f>IF($K695=BO$3,IF($C695="X",0,$O695),0)</f>
        <v>0</v>
      </c>
      <c r="BP695" s="136">
        <f>IF($K695=BP$3,IF($C695="X",0,$O695),0)</f>
        <v>0</v>
      </c>
      <c r="BQ695" s="137">
        <f>IF($K695=BQ$3,IF($C695="X",0,$O695),0)</f>
        <v>0</v>
      </c>
      <c r="BR695" s="134">
        <f>IF($K695=BR$3,IF($C695="X",0,$O695),0)</f>
        <v>0</v>
      </c>
      <c r="BS695" s="282"/>
      <c r="BT695" s="283"/>
      <c r="BU695" s="140"/>
      <c r="BV695" s="283"/>
      <c r="BW695" s="140"/>
      <c r="BX695" s="140"/>
      <c r="BY695" s="140"/>
      <c r="BZ695" s="283"/>
      <c r="CA695" s="140"/>
      <c r="CB695" s="140"/>
      <c r="CC695" s="140"/>
      <c r="CD695" s="141"/>
      <c r="CE695" s="142"/>
      <c r="CF695" s="284">
        <f>IF(CF$3=$K695,IF($C695="W",1,IF($C695="1/2W",0.5,0)),0)</f>
        <v>1</v>
      </c>
      <c r="CG695" s="285">
        <f>IF(CF$3=$K695,IF($C695="L",1,IF($C695="1/2L",0.5,0)),0)</f>
        <v>0</v>
      </c>
      <c r="CH695" s="285">
        <f>IF(CH$3=$K695,IF($C695="W",1,IF($C695="1/2W",0.5,0)),0)</f>
        <v>0</v>
      </c>
      <c r="CI695" s="285">
        <f>IF(CH$3=$K695,IF($C695="L",1,IF($C695="1/2L",0.5,0)),0)</f>
        <v>0</v>
      </c>
      <c r="CJ695" s="285">
        <f>IF(CJ$3=$K695,IF($C695="W",1,IF($C695="1/2W",0.5,0)),0)</f>
        <v>0</v>
      </c>
      <c r="CK695" s="285">
        <f>IF(CJ$3=$K695,IF($C695="L",1,IF($C695="1/2L",0.5,0)),0)</f>
        <v>0</v>
      </c>
      <c r="CL695" s="285">
        <f>IF(CL$3=$K695,IF($C695="W",1,IF($C695="1/2W",0.5,0)),0)</f>
        <v>0</v>
      </c>
      <c r="CM695" s="285">
        <f>IF(CL$3=$K695,IF($C695="L",1,IF($C695="1/2L",0.5,0)),0)</f>
        <v>0</v>
      </c>
      <c r="CN695" s="285">
        <f>IF(CN$3=$K695,IF($C695="W",1,IF($C695="1/2W",0.5,0)),0)</f>
        <v>0</v>
      </c>
      <c r="CO695" s="285">
        <f>IF(CN$3=$K695,IF($C695="L",1,IF($C695="1/2L",0.5,0)),0)</f>
        <v>0</v>
      </c>
      <c r="CP695" s="285">
        <f>IF(CP$3=$K695,IF($C695="W",1,IF($C695="1/2W",0.5,0)),0)</f>
        <v>0</v>
      </c>
      <c r="CQ695" s="285">
        <f>IF(CP$3=$K695,IF($C695="L",1,IF($C695="1/2L",0.5,0)),0)</f>
        <v>0</v>
      </c>
      <c r="CR695" s="285">
        <f>IF(CR$3=$K695,IF($C695="W",1,IF($C695="1/2W",0.5,0)),0)</f>
        <v>0</v>
      </c>
      <c r="CS695" s="285">
        <f>IF(CR$3=$K695,IF($C695="L",1,IF($C695="1/2L",0.5,0)),0)</f>
        <v>0</v>
      </c>
      <c r="CT695" s="145">
        <f>IF(CT$3=$K695,IF($C695="W",1,IF($C695="1/2W",0.5,0)),0)</f>
        <v>0</v>
      </c>
      <c r="CU695" s="146">
        <f>IF(CT$3=$K695,IF($C695="L",1,IF($C695="1/2L",0.5,0)),0)</f>
        <v>0</v>
      </c>
      <c r="CV695" s="146">
        <f>IF(CV$3=$K695,IF($C695="W",1,IF($C695="1/2W",0.5,0)),0)</f>
        <v>0</v>
      </c>
      <c r="CW695" s="146">
        <f>IF(CV$3=$K695,IF($C695="L",1,IF($C695="1/2L",0.5,0)),0)</f>
        <v>0</v>
      </c>
      <c r="CX695" s="146">
        <f>IF(CX$3=$K695,IF($C695="W",1,IF($C695="1/2W",0.5,0)),0)</f>
        <v>0</v>
      </c>
      <c r="CY695" s="146">
        <f>IF(CX$3=$K695,IF($C695="L",1,IF($C695="1/2L",0.5,0)),0)</f>
        <v>0</v>
      </c>
      <c r="CZ695" s="146">
        <f>IF(CZ$3=$K695,IF($C695="W",1,IF($C695="1/2W",0.5,0)),0)</f>
        <v>0</v>
      </c>
      <c r="DA695" s="146">
        <f>IF(CZ$3=$K695,IF($C695="L",1,IF($C695="1/2L",0.5,0)),0)</f>
        <v>0</v>
      </c>
      <c r="DB695" s="146">
        <f>IF(DB$3=$K695,IF($C695="W",1,IF($C695="1/2W",0.5,0)),0)</f>
        <v>0</v>
      </c>
      <c r="DC695" s="146">
        <f>IF(DB$3=$K695,IF($C695="L",1,IF($C695="1/2L",0.5,0)),0)</f>
        <v>0</v>
      </c>
      <c r="DD695" s="146">
        <f>IF(DD$3=$K695,IF($C695="W",1,IF($C695="1/2W",0.5,0)),0)</f>
        <v>0</v>
      </c>
      <c r="DE695" s="147">
        <f>IF(DD$3=$K695,IF($C695="L",1,IF($C695="1/2L",0.5,0)),0)</f>
        <v>0</v>
      </c>
      <c r="DF695" s="143">
        <f>IF(AND(L695&lt;DF$3,$C695="W"),1+DF694,DF694)</f>
        <v>19</v>
      </c>
      <c r="DG695" s="133">
        <f>IF(DF695&gt;DF694,L695+DG694,DG694)</f>
        <v>25.354</v>
      </c>
      <c r="DH695" s="146">
        <f>IF(AND(L695&gt;DH$3,$C695="W"),1+DH694,0+DH694)</f>
        <v>18</v>
      </c>
      <c r="DI695" s="133">
        <f>IF(DH695&gt;DH694,L695+DI694,DI694)</f>
        <v>93.66</v>
      </c>
      <c r="DJ695" t="s" s="304">
        <f>IF($D694="","",$D694)</f>
        <v>481</v>
      </c>
      <c r="DK695" s="286"/>
    </row>
    <row r="696" ht="14.55" customHeight="1">
      <c r="A696" s="149"/>
      <c r="B696" s="150"/>
      <c r="C696" t="s" s="151">
        <v>58</v>
      </c>
      <c r="D696" s="152"/>
      <c r="E696" s="153"/>
      <c r="F696" s="155"/>
      <c r="G696" s="252"/>
      <c r="H696" s="156"/>
      <c r="I696" s="287"/>
      <c r="J696" s="288"/>
      <c r="K696" s="156"/>
      <c r="L696" s="289"/>
      <c r="M696" s="290"/>
      <c r="N696" s="161"/>
      <c r="O696" t="s" s="162">
        <f>IF(OR(AE694="",AE695=""),"",IF(L696&gt;0,ROUND(IF(M696&gt;0,M696,IF(M694&gt;0,ROUND((M694*AE696)/AE694,IF(N694=0,2,IF(N694=0.1,1,0))),IF(M695&gt;0,ROUND((M695*AE696)/AE695,IF(N694=0,2,IF(N694=0.1,1,0))),IF(M696&gt;0,M696,0)))),2),""))</f>
      </c>
      <c r="P696" t="s" s="163">
        <f>IF(I695="Lay",O695*(L695/(L695-1))-O695,IF(I694="Lay",O694*(L694/(L694-1))-O694,IF(OR(L696="",O696=""),"",IF($C696="1/2W",O696/2+O696/2*L696,IF($C696="1/2L",O696/2,(O696*L696-O696)*(1-_xlfn.XLOOKUP(K696,'Janeiro 2023 - Valor Real'!A3:A15,'Janeiro 2023 - Valor Real'!C3:C15,0))+O696)))))</f>
      </c>
      <c r="Q696" t="s" s="154">
        <f>IF(K696="","",IF(_xlfn.XLOOKUP(K696,K$121:K475,DJ$121:DJ475,0,,-1)=DJ696,_xlfn.XLOOKUP(K696,K$121:K475,Q$121:Q475,1,,-1)+1,1))</f>
      </c>
      <c r="R696" t="s" s="163">
        <f>IF(K696="","",_xlfn.XLOOKUP(K696,K$121:K475,R$121:R475,0,,-1)+IF($C696=" ",1,0))</f>
      </c>
      <c r="S696" s="166"/>
      <c r="T696" s="155"/>
      <c r="U696" s="155"/>
      <c r="V696" s="166"/>
      <c r="W696" s="155"/>
      <c r="X696" s="167"/>
      <c r="Y696" s="128"/>
      <c r="Z696" s="129"/>
      <c r="AA696" s="129"/>
      <c r="AB696" s="129"/>
      <c r="AC696" s="129"/>
      <c r="AD696" s="168"/>
      <c r="AE696" t="s" s="169">
        <f>IF(L696="","",(SUM(((L694-1)*(1-_xlfn.XLOOKUP(K694,'Janeiro 2023 - Valor Real'!A3:A15,'Janeiro 2023 - Valor Real'!C3:C15,0))+1),((L695-1)*(1-_xlfn.XLOOKUP(K695,'Janeiro 2023 - Valor Real'!A3:A15,'Janeiro 2023 - Valor Real'!C3:C15,0))+1),((L696-1)*(1-_xlfn.XLOOKUP(K696,'Janeiro 2023 - Valor Real'!A3:A15,'Janeiro 2023 - Valor Real'!C3:C15,0))+1))/((L696-1)*(1-_xlfn.XLOOKUP(K696,'Janeiro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Real'!C3:C15,0))+1))/((L694-1)*(1-_xlfn.XLOOKUP(K694,'Janeiro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Real'!C3:C15,0))+1))/((L695-1)*(1-_xlfn.XLOOKUP(K695,'Janeiro 2023 - Valor Real'!A3:A15,'Janeiro 2023 - Valor Real'!C3:C15,0))+1)+SUM(((L694-1)*(1-_xlfn.XLOOKUP(K694,'Janeiro 2023 - Valor Real'!A3:A15,'Janeiro 2023 - Valor Real'!C3:C15,0))+1),((L695-1)*(1-_xlfn.XLOOKUP(K695,'Janeiro 2023 - Valor Real'!A3:A15,'Janeiro 2023 - Valor Real'!C3:C15,0))+1),((L696-1)*(1-_xlfn.XLOOKUP(K696,'Janeiro 2023 - Valor Real'!A3:A15,'Janeiro 2023 - Valor Real'!C3:C15,0))+1))/((L696-1)*(1-_xlfn.XLOOKUP(K696,'Janeiro 2023 - Valor Real'!A3:A15,'Janeiro 2023 - Valor Real'!C3:C15,0))+1)))</f>
      </c>
      <c r="AF696" s="132">
        <f>IF($K696=AF$3,ROUND(IF(OR($C696="W",$C696="1/2W",$C696="1/2L"),$P696-$O696,IF($C696="X",0,-$O696)),2),0)</f>
        <v>0</v>
      </c>
      <c r="AG696" s="133">
        <f>IF($K696=AG$3,ROUND(IF(OR($C696="W",$C696="1/2W",$C696="1/2L"),$P696-$O696,IF($C696="X",0,-$O696)),2),0)</f>
        <v>0</v>
      </c>
      <c r="AH696" s="133">
        <f>IF($K696=AH$3,ROUND(IF(OR($C696="W",$C696="1/2W",$C696="1/2L"),$P696-$O696,IF($C696="X",0,-$O696)),2),0)</f>
        <v>0</v>
      </c>
      <c r="AI696" s="133">
        <f>IF($K696=AI$3,ROUND(IF(OR($C696="W",$C696="1/2W",$C696="1/2L"),$P696-$O696,IF($C696="X",0,-$O696)),2),0)</f>
        <v>0</v>
      </c>
      <c r="AJ696" s="133">
        <f>IF($K696=AJ$3,ROUND(IF(OR($C696="W",$C696="1/2W",$C696="1/2L"),$P696-$O696,IF($C696="X",0,-$O696)),2),0)</f>
        <v>0</v>
      </c>
      <c r="AK696" s="133">
        <f>IF($K696=AK$3,ROUND(IF(OR($C696="W",$C696="1/2W",$C696="1/2L"),$P696-$O696,IF($C696="X",0,-$O696)),2),0)</f>
        <v>0</v>
      </c>
      <c r="AL696" s="133">
        <f>IF($K696=AL$3,ROUND(IF(OR($C696="W",$C696="1/2W",$C696="1/2L"),$P696-$O696,IF($C696="X",0,-$O696)),2),0)</f>
        <v>0</v>
      </c>
      <c r="AM696" s="133">
        <f>IF($K696=AM$3,ROUND(IF(OR($C696="W",$C696="1/2W",$C696="1/2L"),$P696-$O696,IF($C696="X",0,-$O696)),2),0)</f>
        <v>0</v>
      </c>
      <c r="AN696" s="133">
        <f>IF($K696=AN$3,ROUND(IF(OR($C696="W",$C696="1/2W",$C696="1/2L"),$P696-$O696,IF($C696="X",0,-$O696)),2),0)</f>
        <v>0</v>
      </c>
      <c r="AO696" s="133">
        <f>IF($K696=AO$3,ROUND(IF(OR($C696="W",$C696="1/2W",$C696="1/2L"),$P696-$O696,IF($C696="X",0,-$O696)),2),0)</f>
        <v>0</v>
      </c>
      <c r="AP696" s="133">
        <f>IF($K696=AP$3,ROUND(IF(OR($C696="W",$C696="1/2W",$C696="1/2L"),$P696-$O696,IF($C696="X",0,-$O696)),2),0)</f>
        <v>0</v>
      </c>
      <c r="AQ696" s="133">
        <f>IF($K696=AQ$3,ROUND(IF(OR($C696="W",$C696="1/2W",$C696="1/2L"),$P696-$O696,IF($C696="X",0,-$O696)),2),0)</f>
        <v>0</v>
      </c>
      <c r="AR696" s="134">
        <f>IF($K696=AR$3,ROUND(IF(OR($C696="W",$C696="1/2W",$C696="1/2L"),$P696-$O696,IF($C696="X",0,-$O696)),2),0)</f>
        <v>0</v>
      </c>
      <c r="AS696" s="132">
        <f>IF(AND($B694=" ",$K696=AS$3),$O696,0)</f>
        <v>0</v>
      </c>
      <c r="AT696" s="133">
        <f>IF(AND($B694=" ",K696=AT$3),$O696,0)</f>
        <v>0</v>
      </c>
      <c r="AU696" s="133">
        <f>IF(AND($B694=" ",$K696=AU$3),$O696,0)</f>
        <v>0</v>
      </c>
      <c r="AV696" s="133">
        <f>IF(AND($B694=" ",$K696=AV$3),$O696,0)</f>
        <v>0</v>
      </c>
      <c r="AW696" s="133">
        <f>IF(AND($B694=" ",$K696=AW$3),$O696,0)</f>
        <v>0</v>
      </c>
      <c r="AX696" s="133">
        <f>IF(AND($B694=" ",$K696=AX$3),$O696,0)</f>
        <v>0</v>
      </c>
      <c r="AY696" s="135">
        <f>IF(AND($B694=" ",$K696=AY$3),$O696,0)</f>
        <v>0</v>
      </c>
      <c r="AZ696" s="136">
        <f>IF(AND($B694=" ",$K696=AZ$3),$O696,0)</f>
        <v>0</v>
      </c>
      <c r="BA696" s="136">
        <f>IF(AND($B694=" ",$K696=BA$3),$O696,0)</f>
        <v>0</v>
      </c>
      <c r="BB696" s="136">
        <f>IF(AND($B694=" ",$K696=BB$3),$O696,0)</f>
        <v>0</v>
      </c>
      <c r="BC696" s="137">
        <f>IF(AND($B694=" ",$K696=BC$3),$O696,0)</f>
        <v>0</v>
      </c>
      <c r="BD696" s="133">
        <f>IF(AND($B694=" ",$K696=BD$3),$O696,0)</f>
        <v>0</v>
      </c>
      <c r="BE696" s="134">
        <f>IF(AND($B694=" ",$K696=BE$3),$O696,0)</f>
        <v>0</v>
      </c>
      <c r="BF696" s="132">
        <f>IF($K696=BF$3,IF($C696="X",0,$O696),0)</f>
        <v>0</v>
      </c>
      <c r="BG696" s="281">
        <f>IF($K696=BG$3,IF($C696="X",0,$O696),0)</f>
        <v>0</v>
      </c>
      <c r="BH696" s="133">
        <f>IF($K696=BH$3,IF($C696="X",0,$O696),0)</f>
        <v>0</v>
      </c>
      <c r="BI696" s="133">
        <f>IF($K696=BI$3,IF($C696="X",0,$O696),0)</f>
        <v>0</v>
      </c>
      <c r="BJ696" s="133">
        <f>IF($K696=BJ$3,IF($C696="X",0,$O696),0)</f>
        <v>0</v>
      </c>
      <c r="BK696" s="133">
        <f>IF($K696=BK$3,IF($C696="X",0,$O696),0)</f>
        <v>0</v>
      </c>
      <c r="BL696" s="133">
        <f>IF($K696=BL$3,IF($C696="X",0,$O696),0)</f>
        <v>0</v>
      </c>
      <c r="BM696" s="135">
        <f>IF($K696=BM$3,IF($C696="X",0,$O696),0)</f>
        <v>0</v>
      </c>
      <c r="BN696" s="136">
        <f>IF($K696=BN$3,IF($C696="X",0,$O696),0)</f>
        <v>0</v>
      </c>
      <c r="BO696" s="136">
        <f>IF($K696=BO$3,IF($C696="X",0,$O696),0)</f>
        <v>0</v>
      </c>
      <c r="BP696" s="136">
        <f>IF($K696=BP$3,IF($C696="X",0,$O696),0)</f>
        <v>0</v>
      </c>
      <c r="BQ696" s="137">
        <f>IF($K696=BQ$3,IF($C696="X",0,$O696),0)</f>
        <v>0</v>
      </c>
      <c r="BR696" s="134">
        <f>IF($K696=BR$3,IF($C696="X",0,$O696),0)</f>
        <v>0</v>
      </c>
      <c r="BS696" s="282"/>
      <c r="BT696" s="283"/>
      <c r="BU696" s="140"/>
      <c r="BV696" s="283"/>
      <c r="BW696" s="140"/>
      <c r="BX696" s="140"/>
      <c r="BY696" s="140"/>
      <c r="BZ696" s="283"/>
      <c r="CA696" s="140"/>
      <c r="CB696" s="140"/>
      <c r="CC696" s="140"/>
      <c r="CD696" s="141"/>
      <c r="CE696" s="142"/>
      <c r="CF696" s="284">
        <f>IF(CF$3=$K696,IF($C696="W",1,IF($C696="1/2W",0.5,0)),0)</f>
        <v>0</v>
      </c>
      <c r="CG696" s="285">
        <f>IF(CF$3=$K696,IF($C696="L",1,IF($C696="1/2L",0.5,0)),0)</f>
        <v>0</v>
      </c>
      <c r="CH696" s="285">
        <f>IF(CH$3=$K696,IF($C696="W",1,IF($C696="1/2W",0.5,0)),0)</f>
        <v>0</v>
      </c>
      <c r="CI696" s="285">
        <f>IF(CH$3=$K696,IF($C696="L",1,IF($C696="1/2L",0.5,0)),0)</f>
        <v>0</v>
      </c>
      <c r="CJ696" s="285">
        <f>IF(CJ$3=$K696,IF($C696="W",1,IF($C696="1/2W",0.5,0)),0)</f>
        <v>0</v>
      </c>
      <c r="CK696" s="285">
        <f>IF(CJ$3=$K696,IF($C696="L",1,IF($C696="1/2L",0.5,0)),0)</f>
        <v>0</v>
      </c>
      <c r="CL696" s="285">
        <f>IF(CL$3=$K696,IF($C696="W",1,IF($C696="1/2W",0.5,0)),0)</f>
        <v>0</v>
      </c>
      <c r="CM696" s="285">
        <f>IF(CL$3=$K696,IF($C696="L",1,IF($C696="1/2L",0.5,0)),0)</f>
        <v>0</v>
      </c>
      <c r="CN696" s="285">
        <f>IF(CN$3=$K696,IF($C696="W",1,IF($C696="1/2W",0.5,0)),0)</f>
        <v>0</v>
      </c>
      <c r="CO696" s="285">
        <f>IF(CN$3=$K696,IF($C696="L",1,IF($C696="1/2L",0.5,0)),0)</f>
        <v>0</v>
      </c>
      <c r="CP696" s="285">
        <f>IF(CP$3=$K696,IF($C696="W",1,IF($C696="1/2W",0.5,0)),0)</f>
        <v>0</v>
      </c>
      <c r="CQ696" s="285">
        <f>IF(CP$3=$K696,IF($C696="L",1,IF($C696="1/2L",0.5,0)),0)</f>
        <v>0</v>
      </c>
      <c r="CR696" s="285">
        <f>IF(CR$3=$K696,IF($C696="W",1,IF($C696="1/2W",0.5,0)),0)</f>
        <v>0</v>
      </c>
      <c r="CS696" s="285">
        <f>IF(CR$3=$K696,IF($C696="L",1,IF($C696="1/2L",0.5,0)),0)</f>
        <v>0</v>
      </c>
      <c r="CT696" s="145">
        <f>IF(CT$3=$K696,IF($C696="W",1,IF($C696="1/2W",0.5,0)),0)</f>
        <v>0</v>
      </c>
      <c r="CU696" s="146">
        <f>IF(CT$3=$K696,IF($C696="L",1,IF($C696="1/2L",0.5,0)),0)</f>
        <v>0</v>
      </c>
      <c r="CV696" s="146">
        <f>IF(CV$3=$K696,IF($C696="W",1,IF($C696="1/2W",0.5,0)),0)</f>
        <v>0</v>
      </c>
      <c r="CW696" s="146">
        <f>IF(CV$3=$K696,IF($C696="L",1,IF($C696="1/2L",0.5,0)),0)</f>
        <v>0</v>
      </c>
      <c r="CX696" s="146">
        <f>IF(CX$3=$K696,IF($C696="W",1,IF($C696="1/2W",0.5,0)),0)</f>
        <v>0</v>
      </c>
      <c r="CY696" s="146">
        <f>IF(CX$3=$K696,IF($C696="L",1,IF($C696="1/2L",0.5,0)),0)</f>
        <v>0</v>
      </c>
      <c r="CZ696" s="146">
        <f>IF(CZ$3=$K696,IF($C696="W",1,IF($C696="1/2W",0.5,0)),0)</f>
        <v>0</v>
      </c>
      <c r="DA696" s="146">
        <f>IF(CZ$3=$K696,IF($C696="L",1,IF($C696="1/2L",0.5,0)),0)</f>
        <v>0</v>
      </c>
      <c r="DB696" s="146">
        <f>IF(DB$3=$K696,IF($C696="W",1,IF($C696="1/2W",0.5,0)),0)</f>
        <v>0</v>
      </c>
      <c r="DC696" s="146">
        <f>IF(DB$3=$K696,IF($C696="L",1,IF($C696="1/2L",0.5,0)),0)</f>
        <v>0</v>
      </c>
      <c r="DD696" s="146">
        <f>IF(DD$3=$K696,IF($C696="W",1,IF($C696="1/2W",0.5,0)),0)</f>
        <v>0</v>
      </c>
      <c r="DE696" s="147">
        <f>IF(DD$3=$K696,IF($C696="L",1,IF($C696="1/2L",0.5,0)),0)</f>
        <v>0</v>
      </c>
      <c r="DF696" s="143">
        <f>IF(AND(L696&lt;DF$3,$C696="W"),1+DF695,DF695)</f>
        <v>19</v>
      </c>
      <c r="DG696" s="133">
        <f>IF(DF696&gt;DF695,L696+DG695,DG695)</f>
        <v>25.354</v>
      </c>
      <c r="DH696" s="146">
        <f>IF(AND(L696&gt;DH$3,$C696="W"),1+DH695,0+DH695)</f>
        <v>18</v>
      </c>
      <c r="DI696" s="133">
        <f>IF(DH696&gt;DH695,L696+DI695,DI695)</f>
        <v>93.66</v>
      </c>
      <c r="DJ696" t="s" s="304">
        <f>IF($D694="","",$D694)</f>
        <v>481</v>
      </c>
      <c r="DK696" s="286"/>
    </row>
    <row r="697" ht="14.55" customHeight="1">
      <c r="A697" s="171">
        <f>$A694+1</f>
        <v>232</v>
      </c>
      <c r="B697" t="s" s="172">
        <f>IF(AND(_xlfn.XLOOKUP(H697,H$122:H470,G$122:G470,0)=G697,_xlfn.XLOOKUP("TempoBet",K697:K699,L697:L699,0)&gt;0),"X",IF(OR(C697="W",C698="W",C699="W",C697="1/2W",C698="1/2W",C699="1/2W",C697="1/2L",C698="1/2L",C699="1/2L"),"OK",IF(OR(C697="L",C698="L",C699="L"),"LOSS",IF(OR(C697="X",C698="X",C699="X"),"Anulado"," "))))</f>
        <v>50</v>
      </c>
      <c r="C697" t="s" s="173">
        <v>51</v>
      </c>
      <c r="D697" t="s" s="305">
        <f>IF(G697="","",$D694)</f>
        <v>481</v>
      </c>
      <c r="E697" t="s" s="175">
        <f>IF(G697=""," ","– "&amp;COUNTIF(D$4:D699,$D697))</f>
        <v>124</v>
      </c>
      <c r="F697" t="s" s="176">
        <f>IF(G697="","",IF(OR(AND($C697&lt;&gt;" ",$C698=" "),AND($C698&lt;&gt;" ",$C697=" "),AND(L699&gt;0,OR(AND($C699&lt;&gt;" ",OR($C697=" ",$C698=" ")),AND($C699=" ",OR($C697&lt;&gt;" ",$C698&lt;&gt;" "))))),IF(SUM(F$4:F696)=0,1,LARGE(F$4:F696,1)+1),IF(MONTH(G697)=MONTH(TODAY()),IF(AND(DAY(G697)&lt;DAY(TODAY()),$B697=" "),IF(SUM(F$4:F696)=0,1,LARGE(F$4:F696,1)+1),IF($B697=" ",IF(AND(DAY(G697)=DAY(TODAY()),HOUR(G697)&lt;=HOUR(NOW())+1),IF(AND(HOUR(G697)+2&lt;=HOUR(NOW()),DAY(G697)&lt;=DAY(TODAY()),MINUTE(G697)&lt;=MINUTE(NOW())),IF(SUM(F$4:F696)=0,1,LARGE(F$4:F696,1)+1),IF(OR(MINUTE(G697)&lt;=MINUTE(NOW()),HOUR(G697)&lt;=HOUR(NOW())),"!!!","")),""),"")),"")))</f>
      </c>
      <c r="G697" s="177">
        <v>44958.708333333336</v>
      </c>
      <c r="H697" t="s" s="178">
        <v>493</v>
      </c>
      <c r="I697" t="s" s="179">
        <v>65</v>
      </c>
      <c r="J697" s="291">
        <v>3.5</v>
      </c>
      <c r="K697" t="s" s="181">
        <v>38</v>
      </c>
      <c r="L697" s="182">
        <v>2.7</v>
      </c>
      <c r="M697" s="183">
        <v>15.3</v>
      </c>
      <c r="N697" s="184">
        <v>0</v>
      </c>
      <c r="O697" s="185">
        <f>IF(OR(AE697="",AE698=""),"",ROUND(IF(L699&gt;0,IF(M697&gt;0,M697,IF(M698&gt;0,ROUND((M698*AE697)/AE698,IF(N697=0,2,IF(N697=0.1,1,0))),ROUND((M699*AE697)/AE699,IF(N697=0,2,IF(N697=0.1,1,0))))),IF(M697&gt;0,M697,ROUND((M698*AE697)/AE698,IF(N697=0,2,IF(N697=0.1,1,0))))),2))</f>
        <v>15.3</v>
      </c>
      <c r="P697" s="186">
        <f>IF(OR(L697="",O697=""),"",IF($C697="1/2W",O697/2+O697/2*L697,IF($C697="1/2L",O697/2,IF(I697="Lay",(O697*(L697/(L697-1))-O697)*(1-_xlfn.XLOOKUP(K697,'Janeiro 2023 - Valor Real'!A3:A15,'Janeiro 2023 - Valor Real'!C3:C15,0))+O697,(O697*L697-O697)*(1-_xlfn.XLOOKUP(K697,'Janeiro 2023 - Valor Real'!A3:A15,'Janeiro 2023 - Valor Real'!C3:C15,0))+O697))))</f>
        <v>41.31</v>
      </c>
      <c r="Q697" s="187">
        <f>IF(K697="","",IF(_xlfn.XLOOKUP(K697,K$122:K470,DJ$122:DJ470,0,,-1)=DJ697,_xlfn.XLOOKUP(K697,K$122:K470,Q$122:Q470,1,,-1)+1,1))</f>
        <v>1</v>
      </c>
      <c r="R697" s="188">
        <f>IF(K697="","",_xlfn.XLOOKUP(K697,K$122:K470,R$122:R470,0,,-1)+IF($C697=" ",1,0))</f>
        <v>0</v>
      </c>
      <c r="S697" s="189">
        <f>IF($B697="Anulado",0,ROUND(IF(OR($B697="LOSS",$B697="OK"),IF(OR($C697="W",$C697="1/2W",$C697="1/2L"),P697-O697,IF($C697="L",-O697,0))+IF(OR($C698="W",$C698="1/2W",$C698="1/2L"),P698-O698,IF($C698="L",-O698,0))+IF(OR($C699="W",$C699="1/2W",$C699="1/2L"),P699-O699,IF($C699="L",-O699,0)),IF(AND(OR($C697="W",$C697="1/2W",$C697="1/2L"),C698="W"),P697+P698-SUM(O697:O699)+_xlfn.XLOOKUP("X",C697:C699,O697:O699,0),IF(AND(C697=TRUE,C699="W"),P697+P699-SUM(O697:O699),IF(AND(C698="W",C699="W"),P698+P699-SUM(O697:O699)+_xlfn.XLOOKUP("X",C697:C699,O697:O699,0),IF(L699&gt;0,IF(OR($C697="W",$C697="1/2W",$C697="1/2L"),P697-SUM(O697:O699)+_xlfn.XLOOKUP("X",C697:C699,O697:O699,0),IF(OR($C697="W",$C697="1/2W",$C697="1/2L"),P698-SUM(O697:O699)+_xlfn.XLOOKUP("X",C697:C699,O697:O699,0),IF(OR($C697="W",$C697="1/2W",$C697="1/2L"),P699-SUM(O697:O699)+_xlfn.XLOOKUP("X",C697:C699,O697:O699,0),IF(SUM(P697:P699)/3-SUM(O697:O699)+_xlfn.XLOOKUP("X",C697:C699,O697:O699,0)&gt;0,SUM(P697:P699)/3-SUM(O697:O699)+_xlfn.XLOOKUP("X",C697:C699,O697:O699,0),LARGE(P697:P699,1)-SUM(O697:O699))))),IF(OR($C697="W",$C697="1/2W",$C697="1/2L"),P697-SUM(O697:O698)+_xlfn.XLOOKUP("X",C697:C699,O697:O699,0),IF(OR($C697="W",$C697="1/2W",$C697="1/2L"),P698-SUM(O697:O698)+_xlfn.XLOOKUP("X",C697:C699,O697:O699,0),SUM(P697:P698)/2-SUM(O697:O698)+_xlfn.XLOOKUP("X",C697:C699,O697:O699,0)))))))),2))</f>
        <v>1.71</v>
      </c>
      <c r="T697" s="190">
        <f>IF(S697=0,0,S697/SUM(O697:O699))</f>
        <v>0.0431818181818182</v>
      </c>
      <c r="U697" s="191">
        <f>IF($D697=$D694,IF(OR($B697="LOSS",$B697="OK",$B697="Anulada"),S697,0)+U694,IF(OR($B697="LOSS",$B697="OK",$B697="Anulada"),S697,0))</f>
        <v>14.01</v>
      </c>
      <c r="V697" s="191">
        <f>IF($D697="",0,IF($D697=$D694,IF($B697=" ",IF(I699="",IF(OR(AND(I697="DNB1",I698="DNB2"),AND(OR(I697="DNB1",I697="DNB2"),J698=0),AND(OR(I698="DNB1",I698="DNB2"),J697=0),AND(I697="DNB2",I698="DNB1"),AND(IF(J697=0,(J697+1)/ROUND(J697+1,0),J697/ROUND(J697,0))=1,IF(J698=0,(J698+1)/ROUND(IF(J698="",0,J698)+1,0),IF(J698="",0,J698)/ROUND(IF(J698="",1,J698),0))=1,OR(J697&lt;&gt;""),J698&lt;&gt;"")),0,IF(S697&lt;0,IF(I699="",SMALL(P697:P698,1)-SUM(O697:O698),0),SMALL(P697:P698,1)-SUM(O697:O698))),IF(S697&lt;0,IF(I699="",SMALL(P697:P699,1)-SUM(O697:O699),0),LARGE(P697:P699,1)-SUM(O697:O699))),S697)+V694,IF(I699="",IF(OR(AND(I697="DNB1",I698="DNB2"),AND(OR(I697="DNB1",I697="DNB2"),J698=0),AND(OR(I698="DNB1",I698="DNB2"),J697=0),AND(I697="DNB2",I698="DNB1"),AND(IF(J697=0,(J697+1)/ROUND(J697+1,0),J697/ROUND(J697,0))=1,IF(J698=0,(IF(J698="",0,J698)+1)/ROUND(IF(J698="",0,J698)+1,0),IF(J698="",0,J698)/ROUND(IF(J698="",0,J698)+1,0))=1,OR(J697&lt;&gt;""),J698&lt;&gt;"")),0,IF(S697&lt;0,IF(I699="",SMALL(P697:P698,1)-SUM(O697:O698),0),SMALL(P697:P699,1)-SUM(O697:O699))),IF(S697&lt;0,IF(I699="",SMALL(P697:P699,1)-SUM(O697:O699),0),LARGE(P697:P699,1)-SUM(O697:O699)))))</f>
        <v>14.0076</v>
      </c>
      <c r="W697" s="191">
        <f>IF($D697=$D694,IF(S697&lt;0,IF(I699="",S697,0),S697)+W694,S697)</f>
        <v>14.01</v>
      </c>
      <c r="X697" t="s" s="192">
        <f>IF(OR(SUM(R697:R699)=0,V697=W697),ROUND(IF(W697=0,0,W697/Y697)*100,2)&amp;"%",ROUND(IF(V697=0,0,V697/Y697)*100,2)&amp;"% a "&amp;ROUND(IF(W697=0,0,W697/Y697)*100,2)&amp;"%")</f>
        <v>387</v>
      </c>
      <c r="Y697" s="193">
        <f>IF($D697=$D694,Y694+SUM(O697:O699),SUM(O697:O699))</f>
        <v>282.91</v>
      </c>
      <c r="Z697" s="191">
        <f>IF($B697=" ",SUM(O697:O699),0)+Z694</f>
        <v>0</v>
      </c>
      <c r="AA697" s="191">
        <f>IF(G697="","",IF($B697="Anulado",LARGE(P697:P699,1)-SUM(O697:O699)+AA694,AA694))</f>
        <v>27.7065076923077</v>
      </c>
      <c r="AB697" s="191">
        <f>IF($D697="","",AB694+S697)</f>
        <v>485.19</v>
      </c>
      <c r="AC697" s="194">
        <f>IF($D697="","",IF($B697=" ",IF(DAY(G697)=DAY(TODAY()),1+AC694,0+AC694),0+AC694))</f>
        <v>0</v>
      </c>
      <c r="AD697" s="195">
        <f>(((L698/(L698-1)-1)*(1-_xlfn.XLOOKUP(K698,'Janeiro 2023 - Valor Real'!A3:A15,'Janeiro 2023 - Valor Real'!C3:C15,0))+1))/(((L697-1)*(1-_xlfn.XLOOKUP(K697,'Janeiro 2023 - Valor Real'!A3:A15,'Janeiro 2023 - Valor Real'!C3:C15,0))+1)+((L698/(L698-1)-1)*(1-_xlfn.XLOOKUP(K698,'Janeiro 2023 - Valor Real'!A3:A15,'Janeiro 2023 - Valor Real'!C3:C15,0))+1))</f>
        <v>0.473537604456825</v>
      </c>
      <c r="AE697" s="196">
        <f>IF(L697="","",IF(L699&gt;0,(SUM(((L697-1)*(1-_xlfn.XLOOKUP(K697,'Janeiro 2023 - Valor Real'!A3:A15,'Janeiro 2023 - Valor Real'!C3:C15,0))+1),((L698-1)*(1-_xlfn.XLOOKUP(K698,'Janeiro 2023 - Valor Real'!A3:A15,'Janeiro 2023 - Valor Real'!C3:C15,0))+1),((L699-1)*(1-_xlfn.XLOOKUP(K699,'Janeiro 2023 - Valor Real'!A3:A15,'Janeiro 2023 - Valor Real'!C3:C15,0))+1))/((L697-1)*(1-_xlfn.XLOOKUP(K697,'Janeiro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Real'!C3:C15,0))+1))/((L697-1)*(1-_xlfn.XLOOKUP(K697,'Janeiro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Real'!C3:C15,0))+1))/((L698-1)*(1-_xlfn.XLOOKUP(K698,'Janeiro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Real'!C3:C15,0))+1))/((L699-1)*(1-_xlfn.XLOOKUP(K699,'Janeiro 2023 - Valor Real'!A3:A15,'Janeiro 2023 - Valor Real'!C3:C15,0))+1)),IF(I697="Lay",IF(I698="Lay",((L698/(L698-1)-1)*(1-_xlfn.XLOOKUP(K698,'Janeiro 2023 - Valor Real'!A3:A15,'Janeiro 2023 - Valor Real'!C3:C15,0))+1)/(((L698/(L698-1)-1)*(1-_xlfn.XLOOKUP(K698,'Janeiro 2023 - Valor Real'!A3:A15,'Janeiro 2023 - Valor Real'!C3:C15,0))+1)+((L697/(L697-1)-1)*(1-_xlfn.XLOOKUP(K697,'Janeiro 2023 - Valor Real'!A3:A15,'Janeiro 2023 - Valor Real'!C3:C15,0))+1)),((L698-1)*(1-_xlfn.XLOOKUP(K698,'Janeiro 2023 - Valor Real'!A3:A15,'Janeiro 2023 - Valor Real'!C3:C15,0))+1)/(((L698-1)*(1-_xlfn.XLOOKUP(K698,'Janeiro 2023 - Valor Real'!A3:A15,'Janeiro 2023 - Valor Real'!C3:C15,0))+1)+((L697/(L697-1)-1)*(1-_xlfn.XLOOKUP(K697,'Janeiro 2023 - Valor Real'!A3:A15,'Janeiro 2023 - Valor Real'!C3:C15,0))+1))),IF(I698="Lay",(((L698/(L698-1)-1)*(1-_xlfn.XLOOKUP(K698,'Janeiro 2023 - Valor Real'!A3:A15,'Janeiro 2023 - Valor Real'!C3:C15,0))+1))/(((L697-1)*(1-_xlfn.XLOOKUP(K697,'Janeiro 2023 - Valor Real'!A3:A15,'Janeiro 2023 - Valor Real'!C3:C15,0))+1)+((L698/(L698-1)-1)*(1-_xlfn.XLOOKUP(K698,'Janeiro 2023 - Valor Real'!A3:A15,'Janeiro 2023 - Valor Real'!C3:C15,0))+1)),((L698-1)*(1-_xlfn.XLOOKUP(K698,'Janeiro 2023 - Valor Real'!A3:A15,'Janeiro 2023 - Valor Real'!C3:C15,0))+1)/(((L698-1)*(1-_xlfn.XLOOKUP(K698,'Janeiro 2023 - Valor Real'!A3:A15,'Janeiro 2023 - Valor Real'!C3:C15,0))+1)+((L697-1)*(1-_xlfn.XLOOKUP(K697,'Janeiro 2023 - Valor Real'!A3:A15,'Janeiro 2023 - Valor Real'!C3:C15,0))+1))))))</f>
        <v>0.386363636363636</v>
      </c>
      <c r="AF697" s="197">
        <f>IF($K697=AF$3,ROUND(IF(OR($C697="W",$C697="1/2W",$C697="1/2L"),$P697-$O697,IF($C697="X",0,-$O697)),2),0)</f>
        <v>0</v>
      </c>
      <c r="AG697" s="198">
        <f>IF($K697=AG$3,ROUND(IF(OR($C697="W",$C697="1/2W",$C697="1/2L"),$P697-$O697,IF($C697="X",0,-$O697)),2),0)</f>
        <v>-15.3</v>
      </c>
      <c r="AH697" s="198">
        <f>IF($K697=AH$3,ROUND(IF(OR($C697="W",$C697="1/2W",$C697="1/2L"),$P697-$O697,IF($C697="X",0,-$O697)),2),0)</f>
        <v>0</v>
      </c>
      <c r="AI697" s="198">
        <f>IF($K697=AI$3,ROUND(IF(OR($C697="W",$C697="1/2W",$C697="1/2L"),$P697-$O697,IF($C697="X",0,-$O697)),2),0)</f>
        <v>0</v>
      </c>
      <c r="AJ697" s="198">
        <f>IF($K697=AJ$3,ROUND(IF(OR($C697="W",$C697="1/2W",$C697="1/2L"),$P697-$O697,IF($C697="X",0,-$O697)),2),0)</f>
        <v>0</v>
      </c>
      <c r="AK697" s="198">
        <f>IF($K697=AK$3,ROUND(IF(OR($C697="W",$C697="1/2W",$C697="1/2L"),$P697-$O697,IF($C697="X",0,-$O697)),2),0)</f>
        <v>0</v>
      </c>
      <c r="AL697" s="198">
        <f>IF($K697=AL$3,ROUND(IF(OR($C697="W",$C697="1/2W",$C697="1/2L"),$P697-$O697,IF($C697="X",0,-$O697)),2),0)</f>
        <v>0</v>
      </c>
      <c r="AM697" s="198">
        <f>IF($K697=AM$3,ROUND(IF(OR($C697="W",$C697="1/2W",$C697="1/2L"),$P697-$O697,IF($C697="X",0,-$O697)),2),0)</f>
        <v>0</v>
      </c>
      <c r="AN697" s="198">
        <f>IF($K697=AN$3,ROUND(IF(OR($C697="W",$C697="1/2W",$C697="1/2L"),$P697-$O697,IF($C697="X",0,-$O697)),2),0)</f>
        <v>0</v>
      </c>
      <c r="AO697" s="198">
        <f>IF($K697=AO$3,ROUND(IF(OR($C697="W",$C697="1/2W",$C697="1/2L"),$P697-$O697,IF($C697="X",0,-$O697)),2),0)</f>
        <v>0</v>
      </c>
      <c r="AP697" s="198">
        <f>IF($K697=AP$3,ROUND(IF(OR($C697="W",$C697="1/2W",$C697="1/2L"),$P697-$O697,IF($C697="X",0,-$O697)),2),0)</f>
        <v>0</v>
      </c>
      <c r="AQ697" s="198">
        <f>IF($K697=AQ$3,ROUND(IF(OR($C697="W",$C697="1/2W",$C697="1/2L"),$P697-$O697,IF($C697="X",0,-$O697)),2),0)</f>
        <v>0</v>
      </c>
      <c r="AR697" s="199">
        <f>IF($K697=AR$3,ROUND(IF(OR($C697="W",$C697="1/2W",$C697="1/2L"),$P697-$O697,IF($C697="X",0,-$O697)),2),0)</f>
        <v>0</v>
      </c>
      <c r="AS697" s="197">
        <f>IF(AND($B697=" ",$K697=AS$3),$O697,0)</f>
        <v>0</v>
      </c>
      <c r="AT697" s="198">
        <f>IF(AND($B697=" ",$K697=AT$3),$O697,0)</f>
        <v>0</v>
      </c>
      <c r="AU697" s="198">
        <f>IF(AND($B697=" ",$K697=AU$3),$O697,0)</f>
        <v>0</v>
      </c>
      <c r="AV697" s="198">
        <f>IF(AND($B697=" ",$K697=AV$3),$O697,0)</f>
        <v>0</v>
      </c>
      <c r="AW697" s="198">
        <f>IF(AND($B697=" ",$K697=AW$3),$O697,0)</f>
        <v>0</v>
      </c>
      <c r="AX697" s="198">
        <f>IF(AND($B697=" ",$K697=AX$3),$O697,0)</f>
        <v>0</v>
      </c>
      <c r="AY697" s="200">
        <f>IF(AND($B697=" ",$K697=AY$3),$O697,0)</f>
        <v>0</v>
      </c>
      <c r="AZ697" s="201">
        <f>IF(AND($B697=" ",$K697=AZ$3),$O697,0)</f>
        <v>0</v>
      </c>
      <c r="BA697" s="201">
        <f>IF(AND($B697=" ",$K697=BA$3),$O697,0)</f>
        <v>0</v>
      </c>
      <c r="BB697" s="201">
        <f>IF(AND($B697=" ",$K697=BB$3),$O697,0)</f>
        <v>0</v>
      </c>
      <c r="BC697" s="202">
        <f>IF(AND($B697=" ",$K697=BC$3),$O697,0)</f>
        <v>0</v>
      </c>
      <c r="BD697" s="198">
        <f>IF(AND($B697=" ",$K697=BD$3),$O697,0)</f>
        <v>0</v>
      </c>
      <c r="BE697" s="199">
        <f>IF(AND($B697=" ",$K697=BE$3),$O697,0)</f>
        <v>0</v>
      </c>
      <c r="BF697" s="203">
        <f>IF($K697=BF$3,IF($C697="X",0,$O697),0)</f>
        <v>0</v>
      </c>
      <c r="BG697" s="198">
        <f>IF($K697=BG$3,IF($C697="X",0,$O697),0)</f>
        <v>15.3</v>
      </c>
      <c r="BH697" s="198">
        <f>IF($K697=BH$3,IF($C697="X",0,$O697),0)</f>
        <v>0</v>
      </c>
      <c r="BI697" s="198">
        <f>IF($K697=BI$3,IF($C697="X",0,$O697),0)</f>
        <v>0</v>
      </c>
      <c r="BJ697" s="198">
        <f>IF($K697=BJ$3,IF($C697="X",0,$O697),0)</f>
        <v>0</v>
      </c>
      <c r="BK697" s="198">
        <f>IF($K697=BK$3,IF($C697="X",0,$O697),0)</f>
        <v>0</v>
      </c>
      <c r="BL697" s="198">
        <f>IF($K697=BL$3,IF($C697="X",0,$O697),0)</f>
        <v>0</v>
      </c>
      <c r="BM697" s="200">
        <f>IF($K697=BM$3,IF($C697="X",0,$O697),0)</f>
        <v>0</v>
      </c>
      <c r="BN697" s="201">
        <f>IF($K697=BN$3,IF($C697="X",0,$O697),0)</f>
        <v>0</v>
      </c>
      <c r="BO697" s="201">
        <f>IF($K697=BO$3,IF($C697="X",0,$O697),0)</f>
        <v>0</v>
      </c>
      <c r="BP697" s="201">
        <f>IF($K697=BP$3,IF($C697="X",0,$O697),0)</f>
        <v>0</v>
      </c>
      <c r="BQ697" s="202">
        <f>IF($K697=BQ$3,IF($C697="X",0,$O697),0)</f>
        <v>0</v>
      </c>
      <c r="BR697" s="199">
        <f>IF($K697=BR$3,IF($C697="X",0,$O697),0)</f>
        <v>0</v>
      </c>
      <c r="BS697" s="204">
        <f>IF($B697="LOSS",IF(AND($K697=BS$3,$C697="L"),-$O697,0)+IF(AND($K698=BS$3,$C698="L"),-$O698,0)+IF(AND($K699=BS$3,$C699="L"),-$O699,0),IF(OR(AND($K697=BS$3,OR($C697="W",$C697="1/2W")),AND($K698=BS$3,OR($C698="W",$C698="1/2W")),AND($K699=BS$3,OR($C699="W",$C699="1/2W"))),$S697,0))</f>
        <v>0</v>
      </c>
      <c r="BT697" s="201">
        <f>IF($B697="LOSS",IF(AND($K697=BT$3,$C697="L"),-$O697,0)+IF(AND($K698=BT$3,$C698="L"),-$O698,0)+IF(AND($K698=BT$3,$C699="L"),-$O699,0),IF(OR(AND($K698=BT$3,OR($C697="W",$C697="1/2W")),AND($K698=BT$3,OR($C698="W",$C698="1/2W")),AND($K698=BT$3,OR($C699="W",$C699="1/2W"))),$S697,0))</f>
        <v>0</v>
      </c>
      <c r="BU697" s="201">
        <f>IF($B697="LOSS",IF(AND($K697=BU$3,$C697="L"),-$O697,0)+IF(AND($K698=BU$3,$C698="L"),-$O698,0)+IF(AND($K698=BU$3,$C699="L"),-$O699,0),IF(OR(AND($K698=BU$3,OR($C697="W",$C697="1/2W")),AND($K698=BU$3,OR($C698="W",$C698="1/2W")),AND($K698=BU$3,OR($C699="W",$C699="1/2W"))),$S697,0))</f>
        <v>0</v>
      </c>
      <c r="BV697" s="201">
        <f>IF($B697="LOSS",IF(AND($K697=BV$3,$C697="L"),-$O697,0)+IF(AND($K698=BV$3,$C698="L"),-$O698,0)+IF(AND($K699=BV$3,$C699="L"),-$O699,0),IF(OR(AND($K697=BV$3,OR($C697="W",$C697="1/2W")),AND($K698=BV$3,OR($C698="W",$C698="1/2W")),AND($K699=BV$3,OR($C699="W",$C699="1/2W"))),$S697,0))</f>
        <v>0</v>
      </c>
      <c r="BW697" s="201">
        <f>IF($B697="LOSS",IF(AND($K697=BW$3,$C697="L"),-$O697,0)+IF(AND($K698=BW$3,$C698="L"),-$O698,0)+IF(AND($K699=BW$3,$C699="L"),-$O699,0),IF(OR(AND($K697=BW$3,OR($C697="W",$C697="1/2W")),AND($K698=BW$3,OR($C698="W",$C698="1/2W")),AND($K699=BW$3,OR($C699="W",$C699="1/2W"))),$S697,0))</f>
        <v>0</v>
      </c>
      <c r="BX697" s="201">
        <f>IF($B697="LOSS",IF(AND($K697=BX$3,$C697="L"),-$O697,0)+IF(AND($K698=BX$3,$C698="L"),-$O698,0)+IF(AND($K699=BX$3,$C699="L"),-$O699,0),IF(OR(AND($K697=BX$3,OR($C697="W",$C697="1/2W")),AND($K698=BX$3,OR($C698="W",$C698="1/2W")),AND($K699=BX$3,OR($C699="W",$C699="1/2W"))),$S697,0))</f>
        <v>0</v>
      </c>
      <c r="BY697" s="201">
        <f>IF($B697="LOSS",IF(AND($K697=BY$3,$C697="L"),-$O697,0)+IF(AND($K698=BY$3,$C698="L"),-$O698,0)+IF(AND($K699=BY$3,$C699="L"),-$O699,0),IF(OR(AND($K697=BY$3,OR($C697="W",$C697="1/2W")),AND($K698=BY$3,OR($C698="W",$C698="1/2W")),AND($K699=BY$3,OR($C699="W",$C699="1/2W"))),$S697,0))</f>
        <v>0</v>
      </c>
      <c r="BZ697" s="205">
        <f>IF($B697="LOSS",IF(AND($K697=BZ$3,$C697="L"),-$O697,0)+IF(AND($K698=BZ$3,$C698="L"),-$O698,0)+IF(AND($K699=BZ$3,$C699="L"),-$O699,0),IF(OR(AND($K697=BZ$3,OR($C697="W",$C697="1/2W")),AND($K698=BZ$3,OR($C698="W",$C698="1/2W")),AND($K699=BZ$3,OR($C699="W",$C699="1/2W"))),$S697,0))</f>
        <v>0</v>
      </c>
      <c r="CA697" s="205">
        <f>IF($B697="LOSS",IF(AND($K697=CA$3,$C697="L"),-$O697,0)+IF(AND($K698=CA$3,$C698="L"),-$O698,0)+IF(AND($K699=CA$3,$C699="L"),-$O699,0),IF(OR(AND($K697=CA$3,OR($C697="W",$C697="1/2W")),AND($K698=CA$3,OR($C698="W",$C698="1/2W")),AND($K699=CA$3,OR($C699="W",$C699="1/2W"))),$S697,0))</f>
        <v>0</v>
      </c>
      <c r="CB697" s="205">
        <f>IF($B697="LOSS",IF(AND($K697=CB$3,$C697="L"),-$O697,0)+IF(AND($K698=CB$3,$C698="L"),-$O698,0)+IF(AND($K699=CB$3,$C699="L"),-$O699,0),IF(OR(AND($K697=CB$3,OR($C697="W",$C697="1/2W")),AND($K698=CB$3,OR($C698="W",$C698="1/2W")),AND($K699=CB$3,OR($C699="W",$C699="1/2W"))),$S697,0))</f>
        <v>0</v>
      </c>
      <c r="CC697" s="205">
        <f>IF($B697="LOSS",IF(AND($K697=CC$3,$C697="L"),-$O697,0)+IF(AND($K698=CC$3,$C698="L"),-$O698,0)+IF(AND($K699=CC$3,$C699="L"),-$O699,0),IF(OR(AND($K697=CC$3,OR($C697="W",$C697="1/2W")),AND($K698=CC$3,OR($C698="W",$C698="1/2W")),AND($K699=CC$3,OR($C699="W",$C699="1/2W"))),$S697,0))</f>
        <v>0</v>
      </c>
      <c r="CD697" s="202">
        <f>IF($B697="LOSS",IF(AND($K697=CD$3,$C697="L"),-$O697,0)+IF(AND($K698=CD$3,$C698="L"),-$O698,0)+IF(AND($K699=CD$3,$C699="L"),-$O699,0),IF(OR(AND($K697=CD$3,OR($C697="W",$C697="1/2W")),AND($K698=CD$3,OR($C698="W",$C698="1/2W")),AND($K699=CD$3,OR($C699="W",$C699="1/2W"))),$S697,0))</f>
        <v>1.71</v>
      </c>
      <c r="CE697" s="199">
        <f>IF($B697="LOSS",IF(AND($K697=CE$3,$C697="L"),-$O697,0)+IF(AND($K698=CE$3,$C698="L"),-$O698,0)+IF(AND($K699=CE$3,$C699="L"),-$O699,0),IF(OR(AND($K697=CE$3,OR($C697="W",$C697="1/2W")),AND($K698=CE$3,OR($C698="W",$C698="1/2W")),AND($K699=CE$3,OR($C699="W",$C699="1/2W"))),$S697,0))</f>
        <v>0</v>
      </c>
      <c r="CF697" s="206">
        <f>IF(CF$3=$K697,IF($C697="W",1,IF($C697="1/2W",0.5,0)),0)</f>
        <v>0</v>
      </c>
      <c r="CG697" s="207">
        <f>IF(CF$3=$K697,IF($C697="L",1,IF($C697="1/2L",0.5,0)),0)</f>
        <v>0</v>
      </c>
      <c r="CH697" s="207">
        <f>IF(CH$3=$K697,IF($C697="W",1,IF($C697="1/2W",0.5,0)),0)</f>
        <v>0</v>
      </c>
      <c r="CI697" s="207">
        <f>IF(CH$3=$K697,IF($C697="L",1,IF($C697="1/2L",0.5,0)),0)</f>
        <v>1</v>
      </c>
      <c r="CJ697" s="207">
        <f>IF(CJ$3=$K697,IF($C697="W",1,IF($C697="1/2W",0.5,0)),0)</f>
        <v>0</v>
      </c>
      <c r="CK697" s="207">
        <f>IF(CJ$3=$K697,IF($C697="L",1,IF($C697="1/2L",0.5,0)),0)</f>
        <v>0</v>
      </c>
      <c r="CL697" s="207">
        <f>IF(CL$3=$K697,IF($C697="W",1,IF($C697="1/2W",0.5,0)),0)</f>
        <v>0</v>
      </c>
      <c r="CM697" s="207">
        <f>IF(CL$3=$K697,IF($C697="L",1,IF($C697="1/2L",0.5,0)),0)</f>
        <v>0</v>
      </c>
      <c r="CN697" s="207">
        <f>IF(CN$3=$K697,IF($C697="W",1,IF($C697="1/2W",0.5,0)),0)</f>
        <v>0</v>
      </c>
      <c r="CO697" s="207">
        <f>IF(CN$3=$K697,IF($C697="L",1,IF($C697="1/2L",0.5,0)),0)</f>
        <v>0</v>
      </c>
      <c r="CP697" s="207">
        <f>IF(CP$3=$K697,IF($C697="W",1,IF($C697="1/2W",0.5,0)),0)</f>
        <v>0</v>
      </c>
      <c r="CQ697" s="207">
        <f>IF(CP$3=$K697,IF($C697="L",1,IF($C697="1/2L",0.5,0)),0)</f>
        <v>0</v>
      </c>
      <c r="CR697" s="207">
        <f>IF(CR$3=$K697,IF($C697="W",1,IF($C697="1/2W",0.5,0)),0)</f>
        <v>0</v>
      </c>
      <c r="CS697" s="207">
        <f>IF(CR$3=$K697,IF($C697="L",1,IF($C697="1/2L",0.5,0)),0)</f>
        <v>0</v>
      </c>
      <c r="CT697" s="208">
        <f>IF(CT$3=$K697,IF($C697="W",1,IF($C697="1/2W",0.5,0)),0)</f>
        <v>0</v>
      </c>
      <c r="CU697" s="209">
        <f>IF(CT$3=$K697,IF($C697="L",1,IF($C697="1/2L",0.5,0)),0)</f>
        <v>0</v>
      </c>
      <c r="CV697" s="209">
        <f>IF(CV$3=$K697,IF($C697="W",1,IF($C697="1/2W",0.5,0)),0)</f>
        <v>0</v>
      </c>
      <c r="CW697" s="209">
        <f>IF(CV$3=$K697,IF($C697="L",1,IF($C697="1/2L",0.5,0)),0)</f>
        <v>0</v>
      </c>
      <c r="CX697" s="209">
        <f>IF(CX$3=$K697,IF($C697="W",1,IF($C697="1/2W",0.5,0)),0)</f>
        <v>0</v>
      </c>
      <c r="CY697" s="209">
        <f>IF(CX$3=$K697,IF($C697="L",1,IF($C697="1/2L",0.5,0)),0)</f>
        <v>0</v>
      </c>
      <c r="CZ697" s="209">
        <f>IF(CZ$3=$K697,IF($C697="W",1,IF($C697="1/2W",0.5,0)),0)</f>
        <v>0</v>
      </c>
      <c r="DA697" s="209">
        <f>IF(CZ$3=$K697,IF($C697="L",1,IF($C697="1/2L",0.5,0)),0)</f>
        <v>0</v>
      </c>
      <c r="DB697" s="209">
        <f>IF(DB$3=$K697,IF($C697="W",1,IF($C697="1/2W",0.5,0)),0)</f>
        <v>0</v>
      </c>
      <c r="DC697" s="209">
        <f>IF(DB$3=$K697,IF($C697="L",1,IF($C697="1/2L",0.5,0)),0)</f>
        <v>0</v>
      </c>
      <c r="DD697" s="209">
        <f>IF(DD$3=$K697,IF($C697="W",1,IF($C697="1/2W",0.5,0)),0)</f>
        <v>0</v>
      </c>
      <c r="DE697" s="210">
        <f>IF(DD$3=$K697,IF($C697="L",1,IF($C697="1/2L",0.5,0)),0)</f>
        <v>0</v>
      </c>
      <c r="DF697" s="211">
        <f>IF(AND(L697&lt;DF$3,$C697="W"),1+DF696,DF696)</f>
        <v>19</v>
      </c>
      <c r="DG697" s="198">
        <f>IF(DF697&gt;DF696,L697+DG696,DG696)</f>
        <v>25.354</v>
      </c>
      <c r="DH697" s="209">
        <f>IF(AND(L697&gt;DH$3,$C697="W"),1+DH696,0+DH696)</f>
        <v>18</v>
      </c>
      <c r="DI697" s="198">
        <f>IF(DH697&gt;DH696,L697+DI696,DI696)</f>
        <v>93.66</v>
      </c>
      <c r="DJ697" t="s" s="306">
        <f>IF($D697="","",$D697)</f>
        <v>481</v>
      </c>
      <c r="DK697" s="209">
        <f>IF(AND($B697=" ",$D697&lt;&gt;""),1,0)</f>
        <v>0</v>
      </c>
    </row>
    <row r="698" ht="14.55" customHeight="1">
      <c r="A698" s="107"/>
      <c r="B698" s="108"/>
      <c r="C698" t="s" s="213">
        <v>56</v>
      </c>
      <c r="D698" s="110"/>
      <c r="E698" s="111"/>
      <c r="F698" s="113"/>
      <c r="G698" s="214"/>
      <c r="H698" s="114"/>
      <c r="I698" t="s" s="215">
        <v>67</v>
      </c>
      <c r="J698" s="296">
        <f>IF(OR(I697="TO",I697="TU",I697="TO1",I697="TU1",I697="TO2",I697="TU2"),J697,IF(OR(I697="AH1",I697="AH2"),IF(OR(I698="AH1",I698="AH2"),-J697,IF(OR(I698="EH1",I698="EH2"),-J697+0.5,"")),IF(OR(I697="EH1",I697="EH2"),IF(OR(I698="AH1",I698="AH2"),-J697+0.5,IF(OR(I698="EH1",I698="EH2"),-J697+1,"")),IF(AND(OR(I697="DNB1",I697="DNB2"),OR(I698="AH1",I698="AH2")),0,IF(AND(I697="Not ScoreBoth",OR(I698="TO1",I698="TO2")),0.5,"")))))</f>
        <v>3.5</v>
      </c>
      <c r="K698" t="s" s="217">
        <v>48</v>
      </c>
      <c r="L698" s="218">
        <v>1.7</v>
      </c>
      <c r="M698" s="219"/>
      <c r="N698" s="120"/>
      <c r="O698" s="220">
        <f>IF(OR(AE697="",AE698=""),"",ROUND(IF(L699&gt;0,IF(M698&gt;0,M698,IF(M697&gt;0,IF(N697=TRUE,ROUND((M697*AE698)/AE697,0),(M697*AE698)/AE697),IF(M698&gt;0,ROUND(M698,IF(N697=0,2,IF(N697=0.1,1,0))),IF(M699&gt;0,ROUND(O699*AE698/AE699,IF(N697=0,2,IF(N697=0.1,1,0))),0)))),IF(M698&gt;0,M698,ROUND((M697*AE698)/AE697,IF(N697=0,2,IF(N697=0.1,1,0))))),2))</f>
        <v>24.3</v>
      </c>
      <c r="P698" s="221">
        <f>IF(OR(L698="",O698=""),"",IF($C698="1/2W",O698/2+O698/2*L698,IF($C698="1/2L",O698/2,IF(I698="Lay",((O698*(L698/(L698-1)))-O698)*(1-_xlfn.XLOOKUP(K698,'Janeiro 2023 - Valor Real'!A3:A15,'Janeiro 2023 - Valor Real'!C3:C15,0))+O698,(O698*L698-O698)*(1-_xlfn.XLOOKUP(K698,'Janeiro 2023 - Valor Real'!A3:A15,'Janeiro 2023 - Valor Real'!C3:C15,0))+O698))))</f>
        <v>41.31</v>
      </c>
      <c r="Q698" s="222">
        <f>IF(K698="","",IF(_xlfn.XLOOKUP(K698,K$123:K471,DJ$123:DJ471,0,,-1)=DJ698,_xlfn.XLOOKUP(K698,K$123:K471,Q$123:Q471,1,,-1)+1,1))</f>
        <v>1</v>
      </c>
      <c r="R698" s="223">
        <f>IF(K698="","",_xlfn.XLOOKUP(K698,K$123:K471,R$123:R471,0,,-1)+IF($C698=" ",1,0))</f>
        <v>0</v>
      </c>
      <c r="S698" s="125"/>
      <c r="T698" s="126"/>
      <c r="U698" s="126"/>
      <c r="V698" s="224"/>
      <c r="W698" s="126"/>
      <c r="X698" s="127"/>
      <c r="Y698" s="128"/>
      <c r="Z698" s="129"/>
      <c r="AA698" s="129"/>
      <c r="AB698" s="129"/>
      <c r="AC698" s="129"/>
      <c r="AD698" s="225">
        <f>(((L698/(L698-1)-1)*(1-_xlfn.XLOOKUP(K698,'Janeiro 2023 - Valor Real'!A3:A15,'Janeiro 2023 - Valor Real'!C3:C15,0))+1))</f>
        <v>2.42857142857143</v>
      </c>
      <c r="AE698" s="226">
        <f>IF(L698="","",IF(L699&gt;0,(SUM(((L697-1)*(1-_xlfn.XLOOKUP(K697,'Janeiro 2023 - Valor Real'!A3:A15,'Janeiro 2023 - Valor Real'!C3:C15,0))+1),((L698-1)*(1-_xlfn.XLOOKUP(K698,'Janeiro 2023 - Valor Real'!A3:A15,'Janeiro 2023 - Valor Real'!C3:C15,0))+1),((L699-1)*(1-_xlfn.XLOOKUP(K699,'Janeiro 2023 - Valor Real'!A3:A15,'Janeiro 2023 - Valor Real'!C3:C15,0))+1))/((L698-1)*(1-_xlfn.XLOOKUP(K698,'Janeiro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Real'!C3:C15,0))+1))/((L697-1)*(1-_xlfn.XLOOKUP(K697,'Janeiro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Real'!C3:C15,0))+1))/((L698-1)*(1-_xlfn.XLOOKUP(K698,'Janeiro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Real'!C3:C15,0))+1))/((L699-1)*(1-_xlfn.XLOOKUP(K699,'Janeiro 2023 - Valor Real'!A3:A15,'Janeiro 2023 - Valor Real'!C3:C15,0))+1)),IF(I698="Lay",IF(I697="Lay",((L697/(L697-1)-1)*(1-_xlfn.XLOOKUP(K697,'Janeiro 2023 - Valor Real'!A3:A15,'Janeiro 2023 - Valor Real'!C3:C15,0))+1)/(((L697/(L697-1)-1)*(1-_xlfn.XLOOKUP(K697,'Janeiro 2023 - Valor Real'!A3:A15,'Janeiro 2023 - Valor Real'!C3:C15,0))+1)+((L698/(L698-1)-1)*(1-_xlfn.XLOOKUP(K698,'Janeiro 2023 - Valor Real'!A3:A15,'Janeiro 2023 - Valor Real'!C3:C15,0))+1)),((L697-1)*(1-_xlfn.XLOOKUP(K697,'Janeiro 2023 - Valor Real'!A3:A15,'Janeiro 2023 - Valor Real'!C3:C15,0))+1)/(((L697-1)*(1-_xlfn.XLOOKUP(K697,'Janeiro 2023 - Valor Real'!A3:A15,'Janeiro 2023 - Valor Real'!C3:C15,0))+1)+((L698/(L698-1)-1)*(1-_xlfn.XLOOKUP(K698,'Janeiro 2023 - Valor Real'!A3:A15,'Janeiro 2023 - Valor Real'!C3:C15,0))+1))),IF(I697="Lay",((L697/(L697-1)-1)*(1-_xlfn.XLOOKUP(K697,'Janeiro 2023 - Valor Real'!A3:A15,'Janeiro 2023 - Valor Real'!C3:C15,0))+1)/((((L697/(L697-1)-1)*(1-_xlfn.XLOOKUP(K697,'Janeiro 2023 - Valor Real'!A3:A15,'Janeiro 2023 - Valor Real'!C3:C15,0))+1))+((L698-1)*(1-_xlfn.XLOOKUP(K698,'Janeiro 2023 - Valor Real'!A3:A15,'Janeiro 2023 - Valor Real'!C3:C15,0))+1)),((L697-1)*(1-_xlfn.XLOOKUP(K697,'Janeiro 2023 - Valor Real'!A3:A15,'Janeiro 2023 - Valor Real'!C3:C15,0))+1)/(((L697-1)*(1-_xlfn.XLOOKUP(K697,'Janeiro 2023 - Valor Real'!A3:A15,'Janeiro 2023 - Valor Real'!C3:C15,0))+1)+((L698-1)*(1-_xlfn.XLOOKUP(K698,'Janeiro 2023 - Valor Real'!A3:A15,'Janeiro 2023 - Valor Real'!C3:C15,0))+1))))))</f>
        <v>0.613636363636364</v>
      </c>
      <c r="AF698" s="197">
        <f>IF($K698=AF$3,ROUND(IF(OR($C698="W",$C698="1/2W",$C698="1/2L"),$P698-$O698,IF($C698="X",0,-$O698)),2),0)</f>
        <v>0</v>
      </c>
      <c r="AG698" s="198">
        <f>IF($K698=AG$3,ROUND(IF(OR($C698="W",$C698="1/2W",$C698="1/2L"),$P698-$O698,IF($C698="X",0,-$O698)),2),0)</f>
        <v>0</v>
      </c>
      <c r="AH698" s="198">
        <f>IF($K698=AH$3,ROUND(IF(OR($C698="W",$C698="1/2W",$C698="1/2L"),$P698-$O698,IF($C698="X",0,-$O698)),2),0)</f>
        <v>0</v>
      </c>
      <c r="AI698" s="198">
        <f>IF($K698=AI$3,ROUND(IF(OR($C698="W",$C698="1/2W",$C698="1/2L"),$P698-$O698,IF($C698="X",0,-$O698)),2),0)</f>
        <v>0</v>
      </c>
      <c r="AJ698" s="198">
        <f>IF($K698=AJ$3,ROUND(IF(OR($C698="W",$C698="1/2W",$C698="1/2L"),$P698-$O698,IF($C698="X",0,-$O698)),2),0)</f>
        <v>0</v>
      </c>
      <c r="AK698" s="198">
        <f>IF($K698=AK$3,ROUND(IF(OR($C698="W",$C698="1/2W",$C698="1/2L"),$P698-$O698,IF($C698="X",0,-$O698)),2),0)</f>
        <v>0</v>
      </c>
      <c r="AL698" s="198">
        <f>IF($K698=AL$3,ROUND(IF(OR($C698="W",$C698="1/2W",$C698="1/2L"),$P698-$O698,IF($C698="X",0,-$O698)),2),0)</f>
        <v>0</v>
      </c>
      <c r="AM698" s="198">
        <f>IF($K698=AM$3,ROUND(IF(OR($C698="W",$C698="1/2W",$C698="1/2L"),$P698-$O698,IF($C698="X",0,-$O698)),2),0)</f>
        <v>0</v>
      </c>
      <c r="AN698" s="198">
        <f>IF($K698=AN$3,ROUND(IF(OR($C698="W",$C698="1/2W",$C698="1/2L"),$P698-$O698,IF($C698="X",0,-$O698)),2),0)</f>
        <v>0</v>
      </c>
      <c r="AO698" s="198">
        <f>IF($K698=AO$3,ROUND(IF(OR($C698="W",$C698="1/2W",$C698="1/2L"),$P698-$O698,IF($C698="X",0,-$O698)),2),0)</f>
        <v>0</v>
      </c>
      <c r="AP698" s="198">
        <f>IF($K698=AP$3,ROUND(IF(OR($C698="W",$C698="1/2W",$C698="1/2L"),$P698-$O698,IF($C698="X",0,-$O698)),2),0)</f>
        <v>0</v>
      </c>
      <c r="AQ698" s="198">
        <f>IF($K698=AQ$3,ROUND(IF(OR($C698="W",$C698="1/2W",$C698="1/2L"),$P698-$O698,IF($C698="X",0,-$O698)),2),0)</f>
        <v>17.01</v>
      </c>
      <c r="AR698" s="199">
        <f>IF($K698=AR$3,ROUND(IF(OR($C698="W",$C698="1/2W",$C698="1/2L"),$P698-$O698,IF($C698="X",0,-$O698)),2),0)</f>
        <v>0</v>
      </c>
      <c r="AS698" s="197">
        <f>IF(AND($B697=" ",$K698=AS$3),$O698,0)</f>
        <v>0</v>
      </c>
      <c r="AT698" s="198">
        <f>IF(AND($B697=" ",K698=AT$3),$O698,0)</f>
        <v>0</v>
      </c>
      <c r="AU698" s="198">
        <f>IF(AND($B697=" ",$K698=AU$3),$O698,0)</f>
        <v>0</v>
      </c>
      <c r="AV698" s="198">
        <f>IF(AND($B697=" ",$K698=AV$3),$O698,0)</f>
        <v>0</v>
      </c>
      <c r="AW698" s="198">
        <f>IF(AND($B697=" ",$K698=AW$3),$O698,0)</f>
        <v>0</v>
      </c>
      <c r="AX698" s="198">
        <f>IF(AND($B697=" ",$K698=AX$3),$O698,0)</f>
        <v>0</v>
      </c>
      <c r="AY698" s="200">
        <f>IF(AND($B697=" ",$K698=AY$3),$O698,0)</f>
        <v>0</v>
      </c>
      <c r="AZ698" s="201">
        <f>IF(AND($B697=" ",$K698=AZ$3),$O698,0)</f>
        <v>0</v>
      </c>
      <c r="BA698" s="201">
        <f>IF(AND($B697=" ",$K698=BA$3),$O698,0)</f>
        <v>0</v>
      </c>
      <c r="BB698" s="201">
        <f>IF(AND($B697=" ",$K698=BB$3),$O698,0)</f>
        <v>0</v>
      </c>
      <c r="BC698" s="202">
        <f>IF(AND($B697=" ",$K698=BC$3),$O698,0)</f>
        <v>0</v>
      </c>
      <c r="BD698" s="198">
        <f>IF(AND($B697=" ",$K698=BD$3),$O698,0)</f>
        <v>0</v>
      </c>
      <c r="BE698" s="199">
        <f>IF(AND($B697=" ",$K698=BE$3),$O698,0)</f>
        <v>0</v>
      </c>
      <c r="BF698" s="197">
        <f>IF($K698=BF$3,IF($C698="X",0,$O698),0)</f>
        <v>0</v>
      </c>
      <c r="BG698" s="198">
        <f>IF($K698=BG$3,IF($C698="X",0,$O698),0)</f>
        <v>0</v>
      </c>
      <c r="BH698" s="198">
        <f>IF($K698=BH$3,IF($C698="X",0,$O698),0)</f>
        <v>0</v>
      </c>
      <c r="BI698" s="198">
        <f>IF($K698=BI$3,IF($C698="X",0,$O698),0)</f>
        <v>0</v>
      </c>
      <c r="BJ698" s="198">
        <f>IF($K698=BJ$3,IF($C698="X",0,$O698),0)</f>
        <v>0</v>
      </c>
      <c r="BK698" s="198">
        <f>IF($K698=BK$3,IF($C698="X",0,$O698),0)</f>
        <v>0</v>
      </c>
      <c r="BL698" s="198">
        <f>IF($K698=BL$3,IF($C698="X",0,$O698),0)</f>
        <v>0</v>
      </c>
      <c r="BM698" s="227">
        <f>IF($K698=BM$3,IF($C698="X",0,$O698),0)</f>
        <v>0</v>
      </c>
      <c r="BN698" s="205">
        <f>IF($K698=BN$3,IF($C698="X",0,$O698),0)</f>
        <v>0</v>
      </c>
      <c r="BO698" s="205">
        <f>IF($K698=BO$3,IF($C698="X",0,$O698),0)</f>
        <v>0</v>
      </c>
      <c r="BP698" s="205">
        <f>IF($K698=BP$3,IF($C698="X",0,$O698),0)</f>
        <v>0</v>
      </c>
      <c r="BQ698" s="202">
        <f>IF($K698=BQ$3,IF($C698="X",0,$O698),0)</f>
        <v>24.3</v>
      </c>
      <c r="BR698" s="199">
        <f>IF($K698=BR$3,IF($C698="X",0,$O698),0)</f>
        <v>0</v>
      </c>
      <c r="BS698" s="228"/>
      <c r="BT698" s="229"/>
      <c r="BU698" s="140"/>
      <c r="BV698" s="229"/>
      <c r="BW698" s="140"/>
      <c r="BX698" s="140"/>
      <c r="BY698" s="140"/>
      <c r="BZ698" s="229"/>
      <c r="CA698" s="140"/>
      <c r="CB698" s="140"/>
      <c r="CC698" s="140"/>
      <c r="CD698" s="141"/>
      <c r="CE698" s="142"/>
      <c r="CF698" s="230">
        <f>IF(CF$3=$K698,IF($C698="W",1,IF($C698="1/2W",0.5,0)),0)</f>
        <v>0</v>
      </c>
      <c r="CG698" s="231">
        <f>IF(CF$3=$K698,IF($C698="L",1,IF($C698="1/2L",0.5,0)),0)</f>
        <v>0</v>
      </c>
      <c r="CH698" s="231">
        <f>IF(CH$3=$K698,IF($C698="W",1,IF($C698="1/2W",0.5,0)),0)</f>
        <v>0</v>
      </c>
      <c r="CI698" s="231">
        <f>IF(CH$3=$K698,IF($C698="L",1,IF($C698="1/2L",0.5,0)),0)</f>
        <v>0</v>
      </c>
      <c r="CJ698" s="231">
        <f>IF(CJ$3=$K698,IF($C698="W",1,IF($C698="1/2W",0.5,0)),0)</f>
        <v>0</v>
      </c>
      <c r="CK698" s="231">
        <f>IF(CJ$3=$K698,IF($C698="L",1,IF($C698="1/2L",0.5,0)),0)</f>
        <v>0</v>
      </c>
      <c r="CL698" s="231">
        <f>IF(CL$3=$K698,IF($C698="W",1,IF($C698="1/2W",0.5,0)),0)</f>
        <v>0</v>
      </c>
      <c r="CM698" s="231">
        <f>IF(CL$3=$K698,IF($C698="L",1,IF($C698="1/2L",0.5,0)),0)</f>
        <v>0</v>
      </c>
      <c r="CN698" s="231">
        <f>IF(CN$3=$K698,IF($C698="W",1,IF($C698="1/2W",0.5,0)),0)</f>
        <v>0</v>
      </c>
      <c r="CO698" s="231">
        <f>IF(CN$3=$K698,IF($C698="L",1,IF($C698="1/2L",0.5,0)),0)</f>
        <v>0</v>
      </c>
      <c r="CP698" s="231">
        <f>IF(CP$3=$K698,IF($C698="W",1,IF($C698="1/2W",0.5,0)),0)</f>
        <v>0</v>
      </c>
      <c r="CQ698" s="231">
        <f>IF(CP$3=$K698,IF($C698="L",1,IF($C698="1/2L",0.5,0)),0)</f>
        <v>0</v>
      </c>
      <c r="CR698" s="231">
        <f>IF(CR$3=$K698,IF($C698="W",1,IF($C698="1/2W",0.5,0)),0)</f>
        <v>0</v>
      </c>
      <c r="CS698" s="231">
        <f>IF(CR$3=$K698,IF($C698="L",1,IF($C698="1/2L",0.5,0)),0)</f>
        <v>0</v>
      </c>
      <c r="CT698" s="208">
        <f>IF(CT$3=$K698,IF($C698="W",1,IF($C698="1/2W",0.5,0)),0)</f>
        <v>0</v>
      </c>
      <c r="CU698" s="209">
        <f>IF(CT$3=$K698,IF($C698="L",1,IF($C698="1/2L",0.5,0)),0)</f>
        <v>0</v>
      </c>
      <c r="CV698" s="209">
        <f>IF(CV$3=$K698,IF($C698="W",1,IF($C698="1/2W",0.5,0)),0)</f>
        <v>0</v>
      </c>
      <c r="CW698" s="209">
        <f>IF(CV$3=$K698,IF($C698="L",1,IF($C698="1/2L",0.5,0)),0)</f>
        <v>0</v>
      </c>
      <c r="CX698" s="209">
        <f>IF(CX$3=$K698,IF($C698="W",1,IF($C698="1/2W",0.5,0)),0)</f>
        <v>0</v>
      </c>
      <c r="CY698" s="209">
        <f>IF(CX$3=$K698,IF($C698="L",1,IF($C698="1/2L",0.5,0)),0)</f>
        <v>0</v>
      </c>
      <c r="CZ698" s="209">
        <f>IF(CZ$3=$K698,IF($C698="W",1,IF($C698="1/2W",0.5,0)),0)</f>
        <v>0</v>
      </c>
      <c r="DA698" s="209">
        <f>IF(CZ$3=$K698,IF($C698="L",1,IF($C698="1/2L",0.5,0)),0)</f>
        <v>0</v>
      </c>
      <c r="DB698" s="209">
        <f>IF(DB$3=$K698,IF($C698="W",1,IF($C698="1/2W",0.5,0)),0)</f>
        <v>1</v>
      </c>
      <c r="DC698" s="209">
        <f>IF(DB$3=$K698,IF($C698="L",1,IF($C698="1/2L",0.5,0)),0)</f>
        <v>0</v>
      </c>
      <c r="DD698" s="209">
        <f>IF(DD$3=$K698,IF($C698="W",1,IF($C698="1/2W",0.5,0)),0)</f>
        <v>0</v>
      </c>
      <c r="DE698" s="210">
        <f>IF(DD$3=$K698,IF($C698="L",1,IF($C698="1/2L",0.5,0)),0)</f>
        <v>0</v>
      </c>
      <c r="DF698" s="211">
        <f>IF(AND(L698&lt;DF$3,$C698="W"),1+DF697,DF697)</f>
        <v>19</v>
      </c>
      <c r="DG698" s="198">
        <f>IF(DF698&gt;DF697,L698+DG697,DG697)</f>
        <v>25.354</v>
      </c>
      <c r="DH698" s="209">
        <f>IF(AND(L698&gt;DH$3,$C698="W"),1+DH697,0+DH697)</f>
        <v>18</v>
      </c>
      <c r="DI698" s="198">
        <f>IF(DH698&gt;DH697,L698+DI697,DI697)</f>
        <v>93.66</v>
      </c>
      <c r="DJ698" t="s" s="306">
        <f>IF($D697="","",$D697)</f>
        <v>481</v>
      </c>
      <c r="DK698" s="232"/>
    </row>
    <row r="699" ht="14.55" customHeight="1">
      <c r="A699" s="149"/>
      <c r="B699" s="150"/>
      <c r="C699" t="s" s="233">
        <v>58</v>
      </c>
      <c r="D699" s="152"/>
      <c r="E699" s="153"/>
      <c r="F699" s="155"/>
      <c r="G699" s="234"/>
      <c r="H699" s="156"/>
      <c r="I699" s="235"/>
      <c r="J699" s="236"/>
      <c r="K699" s="237"/>
      <c r="L699" s="238"/>
      <c r="M699" s="239"/>
      <c r="N699" s="161"/>
      <c r="O699" t="s" s="240">
        <f>IF(OR(AE697="",AE698=""),"",IF(L699&gt;0,ROUND(IF(M699&gt;0,M699,IF(M697&gt;0,ROUND((M697*AE699)/AE697,IF(N697=0,2,IF(N697=0.1,1,0))),IF(M698&gt;0,ROUND((M698*AE699)/AE698,IF(N697=0,2,IF(N697=0.1,1,0))),IF(M699&gt;0,M699,0)))),2),""))</f>
      </c>
      <c r="P699" t="s" s="241">
        <f>IF(I698="Lay",O698*(L698/(L698-1))-O698,IF(I697="Lay",O697*(L697/(L697-1))-O697,IF(OR(L699="",O699=""),"",IF($C699="1/2W",O699/2+O699/2*L699,IF($C699="1/2L",O699/2,(O699*L699-O699)*(1-_xlfn.XLOOKUP(K699,'Janeiro 2023 - Valor Real'!A3:A15,'Janeiro 2023 - Valor Real'!C3:C15,0))+O699)))))</f>
      </c>
      <c r="Q699" t="s" s="242">
        <f>IF(K699="","",IF(_xlfn.XLOOKUP(K699,K$124:K472,DJ$124:DJ472,0,,-1)=DJ699,_xlfn.XLOOKUP(K699,K$124:K472,Q$124:Q472,1,,-1)+1,1))</f>
      </c>
      <c r="R699" t="s" s="243">
        <f>IF(K699="","",_xlfn.XLOOKUP(K699,K$124:K472,R$124:R472,0,,-1)+IF($C699=" ",1,0))</f>
      </c>
      <c r="S699" s="166"/>
      <c r="T699" s="155"/>
      <c r="U699" s="155"/>
      <c r="V699" s="166"/>
      <c r="W699" s="155"/>
      <c r="X699" s="167"/>
      <c r="Y699" s="128"/>
      <c r="Z699" s="129"/>
      <c r="AA699" s="129"/>
      <c r="AB699" s="129"/>
      <c r="AC699" s="129"/>
      <c r="AD699" s="244">
        <f>((L698/(L698-1)-1))</f>
        <v>1.42857142857143</v>
      </c>
      <c r="AE699" t="s" s="245">
        <f>IF(L699="","",(SUM(((L697-1)*(1-_xlfn.XLOOKUP(K697,'Janeiro 2023 - Valor Real'!A3:A15,'Janeiro 2023 - Valor Real'!C3:C15,0))+1),((L698-1)*(1-_xlfn.XLOOKUP(K698,'Janeiro 2023 - Valor Real'!A3:A15,'Janeiro 2023 - Valor Real'!C3:C15,0))+1),((L699-1)*(1-_xlfn.XLOOKUP(K699,'Janeiro 2023 - Valor Real'!A3:A15,'Janeiro 2023 - Valor Real'!C3:C15,0))+1))/((L699-1)*(1-_xlfn.XLOOKUP(K699,'Janeiro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Real'!C3:C15,0))+1))/((L697-1)*(1-_xlfn.XLOOKUP(K697,'Janeiro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Real'!C3:C15,0))+1))/((L698-1)*(1-_xlfn.XLOOKUP(K698,'Janeiro 2023 - Valor Real'!A3:A15,'Janeiro 2023 - Valor Real'!C3:C15,0))+1)+SUM(((L697-1)*(1-_xlfn.XLOOKUP(K697,'Janeiro 2023 - Valor Real'!A3:A15,'Janeiro 2023 - Valor Real'!C3:C15,0))+1),((L698-1)*(1-_xlfn.XLOOKUP(K698,'Janeiro 2023 - Valor Real'!A3:A15,'Janeiro 2023 - Valor Real'!C3:C15,0))+1),((L699-1)*(1-_xlfn.XLOOKUP(K699,'Janeiro 2023 - Valor Real'!A3:A15,'Janeiro 2023 - Valor Real'!C3:C15,0))+1))/((L699-1)*(1-_xlfn.XLOOKUP(K699,'Janeiro 2023 - Valor Real'!A3:A15,'Janeiro 2023 - Valor Real'!C3:C15,0))+1)))</f>
      </c>
      <c r="AF699" s="197">
        <f>IF($K699=AF$3,ROUND(IF(OR($C699="W",$C699="1/2W",$C699="1/2L"),$P699-$O699,IF($C699="X",0,-$O699)),2),0)</f>
        <v>0</v>
      </c>
      <c r="AG699" s="198">
        <f>IF($K699=AG$3,ROUND(IF(OR($C699="W",$C699="1/2W",$C699="1/2L"),$P699-$O699,IF($C699="X",0,-$O699)),2),0)</f>
        <v>0</v>
      </c>
      <c r="AH699" s="198">
        <f>IF($K699=AH$3,ROUND(IF(OR($C699="W",$C699="1/2W",$C699="1/2L"),$P699-$O699,IF($C699="X",0,-$O699)),2),0)</f>
        <v>0</v>
      </c>
      <c r="AI699" s="198">
        <f>IF($K699=AI$3,ROUND(IF(OR($C699="W",$C699="1/2W",$C699="1/2L"),$P699-$O699,IF($C699="X",0,-$O699)),2),0)</f>
        <v>0</v>
      </c>
      <c r="AJ699" s="198">
        <f>IF($K699=AJ$3,ROUND(IF(OR($C699="W",$C699="1/2W",$C699="1/2L"),$P699-$O699,IF($C699="X",0,-$O699)),2),0)</f>
        <v>0</v>
      </c>
      <c r="AK699" s="198">
        <f>IF($K699=AK$3,ROUND(IF(OR($C699="W",$C699="1/2W",$C699="1/2L"),$P699-$O699,IF($C699="X",0,-$O699)),2),0)</f>
        <v>0</v>
      </c>
      <c r="AL699" s="198">
        <f>IF($K699=AL$3,ROUND(IF(OR($C699="W",$C699="1/2W",$C699="1/2L"),$P699-$O699,IF($C699="X",0,-$O699)),2),0)</f>
        <v>0</v>
      </c>
      <c r="AM699" s="198">
        <f>IF($K699=AM$3,ROUND(IF(OR($C699="W",$C699="1/2W",$C699="1/2L"),$P699-$O699,IF($C699="X",0,-$O699)),2),0)</f>
        <v>0</v>
      </c>
      <c r="AN699" s="198">
        <f>IF($K699=AN$3,ROUND(IF(OR($C699="W",$C699="1/2W",$C699="1/2L"),$P699-$O699,IF($C699="X",0,-$O699)),2),0)</f>
        <v>0</v>
      </c>
      <c r="AO699" s="198">
        <f>IF($K699=AO$3,ROUND(IF(OR($C699="W",$C699="1/2W",$C699="1/2L"),$P699-$O699,IF($C699="X",0,-$O699)),2),0)</f>
        <v>0</v>
      </c>
      <c r="AP699" s="198">
        <f>IF($K699=AP$3,ROUND(IF(OR($C699="W",$C699="1/2W",$C699="1/2L"),$P699-$O699,IF($C699="X",0,-$O699)),2),0)</f>
        <v>0</v>
      </c>
      <c r="AQ699" s="198">
        <f>IF($K699=AQ$3,ROUND(IF(OR($C699="W",$C699="1/2W",$C699="1/2L"),$P699-$O699,IF($C699="X",0,-$O699)),2),0)</f>
        <v>0</v>
      </c>
      <c r="AR699" s="199">
        <f>IF($K699=AR$3,ROUND(IF(OR($C699="W",$C699="1/2W",$C699="1/2L"),$P699-$O699,IF($C699="X",0,-$O699)),2),0)</f>
        <v>0</v>
      </c>
      <c r="AS699" s="197">
        <f>IF(AND($B697=" ",$K699=AS$3),$O699,0)</f>
        <v>0</v>
      </c>
      <c r="AT699" s="198">
        <f>IF(AND($B697=" ",K699=AT$3),$O699,0)</f>
        <v>0</v>
      </c>
      <c r="AU699" s="198">
        <f>IF(AND($B697=" ",$K699=AU$3),$O699,0)</f>
        <v>0</v>
      </c>
      <c r="AV699" s="198">
        <f>IF(AND($B697=" ",$K699=AV$3),$O699,0)</f>
        <v>0</v>
      </c>
      <c r="AW699" s="198">
        <f>IF(AND($B697=" ",$K699=AW$3),$O699,0)</f>
        <v>0</v>
      </c>
      <c r="AX699" s="198">
        <f>IF(AND($B697=" ",$K699=AX$3),$O699,0)</f>
        <v>0</v>
      </c>
      <c r="AY699" s="200">
        <f>IF(AND($B697=" ",$K699=AY$3),$O699,0)</f>
        <v>0</v>
      </c>
      <c r="AZ699" s="201">
        <f>IF(AND($B697=" ",$K699=AZ$3),$O699,0)</f>
        <v>0</v>
      </c>
      <c r="BA699" s="201">
        <f>IF(AND($B697=" ",$K699=BA$3),$O699,0)</f>
        <v>0</v>
      </c>
      <c r="BB699" s="201">
        <f>IF(AND($B697=" ",$K699=BB$3),$O699,0)</f>
        <v>0</v>
      </c>
      <c r="BC699" s="202">
        <f>IF(AND($B697=" ",$K699=BC$3),$O699,0)</f>
        <v>0</v>
      </c>
      <c r="BD699" s="198">
        <f>IF(AND($B697=" ",$K699=BD$3),$O699,0)</f>
        <v>0</v>
      </c>
      <c r="BE699" s="199">
        <f>IF(AND($B697=" ",$K699=BE$3),$O699,0)</f>
        <v>0</v>
      </c>
      <c r="BF699" s="197">
        <f>IF($K699=BF$3,IF($C699="X",0,$O699),0)</f>
        <v>0</v>
      </c>
      <c r="BG699" s="198">
        <f>IF($K699=BG$3,IF($C699="X",0,$O699),0)</f>
        <v>0</v>
      </c>
      <c r="BH699" s="198">
        <f>IF($K699=BH$3,IF($C699="X",0,$O699),0)</f>
        <v>0</v>
      </c>
      <c r="BI699" s="198">
        <f>IF($K699=BI$3,IF($C699="X",0,$O699),0)</f>
        <v>0</v>
      </c>
      <c r="BJ699" s="198">
        <f>IF($K699=BJ$3,IF($C699="X",0,$O699),0)</f>
        <v>0</v>
      </c>
      <c r="BK699" s="198">
        <f>IF($K699=BK$3,IF($C699="X",0,$O699),0)</f>
        <v>0</v>
      </c>
      <c r="BL699" s="198">
        <f>IF($K699=BL$3,IF($C699="X",0,$O699),0)</f>
        <v>0</v>
      </c>
      <c r="BM699" s="200">
        <f>IF($K699=BM$3,IF($C699="X",0,$O699),0)</f>
        <v>0</v>
      </c>
      <c r="BN699" s="201">
        <f>IF($K699=BN$3,IF($C699="X",0,$O699),0)</f>
        <v>0</v>
      </c>
      <c r="BO699" s="201">
        <f>IF($K699=BO$3,IF($C699="X",0,$O699),0)</f>
        <v>0</v>
      </c>
      <c r="BP699" s="201">
        <f>IF($K699=BP$3,IF($C699="X",0,$O699),0)</f>
        <v>0</v>
      </c>
      <c r="BQ699" s="202">
        <f>IF($K699=BQ$3,IF($C699="X",0,$O699),0)</f>
        <v>0</v>
      </c>
      <c r="BR699" s="199">
        <f>IF($K699=BR$3,IF($C699="X",0,$O699),0)</f>
        <v>0</v>
      </c>
      <c r="BS699" s="228"/>
      <c r="BT699" s="229"/>
      <c r="BU699" s="140"/>
      <c r="BV699" s="229"/>
      <c r="BW699" s="140"/>
      <c r="BX699" s="140"/>
      <c r="BY699" s="140"/>
      <c r="BZ699" s="229"/>
      <c r="CA699" s="140"/>
      <c r="CB699" s="140"/>
      <c r="CC699" s="140"/>
      <c r="CD699" s="141"/>
      <c r="CE699" s="142"/>
      <c r="CF699" s="230">
        <f>IF(CF$3=$K699,IF($C699="W",1,IF($C699="1/2W",0.5,0)),0)</f>
        <v>0</v>
      </c>
      <c r="CG699" s="231">
        <f>IF(CF$3=$K699,IF($C699="L",1,IF($C699="1/2L",0.5,0)),0)</f>
        <v>0</v>
      </c>
      <c r="CH699" s="231">
        <f>IF(CH$3=$K699,IF($C699="W",1,IF($C699="1/2W",0.5,0)),0)</f>
        <v>0</v>
      </c>
      <c r="CI699" s="231">
        <f>IF(CH$3=$K699,IF($C699="L",1,IF($C699="1/2L",0.5,0)),0)</f>
        <v>0</v>
      </c>
      <c r="CJ699" s="231">
        <f>IF(CJ$3=$K699,IF($C699="W",1,IF($C699="1/2W",0.5,0)),0)</f>
        <v>0</v>
      </c>
      <c r="CK699" s="231">
        <f>IF(CJ$3=$K699,IF($C699="L",1,IF($C699="1/2L",0.5,0)),0)</f>
        <v>0</v>
      </c>
      <c r="CL699" s="231">
        <f>IF(CL$3=$K699,IF($C699="W",1,IF($C699="1/2W",0.5,0)),0)</f>
        <v>0</v>
      </c>
      <c r="CM699" s="231">
        <f>IF(CL$3=$K699,IF($C699="L",1,IF($C699="1/2L",0.5,0)),0)</f>
        <v>0</v>
      </c>
      <c r="CN699" s="231">
        <f>IF(CN$3=$K699,IF($C699="W",1,IF($C699="1/2W",0.5,0)),0)</f>
        <v>0</v>
      </c>
      <c r="CO699" s="231">
        <f>IF(CN$3=$K699,IF($C699="L",1,IF($C699="1/2L",0.5,0)),0)</f>
        <v>0</v>
      </c>
      <c r="CP699" s="231">
        <f>IF(CP$3=$K699,IF($C699="W",1,IF($C699="1/2W",0.5,0)),0)</f>
        <v>0</v>
      </c>
      <c r="CQ699" s="231">
        <f>IF(CP$3=$K699,IF($C699="L",1,IF($C699="1/2L",0.5,0)),0)</f>
        <v>0</v>
      </c>
      <c r="CR699" s="231">
        <f>IF(CR$3=$K699,IF($C699="W",1,IF($C699="1/2W",0.5,0)),0)</f>
        <v>0</v>
      </c>
      <c r="CS699" s="231">
        <f>IF(CR$3=$K699,IF($C699="L",1,IF($C699="1/2L",0.5,0)),0)</f>
        <v>0</v>
      </c>
      <c r="CT699" s="208">
        <f>IF(CT$3=$K699,IF($C699="W",1,IF($C699="1/2W",0.5,0)),0)</f>
        <v>0</v>
      </c>
      <c r="CU699" s="209">
        <f>IF(CT$3=$K699,IF($C699="L",1,IF($C699="1/2L",0.5,0)),0)</f>
        <v>0</v>
      </c>
      <c r="CV699" s="209">
        <f>IF(CV$3=$K699,IF($C699="W",1,IF($C699="1/2W",0.5,0)),0)</f>
        <v>0</v>
      </c>
      <c r="CW699" s="209">
        <f>IF(CV$3=$K699,IF($C699="L",1,IF($C699="1/2L",0.5,0)),0)</f>
        <v>0</v>
      </c>
      <c r="CX699" s="209">
        <f>IF(CX$3=$K699,IF($C699="W",1,IF($C699="1/2W",0.5,0)),0)</f>
        <v>0</v>
      </c>
      <c r="CY699" s="209">
        <f>IF(CX$3=$K699,IF($C699="L",1,IF($C699="1/2L",0.5,0)),0)</f>
        <v>0</v>
      </c>
      <c r="CZ699" s="209">
        <f>IF(CZ$3=$K699,IF($C699="W",1,IF($C699="1/2W",0.5,0)),0)</f>
        <v>0</v>
      </c>
      <c r="DA699" s="209">
        <f>IF(CZ$3=$K699,IF($C699="L",1,IF($C699="1/2L",0.5,0)),0)</f>
        <v>0</v>
      </c>
      <c r="DB699" s="209">
        <f>IF(DB$3=$K699,IF($C699="W",1,IF($C699="1/2W",0.5,0)),0)</f>
        <v>0</v>
      </c>
      <c r="DC699" s="209">
        <f>IF(DB$3=$K699,IF($C699="L",1,IF($C699="1/2L",0.5,0)),0)</f>
        <v>0</v>
      </c>
      <c r="DD699" s="209">
        <f>IF(DD$3=$K699,IF($C699="W",1,IF($C699="1/2W",0.5,0)),0)</f>
        <v>0</v>
      </c>
      <c r="DE699" s="210">
        <f>IF(DD$3=$K699,IF($C699="L",1,IF($C699="1/2L",0.5,0)),0)</f>
        <v>0</v>
      </c>
      <c r="DF699" s="211">
        <f>IF(AND(L699&lt;DF$3,$C699="W"),1+DF698,DF698)</f>
        <v>19</v>
      </c>
      <c r="DG699" s="198">
        <f>IF(DF699&gt;DF698,L699+DG698,DG698)</f>
        <v>25.354</v>
      </c>
      <c r="DH699" s="209">
        <f>IF(AND(L699&gt;DH$3,$C699="W"),1+DH698,0+DH698)</f>
        <v>18</v>
      </c>
      <c r="DI699" s="198">
        <f>IF(DH699&gt;DH698,L699+DI698,DI698)</f>
        <v>93.66</v>
      </c>
      <c r="DJ699" t="s" s="306">
        <f>IF($D697="","",$D697)</f>
        <v>481</v>
      </c>
      <c r="DK699" s="232"/>
    </row>
    <row r="700" ht="14.55" customHeight="1">
      <c r="A700" s="246">
        <f>$A697+1</f>
        <v>233</v>
      </c>
      <c r="B700" t="s" s="247">
        <f>IF(AND(_xlfn.XLOOKUP(H700,H$107:H479,G$107:G479,0)=G700,_xlfn.XLOOKUP("TempoBet",K700:K702,L700:L702,0)&gt;0),"X",IF(OR(C700="W",C701="W",C702="W",C700="1/2W",C701="1/2W",C702="1/2W",C700="1/2L",C701="1/2L",C702="1/2L"),"OK",IF(OR(C700="L",C701="L",C702="L"),"LOSS",IF(OR(C700="X",C701="X",C702="X"),"Anulado"," "))))</f>
        <v>50</v>
      </c>
      <c r="C700" t="s" s="248">
        <v>51</v>
      </c>
      <c r="D700" t="s" s="303">
        <f>IF(G700="","",$D697)</f>
        <v>481</v>
      </c>
      <c r="E700" t="s" s="250">
        <v>127</v>
      </c>
      <c r="F700" t="s" s="251">
        <f>IF(G700="","",IF(OR(AND($C700&lt;&gt;" ",$C701=" "),AND($C701&lt;&gt;" ",$C700=" "),AND(L702&gt;0,OR(AND($C702&lt;&gt;" ",OR($C700=" ",$C701=" ")),AND($C702=" ",OR($C700&lt;&gt;" ",$C701&lt;&gt;" "))))),IF(SUM(F$4:F699)=0,1,LARGE(F$4:F699,1)+1),IF(MONTH(G700)=MONTH(TODAY()),IF(AND(DAY(G700)&lt;DAY(TODAY()),$B700=" "),IF(SUM(F$4:F699)=0,1,LARGE(F$4:F699,1)+1),IF($B700=" ",IF(AND(DAY(G700)=DAY(TODAY()),HOUR(G700)&lt;=HOUR(NOW())+1),IF(AND(HOUR(G700)+2&lt;=HOUR(NOW()),DAY(G700)&lt;=DAY(TODAY()),MINUTE(G700)&lt;=MINUTE(NOW())),IF(SUM(F$4:F699)=0,1,LARGE(F$4:F699,1)+1),IF(OR(MINUTE(G700)&lt;=MINUTE(NOW()),HOUR(G700)&lt;=HOUR(NOW())),"!!!","")),""),"")),"")))</f>
      </c>
      <c r="G700" s="252">
        <v>44958.583333333336</v>
      </c>
      <c r="H700" t="s" s="253">
        <v>494</v>
      </c>
      <c r="I700" t="s" s="254">
        <v>65</v>
      </c>
      <c r="J700" s="255">
        <v>5</v>
      </c>
      <c r="K700" t="s" s="256">
        <v>37</v>
      </c>
      <c r="L700" s="257">
        <v>2.025</v>
      </c>
      <c r="M700" s="258"/>
      <c r="N700" s="259">
        <v>0</v>
      </c>
      <c r="O700" s="260">
        <f>IF(OR(AE700="",AE701=""),"",ROUND(IF(L702&gt;0,IF(M700&gt;0,M700,IF(M701&gt;0,ROUND((M701*AE700)/AE701,IF(N700=0,2,IF(N700=0.1,1,0))),ROUND((M702*AE700)/AE702,IF(N700=0,2,IF(N700=0.1,1,0))))),IF(M700&gt;0,M700,ROUND((M701*AE700)/AE701,IF(N700=0,2,IF(N700=0.1,1,0))))),2))</f>
        <v>6.09</v>
      </c>
      <c r="P700" s="261">
        <f>IF(OR(L700="",O700=""),"",IF($C700="1/2W",O700/2+O700/2*L700,IF($C700="1/2L",O700/2,IF(I700="Lay",(O700*(L700/(L700-1))-O700)*(1-_xlfn.XLOOKUP(K700,'Janeiro 2023 - Valor Real'!A3:A15,'Janeiro 2023 - Valor Real'!C3:C15,0))+O700,(O700*L700-O700)*(1-_xlfn.XLOOKUP(K700,'Janeiro 2023 - Valor Real'!A3:A15,'Janeiro 2023 - Valor Real'!C3:C15,0))+O700))))</f>
        <v>12.33225</v>
      </c>
      <c r="Q700" s="262">
        <f>IF(K700="","",IF(_xlfn.XLOOKUP(K700,K$107:K479,DJ$107:DJ479,0,,-1)=DJ700,_xlfn.XLOOKUP(K700,K$107:K479,Q$107:Q479,1,,-1)+1,1))</f>
        <v>1</v>
      </c>
      <c r="R700" s="263">
        <f>IF(K700="","",_xlfn.XLOOKUP(K700,K$107:K479,R$107:R479,0,,-1)+IF($C700=" ",1,0))</f>
        <v>0</v>
      </c>
      <c r="S700" s="264">
        <f>IF($B700="Anulado",0,ROUND(IF(OR($B700="LOSS",$B700="OK"),IF(OR($C700="W",$C700="1/2W",$C700="1/2L"),P700-O700,IF($C700="L",-O700,0))+IF(OR($C701="W",$C701="1/2W",$C701="1/2L"),P701-O701,IF($C701="L",-O701,0))+IF(OR($C702="W",$C702="1/2W",$C702="1/2L"),P702-O702,IF($C702="L",-O702,0)),IF(AND(OR($C700="W",$C700="1/2W",$C700="1/2L"),C701="W"),P700+P701-SUM(O700:O702)+_xlfn.XLOOKUP("X",C700:C702,O700:O702,0),IF(AND(C700=TRUE,C702="W"),P700+P702-SUM(O700:O702),IF(AND(C701="W",C702="W"),P701+P702-SUM(O700:O702)+_xlfn.XLOOKUP("X",C700:C702,O700:O702,0),IF(L702&gt;0,IF(OR($C700="W",$C700="1/2W",$C700="1/2L"),P700-SUM(O700:O702)+_xlfn.XLOOKUP("X",C700:C702,O700:O702,0),IF(OR($C700="W",$C700="1/2W",$C700="1/2L"),P701-SUM(O700:O702)+_xlfn.XLOOKUP("X",C700:C702,O700:O702,0),IF(OR($C700="W",$C700="1/2W",$C700="1/2L"),P702-SUM(O700:O702)+_xlfn.XLOOKUP("X",C700:C702,O700:O702,0),IF(SUM(P700:P702)/3-SUM(O700:O702)+_xlfn.XLOOKUP("X",C700:C702,O700:O702,0)&gt;0,SUM(P700:P702)/3-SUM(O700:O702)+_xlfn.XLOOKUP("X",C700:C702,O700:O702,0),LARGE(P700:P702,1)-SUM(O700:O702))))),IF(OR($C700="W",$C700="1/2W",$C700="1/2L"),P700-SUM(O700:O701)+_xlfn.XLOOKUP("X",C700:C702,O700:O702,0),IF(OR($C700="W",$C700="1/2W",$C700="1/2L"),P701-SUM(O700:O701)+_xlfn.XLOOKUP("X",C700:C702,O700:O702,0),SUM(P700:P701)/2-SUM(O700:O701)+_xlfn.XLOOKUP("X",C700:C702,O700:O702,0)))))))),2))</f>
        <v>0.66</v>
      </c>
      <c r="T700" s="265">
        <f>IF(S700=0,0,S700/SUM(O700:O702))</f>
        <v>0.0565552699228792</v>
      </c>
      <c r="U700" s="266">
        <f>IF($D700=$D697,IF(OR($B700="LOSS",$B700="OK",$B700="Anulada"),S700,0)+U697,IF(OR($B700="LOSS",$B700="OK",$B700="Anulada"),S700,0))</f>
        <v>14.67</v>
      </c>
      <c r="V700" s="266">
        <f>IF($D700="",0,IF($D700=$D697,IF($B700=" ",IF(I702="",IF(OR(AND(I700="DNB1",I701="DNB2"),AND(OR(I700="DNB1",I700="DNB2"),J701=0),AND(OR(I701="DNB1",I701="DNB2"),J700=0),AND(I700="DNB2",I701="DNB1"),AND(IF(J700=0,(J700+1)/ROUND(J700+1,0),J700/ROUND(J700,0))=1,IF(J701=0,(J701+1)/ROUND(IF(J701="",0,J701)+1,0),IF(J701="",0,J701)/ROUND(IF(J701="",1,J701),0))=1,OR(J700&lt;&gt;""),J701&lt;&gt;"")),0,IF(S700&lt;0,IF(I702="",SMALL(P700:P701,1)-SUM(O700:O701),0),SMALL(P700:P701,1)-SUM(O700:O701))),IF(S700&lt;0,IF(I702="",SMALL(P700:P702,1)-SUM(O700:O702),0),LARGE(P700:P702,1)-SUM(O700:O702))),S700)+V697,IF(I702="",IF(OR(AND(I700="DNB1",I701="DNB2"),AND(OR(I700="DNB1",I700="DNB2"),J701=0),AND(OR(I701="DNB1",I701="DNB2"),J700=0),AND(I700="DNB2",I701="DNB1"),AND(IF(J700=0,(J700+1)/ROUND(J700+1,0),J700/ROUND(J700,0))=1,IF(J701=0,(IF(J701="",0,J701)+1)/ROUND(IF(J701="",0,J701)+1,0),IF(J701="",0,J701)/ROUND(IF(J701="",0,J701)+1,0))=1,OR(J700&lt;&gt;""),J701&lt;&gt;"")),0,IF(S700&lt;0,IF(I702="",SMALL(P700:P701,1)-SUM(O700:O701),0),SMALL(P700:P702,1)-SUM(O700:O702))),IF(S700&lt;0,IF(I702="",SMALL(P700:P702,1)-SUM(O700:O702),0),LARGE(P700:P702,1)-SUM(O700:O702)))))</f>
        <v>14.6676</v>
      </c>
      <c r="W700" s="266">
        <f>IF($D700=$D697,IF(S700&lt;0,IF(I702="",S700,0),S700)+W697,S700)</f>
        <v>14.67</v>
      </c>
      <c r="X700" t="s" s="267">
        <f>IF(OR(SUM(R700:R702)=0,V700=W700),ROUND(IF(W700=0,0,W700/Y700)*100,2)&amp;"%",ROUND(IF(V700=0,0,V700/Y700)*100,2)&amp;"% a "&amp;ROUND(IF(W700=0,0,W700/Y700)*100,2)&amp;"%")</f>
        <v>372</v>
      </c>
      <c r="Y700" s="268">
        <f>IF($D700=$D697,Y697+SUM(O700:O702),SUM(O700:O702))</f>
        <v>294.58</v>
      </c>
      <c r="Z700" s="266">
        <f>IF($B700=" ",SUM(O700:O702),0)+Z697</f>
        <v>0</v>
      </c>
      <c r="AA700" s="266">
        <f>IF(G700="","",IF($B700="Anulado",LARGE(P700:P702,1)-SUM(O700:O702)+AA697,AA697))</f>
        <v>27.7065076923077</v>
      </c>
      <c r="AB700" s="266">
        <f>IF($D700="","",AB697+S700)</f>
        <v>485.85</v>
      </c>
      <c r="AC700" s="269">
        <f>IF($D700="","",IF($B700=" ",IF(DAY(G700)=DAY(TODAY()),1+AC697,0+AC697),0+AC697))</f>
        <v>0</v>
      </c>
      <c r="AD700" s="270">
        <f>(1-_xlfn.XLOOKUP(K698,'Janeiro 2023 - Valor Real'!A3:A15,'Janeiro 2023 - Valor Real'!C3:C15,0))+1</f>
        <v>2</v>
      </c>
      <c r="AE700" s="271">
        <f>IF(L700="","",IF(L702&gt;0,(SUM(((L700-1)*(1-_xlfn.XLOOKUP(K700,'Janeiro 2023 - Valor Real'!A3:A15,'Janeiro 2023 - Valor Real'!C3:C15,0))+1),((L701-1)*(1-_xlfn.XLOOKUP(K701,'Janeiro 2023 - Valor Real'!A3:A15,'Janeiro 2023 - Valor Real'!C3:C15,0))+1),((L702-1)*(1-_xlfn.XLOOKUP(K702,'Janeiro 2023 - Valor Real'!A3:A15,'Janeiro 2023 - Valor Real'!C3:C15,0))+1))/((L700-1)*(1-_xlfn.XLOOKUP(K700,'Janeiro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Real'!C3:C15,0))+1))/((L700-1)*(1-_xlfn.XLOOKUP(K700,'Janeiro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Real'!C3:C15,0))+1))/((L701-1)*(1-_xlfn.XLOOKUP(K701,'Janeiro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Real'!C3:C15,0))+1))/((L702-1)*(1-_xlfn.XLOOKUP(K702,'Janeiro 2023 - Valor Real'!A3:A15,'Janeiro 2023 - Valor Real'!C3:C15,0))+1)),IF(I700="Lay",IF(I701="Lay",((L701/(L701-1)-1)*(1-_xlfn.XLOOKUP(K701,'Janeiro 2023 - Valor Real'!A3:A15,'Janeiro 2023 - Valor Real'!C3:C15,0))+1)/(((L701/(L701-1)-1)*(1-_xlfn.XLOOKUP(K701,'Janeiro 2023 - Valor Real'!A3:A15,'Janeiro 2023 - Valor Real'!C3:C15,0))+1)+((L700/(L700-1)-1)*(1-_xlfn.XLOOKUP(K700,'Janeiro 2023 - Valor Real'!A3:A15,'Janeiro 2023 - Valor Real'!C3:C15,0))+1)),((L701-1)*(1-_xlfn.XLOOKUP(K701,'Janeiro 2023 - Valor Real'!A3:A15,'Janeiro 2023 - Valor Real'!C3:C15,0))+1)/(((L701-1)*(1-_xlfn.XLOOKUP(K701,'Janeiro 2023 - Valor Real'!A3:A15,'Janeiro 2023 - Valor Real'!C3:C15,0))+1)+((L700/(L700-1)-1)*(1-_xlfn.XLOOKUP(K700,'Janeiro 2023 - Valor Real'!A3:A15,'Janeiro 2023 - Valor Real'!C3:C15,0))+1))),IF(I701="Lay",(((L701/(L701-1)-1)*(1-_xlfn.XLOOKUP(K701,'Janeiro 2023 - Valor Real'!A3:A15,'Janeiro 2023 - Valor Real'!C3:C15,0))+1))/(((L700-1)*(1-_xlfn.XLOOKUP(K700,'Janeiro 2023 - Valor Real'!A3:A15,'Janeiro 2023 - Valor Real'!C3:C15,0))+1)+((L701/(L701-1)-1)*(1-_xlfn.XLOOKUP(K701,'Janeiro 2023 - Valor Real'!A3:A15,'Janeiro 2023 - Valor Real'!C3:C15,0))+1)),((L701-1)*(1-_xlfn.XLOOKUP(K701,'Janeiro 2023 - Valor Real'!A3:A15,'Janeiro 2023 - Valor Real'!C3:C15,0))+1)/(((L701-1)*(1-_xlfn.XLOOKUP(K701,'Janeiro 2023 - Valor Real'!A3:A15,'Janeiro 2023 - Valor Real'!C3:C15,0))+1)+((L700-1)*(1-_xlfn.XLOOKUP(K700,'Janeiro 2023 - Valor Real'!A3:A15,'Janeiro 2023 - Valor Real'!C3:C15,0))+1))))))</f>
        <v>0.521841794569067</v>
      </c>
      <c r="AF700" s="132">
        <f>IF($K700=AF$3,ROUND(IF(OR($C700="W",$C700="1/2W",$C700="1/2L"),$P700-$O700,IF($C700="X",0,-$O700)),2),0)</f>
        <v>-6.09</v>
      </c>
      <c r="AG700" s="133">
        <f>IF($K700=AG$3,ROUND(IF(OR($C700="W",$C700="1/2W",$C700="1/2L"),$P700-$O700,IF($C700="X",0,-$O700)),2),0)</f>
        <v>0</v>
      </c>
      <c r="AH700" s="133">
        <f>IF($K700=AH$3,ROUND(IF(OR($C700="W",$C700="1/2W",$C700="1/2L"),$P700-$O700,IF($C700="X",0,-$O700)),2),0)</f>
        <v>0</v>
      </c>
      <c r="AI700" s="133">
        <f>IF($K700=AI$3,ROUND(IF(OR($C700="W",$C700="1/2W",$C700="1/2L"),$P700-$O700,IF($C700="X",0,-$O700)),2),0)</f>
        <v>0</v>
      </c>
      <c r="AJ700" s="133">
        <f>IF($K700=AJ$3,ROUND(IF(OR($C700="W",$C700="1/2W",$C700="1/2L"),$P700-$O700,IF($C700="X",0,-$O700)),2),0)</f>
        <v>0</v>
      </c>
      <c r="AK700" s="133">
        <f>IF($K700=AK$3,ROUND(IF(OR($C700="W",$C700="1/2W",$C700="1/2L"),$P700-$O700,IF($C700="X",0,-$O700)),2),0)</f>
        <v>0</v>
      </c>
      <c r="AL700" s="133">
        <f>IF($K700=AL$3,ROUND(IF(OR($C700="W",$C700="1/2W",$C700="1/2L"),$P700-$O700,IF($C700="X",0,-$O700)),2),0)</f>
        <v>0</v>
      </c>
      <c r="AM700" s="133">
        <f>IF($K700=AM$3,ROUND(IF(OR($C700="W",$C700="1/2W",$C700="1/2L"),$P700-$O700,IF($C700="X",0,-$O700)),2),0)</f>
        <v>0</v>
      </c>
      <c r="AN700" s="133">
        <f>IF($K700=AN$3,ROUND(IF(OR($C700="W",$C700="1/2W",$C700="1/2L"),$P700-$O700,IF($C700="X",0,-$O700)),2),0)</f>
        <v>0</v>
      </c>
      <c r="AO700" s="133">
        <f>IF($K700=AO$3,ROUND(IF(OR($C700="W",$C700="1/2W",$C700="1/2L"),$P700-$O700,IF($C700="X",0,-$O700)),2),0)</f>
        <v>0</v>
      </c>
      <c r="AP700" s="133">
        <f>IF($K700=AP$3,ROUND(IF(OR($C700="W",$C700="1/2W",$C700="1/2L"),$P700-$O700,IF($C700="X",0,-$O700)),2),0)</f>
        <v>0</v>
      </c>
      <c r="AQ700" s="133">
        <f>IF($K700=AQ$3,ROUND(IF(OR($C700="W",$C700="1/2W",$C700="1/2L"),$P700-$O700,IF($C700="X",0,-$O700)),2),0)</f>
        <v>0</v>
      </c>
      <c r="AR700" s="134">
        <f>IF($K700=AR$3,ROUND(IF(OR($C700="W",$C700="1/2W",$C700="1/2L"),$P700-$O700,IF($C700="X",0,-$O700)),2),0)</f>
        <v>0</v>
      </c>
      <c r="AS700" s="132">
        <f>IF(AND($B700=" ",$K700=AS$3),$O700,0)</f>
        <v>0</v>
      </c>
      <c r="AT700" s="133">
        <f>IF(AND($B700=" ",$K700=AT$3),$O700,0)</f>
        <v>0</v>
      </c>
      <c r="AU700" s="133">
        <f>IF(AND($B700=" ",$K700=AU$3),$O700,0)</f>
        <v>0</v>
      </c>
      <c r="AV700" s="133">
        <f>IF(AND($B700=" ",$K700=AV$3),$O700,0)</f>
        <v>0</v>
      </c>
      <c r="AW700" s="133">
        <f>IF(AND($B700=" ",$K700=AW$3),$O700,0)</f>
        <v>0</v>
      </c>
      <c r="AX700" s="133">
        <f>IF(AND($B700=" ",$K700=AX$3),$O700,0)</f>
        <v>0</v>
      </c>
      <c r="AY700" s="135">
        <f>IF(AND($B700=" ",$K700=AY$3),$O700,0)</f>
        <v>0</v>
      </c>
      <c r="AZ700" s="136">
        <f>IF(AND($B700=" ",$K700=AZ$3),$O700,0)</f>
        <v>0</v>
      </c>
      <c r="BA700" s="136">
        <f>IF(AND($B700=" ",$K700=BA$3),$O700,0)</f>
        <v>0</v>
      </c>
      <c r="BB700" s="136">
        <f>IF(AND($B700=" ",$K700=BB$3),$O700,0)</f>
        <v>0</v>
      </c>
      <c r="BC700" s="137">
        <f>IF(AND($B700=" ",$K700=BC$3),$O700,0)</f>
        <v>0</v>
      </c>
      <c r="BD700" s="133">
        <f>IF(AND($B700=" ",$K700=BD$3),$O700,0)</f>
        <v>0</v>
      </c>
      <c r="BE700" s="134">
        <f>IF(AND($B700=" ",$K700=BE$3),$O700,0)</f>
        <v>0</v>
      </c>
      <c r="BF700" s="132">
        <f>IF($K700=BF$3,IF($C700="X",0,$O700),0)</f>
        <v>6.09</v>
      </c>
      <c r="BG700" s="133">
        <f>IF($K700=BG$3,IF($C700="X",0,$O700),0)</f>
        <v>0</v>
      </c>
      <c r="BH700" s="133">
        <f>IF($K700=BH$3,IF($C700="X",0,$O700),0)</f>
        <v>0</v>
      </c>
      <c r="BI700" s="133">
        <f>IF($K700=BI$3,IF($C700="X",0,$O700),0)</f>
        <v>0</v>
      </c>
      <c r="BJ700" s="133">
        <f>IF($K700=BJ$3,IF($C700="X",0,$O700),0)</f>
        <v>0</v>
      </c>
      <c r="BK700" s="133">
        <f>IF($K700=BK$3,IF($C700="X",0,$O700),0)</f>
        <v>0</v>
      </c>
      <c r="BL700" s="133">
        <f>IF($K700=BL$3,IF($C700="X",0,$O700),0)</f>
        <v>0</v>
      </c>
      <c r="BM700" s="135">
        <f>IF($K700=BM$3,IF($C700="X",0,$O700),0)</f>
        <v>0</v>
      </c>
      <c r="BN700" s="136">
        <f>IF($K700=BN$3,IF($C700="X",0,$O700),0)</f>
        <v>0</v>
      </c>
      <c r="BO700" s="136">
        <f>IF($K700=BO$3,IF($C700="X",0,$O700),0)</f>
        <v>0</v>
      </c>
      <c r="BP700" s="136">
        <f>IF($K700=BP$3,IF($C700="X",0,$O700),0)</f>
        <v>0</v>
      </c>
      <c r="BQ700" s="137">
        <f>IF($K700=BQ$3,IF($C700="X",0,$O700),0)</f>
        <v>0</v>
      </c>
      <c r="BR700" s="134">
        <f>IF($K700=BR$3,IF($C700="X",0,$O700),0)</f>
        <v>0</v>
      </c>
      <c r="BS700" s="170">
        <f>IF($B700="LOSS",IF(AND($K700=BS$3,$C700="L"),-$O700,0)+IF(AND($K701=BS$3,$C701="L"),-$O701,0)+IF(AND($K702=BS$3,$C702="L"),-$O702,0),IF(OR(AND($K700=BS$3,OR($C700="W",$C700="1/2W")),AND($K701=BS$3,OR($C701="W",$C701="1/2W")),AND($K702=BS$3,OR($C702="W",$C702="1/2W"))),$S700,0))</f>
        <v>0</v>
      </c>
      <c r="BT700" s="272">
        <f>IF($B700="LOSS",IF(AND($K700=BT$3,$C700="L"),-$O700,0)+IF(AND($K701=BT$3,$C701="L"),-$O701,0)+IF(AND($K701=BT$3,$C702="L"),-$O702,0),IF(OR(AND($K701=BT$3,OR($C700="W",$C700="1/2W")),AND($K701=BT$3,OR($C701="W",$C701="1/2W")),AND($K701=BT$3,OR($C702="W",$C702="1/2W"))),$S700,0))</f>
        <v>0</v>
      </c>
      <c r="BU700" s="136">
        <f>IF($B700="LOSS",IF(AND($K700=BU$3,$C700="L"),-$O700,0)+IF(AND($K701=BU$3,$C701="L"),-$O701,0)+IF(AND($K701=BU$3,$C702="L"),-$O702,0),IF(OR(AND($K701=BU$3,OR($C700="W",$C700="1/2W")),AND($K701=BU$3,OR($C701="W",$C701="1/2W")),AND($K701=BU$3,OR($C702="W",$C702="1/2W"))),$S700,0))</f>
        <v>0</v>
      </c>
      <c r="BV700" s="136">
        <f>IF($B700="LOSS",IF(AND($K700=BV$3,$C700="L"),-$O700,0)+IF(AND($K701=BV$3,$C701="L"),-$O701,0)+IF(AND($K702=BV$3,$C702="L"),-$O702,0),IF(OR(AND($K700=BV$3,OR($C700="W",$C700="1/2W")),AND($K701=BV$3,OR($C701="W",$C701="1/2W")),AND($K702=BV$3,OR($C702="W",$C702="1/2W"))),$S700,0))</f>
        <v>0</v>
      </c>
      <c r="BW700" s="136">
        <f>IF($B700="LOSS",IF(AND($K700=BW$3,$C700="L"),-$O700,0)+IF(AND($K701=BW$3,$C701="L"),-$O701,0)+IF(AND($K702=BW$3,$C702="L"),-$O702,0),IF(OR(AND($K700=BW$3,OR($C700="W",$C700="1/2W")),AND($K701=BW$3,OR($C701="W",$C701="1/2W")),AND($K702=BW$3,OR($C702="W",$C702="1/2W"))),$S700,0))</f>
        <v>0.66</v>
      </c>
      <c r="BX700" s="136">
        <f>IF($B700="LOSS",IF(AND($K700=BX$3,$C700="L"),-$O700,0)+IF(AND($K701=BX$3,$C701="L"),-$O701,0)+IF(AND($K702=BX$3,$C702="L"),-$O702,0),IF(OR(AND($K700=BX$3,OR($C700="W",$C700="1/2W")),AND($K701=BX$3,OR($C701="W",$C701="1/2W")),AND($K702=BX$3,OR($C702="W",$C702="1/2W"))),$S700,0))</f>
        <v>0</v>
      </c>
      <c r="BY700" s="136">
        <f>IF($B700="LOSS",IF(AND($K700=BY$3,$C700="L"),-$O700,0)+IF(AND($K701=BY$3,$C701="L"),-$O701,0)+IF(AND($K702=BY$3,$C702="L"),-$O702,0),IF(OR(AND($K700=BY$3,OR($C700="W",$C700="1/2W")),AND($K701=BY$3,OR($C701="W",$C701="1/2W")),AND($K702=BY$3,OR($C702="W",$C702="1/2W"))),$S700,0))</f>
        <v>0</v>
      </c>
      <c r="BZ700" s="136">
        <f>IF($B700="LOSS",IF(AND($K700=BZ$3,$C700="L"),-$O700,0)+IF(AND($K701=BZ$3,$C701="L"),-$O701,0)+IF(AND($K702=BZ$3,$C702="L"),-$O702,0),IF(OR(AND($K700=BZ$3,OR($C700="W",$C700="1/2W")),AND($K701=BZ$3,OR($C701="W",$C701="1/2W")),AND($K702=BZ$3,OR($C702="W",$C702="1/2W"))),$S700,0))</f>
        <v>0</v>
      </c>
      <c r="CA700" s="136">
        <f>IF($B700="LOSS",IF(AND($K700=CA$3,$C700="L"),-$O700,0)+IF(AND($K701=CA$3,$C701="L"),-$O701,0)+IF(AND($K702=CA$3,$C702="L"),-$O702,0),IF(OR(AND($K700=CA$3,OR($C700="W",$C700="1/2W")),AND($K701=CA$3,OR($C701="W",$C701="1/2W")),AND($K702=CA$3,OR($C702="W",$C702="1/2W"))),$S700,0))</f>
        <v>0</v>
      </c>
      <c r="CB700" s="136">
        <f>IF($B700="LOSS",IF(AND($K700=CB$3,$C700="L"),-$O700,0)+IF(AND($K701=CB$3,$C701="L"),-$O701,0)+IF(AND($K702=CB$3,$C702="L"),-$O702,0),IF(OR(AND($K700=CB$3,OR($C700="W",$C700="1/2W")),AND($K701=CB$3,OR($C701="W",$C701="1/2W")),AND($K702=CB$3,OR($C702="W",$C702="1/2W"))),$S700,0))</f>
        <v>0</v>
      </c>
      <c r="CC700" s="136">
        <f>IF($B700="LOSS",IF(AND($K700=CC$3,$C700="L"),-$O700,0)+IF(AND($K701=CC$3,$C701="L"),-$O701,0)+IF(AND($K702=CC$3,$C702="L"),-$O702,0),IF(OR(AND($K700=CC$3,OR($C700="W",$C700="1/2W")),AND($K701=CC$3,OR($C701="W",$C701="1/2W")),AND($K702=CC$3,OR($C702="W",$C702="1/2W"))),$S700,0))</f>
        <v>0</v>
      </c>
      <c r="CD700" s="137">
        <f>IF($B700="LOSS",IF(AND($K700=CD$3,$C700="L"),-$O700,0)+IF(AND($K701=CD$3,$C701="L"),-$O701,0)+IF(AND($K702=CD$3,$C702="L"),-$O702,0),IF(OR(AND($K700=CD$3,OR($C700="W",$C700="1/2W")),AND($K701=CD$3,OR($C701="W",$C701="1/2W")),AND($K702=CD$3,OR($C702="W",$C702="1/2W"))),$S700,0))</f>
        <v>0</v>
      </c>
      <c r="CE700" s="134">
        <f>IF($B700="LOSS",IF(AND($K700=CE$3,$C700="L"),-$O700,0)+IF(AND($K701=CE$3,$C701="L"),-$O701,0)+IF(AND($K702=CE$3,$C702="L"),-$O702,0),IF(OR(AND($K700=CE$3,OR($C700="W",$C700="1/2W")),AND($K701=CE$3,OR($C701="W",$C701="1/2W")),AND($K702=CE$3,OR($C702="W",$C702="1/2W"))),$S700,0))</f>
        <v>0</v>
      </c>
      <c r="CF700" s="273">
        <f>IF(CF$3=$K700,IF($C700="W",1,IF($C700="1/2W",0.5,0)),0)</f>
        <v>0</v>
      </c>
      <c r="CG700" s="274">
        <f>IF(CF$3=$K700,IF($C700="L",1,IF($C700="1/2L",0.5,0)),0)</f>
        <v>1</v>
      </c>
      <c r="CH700" s="274">
        <f>IF(CH$3=$K700,IF($C700="W",1,IF($C700="1/2W",0.5,0)),0)</f>
        <v>0</v>
      </c>
      <c r="CI700" s="274">
        <f>IF(CH$3=$K700,IF($C700="L",1,IF($C700="1/2L",0.5,0)),0)</f>
        <v>0</v>
      </c>
      <c r="CJ700" s="274">
        <f>IF(CJ$3=$K700,IF($C700="W",1,IF($C700="1/2W",0.5,0)),0)</f>
        <v>0</v>
      </c>
      <c r="CK700" s="274">
        <f>IF(CJ$3=$K700,IF($C700="L",1,IF($C700="1/2L",0.5,0)),0)</f>
        <v>0</v>
      </c>
      <c r="CL700" s="274">
        <f>IF(CL$3=$K700,IF($C700="W",1,IF($C700="1/2W",0.5,0)),0)</f>
        <v>0</v>
      </c>
      <c r="CM700" s="274">
        <f>IF(CL$3=$K700,IF($C700="L",1,IF($C700="1/2L",0.5,0)),0)</f>
        <v>0</v>
      </c>
      <c r="CN700" s="274">
        <f>IF(CN$3=$K700,IF($C700="W",1,IF($C700="1/2W",0.5,0)),0)</f>
        <v>0</v>
      </c>
      <c r="CO700" s="274">
        <f>IF(CN$3=$K700,IF($C700="L",1,IF($C700="1/2L",0.5,0)),0)</f>
        <v>0</v>
      </c>
      <c r="CP700" s="274">
        <f>IF(CP$3=$K700,IF($C700="W",1,IF($C700="1/2W",0.5,0)),0)</f>
        <v>0</v>
      </c>
      <c r="CQ700" s="274">
        <f>IF(CP$3=$K700,IF($C700="L",1,IF($C700="1/2L",0.5,0)),0)</f>
        <v>0</v>
      </c>
      <c r="CR700" s="274">
        <f>IF(CR$3=$K700,IF($C700="W",1,IF($C700="1/2W",0.5,0)),0)</f>
        <v>0</v>
      </c>
      <c r="CS700" s="274">
        <f>IF(CR$3=$K700,IF($C700="L",1,IF($C700="1/2L",0.5,0)),0)</f>
        <v>0</v>
      </c>
      <c r="CT700" s="145">
        <f>IF(CT$3=$K700,IF($C700="W",1,IF($C700="1/2W",0.5,0)),0)</f>
        <v>0</v>
      </c>
      <c r="CU700" s="146">
        <f>IF(CT$3=$K700,IF($C700="L",1,IF($C700="1/2L",0.5,0)),0)</f>
        <v>0</v>
      </c>
      <c r="CV700" s="146">
        <f>IF(CV$3=$K700,IF($C700="W",1,IF($C700="1/2W",0.5,0)),0)</f>
        <v>0</v>
      </c>
      <c r="CW700" s="146">
        <f>IF(CV$3=$K700,IF($C700="L",1,IF($C700="1/2L",0.5,0)),0)</f>
        <v>0</v>
      </c>
      <c r="CX700" s="146">
        <f>IF(CX$3=$K700,IF($C700="W",1,IF($C700="1/2W",0.5,0)),0)</f>
        <v>0</v>
      </c>
      <c r="CY700" s="146">
        <f>IF(CX$3=$K700,IF($C700="L",1,IF($C700="1/2L",0.5,0)),0)</f>
        <v>0</v>
      </c>
      <c r="CZ700" s="146">
        <f>IF(CZ$3=$K700,IF($C700="W",1,IF($C700="1/2W",0.5,0)),0)</f>
        <v>0</v>
      </c>
      <c r="DA700" s="146">
        <f>IF(CZ$3=$K700,IF($C700="L",1,IF($C700="1/2L",0.5,0)),0)</f>
        <v>0</v>
      </c>
      <c r="DB700" s="146">
        <f>IF(DB$3=$K700,IF($C700="W",1,IF($C700="1/2W",0.5,0)),0)</f>
        <v>0</v>
      </c>
      <c r="DC700" s="146">
        <f>IF(DB$3=$K700,IF($C700="L",1,IF($C700="1/2L",0.5,0)),0)</f>
        <v>0</v>
      </c>
      <c r="DD700" s="146">
        <f>IF(DD$3=$K700,IF($C700="W",1,IF($C700="1/2W",0.5,0)),0)</f>
        <v>0</v>
      </c>
      <c r="DE700" s="147">
        <f>IF(DD$3=$K700,IF($C700="L",1,IF($C700="1/2L",0.5,0)),0)</f>
        <v>0</v>
      </c>
      <c r="DF700" s="143">
        <f>IF(AND(L700&lt;DF$3,$C700="W"),1+DF699,DF699)</f>
        <v>19</v>
      </c>
      <c r="DG700" s="133">
        <f>IF(DF700&gt;DF699,L700+DG699,DG699)</f>
        <v>25.354</v>
      </c>
      <c r="DH700" s="146">
        <f>IF(AND(L700&gt;DH$3,$C700="W"),1+DH699,0+DH699)</f>
        <v>18</v>
      </c>
      <c r="DI700" s="133">
        <f>IF(DH700&gt;DH699,L700+DI699,DI699)</f>
        <v>93.66</v>
      </c>
      <c r="DJ700" t="s" s="304">
        <f>IF($D700="","",$D700)</f>
        <v>481</v>
      </c>
      <c r="DK700" s="146">
        <f>IF(AND($B700=" ",$D700&lt;&gt;""),1,0)</f>
        <v>0</v>
      </c>
    </row>
    <row r="701" ht="14.55" customHeight="1">
      <c r="A701" s="107"/>
      <c r="B701" s="108"/>
      <c r="C701" t="s" s="109">
        <v>56</v>
      </c>
      <c r="D701" s="110"/>
      <c r="E701" s="111"/>
      <c r="F701" s="113"/>
      <c r="G701" s="252"/>
      <c r="H701" s="114"/>
      <c r="I701" t="s" s="275">
        <v>67</v>
      </c>
      <c r="J701" s="276">
        <f>IF(OR(I700="TO",I700="TU",I700="TO1",I700="TU1",I700="TO2",I700="TU2"),J700,IF(OR(I700="AH1",I700="AH2"),IF(OR(I701="AH1",I701="AH2"),-J700,IF(OR(I701="EH1",I701="EH2"),-J700+0.5,"")),IF(OR(I700="EH1",I700="EH2"),IF(OR(I701="AH1",I701="AH2"),-J700+0.5,IF(OR(I701="EH1",I701="EH2"),-J700+1,"")),IF(AND(OR(I700="DNB1",I700="DNB2"),OR(I701="AH1",I701="AH2")),0,IF(AND(I700="Not ScoreBoth",OR(I701="TO1",I701="TO2")),0.5,"")))))</f>
        <v>5</v>
      </c>
      <c r="K701" t="s" s="117">
        <v>41</v>
      </c>
      <c r="L701" s="277">
        <v>2.21</v>
      </c>
      <c r="M701" s="278">
        <v>5.58</v>
      </c>
      <c r="N701" s="120"/>
      <c r="O701" s="121">
        <f>IF(OR(AE700="",AE701=""),"",ROUND(IF(L702&gt;0,IF(M701&gt;0,M701,IF(M700&gt;0,IF(N700=TRUE,ROUND((M700*AE701)/AE700,0),(M700*AE701)/AE700),IF(M701&gt;0,ROUND(M701,IF(N700=0,2,IF(N700=0.1,1,0))),IF(M702&gt;0,ROUND(O702*AE701/AE702,IF(N700=0,2,IF(N700=0.1,1,0))),0)))),IF(M701&gt;0,M701,ROUND((M700*AE701)/AE700,IF(N700=0,2,IF(N700=0.1,1,0))))),2))</f>
        <v>5.58</v>
      </c>
      <c r="P701" s="122">
        <f>IF(OR(L701="",O701=""),"",IF($C701="1/2W",O701/2+O701/2*L701,IF($C701="1/2L",O701/2,IF(I701="Lay",((O701*(L701/(L701-1)))-O701)*(1-_xlfn.XLOOKUP(K701,'Janeiro 2023 - Valor Real'!A3:A15,'Janeiro 2023 - Valor Real'!C3:C15,0))+O701,(O701*L701-O701)*(1-_xlfn.XLOOKUP(K701,'Janeiro 2023 - Valor Real'!A3:A15,'Janeiro 2023 - Valor Real'!C3:C15,0))+O701))))</f>
        <v>12.3318</v>
      </c>
      <c r="Q701" s="279">
        <f>IF(K701="","",IF(_xlfn.XLOOKUP(K701,K$120:K480,DJ$120:DJ480,0,,-1)=DJ701,_xlfn.XLOOKUP(K701,K$120:K480,Q$120:Q480,1,,-1)+1,1))</f>
        <v>1</v>
      </c>
      <c r="R701" s="280">
        <f>IF(K701="","",_xlfn.XLOOKUP(K701,K$120:K480,R$120:R480,0,,-1)+IF($C701=" ",1,0))</f>
        <v>0</v>
      </c>
      <c r="S701" s="125"/>
      <c r="T701" s="126"/>
      <c r="U701" s="126"/>
      <c r="V701" s="224"/>
      <c r="W701" s="126"/>
      <c r="X701" s="127"/>
      <c r="Y701" s="128"/>
      <c r="Z701" s="129"/>
      <c r="AA701" s="129"/>
      <c r="AB701" s="129"/>
      <c r="AC701" s="129"/>
      <c r="AD701" s="130"/>
      <c r="AE701" s="131">
        <f>IF(L701="","",IF(L702&gt;0,(SUM(((L700-1)*(1-_xlfn.XLOOKUP(K700,'Janeiro 2023 - Valor Real'!A3:A15,'Janeiro 2023 - Valor Real'!C3:C15,0))+1),((L701-1)*(1-_xlfn.XLOOKUP(K701,'Janeiro 2023 - Valor Real'!A3:A15,'Janeiro 2023 - Valor Real'!C3:C15,0))+1),((L702-1)*(1-_xlfn.XLOOKUP(K702,'Janeiro 2023 - Valor Real'!A3:A15,'Janeiro 2023 - Valor Real'!C3:C15,0))+1))/((L701-1)*(1-_xlfn.XLOOKUP(K701,'Janeiro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Real'!C3:C15,0))+1))/((L700-1)*(1-_xlfn.XLOOKUP(K700,'Janeiro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Real'!C3:C15,0))+1))/((L701-1)*(1-_xlfn.XLOOKUP(K701,'Janeiro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Real'!C3:C15,0))+1))/((L702-1)*(1-_xlfn.XLOOKUP(K702,'Janeiro 2023 - Valor Real'!A3:A15,'Janeiro 2023 - Valor Real'!C3:C15,0))+1)),IF(I701="Lay",IF(I700="Lay",((L700/(L700-1)-1)*(1-_xlfn.XLOOKUP(K700,'Janeiro 2023 - Valor Real'!A3:A15,'Janeiro 2023 - Valor Real'!C3:C15,0))+1)/(((L700/(L700-1)-1)*(1-_xlfn.XLOOKUP(K700,'Janeiro 2023 - Valor Real'!A3:A15,'Janeiro 2023 - Valor Real'!C3:C15,0))+1)+((L701/(L701-1)-1)*(1-_xlfn.XLOOKUP(K701,'Janeiro 2023 - Valor Real'!A3:A15,'Janeiro 2023 - Valor Real'!C3:C15,0))+1)),((L700-1)*(1-_xlfn.XLOOKUP(K700,'Janeiro 2023 - Valor Real'!A3:A15,'Janeiro 2023 - Valor Real'!C3:C15,0))+1)/(((L700-1)*(1-_xlfn.XLOOKUP(K700,'Janeiro 2023 - Valor Real'!A3:A15,'Janeiro 2023 - Valor Real'!C3:C15,0))+1)+((L701/(L701-1)-1)*(1-_xlfn.XLOOKUP(K701,'Janeiro 2023 - Valor Real'!A3:A15,'Janeiro 2023 - Valor Real'!C3:C15,0))+1))),IF(I700="Lay",((L700/(L700-1)-1)*(1-_xlfn.XLOOKUP(K700,'Janeiro 2023 - Valor Real'!A3:A15,'Janeiro 2023 - Valor Real'!C3:C15,0))+1)/((((L700/(L700-1)-1)*(1-_xlfn.XLOOKUP(K700,'Janeiro 2023 - Valor Real'!A3:A15,'Janeiro 2023 - Valor Real'!C3:C15,0))+1))+((L701-1)*(1-_xlfn.XLOOKUP(K701,'Janeiro 2023 - Valor Real'!A3:A15,'Janeiro 2023 - Valor Real'!C3:C15,0))+1)),((L700-1)*(1-_xlfn.XLOOKUP(K700,'Janeiro 2023 - Valor Real'!A3:A15,'Janeiro 2023 - Valor Real'!C3:C15,0))+1)/(((L700-1)*(1-_xlfn.XLOOKUP(K700,'Janeiro 2023 - Valor Real'!A3:A15,'Janeiro 2023 - Valor Real'!C3:C15,0))+1)+((L701-1)*(1-_xlfn.XLOOKUP(K701,'Janeiro 2023 - Valor Real'!A3:A15,'Janeiro 2023 - Valor Real'!C3:C15,0))+1))))))</f>
        <v>0.478158205430933</v>
      </c>
      <c r="AF701" s="132">
        <f>IF($K701=AF$3,ROUND(IF(OR($C701="W",$C701="1/2W",$C701="1/2L"),$P701-$O701,IF($C701="X",0,-$O701)),2),0)</f>
        <v>0</v>
      </c>
      <c r="AG701" s="133">
        <f>IF($K701=AG$3,ROUND(IF(OR($C701="W",$C701="1/2W",$C701="1/2L"),$P701-$O701,IF($C701="X",0,-$O701)),2),0)</f>
        <v>0</v>
      </c>
      <c r="AH701" s="133">
        <f>IF($K701=AH$3,ROUND(IF(OR($C701="W",$C701="1/2W",$C701="1/2L"),$P701-$O701,IF($C701="X",0,-$O701)),2),0)</f>
        <v>0</v>
      </c>
      <c r="AI701" s="133">
        <f>IF($K701=AI$3,ROUND(IF(OR($C701="W",$C701="1/2W",$C701="1/2L"),$P701-$O701,IF($C701="X",0,-$O701)),2),0)</f>
        <v>0</v>
      </c>
      <c r="AJ701" s="133">
        <f>IF($K701=AJ$3,ROUND(IF(OR($C701="W",$C701="1/2W",$C701="1/2L"),$P701-$O701,IF($C701="X",0,-$O701)),2),0)</f>
        <v>6.75</v>
      </c>
      <c r="AK701" s="133">
        <f>IF($K701=AK$3,ROUND(IF(OR($C701="W",$C701="1/2W",$C701="1/2L"),$P701-$O701,IF($C701="X",0,-$O701)),2),0)</f>
        <v>0</v>
      </c>
      <c r="AL701" s="133">
        <f>IF($K701=AL$3,ROUND(IF(OR($C701="W",$C701="1/2W",$C701="1/2L"),$P701-$O701,IF($C701="X",0,-$O701)),2),0)</f>
        <v>0</v>
      </c>
      <c r="AM701" s="133">
        <f>IF($K701=AM$3,ROUND(IF(OR($C701="W",$C701="1/2W",$C701="1/2L"),$P701-$O701,IF($C701="X",0,-$O701)),2),0)</f>
        <v>0</v>
      </c>
      <c r="AN701" s="133">
        <f>IF($K701=AN$3,ROUND(IF(OR($C701="W",$C701="1/2W",$C701="1/2L"),$P701-$O701,IF($C701="X",0,-$O701)),2),0)</f>
        <v>0</v>
      </c>
      <c r="AO701" s="133">
        <f>IF($K701=AO$3,ROUND(IF(OR($C701="W",$C701="1/2W",$C701="1/2L"),$P701-$O701,IF($C701="X",0,-$O701)),2),0)</f>
        <v>0</v>
      </c>
      <c r="AP701" s="133">
        <f>IF($K701=AP$3,ROUND(IF(OR($C701="W",$C701="1/2W",$C701="1/2L"),$P701-$O701,IF($C701="X",0,-$O701)),2),0)</f>
        <v>0</v>
      </c>
      <c r="AQ701" s="133">
        <f>IF($K701=AQ$3,ROUND(IF(OR($C701="W",$C701="1/2W",$C701="1/2L"),$P701-$O701,IF($C701="X",0,-$O701)),2),0)</f>
        <v>0</v>
      </c>
      <c r="AR701" s="134">
        <f>IF($K701=AR$3,ROUND(IF(OR($C701="W",$C701="1/2W",$C701="1/2L"),$P701-$O701,IF($C701="X",0,-$O701)),2),0)</f>
        <v>0</v>
      </c>
      <c r="AS701" s="132">
        <f>IF(AND($B700=" ",$K701=AS$3),$O701,0)</f>
        <v>0</v>
      </c>
      <c r="AT701" s="133">
        <f>IF(AND($B700=" ",K701=AT$3),$O701,0)</f>
        <v>0</v>
      </c>
      <c r="AU701" s="133">
        <f>IF(AND($B700=" ",$K701=AU$3),$O701,0)</f>
        <v>0</v>
      </c>
      <c r="AV701" s="133">
        <f>IF(AND($B700=" ",$K701=AV$3),$O701,0)</f>
        <v>0</v>
      </c>
      <c r="AW701" s="133">
        <f>IF(AND($B700=" ",$K701=AW$3),$O701,0)</f>
        <v>0</v>
      </c>
      <c r="AX701" s="133">
        <f>IF(AND($B700=" ",$K701=AX$3),$O701,0)</f>
        <v>0</v>
      </c>
      <c r="AY701" s="135">
        <f>IF(AND($B700=" ",$K701=AY$3),$O701,0)</f>
        <v>0</v>
      </c>
      <c r="AZ701" s="136">
        <f>IF(AND($B700=" ",$K701=AZ$3),$O701,0)</f>
        <v>0</v>
      </c>
      <c r="BA701" s="136">
        <f>IF(AND($B700=" ",$K701=BA$3),$O701,0)</f>
        <v>0</v>
      </c>
      <c r="BB701" s="136">
        <f>IF(AND($B700=" ",$K701=BB$3),$O701,0)</f>
        <v>0</v>
      </c>
      <c r="BC701" s="137">
        <f>IF(AND($B700=" ",$K701=BC$3),$O701,0)</f>
        <v>0</v>
      </c>
      <c r="BD701" s="133">
        <f>IF(AND($B700=" ",$K701=BD$3),$O701,0)</f>
        <v>0</v>
      </c>
      <c r="BE701" s="134">
        <f>IF(AND($B700=" ",$K701=BE$3),$O701,0)</f>
        <v>0</v>
      </c>
      <c r="BF701" s="132">
        <f>IF($K701=BF$3,IF($C701="X",0,$O701),0)</f>
        <v>0</v>
      </c>
      <c r="BG701" s="281">
        <f>IF($K701=BG$3,IF($C701="X",0,$O701),0)</f>
        <v>0</v>
      </c>
      <c r="BH701" s="133">
        <f>IF($K701=BH$3,IF($C701="X",0,$O701),0)</f>
        <v>0</v>
      </c>
      <c r="BI701" s="133">
        <f>IF($K701=BI$3,IF($C701="X",0,$O701),0)</f>
        <v>0</v>
      </c>
      <c r="BJ701" s="133">
        <f>IF($K701=BJ$3,IF($C701="X",0,$O701),0)</f>
        <v>5.58</v>
      </c>
      <c r="BK701" s="133">
        <f>IF($K701=BK$3,IF($C701="X",0,$O701),0)</f>
        <v>0</v>
      </c>
      <c r="BL701" s="133">
        <f>IF($K701=BL$3,IF($C701="X",0,$O701),0)</f>
        <v>0</v>
      </c>
      <c r="BM701" s="135">
        <f>IF($K701=BM$3,IF($C701="X",0,$O701),0)</f>
        <v>0</v>
      </c>
      <c r="BN701" s="136">
        <f>IF($K701=BN$3,IF($C701="X",0,$O701),0)</f>
        <v>0</v>
      </c>
      <c r="BO701" s="136">
        <f>IF($K701=BO$3,IF($C701="X",0,$O701),0)</f>
        <v>0</v>
      </c>
      <c r="BP701" s="136">
        <f>IF($K701=BP$3,IF($C701="X",0,$O701),0)</f>
        <v>0</v>
      </c>
      <c r="BQ701" s="137">
        <f>IF($K701=BQ$3,IF($C701="X",0,$O701),0)</f>
        <v>0</v>
      </c>
      <c r="BR701" s="134">
        <f>IF($K701=BR$3,IF($C701="X",0,$O701),0)</f>
        <v>0</v>
      </c>
      <c r="BS701" s="282"/>
      <c r="BT701" s="283"/>
      <c r="BU701" s="140"/>
      <c r="BV701" s="283"/>
      <c r="BW701" s="140"/>
      <c r="BX701" s="140"/>
      <c r="BY701" s="140"/>
      <c r="BZ701" s="283"/>
      <c r="CA701" s="140"/>
      <c r="CB701" s="140"/>
      <c r="CC701" s="140"/>
      <c r="CD701" s="141"/>
      <c r="CE701" s="142"/>
      <c r="CF701" s="284">
        <f>IF(CF$3=$K701,IF($C701="W",1,IF($C701="1/2W",0.5,0)),0)</f>
        <v>0</v>
      </c>
      <c r="CG701" s="285">
        <f>IF(CF$3=$K701,IF($C701="L",1,IF($C701="1/2L",0.5,0)),0)</f>
        <v>0</v>
      </c>
      <c r="CH701" s="285">
        <f>IF(CH$3=$K701,IF($C701="W",1,IF($C701="1/2W",0.5,0)),0)</f>
        <v>0</v>
      </c>
      <c r="CI701" s="285">
        <f>IF(CH$3=$K701,IF($C701="L",1,IF($C701="1/2L",0.5,0)),0)</f>
        <v>0</v>
      </c>
      <c r="CJ701" s="285">
        <f>IF(CJ$3=$K701,IF($C701="W",1,IF($C701="1/2W",0.5,0)),0)</f>
        <v>0</v>
      </c>
      <c r="CK701" s="285">
        <f>IF(CJ$3=$K701,IF($C701="L",1,IF($C701="1/2L",0.5,0)),0)</f>
        <v>0</v>
      </c>
      <c r="CL701" s="285">
        <f>IF(CL$3=$K701,IF($C701="W",1,IF($C701="1/2W",0.5,0)),0)</f>
        <v>0</v>
      </c>
      <c r="CM701" s="285">
        <f>IF(CL$3=$K701,IF($C701="L",1,IF($C701="1/2L",0.5,0)),0)</f>
        <v>0</v>
      </c>
      <c r="CN701" s="285">
        <f>IF(CN$3=$K701,IF($C701="W",1,IF($C701="1/2W",0.5,0)),0)</f>
        <v>1</v>
      </c>
      <c r="CO701" s="285">
        <f>IF(CN$3=$K701,IF($C701="L",1,IF($C701="1/2L",0.5,0)),0)</f>
        <v>0</v>
      </c>
      <c r="CP701" s="285">
        <f>IF(CP$3=$K701,IF($C701="W",1,IF($C701="1/2W",0.5,0)),0)</f>
        <v>0</v>
      </c>
      <c r="CQ701" s="285">
        <f>IF(CP$3=$K701,IF($C701="L",1,IF($C701="1/2L",0.5,0)),0)</f>
        <v>0</v>
      </c>
      <c r="CR701" s="285">
        <f>IF(CR$3=$K701,IF($C701="W",1,IF($C701="1/2W",0.5,0)),0)</f>
        <v>0</v>
      </c>
      <c r="CS701" s="285">
        <f>IF(CR$3=$K701,IF($C701="L",1,IF($C701="1/2L",0.5,0)),0)</f>
        <v>0</v>
      </c>
      <c r="CT701" s="145">
        <f>IF(CT$3=$K701,IF($C701="W",1,IF($C701="1/2W",0.5,0)),0)</f>
        <v>0</v>
      </c>
      <c r="CU701" s="146">
        <f>IF(CT$3=$K701,IF($C701="L",1,IF($C701="1/2L",0.5,0)),0)</f>
        <v>0</v>
      </c>
      <c r="CV701" s="146">
        <f>IF(CV$3=$K701,IF($C701="W",1,IF($C701="1/2W",0.5,0)),0)</f>
        <v>0</v>
      </c>
      <c r="CW701" s="146">
        <f>IF(CV$3=$K701,IF($C701="L",1,IF($C701="1/2L",0.5,0)),0)</f>
        <v>0</v>
      </c>
      <c r="CX701" s="146">
        <f>IF(CX$3=$K701,IF($C701="W",1,IF($C701="1/2W",0.5,0)),0)</f>
        <v>0</v>
      </c>
      <c r="CY701" s="146">
        <f>IF(CX$3=$K701,IF($C701="L",1,IF($C701="1/2L",0.5,0)),0)</f>
        <v>0</v>
      </c>
      <c r="CZ701" s="146">
        <f>IF(CZ$3=$K701,IF($C701="W",1,IF($C701="1/2W",0.5,0)),0)</f>
        <v>0</v>
      </c>
      <c r="DA701" s="146">
        <f>IF(CZ$3=$K701,IF($C701="L",1,IF($C701="1/2L",0.5,0)),0)</f>
        <v>0</v>
      </c>
      <c r="DB701" s="146">
        <f>IF(DB$3=$K701,IF($C701="W",1,IF($C701="1/2W",0.5,0)),0)</f>
        <v>0</v>
      </c>
      <c r="DC701" s="146">
        <f>IF(DB$3=$K701,IF($C701="L",1,IF($C701="1/2L",0.5,0)),0)</f>
        <v>0</v>
      </c>
      <c r="DD701" s="146">
        <f>IF(DD$3=$K701,IF($C701="W",1,IF($C701="1/2W",0.5,0)),0)</f>
        <v>0</v>
      </c>
      <c r="DE701" s="147">
        <f>IF(DD$3=$K701,IF($C701="L",1,IF($C701="1/2L",0.5,0)),0)</f>
        <v>0</v>
      </c>
      <c r="DF701" s="143">
        <f>IF(AND(L701&lt;DF$3,$C701="W"),1+DF700,DF700)</f>
        <v>19</v>
      </c>
      <c r="DG701" s="133">
        <f>IF(DF701&gt;DF700,L701+DG700,DG700)</f>
        <v>25.354</v>
      </c>
      <c r="DH701" s="146">
        <f>IF(AND(L701&gt;DH$3,$C701="W"),1+DH700,0+DH700)</f>
        <v>18</v>
      </c>
      <c r="DI701" s="133">
        <f>IF(DH701&gt;DH700,L701+DI700,DI700)</f>
        <v>93.66</v>
      </c>
      <c r="DJ701" t="s" s="304">
        <f>IF($D700="","",$D700)</f>
        <v>481</v>
      </c>
      <c r="DK701" s="286"/>
    </row>
    <row r="702" ht="14.55" customHeight="1">
      <c r="A702" s="149"/>
      <c r="B702" s="150"/>
      <c r="C702" t="s" s="151">
        <v>58</v>
      </c>
      <c r="D702" s="152"/>
      <c r="E702" s="153"/>
      <c r="F702" s="155"/>
      <c r="G702" s="252"/>
      <c r="H702" s="156"/>
      <c r="I702" s="287"/>
      <c r="J702" s="288"/>
      <c r="K702" s="156"/>
      <c r="L702" s="289"/>
      <c r="M702" s="290"/>
      <c r="N702" s="161"/>
      <c r="O702" t="s" s="162">
        <f>IF(OR(AE700="",AE701=""),"",IF(L702&gt;0,ROUND(IF(M702&gt;0,M702,IF(M700&gt;0,ROUND((M700*AE702)/AE700,IF(N700=0,2,IF(N700=0.1,1,0))),IF(M701&gt;0,ROUND((M701*AE702)/AE701,IF(N700=0,2,IF(N700=0.1,1,0))),IF(M702&gt;0,M702,0)))),2),""))</f>
      </c>
      <c r="P702" t="s" s="163">
        <f>IF(I701="Lay",O701*(L701/(L701-1))-O701,IF(I700="Lay",O700*(L700/(L700-1))-O700,IF(OR(L702="",O702=""),"",IF($C702="1/2W",O702/2+O702/2*L702,IF($C702="1/2L",O702/2,(O702*L702-O702)*(1-_xlfn.XLOOKUP(K702,'Janeiro 2023 - Valor Real'!A3:A15,'Janeiro 2023 - Valor Real'!C3:C15,0))+O702)))))</f>
      </c>
      <c r="Q702" t="s" s="154">
        <f>IF(K702="","",IF(_xlfn.XLOOKUP(K702,K$121:K481,DJ$121:DJ481,0,,-1)=DJ702,_xlfn.XLOOKUP(K702,K$121:K481,Q$121:Q481,1,,-1)+1,1))</f>
      </c>
      <c r="R702" t="s" s="163">
        <f>IF(K702="","",_xlfn.XLOOKUP(K702,K$121:K481,R$121:R481,0,,-1)+IF($C702=" ",1,0))</f>
      </c>
      <c r="S702" s="166"/>
      <c r="T702" s="155"/>
      <c r="U702" s="155"/>
      <c r="V702" s="166"/>
      <c r="W702" s="155"/>
      <c r="X702" s="167"/>
      <c r="Y702" s="128"/>
      <c r="Z702" s="129"/>
      <c r="AA702" s="129"/>
      <c r="AB702" s="129"/>
      <c r="AC702" s="129"/>
      <c r="AD702" s="168"/>
      <c r="AE702" t="s" s="169">
        <f>IF(L702="","",(SUM(((L700-1)*(1-_xlfn.XLOOKUP(K700,'Janeiro 2023 - Valor Real'!A3:A15,'Janeiro 2023 - Valor Real'!C3:C15,0))+1),((L701-1)*(1-_xlfn.XLOOKUP(K701,'Janeiro 2023 - Valor Real'!A3:A15,'Janeiro 2023 - Valor Real'!C3:C15,0))+1),((L702-1)*(1-_xlfn.XLOOKUP(K702,'Janeiro 2023 - Valor Real'!A3:A15,'Janeiro 2023 - Valor Real'!C3:C15,0))+1))/((L702-1)*(1-_xlfn.XLOOKUP(K702,'Janeiro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Real'!C3:C15,0))+1))/((L700-1)*(1-_xlfn.XLOOKUP(K700,'Janeiro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Real'!C3:C15,0))+1))/((L701-1)*(1-_xlfn.XLOOKUP(K701,'Janeiro 2023 - Valor Real'!A3:A15,'Janeiro 2023 - Valor Real'!C3:C15,0))+1)+SUM(((L700-1)*(1-_xlfn.XLOOKUP(K700,'Janeiro 2023 - Valor Real'!A3:A15,'Janeiro 2023 - Valor Real'!C3:C15,0))+1),((L701-1)*(1-_xlfn.XLOOKUP(K701,'Janeiro 2023 - Valor Real'!A3:A15,'Janeiro 2023 - Valor Real'!C3:C15,0))+1),((L702-1)*(1-_xlfn.XLOOKUP(K702,'Janeiro 2023 - Valor Real'!A3:A15,'Janeiro 2023 - Valor Real'!C3:C15,0))+1))/((L702-1)*(1-_xlfn.XLOOKUP(K702,'Janeiro 2023 - Valor Real'!A3:A15,'Janeiro 2023 - Valor Real'!C3:C15,0))+1)))</f>
      </c>
      <c r="AF702" s="132">
        <f>IF($K702=AF$3,ROUND(IF(OR($C702="W",$C702="1/2W",$C702="1/2L"),$P702-$O702,IF($C702="X",0,-$O702)),2),0)</f>
        <v>0</v>
      </c>
      <c r="AG702" s="133">
        <f>IF($K702=AG$3,ROUND(IF(OR($C702="W",$C702="1/2W",$C702="1/2L"),$P702-$O702,IF($C702="X",0,-$O702)),2),0)</f>
        <v>0</v>
      </c>
      <c r="AH702" s="133">
        <f>IF($K702=AH$3,ROUND(IF(OR($C702="W",$C702="1/2W",$C702="1/2L"),$P702-$O702,IF($C702="X",0,-$O702)),2),0)</f>
        <v>0</v>
      </c>
      <c r="AI702" s="133">
        <f>IF($K702=AI$3,ROUND(IF(OR($C702="W",$C702="1/2W",$C702="1/2L"),$P702-$O702,IF($C702="X",0,-$O702)),2),0)</f>
        <v>0</v>
      </c>
      <c r="AJ702" s="133">
        <f>IF($K702=AJ$3,ROUND(IF(OR($C702="W",$C702="1/2W",$C702="1/2L"),$P702-$O702,IF($C702="X",0,-$O702)),2),0)</f>
        <v>0</v>
      </c>
      <c r="AK702" s="133">
        <f>IF($K702=AK$3,ROUND(IF(OR($C702="W",$C702="1/2W",$C702="1/2L"),$P702-$O702,IF($C702="X",0,-$O702)),2),0)</f>
        <v>0</v>
      </c>
      <c r="AL702" s="133">
        <f>IF($K702=AL$3,ROUND(IF(OR($C702="W",$C702="1/2W",$C702="1/2L"),$P702-$O702,IF($C702="X",0,-$O702)),2),0)</f>
        <v>0</v>
      </c>
      <c r="AM702" s="133">
        <f>IF($K702=AM$3,ROUND(IF(OR($C702="W",$C702="1/2W",$C702="1/2L"),$P702-$O702,IF($C702="X",0,-$O702)),2),0)</f>
        <v>0</v>
      </c>
      <c r="AN702" s="133">
        <f>IF($K702=AN$3,ROUND(IF(OR($C702="W",$C702="1/2W",$C702="1/2L"),$P702-$O702,IF($C702="X",0,-$O702)),2),0)</f>
        <v>0</v>
      </c>
      <c r="AO702" s="133">
        <f>IF($K702=AO$3,ROUND(IF(OR($C702="W",$C702="1/2W",$C702="1/2L"),$P702-$O702,IF($C702="X",0,-$O702)),2),0)</f>
        <v>0</v>
      </c>
      <c r="AP702" s="133">
        <f>IF($K702=AP$3,ROUND(IF(OR($C702="W",$C702="1/2W",$C702="1/2L"),$P702-$O702,IF($C702="X",0,-$O702)),2),0)</f>
        <v>0</v>
      </c>
      <c r="AQ702" s="133">
        <f>IF($K702=AQ$3,ROUND(IF(OR($C702="W",$C702="1/2W",$C702="1/2L"),$P702-$O702,IF($C702="X",0,-$O702)),2),0)</f>
        <v>0</v>
      </c>
      <c r="AR702" s="134">
        <f>IF($K702=AR$3,ROUND(IF(OR($C702="W",$C702="1/2W",$C702="1/2L"),$P702-$O702,IF($C702="X",0,-$O702)),2),0)</f>
        <v>0</v>
      </c>
      <c r="AS702" s="132">
        <f>IF(AND($B700=" ",$K702=AS$3),$O702,0)</f>
        <v>0</v>
      </c>
      <c r="AT702" s="133">
        <f>IF(AND($B700=" ",K702=AT$3),$O702,0)</f>
        <v>0</v>
      </c>
      <c r="AU702" s="133">
        <f>IF(AND($B700=" ",$K702=AU$3),$O702,0)</f>
        <v>0</v>
      </c>
      <c r="AV702" s="133">
        <f>IF(AND($B700=" ",$K702=AV$3),$O702,0)</f>
        <v>0</v>
      </c>
      <c r="AW702" s="133">
        <f>IF(AND($B700=" ",$K702=AW$3),$O702,0)</f>
        <v>0</v>
      </c>
      <c r="AX702" s="133">
        <f>IF(AND($B700=" ",$K702=AX$3),$O702,0)</f>
        <v>0</v>
      </c>
      <c r="AY702" s="135">
        <f>IF(AND($B700=" ",$K702=AY$3),$O702,0)</f>
        <v>0</v>
      </c>
      <c r="AZ702" s="136">
        <f>IF(AND($B700=" ",$K702=AZ$3),$O702,0)</f>
        <v>0</v>
      </c>
      <c r="BA702" s="136">
        <f>IF(AND($B700=" ",$K702=BA$3),$O702,0)</f>
        <v>0</v>
      </c>
      <c r="BB702" s="136">
        <f>IF(AND($B700=" ",$K702=BB$3),$O702,0)</f>
        <v>0</v>
      </c>
      <c r="BC702" s="137">
        <f>IF(AND($B700=" ",$K702=BC$3),$O702,0)</f>
        <v>0</v>
      </c>
      <c r="BD702" s="133">
        <f>IF(AND($B700=" ",$K702=BD$3),$O702,0)</f>
        <v>0</v>
      </c>
      <c r="BE702" s="134">
        <f>IF(AND($B700=" ",$K702=BE$3),$O702,0)</f>
        <v>0</v>
      </c>
      <c r="BF702" s="132">
        <f>IF($K702=BF$3,IF($C702="X",0,$O702),0)</f>
        <v>0</v>
      </c>
      <c r="BG702" s="281">
        <f>IF($K702=BG$3,IF($C702="X",0,$O702),0)</f>
        <v>0</v>
      </c>
      <c r="BH702" s="133">
        <f>IF($K702=BH$3,IF($C702="X",0,$O702),0)</f>
        <v>0</v>
      </c>
      <c r="BI702" s="133">
        <f>IF($K702=BI$3,IF($C702="X",0,$O702),0)</f>
        <v>0</v>
      </c>
      <c r="BJ702" s="133">
        <f>IF($K702=BJ$3,IF($C702="X",0,$O702),0)</f>
        <v>0</v>
      </c>
      <c r="BK702" s="133">
        <f>IF($K702=BK$3,IF($C702="X",0,$O702),0)</f>
        <v>0</v>
      </c>
      <c r="BL702" s="133">
        <f>IF($K702=BL$3,IF($C702="X",0,$O702),0)</f>
        <v>0</v>
      </c>
      <c r="BM702" s="135">
        <f>IF($K702=BM$3,IF($C702="X",0,$O702),0)</f>
        <v>0</v>
      </c>
      <c r="BN702" s="136">
        <f>IF($K702=BN$3,IF($C702="X",0,$O702),0)</f>
        <v>0</v>
      </c>
      <c r="BO702" s="136">
        <f>IF($K702=BO$3,IF($C702="X",0,$O702),0)</f>
        <v>0</v>
      </c>
      <c r="BP702" s="136">
        <f>IF($K702=BP$3,IF($C702="X",0,$O702),0)</f>
        <v>0</v>
      </c>
      <c r="BQ702" s="137">
        <f>IF($K702=BQ$3,IF($C702="X",0,$O702),0)</f>
        <v>0</v>
      </c>
      <c r="BR702" s="134">
        <f>IF($K702=BR$3,IF($C702="X",0,$O702),0)</f>
        <v>0</v>
      </c>
      <c r="BS702" s="282"/>
      <c r="BT702" s="283"/>
      <c r="BU702" s="140"/>
      <c r="BV702" s="283"/>
      <c r="BW702" s="140"/>
      <c r="BX702" s="140"/>
      <c r="BY702" s="140"/>
      <c r="BZ702" s="283"/>
      <c r="CA702" s="140"/>
      <c r="CB702" s="140"/>
      <c r="CC702" s="140"/>
      <c r="CD702" s="141"/>
      <c r="CE702" s="142"/>
      <c r="CF702" s="284">
        <f>IF(CF$3=$K702,IF($C702="W",1,IF($C702="1/2W",0.5,0)),0)</f>
        <v>0</v>
      </c>
      <c r="CG702" s="285">
        <f>IF(CF$3=$K702,IF($C702="L",1,IF($C702="1/2L",0.5,0)),0)</f>
        <v>0</v>
      </c>
      <c r="CH702" s="285">
        <f>IF(CH$3=$K702,IF($C702="W",1,IF($C702="1/2W",0.5,0)),0)</f>
        <v>0</v>
      </c>
      <c r="CI702" s="285">
        <f>IF(CH$3=$K702,IF($C702="L",1,IF($C702="1/2L",0.5,0)),0)</f>
        <v>0</v>
      </c>
      <c r="CJ702" s="285">
        <f>IF(CJ$3=$K702,IF($C702="W",1,IF($C702="1/2W",0.5,0)),0)</f>
        <v>0</v>
      </c>
      <c r="CK702" s="285">
        <f>IF(CJ$3=$K702,IF($C702="L",1,IF($C702="1/2L",0.5,0)),0)</f>
        <v>0</v>
      </c>
      <c r="CL702" s="285">
        <f>IF(CL$3=$K702,IF($C702="W",1,IF($C702="1/2W",0.5,0)),0)</f>
        <v>0</v>
      </c>
      <c r="CM702" s="285">
        <f>IF(CL$3=$K702,IF($C702="L",1,IF($C702="1/2L",0.5,0)),0)</f>
        <v>0</v>
      </c>
      <c r="CN702" s="285">
        <f>IF(CN$3=$K702,IF($C702="W",1,IF($C702="1/2W",0.5,0)),0)</f>
        <v>0</v>
      </c>
      <c r="CO702" s="285">
        <f>IF(CN$3=$K702,IF($C702="L",1,IF($C702="1/2L",0.5,0)),0)</f>
        <v>0</v>
      </c>
      <c r="CP702" s="285">
        <f>IF(CP$3=$K702,IF($C702="W",1,IF($C702="1/2W",0.5,0)),0)</f>
        <v>0</v>
      </c>
      <c r="CQ702" s="285">
        <f>IF(CP$3=$K702,IF($C702="L",1,IF($C702="1/2L",0.5,0)),0)</f>
        <v>0</v>
      </c>
      <c r="CR702" s="285">
        <f>IF(CR$3=$K702,IF($C702="W",1,IF($C702="1/2W",0.5,0)),0)</f>
        <v>0</v>
      </c>
      <c r="CS702" s="285">
        <f>IF(CR$3=$K702,IF($C702="L",1,IF($C702="1/2L",0.5,0)),0)</f>
        <v>0</v>
      </c>
      <c r="CT702" s="145">
        <f>IF(CT$3=$K702,IF($C702="W",1,IF($C702="1/2W",0.5,0)),0)</f>
        <v>0</v>
      </c>
      <c r="CU702" s="146">
        <f>IF(CT$3=$K702,IF($C702="L",1,IF($C702="1/2L",0.5,0)),0)</f>
        <v>0</v>
      </c>
      <c r="CV702" s="146">
        <f>IF(CV$3=$K702,IF($C702="W",1,IF($C702="1/2W",0.5,0)),0)</f>
        <v>0</v>
      </c>
      <c r="CW702" s="146">
        <f>IF(CV$3=$K702,IF($C702="L",1,IF($C702="1/2L",0.5,0)),0)</f>
        <v>0</v>
      </c>
      <c r="CX702" s="146">
        <f>IF(CX$3=$K702,IF($C702="W",1,IF($C702="1/2W",0.5,0)),0)</f>
        <v>0</v>
      </c>
      <c r="CY702" s="146">
        <f>IF(CX$3=$K702,IF($C702="L",1,IF($C702="1/2L",0.5,0)),0)</f>
        <v>0</v>
      </c>
      <c r="CZ702" s="146">
        <f>IF(CZ$3=$K702,IF($C702="W",1,IF($C702="1/2W",0.5,0)),0)</f>
        <v>0</v>
      </c>
      <c r="DA702" s="146">
        <f>IF(CZ$3=$K702,IF($C702="L",1,IF($C702="1/2L",0.5,0)),0)</f>
        <v>0</v>
      </c>
      <c r="DB702" s="146">
        <f>IF(DB$3=$K702,IF($C702="W",1,IF($C702="1/2W",0.5,0)),0)</f>
        <v>0</v>
      </c>
      <c r="DC702" s="146">
        <f>IF(DB$3=$K702,IF($C702="L",1,IF($C702="1/2L",0.5,0)),0)</f>
        <v>0</v>
      </c>
      <c r="DD702" s="146">
        <f>IF(DD$3=$K702,IF($C702="W",1,IF($C702="1/2W",0.5,0)),0)</f>
        <v>0</v>
      </c>
      <c r="DE702" s="147">
        <f>IF(DD$3=$K702,IF($C702="L",1,IF($C702="1/2L",0.5,0)),0)</f>
        <v>0</v>
      </c>
      <c r="DF702" s="143">
        <f>IF(AND(L702&lt;DF$3,$C702="W"),1+DF701,DF701)</f>
        <v>19</v>
      </c>
      <c r="DG702" s="133">
        <f>IF(DF702&gt;DF701,L702+DG701,DG701)</f>
        <v>25.354</v>
      </c>
      <c r="DH702" s="146">
        <f>IF(AND(L702&gt;DH$3,$C702="W"),1+DH701,0+DH701)</f>
        <v>18</v>
      </c>
      <c r="DI702" s="133">
        <f>IF(DH702&gt;DH701,L702+DI701,DI701)</f>
        <v>93.66</v>
      </c>
      <c r="DJ702" t="s" s="304">
        <f>IF($D700="","",$D700)</f>
        <v>481</v>
      </c>
      <c r="DK702" s="286"/>
    </row>
    <row r="703" ht="14.55" customHeight="1">
      <c r="A703" s="171">
        <f>$A700+1</f>
        <v>234</v>
      </c>
      <c r="B703" t="s" s="172">
        <f>IF(AND(_xlfn.XLOOKUP(H703,H$122:H476,G$122:G476,0)=G703,_xlfn.XLOOKUP("TempoBet",K703:K705,L703:L705,0)&gt;0),"X",IF(OR(C703="W",C704="W",C705="W",C703="1/2W",C704="1/2W",C705="1/2W",C703="1/2L",C704="1/2L",C705="1/2L"),"OK",IF(OR(C703="L",C704="L",C705="L"),"LOSS",IF(OR(C703="X",C704="X",C705="X"),"Anulado"," "))))</f>
        <v>50</v>
      </c>
      <c r="C703" t="s" s="173">
        <v>56</v>
      </c>
      <c r="D703" t="s" s="305">
        <f>IF(G703="","",$D700)</f>
        <v>481</v>
      </c>
      <c r="E703" t="s" s="175">
        <f>IF(G703=""," ","– "&amp;COUNTIF(D$4:D705,$D703))</f>
        <v>130</v>
      </c>
      <c r="F703" t="s" s="176">
        <f>IF(G703="","",IF(OR(AND($C703&lt;&gt;" ",$C704=" "),AND($C704&lt;&gt;" ",$C703=" "),AND(L705&gt;0,OR(AND($C705&lt;&gt;" ",OR($C703=" ",$C704=" ")),AND($C705=" ",OR($C703&lt;&gt;" ",$C704&lt;&gt;" "))))),IF(SUM(F$4:F702)=0,1,LARGE(F$4:F702,1)+1),IF(MONTH(G703)=MONTH(TODAY()),IF(AND(DAY(G703)&lt;DAY(TODAY()),$B703=" "),IF(SUM(F$4:F702)=0,1,LARGE(F$4:F702,1)+1),IF($B703=" ",IF(AND(DAY(G703)=DAY(TODAY()),HOUR(G703)&lt;=HOUR(NOW())+1),IF(AND(HOUR(G703)+2&lt;=HOUR(NOW()),DAY(G703)&lt;=DAY(TODAY()),MINUTE(G703)&lt;=MINUTE(NOW())),IF(SUM(F$4:F702)=0,1,LARGE(F$4:F702,1)+1),IF(OR(MINUTE(G703)&lt;=MINUTE(NOW()),HOUR(G703)&lt;=HOUR(NOW())),"!!!","")),""),"")),"")))</f>
      </c>
      <c r="G703" s="177">
        <v>44960.541666666664</v>
      </c>
      <c r="H703" t="s" s="178">
        <v>495</v>
      </c>
      <c r="I703" t="s" s="179">
        <v>54</v>
      </c>
      <c r="J703" s="291">
        <v>7.5</v>
      </c>
      <c r="K703" t="s" s="181">
        <v>44</v>
      </c>
      <c r="L703" s="182">
        <v>2.19</v>
      </c>
      <c r="M703" s="183"/>
      <c r="N703" s="184">
        <v>0</v>
      </c>
      <c r="O703" s="185">
        <f>IF(OR(AE703="",AE704=""),"",ROUND(IF(L705&gt;0,IF(M703&gt;0,M703,IF(M704&gt;0,ROUND((M704*AE703)/AE704,IF(N703=0,2,IF(N703=0.1,1,0))),ROUND((M705*AE703)/AE705,IF(N703=0,2,IF(N703=0.1,1,0))))),IF(M703&gt;0,M703,ROUND((M704*AE703)/AE704,IF(N703=0,2,IF(N703=0.1,1,0))))),2))</f>
        <v>10.38</v>
      </c>
      <c r="P703" s="186">
        <f>IF(OR(L703="",O703=""),"",IF($C703="1/2W",O703/2+O703/2*L703,IF($C703="1/2L",O703/2,IF(I703="Lay",(O703*(L703/(L703-1))-O703)*(1-_xlfn.XLOOKUP(K703,'Janeiro 2023 - Valor Real'!A3:A15,'Janeiro 2023 - Valor Real'!C3:C15,0))+O703,(O703*L703-O703)*(1-_xlfn.XLOOKUP(K703,'Janeiro 2023 - Valor Real'!A3:A15,'Janeiro 2023 - Valor Real'!C3:C15,0))+O703))))</f>
        <v>22.7322</v>
      </c>
      <c r="Q703" s="187">
        <f>IF(K703="","",IF(_xlfn.XLOOKUP(K703,K$122:K476,DJ$122:DJ476,0,,-1)=DJ703,_xlfn.XLOOKUP(K703,K$122:K476,Q$122:Q476,1,,-1)+1,1))</f>
        <v>1</v>
      </c>
      <c r="R703" s="188">
        <f>IF(K703="","",_xlfn.XLOOKUP(K703,K$122:K476,R$122:R476,0,,-1)+IF($C703=" ",1,0))</f>
        <v>0</v>
      </c>
      <c r="S703" s="189">
        <f>IF($B703="Anulado",0,ROUND(IF(OR($B703="LOSS",$B703="OK"),IF(OR($C703="W",$C703="1/2W",$C703="1/2L"),P703-O703,IF($C703="L",-O703,0))+IF(OR($C704="W",$C704="1/2W",$C704="1/2L"),P704-O704,IF($C704="L",-O704,0))+IF(OR($C705="W",$C705="1/2W",$C705="1/2L"),P705-O705,IF($C705="L",-O705,0)),IF(AND(OR($C703="W",$C703="1/2W",$C703="1/2L"),C704="W"),P703+P704-SUM(O703:O705)+_xlfn.XLOOKUP("X",C703:C705,O703:O705,0),IF(AND(C703=TRUE,C705="W"),P703+P705-SUM(O703:O705),IF(AND(C704="W",C705="W"),P704+P705-SUM(O703:O705)+_xlfn.XLOOKUP("X",C703:C705,O703:O705,0),IF(L705&gt;0,IF(OR($C703="W",$C703="1/2W",$C703="1/2L"),P703-SUM(O703:O705)+_xlfn.XLOOKUP("X",C703:C705,O703:O705,0),IF(OR($C703="W",$C703="1/2W",$C703="1/2L"),P704-SUM(O703:O705)+_xlfn.XLOOKUP("X",C703:C705,O703:O705,0),IF(OR($C703="W",$C703="1/2W",$C703="1/2L"),P705-SUM(O703:O705)+_xlfn.XLOOKUP("X",C703:C705,O703:O705,0),IF(SUM(P703:P705)/3-SUM(O703:O705)+_xlfn.XLOOKUP("X",C703:C705,O703:O705,0)&gt;0,SUM(P703:P705)/3-SUM(O703:O705)+_xlfn.XLOOKUP("X",C703:C705,O703:O705,0),LARGE(P703:P705,1)-SUM(O703:O705))))),IF(OR($C703="W",$C703="1/2W",$C703="1/2L"),P703-SUM(O703:O704)+_xlfn.XLOOKUP("X",C703:C705,O703:O705,0),IF(OR($C703="W",$C703="1/2W",$C703="1/2L"),P704-SUM(O703:O704)+_xlfn.XLOOKUP("X",C703:C705,O703:O705,0),SUM(P703:P704)/2-SUM(O703:O704)+_xlfn.XLOOKUP("X",C703:C705,O703:O705,0)))))))),2))</f>
        <v>0.87</v>
      </c>
      <c r="T703" s="190">
        <f>IF(S703=0,0,S703/SUM(O703:O705))</f>
        <v>0.0397987191216834</v>
      </c>
      <c r="U703" s="191">
        <f>IF($D703=$D700,IF(OR($B703="LOSS",$B703="OK",$B703="Anulada"),S703,0)+U700,IF(OR($B703="LOSS",$B703="OK",$B703="Anulada"),S703,0))</f>
        <v>15.54</v>
      </c>
      <c r="V703" s="191">
        <f>IF($D703="",0,IF($D703=$D700,IF($B703=" ",IF(I705="",IF(OR(AND(I703="DNB1",I704="DNB2"),AND(OR(I703="DNB1",I703="DNB2"),J704=0),AND(OR(I704="DNB1",I704="DNB2"),J703=0),AND(I703="DNB2",I704="DNB1"),AND(IF(J703=0,(J703+1)/ROUND(J703+1,0),J703/ROUND(J703,0))=1,IF(J704=0,(J704+1)/ROUND(IF(J704="",0,J704)+1,0),IF(J704="",0,J704)/ROUND(IF(J704="",1,J704),0))=1,OR(J703&lt;&gt;""),J704&lt;&gt;"")),0,IF(S703&lt;0,IF(I705="",SMALL(P703:P704,1)-SUM(O703:O704),0),SMALL(P703:P704,1)-SUM(O703:O704))),IF(S703&lt;0,IF(I705="",SMALL(P703:P705,1)-SUM(O703:O705),0),LARGE(P703:P705,1)-SUM(O703:O705))),S703)+V700,IF(I705="",IF(OR(AND(I703="DNB1",I704="DNB2"),AND(OR(I703="DNB1",I703="DNB2"),J704=0),AND(OR(I704="DNB1",I704="DNB2"),J703=0),AND(I703="DNB2",I704="DNB1"),AND(IF(J703=0,(J703+1)/ROUND(J703+1,0),J703/ROUND(J703,0))=1,IF(J704=0,(IF(J704="",0,J704)+1)/ROUND(IF(J704="",0,J704)+1,0),IF(J704="",0,J704)/ROUND(IF(J704="",0,J704)+1,0))=1,OR(J703&lt;&gt;""),J704&lt;&gt;"")),0,IF(S703&lt;0,IF(I705="",SMALL(P703:P704,1)-SUM(O703:O704),0),SMALL(P703:P705,1)-SUM(O703:O705))),IF(S703&lt;0,IF(I705="",SMALL(P703:P705,1)-SUM(O703:O705),0),LARGE(P703:P705,1)-SUM(O703:O705)))))</f>
        <v>15.5376</v>
      </c>
      <c r="W703" s="191">
        <f>IF($D703=$D700,IF(S703&lt;0,IF(I705="",S703,0),S703)+W700,S703)</f>
        <v>15.54</v>
      </c>
      <c r="X703" t="s" s="192">
        <f>IF(OR(SUM(R703:R705)=0,V703=W703),ROUND(IF(W703=0,0,W703/Y703)*100,2)&amp;"%",ROUND(IF(V703=0,0,V703/Y703)*100,2)&amp;"% a "&amp;ROUND(IF(W703=0,0,W703/Y703)*100,2)&amp;"%")</f>
        <v>496</v>
      </c>
      <c r="Y703" s="193">
        <f>IF($D703=$D700,Y700+SUM(O703:O705),SUM(O703:O705))</f>
        <v>316.44</v>
      </c>
      <c r="Z703" s="191">
        <f>IF($B703=" ",SUM(O703:O705),0)+Z700</f>
        <v>0</v>
      </c>
      <c r="AA703" s="191">
        <f>IF(G703="","",IF($B703="Anulado",LARGE(P703:P705,1)-SUM(O703:O705)+AA700,AA700))</f>
        <v>27.7065076923077</v>
      </c>
      <c r="AB703" s="191">
        <f>IF($D703="","",AB700+S703)</f>
        <v>486.72</v>
      </c>
      <c r="AC703" s="194">
        <f>IF($D703="","",IF($B703=" ",IF(DAY(G703)=DAY(TODAY()),1+AC700,0+AC700),0+AC700))</f>
        <v>0</v>
      </c>
      <c r="AD703" s="195">
        <f>(((L704/(L704-1)-1)*(1-_xlfn.XLOOKUP(K704,'Janeiro 2023 - Valor Real'!A3:A15,'Janeiro 2023 - Valor Real'!C3:C15,0))+1))/(((L703-1)*(1-_xlfn.XLOOKUP(K703,'Janeiro 2023 - Valor Real'!A3:A15,'Janeiro 2023 - Valor Real'!C3:C15,0))+1)+((L704/(L704-1)-1)*(1-_xlfn.XLOOKUP(K704,'Janeiro 2023 - Valor Real'!A3:A15,'Janeiro 2023 - Valor Real'!C3:C15,0))+1))</f>
        <v>0.479860404246038</v>
      </c>
      <c r="AE703" s="196">
        <f>IF(L703="","",IF(L705&gt;0,(SUM(((L703-1)*(1-_xlfn.XLOOKUP(K703,'Janeiro 2023 - Valor Real'!A3:A15,'Janeiro 2023 - Valor Real'!C3:C15,0))+1),((L704-1)*(1-_xlfn.XLOOKUP(K704,'Janeiro 2023 - Valor Real'!A3:A15,'Janeiro 2023 - Valor Real'!C3:C15,0))+1),((L705-1)*(1-_xlfn.XLOOKUP(K705,'Janeiro 2023 - Valor Real'!A3:A15,'Janeiro 2023 - Valor Real'!C3:C15,0))+1))/((L703-1)*(1-_xlfn.XLOOKUP(K703,'Janeiro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Real'!C3:C15,0))+1))/((L703-1)*(1-_xlfn.XLOOKUP(K703,'Janeiro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Real'!C3:C15,0))+1))/((L704-1)*(1-_xlfn.XLOOKUP(K704,'Janeiro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Real'!C3:C15,0))+1))/((L705-1)*(1-_xlfn.XLOOKUP(K705,'Janeiro 2023 - Valor Real'!A3:A15,'Janeiro 2023 - Valor Real'!C3:C15,0))+1)),IF(I703="Lay",IF(I704="Lay",((L704/(L704-1)-1)*(1-_xlfn.XLOOKUP(K704,'Janeiro 2023 - Valor Real'!A3:A15,'Janeiro 2023 - Valor Real'!C3:C15,0))+1)/(((L704/(L704-1)-1)*(1-_xlfn.XLOOKUP(K704,'Janeiro 2023 - Valor Real'!A3:A15,'Janeiro 2023 - Valor Real'!C3:C15,0))+1)+((L703/(L703-1)-1)*(1-_xlfn.XLOOKUP(K703,'Janeiro 2023 - Valor Real'!A3:A15,'Janeiro 2023 - Valor Real'!C3:C15,0))+1)),((L704-1)*(1-_xlfn.XLOOKUP(K704,'Janeiro 2023 - Valor Real'!A3:A15,'Janeiro 2023 - Valor Real'!C3:C15,0))+1)/(((L704-1)*(1-_xlfn.XLOOKUP(K704,'Janeiro 2023 - Valor Real'!A3:A15,'Janeiro 2023 - Valor Real'!C3:C15,0))+1)+((L703/(L703-1)-1)*(1-_xlfn.XLOOKUP(K703,'Janeiro 2023 - Valor Real'!A3:A15,'Janeiro 2023 - Valor Real'!C3:C15,0))+1))),IF(I704="Lay",(((L704/(L704-1)-1)*(1-_xlfn.XLOOKUP(K704,'Janeiro 2023 - Valor Real'!A3:A15,'Janeiro 2023 - Valor Real'!C3:C15,0))+1))/(((L703-1)*(1-_xlfn.XLOOKUP(K703,'Janeiro 2023 - Valor Real'!A3:A15,'Janeiro 2023 - Valor Real'!C3:C15,0))+1)+((L704/(L704-1)-1)*(1-_xlfn.XLOOKUP(K704,'Janeiro 2023 - Valor Real'!A3:A15,'Janeiro 2023 - Valor Real'!C3:C15,0))+1)),((L704-1)*(1-_xlfn.XLOOKUP(K704,'Janeiro 2023 - Valor Real'!A3:A15,'Janeiro 2023 - Valor Real'!C3:C15,0))+1)/(((L704-1)*(1-_xlfn.XLOOKUP(K704,'Janeiro 2023 - Valor Real'!A3:A15,'Janeiro 2023 - Valor Real'!C3:C15,0))+1)+((L703-1)*(1-_xlfn.XLOOKUP(K703,'Janeiro 2023 - Valor Real'!A3:A15,'Janeiro 2023 - Valor Real'!C3:C15,0))+1))))))</f>
        <v>0.474820143884892</v>
      </c>
      <c r="AF703" s="197">
        <f>IF($K703=AF$3,ROUND(IF(OR($C703="W",$C703="1/2W",$C703="1/2L"),$P703-$O703,IF($C703="X",0,-$O703)),2),0)</f>
        <v>0</v>
      </c>
      <c r="AG703" s="198">
        <f>IF($K703=AG$3,ROUND(IF(OR($C703="W",$C703="1/2W",$C703="1/2L"),$P703-$O703,IF($C703="X",0,-$O703)),2),0)</f>
        <v>0</v>
      </c>
      <c r="AH703" s="198">
        <f>IF($K703=AH$3,ROUND(IF(OR($C703="W",$C703="1/2W",$C703="1/2L"),$P703-$O703,IF($C703="X",0,-$O703)),2),0)</f>
        <v>0</v>
      </c>
      <c r="AI703" s="198">
        <f>IF($K703=AI$3,ROUND(IF(OR($C703="W",$C703="1/2W",$C703="1/2L"),$P703-$O703,IF($C703="X",0,-$O703)),2),0)</f>
        <v>0</v>
      </c>
      <c r="AJ703" s="198">
        <f>IF($K703=AJ$3,ROUND(IF(OR($C703="W",$C703="1/2W",$C703="1/2L"),$P703-$O703,IF($C703="X",0,-$O703)),2),0)</f>
        <v>0</v>
      </c>
      <c r="AK703" s="198">
        <f>IF($K703=AK$3,ROUND(IF(OR($C703="W",$C703="1/2W",$C703="1/2L"),$P703-$O703,IF($C703="X",0,-$O703)),2),0)</f>
        <v>0</v>
      </c>
      <c r="AL703" s="198">
        <f>IF($K703=AL$3,ROUND(IF(OR($C703="W",$C703="1/2W",$C703="1/2L"),$P703-$O703,IF($C703="X",0,-$O703)),2),0)</f>
        <v>0</v>
      </c>
      <c r="AM703" s="198">
        <f>IF($K703=AM$3,ROUND(IF(OR($C703="W",$C703="1/2W",$C703="1/2L"),$P703-$O703,IF($C703="X",0,-$O703)),2),0)</f>
        <v>12.35</v>
      </c>
      <c r="AN703" s="198">
        <f>IF($K703=AN$3,ROUND(IF(OR($C703="W",$C703="1/2W",$C703="1/2L"),$P703-$O703,IF($C703="X",0,-$O703)),2),0)</f>
        <v>0</v>
      </c>
      <c r="AO703" s="198">
        <f>IF($K703=AO$3,ROUND(IF(OR($C703="W",$C703="1/2W",$C703="1/2L"),$P703-$O703,IF($C703="X",0,-$O703)),2),0)</f>
        <v>0</v>
      </c>
      <c r="AP703" s="198">
        <f>IF($K703=AP$3,ROUND(IF(OR($C703="W",$C703="1/2W",$C703="1/2L"),$P703-$O703,IF($C703="X",0,-$O703)),2),0)</f>
        <v>0</v>
      </c>
      <c r="AQ703" s="198">
        <f>IF($K703=AQ$3,ROUND(IF(OR($C703="W",$C703="1/2W",$C703="1/2L"),$P703-$O703,IF($C703="X",0,-$O703)),2),0)</f>
        <v>0</v>
      </c>
      <c r="AR703" s="199">
        <f>IF($K703=AR$3,ROUND(IF(OR($C703="W",$C703="1/2W",$C703="1/2L"),$P703-$O703,IF($C703="X",0,-$O703)),2),0)</f>
        <v>0</v>
      </c>
      <c r="AS703" s="197">
        <f>IF(AND($B703=" ",$K703=AS$3),$O703,0)</f>
        <v>0</v>
      </c>
      <c r="AT703" s="198">
        <f>IF(AND($B703=" ",$K703=AT$3),$O703,0)</f>
        <v>0</v>
      </c>
      <c r="AU703" s="198">
        <f>IF(AND($B703=" ",$K703=AU$3),$O703,0)</f>
        <v>0</v>
      </c>
      <c r="AV703" s="198">
        <f>IF(AND($B703=" ",$K703=AV$3),$O703,0)</f>
        <v>0</v>
      </c>
      <c r="AW703" s="198">
        <f>IF(AND($B703=" ",$K703=AW$3),$O703,0)</f>
        <v>0</v>
      </c>
      <c r="AX703" s="198">
        <f>IF(AND($B703=" ",$K703=AX$3),$O703,0)</f>
        <v>0</v>
      </c>
      <c r="AY703" s="200">
        <f>IF(AND($B703=" ",$K703=AY$3),$O703,0)</f>
        <v>0</v>
      </c>
      <c r="AZ703" s="201">
        <f>IF(AND($B703=" ",$K703=AZ$3),$O703,0)</f>
        <v>0</v>
      </c>
      <c r="BA703" s="201">
        <f>IF(AND($B703=" ",$K703=BA$3),$O703,0)</f>
        <v>0</v>
      </c>
      <c r="BB703" s="201">
        <f>IF(AND($B703=" ",$K703=BB$3),$O703,0)</f>
        <v>0</v>
      </c>
      <c r="BC703" s="202">
        <f>IF(AND($B703=" ",$K703=BC$3),$O703,0)</f>
        <v>0</v>
      </c>
      <c r="BD703" s="198">
        <f>IF(AND($B703=" ",$K703=BD$3),$O703,0)</f>
        <v>0</v>
      </c>
      <c r="BE703" s="199">
        <f>IF(AND($B703=" ",$K703=BE$3),$O703,0)</f>
        <v>0</v>
      </c>
      <c r="BF703" s="203">
        <f>IF($K703=BF$3,IF($C703="X",0,$O703),0)</f>
        <v>0</v>
      </c>
      <c r="BG703" s="198">
        <f>IF($K703=BG$3,IF($C703="X",0,$O703),0)</f>
        <v>0</v>
      </c>
      <c r="BH703" s="198">
        <f>IF($K703=BH$3,IF($C703="X",0,$O703),0)</f>
        <v>0</v>
      </c>
      <c r="BI703" s="198">
        <f>IF($K703=BI$3,IF($C703="X",0,$O703),0)</f>
        <v>0</v>
      </c>
      <c r="BJ703" s="198">
        <f>IF($K703=BJ$3,IF($C703="X",0,$O703),0)</f>
        <v>0</v>
      </c>
      <c r="BK703" s="198">
        <f>IF($K703=BK$3,IF($C703="X",0,$O703),0)</f>
        <v>0</v>
      </c>
      <c r="BL703" s="198">
        <f>IF($K703=BL$3,IF($C703="X",0,$O703),0)</f>
        <v>0</v>
      </c>
      <c r="BM703" s="200">
        <f>IF($K703=BM$3,IF($C703="X",0,$O703),0)</f>
        <v>10.38</v>
      </c>
      <c r="BN703" s="201">
        <f>IF($K703=BN$3,IF($C703="X",0,$O703),0)</f>
        <v>0</v>
      </c>
      <c r="BO703" s="201">
        <f>IF($K703=BO$3,IF($C703="X",0,$O703),0)</f>
        <v>0</v>
      </c>
      <c r="BP703" s="201">
        <f>IF($K703=BP$3,IF($C703="X",0,$O703),0)</f>
        <v>0</v>
      </c>
      <c r="BQ703" s="202">
        <f>IF($K703=BQ$3,IF($C703="X",0,$O703),0)</f>
        <v>0</v>
      </c>
      <c r="BR703" s="199">
        <f>IF($K703=BR$3,IF($C703="X",0,$O703),0)</f>
        <v>0</v>
      </c>
      <c r="BS703" s="204">
        <f>IF($B703="LOSS",IF(AND($K703=BS$3,$C703="L"),-$O703,0)+IF(AND($K704=BS$3,$C704="L"),-$O704,0)+IF(AND($K705=BS$3,$C705="L"),-$O705,0),IF(OR(AND($K703=BS$3,OR($C703="W",$C703="1/2W")),AND($K704=BS$3,OR($C704="W",$C704="1/2W")),AND($K705=BS$3,OR($C705="W",$C705="1/2W"))),$S703,0))</f>
        <v>0</v>
      </c>
      <c r="BT703" s="201">
        <f>IF($B703="LOSS",IF(AND($K703=BT$3,$C703="L"),-$O703,0)+IF(AND($K704=BT$3,$C704="L"),-$O704,0)+IF(AND($K704=BT$3,$C705="L"),-$O705,0),IF(OR(AND($K704=BT$3,OR($C703="W",$C703="1/2W")),AND($K704=BT$3,OR($C704="W",$C704="1/2W")),AND($K704=BT$3,OR($C705="W",$C705="1/2W"))),$S703,0))</f>
        <v>0</v>
      </c>
      <c r="BU703" s="201">
        <f>IF($B703="LOSS",IF(AND($K703=BU$3,$C703="L"),-$O703,0)+IF(AND($K704=BU$3,$C704="L"),-$O704,0)+IF(AND($K704=BU$3,$C705="L"),-$O705,0),IF(OR(AND($K704=BU$3,OR($C703="W",$C703="1/2W")),AND($K704=BU$3,OR($C704="W",$C704="1/2W")),AND($K704=BU$3,OR($C705="W",$C705="1/2W"))),$S703,0))</f>
        <v>0</v>
      </c>
      <c r="BV703" s="201">
        <f>IF($B703="LOSS",IF(AND($K703=BV$3,$C703="L"),-$O703,0)+IF(AND($K704=BV$3,$C704="L"),-$O704,0)+IF(AND($K705=BV$3,$C705="L"),-$O705,0),IF(OR(AND($K703=BV$3,OR($C703="W",$C703="1/2W")),AND($K704=BV$3,OR($C704="W",$C704="1/2W")),AND($K705=BV$3,OR($C705="W",$C705="1/2W"))),$S703,0))</f>
        <v>0</v>
      </c>
      <c r="BW703" s="201">
        <f>IF($B703="LOSS",IF(AND($K703=BW$3,$C703="L"),-$O703,0)+IF(AND($K704=BW$3,$C704="L"),-$O704,0)+IF(AND($K705=BW$3,$C705="L"),-$O705,0),IF(OR(AND($K703=BW$3,OR($C703="W",$C703="1/2W")),AND($K704=BW$3,OR($C704="W",$C704="1/2W")),AND($K705=BW$3,OR($C705="W",$C705="1/2W"))),$S703,0))</f>
        <v>0</v>
      </c>
      <c r="BX703" s="201">
        <f>IF($B703="LOSS",IF(AND($K703=BX$3,$C703="L"),-$O703,0)+IF(AND($K704=BX$3,$C704="L"),-$O704,0)+IF(AND($K705=BX$3,$C705="L"),-$O705,0),IF(OR(AND($K703=BX$3,OR($C703="W",$C703="1/2W")),AND($K704=BX$3,OR($C704="W",$C704="1/2W")),AND($K705=BX$3,OR($C705="W",$C705="1/2W"))),$S703,0))</f>
        <v>0</v>
      </c>
      <c r="BY703" s="201">
        <f>IF($B703="LOSS",IF(AND($K703=BY$3,$C703="L"),-$O703,0)+IF(AND($K704=BY$3,$C704="L"),-$O704,0)+IF(AND($K705=BY$3,$C705="L"),-$O705,0),IF(OR(AND($K703=BY$3,OR($C703="W",$C703="1/2W")),AND($K704=BY$3,OR($C704="W",$C704="1/2W")),AND($K705=BY$3,OR($C705="W",$C705="1/2W"))),$S703,0))</f>
        <v>0</v>
      </c>
      <c r="BZ703" s="205">
        <f>IF($B703="LOSS",IF(AND($K703=BZ$3,$C703="L"),-$O703,0)+IF(AND($K704=BZ$3,$C704="L"),-$O704,0)+IF(AND($K705=BZ$3,$C705="L"),-$O705,0),IF(OR(AND($K703=BZ$3,OR($C703="W",$C703="1/2W")),AND($K704=BZ$3,OR($C704="W",$C704="1/2W")),AND($K705=BZ$3,OR($C705="W",$C705="1/2W"))),$S703,0))</f>
        <v>0.87</v>
      </c>
      <c r="CA703" s="205">
        <f>IF($B703="LOSS",IF(AND($K703=CA$3,$C703="L"),-$O703,0)+IF(AND($K704=CA$3,$C704="L"),-$O704,0)+IF(AND($K705=CA$3,$C705="L"),-$O705,0),IF(OR(AND($K703=CA$3,OR($C703="W",$C703="1/2W")),AND($K704=CA$3,OR($C704="W",$C704="1/2W")),AND($K705=CA$3,OR($C705="W",$C705="1/2W"))),$S703,0))</f>
        <v>0</v>
      </c>
      <c r="CB703" s="205">
        <f>IF($B703="LOSS",IF(AND($K703=CB$3,$C703="L"),-$O703,0)+IF(AND($K704=CB$3,$C704="L"),-$O704,0)+IF(AND($K705=CB$3,$C705="L"),-$O705,0),IF(OR(AND($K703=CB$3,OR($C703="W",$C703="1/2W")),AND($K704=CB$3,OR($C704="W",$C704="1/2W")),AND($K705=CB$3,OR($C705="W",$C705="1/2W"))),$S703,0))</f>
        <v>0</v>
      </c>
      <c r="CC703" s="205">
        <f>IF($B703="LOSS",IF(AND($K703=CC$3,$C703="L"),-$O703,0)+IF(AND($K704=CC$3,$C704="L"),-$O704,0)+IF(AND($K705=CC$3,$C705="L"),-$O705,0),IF(OR(AND($K703=CC$3,OR($C703="W",$C703="1/2W")),AND($K704=CC$3,OR($C704="W",$C704="1/2W")),AND($K705=CC$3,OR($C705="W",$C705="1/2W"))),$S703,0))</f>
        <v>0</v>
      </c>
      <c r="CD703" s="202">
        <f>IF($B703="LOSS",IF(AND($K703=CD$3,$C703="L"),-$O703,0)+IF(AND($K704=CD$3,$C704="L"),-$O704,0)+IF(AND($K705=CD$3,$C705="L"),-$O705,0),IF(OR(AND($K703=CD$3,OR($C703="W",$C703="1/2W")),AND($K704=CD$3,OR($C704="W",$C704="1/2W")),AND($K705=CD$3,OR($C705="W",$C705="1/2W"))),$S703,0))</f>
        <v>0</v>
      </c>
      <c r="CE703" s="199">
        <f>IF($B703="LOSS",IF(AND($K703=CE$3,$C703="L"),-$O703,0)+IF(AND($K704=CE$3,$C704="L"),-$O704,0)+IF(AND($K705=CE$3,$C705="L"),-$O705,0),IF(OR(AND($K703=CE$3,OR($C703="W",$C703="1/2W")),AND($K704=CE$3,OR($C704="W",$C704="1/2W")),AND($K705=CE$3,OR($C705="W",$C705="1/2W"))),$S703,0))</f>
        <v>0</v>
      </c>
      <c r="CF703" s="206">
        <f>IF(CF$3=$K703,IF($C703="W",1,IF($C703="1/2W",0.5,0)),0)</f>
        <v>0</v>
      </c>
      <c r="CG703" s="207">
        <f>IF(CF$3=$K703,IF($C703="L",1,IF($C703="1/2L",0.5,0)),0)</f>
        <v>0</v>
      </c>
      <c r="CH703" s="207">
        <f>IF(CH$3=$K703,IF($C703="W",1,IF($C703="1/2W",0.5,0)),0)</f>
        <v>0</v>
      </c>
      <c r="CI703" s="207">
        <f>IF(CH$3=$K703,IF($C703="L",1,IF($C703="1/2L",0.5,0)),0)</f>
        <v>0</v>
      </c>
      <c r="CJ703" s="207">
        <f>IF(CJ$3=$K703,IF($C703="W",1,IF($C703="1/2W",0.5,0)),0)</f>
        <v>0</v>
      </c>
      <c r="CK703" s="207">
        <f>IF(CJ$3=$K703,IF($C703="L",1,IF($C703="1/2L",0.5,0)),0)</f>
        <v>0</v>
      </c>
      <c r="CL703" s="207">
        <f>IF(CL$3=$K703,IF($C703="W",1,IF($C703="1/2W",0.5,0)),0)</f>
        <v>0</v>
      </c>
      <c r="CM703" s="207">
        <f>IF(CL$3=$K703,IF($C703="L",1,IF($C703="1/2L",0.5,0)),0)</f>
        <v>0</v>
      </c>
      <c r="CN703" s="207">
        <f>IF(CN$3=$K703,IF($C703="W",1,IF($C703="1/2W",0.5,0)),0)</f>
        <v>0</v>
      </c>
      <c r="CO703" s="207">
        <f>IF(CN$3=$K703,IF($C703="L",1,IF($C703="1/2L",0.5,0)),0)</f>
        <v>0</v>
      </c>
      <c r="CP703" s="207">
        <f>IF(CP$3=$K703,IF($C703="W",1,IF($C703="1/2W",0.5,0)),0)</f>
        <v>0</v>
      </c>
      <c r="CQ703" s="207">
        <f>IF(CP$3=$K703,IF($C703="L",1,IF($C703="1/2L",0.5,0)),0)</f>
        <v>0</v>
      </c>
      <c r="CR703" s="207">
        <f>IF(CR$3=$K703,IF($C703="W",1,IF($C703="1/2W",0.5,0)),0)</f>
        <v>0</v>
      </c>
      <c r="CS703" s="207">
        <f>IF(CR$3=$K703,IF($C703="L",1,IF($C703="1/2L",0.5,0)),0)</f>
        <v>0</v>
      </c>
      <c r="CT703" s="208">
        <f>IF(CT$3=$K703,IF($C703="W",1,IF($C703="1/2W",0.5,0)),0)</f>
        <v>1</v>
      </c>
      <c r="CU703" s="209">
        <f>IF(CT$3=$K703,IF($C703="L",1,IF($C703="1/2L",0.5,0)),0)</f>
        <v>0</v>
      </c>
      <c r="CV703" s="209">
        <f>IF(CV$3=$K703,IF($C703="W",1,IF($C703="1/2W",0.5,0)),0)</f>
        <v>0</v>
      </c>
      <c r="CW703" s="209">
        <f>IF(CV$3=$K703,IF($C703="L",1,IF($C703="1/2L",0.5,0)),0)</f>
        <v>0</v>
      </c>
      <c r="CX703" s="209">
        <f>IF(CX$3=$K703,IF($C703="W",1,IF($C703="1/2W",0.5,0)),0)</f>
        <v>0</v>
      </c>
      <c r="CY703" s="209">
        <f>IF(CX$3=$K703,IF($C703="L",1,IF($C703="1/2L",0.5,0)),0)</f>
        <v>0</v>
      </c>
      <c r="CZ703" s="209">
        <f>IF(CZ$3=$K703,IF($C703="W",1,IF($C703="1/2W",0.5,0)),0)</f>
        <v>0</v>
      </c>
      <c r="DA703" s="209">
        <f>IF(CZ$3=$K703,IF($C703="L",1,IF($C703="1/2L",0.5,0)),0)</f>
        <v>0</v>
      </c>
      <c r="DB703" s="209">
        <f>IF(DB$3=$K703,IF($C703="W",1,IF($C703="1/2W",0.5,0)),0)</f>
        <v>0</v>
      </c>
      <c r="DC703" s="209">
        <f>IF(DB$3=$K703,IF($C703="L",1,IF($C703="1/2L",0.5,0)),0)</f>
        <v>0</v>
      </c>
      <c r="DD703" s="209">
        <f>IF(DD$3=$K703,IF($C703="W",1,IF($C703="1/2W",0.5,0)),0)</f>
        <v>0</v>
      </c>
      <c r="DE703" s="210">
        <f>IF(DD$3=$K703,IF($C703="L",1,IF($C703="1/2L",0.5,0)),0)</f>
        <v>0</v>
      </c>
      <c r="DF703" s="211">
        <f>IF(AND(L703&lt;DF$3,$C703="W"),1+DF702,DF702)</f>
        <v>19</v>
      </c>
      <c r="DG703" s="198">
        <f>IF(DF703&gt;DF702,L703+DG702,DG702)</f>
        <v>25.354</v>
      </c>
      <c r="DH703" s="209">
        <f>IF(AND(L703&gt;DH$3,$C703="W"),1+DH702,0+DH702)</f>
        <v>18</v>
      </c>
      <c r="DI703" s="198">
        <f>IF(DH703&gt;DH702,L703+DI702,DI702)</f>
        <v>93.66</v>
      </c>
      <c r="DJ703" t="s" s="306">
        <f>IF($D703="","",$D703)</f>
        <v>481</v>
      </c>
      <c r="DK703" s="209">
        <f>IF(AND($B703=" ",$D703&lt;&gt;""),1,0)</f>
        <v>0</v>
      </c>
    </row>
    <row r="704" ht="14.55" customHeight="1">
      <c r="A704" s="107"/>
      <c r="B704" s="108"/>
      <c r="C704" t="s" s="213">
        <v>51</v>
      </c>
      <c r="D704" s="110"/>
      <c r="E704" s="111"/>
      <c r="F704" s="113"/>
      <c r="G704" s="214"/>
      <c r="H704" s="114"/>
      <c r="I704" t="s" s="215">
        <v>57</v>
      </c>
      <c r="J704" s="296">
        <f>IF(OR(I703="TO",I703="TU",I703="TO1",I703="TU1",I703="TO2",I703="TU2"),J703,IF(OR(I703="AH1",I703="AH2"),IF(OR(I704="AH1",I704="AH2"),-J703,IF(OR(I704="EH1",I704="EH2"),-J703+0.5,"")),IF(OR(I703="EH1",I703="EH2"),IF(OR(I704="AH1",I704="AH2"),-J703+0.5,IF(OR(I704="EH1",I704="EH2"),-J703+1,"")),IF(AND(OR(I703="DNB1",I703="DNB2"),OR(I704="AH1",I704="AH2")),0,IF(AND(I703="Not ScoreBoth",OR(I704="TO1",I704="TO2")),0.5,"")))))</f>
        <v>-7.5</v>
      </c>
      <c r="K704" t="s" s="217">
        <v>41</v>
      </c>
      <c r="L704" s="218">
        <v>1.98</v>
      </c>
      <c r="M704" s="219">
        <v>11.48</v>
      </c>
      <c r="N704" s="120"/>
      <c r="O704" s="220">
        <f>IF(OR(AE703="",AE704=""),"",ROUND(IF(L705&gt;0,IF(M704&gt;0,M704,IF(M703&gt;0,IF(N703=TRUE,ROUND((M703*AE704)/AE703,0),(M703*AE704)/AE703),IF(M704&gt;0,ROUND(M704,IF(N703=0,2,IF(N703=0.1,1,0))),IF(M705&gt;0,ROUND(O705*AE704/AE705,IF(N703=0,2,IF(N703=0.1,1,0))),0)))),IF(M704&gt;0,M704,ROUND((M703*AE704)/AE703,IF(N703=0,2,IF(N703=0.1,1,0))))),2))</f>
        <v>11.48</v>
      </c>
      <c r="P704" s="221">
        <f>IF(OR(L704="",O704=""),"",IF($C704="1/2W",O704/2+O704/2*L704,IF($C704="1/2L",O704/2,IF(I704="Lay",((O704*(L704/(L704-1)))-O704)*(1-_xlfn.XLOOKUP(K704,'Janeiro 2023 - Valor Real'!A3:A15,'Janeiro 2023 - Valor Real'!C3:C15,0))+O704,(O704*L704-O704)*(1-_xlfn.XLOOKUP(K704,'Janeiro 2023 - Valor Real'!A3:A15,'Janeiro 2023 - Valor Real'!C3:C15,0))+O704))))</f>
        <v>22.7304</v>
      </c>
      <c r="Q704" s="222">
        <f>IF(K704="","",IF(_xlfn.XLOOKUP(K704,K$123:K477,DJ$123:DJ477,0,,-1)=DJ704,_xlfn.XLOOKUP(K704,K$123:K477,Q$123:Q477,1,,-1)+1,1))</f>
        <v>1</v>
      </c>
      <c r="R704" s="223">
        <f>IF(K704="","",_xlfn.XLOOKUP(K704,K$123:K477,R$123:R477,0,,-1)+IF($C704=" ",1,0))</f>
        <v>0</v>
      </c>
      <c r="S704" s="125"/>
      <c r="T704" s="126"/>
      <c r="U704" s="126"/>
      <c r="V704" s="224"/>
      <c r="W704" s="126"/>
      <c r="X704" s="127"/>
      <c r="Y704" s="128"/>
      <c r="Z704" s="129"/>
      <c r="AA704" s="129"/>
      <c r="AB704" s="129"/>
      <c r="AC704" s="129"/>
      <c r="AD704" s="225">
        <f>(((L704/(L704-1)-1)*(1-_xlfn.XLOOKUP(K704,'Janeiro 2023 - Valor Real'!A3:A15,'Janeiro 2023 - Valor Real'!C3:C15,0))+1))</f>
        <v>2.02040816326531</v>
      </c>
      <c r="AE704" s="226">
        <f>IF(L704="","",IF(L705&gt;0,(SUM(((L703-1)*(1-_xlfn.XLOOKUP(K703,'Janeiro 2023 - Valor Real'!A3:A15,'Janeiro 2023 - Valor Real'!C3:C15,0))+1),((L704-1)*(1-_xlfn.XLOOKUP(K704,'Janeiro 2023 - Valor Real'!A3:A15,'Janeiro 2023 - Valor Real'!C3:C15,0))+1),((L705-1)*(1-_xlfn.XLOOKUP(K705,'Janeiro 2023 - Valor Real'!A3:A15,'Janeiro 2023 - Valor Real'!C3:C15,0))+1))/((L704-1)*(1-_xlfn.XLOOKUP(K704,'Janeiro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Real'!C3:C15,0))+1))/((L703-1)*(1-_xlfn.XLOOKUP(K703,'Janeiro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Real'!C3:C15,0))+1))/((L704-1)*(1-_xlfn.XLOOKUP(K704,'Janeiro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Real'!C3:C15,0))+1))/((L705-1)*(1-_xlfn.XLOOKUP(K705,'Janeiro 2023 - Valor Real'!A3:A15,'Janeiro 2023 - Valor Real'!C3:C15,0))+1)),IF(I704="Lay",IF(I703="Lay",((L703/(L703-1)-1)*(1-_xlfn.XLOOKUP(K703,'Janeiro 2023 - Valor Real'!A3:A15,'Janeiro 2023 - Valor Real'!C3:C15,0))+1)/(((L703/(L703-1)-1)*(1-_xlfn.XLOOKUP(K703,'Janeiro 2023 - Valor Real'!A3:A15,'Janeiro 2023 - Valor Real'!C3:C15,0))+1)+((L704/(L704-1)-1)*(1-_xlfn.XLOOKUP(K704,'Janeiro 2023 - Valor Real'!A3:A15,'Janeiro 2023 - Valor Real'!C3:C15,0))+1)),((L703-1)*(1-_xlfn.XLOOKUP(K703,'Janeiro 2023 - Valor Real'!A3:A15,'Janeiro 2023 - Valor Real'!C3:C15,0))+1)/(((L703-1)*(1-_xlfn.XLOOKUP(K703,'Janeiro 2023 - Valor Real'!A3:A15,'Janeiro 2023 - Valor Real'!C3:C15,0))+1)+((L704/(L704-1)-1)*(1-_xlfn.XLOOKUP(K704,'Janeiro 2023 - Valor Real'!A3:A15,'Janeiro 2023 - Valor Real'!C3:C15,0))+1))),IF(I703="Lay",((L703/(L703-1)-1)*(1-_xlfn.XLOOKUP(K703,'Janeiro 2023 - Valor Real'!A3:A15,'Janeiro 2023 - Valor Real'!C3:C15,0))+1)/((((L703/(L703-1)-1)*(1-_xlfn.XLOOKUP(K703,'Janeiro 2023 - Valor Real'!A3:A15,'Janeiro 2023 - Valor Real'!C3:C15,0))+1))+((L704-1)*(1-_xlfn.XLOOKUP(K704,'Janeiro 2023 - Valor Real'!A3:A15,'Janeiro 2023 - Valor Real'!C3:C15,0))+1)),((L703-1)*(1-_xlfn.XLOOKUP(K703,'Janeiro 2023 - Valor Real'!A3:A15,'Janeiro 2023 - Valor Real'!C3:C15,0))+1)/(((L703-1)*(1-_xlfn.XLOOKUP(K703,'Janeiro 2023 - Valor Real'!A3:A15,'Janeiro 2023 - Valor Real'!C3:C15,0))+1)+((L704-1)*(1-_xlfn.XLOOKUP(K704,'Janeiro 2023 - Valor Real'!A3:A15,'Janeiro 2023 - Valor Real'!C3:C15,0))+1))))))</f>
        <v>0.525179856115108</v>
      </c>
      <c r="AF704" s="197">
        <f>IF($K704=AF$3,ROUND(IF(OR($C704="W",$C704="1/2W",$C704="1/2L"),$P704-$O704,IF($C704="X",0,-$O704)),2),0)</f>
        <v>0</v>
      </c>
      <c r="AG704" s="198">
        <f>IF($K704=AG$3,ROUND(IF(OR($C704="W",$C704="1/2W",$C704="1/2L"),$P704-$O704,IF($C704="X",0,-$O704)),2),0)</f>
        <v>0</v>
      </c>
      <c r="AH704" s="198">
        <f>IF($K704=AH$3,ROUND(IF(OR($C704="W",$C704="1/2W",$C704="1/2L"),$P704-$O704,IF($C704="X",0,-$O704)),2),0)</f>
        <v>0</v>
      </c>
      <c r="AI704" s="198">
        <f>IF($K704=AI$3,ROUND(IF(OR($C704="W",$C704="1/2W",$C704="1/2L"),$P704-$O704,IF($C704="X",0,-$O704)),2),0)</f>
        <v>0</v>
      </c>
      <c r="AJ704" s="198">
        <f>IF($K704=AJ$3,ROUND(IF(OR($C704="W",$C704="1/2W",$C704="1/2L"),$P704-$O704,IF($C704="X",0,-$O704)),2),0)</f>
        <v>-11.48</v>
      </c>
      <c r="AK704" s="198">
        <f>IF($K704=AK$3,ROUND(IF(OR($C704="W",$C704="1/2W",$C704="1/2L"),$P704-$O704,IF($C704="X",0,-$O704)),2),0)</f>
        <v>0</v>
      </c>
      <c r="AL704" s="198">
        <f>IF($K704=AL$3,ROUND(IF(OR($C704="W",$C704="1/2W",$C704="1/2L"),$P704-$O704,IF($C704="X",0,-$O704)),2),0)</f>
        <v>0</v>
      </c>
      <c r="AM704" s="198">
        <f>IF($K704=AM$3,ROUND(IF(OR($C704="W",$C704="1/2W",$C704="1/2L"),$P704-$O704,IF($C704="X",0,-$O704)),2),0)</f>
        <v>0</v>
      </c>
      <c r="AN704" s="198">
        <f>IF($K704=AN$3,ROUND(IF(OR($C704="W",$C704="1/2W",$C704="1/2L"),$P704-$O704,IF($C704="X",0,-$O704)),2),0)</f>
        <v>0</v>
      </c>
      <c r="AO704" s="198">
        <f>IF($K704=AO$3,ROUND(IF(OR($C704="W",$C704="1/2W",$C704="1/2L"),$P704-$O704,IF($C704="X",0,-$O704)),2),0)</f>
        <v>0</v>
      </c>
      <c r="AP704" s="198">
        <f>IF($K704=AP$3,ROUND(IF(OR($C704="W",$C704="1/2W",$C704="1/2L"),$P704-$O704,IF($C704="X",0,-$O704)),2),0)</f>
        <v>0</v>
      </c>
      <c r="AQ704" s="198">
        <f>IF($K704=AQ$3,ROUND(IF(OR($C704="W",$C704="1/2W",$C704="1/2L"),$P704-$O704,IF($C704="X",0,-$O704)),2),0)</f>
        <v>0</v>
      </c>
      <c r="AR704" s="199">
        <f>IF($K704=AR$3,ROUND(IF(OR($C704="W",$C704="1/2W",$C704="1/2L"),$P704-$O704,IF($C704="X",0,-$O704)),2),0)</f>
        <v>0</v>
      </c>
      <c r="AS704" s="197">
        <f>IF(AND($B703=" ",$K704=AS$3),$O704,0)</f>
        <v>0</v>
      </c>
      <c r="AT704" s="198">
        <f>IF(AND($B703=" ",K704=AT$3),$O704,0)</f>
        <v>0</v>
      </c>
      <c r="AU704" s="198">
        <f>IF(AND($B703=" ",$K704=AU$3),$O704,0)</f>
        <v>0</v>
      </c>
      <c r="AV704" s="198">
        <f>IF(AND($B703=" ",$K704=AV$3),$O704,0)</f>
        <v>0</v>
      </c>
      <c r="AW704" s="198">
        <f>IF(AND($B703=" ",$K704=AW$3),$O704,0)</f>
        <v>0</v>
      </c>
      <c r="AX704" s="198">
        <f>IF(AND($B703=" ",$K704=AX$3),$O704,0)</f>
        <v>0</v>
      </c>
      <c r="AY704" s="200">
        <f>IF(AND($B703=" ",$K704=AY$3),$O704,0)</f>
        <v>0</v>
      </c>
      <c r="AZ704" s="201">
        <f>IF(AND($B703=" ",$K704=AZ$3),$O704,0)</f>
        <v>0</v>
      </c>
      <c r="BA704" s="201">
        <f>IF(AND($B703=" ",$K704=BA$3),$O704,0)</f>
        <v>0</v>
      </c>
      <c r="BB704" s="201">
        <f>IF(AND($B703=" ",$K704=BB$3),$O704,0)</f>
        <v>0</v>
      </c>
      <c r="BC704" s="202">
        <f>IF(AND($B703=" ",$K704=BC$3),$O704,0)</f>
        <v>0</v>
      </c>
      <c r="BD704" s="198">
        <f>IF(AND($B703=" ",$K704=BD$3),$O704,0)</f>
        <v>0</v>
      </c>
      <c r="BE704" s="199">
        <f>IF(AND($B703=" ",$K704=BE$3),$O704,0)</f>
        <v>0</v>
      </c>
      <c r="BF704" s="197">
        <f>IF($K704=BF$3,IF($C704="X",0,$O704),0)</f>
        <v>0</v>
      </c>
      <c r="BG704" s="198">
        <f>IF($K704=BG$3,IF($C704="X",0,$O704),0)</f>
        <v>0</v>
      </c>
      <c r="BH704" s="198">
        <f>IF($K704=BH$3,IF($C704="X",0,$O704),0)</f>
        <v>0</v>
      </c>
      <c r="BI704" s="198">
        <f>IF($K704=BI$3,IF($C704="X",0,$O704),0)</f>
        <v>0</v>
      </c>
      <c r="BJ704" s="198">
        <f>IF($K704=BJ$3,IF($C704="X",0,$O704),0)</f>
        <v>11.48</v>
      </c>
      <c r="BK704" s="198">
        <f>IF($K704=BK$3,IF($C704="X",0,$O704),0)</f>
        <v>0</v>
      </c>
      <c r="BL704" s="198">
        <f>IF($K704=BL$3,IF($C704="X",0,$O704),0)</f>
        <v>0</v>
      </c>
      <c r="BM704" s="227">
        <f>IF($K704=BM$3,IF($C704="X",0,$O704),0)</f>
        <v>0</v>
      </c>
      <c r="BN704" s="205">
        <f>IF($K704=BN$3,IF($C704="X",0,$O704),0)</f>
        <v>0</v>
      </c>
      <c r="BO704" s="205">
        <f>IF($K704=BO$3,IF($C704="X",0,$O704),0)</f>
        <v>0</v>
      </c>
      <c r="BP704" s="205">
        <f>IF($K704=BP$3,IF($C704="X",0,$O704),0)</f>
        <v>0</v>
      </c>
      <c r="BQ704" s="202">
        <f>IF($K704=BQ$3,IF($C704="X",0,$O704),0)</f>
        <v>0</v>
      </c>
      <c r="BR704" s="199">
        <f>IF($K704=BR$3,IF($C704="X",0,$O704),0)</f>
        <v>0</v>
      </c>
      <c r="BS704" s="228"/>
      <c r="BT704" s="229"/>
      <c r="BU704" s="140"/>
      <c r="BV704" s="229"/>
      <c r="BW704" s="140"/>
      <c r="BX704" s="140"/>
      <c r="BY704" s="140"/>
      <c r="BZ704" s="229"/>
      <c r="CA704" s="140"/>
      <c r="CB704" s="140"/>
      <c r="CC704" s="140"/>
      <c r="CD704" s="141"/>
      <c r="CE704" s="142"/>
      <c r="CF704" s="230">
        <f>IF(CF$3=$K704,IF($C704="W",1,IF($C704="1/2W",0.5,0)),0)</f>
        <v>0</v>
      </c>
      <c r="CG704" s="231">
        <f>IF(CF$3=$K704,IF($C704="L",1,IF($C704="1/2L",0.5,0)),0)</f>
        <v>0</v>
      </c>
      <c r="CH704" s="231">
        <f>IF(CH$3=$K704,IF($C704="W",1,IF($C704="1/2W",0.5,0)),0)</f>
        <v>0</v>
      </c>
      <c r="CI704" s="231">
        <f>IF(CH$3=$K704,IF($C704="L",1,IF($C704="1/2L",0.5,0)),0)</f>
        <v>0</v>
      </c>
      <c r="CJ704" s="231">
        <f>IF(CJ$3=$K704,IF($C704="W",1,IF($C704="1/2W",0.5,0)),0)</f>
        <v>0</v>
      </c>
      <c r="CK704" s="231">
        <f>IF(CJ$3=$K704,IF($C704="L",1,IF($C704="1/2L",0.5,0)),0)</f>
        <v>0</v>
      </c>
      <c r="CL704" s="231">
        <f>IF(CL$3=$K704,IF($C704="W",1,IF($C704="1/2W",0.5,0)),0)</f>
        <v>0</v>
      </c>
      <c r="CM704" s="231">
        <f>IF(CL$3=$K704,IF($C704="L",1,IF($C704="1/2L",0.5,0)),0)</f>
        <v>0</v>
      </c>
      <c r="CN704" s="231">
        <f>IF(CN$3=$K704,IF($C704="W",1,IF($C704="1/2W",0.5,0)),0)</f>
        <v>0</v>
      </c>
      <c r="CO704" s="231">
        <f>IF(CN$3=$K704,IF($C704="L",1,IF($C704="1/2L",0.5,0)),0)</f>
        <v>1</v>
      </c>
      <c r="CP704" s="231">
        <f>IF(CP$3=$K704,IF($C704="W",1,IF($C704="1/2W",0.5,0)),0)</f>
        <v>0</v>
      </c>
      <c r="CQ704" s="231">
        <f>IF(CP$3=$K704,IF($C704="L",1,IF($C704="1/2L",0.5,0)),0)</f>
        <v>0</v>
      </c>
      <c r="CR704" s="231">
        <f>IF(CR$3=$K704,IF($C704="W",1,IF($C704="1/2W",0.5,0)),0)</f>
        <v>0</v>
      </c>
      <c r="CS704" s="231">
        <f>IF(CR$3=$K704,IF($C704="L",1,IF($C704="1/2L",0.5,0)),0)</f>
        <v>0</v>
      </c>
      <c r="CT704" s="208">
        <f>IF(CT$3=$K704,IF($C704="W",1,IF($C704="1/2W",0.5,0)),0)</f>
        <v>0</v>
      </c>
      <c r="CU704" s="209">
        <f>IF(CT$3=$K704,IF($C704="L",1,IF($C704="1/2L",0.5,0)),0)</f>
        <v>0</v>
      </c>
      <c r="CV704" s="209">
        <f>IF(CV$3=$K704,IF($C704="W",1,IF($C704="1/2W",0.5,0)),0)</f>
        <v>0</v>
      </c>
      <c r="CW704" s="209">
        <f>IF(CV$3=$K704,IF($C704="L",1,IF($C704="1/2L",0.5,0)),0)</f>
        <v>0</v>
      </c>
      <c r="CX704" s="209">
        <f>IF(CX$3=$K704,IF($C704="W",1,IF($C704="1/2W",0.5,0)),0)</f>
        <v>0</v>
      </c>
      <c r="CY704" s="209">
        <f>IF(CX$3=$K704,IF($C704="L",1,IF($C704="1/2L",0.5,0)),0)</f>
        <v>0</v>
      </c>
      <c r="CZ704" s="209">
        <f>IF(CZ$3=$K704,IF($C704="W",1,IF($C704="1/2W",0.5,0)),0)</f>
        <v>0</v>
      </c>
      <c r="DA704" s="209">
        <f>IF(CZ$3=$K704,IF($C704="L",1,IF($C704="1/2L",0.5,0)),0)</f>
        <v>0</v>
      </c>
      <c r="DB704" s="209">
        <f>IF(DB$3=$K704,IF($C704="W",1,IF($C704="1/2W",0.5,0)),0)</f>
        <v>0</v>
      </c>
      <c r="DC704" s="209">
        <f>IF(DB$3=$K704,IF($C704="L",1,IF($C704="1/2L",0.5,0)),0)</f>
        <v>0</v>
      </c>
      <c r="DD704" s="209">
        <f>IF(DD$3=$K704,IF($C704="W",1,IF($C704="1/2W",0.5,0)),0)</f>
        <v>0</v>
      </c>
      <c r="DE704" s="210">
        <f>IF(DD$3=$K704,IF($C704="L",1,IF($C704="1/2L",0.5,0)),0)</f>
        <v>0</v>
      </c>
      <c r="DF704" s="211">
        <f>IF(AND(L704&lt;DF$3,$C704="W"),1+DF703,DF703)</f>
        <v>19</v>
      </c>
      <c r="DG704" s="198">
        <f>IF(DF704&gt;DF703,L704+DG703,DG703)</f>
        <v>25.354</v>
      </c>
      <c r="DH704" s="209">
        <f>IF(AND(L704&gt;DH$3,$C704="W"),1+DH703,0+DH703)</f>
        <v>18</v>
      </c>
      <c r="DI704" s="198">
        <f>IF(DH704&gt;DH703,L704+DI703,DI703)</f>
        <v>93.66</v>
      </c>
      <c r="DJ704" t="s" s="306">
        <f>IF($D703="","",$D703)</f>
        <v>481</v>
      </c>
      <c r="DK704" s="232"/>
    </row>
    <row r="705" ht="14.55" customHeight="1">
      <c r="A705" s="149"/>
      <c r="B705" s="150"/>
      <c r="C705" t="s" s="233">
        <v>58</v>
      </c>
      <c r="D705" s="152"/>
      <c r="E705" s="153"/>
      <c r="F705" s="155"/>
      <c r="G705" s="234"/>
      <c r="H705" s="156"/>
      <c r="I705" s="235"/>
      <c r="J705" s="236"/>
      <c r="K705" s="237"/>
      <c r="L705" s="238"/>
      <c r="M705" s="239"/>
      <c r="N705" s="161"/>
      <c r="O705" t="s" s="240">
        <f>IF(OR(AE703="",AE704=""),"",IF(L705&gt;0,ROUND(IF(M705&gt;0,M705,IF(M703&gt;0,ROUND((M703*AE705)/AE703,IF(N703=0,2,IF(N703=0.1,1,0))),IF(M704&gt;0,ROUND((M704*AE705)/AE704,IF(N703=0,2,IF(N703=0.1,1,0))),IF(M705&gt;0,M705,0)))),2),""))</f>
      </c>
      <c r="P705" t="s" s="241">
        <f>IF(I704="Lay",O704*(L704/(L704-1))-O704,IF(I703="Lay",O703*(L703/(L703-1))-O703,IF(OR(L705="",O705=""),"",IF($C705="1/2W",O705/2+O705/2*L705,IF($C705="1/2L",O705/2,(O705*L705-O705)*(1-_xlfn.XLOOKUP(K705,'Janeiro 2023 - Valor Real'!A3:A15,'Janeiro 2023 - Valor Real'!C3:C15,0))+O705)))))</f>
      </c>
      <c r="Q705" t="s" s="242">
        <f>IF(K705="","",IF(_xlfn.XLOOKUP(K705,K$124:K478,DJ$124:DJ478,0,,-1)=DJ705,_xlfn.XLOOKUP(K705,K$124:K478,Q$124:Q478,1,,-1)+1,1))</f>
      </c>
      <c r="R705" t="s" s="243">
        <f>IF(K705="","",_xlfn.XLOOKUP(K705,K$124:K478,R$124:R478,0,,-1)+IF($C705=" ",1,0))</f>
      </c>
      <c r="S705" s="166"/>
      <c r="T705" s="155"/>
      <c r="U705" s="155"/>
      <c r="V705" s="166"/>
      <c r="W705" s="155"/>
      <c r="X705" s="167"/>
      <c r="Y705" s="128"/>
      <c r="Z705" s="129"/>
      <c r="AA705" s="129"/>
      <c r="AB705" s="129"/>
      <c r="AC705" s="129"/>
      <c r="AD705" s="244">
        <f>((L704/(L704-1)-1))</f>
        <v>1.02040816326531</v>
      </c>
      <c r="AE705" t="s" s="245">
        <f>IF(L705="","",(SUM(((L703-1)*(1-_xlfn.XLOOKUP(K703,'Janeiro 2023 - Valor Real'!A3:A15,'Janeiro 2023 - Valor Real'!C3:C15,0))+1),((L704-1)*(1-_xlfn.XLOOKUP(K704,'Janeiro 2023 - Valor Real'!A3:A15,'Janeiro 2023 - Valor Real'!C3:C15,0))+1),((L705-1)*(1-_xlfn.XLOOKUP(K705,'Janeiro 2023 - Valor Real'!A3:A15,'Janeiro 2023 - Valor Real'!C3:C15,0))+1))/((L705-1)*(1-_xlfn.XLOOKUP(K705,'Janeiro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Real'!C3:C15,0))+1))/((L703-1)*(1-_xlfn.XLOOKUP(K703,'Janeiro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Real'!C3:C15,0))+1))/((L704-1)*(1-_xlfn.XLOOKUP(K704,'Janeiro 2023 - Valor Real'!A3:A15,'Janeiro 2023 - Valor Real'!C3:C15,0))+1)+SUM(((L703-1)*(1-_xlfn.XLOOKUP(K703,'Janeiro 2023 - Valor Real'!A3:A15,'Janeiro 2023 - Valor Real'!C3:C15,0))+1),((L704-1)*(1-_xlfn.XLOOKUP(K704,'Janeiro 2023 - Valor Real'!A3:A15,'Janeiro 2023 - Valor Real'!C3:C15,0))+1),((L705-1)*(1-_xlfn.XLOOKUP(K705,'Janeiro 2023 - Valor Real'!A3:A15,'Janeiro 2023 - Valor Real'!C3:C15,0))+1))/((L705-1)*(1-_xlfn.XLOOKUP(K705,'Janeiro 2023 - Valor Real'!A3:A15,'Janeiro 2023 - Valor Real'!C3:C15,0))+1)))</f>
      </c>
      <c r="AF705" s="197">
        <f>IF($K705=AF$3,ROUND(IF(OR($C705="W",$C705="1/2W",$C705="1/2L"),$P705-$O705,IF($C705="X",0,-$O705)),2),0)</f>
        <v>0</v>
      </c>
      <c r="AG705" s="198">
        <f>IF($K705=AG$3,ROUND(IF(OR($C705="W",$C705="1/2W",$C705="1/2L"),$P705-$O705,IF($C705="X",0,-$O705)),2),0)</f>
        <v>0</v>
      </c>
      <c r="AH705" s="198">
        <f>IF($K705=AH$3,ROUND(IF(OR($C705="W",$C705="1/2W",$C705="1/2L"),$P705-$O705,IF($C705="X",0,-$O705)),2),0)</f>
        <v>0</v>
      </c>
      <c r="AI705" s="198">
        <f>IF($K705=AI$3,ROUND(IF(OR($C705="W",$C705="1/2W",$C705="1/2L"),$P705-$O705,IF($C705="X",0,-$O705)),2),0)</f>
        <v>0</v>
      </c>
      <c r="AJ705" s="198">
        <f>IF($K705=AJ$3,ROUND(IF(OR($C705="W",$C705="1/2W",$C705="1/2L"),$P705-$O705,IF($C705="X",0,-$O705)),2),0)</f>
        <v>0</v>
      </c>
      <c r="AK705" s="198">
        <f>IF($K705=AK$3,ROUND(IF(OR($C705="W",$C705="1/2W",$C705="1/2L"),$P705-$O705,IF($C705="X",0,-$O705)),2),0)</f>
        <v>0</v>
      </c>
      <c r="AL705" s="198">
        <f>IF($K705=AL$3,ROUND(IF(OR($C705="W",$C705="1/2W",$C705="1/2L"),$P705-$O705,IF($C705="X",0,-$O705)),2),0)</f>
        <v>0</v>
      </c>
      <c r="AM705" s="198">
        <f>IF($K705=AM$3,ROUND(IF(OR($C705="W",$C705="1/2W",$C705="1/2L"),$P705-$O705,IF($C705="X",0,-$O705)),2),0)</f>
        <v>0</v>
      </c>
      <c r="AN705" s="198">
        <f>IF($K705=AN$3,ROUND(IF(OR($C705="W",$C705="1/2W",$C705="1/2L"),$P705-$O705,IF($C705="X",0,-$O705)),2),0)</f>
        <v>0</v>
      </c>
      <c r="AO705" s="198">
        <f>IF($K705=AO$3,ROUND(IF(OR($C705="W",$C705="1/2W",$C705="1/2L"),$P705-$O705,IF($C705="X",0,-$O705)),2),0)</f>
        <v>0</v>
      </c>
      <c r="AP705" s="198">
        <f>IF($K705=AP$3,ROUND(IF(OR($C705="W",$C705="1/2W",$C705="1/2L"),$P705-$O705,IF($C705="X",0,-$O705)),2),0)</f>
        <v>0</v>
      </c>
      <c r="AQ705" s="198">
        <f>IF($K705=AQ$3,ROUND(IF(OR($C705="W",$C705="1/2W",$C705="1/2L"),$P705-$O705,IF($C705="X",0,-$O705)),2),0)</f>
        <v>0</v>
      </c>
      <c r="AR705" s="199">
        <f>IF($K705=AR$3,ROUND(IF(OR($C705="W",$C705="1/2W",$C705="1/2L"),$P705-$O705,IF($C705="X",0,-$O705)),2),0)</f>
        <v>0</v>
      </c>
      <c r="AS705" s="197">
        <f>IF(AND($B703=" ",$K705=AS$3),$O705,0)</f>
        <v>0</v>
      </c>
      <c r="AT705" s="198">
        <f>IF(AND($B703=" ",K705=AT$3),$O705,0)</f>
        <v>0</v>
      </c>
      <c r="AU705" s="198">
        <f>IF(AND($B703=" ",$K705=AU$3),$O705,0)</f>
        <v>0</v>
      </c>
      <c r="AV705" s="198">
        <f>IF(AND($B703=" ",$K705=AV$3),$O705,0)</f>
        <v>0</v>
      </c>
      <c r="AW705" s="198">
        <f>IF(AND($B703=" ",$K705=AW$3),$O705,0)</f>
        <v>0</v>
      </c>
      <c r="AX705" s="198">
        <f>IF(AND($B703=" ",$K705=AX$3),$O705,0)</f>
        <v>0</v>
      </c>
      <c r="AY705" s="200">
        <f>IF(AND($B703=" ",$K705=AY$3),$O705,0)</f>
        <v>0</v>
      </c>
      <c r="AZ705" s="201">
        <f>IF(AND($B703=" ",$K705=AZ$3),$O705,0)</f>
        <v>0</v>
      </c>
      <c r="BA705" s="201">
        <f>IF(AND($B703=" ",$K705=BA$3),$O705,0)</f>
        <v>0</v>
      </c>
      <c r="BB705" s="201">
        <f>IF(AND($B703=" ",$K705=BB$3),$O705,0)</f>
        <v>0</v>
      </c>
      <c r="BC705" s="202">
        <f>IF(AND($B703=" ",$K705=BC$3),$O705,0)</f>
        <v>0</v>
      </c>
      <c r="BD705" s="198">
        <f>IF(AND($B703=" ",$K705=BD$3),$O705,0)</f>
        <v>0</v>
      </c>
      <c r="BE705" s="199">
        <f>IF(AND($B703=" ",$K705=BE$3),$O705,0)</f>
        <v>0</v>
      </c>
      <c r="BF705" s="197">
        <f>IF($K705=BF$3,IF($C705="X",0,$O705),0)</f>
        <v>0</v>
      </c>
      <c r="BG705" s="198">
        <f>IF($K705=BG$3,IF($C705="X",0,$O705),0)</f>
        <v>0</v>
      </c>
      <c r="BH705" s="198">
        <f>IF($K705=BH$3,IF($C705="X",0,$O705),0)</f>
        <v>0</v>
      </c>
      <c r="BI705" s="198">
        <f>IF($K705=BI$3,IF($C705="X",0,$O705),0)</f>
        <v>0</v>
      </c>
      <c r="BJ705" s="198">
        <f>IF($K705=BJ$3,IF($C705="X",0,$O705),0)</f>
        <v>0</v>
      </c>
      <c r="BK705" s="198">
        <f>IF($K705=BK$3,IF($C705="X",0,$O705),0)</f>
        <v>0</v>
      </c>
      <c r="BL705" s="198">
        <f>IF($K705=BL$3,IF($C705="X",0,$O705),0)</f>
        <v>0</v>
      </c>
      <c r="BM705" s="200">
        <f>IF($K705=BM$3,IF($C705="X",0,$O705),0)</f>
        <v>0</v>
      </c>
      <c r="BN705" s="201">
        <f>IF($K705=BN$3,IF($C705="X",0,$O705),0)</f>
        <v>0</v>
      </c>
      <c r="BO705" s="201">
        <f>IF($K705=BO$3,IF($C705="X",0,$O705),0)</f>
        <v>0</v>
      </c>
      <c r="BP705" s="201">
        <f>IF($K705=BP$3,IF($C705="X",0,$O705),0)</f>
        <v>0</v>
      </c>
      <c r="BQ705" s="202">
        <f>IF($K705=BQ$3,IF($C705="X",0,$O705),0)</f>
        <v>0</v>
      </c>
      <c r="BR705" s="199">
        <f>IF($K705=BR$3,IF($C705="X",0,$O705),0)</f>
        <v>0</v>
      </c>
      <c r="BS705" s="228"/>
      <c r="BT705" s="229"/>
      <c r="BU705" s="140"/>
      <c r="BV705" s="229"/>
      <c r="BW705" s="140"/>
      <c r="BX705" s="140"/>
      <c r="BY705" s="140"/>
      <c r="BZ705" s="229"/>
      <c r="CA705" s="140"/>
      <c r="CB705" s="140"/>
      <c r="CC705" s="140"/>
      <c r="CD705" s="141"/>
      <c r="CE705" s="142"/>
      <c r="CF705" s="230">
        <f>IF(CF$3=$K705,IF($C705="W",1,IF($C705="1/2W",0.5,0)),0)</f>
        <v>0</v>
      </c>
      <c r="CG705" s="231">
        <f>IF(CF$3=$K705,IF($C705="L",1,IF($C705="1/2L",0.5,0)),0)</f>
        <v>0</v>
      </c>
      <c r="CH705" s="231">
        <f>IF(CH$3=$K705,IF($C705="W",1,IF($C705="1/2W",0.5,0)),0)</f>
        <v>0</v>
      </c>
      <c r="CI705" s="231">
        <f>IF(CH$3=$K705,IF($C705="L",1,IF($C705="1/2L",0.5,0)),0)</f>
        <v>0</v>
      </c>
      <c r="CJ705" s="231">
        <f>IF(CJ$3=$K705,IF($C705="W",1,IF($C705="1/2W",0.5,0)),0)</f>
        <v>0</v>
      </c>
      <c r="CK705" s="231">
        <f>IF(CJ$3=$K705,IF($C705="L",1,IF($C705="1/2L",0.5,0)),0)</f>
        <v>0</v>
      </c>
      <c r="CL705" s="231">
        <f>IF(CL$3=$K705,IF($C705="W",1,IF($C705="1/2W",0.5,0)),0)</f>
        <v>0</v>
      </c>
      <c r="CM705" s="231">
        <f>IF(CL$3=$K705,IF($C705="L",1,IF($C705="1/2L",0.5,0)),0)</f>
        <v>0</v>
      </c>
      <c r="CN705" s="231">
        <f>IF(CN$3=$K705,IF($C705="W",1,IF($C705="1/2W",0.5,0)),0)</f>
        <v>0</v>
      </c>
      <c r="CO705" s="231">
        <f>IF(CN$3=$K705,IF($C705="L",1,IF($C705="1/2L",0.5,0)),0)</f>
        <v>0</v>
      </c>
      <c r="CP705" s="231">
        <f>IF(CP$3=$K705,IF($C705="W",1,IF($C705="1/2W",0.5,0)),0)</f>
        <v>0</v>
      </c>
      <c r="CQ705" s="231">
        <f>IF(CP$3=$K705,IF($C705="L",1,IF($C705="1/2L",0.5,0)),0)</f>
        <v>0</v>
      </c>
      <c r="CR705" s="231">
        <f>IF(CR$3=$K705,IF($C705="W",1,IF($C705="1/2W",0.5,0)),0)</f>
        <v>0</v>
      </c>
      <c r="CS705" s="231">
        <f>IF(CR$3=$K705,IF($C705="L",1,IF($C705="1/2L",0.5,0)),0)</f>
        <v>0</v>
      </c>
      <c r="CT705" s="208">
        <f>IF(CT$3=$K705,IF($C705="W",1,IF($C705="1/2W",0.5,0)),0)</f>
        <v>0</v>
      </c>
      <c r="CU705" s="209">
        <f>IF(CT$3=$K705,IF($C705="L",1,IF($C705="1/2L",0.5,0)),0)</f>
        <v>0</v>
      </c>
      <c r="CV705" s="209">
        <f>IF(CV$3=$K705,IF($C705="W",1,IF($C705="1/2W",0.5,0)),0)</f>
        <v>0</v>
      </c>
      <c r="CW705" s="209">
        <f>IF(CV$3=$K705,IF($C705="L",1,IF($C705="1/2L",0.5,0)),0)</f>
        <v>0</v>
      </c>
      <c r="CX705" s="209">
        <f>IF(CX$3=$K705,IF($C705="W",1,IF($C705="1/2W",0.5,0)),0)</f>
        <v>0</v>
      </c>
      <c r="CY705" s="209">
        <f>IF(CX$3=$K705,IF($C705="L",1,IF($C705="1/2L",0.5,0)),0)</f>
        <v>0</v>
      </c>
      <c r="CZ705" s="209">
        <f>IF(CZ$3=$K705,IF($C705="W",1,IF($C705="1/2W",0.5,0)),0)</f>
        <v>0</v>
      </c>
      <c r="DA705" s="209">
        <f>IF(CZ$3=$K705,IF($C705="L",1,IF($C705="1/2L",0.5,0)),0)</f>
        <v>0</v>
      </c>
      <c r="DB705" s="209">
        <f>IF(DB$3=$K705,IF($C705="W",1,IF($C705="1/2W",0.5,0)),0)</f>
        <v>0</v>
      </c>
      <c r="DC705" s="209">
        <f>IF(DB$3=$K705,IF($C705="L",1,IF($C705="1/2L",0.5,0)),0)</f>
        <v>0</v>
      </c>
      <c r="DD705" s="209">
        <f>IF(DD$3=$K705,IF($C705="W",1,IF($C705="1/2W",0.5,0)),0)</f>
        <v>0</v>
      </c>
      <c r="DE705" s="210">
        <f>IF(DD$3=$K705,IF($C705="L",1,IF($C705="1/2L",0.5,0)),0)</f>
        <v>0</v>
      </c>
      <c r="DF705" s="211">
        <f>IF(AND(L705&lt;DF$3,$C705="W"),1+DF704,DF704)</f>
        <v>19</v>
      </c>
      <c r="DG705" s="198">
        <f>IF(DF705&gt;DF704,L705+DG704,DG704)</f>
        <v>25.354</v>
      </c>
      <c r="DH705" s="209">
        <f>IF(AND(L705&gt;DH$3,$C705="W"),1+DH704,0+DH704)</f>
        <v>18</v>
      </c>
      <c r="DI705" s="198">
        <f>IF(DH705&gt;DH704,L705+DI704,DI704)</f>
        <v>93.66</v>
      </c>
      <c r="DJ705" t="s" s="306">
        <f>IF($D703="","",$D703)</f>
        <v>481</v>
      </c>
      <c r="DK705" s="232"/>
    </row>
    <row r="706" ht="14.55" customHeight="1">
      <c r="A706" s="246">
        <f>$A703+1</f>
        <v>235</v>
      </c>
      <c r="B706" t="s" s="247">
        <f>IF(AND(_xlfn.XLOOKUP(H706,H$107:H485,G$107:G485,0)=G706,_xlfn.XLOOKUP("TempoBet",K706:K708,L706:L708,0)&gt;0),"X",IF(OR(C706="W",C707="W",C708="W",C706="1/2W",C707="1/2W",C708="1/2W",C706="1/2L",C707="1/2L",C708="1/2L"),"OK",IF(OR(C706="L",C707="L",C708="L"),"LOSS",IF(OR(C706="X",C707="X",C708="X"),"Anulado"," "))))</f>
        <v>50</v>
      </c>
      <c r="C706" t="s" s="248">
        <v>51</v>
      </c>
      <c r="D706" t="s" s="303">
        <f>IF(G706="","",$D703)</f>
        <v>481</v>
      </c>
      <c r="E706" t="s" s="250">
        <v>133</v>
      </c>
      <c r="F706" t="s" s="251">
        <f>IF(G706="","",IF(OR(AND($C706&lt;&gt;" ",$C707=" "),AND($C707&lt;&gt;" ",$C706=" "),AND(L708&gt;0,OR(AND($C708&lt;&gt;" ",OR($C706=" ",$C707=" ")),AND($C708=" ",OR($C706&lt;&gt;" ",$C707&lt;&gt;" "))))),IF(SUM(F$4:F705)=0,1,LARGE(F$4:F705,1)+1),IF(MONTH(G706)=MONTH(TODAY()),IF(AND(DAY(G706)&lt;DAY(TODAY()),$B706=" "),IF(SUM(F$4:F705)=0,1,LARGE(F$4:F705,1)+1),IF($B706=" ",IF(AND(DAY(G706)=DAY(TODAY()),HOUR(G706)&lt;=HOUR(NOW())+1),IF(AND(HOUR(G706)+2&lt;=HOUR(NOW()),DAY(G706)&lt;=DAY(TODAY()),MINUTE(G706)&lt;=MINUTE(NOW())),IF(SUM(F$4:F705)=0,1,LARGE(F$4:F705,1)+1),IF(OR(MINUTE(G706)&lt;=MINUTE(NOW()),HOUR(G706)&lt;=HOUR(NOW())),"!!!","")),""),"")),"")))</f>
      </c>
      <c r="G706" s="252">
        <v>44958.583333333336</v>
      </c>
      <c r="H706" t="s" s="253">
        <v>497</v>
      </c>
      <c r="I706" t="s" s="254">
        <v>65</v>
      </c>
      <c r="J706" s="255">
        <v>2.5</v>
      </c>
      <c r="K706" t="s" s="256">
        <v>37</v>
      </c>
      <c r="L706" s="257">
        <v>1.909</v>
      </c>
      <c r="M706" s="258">
        <v>8</v>
      </c>
      <c r="N706" s="259">
        <v>0</v>
      </c>
      <c r="O706" s="260">
        <f>IF(OR(AE706="",AE707=""),"",ROUND(IF(L708&gt;0,IF(M706&gt;0,M706,IF(M707&gt;0,ROUND((M707*AE706)/AE707,IF(N706=0,2,IF(N706=0.1,1,0))),ROUND((M708*AE706)/AE708,IF(N706=0,2,IF(N706=0.1,1,0))))),IF(M706&gt;0,M706,ROUND((M707*AE706)/AE707,IF(N706=0,2,IF(N706=0.1,1,0))))),2))</f>
        <v>8</v>
      </c>
      <c r="P706" s="261">
        <f>IF(OR(L706="",O706=""),"",IF($C706="1/2W",O706/2+O706/2*L706,IF($C706="1/2L",O706/2,IF(I706="Lay",(O706*(L706/(L706-1))-O706)*(1-_xlfn.XLOOKUP(K706,'Janeiro 2023 - Valor Real'!A3:A15,'Janeiro 2023 - Valor Real'!C3:C15,0))+O706,(O706*L706-O706)*(1-_xlfn.XLOOKUP(K706,'Janeiro 2023 - Valor Real'!A3:A15,'Janeiro 2023 - Valor Real'!C3:C15,0))+O706))))</f>
        <v>15.272</v>
      </c>
      <c r="Q706" s="262">
        <f>IF(K706="","",IF(_xlfn.XLOOKUP(K706,K$107:K485,DJ$107:DJ485,0,,-1)=DJ706,_xlfn.XLOOKUP(K706,K$107:K485,Q$107:Q485,1,,-1)+1,1))</f>
        <v>1</v>
      </c>
      <c r="R706" s="263">
        <f>IF(K706="","",_xlfn.XLOOKUP(K706,K$107:K485,R$107:R485,0,,-1)+IF($C706=" ",1,0))</f>
        <v>0</v>
      </c>
      <c r="S706" s="264">
        <f>IF($B706="Anulado",0,ROUND(IF(OR($B706="LOSS",$B706="OK"),IF(OR($C706="W",$C706="1/2W",$C706="1/2L"),P706-O706,IF($C706="L",-O706,0))+IF(OR($C707="W",$C707="1/2W",$C707="1/2L"),P707-O707,IF($C707="L",-O707,0))+IF(OR($C708="W",$C708="1/2W",$C708="1/2L"),P708-O708,IF($C708="L",-O708,0)),IF(AND(OR($C706="W",$C706="1/2W",$C706="1/2L"),C707="W"),P706+P707-SUM(O706:O708)+_xlfn.XLOOKUP("X",C706:C708,O706:O708,0),IF(AND(C706=TRUE,C708="W"),P706+P708-SUM(O706:O708),IF(AND(C707="W",C708="W"),P707+P708-SUM(O706:O708)+_xlfn.XLOOKUP("X",C706:C708,O706:O708,0),IF(L708&gt;0,IF(OR($C706="W",$C706="1/2W",$C706="1/2L"),P706-SUM(O706:O708)+_xlfn.XLOOKUP("X",C706:C708,O706:O708,0),IF(OR($C706="W",$C706="1/2W",$C706="1/2L"),P707-SUM(O706:O708)+_xlfn.XLOOKUP("X",C706:C708,O706:O708,0),IF(OR($C706="W",$C706="1/2W",$C706="1/2L"),P708-SUM(O706:O708)+_xlfn.XLOOKUP("X",C706:C708,O706:O708,0),IF(SUM(P706:P708)/3-SUM(O706:O708)+_xlfn.XLOOKUP("X",C706:C708,O706:O708,0)&gt;0,SUM(P706:P708)/3-SUM(O706:O708)+_xlfn.XLOOKUP("X",C706:C708,O706:O708,0),LARGE(P706:P708,1)-SUM(O706:O708))))),IF(OR($C706="W",$C706="1/2W",$C706="1/2L"),P706-SUM(O706:O707)+_xlfn.XLOOKUP("X",C706:C708,O706:O708,0),IF(OR($C706="W",$C706="1/2W",$C706="1/2L"),P707-SUM(O706:O707)+_xlfn.XLOOKUP("X",C706:C708,O706:O708,0),SUM(P706:P707)/2-SUM(O706:O707)+_xlfn.XLOOKUP("X",C706:C708,O706:O708,0)))))))),2))</f>
        <v>0.63</v>
      </c>
      <c r="T706" s="265">
        <f>IF(S706=0,0,S706/SUM(O706:O708))</f>
        <v>0.0430327868852459</v>
      </c>
      <c r="U706" s="266">
        <f>IF($D706=$D703,IF(OR($B706="LOSS",$B706="OK",$B706="Anulada"),S706,0)+U703,IF(OR($B706="LOSS",$B706="OK",$B706="Anulada"),S706,0))</f>
        <v>16.17</v>
      </c>
      <c r="V706" s="266">
        <f>IF($D706="",0,IF($D706=$D703,IF($B706=" ",IF(I708="",IF(OR(AND(I706="DNB1",I707="DNB2"),AND(OR(I706="DNB1",I706="DNB2"),J707=0),AND(OR(I707="DNB1",I707="DNB2"),J706=0),AND(I706="DNB2",I707="DNB1"),AND(IF(J706=0,(J706+1)/ROUND(J706+1,0),J706/ROUND(J706,0))=1,IF(J707=0,(J707+1)/ROUND(IF(J707="",0,J707)+1,0),IF(J707="",0,J707)/ROUND(IF(J707="",1,J707),0))=1,OR(J706&lt;&gt;""),J707&lt;&gt;"")),0,IF(S706&lt;0,IF(I708="",SMALL(P706:P707,1)-SUM(O706:O707),0),SMALL(P706:P707,1)-SUM(O706:O707))),IF(S706&lt;0,IF(I708="",SMALL(P706:P708,1)-SUM(O706:O708),0),LARGE(P706:P708,1)-SUM(O706:O708))),S706)+V703,IF(I708="",IF(OR(AND(I706="DNB1",I707="DNB2"),AND(OR(I706="DNB1",I706="DNB2"),J707=0),AND(OR(I707="DNB1",I707="DNB2"),J706=0),AND(I706="DNB2",I707="DNB1"),AND(IF(J706=0,(J706+1)/ROUND(J706+1,0),J706/ROUND(J706,0))=1,IF(J707=0,(IF(J707="",0,J707)+1)/ROUND(IF(J707="",0,J707)+1,0),IF(J707="",0,J707)/ROUND(IF(J707="",0,J707)+1,0))=1,OR(J706&lt;&gt;""),J707&lt;&gt;"")),0,IF(S706&lt;0,IF(I708="",SMALL(P706:P707,1)-SUM(O706:O707),0),SMALL(P706:P708,1)-SUM(O706:O708))),IF(S706&lt;0,IF(I708="",SMALL(P706:P708,1)-SUM(O706:O708),0),LARGE(P706:P708,1)-SUM(O706:O708)))))</f>
        <v>16.1676</v>
      </c>
      <c r="W706" s="266">
        <f>IF($D706=$D703,IF(S706&lt;0,IF(I708="",S706,0),S706)+W703,S706)</f>
        <v>16.17</v>
      </c>
      <c r="X706" t="s" s="267">
        <f>IF(OR(SUM(R706:R708)=0,V706=W706),ROUND(IF(W706=0,0,W706/Y706)*100,2)&amp;"%",ROUND(IF(V706=0,0,V706/Y706)*100,2)&amp;"% a "&amp;ROUND(IF(W706=0,0,W706/Y706)*100,2)&amp;"%")</f>
        <v>498</v>
      </c>
      <c r="Y706" s="268">
        <f>IF($D706=$D703,Y703+SUM(O706:O708),SUM(O706:O708))</f>
        <v>331.08</v>
      </c>
      <c r="Z706" s="266">
        <f>IF($B706=" ",SUM(O706:O708),0)+Z703</f>
        <v>0</v>
      </c>
      <c r="AA706" s="266">
        <f>IF(G706="","",IF($B706="Anulado",LARGE(P706:P708,1)-SUM(O706:O708)+AA703,AA703))</f>
        <v>27.7065076923077</v>
      </c>
      <c r="AB706" s="266">
        <f>IF($D706="","",AB703+S706)</f>
        <v>487.35</v>
      </c>
      <c r="AC706" s="269">
        <f>IF($D706="","",IF($B706=" ",IF(DAY(G706)=DAY(TODAY()),1+AC703,0+AC703),0+AC703))</f>
        <v>0</v>
      </c>
      <c r="AD706" s="270">
        <f>(1-_xlfn.XLOOKUP(K704,'Janeiro 2023 - Valor Real'!A3:A15,'Janeiro 2023 - Valor Real'!C3:C15,0))+1</f>
        <v>2</v>
      </c>
      <c r="AE706" s="271">
        <f>IF(L706="","",IF(L708&gt;0,(SUM(((L706-1)*(1-_xlfn.XLOOKUP(K706,'Janeiro 2023 - Valor Real'!A3:A15,'Janeiro 2023 - Valor Real'!C3:C15,0))+1),((L707-1)*(1-_xlfn.XLOOKUP(K707,'Janeiro 2023 - Valor Real'!A3:A15,'Janeiro 2023 - Valor Real'!C3:C15,0))+1),((L708-1)*(1-_xlfn.XLOOKUP(K708,'Janeiro 2023 - Valor Real'!A3:A15,'Janeiro 2023 - Valor Real'!C3:C15,0))+1))/((L706-1)*(1-_xlfn.XLOOKUP(K706,'Janeiro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Real'!C3:C15,0))+1))/((L706-1)*(1-_xlfn.XLOOKUP(K706,'Janeiro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Real'!C3:C15,0))+1))/((L707-1)*(1-_xlfn.XLOOKUP(K707,'Janeiro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Real'!C3:C15,0))+1))/((L708-1)*(1-_xlfn.XLOOKUP(K708,'Janeiro 2023 - Valor Real'!A3:A15,'Janeiro 2023 - Valor Real'!C3:C15,0))+1)),IF(I706="Lay",IF(I707="Lay",((L707/(L707-1)-1)*(1-_xlfn.XLOOKUP(K707,'Janeiro 2023 - Valor Real'!A3:A15,'Janeiro 2023 - Valor Real'!C3:C15,0))+1)/(((L707/(L707-1)-1)*(1-_xlfn.XLOOKUP(K707,'Janeiro 2023 - Valor Real'!A3:A15,'Janeiro 2023 - Valor Real'!C3:C15,0))+1)+((L706/(L706-1)-1)*(1-_xlfn.XLOOKUP(K706,'Janeiro 2023 - Valor Real'!A3:A15,'Janeiro 2023 - Valor Real'!C3:C15,0))+1)),((L707-1)*(1-_xlfn.XLOOKUP(K707,'Janeiro 2023 - Valor Real'!A3:A15,'Janeiro 2023 - Valor Real'!C3:C15,0))+1)/(((L707-1)*(1-_xlfn.XLOOKUP(K707,'Janeiro 2023 - Valor Real'!A3:A15,'Janeiro 2023 - Valor Real'!C3:C15,0))+1)+((L706/(L706-1)-1)*(1-_xlfn.XLOOKUP(K706,'Janeiro 2023 - Valor Real'!A3:A15,'Janeiro 2023 - Valor Real'!C3:C15,0))+1))),IF(I707="Lay",(((L707/(L707-1)-1)*(1-_xlfn.XLOOKUP(K707,'Janeiro 2023 - Valor Real'!A3:A15,'Janeiro 2023 - Valor Real'!C3:C15,0))+1))/(((L706-1)*(1-_xlfn.XLOOKUP(K706,'Janeiro 2023 - Valor Real'!A3:A15,'Janeiro 2023 - Valor Real'!C3:C15,0))+1)+((L707/(L707-1)-1)*(1-_xlfn.XLOOKUP(K707,'Janeiro 2023 - Valor Real'!A3:A15,'Janeiro 2023 - Valor Real'!C3:C15,0))+1)),((L707-1)*(1-_xlfn.XLOOKUP(K707,'Janeiro 2023 - Valor Real'!A3:A15,'Janeiro 2023 - Valor Real'!C3:C15,0))+1)/(((L707-1)*(1-_xlfn.XLOOKUP(K707,'Janeiro 2023 - Valor Real'!A3:A15,'Janeiro 2023 - Valor Real'!C3:C15,0))+1)+((L706-1)*(1-_xlfn.XLOOKUP(K706,'Janeiro 2023 - Valor Real'!A3:A15,'Janeiro 2023 - Valor Real'!C3:C15,0))+1))))))</f>
        <v>0.546448087431694</v>
      </c>
      <c r="AF706" s="132">
        <f>IF($K706=AF$3,ROUND(IF(OR($C706="W",$C706="1/2W",$C706="1/2L"),$P706-$O706,IF($C706="X",0,-$O706)),2),0)</f>
        <v>-8</v>
      </c>
      <c r="AG706" s="133">
        <f>IF($K706=AG$3,ROUND(IF(OR($C706="W",$C706="1/2W",$C706="1/2L"),$P706-$O706,IF($C706="X",0,-$O706)),2),0)</f>
        <v>0</v>
      </c>
      <c r="AH706" s="133">
        <f>IF($K706=AH$3,ROUND(IF(OR($C706="W",$C706="1/2W",$C706="1/2L"),$P706-$O706,IF($C706="X",0,-$O706)),2),0)</f>
        <v>0</v>
      </c>
      <c r="AI706" s="133">
        <f>IF($K706=AI$3,ROUND(IF(OR($C706="W",$C706="1/2W",$C706="1/2L"),$P706-$O706,IF($C706="X",0,-$O706)),2),0)</f>
        <v>0</v>
      </c>
      <c r="AJ706" s="133">
        <f>IF($K706=AJ$3,ROUND(IF(OR($C706="W",$C706="1/2W",$C706="1/2L"),$P706-$O706,IF($C706="X",0,-$O706)),2),0)</f>
        <v>0</v>
      </c>
      <c r="AK706" s="133">
        <f>IF($K706=AK$3,ROUND(IF(OR($C706="W",$C706="1/2W",$C706="1/2L"),$P706-$O706,IF($C706="X",0,-$O706)),2),0)</f>
        <v>0</v>
      </c>
      <c r="AL706" s="133">
        <f>IF($K706=AL$3,ROUND(IF(OR($C706="W",$C706="1/2W",$C706="1/2L"),$P706-$O706,IF($C706="X",0,-$O706)),2),0)</f>
        <v>0</v>
      </c>
      <c r="AM706" s="133">
        <f>IF($K706=AM$3,ROUND(IF(OR($C706="W",$C706="1/2W",$C706="1/2L"),$P706-$O706,IF($C706="X",0,-$O706)),2),0)</f>
        <v>0</v>
      </c>
      <c r="AN706" s="133">
        <f>IF($K706=AN$3,ROUND(IF(OR($C706="W",$C706="1/2W",$C706="1/2L"),$P706-$O706,IF($C706="X",0,-$O706)),2),0)</f>
        <v>0</v>
      </c>
      <c r="AO706" s="133">
        <f>IF($K706=AO$3,ROUND(IF(OR($C706="W",$C706="1/2W",$C706="1/2L"),$P706-$O706,IF($C706="X",0,-$O706)),2),0)</f>
        <v>0</v>
      </c>
      <c r="AP706" s="133">
        <f>IF($K706=AP$3,ROUND(IF(OR($C706="W",$C706="1/2W",$C706="1/2L"),$P706-$O706,IF($C706="X",0,-$O706)),2),0)</f>
        <v>0</v>
      </c>
      <c r="AQ706" s="133">
        <f>IF($K706=AQ$3,ROUND(IF(OR($C706="W",$C706="1/2W",$C706="1/2L"),$P706-$O706,IF($C706="X",0,-$O706)),2),0)</f>
        <v>0</v>
      </c>
      <c r="AR706" s="134">
        <f>IF($K706=AR$3,ROUND(IF(OR($C706="W",$C706="1/2W",$C706="1/2L"),$P706-$O706,IF($C706="X",0,-$O706)),2),0)</f>
        <v>0</v>
      </c>
      <c r="AS706" s="132">
        <f>IF(AND($B706=" ",$K706=AS$3),$O706,0)</f>
        <v>0</v>
      </c>
      <c r="AT706" s="133">
        <f>IF(AND($B706=" ",$K706=AT$3),$O706,0)</f>
        <v>0</v>
      </c>
      <c r="AU706" s="133">
        <f>IF(AND($B706=" ",$K706=AU$3),$O706,0)</f>
        <v>0</v>
      </c>
      <c r="AV706" s="133">
        <f>IF(AND($B706=" ",$K706=AV$3),$O706,0)</f>
        <v>0</v>
      </c>
      <c r="AW706" s="133">
        <f>IF(AND($B706=" ",$K706=AW$3),$O706,0)</f>
        <v>0</v>
      </c>
      <c r="AX706" s="133">
        <f>IF(AND($B706=" ",$K706=AX$3),$O706,0)</f>
        <v>0</v>
      </c>
      <c r="AY706" s="135">
        <f>IF(AND($B706=" ",$K706=AY$3),$O706,0)</f>
        <v>0</v>
      </c>
      <c r="AZ706" s="136">
        <f>IF(AND($B706=" ",$K706=AZ$3),$O706,0)</f>
        <v>0</v>
      </c>
      <c r="BA706" s="136">
        <f>IF(AND($B706=" ",$K706=BA$3),$O706,0)</f>
        <v>0</v>
      </c>
      <c r="BB706" s="136">
        <f>IF(AND($B706=" ",$K706=BB$3),$O706,0)</f>
        <v>0</v>
      </c>
      <c r="BC706" s="137">
        <f>IF(AND($B706=" ",$K706=BC$3),$O706,0)</f>
        <v>0</v>
      </c>
      <c r="BD706" s="133">
        <f>IF(AND($B706=" ",$K706=BD$3),$O706,0)</f>
        <v>0</v>
      </c>
      <c r="BE706" s="134">
        <f>IF(AND($B706=" ",$K706=BE$3),$O706,0)</f>
        <v>0</v>
      </c>
      <c r="BF706" s="132">
        <f>IF($K706=BF$3,IF($C706="X",0,$O706),0)</f>
        <v>8</v>
      </c>
      <c r="BG706" s="133">
        <f>IF($K706=BG$3,IF($C706="X",0,$O706),0)</f>
        <v>0</v>
      </c>
      <c r="BH706" s="133">
        <f>IF($K706=BH$3,IF($C706="X",0,$O706),0)</f>
        <v>0</v>
      </c>
      <c r="BI706" s="133">
        <f>IF($K706=BI$3,IF($C706="X",0,$O706),0)</f>
        <v>0</v>
      </c>
      <c r="BJ706" s="133">
        <f>IF($K706=BJ$3,IF($C706="X",0,$O706),0)</f>
        <v>0</v>
      </c>
      <c r="BK706" s="133">
        <f>IF($K706=BK$3,IF($C706="X",0,$O706),0)</f>
        <v>0</v>
      </c>
      <c r="BL706" s="133">
        <f>IF($K706=BL$3,IF($C706="X",0,$O706),0)</f>
        <v>0</v>
      </c>
      <c r="BM706" s="135">
        <f>IF($K706=BM$3,IF($C706="X",0,$O706),0)</f>
        <v>0</v>
      </c>
      <c r="BN706" s="136">
        <f>IF($K706=BN$3,IF($C706="X",0,$O706),0)</f>
        <v>0</v>
      </c>
      <c r="BO706" s="136">
        <f>IF($K706=BO$3,IF($C706="X",0,$O706),0)</f>
        <v>0</v>
      </c>
      <c r="BP706" s="136">
        <f>IF($K706=BP$3,IF($C706="X",0,$O706),0)</f>
        <v>0</v>
      </c>
      <c r="BQ706" s="137">
        <f>IF($K706=BQ$3,IF($C706="X",0,$O706),0)</f>
        <v>0</v>
      </c>
      <c r="BR706" s="134">
        <f>IF($K706=BR$3,IF($C706="X",0,$O706),0)</f>
        <v>0</v>
      </c>
      <c r="BS706" s="170">
        <f>IF($B706="LOSS",IF(AND($K706=BS$3,$C706="L"),-$O706,0)+IF(AND($K707=BS$3,$C707="L"),-$O707,0)+IF(AND($K708=BS$3,$C708="L"),-$O708,0),IF(OR(AND($K706=BS$3,OR($C706="W",$C706="1/2W")),AND($K707=BS$3,OR($C707="W",$C707="1/2W")),AND($K708=BS$3,OR($C708="W",$C708="1/2W"))),$S706,0))</f>
        <v>0</v>
      </c>
      <c r="BT706" s="272">
        <f>IF($B706="LOSS",IF(AND($K706=BT$3,$C706="L"),-$O706,0)+IF(AND($K707=BT$3,$C707="L"),-$O707,0)+IF(AND($K707=BT$3,$C708="L"),-$O708,0),IF(OR(AND($K707=BT$3,OR($C706="W",$C706="1/2W")),AND($K707=BT$3,OR($C707="W",$C707="1/2W")),AND($K707=BT$3,OR($C708="W",$C708="1/2W"))),$S706,0))</f>
        <v>0.63</v>
      </c>
      <c r="BU706" s="136">
        <f>IF($B706="LOSS",IF(AND($K706=BU$3,$C706="L"),-$O706,0)+IF(AND($K707=BU$3,$C707="L"),-$O707,0)+IF(AND($K707=BU$3,$C708="L"),-$O708,0),IF(OR(AND($K707=BU$3,OR($C706="W",$C706="1/2W")),AND($K707=BU$3,OR($C707="W",$C707="1/2W")),AND($K707=BU$3,OR($C708="W",$C708="1/2W"))),$S706,0))</f>
        <v>0</v>
      </c>
      <c r="BV706" s="136">
        <f>IF($B706="LOSS",IF(AND($K706=BV$3,$C706="L"),-$O706,0)+IF(AND($K707=BV$3,$C707="L"),-$O707,0)+IF(AND($K708=BV$3,$C708="L"),-$O708,0),IF(OR(AND($K706=BV$3,OR($C706="W",$C706="1/2W")),AND($K707=BV$3,OR($C707="W",$C707="1/2W")),AND($K708=BV$3,OR($C708="W",$C708="1/2W"))),$S706,0))</f>
        <v>0</v>
      </c>
      <c r="BW706" s="136">
        <f>IF($B706="LOSS",IF(AND($K706=BW$3,$C706="L"),-$O706,0)+IF(AND($K707=BW$3,$C707="L"),-$O707,0)+IF(AND($K708=BW$3,$C708="L"),-$O708,0),IF(OR(AND($K706=BW$3,OR($C706="W",$C706="1/2W")),AND($K707=BW$3,OR($C707="W",$C707="1/2W")),AND($K708=BW$3,OR($C708="W",$C708="1/2W"))),$S706,0))</f>
        <v>0</v>
      </c>
      <c r="BX706" s="136">
        <f>IF($B706="LOSS",IF(AND($K706=BX$3,$C706="L"),-$O706,0)+IF(AND($K707=BX$3,$C707="L"),-$O707,0)+IF(AND($K708=BX$3,$C708="L"),-$O708,0),IF(OR(AND($K706=BX$3,OR($C706="W",$C706="1/2W")),AND($K707=BX$3,OR($C707="W",$C707="1/2W")),AND($K708=BX$3,OR($C708="W",$C708="1/2W"))),$S706,0))</f>
        <v>0</v>
      </c>
      <c r="BY706" s="136">
        <f>IF($B706="LOSS",IF(AND($K706=BY$3,$C706="L"),-$O706,0)+IF(AND($K707=BY$3,$C707="L"),-$O707,0)+IF(AND($K708=BY$3,$C708="L"),-$O708,0),IF(OR(AND($K706=BY$3,OR($C706="W",$C706="1/2W")),AND($K707=BY$3,OR($C707="W",$C707="1/2W")),AND($K708=BY$3,OR($C708="W",$C708="1/2W"))),$S706,0))</f>
        <v>0</v>
      </c>
      <c r="BZ706" s="136">
        <f>IF($B706="LOSS",IF(AND($K706=BZ$3,$C706="L"),-$O706,0)+IF(AND($K707=BZ$3,$C707="L"),-$O707,0)+IF(AND($K708=BZ$3,$C708="L"),-$O708,0),IF(OR(AND($K706=BZ$3,OR($C706="W",$C706="1/2W")),AND($K707=BZ$3,OR($C707="W",$C707="1/2W")),AND($K708=BZ$3,OR($C708="W",$C708="1/2W"))),$S706,0))</f>
        <v>0</v>
      </c>
      <c r="CA706" s="136">
        <f>IF($B706="LOSS",IF(AND($K706=CA$3,$C706="L"),-$O706,0)+IF(AND($K707=CA$3,$C707="L"),-$O707,0)+IF(AND($K708=CA$3,$C708="L"),-$O708,0),IF(OR(AND($K706=CA$3,OR($C706="W",$C706="1/2W")),AND($K707=CA$3,OR($C707="W",$C707="1/2W")),AND($K708=CA$3,OR($C708="W",$C708="1/2W"))),$S706,0))</f>
        <v>0</v>
      </c>
      <c r="CB706" s="136">
        <f>IF($B706="LOSS",IF(AND($K706=CB$3,$C706="L"),-$O706,0)+IF(AND($K707=CB$3,$C707="L"),-$O707,0)+IF(AND($K708=CB$3,$C708="L"),-$O708,0),IF(OR(AND($K706=CB$3,OR($C706="W",$C706="1/2W")),AND($K707=CB$3,OR($C707="W",$C707="1/2W")),AND($K708=CB$3,OR($C708="W",$C708="1/2W"))),$S706,0))</f>
        <v>0</v>
      </c>
      <c r="CC706" s="136">
        <f>IF($B706="LOSS",IF(AND($K706=CC$3,$C706="L"),-$O706,0)+IF(AND($K707=CC$3,$C707="L"),-$O707,0)+IF(AND($K708=CC$3,$C708="L"),-$O708,0),IF(OR(AND($K706=CC$3,OR($C706="W",$C706="1/2W")),AND($K707=CC$3,OR($C707="W",$C707="1/2W")),AND($K708=CC$3,OR($C708="W",$C708="1/2W"))),$S706,0))</f>
        <v>0</v>
      </c>
      <c r="CD706" s="137">
        <f>IF($B706="LOSS",IF(AND($K706=CD$3,$C706="L"),-$O706,0)+IF(AND($K707=CD$3,$C707="L"),-$O707,0)+IF(AND($K708=CD$3,$C708="L"),-$O708,0),IF(OR(AND($K706=CD$3,OR($C706="W",$C706="1/2W")),AND($K707=CD$3,OR($C707="W",$C707="1/2W")),AND($K708=CD$3,OR($C708="W",$C708="1/2W"))),$S706,0))</f>
        <v>0</v>
      </c>
      <c r="CE706" s="134">
        <f>IF($B706="LOSS",IF(AND($K706=CE$3,$C706="L"),-$O706,0)+IF(AND($K707=CE$3,$C707="L"),-$O707,0)+IF(AND($K708=CE$3,$C708="L"),-$O708,0),IF(OR(AND($K706=CE$3,OR($C706="W",$C706="1/2W")),AND($K707=CE$3,OR($C707="W",$C707="1/2W")),AND($K708=CE$3,OR($C708="W",$C708="1/2W"))),$S706,0))</f>
        <v>0</v>
      </c>
      <c r="CF706" s="273">
        <f>IF(CF$3=$K706,IF($C706="W",1,IF($C706="1/2W",0.5,0)),0)</f>
        <v>0</v>
      </c>
      <c r="CG706" s="274">
        <f>IF(CF$3=$K706,IF($C706="L",1,IF($C706="1/2L",0.5,0)),0)</f>
        <v>1</v>
      </c>
      <c r="CH706" s="274">
        <f>IF(CH$3=$K706,IF($C706="W",1,IF($C706="1/2W",0.5,0)),0)</f>
        <v>0</v>
      </c>
      <c r="CI706" s="274">
        <f>IF(CH$3=$K706,IF($C706="L",1,IF($C706="1/2L",0.5,0)),0)</f>
        <v>0</v>
      </c>
      <c r="CJ706" s="274">
        <f>IF(CJ$3=$K706,IF($C706="W",1,IF($C706="1/2W",0.5,0)),0)</f>
        <v>0</v>
      </c>
      <c r="CK706" s="274">
        <f>IF(CJ$3=$K706,IF($C706="L",1,IF($C706="1/2L",0.5,0)),0)</f>
        <v>0</v>
      </c>
      <c r="CL706" s="274">
        <f>IF(CL$3=$K706,IF($C706="W",1,IF($C706="1/2W",0.5,0)),0)</f>
        <v>0</v>
      </c>
      <c r="CM706" s="274">
        <f>IF(CL$3=$K706,IF($C706="L",1,IF($C706="1/2L",0.5,0)),0)</f>
        <v>0</v>
      </c>
      <c r="CN706" s="274">
        <f>IF(CN$3=$K706,IF($C706="W",1,IF($C706="1/2W",0.5,0)),0)</f>
        <v>0</v>
      </c>
      <c r="CO706" s="274">
        <f>IF(CN$3=$K706,IF($C706="L",1,IF($C706="1/2L",0.5,0)),0)</f>
        <v>0</v>
      </c>
      <c r="CP706" s="274">
        <f>IF(CP$3=$K706,IF($C706="W",1,IF($C706="1/2W",0.5,0)),0)</f>
        <v>0</v>
      </c>
      <c r="CQ706" s="274">
        <f>IF(CP$3=$K706,IF($C706="L",1,IF($C706="1/2L",0.5,0)),0)</f>
        <v>0</v>
      </c>
      <c r="CR706" s="274">
        <f>IF(CR$3=$K706,IF($C706="W",1,IF($C706="1/2W",0.5,0)),0)</f>
        <v>0</v>
      </c>
      <c r="CS706" s="274">
        <f>IF(CR$3=$K706,IF($C706="L",1,IF($C706="1/2L",0.5,0)),0)</f>
        <v>0</v>
      </c>
      <c r="CT706" s="145">
        <f>IF(CT$3=$K706,IF($C706="W",1,IF($C706="1/2W",0.5,0)),0)</f>
        <v>0</v>
      </c>
      <c r="CU706" s="146">
        <f>IF(CT$3=$K706,IF($C706="L",1,IF($C706="1/2L",0.5,0)),0)</f>
        <v>0</v>
      </c>
      <c r="CV706" s="146">
        <f>IF(CV$3=$K706,IF($C706="W",1,IF($C706="1/2W",0.5,0)),0)</f>
        <v>0</v>
      </c>
      <c r="CW706" s="146">
        <f>IF(CV$3=$K706,IF($C706="L",1,IF($C706="1/2L",0.5,0)),0)</f>
        <v>0</v>
      </c>
      <c r="CX706" s="146">
        <f>IF(CX$3=$K706,IF($C706="W",1,IF($C706="1/2W",0.5,0)),0)</f>
        <v>0</v>
      </c>
      <c r="CY706" s="146">
        <f>IF(CX$3=$K706,IF($C706="L",1,IF($C706="1/2L",0.5,0)),0)</f>
        <v>0</v>
      </c>
      <c r="CZ706" s="146">
        <f>IF(CZ$3=$K706,IF($C706="W",1,IF($C706="1/2W",0.5,0)),0)</f>
        <v>0</v>
      </c>
      <c r="DA706" s="146">
        <f>IF(CZ$3=$K706,IF($C706="L",1,IF($C706="1/2L",0.5,0)),0)</f>
        <v>0</v>
      </c>
      <c r="DB706" s="146">
        <f>IF(DB$3=$K706,IF($C706="W",1,IF($C706="1/2W",0.5,0)),0)</f>
        <v>0</v>
      </c>
      <c r="DC706" s="146">
        <f>IF(DB$3=$K706,IF($C706="L",1,IF($C706="1/2L",0.5,0)),0)</f>
        <v>0</v>
      </c>
      <c r="DD706" s="146">
        <f>IF(DD$3=$K706,IF($C706="W",1,IF($C706="1/2W",0.5,0)),0)</f>
        <v>0</v>
      </c>
      <c r="DE706" s="147">
        <f>IF(DD$3=$K706,IF($C706="L",1,IF($C706="1/2L",0.5,0)),0)</f>
        <v>0</v>
      </c>
      <c r="DF706" s="143">
        <f>IF(AND(L706&lt;DF$3,$C706="W"),1+DF705,DF705)</f>
        <v>19</v>
      </c>
      <c r="DG706" s="133">
        <f>IF(DF706&gt;DF705,L706+DG705,DG705)</f>
        <v>25.354</v>
      </c>
      <c r="DH706" s="146">
        <f>IF(AND(L706&gt;DH$3,$C706="W"),1+DH705,0+DH705)</f>
        <v>18</v>
      </c>
      <c r="DI706" s="133">
        <f>IF(DH706&gt;DH705,L706+DI705,DI705)</f>
        <v>93.66</v>
      </c>
      <c r="DJ706" t="s" s="304">
        <f>IF($D706="","",$D706)</f>
        <v>481</v>
      </c>
      <c r="DK706" s="146">
        <f>IF(AND($B706=" ",$D706&lt;&gt;""),1,0)</f>
        <v>0</v>
      </c>
    </row>
    <row r="707" ht="14.55" customHeight="1">
      <c r="A707" s="107"/>
      <c r="B707" s="108"/>
      <c r="C707" t="s" s="109">
        <v>56</v>
      </c>
      <c r="D707" s="110"/>
      <c r="E707" s="111"/>
      <c r="F707" s="113"/>
      <c r="G707" s="252"/>
      <c r="H707" s="114"/>
      <c r="I707" t="s" s="275">
        <v>67</v>
      </c>
      <c r="J707" s="276">
        <f>IF(OR(I706="TO",I706="TU",I706="TO1",I706="TU1",I706="TO2",I706="TU2"),J706,IF(OR(I706="AH1",I706="AH2"),IF(OR(I707="AH1",I707="AH2"),-J706,IF(OR(I707="EH1",I707="EH2"),-J706+0.5,"")),IF(OR(I706="EH1",I706="EH2"),IF(OR(I707="AH1",I707="AH2"),-J706+0.5,IF(OR(I707="EH1",I707="EH2"),-J706+1,"")),IF(AND(OR(I706="DNB1",I706="DNB2"),OR(I707="AH1",I707="AH2")),0,IF(AND(I706="Not ScoreBoth",OR(I707="TO1",I707="TO2")),0.5,"")))))</f>
        <v>2.5</v>
      </c>
      <c r="K707" t="s" s="117">
        <v>38</v>
      </c>
      <c r="L707" s="277">
        <v>2.3</v>
      </c>
      <c r="M707" s="278"/>
      <c r="N707" s="120"/>
      <c r="O707" s="121">
        <f>IF(OR(AE706="",AE707=""),"",ROUND(IF(L708&gt;0,IF(M707&gt;0,M707,IF(M706&gt;0,IF(N706=TRUE,ROUND((M706*AE707)/AE706,0),(M706*AE707)/AE706),IF(M707&gt;0,ROUND(M707,IF(N706=0,2,IF(N706=0.1,1,0))),IF(M708&gt;0,ROUND(O708*AE707/AE708,IF(N706=0,2,IF(N706=0.1,1,0))),0)))),IF(M707&gt;0,M707,ROUND((M706*AE707)/AE706,IF(N706=0,2,IF(N706=0.1,1,0))))),2))</f>
        <v>6.64</v>
      </c>
      <c r="P707" s="122">
        <f>IF(OR(L707="",O707=""),"",IF($C707="1/2W",O707/2+O707/2*L707,IF($C707="1/2L",O707/2,IF(I707="Lay",((O707*(L707/(L707-1)))-O707)*(1-_xlfn.XLOOKUP(K707,'Janeiro 2023 - Valor Real'!A3:A15,'Janeiro 2023 - Valor Real'!C3:C15,0))+O707,(O707*L707-O707)*(1-_xlfn.XLOOKUP(K707,'Janeiro 2023 - Valor Real'!A3:A15,'Janeiro 2023 - Valor Real'!C3:C15,0))+O707))))</f>
        <v>15.272</v>
      </c>
      <c r="Q707" s="279">
        <f>IF(K707="","",IF(_xlfn.XLOOKUP(K707,K$120:K486,DJ$120:DJ486,0,,-1)=DJ707,_xlfn.XLOOKUP(K707,K$120:K486,Q$120:Q486,1,,-1)+1,1))</f>
        <v>1</v>
      </c>
      <c r="R707" s="280">
        <f>IF(K707="","",_xlfn.XLOOKUP(K707,K$120:K486,R$120:R486,0,,-1)+IF($C707=" ",1,0))</f>
        <v>0</v>
      </c>
      <c r="S707" s="125"/>
      <c r="T707" s="126"/>
      <c r="U707" s="126"/>
      <c r="V707" s="224"/>
      <c r="W707" s="126"/>
      <c r="X707" s="127"/>
      <c r="Y707" s="128"/>
      <c r="Z707" s="129"/>
      <c r="AA707" s="129"/>
      <c r="AB707" s="129"/>
      <c r="AC707" s="129"/>
      <c r="AD707" s="130"/>
      <c r="AE707" s="131">
        <f>IF(L707="","",IF(L708&gt;0,(SUM(((L706-1)*(1-_xlfn.XLOOKUP(K706,'Janeiro 2023 - Valor Real'!A3:A15,'Janeiro 2023 - Valor Real'!C3:C15,0))+1),((L707-1)*(1-_xlfn.XLOOKUP(K707,'Janeiro 2023 - Valor Real'!A3:A15,'Janeiro 2023 - Valor Real'!C3:C15,0))+1),((L708-1)*(1-_xlfn.XLOOKUP(K708,'Janeiro 2023 - Valor Real'!A3:A15,'Janeiro 2023 - Valor Real'!C3:C15,0))+1))/((L707-1)*(1-_xlfn.XLOOKUP(K707,'Janeiro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Real'!C3:C15,0))+1))/((L706-1)*(1-_xlfn.XLOOKUP(K706,'Janeiro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Real'!C3:C15,0))+1))/((L707-1)*(1-_xlfn.XLOOKUP(K707,'Janeiro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Real'!C3:C15,0))+1))/((L708-1)*(1-_xlfn.XLOOKUP(K708,'Janeiro 2023 - Valor Real'!A3:A15,'Janeiro 2023 - Valor Real'!C3:C15,0))+1)),IF(I707="Lay",IF(I706="Lay",((L706/(L706-1)-1)*(1-_xlfn.XLOOKUP(K706,'Janeiro 2023 - Valor Real'!A3:A15,'Janeiro 2023 - Valor Real'!C3:C15,0))+1)/(((L706/(L706-1)-1)*(1-_xlfn.XLOOKUP(K706,'Janeiro 2023 - Valor Real'!A3:A15,'Janeiro 2023 - Valor Real'!C3:C15,0))+1)+((L707/(L707-1)-1)*(1-_xlfn.XLOOKUP(K707,'Janeiro 2023 - Valor Real'!A3:A15,'Janeiro 2023 - Valor Real'!C3:C15,0))+1)),((L706-1)*(1-_xlfn.XLOOKUP(K706,'Janeiro 2023 - Valor Real'!A3:A15,'Janeiro 2023 - Valor Real'!C3:C15,0))+1)/(((L706-1)*(1-_xlfn.XLOOKUP(K706,'Janeiro 2023 - Valor Real'!A3:A15,'Janeiro 2023 - Valor Real'!C3:C15,0))+1)+((L707/(L707-1)-1)*(1-_xlfn.XLOOKUP(K707,'Janeiro 2023 - Valor Real'!A3:A15,'Janeiro 2023 - Valor Real'!C3:C15,0))+1))),IF(I706="Lay",((L706/(L706-1)-1)*(1-_xlfn.XLOOKUP(K706,'Janeiro 2023 - Valor Real'!A3:A15,'Janeiro 2023 - Valor Real'!C3:C15,0))+1)/((((L706/(L706-1)-1)*(1-_xlfn.XLOOKUP(K706,'Janeiro 2023 - Valor Real'!A3:A15,'Janeiro 2023 - Valor Real'!C3:C15,0))+1))+((L707-1)*(1-_xlfn.XLOOKUP(K707,'Janeiro 2023 - Valor Real'!A3:A15,'Janeiro 2023 - Valor Real'!C3:C15,0))+1)),((L706-1)*(1-_xlfn.XLOOKUP(K706,'Janeiro 2023 - Valor Real'!A3:A15,'Janeiro 2023 - Valor Real'!C3:C15,0))+1)/(((L706-1)*(1-_xlfn.XLOOKUP(K706,'Janeiro 2023 - Valor Real'!A3:A15,'Janeiro 2023 - Valor Real'!C3:C15,0))+1)+((L707-1)*(1-_xlfn.XLOOKUP(K707,'Janeiro 2023 - Valor Real'!A3:A15,'Janeiro 2023 - Valor Real'!C3:C15,0))+1))))))</f>
        <v>0.453551912568306</v>
      </c>
      <c r="AF707" s="132">
        <f>IF($K707=AF$3,ROUND(IF(OR($C707="W",$C707="1/2W",$C707="1/2L"),$P707-$O707,IF($C707="X",0,-$O707)),2),0)</f>
        <v>0</v>
      </c>
      <c r="AG707" s="133">
        <f>IF($K707=AG$3,ROUND(IF(OR($C707="W",$C707="1/2W",$C707="1/2L"),$P707-$O707,IF($C707="X",0,-$O707)),2),0)</f>
        <v>8.630000000000001</v>
      </c>
      <c r="AH707" s="133">
        <f>IF($K707=AH$3,ROUND(IF(OR($C707="W",$C707="1/2W",$C707="1/2L"),$P707-$O707,IF($C707="X",0,-$O707)),2),0)</f>
        <v>0</v>
      </c>
      <c r="AI707" s="133">
        <f>IF($K707=AI$3,ROUND(IF(OR($C707="W",$C707="1/2W",$C707="1/2L"),$P707-$O707,IF($C707="X",0,-$O707)),2),0)</f>
        <v>0</v>
      </c>
      <c r="AJ707" s="133">
        <f>IF($K707=AJ$3,ROUND(IF(OR($C707="W",$C707="1/2W",$C707="1/2L"),$P707-$O707,IF($C707="X",0,-$O707)),2),0)</f>
        <v>0</v>
      </c>
      <c r="AK707" s="133">
        <f>IF($K707=AK$3,ROUND(IF(OR($C707="W",$C707="1/2W",$C707="1/2L"),$P707-$O707,IF($C707="X",0,-$O707)),2),0)</f>
        <v>0</v>
      </c>
      <c r="AL707" s="133">
        <f>IF($K707=AL$3,ROUND(IF(OR($C707="W",$C707="1/2W",$C707="1/2L"),$P707-$O707,IF($C707="X",0,-$O707)),2),0)</f>
        <v>0</v>
      </c>
      <c r="AM707" s="133">
        <f>IF($K707=AM$3,ROUND(IF(OR($C707="W",$C707="1/2W",$C707="1/2L"),$P707-$O707,IF($C707="X",0,-$O707)),2),0)</f>
        <v>0</v>
      </c>
      <c r="AN707" s="133">
        <f>IF($K707=AN$3,ROUND(IF(OR($C707="W",$C707="1/2W",$C707="1/2L"),$P707-$O707,IF($C707="X",0,-$O707)),2),0)</f>
        <v>0</v>
      </c>
      <c r="AO707" s="133">
        <f>IF($K707=AO$3,ROUND(IF(OR($C707="W",$C707="1/2W",$C707="1/2L"),$P707-$O707,IF($C707="X",0,-$O707)),2),0)</f>
        <v>0</v>
      </c>
      <c r="AP707" s="133">
        <f>IF($K707=AP$3,ROUND(IF(OR($C707="W",$C707="1/2W",$C707="1/2L"),$P707-$O707,IF($C707="X",0,-$O707)),2),0)</f>
        <v>0</v>
      </c>
      <c r="AQ707" s="133">
        <f>IF($K707=AQ$3,ROUND(IF(OR($C707="W",$C707="1/2W",$C707="1/2L"),$P707-$O707,IF($C707="X",0,-$O707)),2),0)</f>
        <v>0</v>
      </c>
      <c r="AR707" s="134">
        <f>IF($K707=AR$3,ROUND(IF(OR($C707="W",$C707="1/2W",$C707="1/2L"),$P707-$O707,IF($C707="X",0,-$O707)),2),0)</f>
        <v>0</v>
      </c>
      <c r="AS707" s="132">
        <f>IF(AND($B706=" ",$K707=AS$3),$O707,0)</f>
        <v>0</v>
      </c>
      <c r="AT707" s="133">
        <f>IF(AND($B706=" ",K707=AT$3),$O707,0)</f>
        <v>0</v>
      </c>
      <c r="AU707" s="133">
        <f>IF(AND($B706=" ",$K707=AU$3),$O707,0)</f>
        <v>0</v>
      </c>
      <c r="AV707" s="133">
        <f>IF(AND($B706=" ",$K707=AV$3),$O707,0)</f>
        <v>0</v>
      </c>
      <c r="AW707" s="133">
        <f>IF(AND($B706=" ",$K707=AW$3),$O707,0)</f>
        <v>0</v>
      </c>
      <c r="AX707" s="133">
        <f>IF(AND($B706=" ",$K707=AX$3),$O707,0)</f>
        <v>0</v>
      </c>
      <c r="AY707" s="135">
        <f>IF(AND($B706=" ",$K707=AY$3),$O707,0)</f>
        <v>0</v>
      </c>
      <c r="AZ707" s="136">
        <f>IF(AND($B706=" ",$K707=AZ$3),$O707,0)</f>
        <v>0</v>
      </c>
      <c r="BA707" s="136">
        <f>IF(AND($B706=" ",$K707=BA$3),$O707,0)</f>
        <v>0</v>
      </c>
      <c r="BB707" s="136">
        <f>IF(AND($B706=" ",$K707=BB$3),$O707,0)</f>
        <v>0</v>
      </c>
      <c r="BC707" s="137">
        <f>IF(AND($B706=" ",$K707=BC$3),$O707,0)</f>
        <v>0</v>
      </c>
      <c r="BD707" s="133">
        <f>IF(AND($B706=" ",$K707=BD$3),$O707,0)</f>
        <v>0</v>
      </c>
      <c r="BE707" s="134">
        <f>IF(AND($B706=" ",$K707=BE$3),$O707,0)</f>
        <v>0</v>
      </c>
      <c r="BF707" s="132">
        <f>IF($K707=BF$3,IF($C707="X",0,$O707),0)</f>
        <v>0</v>
      </c>
      <c r="BG707" s="281">
        <f>IF($K707=BG$3,IF($C707="X",0,$O707),0)</f>
        <v>6.64</v>
      </c>
      <c r="BH707" s="133">
        <f>IF($K707=BH$3,IF($C707="X",0,$O707),0)</f>
        <v>0</v>
      </c>
      <c r="BI707" s="133">
        <f>IF($K707=BI$3,IF($C707="X",0,$O707),0)</f>
        <v>0</v>
      </c>
      <c r="BJ707" s="133">
        <f>IF($K707=BJ$3,IF($C707="X",0,$O707),0)</f>
        <v>0</v>
      </c>
      <c r="BK707" s="133">
        <f>IF($K707=BK$3,IF($C707="X",0,$O707),0)</f>
        <v>0</v>
      </c>
      <c r="BL707" s="133">
        <f>IF($K707=BL$3,IF($C707="X",0,$O707),0)</f>
        <v>0</v>
      </c>
      <c r="BM707" s="135">
        <f>IF($K707=BM$3,IF($C707="X",0,$O707),0)</f>
        <v>0</v>
      </c>
      <c r="BN707" s="136">
        <f>IF($K707=BN$3,IF($C707="X",0,$O707),0)</f>
        <v>0</v>
      </c>
      <c r="BO707" s="136">
        <f>IF($K707=BO$3,IF($C707="X",0,$O707),0)</f>
        <v>0</v>
      </c>
      <c r="BP707" s="136">
        <f>IF($K707=BP$3,IF($C707="X",0,$O707),0)</f>
        <v>0</v>
      </c>
      <c r="BQ707" s="137">
        <f>IF($K707=BQ$3,IF($C707="X",0,$O707),0)</f>
        <v>0</v>
      </c>
      <c r="BR707" s="134">
        <f>IF($K707=BR$3,IF($C707="X",0,$O707),0)</f>
        <v>0</v>
      </c>
      <c r="BS707" s="282"/>
      <c r="BT707" s="283"/>
      <c r="BU707" s="140"/>
      <c r="BV707" s="283"/>
      <c r="BW707" s="140"/>
      <c r="BX707" s="140"/>
      <c r="BY707" s="140"/>
      <c r="BZ707" s="283"/>
      <c r="CA707" s="140"/>
      <c r="CB707" s="140"/>
      <c r="CC707" s="140"/>
      <c r="CD707" s="141"/>
      <c r="CE707" s="142"/>
      <c r="CF707" s="284">
        <f>IF(CF$3=$K707,IF($C707="W",1,IF($C707="1/2W",0.5,0)),0)</f>
        <v>0</v>
      </c>
      <c r="CG707" s="285">
        <f>IF(CF$3=$K707,IF($C707="L",1,IF($C707="1/2L",0.5,0)),0)</f>
        <v>0</v>
      </c>
      <c r="CH707" s="285">
        <f>IF(CH$3=$K707,IF($C707="W",1,IF($C707="1/2W",0.5,0)),0)</f>
        <v>1</v>
      </c>
      <c r="CI707" s="285">
        <f>IF(CH$3=$K707,IF($C707="L",1,IF($C707="1/2L",0.5,0)),0)</f>
        <v>0</v>
      </c>
      <c r="CJ707" s="285">
        <f>IF(CJ$3=$K707,IF($C707="W",1,IF($C707="1/2W",0.5,0)),0)</f>
        <v>0</v>
      </c>
      <c r="CK707" s="285">
        <f>IF(CJ$3=$K707,IF($C707="L",1,IF($C707="1/2L",0.5,0)),0)</f>
        <v>0</v>
      </c>
      <c r="CL707" s="285">
        <f>IF(CL$3=$K707,IF($C707="W",1,IF($C707="1/2W",0.5,0)),0)</f>
        <v>0</v>
      </c>
      <c r="CM707" s="285">
        <f>IF(CL$3=$K707,IF($C707="L",1,IF($C707="1/2L",0.5,0)),0)</f>
        <v>0</v>
      </c>
      <c r="CN707" s="285">
        <f>IF(CN$3=$K707,IF($C707="W",1,IF($C707="1/2W",0.5,0)),0)</f>
        <v>0</v>
      </c>
      <c r="CO707" s="285">
        <f>IF(CN$3=$K707,IF($C707="L",1,IF($C707="1/2L",0.5,0)),0)</f>
        <v>0</v>
      </c>
      <c r="CP707" s="285">
        <f>IF(CP$3=$K707,IF($C707="W",1,IF($C707="1/2W",0.5,0)),0)</f>
        <v>0</v>
      </c>
      <c r="CQ707" s="285">
        <f>IF(CP$3=$K707,IF($C707="L",1,IF($C707="1/2L",0.5,0)),0)</f>
        <v>0</v>
      </c>
      <c r="CR707" s="285">
        <f>IF(CR$3=$K707,IF($C707="W",1,IF($C707="1/2W",0.5,0)),0)</f>
        <v>0</v>
      </c>
      <c r="CS707" s="285">
        <f>IF(CR$3=$K707,IF($C707="L",1,IF($C707="1/2L",0.5,0)),0)</f>
        <v>0</v>
      </c>
      <c r="CT707" s="145">
        <f>IF(CT$3=$K707,IF($C707="W",1,IF($C707="1/2W",0.5,0)),0)</f>
        <v>0</v>
      </c>
      <c r="CU707" s="146">
        <f>IF(CT$3=$K707,IF($C707="L",1,IF($C707="1/2L",0.5,0)),0)</f>
        <v>0</v>
      </c>
      <c r="CV707" s="146">
        <f>IF(CV$3=$K707,IF($C707="W",1,IF($C707="1/2W",0.5,0)),0)</f>
        <v>0</v>
      </c>
      <c r="CW707" s="146">
        <f>IF(CV$3=$K707,IF($C707="L",1,IF($C707="1/2L",0.5,0)),0)</f>
        <v>0</v>
      </c>
      <c r="CX707" s="146">
        <f>IF(CX$3=$K707,IF($C707="W",1,IF($C707="1/2W",0.5,0)),0)</f>
        <v>0</v>
      </c>
      <c r="CY707" s="146">
        <f>IF(CX$3=$K707,IF($C707="L",1,IF($C707="1/2L",0.5,0)),0)</f>
        <v>0</v>
      </c>
      <c r="CZ707" s="146">
        <f>IF(CZ$3=$K707,IF($C707="W",1,IF($C707="1/2W",0.5,0)),0)</f>
        <v>0</v>
      </c>
      <c r="DA707" s="146">
        <f>IF(CZ$3=$K707,IF($C707="L",1,IF($C707="1/2L",0.5,0)),0)</f>
        <v>0</v>
      </c>
      <c r="DB707" s="146">
        <f>IF(DB$3=$K707,IF($C707="W",1,IF($C707="1/2W",0.5,0)),0)</f>
        <v>0</v>
      </c>
      <c r="DC707" s="146">
        <f>IF(DB$3=$K707,IF($C707="L",1,IF($C707="1/2L",0.5,0)),0)</f>
        <v>0</v>
      </c>
      <c r="DD707" s="146">
        <f>IF(DD$3=$K707,IF($C707="W",1,IF($C707="1/2W",0.5,0)),0)</f>
        <v>0</v>
      </c>
      <c r="DE707" s="147">
        <f>IF(DD$3=$K707,IF($C707="L",1,IF($C707="1/2L",0.5,0)),0)</f>
        <v>0</v>
      </c>
      <c r="DF707" s="143">
        <f>IF(AND(L707&lt;DF$3,$C707="W"),1+DF706,DF706)</f>
        <v>19</v>
      </c>
      <c r="DG707" s="133">
        <f>IF(DF707&gt;DF706,L707+DG706,DG706)</f>
        <v>25.354</v>
      </c>
      <c r="DH707" s="146">
        <f>IF(AND(L707&gt;DH$3,$C707="W"),1+DH706,0+DH706)</f>
        <v>18</v>
      </c>
      <c r="DI707" s="133">
        <f>IF(DH707&gt;DH706,L707+DI706,DI706)</f>
        <v>93.66</v>
      </c>
      <c r="DJ707" t="s" s="304">
        <f>IF($D706="","",$D706)</f>
        <v>481</v>
      </c>
      <c r="DK707" s="286"/>
    </row>
    <row r="708" ht="14.55" customHeight="1">
      <c r="A708" s="149"/>
      <c r="B708" s="150"/>
      <c r="C708" t="s" s="151">
        <v>58</v>
      </c>
      <c r="D708" s="152"/>
      <c r="E708" s="153"/>
      <c r="F708" s="155"/>
      <c r="G708" s="252"/>
      <c r="H708" s="156"/>
      <c r="I708" s="287"/>
      <c r="J708" s="288"/>
      <c r="K708" s="156"/>
      <c r="L708" s="289"/>
      <c r="M708" s="290"/>
      <c r="N708" s="161"/>
      <c r="O708" t="s" s="162">
        <f>IF(OR(AE706="",AE707=""),"",IF(L708&gt;0,ROUND(IF(M708&gt;0,M708,IF(M706&gt;0,ROUND((M706*AE708)/AE706,IF(N706=0,2,IF(N706=0.1,1,0))),IF(M707&gt;0,ROUND((M707*AE708)/AE707,IF(N706=0,2,IF(N706=0.1,1,0))),IF(M708&gt;0,M708,0)))),2),""))</f>
      </c>
      <c r="P708" t="s" s="163">
        <f>IF(I707="Lay",O707*(L707/(L707-1))-O707,IF(I706="Lay",O706*(L706/(L706-1))-O706,IF(OR(L708="",O708=""),"",IF($C708="1/2W",O708/2+O708/2*L708,IF($C708="1/2L",O708/2,(O708*L708-O708)*(1-_xlfn.XLOOKUP(K708,'Janeiro 2023 - Valor Real'!A3:A15,'Janeiro 2023 - Valor Real'!C3:C15,0))+O708)))))</f>
      </c>
      <c r="Q708" t="s" s="154">
        <f>IF(K708="","",IF(_xlfn.XLOOKUP(K708,K$121:K487,DJ$121:DJ487,0,,-1)=DJ708,_xlfn.XLOOKUP(K708,K$121:K487,Q$121:Q487,1,,-1)+1,1))</f>
      </c>
      <c r="R708" t="s" s="163">
        <f>IF(K708="","",_xlfn.XLOOKUP(K708,K$121:K487,R$121:R487,0,,-1)+IF($C708=" ",1,0))</f>
      </c>
      <c r="S708" s="166"/>
      <c r="T708" s="155"/>
      <c r="U708" s="155"/>
      <c r="V708" s="166"/>
      <c r="W708" s="155"/>
      <c r="X708" s="167"/>
      <c r="Y708" s="128"/>
      <c r="Z708" s="129"/>
      <c r="AA708" s="129"/>
      <c r="AB708" s="129"/>
      <c r="AC708" s="129"/>
      <c r="AD708" s="168"/>
      <c r="AE708" t="s" s="169">
        <f>IF(L708="","",(SUM(((L706-1)*(1-_xlfn.XLOOKUP(K706,'Janeiro 2023 - Valor Real'!A3:A15,'Janeiro 2023 - Valor Real'!C3:C15,0))+1),((L707-1)*(1-_xlfn.XLOOKUP(K707,'Janeiro 2023 - Valor Real'!A3:A15,'Janeiro 2023 - Valor Real'!C3:C15,0))+1),((L708-1)*(1-_xlfn.XLOOKUP(K708,'Janeiro 2023 - Valor Real'!A3:A15,'Janeiro 2023 - Valor Real'!C3:C15,0))+1))/((L708-1)*(1-_xlfn.XLOOKUP(K708,'Janeiro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Real'!C3:C15,0))+1))/((L706-1)*(1-_xlfn.XLOOKUP(K706,'Janeiro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Real'!C3:C15,0))+1))/((L707-1)*(1-_xlfn.XLOOKUP(K707,'Janeiro 2023 - Valor Real'!A3:A15,'Janeiro 2023 - Valor Real'!C3:C15,0))+1)+SUM(((L706-1)*(1-_xlfn.XLOOKUP(K706,'Janeiro 2023 - Valor Real'!A3:A15,'Janeiro 2023 - Valor Real'!C3:C15,0))+1),((L707-1)*(1-_xlfn.XLOOKUP(K707,'Janeiro 2023 - Valor Real'!A3:A15,'Janeiro 2023 - Valor Real'!C3:C15,0))+1),((L708-1)*(1-_xlfn.XLOOKUP(K708,'Janeiro 2023 - Valor Real'!A3:A15,'Janeiro 2023 - Valor Real'!C3:C15,0))+1))/((L708-1)*(1-_xlfn.XLOOKUP(K708,'Janeiro 2023 - Valor Real'!A3:A15,'Janeiro 2023 - Valor Real'!C3:C15,0))+1)))</f>
      </c>
      <c r="AF708" s="132">
        <f>IF($K708=AF$3,ROUND(IF(OR($C708="W",$C708="1/2W",$C708="1/2L"),$P708-$O708,IF($C708="X",0,-$O708)),2),0)</f>
        <v>0</v>
      </c>
      <c r="AG708" s="133">
        <f>IF($K708=AG$3,ROUND(IF(OR($C708="W",$C708="1/2W",$C708="1/2L"),$P708-$O708,IF($C708="X",0,-$O708)),2),0)</f>
        <v>0</v>
      </c>
      <c r="AH708" s="133">
        <f>IF($K708=AH$3,ROUND(IF(OR($C708="W",$C708="1/2W",$C708="1/2L"),$P708-$O708,IF($C708="X",0,-$O708)),2),0)</f>
        <v>0</v>
      </c>
      <c r="AI708" s="133">
        <f>IF($K708=AI$3,ROUND(IF(OR($C708="W",$C708="1/2W",$C708="1/2L"),$P708-$O708,IF($C708="X",0,-$O708)),2),0)</f>
        <v>0</v>
      </c>
      <c r="AJ708" s="133">
        <f>IF($K708=AJ$3,ROUND(IF(OR($C708="W",$C708="1/2W",$C708="1/2L"),$P708-$O708,IF($C708="X",0,-$O708)),2),0)</f>
        <v>0</v>
      </c>
      <c r="AK708" s="133">
        <f>IF($K708=AK$3,ROUND(IF(OR($C708="W",$C708="1/2W",$C708="1/2L"),$P708-$O708,IF($C708="X",0,-$O708)),2),0)</f>
        <v>0</v>
      </c>
      <c r="AL708" s="133">
        <f>IF($K708=AL$3,ROUND(IF(OR($C708="W",$C708="1/2W",$C708="1/2L"),$P708-$O708,IF($C708="X",0,-$O708)),2),0)</f>
        <v>0</v>
      </c>
      <c r="AM708" s="133">
        <f>IF($K708=AM$3,ROUND(IF(OR($C708="W",$C708="1/2W",$C708="1/2L"),$P708-$O708,IF($C708="X",0,-$O708)),2),0)</f>
        <v>0</v>
      </c>
      <c r="AN708" s="133">
        <f>IF($K708=AN$3,ROUND(IF(OR($C708="W",$C708="1/2W",$C708="1/2L"),$P708-$O708,IF($C708="X",0,-$O708)),2),0)</f>
        <v>0</v>
      </c>
      <c r="AO708" s="133">
        <f>IF($K708=AO$3,ROUND(IF(OR($C708="W",$C708="1/2W",$C708="1/2L"),$P708-$O708,IF($C708="X",0,-$O708)),2),0)</f>
        <v>0</v>
      </c>
      <c r="AP708" s="133">
        <f>IF($K708=AP$3,ROUND(IF(OR($C708="W",$C708="1/2W",$C708="1/2L"),$P708-$O708,IF($C708="X",0,-$O708)),2),0)</f>
        <v>0</v>
      </c>
      <c r="AQ708" s="133">
        <f>IF($K708=AQ$3,ROUND(IF(OR($C708="W",$C708="1/2W",$C708="1/2L"),$P708-$O708,IF($C708="X",0,-$O708)),2),0)</f>
        <v>0</v>
      </c>
      <c r="AR708" s="134">
        <f>IF($K708=AR$3,ROUND(IF(OR($C708="W",$C708="1/2W",$C708="1/2L"),$P708-$O708,IF($C708="X",0,-$O708)),2),0)</f>
        <v>0</v>
      </c>
      <c r="AS708" s="132">
        <f>IF(AND($B706=" ",$K708=AS$3),$O708,0)</f>
        <v>0</v>
      </c>
      <c r="AT708" s="133">
        <f>IF(AND($B706=" ",K708=AT$3),$O708,0)</f>
        <v>0</v>
      </c>
      <c r="AU708" s="133">
        <f>IF(AND($B706=" ",$K708=AU$3),$O708,0)</f>
        <v>0</v>
      </c>
      <c r="AV708" s="133">
        <f>IF(AND($B706=" ",$K708=AV$3),$O708,0)</f>
        <v>0</v>
      </c>
      <c r="AW708" s="133">
        <f>IF(AND($B706=" ",$K708=AW$3),$O708,0)</f>
        <v>0</v>
      </c>
      <c r="AX708" s="133">
        <f>IF(AND($B706=" ",$K708=AX$3),$O708,0)</f>
        <v>0</v>
      </c>
      <c r="AY708" s="135">
        <f>IF(AND($B706=" ",$K708=AY$3),$O708,0)</f>
        <v>0</v>
      </c>
      <c r="AZ708" s="136">
        <f>IF(AND($B706=" ",$K708=AZ$3),$O708,0)</f>
        <v>0</v>
      </c>
      <c r="BA708" s="136">
        <f>IF(AND($B706=" ",$K708=BA$3),$O708,0)</f>
        <v>0</v>
      </c>
      <c r="BB708" s="136">
        <f>IF(AND($B706=" ",$K708=BB$3),$O708,0)</f>
        <v>0</v>
      </c>
      <c r="BC708" s="137">
        <f>IF(AND($B706=" ",$K708=BC$3),$O708,0)</f>
        <v>0</v>
      </c>
      <c r="BD708" s="133">
        <f>IF(AND($B706=" ",$K708=BD$3),$O708,0)</f>
        <v>0</v>
      </c>
      <c r="BE708" s="134">
        <f>IF(AND($B706=" ",$K708=BE$3),$O708,0)</f>
        <v>0</v>
      </c>
      <c r="BF708" s="132">
        <f>IF($K708=BF$3,IF($C708="X",0,$O708),0)</f>
        <v>0</v>
      </c>
      <c r="BG708" s="281">
        <f>IF($K708=BG$3,IF($C708="X",0,$O708),0)</f>
        <v>0</v>
      </c>
      <c r="BH708" s="133">
        <f>IF($K708=BH$3,IF($C708="X",0,$O708),0)</f>
        <v>0</v>
      </c>
      <c r="BI708" s="133">
        <f>IF($K708=BI$3,IF($C708="X",0,$O708),0)</f>
        <v>0</v>
      </c>
      <c r="BJ708" s="133">
        <f>IF($K708=BJ$3,IF($C708="X",0,$O708),0)</f>
        <v>0</v>
      </c>
      <c r="BK708" s="133">
        <f>IF($K708=BK$3,IF($C708="X",0,$O708),0)</f>
        <v>0</v>
      </c>
      <c r="BL708" s="133">
        <f>IF($K708=BL$3,IF($C708="X",0,$O708),0)</f>
        <v>0</v>
      </c>
      <c r="BM708" s="135">
        <f>IF($K708=BM$3,IF($C708="X",0,$O708),0)</f>
        <v>0</v>
      </c>
      <c r="BN708" s="136">
        <f>IF($K708=BN$3,IF($C708="X",0,$O708),0)</f>
        <v>0</v>
      </c>
      <c r="BO708" s="136">
        <f>IF($K708=BO$3,IF($C708="X",0,$O708),0)</f>
        <v>0</v>
      </c>
      <c r="BP708" s="136">
        <f>IF($K708=BP$3,IF($C708="X",0,$O708),0)</f>
        <v>0</v>
      </c>
      <c r="BQ708" s="137">
        <f>IF($K708=BQ$3,IF($C708="X",0,$O708),0)</f>
        <v>0</v>
      </c>
      <c r="BR708" s="134">
        <f>IF($K708=BR$3,IF($C708="X",0,$O708),0)</f>
        <v>0</v>
      </c>
      <c r="BS708" s="282"/>
      <c r="BT708" s="283"/>
      <c r="BU708" s="140"/>
      <c r="BV708" s="283"/>
      <c r="BW708" s="140"/>
      <c r="BX708" s="140"/>
      <c r="BY708" s="140"/>
      <c r="BZ708" s="283"/>
      <c r="CA708" s="140"/>
      <c r="CB708" s="140"/>
      <c r="CC708" s="140"/>
      <c r="CD708" s="141"/>
      <c r="CE708" s="142"/>
      <c r="CF708" s="284">
        <f>IF(CF$3=$K708,IF($C708="W",1,IF($C708="1/2W",0.5,0)),0)</f>
        <v>0</v>
      </c>
      <c r="CG708" s="285">
        <f>IF(CF$3=$K708,IF($C708="L",1,IF($C708="1/2L",0.5,0)),0)</f>
        <v>0</v>
      </c>
      <c r="CH708" s="285">
        <f>IF(CH$3=$K708,IF($C708="W",1,IF($C708="1/2W",0.5,0)),0)</f>
        <v>0</v>
      </c>
      <c r="CI708" s="285">
        <f>IF(CH$3=$K708,IF($C708="L",1,IF($C708="1/2L",0.5,0)),0)</f>
        <v>0</v>
      </c>
      <c r="CJ708" s="285">
        <f>IF(CJ$3=$K708,IF($C708="W",1,IF($C708="1/2W",0.5,0)),0)</f>
        <v>0</v>
      </c>
      <c r="CK708" s="285">
        <f>IF(CJ$3=$K708,IF($C708="L",1,IF($C708="1/2L",0.5,0)),0)</f>
        <v>0</v>
      </c>
      <c r="CL708" s="285">
        <f>IF(CL$3=$K708,IF($C708="W",1,IF($C708="1/2W",0.5,0)),0)</f>
        <v>0</v>
      </c>
      <c r="CM708" s="285">
        <f>IF(CL$3=$K708,IF($C708="L",1,IF($C708="1/2L",0.5,0)),0)</f>
        <v>0</v>
      </c>
      <c r="CN708" s="285">
        <f>IF(CN$3=$K708,IF($C708="W",1,IF($C708="1/2W",0.5,0)),0)</f>
        <v>0</v>
      </c>
      <c r="CO708" s="285">
        <f>IF(CN$3=$K708,IF($C708="L",1,IF($C708="1/2L",0.5,0)),0)</f>
        <v>0</v>
      </c>
      <c r="CP708" s="285">
        <f>IF(CP$3=$K708,IF($C708="W",1,IF($C708="1/2W",0.5,0)),0)</f>
        <v>0</v>
      </c>
      <c r="CQ708" s="285">
        <f>IF(CP$3=$K708,IF($C708="L",1,IF($C708="1/2L",0.5,0)),0)</f>
        <v>0</v>
      </c>
      <c r="CR708" s="285">
        <f>IF(CR$3=$K708,IF($C708="W",1,IF($C708="1/2W",0.5,0)),0)</f>
        <v>0</v>
      </c>
      <c r="CS708" s="285">
        <f>IF(CR$3=$K708,IF($C708="L",1,IF($C708="1/2L",0.5,0)),0)</f>
        <v>0</v>
      </c>
      <c r="CT708" s="145">
        <f>IF(CT$3=$K708,IF($C708="W",1,IF($C708="1/2W",0.5,0)),0)</f>
        <v>0</v>
      </c>
      <c r="CU708" s="146">
        <f>IF(CT$3=$K708,IF($C708="L",1,IF($C708="1/2L",0.5,0)),0)</f>
        <v>0</v>
      </c>
      <c r="CV708" s="146">
        <f>IF(CV$3=$K708,IF($C708="W",1,IF($C708="1/2W",0.5,0)),0)</f>
        <v>0</v>
      </c>
      <c r="CW708" s="146">
        <f>IF(CV$3=$K708,IF($C708="L",1,IF($C708="1/2L",0.5,0)),0)</f>
        <v>0</v>
      </c>
      <c r="CX708" s="146">
        <f>IF(CX$3=$K708,IF($C708="W",1,IF($C708="1/2W",0.5,0)),0)</f>
        <v>0</v>
      </c>
      <c r="CY708" s="146">
        <f>IF(CX$3=$K708,IF($C708="L",1,IF($C708="1/2L",0.5,0)),0)</f>
        <v>0</v>
      </c>
      <c r="CZ708" s="146">
        <f>IF(CZ$3=$K708,IF($C708="W",1,IF($C708="1/2W",0.5,0)),0)</f>
        <v>0</v>
      </c>
      <c r="DA708" s="146">
        <f>IF(CZ$3=$K708,IF($C708="L",1,IF($C708="1/2L",0.5,0)),0)</f>
        <v>0</v>
      </c>
      <c r="DB708" s="146">
        <f>IF(DB$3=$K708,IF($C708="W",1,IF($C708="1/2W",0.5,0)),0)</f>
        <v>0</v>
      </c>
      <c r="DC708" s="146">
        <f>IF(DB$3=$K708,IF($C708="L",1,IF($C708="1/2L",0.5,0)),0)</f>
        <v>0</v>
      </c>
      <c r="DD708" s="146">
        <f>IF(DD$3=$K708,IF($C708="W",1,IF($C708="1/2W",0.5,0)),0)</f>
        <v>0</v>
      </c>
      <c r="DE708" s="147">
        <f>IF(DD$3=$K708,IF($C708="L",1,IF($C708="1/2L",0.5,0)),0)</f>
        <v>0</v>
      </c>
      <c r="DF708" s="143">
        <f>IF(AND(L708&lt;DF$3,$C708="W"),1+DF707,DF707)</f>
        <v>19</v>
      </c>
      <c r="DG708" s="133">
        <f>IF(DF708&gt;DF707,L708+DG707,DG707)</f>
        <v>25.354</v>
      </c>
      <c r="DH708" s="146">
        <f>IF(AND(L708&gt;DH$3,$C708="W"),1+DH707,0+DH707)</f>
        <v>18</v>
      </c>
      <c r="DI708" s="133">
        <f>IF(DH708&gt;DH707,L708+DI707,DI707)</f>
        <v>93.66</v>
      </c>
      <c r="DJ708" t="s" s="304">
        <f>IF($D706="","",$D706)</f>
        <v>481</v>
      </c>
      <c r="DK708" s="286"/>
    </row>
    <row r="709" ht="14.55" customHeight="1">
      <c r="A709" s="171">
        <f>$A706+1</f>
        <v>236</v>
      </c>
      <c r="B709" t="s" s="172">
        <f>IF(AND(_xlfn.XLOOKUP(H709,H$122:H482,G$122:G482,0)=G709,_xlfn.XLOOKUP("TempoBet",K709:K711,L709:L711,0)&gt;0),"X",IF(OR(C709="W",C710="W",C711="W",C709="1/2W",C710="1/2W",C711="1/2W",C709="1/2L",C710="1/2L",C711="1/2L"),"OK",IF(OR(C709="L",C710="L",C711="L"),"LOSS",IF(OR(C709="X",C710="X",C711="X"),"Anulado"," "))))</f>
        <v>50</v>
      </c>
      <c r="C709" t="s" s="173">
        <v>56</v>
      </c>
      <c r="D709" t="s" s="305">
        <f>IF(G709="","",$D706)</f>
        <v>481</v>
      </c>
      <c r="E709" t="s" s="175">
        <f>IF(G709=""," ","– "&amp;COUNTIF(D$4:D711,$D709))</f>
        <v>135</v>
      </c>
      <c r="F709" t="s" s="176">
        <f>IF(G709="","",IF(OR(AND($C709&lt;&gt;" ",$C710=" "),AND($C710&lt;&gt;" ",$C709=" "),AND(L711&gt;0,OR(AND($C711&lt;&gt;" ",OR($C709=" ",$C710=" ")),AND($C711=" ",OR($C709&lt;&gt;" ",$C710&lt;&gt;" "))))),IF(SUM(F$4:F708)=0,1,LARGE(F$4:F708,1)+1),IF(MONTH(G709)=MONTH(TODAY()),IF(AND(DAY(G709)&lt;DAY(TODAY()),$B709=" "),IF(SUM(F$4:F708)=0,1,LARGE(F$4:F708,1)+1),IF($B709=" ",IF(AND(DAY(G709)=DAY(TODAY()),HOUR(G709)&lt;=HOUR(NOW())+1),IF(AND(HOUR(G709)+2&lt;=HOUR(NOW()),DAY(G709)&lt;=DAY(TODAY()),MINUTE(G709)&lt;=MINUTE(NOW())),IF(SUM(F$4:F708)=0,1,LARGE(F$4:F708,1)+1),IF(OR(MINUTE(G709)&lt;=MINUTE(NOW()),HOUR(G709)&lt;=HOUR(NOW())),"!!!","")),""),"")),"")))</f>
      </c>
      <c r="G709" s="177">
        <v>44957.645833333336</v>
      </c>
      <c r="H709" t="s" s="178">
        <v>499</v>
      </c>
      <c r="I709" t="s" s="179">
        <v>172</v>
      </c>
      <c r="J709" s="180"/>
      <c r="K709" t="s" s="181">
        <v>48</v>
      </c>
      <c r="L709" s="182">
        <v>1.27</v>
      </c>
      <c r="M709" s="183"/>
      <c r="N709" s="184">
        <v>0.1</v>
      </c>
      <c r="O709" s="185">
        <f>IF(OR(AE709="",AE710=""),"",ROUND(IF(L711&gt;0,IF(M709&gt;0,M709,IF(M710&gt;0,ROUND((M710*AE709)/AE710,IF(N709=0,2,IF(N709=0.1,1,0))),ROUND((M711*AE709)/AE711,IF(N709=0,2,IF(N709=0.1,1,0))))),IF(M709&gt;0,M709,ROUND((M710*AE709)/AE710,IF(N709=0,2,IF(N709=0.1,1,0))))),2))</f>
        <v>16.1</v>
      </c>
      <c r="P709" s="186">
        <f>IF(OR(L709="",O709=""),"",IF($C709="1/2W",O709/2+O709/2*L709,IF($C709="1/2L",O709/2,IF(I709="Lay",(O709*(L709/(L709-1))-O709)*(1-_xlfn.XLOOKUP(K709,'Janeiro 2023 - Valor Real'!A3:A15,'Janeiro 2023 - Valor Real'!C3:C15,0))+O709,(O709*L709-O709)*(1-_xlfn.XLOOKUP(K709,'Janeiro 2023 - Valor Real'!A3:A15,'Janeiro 2023 - Valor Real'!C3:C15,0))+O709))))</f>
        <v>20.447</v>
      </c>
      <c r="Q709" s="187">
        <f>IF(K709="","",IF(_xlfn.XLOOKUP(K709,K$122:K482,DJ$122:DJ482,0,,-1)=DJ709,_xlfn.XLOOKUP(K709,K$122:K482,Q$122:Q482,1,,-1)+1,1))</f>
        <v>1</v>
      </c>
      <c r="R709" s="188">
        <f>IF(K709="","",_xlfn.XLOOKUP(K709,K$122:K482,R$122:R482,0,,-1)+IF($C709=" ",1,0))</f>
        <v>0</v>
      </c>
      <c r="S709" s="189">
        <f>IF($B709="Anulado",0,ROUND(IF(OR($B709="LOSS",$B709="OK"),IF(OR($C709="W",$C709="1/2W",$C709="1/2L"),P709-O709,IF($C709="L",-O709,0))+IF(OR($C710="W",$C710="1/2W",$C710="1/2L"),P710-O710,IF($C710="L",-O710,0))+IF(OR($C711="W",$C711="1/2W",$C711="1/2L"),P711-O711,IF($C711="L",-O711,0)),IF(AND(OR($C709="W",$C709="1/2W",$C709="1/2L"),C710="W"),P709+P710-SUM(O709:O711)+_xlfn.XLOOKUP("X",C709:C711,O709:O711,0),IF(AND(C709=TRUE,C711="W"),P709+P711-SUM(O709:O711),IF(AND(C710="W",C711="W"),P710+P711-SUM(O709:O711)+_xlfn.XLOOKUP("X",C709:C711,O709:O711,0),IF(L711&gt;0,IF(OR($C709="W",$C709="1/2W",$C709="1/2L"),P709-SUM(O709:O711)+_xlfn.XLOOKUP("X",C709:C711,O709:O711,0),IF(OR($C709="W",$C709="1/2W",$C709="1/2L"),P710-SUM(O709:O711)+_xlfn.XLOOKUP("X",C709:C711,O709:O711,0),IF(OR($C709="W",$C709="1/2W",$C709="1/2L"),P711-SUM(O709:O711)+_xlfn.XLOOKUP("X",C709:C711,O709:O711,0),IF(SUM(P709:P711)/3-SUM(O709:O711)+_xlfn.XLOOKUP("X",C709:C711,O709:O711,0)&gt;0,SUM(P709:P711)/3-SUM(O709:O711)+_xlfn.XLOOKUP("X",C709:C711,O709:O711,0),LARGE(P709:P711,1)-SUM(O709:O711))))),IF(OR($C709="W",$C709="1/2W",$C709="1/2L"),P709-SUM(O709:O710)+_xlfn.XLOOKUP("X",C709:C711,O709:O711,0),IF(OR($C709="W",$C709="1/2W",$C709="1/2L"),P710-SUM(O709:O710)+_xlfn.XLOOKUP("X",C709:C711,O709:O711,0),SUM(P709:P710)/2-SUM(O709:O710)+_xlfn.XLOOKUP("X",C709:C711,O709:O711,0)))))))),2))</f>
        <v>1.43</v>
      </c>
      <c r="T709" s="190">
        <f>IF(S709=0,0,S709/SUM(O709:O711))</f>
        <v>0.07518401682439541</v>
      </c>
      <c r="U709" s="191">
        <f>IF($D709=$D706,IF(OR($B709="LOSS",$B709="OK",$B709="Anulada"),S709,0)+U706,IF(OR($B709="LOSS",$B709="OK",$B709="Anulada"),S709,0))</f>
        <v>17.6</v>
      </c>
      <c r="V709" s="191">
        <f>IF($D709="",0,IF($D709=$D706,IF($B709=" ",IF(I711="",IF(OR(AND(I709="DNB1",I710="DNB2"),AND(OR(I709="DNB1",I709="DNB2"),J710=0),AND(OR(I710="DNB1",I710="DNB2"),J709=0),AND(I709="DNB2",I710="DNB1"),AND(IF(J709=0,(J709+1)/ROUND(J709+1,0),J709/ROUND(J709,0))=1,IF(J710=0,(J710+1)/ROUND(IF(J710="",0,J710)+1,0),IF(J710="",0,J710)/ROUND(IF(J710="",1,J710),0))=1,OR(J709&lt;&gt;""),J710&lt;&gt;"")),0,IF(S709&lt;0,IF(I711="",SMALL(P709:P710,1)-SUM(O709:O710),0),SMALL(P709:P710,1)-SUM(O709:O710))),IF(S709&lt;0,IF(I711="",SMALL(P709:P711,1)-SUM(O709:O711),0),LARGE(P709:P711,1)-SUM(O709:O711))),S709)+V706,IF(I711="",IF(OR(AND(I709="DNB1",I710="DNB2"),AND(OR(I709="DNB1",I709="DNB2"),J710=0),AND(OR(I710="DNB1",I710="DNB2"),J709=0),AND(I709="DNB2",I710="DNB1"),AND(IF(J709=0,(J709+1)/ROUND(J709+1,0),J709/ROUND(J709,0))=1,IF(J710=0,(IF(J710="",0,J710)+1)/ROUND(IF(J710="",0,J710)+1,0),IF(J710="",0,J710)/ROUND(IF(J710="",0,J710)+1,0))=1,OR(J709&lt;&gt;""),J710&lt;&gt;"")),0,IF(S709&lt;0,IF(I711="",SMALL(P709:P710,1)-SUM(O709:O710),0),SMALL(P709:P711,1)-SUM(O709:O711))),IF(S709&lt;0,IF(I711="",SMALL(P709:P711,1)-SUM(O709:O711),0),LARGE(P709:P711,1)-SUM(O709:O711)))))</f>
        <v>17.5976</v>
      </c>
      <c r="W709" s="191">
        <f>IF($D709=$D706,IF(S709&lt;0,IF(I711="",S709,0),S709)+W706,S709)</f>
        <v>17.6</v>
      </c>
      <c r="X709" t="s" s="192">
        <f>IF(OR(SUM(R709:R711)=0,V709=W709),ROUND(IF(W709=0,0,W709/Y709)*100,2)&amp;"%",ROUND(IF(V709=0,0,V709/Y709)*100,2)&amp;"% a "&amp;ROUND(IF(W709=0,0,W709/Y709)*100,2)&amp;"%")</f>
        <v>500</v>
      </c>
      <c r="Y709" s="193">
        <f>IF($D709=$D706,Y706+SUM(O709:O711),SUM(O709:O711))</f>
        <v>350.1</v>
      </c>
      <c r="Z709" s="191">
        <f>IF($B709=" ",SUM(O709:O711),0)+Z706</f>
        <v>0</v>
      </c>
      <c r="AA709" s="191">
        <f>IF(G709="","",IF($B709="Anulado",LARGE(P709:P711,1)-SUM(O709:O711)+AA706,AA706))</f>
        <v>27.7065076923077</v>
      </c>
      <c r="AB709" s="191">
        <f>IF($D709="","",AB706+S709)</f>
        <v>488.78</v>
      </c>
      <c r="AC709" s="194">
        <f>IF($D709="","",IF($B709=" ",IF(DAY(G709)=DAY(TODAY()),1+AC706,0+AC706),0+AC706))</f>
        <v>0</v>
      </c>
      <c r="AD709" s="195">
        <f>(((L710/(L710-1)-1)*(1-_xlfn.XLOOKUP(K710,'Janeiro 2023 - Valor Real'!A3:A15,'Janeiro 2023 - Valor Real'!C3:C15,0))+1))/(((L709-1)*(1-_xlfn.XLOOKUP(K709,'Janeiro 2023 - Valor Real'!A3:A15,'Janeiro 2023 - Valor Real'!C3:C15,0))+1)+((L710/(L710-1)-1)*(1-_xlfn.XLOOKUP(K710,'Janeiro 2023 - Valor Real'!A3:A15,'Janeiro 2023 - Valor Real'!C3:C15,0))+1))</f>
        <v>0.478796169630643</v>
      </c>
      <c r="AE709" s="196">
        <f>IF(L709="","",IF(L711&gt;0,(SUM(((L709-1)*(1-_xlfn.XLOOKUP(K709,'Janeiro 2023 - Valor Real'!A3:A15,'Janeiro 2023 - Valor Real'!C3:C15,0))+1),((L710-1)*(1-_xlfn.XLOOKUP(K710,'Janeiro 2023 - Valor Real'!A3:A15,'Janeiro 2023 - Valor Real'!C3:C15,0))+1),((L711-1)*(1-_xlfn.XLOOKUP(K711,'Janeiro 2023 - Valor Real'!A3:A15,'Janeiro 2023 - Valor Real'!C3:C15,0))+1))/((L709-1)*(1-_xlfn.XLOOKUP(K709,'Janeiro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Real'!C3:C15,0))+1))/((L709-1)*(1-_xlfn.XLOOKUP(K709,'Janeiro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Real'!C3:C15,0))+1))/((L710-1)*(1-_xlfn.XLOOKUP(K710,'Janeiro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Real'!C3:C15,0))+1))/((L711-1)*(1-_xlfn.XLOOKUP(K711,'Janeiro 2023 - Valor Real'!A3:A15,'Janeiro 2023 - Valor Real'!C3:C15,0))+1)),IF(I709="Lay",IF(I710="Lay",((L710/(L710-1)-1)*(1-_xlfn.XLOOKUP(K710,'Janeiro 2023 - Valor Real'!A3:A15,'Janeiro 2023 - Valor Real'!C3:C15,0))+1)/(((L710/(L710-1)-1)*(1-_xlfn.XLOOKUP(K710,'Janeiro 2023 - Valor Real'!A3:A15,'Janeiro 2023 - Valor Real'!C3:C15,0))+1)+((L709/(L709-1)-1)*(1-_xlfn.XLOOKUP(K709,'Janeiro 2023 - Valor Real'!A3:A15,'Janeiro 2023 - Valor Real'!C3:C15,0))+1)),((L710-1)*(1-_xlfn.XLOOKUP(K710,'Janeiro 2023 - Valor Real'!A3:A15,'Janeiro 2023 - Valor Real'!C3:C15,0))+1)/(((L710-1)*(1-_xlfn.XLOOKUP(K710,'Janeiro 2023 - Valor Real'!A3:A15,'Janeiro 2023 - Valor Real'!C3:C15,0))+1)+((L709/(L709-1)-1)*(1-_xlfn.XLOOKUP(K709,'Janeiro 2023 - Valor Real'!A3:A15,'Janeiro 2023 - Valor Real'!C3:C15,0))+1))),IF(I710="Lay",(((L710/(L710-1)-1)*(1-_xlfn.XLOOKUP(K710,'Janeiro 2023 - Valor Real'!A3:A15,'Janeiro 2023 - Valor Real'!C3:C15,0))+1))/(((L709-1)*(1-_xlfn.XLOOKUP(K709,'Janeiro 2023 - Valor Real'!A3:A15,'Janeiro 2023 - Valor Real'!C3:C15,0))+1)+((L710/(L710-1)-1)*(1-_xlfn.XLOOKUP(K710,'Janeiro 2023 - Valor Real'!A3:A15,'Janeiro 2023 - Valor Real'!C3:C15,0))+1)),((L710-1)*(1-_xlfn.XLOOKUP(K710,'Janeiro 2023 - Valor Real'!A3:A15,'Janeiro 2023 - Valor Real'!C3:C15,0))+1)/(((L710-1)*(1-_xlfn.XLOOKUP(K710,'Janeiro 2023 - Valor Real'!A3:A15,'Janeiro 2023 - Valor Real'!C3:C15,0))+1)+((L709-1)*(1-_xlfn.XLOOKUP(K709,'Janeiro 2023 - Valor Real'!A3:A15,'Janeiro 2023 - Valor Real'!C3:C15,0))+1))))))</f>
        <v>0.846432889963724</v>
      </c>
      <c r="AF709" s="197">
        <f>IF($K709=AF$3,ROUND(IF(OR($C709="W",$C709="1/2W",$C709="1/2L"),$P709-$O709,IF($C709="X",0,-$O709)),2),0)</f>
        <v>0</v>
      </c>
      <c r="AG709" s="198">
        <f>IF($K709=AG$3,ROUND(IF(OR($C709="W",$C709="1/2W",$C709="1/2L"),$P709-$O709,IF($C709="X",0,-$O709)),2),0)</f>
        <v>0</v>
      </c>
      <c r="AH709" s="198">
        <f>IF($K709=AH$3,ROUND(IF(OR($C709="W",$C709="1/2W",$C709="1/2L"),$P709-$O709,IF($C709="X",0,-$O709)),2),0)</f>
        <v>0</v>
      </c>
      <c r="AI709" s="198">
        <f>IF($K709=AI$3,ROUND(IF(OR($C709="W",$C709="1/2W",$C709="1/2L"),$P709-$O709,IF($C709="X",0,-$O709)),2),0)</f>
        <v>0</v>
      </c>
      <c r="AJ709" s="198">
        <f>IF($K709=AJ$3,ROUND(IF(OR($C709="W",$C709="1/2W",$C709="1/2L"),$P709-$O709,IF($C709="X",0,-$O709)),2),0)</f>
        <v>0</v>
      </c>
      <c r="AK709" s="198">
        <f>IF($K709=AK$3,ROUND(IF(OR($C709="W",$C709="1/2W",$C709="1/2L"),$P709-$O709,IF($C709="X",0,-$O709)),2),0)</f>
        <v>0</v>
      </c>
      <c r="AL709" s="198">
        <f>IF($K709=AL$3,ROUND(IF(OR($C709="W",$C709="1/2W",$C709="1/2L"),$P709-$O709,IF($C709="X",0,-$O709)),2),0)</f>
        <v>0</v>
      </c>
      <c r="AM709" s="198">
        <f>IF($K709=AM$3,ROUND(IF(OR($C709="W",$C709="1/2W",$C709="1/2L"),$P709-$O709,IF($C709="X",0,-$O709)),2),0)</f>
        <v>0</v>
      </c>
      <c r="AN709" s="198">
        <f>IF($K709=AN$3,ROUND(IF(OR($C709="W",$C709="1/2W",$C709="1/2L"),$P709-$O709,IF($C709="X",0,-$O709)),2),0)</f>
        <v>0</v>
      </c>
      <c r="AO709" s="198">
        <f>IF($K709=AO$3,ROUND(IF(OR($C709="W",$C709="1/2W",$C709="1/2L"),$P709-$O709,IF($C709="X",0,-$O709)),2),0)</f>
        <v>0</v>
      </c>
      <c r="AP709" s="198">
        <f>IF($K709=AP$3,ROUND(IF(OR($C709="W",$C709="1/2W",$C709="1/2L"),$P709-$O709,IF($C709="X",0,-$O709)),2),0)</f>
        <v>0</v>
      </c>
      <c r="AQ709" s="198">
        <f>IF($K709=AQ$3,ROUND(IF(OR($C709="W",$C709="1/2W",$C709="1/2L"),$P709-$O709,IF($C709="X",0,-$O709)),2),0)</f>
        <v>4.35</v>
      </c>
      <c r="AR709" s="199">
        <f>IF($K709=AR$3,ROUND(IF(OR($C709="W",$C709="1/2W",$C709="1/2L"),$P709-$O709,IF($C709="X",0,-$O709)),2),0)</f>
        <v>0</v>
      </c>
      <c r="AS709" s="197">
        <f>IF(AND($B709=" ",$K709=AS$3),$O709,0)</f>
        <v>0</v>
      </c>
      <c r="AT709" s="198">
        <f>IF(AND($B709=" ",$K709=AT$3),$O709,0)</f>
        <v>0</v>
      </c>
      <c r="AU709" s="198">
        <f>IF(AND($B709=" ",$K709=AU$3),$O709,0)</f>
        <v>0</v>
      </c>
      <c r="AV709" s="198">
        <f>IF(AND($B709=" ",$K709=AV$3),$O709,0)</f>
        <v>0</v>
      </c>
      <c r="AW709" s="198">
        <f>IF(AND($B709=" ",$K709=AW$3),$O709,0)</f>
        <v>0</v>
      </c>
      <c r="AX709" s="198">
        <f>IF(AND($B709=" ",$K709=AX$3),$O709,0)</f>
        <v>0</v>
      </c>
      <c r="AY709" s="200">
        <f>IF(AND($B709=" ",$K709=AY$3),$O709,0)</f>
        <v>0</v>
      </c>
      <c r="AZ709" s="201">
        <f>IF(AND($B709=" ",$K709=AZ$3),$O709,0)</f>
        <v>0</v>
      </c>
      <c r="BA709" s="201">
        <f>IF(AND($B709=" ",$K709=BA$3),$O709,0)</f>
        <v>0</v>
      </c>
      <c r="BB709" s="201">
        <f>IF(AND($B709=" ",$K709=BB$3),$O709,0)</f>
        <v>0</v>
      </c>
      <c r="BC709" s="202">
        <f>IF(AND($B709=" ",$K709=BC$3),$O709,0)</f>
        <v>0</v>
      </c>
      <c r="BD709" s="198">
        <f>IF(AND($B709=" ",$K709=BD$3),$O709,0)</f>
        <v>0</v>
      </c>
      <c r="BE709" s="199">
        <f>IF(AND($B709=" ",$K709=BE$3),$O709,0)</f>
        <v>0</v>
      </c>
      <c r="BF709" s="203">
        <f>IF($K709=BF$3,IF($C709="X",0,$O709),0)</f>
        <v>0</v>
      </c>
      <c r="BG709" s="198">
        <f>IF($K709=BG$3,IF($C709="X",0,$O709),0)</f>
        <v>0</v>
      </c>
      <c r="BH709" s="198">
        <f>IF($K709=BH$3,IF($C709="X",0,$O709),0)</f>
        <v>0</v>
      </c>
      <c r="BI709" s="198">
        <f>IF($K709=BI$3,IF($C709="X",0,$O709),0)</f>
        <v>0</v>
      </c>
      <c r="BJ709" s="198">
        <f>IF($K709=BJ$3,IF($C709="X",0,$O709),0)</f>
        <v>0</v>
      </c>
      <c r="BK709" s="198">
        <f>IF($K709=BK$3,IF($C709="X",0,$O709),0)</f>
        <v>0</v>
      </c>
      <c r="BL709" s="198">
        <f>IF($K709=BL$3,IF($C709="X",0,$O709),0)</f>
        <v>0</v>
      </c>
      <c r="BM709" s="200">
        <f>IF($K709=BM$3,IF($C709="X",0,$O709),0)</f>
        <v>0</v>
      </c>
      <c r="BN709" s="201">
        <f>IF($K709=BN$3,IF($C709="X",0,$O709),0)</f>
        <v>0</v>
      </c>
      <c r="BO709" s="201">
        <f>IF($K709=BO$3,IF($C709="X",0,$O709),0)</f>
        <v>0</v>
      </c>
      <c r="BP709" s="201">
        <f>IF($K709=BP$3,IF($C709="X",0,$O709),0)</f>
        <v>0</v>
      </c>
      <c r="BQ709" s="202">
        <f>IF($K709=BQ$3,IF($C709="X",0,$O709),0)</f>
        <v>16.1</v>
      </c>
      <c r="BR709" s="199">
        <f>IF($K709=BR$3,IF($C709="X",0,$O709),0)</f>
        <v>0</v>
      </c>
      <c r="BS709" s="204">
        <f>IF($B709="LOSS",IF(AND($K709=BS$3,$C709="L"),-$O709,0)+IF(AND($K710=BS$3,$C710="L"),-$O710,0)+IF(AND($K711=BS$3,$C711="L"),-$O711,0),IF(OR(AND($K709=BS$3,OR($C709="W",$C709="1/2W")),AND($K710=BS$3,OR($C710="W",$C710="1/2W")),AND($K711=BS$3,OR($C711="W",$C711="1/2W"))),$S709,0))</f>
        <v>0</v>
      </c>
      <c r="BT709" s="201">
        <f>IF($B709="LOSS",IF(AND($K709=BT$3,$C709="L"),-$O709,0)+IF(AND($K710=BT$3,$C710="L"),-$O710,0)+IF(AND($K710=BT$3,$C711="L"),-$O711,0),IF(OR(AND($K710=BT$3,OR($C709="W",$C709="1/2W")),AND($K710=BT$3,OR($C710="W",$C710="1/2W")),AND($K710=BT$3,OR($C711="W",$C711="1/2W"))),$S709,0))</f>
        <v>0</v>
      </c>
      <c r="BU709" s="201">
        <f>IF($B709="LOSS",IF(AND($K709=BU$3,$C709="L"),-$O709,0)+IF(AND($K710=BU$3,$C710="L"),-$O710,0)+IF(AND($K710=BU$3,$C711="L"),-$O711,0),IF(OR(AND($K710=BU$3,OR($C709="W",$C709="1/2W")),AND($K710=BU$3,OR($C710="W",$C710="1/2W")),AND($K710=BU$3,OR($C711="W",$C711="1/2W"))),$S709,0))</f>
        <v>0</v>
      </c>
      <c r="BV709" s="201">
        <f>IF($B709="LOSS",IF(AND($K709=BV$3,$C709="L"),-$O709,0)+IF(AND($K710=BV$3,$C710="L"),-$O710,0)+IF(AND($K711=BV$3,$C711="L"),-$O711,0),IF(OR(AND($K709=BV$3,OR($C709="W",$C709="1/2W")),AND($K710=BV$3,OR($C710="W",$C710="1/2W")),AND($K711=BV$3,OR($C711="W",$C711="1/2W"))),$S709,0))</f>
        <v>0</v>
      </c>
      <c r="BW709" s="201">
        <f>IF($B709="LOSS",IF(AND($K709=BW$3,$C709="L"),-$O709,0)+IF(AND($K710=BW$3,$C710="L"),-$O710,0)+IF(AND($K711=BW$3,$C711="L"),-$O711,0),IF(OR(AND($K709=BW$3,OR($C709="W",$C709="1/2W")),AND($K710=BW$3,OR($C710="W",$C710="1/2W")),AND($K711=BW$3,OR($C711="W",$C711="1/2W"))),$S709,0))</f>
        <v>0</v>
      </c>
      <c r="BX709" s="201">
        <f>IF($B709="LOSS",IF(AND($K709=BX$3,$C709="L"),-$O709,0)+IF(AND($K710=BX$3,$C710="L"),-$O710,0)+IF(AND($K711=BX$3,$C711="L"),-$O711,0),IF(OR(AND($K709=BX$3,OR($C709="W",$C709="1/2W")),AND($K710=BX$3,OR($C710="W",$C710="1/2W")),AND($K711=BX$3,OR($C711="W",$C711="1/2W"))),$S709,0))</f>
        <v>0</v>
      </c>
      <c r="BY709" s="201">
        <f>IF($B709="LOSS",IF(AND($K709=BY$3,$C709="L"),-$O709,0)+IF(AND($K710=BY$3,$C710="L"),-$O710,0)+IF(AND($K711=BY$3,$C711="L"),-$O711,0),IF(OR(AND($K709=BY$3,OR($C709="W",$C709="1/2W")),AND($K710=BY$3,OR($C710="W",$C710="1/2W")),AND($K711=BY$3,OR($C711="W",$C711="1/2W"))),$S709,0))</f>
        <v>0</v>
      </c>
      <c r="BZ709" s="205">
        <f>IF($B709="LOSS",IF(AND($K709=BZ$3,$C709="L"),-$O709,0)+IF(AND($K710=BZ$3,$C710="L"),-$O710,0)+IF(AND($K711=BZ$3,$C711="L"),-$O711,0),IF(OR(AND($K709=BZ$3,OR($C709="W",$C709="1/2W")),AND($K710=BZ$3,OR($C710="W",$C710="1/2W")),AND($K711=BZ$3,OR($C711="W",$C711="1/2W"))),$S709,0))</f>
        <v>0</v>
      </c>
      <c r="CA709" s="205">
        <f>IF($B709="LOSS",IF(AND($K709=CA$3,$C709="L"),-$O709,0)+IF(AND($K710=CA$3,$C710="L"),-$O710,0)+IF(AND($K711=CA$3,$C711="L"),-$O711,0),IF(OR(AND($K709=CA$3,OR($C709="W",$C709="1/2W")),AND($K710=CA$3,OR($C710="W",$C710="1/2W")),AND($K711=CA$3,OR($C711="W",$C711="1/2W"))),$S709,0))</f>
        <v>0</v>
      </c>
      <c r="CB709" s="205">
        <f>IF($B709="LOSS",IF(AND($K709=CB$3,$C709="L"),-$O709,0)+IF(AND($K710=CB$3,$C710="L"),-$O710,0)+IF(AND($K711=CB$3,$C711="L"),-$O711,0),IF(OR(AND($K709=CB$3,OR($C709="W",$C709="1/2W")),AND($K710=CB$3,OR($C710="W",$C710="1/2W")),AND($K711=CB$3,OR($C711="W",$C711="1/2W"))),$S709,0))</f>
        <v>0</v>
      </c>
      <c r="CC709" s="205">
        <f>IF($B709="LOSS",IF(AND($K709=CC$3,$C709="L"),-$O709,0)+IF(AND($K710=CC$3,$C710="L"),-$O710,0)+IF(AND($K711=CC$3,$C711="L"),-$O711,0),IF(OR(AND($K709=CC$3,OR($C709="W",$C709="1/2W")),AND($K710=CC$3,OR($C710="W",$C710="1/2W")),AND($K711=CC$3,OR($C711="W",$C711="1/2W"))),$S709,0))</f>
        <v>0</v>
      </c>
      <c r="CD709" s="202">
        <f>IF($B709="LOSS",IF(AND($K709=CD$3,$C709="L"),-$O709,0)+IF(AND($K710=CD$3,$C710="L"),-$O710,0)+IF(AND($K711=CD$3,$C711="L"),-$O711,0),IF(OR(AND($K709=CD$3,OR($C709="W",$C709="1/2W")),AND($K710=CD$3,OR($C710="W",$C710="1/2W")),AND($K711=CD$3,OR($C711="W",$C711="1/2W"))),$S709,0))</f>
        <v>1.43</v>
      </c>
      <c r="CE709" s="199">
        <f>IF($B709="LOSS",IF(AND($K709=CE$3,$C709="L"),-$O709,0)+IF(AND($K710=CE$3,$C710="L"),-$O710,0)+IF(AND($K711=CE$3,$C711="L"),-$O711,0),IF(OR(AND($K709=CE$3,OR($C709="W",$C709="1/2W")),AND($K710=CE$3,OR($C710="W",$C710="1/2W")),AND($K711=CE$3,OR($C711="W",$C711="1/2W"))),$S709,0))</f>
        <v>0</v>
      </c>
      <c r="CF709" s="206">
        <f>IF(CF$3=$K709,IF($C709="W",1,IF($C709="1/2W",0.5,0)),0)</f>
        <v>0</v>
      </c>
      <c r="CG709" s="207">
        <f>IF(CF$3=$K709,IF($C709="L",1,IF($C709="1/2L",0.5,0)),0)</f>
        <v>0</v>
      </c>
      <c r="CH709" s="207">
        <f>IF(CH$3=$K709,IF($C709="W",1,IF($C709="1/2W",0.5,0)),0)</f>
        <v>0</v>
      </c>
      <c r="CI709" s="207">
        <f>IF(CH$3=$K709,IF($C709="L",1,IF($C709="1/2L",0.5,0)),0)</f>
        <v>0</v>
      </c>
      <c r="CJ709" s="207">
        <f>IF(CJ$3=$K709,IF($C709="W",1,IF($C709="1/2W",0.5,0)),0)</f>
        <v>0</v>
      </c>
      <c r="CK709" s="207">
        <f>IF(CJ$3=$K709,IF($C709="L",1,IF($C709="1/2L",0.5,0)),0)</f>
        <v>0</v>
      </c>
      <c r="CL709" s="207">
        <f>IF(CL$3=$K709,IF($C709="W",1,IF($C709="1/2W",0.5,0)),0)</f>
        <v>0</v>
      </c>
      <c r="CM709" s="207">
        <f>IF(CL$3=$K709,IF($C709="L",1,IF($C709="1/2L",0.5,0)),0)</f>
        <v>0</v>
      </c>
      <c r="CN709" s="207">
        <f>IF(CN$3=$K709,IF($C709="W",1,IF($C709="1/2W",0.5,0)),0)</f>
        <v>0</v>
      </c>
      <c r="CO709" s="207">
        <f>IF(CN$3=$K709,IF($C709="L",1,IF($C709="1/2L",0.5,0)),0)</f>
        <v>0</v>
      </c>
      <c r="CP709" s="207">
        <f>IF(CP$3=$K709,IF($C709="W",1,IF($C709="1/2W",0.5,0)),0)</f>
        <v>0</v>
      </c>
      <c r="CQ709" s="207">
        <f>IF(CP$3=$K709,IF($C709="L",1,IF($C709="1/2L",0.5,0)),0)</f>
        <v>0</v>
      </c>
      <c r="CR709" s="207">
        <f>IF(CR$3=$K709,IF($C709="W",1,IF($C709="1/2W",0.5,0)),0)</f>
        <v>0</v>
      </c>
      <c r="CS709" s="207">
        <f>IF(CR$3=$K709,IF($C709="L",1,IF($C709="1/2L",0.5,0)),0)</f>
        <v>0</v>
      </c>
      <c r="CT709" s="208">
        <f>IF(CT$3=$K709,IF($C709="W",1,IF($C709="1/2W",0.5,0)),0)</f>
        <v>0</v>
      </c>
      <c r="CU709" s="209">
        <f>IF(CT$3=$K709,IF($C709="L",1,IF($C709="1/2L",0.5,0)),0)</f>
        <v>0</v>
      </c>
      <c r="CV709" s="209">
        <f>IF(CV$3=$K709,IF($C709="W",1,IF($C709="1/2W",0.5,0)),0)</f>
        <v>0</v>
      </c>
      <c r="CW709" s="209">
        <f>IF(CV$3=$K709,IF($C709="L",1,IF($C709="1/2L",0.5,0)),0)</f>
        <v>0</v>
      </c>
      <c r="CX709" s="209">
        <f>IF(CX$3=$K709,IF($C709="W",1,IF($C709="1/2W",0.5,0)),0)</f>
        <v>0</v>
      </c>
      <c r="CY709" s="209">
        <f>IF(CX$3=$K709,IF($C709="L",1,IF($C709="1/2L",0.5,0)),0)</f>
        <v>0</v>
      </c>
      <c r="CZ709" s="209">
        <f>IF(CZ$3=$K709,IF($C709="W",1,IF($C709="1/2W",0.5,0)),0)</f>
        <v>0</v>
      </c>
      <c r="DA709" s="209">
        <f>IF(CZ$3=$K709,IF($C709="L",1,IF($C709="1/2L",0.5,0)),0)</f>
        <v>0</v>
      </c>
      <c r="DB709" s="209">
        <f>IF(DB$3=$K709,IF($C709="W",1,IF($C709="1/2W",0.5,0)),0)</f>
        <v>1</v>
      </c>
      <c r="DC709" s="209">
        <f>IF(DB$3=$K709,IF($C709="L",1,IF($C709="1/2L",0.5,0)),0)</f>
        <v>0</v>
      </c>
      <c r="DD709" s="209">
        <f>IF(DD$3=$K709,IF($C709="W",1,IF($C709="1/2W",0.5,0)),0)</f>
        <v>0</v>
      </c>
      <c r="DE709" s="210">
        <f>IF(DD$3=$K709,IF($C709="L",1,IF($C709="1/2L",0.5,0)),0)</f>
        <v>0</v>
      </c>
      <c r="DF709" s="211">
        <f>IF(AND(L709&lt;DF$3,$C709="W"),1+DF708,DF708)</f>
        <v>20</v>
      </c>
      <c r="DG709" s="198">
        <f>IF(DF709&gt;DF708,L709+DG708,DG708)</f>
        <v>26.624</v>
      </c>
      <c r="DH709" s="209">
        <f>IF(AND(L709&gt;DH$3,$C709="W"),1+DH708,0+DH708)</f>
        <v>18</v>
      </c>
      <c r="DI709" s="198">
        <f>IF(DH709&gt;DH708,L709+DI708,DI708)</f>
        <v>93.66</v>
      </c>
      <c r="DJ709" t="s" s="306">
        <f>IF($D709="","",$D709)</f>
        <v>481</v>
      </c>
      <c r="DK709" s="209">
        <f>IF(AND($B709=" ",$D709&lt;&gt;""),1,0)</f>
        <v>0</v>
      </c>
    </row>
    <row r="710" ht="14.55" customHeight="1">
      <c r="A710" s="107"/>
      <c r="B710" s="108"/>
      <c r="C710" t="s" s="213">
        <v>51</v>
      </c>
      <c r="D710" s="110"/>
      <c r="E710" s="111"/>
      <c r="F710" s="113"/>
      <c r="G710" s="214"/>
      <c r="H710" s="114"/>
      <c r="I710" s="299">
        <v>2</v>
      </c>
      <c r="J710" t="s" s="216">
        <f>IF(OR(I709="TO",I709="TU",I709="TO1",I709="TU1",I709="TO2",I709="TU2"),J709,IF(OR(I709="AH1",I709="AH2"),IF(OR(I710="AH1",I710="AH2"),-J709,IF(OR(I710="EH1",I710="EH2"),-J709+0.5,"")),IF(OR(I709="EH1",I709="EH2"),IF(OR(I710="AH1",I710="AH2"),-J709+0.5,IF(OR(I710="EH1",I710="EH2"),-J709+1,"")),IF(AND(OR(I709="DNB1",I709="DNB2"),OR(I710="AH1",I710="AH2")),0,IF(AND(I709="Not ScoreBoth",OR(I710="TO1",I710="TO2")),0.5,"")))))</f>
      </c>
      <c r="K710" t="s" s="217">
        <v>37</v>
      </c>
      <c r="L710" s="218">
        <v>7</v>
      </c>
      <c r="M710" s="219">
        <v>2.92</v>
      </c>
      <c r="N710" s="120"/>
      <c r="O710" s="220">
        <f>IF(OR(AE709="",AE710=""),"",ROUND(IF(L711&gt;0,IF(M710&gt;0,M710,IF(M709&gt;0,IF(N709=TRUE,ROUND((M709*AE710)/AE709,0),(M709*AE710)/AE709),IF(M710&gt;0,ROUND(M710,IF(N709=0,2,IF(N709=0.1,1,0))),IF(M711&gt;0,ROUND(O711*AE710/AE711,IF(N709=0,2,IF(N709=0.1,1,0))),0)))),IF(M710&gt;0,M710,ROUND((M709*AE710)/AE709,IF(N709=0,2,IF(N709=0.1,1,0))))),2))</f>
        <v>2.92</v>
      </c>
      <c r="P710" s="221">
        <f>IF(OR(L710="",O710=""),"",IF($C710="1/2W",O710/2+O710/2*L710,IF($C710="1/2L",O710/2,IF(I710="Lay",((O710*(L710/(L710-1)))-O710)*(1-_xlfn.XLOOKUP(K710,'Janeiro 2023 - Valor Real'!A3:A15,'Janeiro 2023 - Valor Real'!C3:C15,0))+O710,(O710*L710-O710)*(1-_xlfn.XLOOKUP(K710,'Janeiro 2023 - Valor Real'!A3:A15,'Janeiro 2023 - Valor Real'!C3:C15,0))+O710))))</f>
        <v>20.44</v>
      </c>
      <c r="Q710" s="222">
        <f>IF(K710="","",IF(_xlfn.XLOOKUP(K710,K$123:K483,DJ$123:DJ483,0,,-1)=DJ710,_xlfn.XLOOKUP(K710,K$123:K483,Q$123:Q483,1,,-1)+1,1))</f>
        <v>1</v>
      </c>
      <c r="R710" s="223">
        <f>IF(K710="","",_xlfn.XLOOKUP(K710,K$123:K483,R$123:R483,0,,-1)+IF($C710=" ",1,0))</f>
        <v>0</v>
      </c>
      <c r="S710" s="125"/>
      <c r="T710" s="126"/>
      <c r="U710" s="126"/>
      <c r="V710" s="224"/>
      <c r="W710" s="126"/>
      <c r="X710" s="127"/>
      <c r="Y710" s="128"/>
      <c r="Z710" s="129"/>
      <c r="AA710" s="129"/>
      <c r="AB710" s="129"/>
      <c r="AC710" s="129"/>
      <c r="AD710" s="225">
        <f>(((L710/(L710-1)-1)*(1-_xlfn.XLOOKUP(K710,'Janeiro 2023 - Valor Real'!A3:A15,'Janeiro 2023 - Valor Real'!C3:C15,0))+1))</f>
        <v>1.16666666666667</v>
      </c>
      <c r="AE710" s="226">
        <f>IF(L710="","",IF(L711&gt;0,(SUM(((L709-1)*(1-_xlfn.XLOOKUP(K709,'Janeiro 2023 - Valor Real'!A3:A15,'Janeiro 2023 - Valor Real'!C3:C15,0))+1),((L710-1)*(1-_xlfn.XLOOKUP(K710,'Janeiro 2023 - Valor Real'!A3:A15,'Janeiro 2023 - Valor Real'!C3:C15,0))+1),((L711-1)*(1-_xlfn.XLOOKUP(K711,'Janeiro 2023 - Valor Real'!A3:A15,'Janeiro 2023 - Valor Real'!C3:C15,0))+1))/((L710-1)*(1-_xlfn.XLOOKUP(K710,'Janeiro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Real'!C3:C15,0))+1))/((L709-1)*(1-_xlfn.XLOOKUP(K709,'Janeiro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Real'!C3:C15,0))+1))/((L710-1)*(1-_xlfn.XLOOKUP(K710,'Janeiro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Real'!C3:C15,0))+1))/((L711-1)*(1-_xlfn.XLOOKUP(K711,'Janeiro 2023 - Valor Real'!A3:A15,'Janeiro 2023 - Valor Real'!C3:C15,0))+1)),IF(I710="Lay",IF(I709="Lay",((L709/(L709-1)-1)*(1-_xlfn.XLOOKUP(K709,'Janeiro 2023 - Valor Real'!A3:A15,'Janeiro 2023 - Valor Real'!C3:C15,0))+1)/(((L709/(L709-1)-1)*(1-_xlfn.XLOOKUP(K709,'Janeiro 2023 - Valor Real'!A3:A15,'Janeiro 2023 - Valor Real'!C3:C15,0))+1)+((L710/(L710-1)-1)*(1-_xlfn.XLOOKUP(K710,'Janeiro 2023 - Valor Real'!A3:A15,'Janeiro 2023 - Valor Real'!C3:C15,0))+1)),((L709-1)*(1-_xlfn.XLOOKUP(K709,'Janeiro 2023 - Valor Real'!A3:A15,'Janeiro 2023 - Valor Real'!C3:C15,0))+1)/(((L709-1)*(1-_xlfn.XLOOKUP(K709,'Janeiro 2023 - Valor Real'!A3:A15,'Janeiro 2023 - Valor Real'!C3:C15,0))+1)+((L710/(L710-1)-1)*(1-_xlfn.XLOOKUP(K710,'Janeiro 2023 - Valor Real'!A3:A15,'Janeiro 2023 - Valor Real'!C3:C15,0))+1))),IF(I709="Lay",((L709/(L709-1)-1)*(1-_xlfn.XLOOKUP(K709,'Janeiro 2023 - Valor Real'!A3:A15,'Janeiro 2023 - Valor Real'!C3:C15,0))+1)/((((L709/(L709-1)-1)*(1-_xlfn.XLOOKUP(K709,'Janeiro 2023 - Valor Real'!A3:A15,'Janeiro 2023 - Valor Real'!C3:C15,0))+1))+((L710-1)*(1-_xlfn.XLOOKUP(K710,'Janeiro 2023 - Valor Real'!A3:A15,'Janeiro 2023 - Valor Real'!C3:C15,0))+1)),((L709-1)*(1-_xlfn.XLOOKUP(K709,'Janeiro 2023 - Valor Real'!A3:A15,'Janeiro 2023 - Valor Real'!C3:C15,0))+1)/(((L709-1)*(1-_xlfn.XLOOKUP(K709,'Janeiro 2023 - Valor Real'!A3:A15,'Janeiro 2023 - Valor Real'!C3:C15,0))+1)+((L710-1)*(1-_xlfn.XLOOKUP(K710,'Janeiro 2023 - Valor Real'!A3:A15,'Janeiro 2023 - Valor Real'!C3:C15,0))+1))))))</f>
        <v>0.153567110036276</v>
      </c>
      <c r="AF710" s="197">
        <f>IF($K710=AF$3,ROUND(IF(OR($C710="W",$C710="1/2W",$C710="1/2L"),$P710-$O710,IF($C710="X",0,-$O710)),2),0)</f>
        <v>-2.92</v>
      </c>
      <c r="AG710" s="198">
        <f>IF($K710=AG$3,ROUND(IF(OR($C710="W",$C710="1/2W",$C710="1/2L"),$P710-$O710,IF($C710="X",0,-$O710)),2),0)</f>
        <v>0</v>
      </c>
      <c r="AH710" s="198">
        <f>IF($K710=AH$3,ROUND(IF(OR($C710="W",$C710="1/2W",$C710="1/2L"),$P710-$O710,IF($C710="X",0,-$O710)),2),0)</f>
        <v>0</v>
      </c>
      <c r="AI710" s="198">
        <f>IF($K710=AI$3,ROUND(IF(OR($C710="W",$C710="1/2W",$C710="1/2L"),$P710-$O710,IF($C710="X",0,-$O710)),2),0)</f>
        <v>0</v>
      </c>
      <c r="AJ710" s="198">
        <f>IF($K710=AJ$3,ROUND(IF(OR($C710="W",$C710="1/2W",$C710="1/2L"),$P710-$O710,IF($C710="X",0,-$O710)),2),0)</f>
        <v>0</v>
      </c>
      <c r="AK710" s="198">
        <f>IF($K710=AK$3,ROUND(IF(OR($C710="W",$C710="1/2W",$C710="1/2L"),$P710-$O710,IF($C710="X",0,-$O710)),2),0)</f>
        <v>0</v>
      </c>
      <c r="AL710" s="198">
        <f>IF($K710=AL$3,ROUND(IF(OR($C710="W",$C710="1/2W",$C710="1/2L"),$P710-$O710,IF($C710="X",0,-$O710)),2),0)</f>
        <v>0</v>
      </c>
      <c r="AM710" s="198">
        <f>IF($K710=AM$3,ROUND(IF(OR($C710="W",$C710="1/2W",$C710="1/2L"),$P710-$O710,IF($C710="X",0,-$O710)),2),0)</f>
        <v>0</v>
      </c>
      <c r="AN710" s="198">
        <f>IF($K710=AN$3,ROUND(IF(OR($C710="W",$C710="1/2W",$C710="1/2L"),$P710-$O710,IF($C710="X",0,-$O710)),2),0)</f>
        <v>0</v>
      </c>
      <c r="AO710" s="198">
        <f>IF($K710=AO$3,ROUND(IF(OR($C710="W",$C710="1/2W",$C710="1/2L"),$P710-$O710,IF($C710="X",0,-$O710)),2),0)</f>
        <v>0</v>
      </c>
      <c r="AP710" s="198">
        <f>IF($K710=AP$3,ROUND(IF(OR($C710="W",$C710="1/2W",$C710="1/2L"),$P710-$O710,IF($C710="X",0,-$O710)),2),0)</f>
        <v>0</v>
      </c>
      <c r="AQ710" s="198">
        <f>IF($K710=AQ$3,ROUND(IF(OR($C710="W",$C710="1/2W",$C710="1/2L"),$P710-$O710,IF($C710="X",0,-$O710)),2),0)</f>
        <v>0</v>
      </c>
      <c r="AR710" s="199">
        <f>IF($K710=AR$3,ROUND(IF(OR($C710="W",$C710="1/2W",$C710="1/2L"),$P710-$O710,IF($C710="X",0,-$O710)),2),0)</f>
        <v>0</v>
      </c>
      <c r="AS710" s="197">
        <f>IF(AND($B709=" ",$K710=AS$3),$O710,0)</f>
        <v>0</v>
      </c>
      <c r="AT710" s="198">
        <f>IF(AND($B709=" ",K710=AT$3),$O710,0)</f>
        <v>0</v>
      </c>
      <c r="AU710" s="198">
        <f>IF(AND($B709=" ",$K710=AU$3),$O710,0)</f>
        <v>0</v>
      </c>
      <c r="AV710" s="198">
        <f>IF(AND($B709=" ",$K710=AV$3),$O710,0)</f>
        <v>0</v>
      </c>
      <c r="AW710" s="198">
        <f>IF(AND($B709=" ",$K710=AW$3),$O710,0)</f>
        <v>0</v>
      </c>
      <c r="AX710" s="198">
        <f>IF(AND($B709=" ",$K710=AX$3),$O710,0)</f>
        <v>0</v>
      </c>
      <c r="AY710" s="200">
        <f>IF(AND($B709=" ",$K710=AY$3),$O710,0)</f>
        <v>0</v>
      </c>
      <c r="AZ710" s="201">
        <f>IF(AND($B709=" ",$K710=AZ$3),$O710,0)</f>
        <v>0</v>
      </c>
      <c r="BA710" s="201">
        <f>IF(AND($B709=" ",$K710=BA$3),$O710,0)</f>
        <v>0</v>
      </c>
      <c r="BB710" s="201">
        <f>IF(AND($B709=" ",$K710=BB$3),$O710,0)</f>
        <v>0</v>
      </c>
      <c r="BC710" s="202">
        <f>IF(AND($B709=" ",$K710=BC$3),$O710,0)</f>
        <v>0</v>
      </c>
      <c r="BD710" s="198">
        <f>IF(AND($B709=" ",$K710=BD$3),$O710,0)</f>
        <v>0</v>
      </c>
      <c r="BE710" s="199">
        <f>IF(AND($B709=" ",$K710=BE$3),$O710,0)</f>
        <v>0</v>
      </c>
      <c r="BF710" s="197">
        <f>IF($K710=BF$3,IF($C710="X",0,$O710),0)</f>
        <v>2.92</v>
      </c>
      <c r="BG710" s="198">
        <f>IF($K710=BG$3,IF($C710="X",0,$O710),0)</f>
        <v>0</v>
      </c>
      <c r="BH710" s="198">
        <f>IF($K710=BH$3,IF($C710="X",0,$O710),0)</f>
        <v>0</v>
      </c>
      <c r="BI710" s="198">
        <f>IF($K710=BI$3,IF($C710="X",0,$O710),0)</f>
        <v>0</v>
      </c>
      <c r="BJ710" s="198">
        <f>IF($K710=BJ$3,IF($C710="X",0,$O710),0)</f>
        <v>0</v>
      </c>
      <c r="BK710" s="198">
        <f>IF($K710=BK$3,IF($C710="X",0,$O710),0)</f>
        <v>0</v>
      </c>
      <c r="BL710" s="198">
        <f>IF($K710=BL$3,IF($C710="X",0,$O710),0)</f>
        <v>0</v>
      </c>
      <c r="BM710" s="227">
        <f>IF($K710=BM$3,IF($C710="X",0,$O710),0)</f>
        <v>0</v>
      </c>
      <c r="BN710" s="205">
        <f>IF($K710=BN$3,IF($C710="X",0,$O710),0)</f>
        <v>0</v>
      </c>
      <c r="BO710" s="205">
        <f>IF($K710=BO$3,IF($C710="X",0,$O710),0)</f>
        <v>0</v>
      </c>
      <c r="BP710" s="205">
        <f>IF($K710=BP$3,IF($C710="X",0,$O710),0)</f>
        <v>0</v>
      </c>
      <c r="BQ710" s="202">
        <f>IF($K710=BQ$3,IF($C710="X",0,$O710),0)</f>
        <v>0</v>
      </c>
      <c r="BR710" s="199">
        <f>IF($K710=BR$3,IF($C710="X",0,$O710),0)</f>
        <v>0</v>
      </c>
      <c r="BS710" s="228"/>
      <c r="BT710" s="229"/>
      <c r="BU710" s="140"/>
      <c r="BV710" s="229"/>
      <c r="BW710" s="140"/>
      <c r="BX710" s="140"/>
      <c r="BY710" s="140"/>
      <c r="BZ710" s="229"/>
      <c r="CA710" s="140"/>
      <c r="CB710" s="140"/>
      <c r="CC710" s="140"/>
      <c r="CD710" s="141"/>
      <c r="CE710" s="142"/>
      <c r="CF710" s="230">
        <f>IF(CF$3=$K710,IF($C710="W",1,IF($C710="1/2W",0.5,0)),0)</f>
        <v>0</v>
      </c>
      <c r="CG710" s="231">
        <f>IF(CF$3=$K710,IF($C710="L",1,IF($C710="1/2L",0.5,0)),0)</f>
        <v>1</v>
      </c>
      <c r="CH710" s="231">
        <f>IF(CH$3=$K710,IF($C710="W",1,IF($C710="1/2W",0.5,0)),0)</f>
        <v>0</v>
      </c>
      <c r="CI710" s="231">
        <f>IF(CH$3=$K710,IF($C710="L",1,IF($C710="1/2L",0.5,0)),0)</f>
        <v>0</v>
      </c>
      <c r="CJ710" s="231">
        <f>IF(CJ$3=$K710,IF($C710="W",1,IF($C710="1/2W",0.5,0)),0)</f>
        <v>0</v>
      </c>
      <c r="CK710" s="231">
        <f>IF(CJ$3=$K710,IF($C710="L",1,IF($C710="1/2L",0.5,0)),0)</f>
        <v>0</v>
      </c>
      <c r="CL710" s="231">
        <f>IF(CL$3=$K710,IF($C710="W",1,IF($C710="1/2W",0.5,0)),0)</f>
        <v>0</v>
      </c>
      <c r="CM710" s="231">
        <f>IF(CL$3=$K710,IF($C710="L",1,IF($C710="1/2L",0.5,0)),0)</f>
        <v>0</v>
      </c>
      <c r="CN710" s="231">
        <f>IF(CN$3=$K710,IF($C710="W",1,IF($C710="1/2W",0.5,0)),0)</f>
        <v>0</v>
      </c>
      <c r="CO710" s="231">
        <f>IF(CN$3=$K710,IF($C710="L",1,IF($C710="1/2L",0.5,0)),0)</f>
        <v>0</v>
      </c>
      <c r="CP710" s="231">
        <f>IF(CP$3=$K710,IF($C710="W",1,IF($C710="1/2W",0.5,0)),0)</f>
        <v>0</v>
      </c>
      <c r="CQ710" s="231">
        <f>IF(CP$3=$K710,IF($C710="L",1,IF($C710="1/2L",0.5,0)),0)</f>
        <v>0</v>
      </c>
      <c r="CR710" s="231">
        <f>IF(CR$3=$K710,IF($C710="W",1,IF($C710="1/2W",0.5,0)),0)</f>
        <v>0</v>
      </c>
      <c r="CS710" s="231">
        <f>IF(CR$3=$K710,IF($C710="L",1,IF($C710="1/2L",0.5,0)),0)</f>
        <v>0</v>
      </c>
      <c r="CT710" s="208">
        <f>IF(CT$3=$K710,IF($C710="W",1,IF($C710="1/2W",0.5,0)),0)</f>
        <v>0</v>
      </c>
      <c r="CU710" s="209">
        <f>IF(CT$3=$K710,IF($C710="L",1,IF($C710="1/2L",0.5,0)),0)</f>
        <v>0</v>
      </c>
      <c r="CV710" s="209">
        <f>IF(CV$3=$K710,IF($C710="W",1,IF($C710="1/2W",0.5,0)),0)</f>
        <v>0</v>
      </c>
      <c r="CW710" s="209">
        <f>IF(CV$3=$K710,IF($C710="L",1,IF($C710="1/2L",0.5,0)),0)</f>
        <v>0</v>
      </c>
      <c r="CX710" s="209">
        <f>IF(CX$3=$K710,IF($C710="W",1,IF($C710="1/2W",0.5,0)),0)</f>
        <v>0</v>
      </c>
      <c r="CY710" s="209">
        <f>IF(CX$3=$K710,IF($C710="L",1,IF($C710="1/2L",0.5,0)),0)</f>
        <v>0</v>
      </c>
      <c r="CZ710" s="209">
        <f>IF(CZ$3=$K710,IF($C710="W",1,IF($C710="1/2W",0.5,0)),0)</f>
        <v>0</v>
      </c>
      <c r="DA710" s="209">
        <f>IF(CZ$3=$K710,IF($C710="L",1,IF($C710="1/2L",0.5,0)),0)</f>
        <v>0</v>
      </c>
      <c r="DB710" s="209">
        <f>IF(DB$3=$K710,IF($C710="W",1,IF($C710="1/2W",0.5,0)),0)</f>
        <v>0</v>
      </c>
      <c r="DC710" s="209">
        <f>IF(DB$3=$K710,IF($C710="L",1,IF($C710="1/2L",0.5,0)),0)</f>
        <v>0</v>
      </c>
      <c r="DD710" s="209">
        <f>IF(DD$3=$K710,IF($C710="W",1,IF($C710="1/2W",0.5,0)),0)</f>
        <v>0</v>
      </c>
      <c r="DE710" s="210">
        <f>IF(DD$3=$K710,IF($C710="L",1,IF($C710="1/2L",0.5,0)),0)</f>
        <v>0</v>
      </c>
      <c r="DF710" s="211">
        <f>IF(AND(L710&lt;DF$3,$C710="W"),1+DF709,DF709)</f>
        <v>20</v>
      </c>
      <c r="DG710" s="198">
        <f>IF(DF710&gt;DF709,L710+DG709,DG709)</f>
        <v>26.624</v>
      </c>
      <c r="DH710" s="209">
        <f>IF(AND(L710&gt;DH$3,$C710="W"),1+DH709,0+DH709)</f>
        <v>18</v>
      </c>
      <c r="DI710" s="198">
        <f>IF(DH710&gt;DH709,L710+DI709,DI709)</f>
        <v>93.66</v>
      </c>
      <c r="DJ710" t="s" s="306">
        <f>IF($D709="","",$D709)</f>
        <v>481</v>
      </c>
      <c r="DK710" s="232"/>
    </row>
    <row r="711" ht="14.55" customHeight="1">
      <c r="A711" s="149"/>
      <c r="B711" s="150"/>
      <c r="C711" t="s" s="233">
        <v>58</v>
      </c>
      <c r="D711" s="152"/>
      <c r="E711" s="153"/>
      <c r="F711" s="155"/>
      <c r="G711" s="234"/>
      <c r="H711" s="156"/>
      <c r="I711" s="235"/>
      <c r="J711" s="236"/>
      <c r="K711" s="237"/>
      <c r="L711" s="238"/>
      <c r="M711" s="239"/>
      <c r="N711" s="161"/>
      <c r="O711" t="s" s="240">
        <f>IF(OR(AE709="",AE710=""),"",IF(L711&gt;0,ROUND(IF(M711&gt;0,M711,IF(M709&gt;0,ROUND((M709*AE711)/AE709,IF(N709=0,2,IF(N709=0.1,1,0))),IF(M710&gt;0,ROUND((M710*AE711)/AE710,IF(N709=0,2,IF(N709=0.1,1,0))),IF(M711&gt;0,M711,0)))),2),""))</f>
      </c>
      <c r="P711" t="s" s="241">
        <f>IF(I710="Lay",O710*(L710/(L710-1))-O710,IF(I709="Lay",O709*(L709/(L709-1))-O709,IF(OR(L711="",O711=""),"",IF($C711="1/2W",O711/2+O711/2*L711,IF($C711="1/2L",O711/2,(O711*L711-O711)*(1-_xlfn.XLOOKUP(K711,'Janeiro 2023 - Valor Real'!A3:A15,'Janeiro 2023 - Valor Real'!C3:C15,0))+O711)))))</f>
      </c>
      <c r="Q711" t="s" s="242">
        <f>IF(K711="","",IF(_xlfn.XLOOKUP(K711,K$124:K484,DJ$124:DJ484,0,,-1)=DJ711,_xlfn.XLOOKUP(K711,K$124:K484,Q$124:Q484,1,,-1)+1,1))</f>
      </c>
      <c r="R711" t="s" s="243">
        <f>IF(K711="","",_xlfn.XLOOKUP(K711,K$124:K484,R$124:R484,0,,-1)+IF($C711=" ",1,0))</f>
      </c>
      <c r="S711" s="166"/>
      <c r="T711" s="155"/>
      <c r="U711" s="155"/>
      <c r="V711" s="166"/>
      <c r="W711" s="155"/>
      <c r="X711" s="167"/>
      <c r="Y711" s="128"/>
      <c r="Z711" s="129"/>
      <c r="AA711" s="129"/>
      <c r="AB711" s="129"/>
      <c r="AC711" s="129"/>
      <c r="AD711" s="244">
        <f>((L710/(L710-1)-1))</f>
        <v>0.166666666666667</v>
      </c>
      <c r="AE711" t="s" s="245">
        <f>IF(L711="","",(SUM(((L709-1)*(1-_xlfn.XLOOKUP(K709,'Janeiro 2023 - Valor Real'!A3:A15,'Janeiro 2023 - Valor Real'!C3:C15,0))+1),((L710-1)*(1-_xlfn.XLOOKUP(K710,'Janeiro 2023 - Valor Real'!A3:A15,'Janeiro 2023 - Valor Real'!C3:C15,0))+1),((L711-1)*(1-_xlfn.XLOOKUP(K711,'Janeiro 2023 - Valor Real'!A3:A15,'Janeiro 2023 - Valor Real'!C3:C15,0))+1))/((L711-1)*(1-_xlfn.XLOOKUP(K711,'Janeiro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Real'!C3:C15,0))+1))/((L709-1)*(1-_xlfn.XLOOKUP(K709,'Janeiro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Real'!C3:C15,0))+1))/((L710-1)*(1-_xlfn.XLOOKUP(K710,'Janeiro 2023 - Valor Real'!A3:A15,'Janeiro 2023 - Valor Real'!C3:C15,0))+1)+SUM(((L709-1)*(1-_xlfn.XLOOKUP(K709,'Janeiro 2023 - Valor Real'!A3:A15,'Janeiro 2023 - Valor Real'!C3:C15,0))+1),((L710-1)*(1-_xlfn.XLOOKUP(K710,'Janeiro 2023 - Valor Real'!A3:A15,'Janeiro 2023 - Valor Real'!C3:C15,0))+1),((L711-1)*(1-_xlfn.XLOOKUP(K711,'Janeiro 2023 - Valor Real'!A3:A15,'Janeiro 2023 - Valor Real'!C3:C15,0))+1))/((L711-1)*(1-_xlfn.XLOOKUP(K711,'Janeiro 2023 - Valor Real'!A3:A15,'Janeiro 2023 - Valor Real'!C3:C15,0))+1)))</f>
      </c>
      <c r="AF711" s="197">
        <f>IF($K711=AF$3,ROUND(IF(OR($C711="W",$C711="1/2W",$C711="1/2L"),$P711-$O711,IF($C711="X",0,-$O711)),2),0)</f>
        <v>0</v>
      </c>
      <c r="AG711" s="198">
        <f>IF($K711=AG$3,ROUND(IF(OR($C711="W",$C711="1/2W",$C711="1/2L"),$P711-$O711,IF($C711="X",0,-$O711)),2),0)</f>
        <v>0</v>
      </c>
      <c r="AH711" s="198">
        <f>IF($K711=AH$3,ROUND(IF(OR($C711="W",$C711="1/2W",$C711="1/2L"),$P711-$O711,IF($C711="X",0,-$O711)),2),0)</f>
        <v>0</v>
      </c>
      <c r="AI711" s="198">
        <f>IF($K711=AI$3,ROUND(IF(OR($C711="W",$C711="1/2W",$C711="1/2L"),$P711-$O711,IF($C711="X",0,-$O711)),2),0)</f>
        <v>0</v>
      </c>
      <c r="AJ711" s="198">
        <f>IF($K711=AJ$3,ROUND(IF(OR($C711="W",$C711="1/2W",$C711="1/2L"),$P711-$O711,IF($C711="X",0,-$O711)),2),0)</f>
        <v>0</v>
      </c>
      <c r="AK711" s="198">
        <f>IF($K711=AK$3,ROUND(IF(OR($C711="W",$C711="1/2W",$C711="1/2L"),$P711-$O711,IF($C711="X",0,-$O711)),2),0)</f>
        <v>0</v>
      </c>
      <c r="AL711" s="198">
        <f>IF($K711=AL$3,ROUND(IF(OR($C711="W",$C711="1/2W",$C711="1/2L"),$P711-$O711,IF($C711="X",0,-$O711)),2),0)</f>
        <v>0</v>
      </c>
      <c r="AM711" s="198">
        <f>IF($K711=AM$3,ROUND(IF(OR($C711="W",$C711="1/2W",$C711="1/2L"),$P711-$O711,IF($C711="X",0,-$O711)),2),0)</f>
        <v>0</v>
      </c>
      <c r="AN711" s="198">
        <f>IF($K711=AN$3,ROUND(IF(OR($C711="W",$C711="1/2W",$C711="1/2L"),$P711-$O711,IF($C711="X",0,-$O711)),2),0)</f>
        <v>0</v>
      </c>
      <c r="AO711" s="198">
        <f>IF($K711=AO$3,ROUND(IF(OR($C711="W",$C711="1/2W",$C711="1/2L"),$P711-$O711,IF($C711="X",0,-$O711)),2),0)</f>
        <v>0</v>
      </c>
      <c r="AP711" s="198">
        <f>IF($K711=AP$3,ROUND(IF(OR($C711="W",$C711="1/2W",$C711="1/2L"),$P711-$O711,IF($C711="X",0,-$O711)),2),0)</f>
        <v>0</v>
      </c>
      <c r="AQ711" s="198">
        <f>IF($K711=AQ$3,ROUND(IF(OR($C711="W",$C711="1/2W",$C711="1/2L"),$P711-$O711,IF($C711="X",0,-$O711)),2),0)</f>
        <v>0</v>
      </c>
      <c r="AR711" s="199">
        <f>IF($K711=AR$3,ROUND(IF(OR($C711="W",$C711="1/2W",$C711="1/2L"),$P711-$O711,IF($C711="X",0,-$O711)),2),0)</f>
        <v>0</v>
      </c>
      <c r="AS711" s="197">
        <f>IF(AND($B709=" ",$K711=AS$3),$O711,0)</f>
        <v>0</v>
      </c>
      <c r="AT711" s="198">
        <f>IF(AND($B709=" ",K711=AT$3),$O711,0)</f>
        <v>0</v>
      </c>
      <c r="AU711" s="198">
        <f>IF(AND($B709=" ",$K711=AU$3),$O711,0)</f>
        <v>0</v>
      </c>
      <c r="AV711" s="198">
        <f>IF(AND($B709=" ",$K711=AV$3),$O711,0)</f>
        <v>0</v>
      </c>
      <c r="AW711" s="198">
        <f>IF(AND($B709=" ",$K711=AW$3),$O711,0)</f>
        <v>0</v>
      </c>
      <c r="AX711" s="198">
        <f>IF(AND($B709=" ",$K711=AX$3),$O711,0)</f>
        <v>0</v>
      </c>
      <c r="AY711" s="200">
        <f>IF(AND($B709=" ",$K711=AY$3),$O711,0)</f>
        <v>0</v>
      </c>
      <c r="AZ711" s="201">
        <f>IF(AND($B709=" ",$K711=AZ$3),$O711,0)</f>
        <v>0</v>
      </c>
      <c r="BA711" s="201">
        <f>IF(AND($B709=" ",$K711=BA$3),$O711,0)</f>
        <v>0</v>
      </c>
      <c r="BB711" s="201">
        <f>IF(AND($B709=" ",$K711=BB$3),$O711,0)</f>
        <v>0</v>
      </c>
      <c r="BC711" s="202">
        <f>IF(AND($B709=" ",$K711=BC$3),$O711,0)</f>
        <v>0</v>
      </c>
      <c r="BD711" s="198">
        <f>IF(AND($B709=" ",$K711=BD$3),$O711,0)</f>
        <v>0</v>
      </c>
      <c r="BE711" s="199">
        <f>IF(AND($B709=" ",$K711=BE$3),$O711,0)</f>
        <v>0</v>
      </c>
      <c r="BF711" s="197">
        <f>IF($K711=BF$3,IF($C711="X",0,$O711),0)</f>
        <v>0</v>
      </c>
      <c r="BG711" s="198">
        <f>IF($K711=BG$3,IF($C711="X",0,$O711),0)</f>
        <v>0</v>
      </c>
      <c r="BH711" s="198">
        <f>IF($K711=BH$3,IF($C711="X",0,$O711),0)</f>
        <v>0</v>
      </c>
      <c r="BI711" s="198">
        <f>IF($K711=BI$3,IF($C711="X",0,$O711),0)</f>
        <v>0</v>
      </c>
      <c r="BJ711" s="198">
        <f>IF($K711=BJ$3,IF($C711="X",0,$O711),0)</f>
        <v>0</v>
      </c>
      <c r="BK711" s="198">
        <f>IF($K711=BK$3,IF($C711="X",0,$O711),0)</f>
        <v>0</v>
      </c>
      <c r="BL711" s="198">
        <f>IF($K711=BL$3,IF($C711="X",0,$O711),0)</f>
        <v>0</v>
      </c>
      <c r="BM711" s="200">
        <f>IF($K711=BM$3,IF($C711="X",0,$O711),0)</f>
        <v>0</v>
      </c>
      <c r="BN711" s="201">
        <f>IF($K711=BN$3,IF($C711="X",0,$O711),0)</f>
        <v>0</v>
      </c>
      <c r="BO711" s="201">
        <f>IF($K711=BO$3,IF($C711="X",0,$O711),0)</f>
        <v>0</v>
      </c>
      <c r="BP711" s="201">
        <f>IF($K711=BP$3,IF($C711="X",0,$O711),0)</f>
        <v>0</v>
      </c>
      <c r="BQ711" s="202">
        <f>IF($K711=BQ$3,IF($C711="X",0,$O711),0)</f>
        <v>0</v>
      </c>
      <c r="BR711" s="199">
        <f>IF($K711=BR$3,IF($C711="X",0,$O711),0)</f>
        <v>0</v>
      </c>
      <c r="BS711" s="228"/>
      <c r="BT711" s="229"/>
      <c r="BU711" s="140"/>
      <c r="BV711" s="229"/>
      <c r="BW711" s="140"/>
      <c r="BX711" s="140"/>
      <c r="BY711" s="140"/>
      <c r="BZ711" s="229"/>
      <c r="CA711" s="140"/>
      <c r="CB711" s="140"/>
      <c r="CC711" s="140"/>
      <c r="CD711" s="141"/>
      <c r="CE711" s="142"/>
      <c r="CF711" s="230">
        <f>IF(CF$3=$K711,IF($C711="W",1,IF($C711="1/2W",0.5,0)),0)</f>
        <v>0</v>
      </c>
      <c r="CG711" s="231">
        <f>IF(CF$3=$K711,IF($C711="L",1,IF($C711="1/2L",0.5,0)),0)</f>
        <v>0</v>
      </c>
      <c r="CH711" s="231">
        <f>IF(CH$3=$K711,IF($C711="W",1,IF($C711="1/2W",0.5,0)),0)</f>
        <v>0</v>
      </c>
      <c r="CI711" s="231">
        <f>IF(CH$3=$K711,IF($C711="L",1,IF($C711="1/2L",0.5,0)),0)</f>
        <v>0</v>
      </c>
      <c r="CJ711" s="231">
        <f>IF(CJ$3=$K711,IF($C711="W",1,IF($C711="1/2W",0.5,0)),0)</f>
        <v>0</v>
      </c>
      <c r="CK711" s="231">
        <f>IF(CJ$3=$K711,IF($C711="L",1,IF($C711="1/2L",0.5,0)),0)</f>
        <v>0</v>
      </c>
      <c r="CL711" s="231">
        <f>IF(CL$3=$K711,IF($C711="W",1,IF($C711="1/2W",0.5,0)),0)</f>
        <v>0</v>
      </c>
      <c r="CM711" s="231">
        <f>IF(CL$3=$K711,IF($C711="L",1,IF($C711="1/2L",0.5,0)),0)</f>
        <v>0</v>
      </c>
      <c r="CN711" s="231">
        <f>IF(CN$3=$K711,IF($C711="W",1,IF($C711="1/2W",0.5,0)),0)</f>
        <v>0</v>
      </c>
      <c r="CO711" s="231">
        <f>IF(CN$3=$K711,IF($C711="L",1,IF($C711="1/2L",0.5,0)),0)</f>
        <v>0</v>
      </c>
      <c r="CP711" s="231">
        <f>IF(CP$3=$K711,IF($C711="W",1,IF($C711="1/2W",0.5,0)),0)</f>
        <v>0</v>
      </c>
      <c r="CQ711" s="231">
        <f>IF(CP$3=$K711,IF($C711="L",1,IF($C711="1/2L",0.5,0)),0)</f>
        <v>0</v>
      </c>
      <c r="CR711" s="231">
        <f>IF(CR$3=$K711,IF($C711="W",1,IF($C711="1/2W",0.5,0)),0)</f>
        <v>0</v>
      </c>
      <c r="CS711" s="231">
        <f>IF(CR$3=$K711,IF($C711="L",1,IF($C711="1/2L",0.5,0)),0)</f>
        <v>0</v>
      </c>
      <c r="CT711" s="208">
        <f>IF(CT$3=$K711,IF($C711="W",1,IF($C711="1/2W",0.5,0)),0)</f>
        <v>0</v>
      </c>
      <c r="CU711" s="209">
        <f>IF(CT$3=$K711,IF($C711="L",1,IF($C711="1/2L",0.5,0)),0)</f>
        <v>0</v>
      </c>
      <c r="CV711" s="209">
        <f>IF(CV$3=$K711,IF($C711="W",1,IF($C711="1/2W",0.5,0)),0)</f>
        <v>0</v>
      </c>
      <c r="CW711" s="209">
        <f>IF(CV$3=$K711,IF($C711="L",1,IF($C711="1/2L",0.5,0)),0)</f>
        <v>0</v>
      </c>
      <c r="CX711" s="209">
        <f>IF(CX$3=$K711,IF($C711="W",1,IF($C711="1/2W",0.5,0)),0)</f>
        <v>0</v>
      </c>
      <c r="CY711" s="209">
        <f>IF(CX$3=$K711,IF($C711="L",1,IF($C711="1/2L",0.5,0)),0)</f>
        <v>0</v>
      </c>
      <c r="CZ711" s="209">
        <f>IF(CZ$3=$K711,IF($C711="W",1,IF($C711="1/2W",0.5,0)),0)</f>
        <v>0</v>
      </c>
      <c r="DA711" s="209">
        <f>IF(CZ$3=$K711,IF($C711="L",1,IF($C711="1/2L",0.5,0)),0)</f>
        <v>0</v>
      </c>
      <c r="DB711" s="209">
        <f>IF(DB$3=$K711,IF($C711="W",1,IF($C711="1/2W",0.5,0)),0)</f>
        <v>0</v>
      </c>
      <c r="DC711" s="209">
        <f>IF(DB$3=$K711,IF($C711="L",1,IF($C711="1/2L",0.5,0)),0)</f>
        <v>0</v>
      </c>
      <c r="DD711" s="209">
        <f>IF(DD$3=$K711,IF($C711="W",1,IF($C711="1/2W",0.5,0)),0)</f>
        <v>0</v>
      </c>
      <c r="DE711" s="210">
        <f>IF(DD$3=$K711,IF($C711="L",1,IF($C711="1/2L",0.5,0)),0)</f>
        <v>0</v>
      </c>
      <c r="DF711" s="211">
        <f>IF(AND(L711&lt;DF$3,$C711="W"),1+DF710,DF710)</f>
        <v>20</v>
      </c>
      <c r="DG711" s="198">
        <f>IF(DF711&gt;DF710,L711+DG710,DG710)</f>
        <v>26.624</v>
      </c>
      <c r="DH711" s="209">
        <f>IF(AND(L711&gt;DH$3,$C711="W"),1+DH710,0+DH710)</f>
        <v>18</v>
      </c>
      <c r="DI711" s="198">
        <f>IF(DH711&gt;DH710,L711+DI710,DI710)</f>
        <v>93.66</v>
      </c>
      <c r="DJ711" t="s" s="306">
        <f>IF($D709="","",$D709)</f>
        <v>481</v>
      </c>
      <c r="DK711" s="232"/>
    </row>
    <row r="712" ht="14.55" customHeight="1">
      <c r="A712" s="246">
        <f>$A709+1</f>
        <v>237</v>
      </c>
      <c r="B712" t="s" s="247">
        <f>IF(AND(_xlfn.XLOOKUP(H712,H$107:H491,G$107:G491,0)=G712,_xlfn.XLOOKUP("TempoBet",K712:K714,L712:L714,0)&gt;0),"X",IF(OR(C712="W",C713="W",C714="W",C712="1/2W",C713="1/2W",C714="1/2W",C712="1/2L",C713="1/2L",C714="1/2L"),"OK",IF(OR(C712="L",C713="L",C714="L"),"LOSS",IF(OR(C712="X",C713="X",C714="X"),"Anulado"," "))))</f>
        <v>50</v>
      </c>
      <c r="C712" t="s" s="248">
        <v>51</v>
      </c>
      <c r="D712" t="s" s="303">
        <f>IF(G712="","",$D709)</f>
        <v>481</v>
      </c>
      <c r="E712" t="s" s="250">
        <v>93</v>
      </c>
      <c r="F712" t="s" s="251">
        <f>IF(G712="","",IF(OR(AND($C712&lt;&gt;" ",$C713=" "),AND($C713&lt;&gt;" ",$C712=" "),AND(L714&gt;0,OR(AND($C714&lt;&gt;" ",OR($C712=" ",$C713=" ")),AND($C714=" ",OR($C712&lt;&gt;" ",$C713&lt;&gt;" "))))),IF(SUM(F$4:F711)=0,1,LARGE(F$4:F711,1)+1),IF(MONTH(G712)=MONTH(TODAY()),IF(AND(DAY(G712)&lt;DAY(TODAY()),$B712=" "),IF(SUM(F$4:F711)=0,1,LARGE(F$4:F711,1)+1),IF($B712=" ",IF(AND(DAY(G712)=DAY(TODAY()),HOUR(G712)&lt;=HOUR(NOW())+1),IF(AND(HOUR(G712)+2&lt;=HOUR(NOW()),DAY(G712)&lt;=DAY(TODAY()),MINUTE(G712)&lt;=MINUTE(NOW())),IF(SUM(F$4:F711)=0,1,LARGE(F$4:F711,1)+1),IF(OR(MINUTE(G712)&lt;=MINUTE(NOW()),HOUR(G712)&lt;=HOUR(NOW())),"!!!","")),""),"")),"")))</f>
      </c>
      <c r="G712" s="252">
        <v>44957.625</v>
      </c>
      <c r="H712" t="s" s="253">
        <v>501</v>
      </c>
      <c r="I712" t="s" s="254">
        <v>65</v>
      </c>
      <c r="J712" s="255">
        <v>1.5</v>
      </c>
      <c r="K712" t="s" s="256">
        <v>37</v>
      </c>
      <c r="L712" s="257">
        <v>3</v>
      </c>
      <c r="M712" s="258">
        <v>7</v>
      </c>
      <c r="N712" s="259">
        <v>0.1</v>
      </c>
      <c r="O712" s="260">
        <f>IF(OR(AE712="",AE713=""),"",ROUND(IF(L714&gt;0,IF(M712&gt;0,M712,IF(M713&gt;0,ROUND((M713*AE712)/AE713,IF(N712=0,2,IF(N712=0.1,1,0))),ROUND((M714*AE712)/AE714,IF(N712=0,2,IF(N712=0.1,1,0))))),IF(M712&gt;0,M712,ROUND((M713*AE712)/AE713,IF(N712=0,2,IF(N712=0.1,1,0))))),2))</f>
        <v>7</v>
      </c>
      <c r="P712" s="261">
        <f>IF(OR(L712="",O712=""),"",IF($C712="1/2W",O712/2+O712/2*L712,IF($C712="1/2L",O712/2,IF(I712="Lay",(O712*(L712/(L712-1))-O712)*(1-_xlfn.XLOOKUP(K712,'Janeiro 2023 - Valor Real'!A3:A15,'Janeiro 2023 - Valor Real'!C3:C15,0))+O712,(O712*L712-O712)*(1-_xlfn.XLOOKUP(K712,'Janeiro 2023 - Valor Real'!A3:A15,'Janeiro 2023 - Valor Real'!C3:C15,0))+O712))))</f>
        <v>21</v>
      </c>
      <c r="Q712" s="262">
        <f>IF(K712="","",IF(_xlfn.XLOOKUP(K712,K$107:K491,DJ$107:DJ491,0,,-1)=DJ712,_xlfn.XLOOKUP(K712,K$107:K491,Q$107:Q491,1,,-1)+1,1))</f>
        <v>1</v>
      </c>
      <c r="R712" s="263">
        <f>IF(K712="","",_xlfn.XLOOKUP(K712,K$107:K491,R$107:R491,0,,-1)+IF($C712=" ",1,0))</f>
        <v>0</v>
      </c>
      <c r="S712" s="264">
        <f>IF($B712="Anulado",0,ROUND(IF(OR($B712="LOSS",$B712="OK"),IF(OR($C712="W",$C712="1/2W",$C712="1/2L"),P712-O712,IF($C712="L",-O712,0))+IF(OR($C713="W",$C713="1/2W",$C713="1/2L"),P713-O713,IF($C713="L",-O713,0))+IF(OR($C714="W",$C714="1/2W",$C714="1/2L"),P714-O714,IF($C714="L",-O714,0)),IF(AND(OR($C712="W",$C712="1/2W",$C712="1/2L"),C713="W"),P712+P713-SUM(O712:O714)+_xlfn.XLOOKUP("X",C712:C714,O712:O714,0),IF(AND(C712=TRUE,C714="W"),P712+P714-SUM(O712:O714),IF(AND(C713="W",C714="W"),P713+P714-SUM(O712:O714)+_xlfn.XLOOKUP("X",C712:C714,O712:O714,0),IF(L714&gt;0,IF(OR($C712="W",$C712="1/2W",$C712="1/2L"),P712-SUM(O712:O714)+_xlfn.XLOOKUP("X",C712:C714,O712:O714,0),IF(OR($C712="W",$C712="1/2W",$C712="1/2L"),P713-SUM(O712:O714)+_xlfn.XLOOKUP("X",C712:C714,O712:O714,0),IF(OR($C712="W",$C712="1/2W",$C712="1/2L"),P714-SUM(O712:O714)+_xlfn.XLOOKUP("X",C712:C714,O712:O714,0),IF(SUM(P712:P714)/3-SUM(O712:O714)+_xlfn.XLOOKUP("X",C712:C714,O712:O714,0)&gt;0,SUM(P712:P714)/3-SUM(O712:O714)+_xlfn.XLOOKUP("X",C712:C714,O712:O714,0),LARGE(P712:P714,1)-SUM(O712:O714))))),IF(OR($C712="W",$C712="1/2W",$C712="1/2L"),P712-SUM(O712:O713)+_xlfn.XLOOKUP("X",C712:C714,O712:O714,0),IF(OR($C712="W",$C712="1/2W",$C712="1/2L"),P713-SUM(O712:O713)+_xlfn.XLOOKUP("X",C712:C714,O712:O714,0),SUM(P712:P713)/2-SUM(O712:O713)+_xlfn.XLOOKUP("X",C712:C714,O712:O714,0)))))))),2))</f>
        <v>2.72</v>
      </c>
      <c r="T712" s="265">
        <f>IF(S712=0,0,S712/SUM(O712:O714))</f>
        <v>0.148633879781421</v>
      </c>
      <c r="U712" s="266">
        <f>IF($D712=$D709,IF(OR($B712="LOSS",$B712="OK",$B712="Anulada"),S712,0)+U709,IF(OR($B712="LOSS",$B712="OK",$B712="Anulada"),S712,0))</f>
        <v>20.32</v>
      </c>
      <c r="V712" s="266">
        <f>IF($D712="",0,IF($D712=$D709,IF($B712=" ",IF(I714="",IF(OR(AND(I712="DNB1",I713="DNB2"),AND(OR(I712="DNB1",I712="DNB2"),J713=0),AND(OR(I713="DNB1",I713="DNB2"),J712=0),AND(I712="DNB2",I713="DNB1"),AND(IF(J712=0,(J712+1)/ROUND(J712+1,0),J712/ROUND(J712,0))=1,IF(J713=0,(J713+1)/ROUND(IF(J713="",0,J713)+1,0),IF(J713="",0,J713)/ROUND(IF(J713="",1,J713),0))=1,OR(J712&lt;&gt;""),J713&lt;&gt;"")),0,IF(S712&lt;0,IF(I714="",SMALL(P712:P713,1)-SUM(O712:O713),0),SMALL(P712:P713,1)-SUM(O712:O713))),IF(S712&lt;0,IF(I714="",SMALL(P712:P714,1)-SUM(O712:O714),0),LARGE(P712:P714,1)-SUM(O712:O714))),S712)+V709,IF(I714="",IF(OR(AND(I712="DNB1",I713="DNB2"),AND(OR(I712="DNB1",I712="DNB2"),J713=0),AND(OR(I713="DNB1",I713="DNB2"),J712=0),AND(I712="DNB2",I713="DNB1"),AND(IF(J712=0,(J712+1)/ROUND(J712+1,0),J712/ROUND(J712,0))=1,IF(J713=0,(IF(J713="",0,J713)+1)/ROUND(IF(J713="",0,J713)+1,0),IF(J713="",0,J713)/ROUND(IF(J713="",0,J713)+1,0))=1,OR(J712&lt;&gt;""),J713&lt;&gt;"")),0,IF(S712&lt;0,IF(I714="",SMALL(P712:P713,1)-SUM(O712:O713),0),SMALL(P712:P714,1)-SUM(O712:O714))),IF(S712&lt;0,IF(I714="",SMALL(P712:P714,1)-SUM(O712:O714),0),LARGE(P712:P714,1)-SUM(O712:O714)))))</f>
        <v>20.3176</v>
      </c>
      <c r="W712" s="266">
        <f>IF($D712=$D709,IF(S712&lt;0,IF(I714="",S712,0),S712)+W709,S712)</f>
        <v>20.32</v>
      </c>
      <c r="X712" t="s" s="267">
        <f>IF(OR(SUM(R712:R714)=0,V712=W712),ROUND(IF(W712=0,0,W712/Y712)*100,2)&amp;"%",ROUND(IF(V712=0,0,V712/Y712)*100,2)&amp;"% a "&amp;ROUND(IF(W712=0,0,W712/Y712)*100,2)&amp;"%")</f>
        <v>502</v>
      </c>
      <c r="Y712" s="268">
        <f>IF($D712=$D709,Y709+SUM(O712:O714),SUM(O712:O714))</f>
        <v>368.4</v>
      </c>
      <c r="Z712" s="266">
        <f>IF($B712=" ",SUM(O712:O714),0)+Z709</f>
        <v>0</v>
      </c>
      <c r="AA712" s="266">
        <f>IF(G712="","",IF($B712="Anulado",LARGE(P712:P714,1)-SUM(O712:O714)+AA709,AA709))</f>
        <v>27.7065076923077</v>
      </c>
      <c r="AB712" s="266">
        <f>IF($D712="","",AB709+S712)</f>
        <v>491.5</v>
      </c>
      <c r="AC712" s="269">
        <f>IF($D712="","",IF($B712=" ",IF(DAY(G712)=DAY(TODAY()),1+AC709,0+AC709),0+AC709))</f>
        <v>0</v>
      </c>
      <c r="AD712" s="270">
        <f>(1-_xlfn.XLOOKUP(K710,'Janeiro 2023 - Valor Real'!A3:A15,'Janeiro 2023 - Valor Real'!C3:C15,0))+1</f>
        <v>2</v>
      </c>
      <c r="AE712" s="271">
        <f>IF(L712="","",IF(L714&gt;0,(SUM(((L712-1)*(1-_xlfn.XLOOKUP(K712,'Janeiro 2023 - Valor Real'!A3:A15,'Janeiro 2023 - Valor Real'!C3:C15,0))+1),((L713-1)*(1-_xlfn.XLOOKUP(K713,'Janeiro 2023 - Valor Real'!A3:A15,'Janeiro 2023 - Valor Real'!C3:C15,0))+1),((L714-1)*(1-_xlfn.XLOOKUP(K714,'Janeiro 2023 - Valor Real'!A3:A15,'Janeiro 2023 - Valor Real'!C3:C15,0))+1))/((L712-1)*(1-_xlfn.XLOOKUP(K712,'Janeiro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Real'!C3:C15,0))+1))/((L712-1)*(1-_xlfn.XLOOKUP(K712,'Janeiro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Real'!C3:C15,0))+1))/((L713-1)*(1-_xlfn.XLOOKUP(K713,'Janeiro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Real'!C3:C15,0))+1))/((L714-1)*(1-_xlfn.XLOOKUP(K714,'Janeiro 2023 - Valor Real'!A3:A15,'Janeiro 2023 - Valor Real'!C3:C15,0))+1)),IF(I712="Lay",IF(I713="Lay",((L713/(L713-1)-1)*(1-_xlfn.XLOOKUP(K713,'Janeiro 2023 - Valor Real'!A3:A15,'Janeiro 2023 - Valor Real'!C3:C15,0))+1)/(((L713/(L713-1)-1)*(1-_xlfn.XLOOKUP(K713,'Janeiro 2023 - Valor Real'!A3:A15,'Janeiro 2023 - Valor Real'!C3:C15,0))+1)+((L712/(L712-1)-1)*(1-_xlfn.XLOOKUP(K712,'Janeiro 2023 - Valor Real'!A3:A15,'Janeiro 2023 - Valor Real'!C3:C15,0))+1)),((L713-1)*(1-_xlfn.XLOOKUP(K713,'Janeiro 2023 - Valor Real'!A3:A15,'Janeiro 2023 - Valor Real'!C3:C15,0))+1)/(((L713-1)*(1-_xlfn.XLOOKUP(K713,'Janeiro 2023 - Valor Real'!A3:A15,'Janeiro 2023 - Valor Real'!C3:C15,0))+1)+((L712/(L712-1)-1)*(1-_xlfn.XLOOKUP(K712,'Janeiro 2023 - Valor Real'!A3:A15,'Janeiro 2023 - Valor Real'!C3:C15,0))+1))),IF(I713="Lay",(((L713/(L713-1)-1)*(1-_xlfn.XLOOKUP(K713,'Janeiro 2023 - Valor Real'!A3:A15,'Janeiro 2023 - Valor Real'!C3:C15,0))+1))/(((L712-1)*(1-_xlfn.XLOOKUP(K712,'Janeiro 2023 - Valor Real'!A3:A15,'Janeiro 2023 - Valor Real'!C3:C15,0))+1)+((L713/(L713-1)-1)*(1-_xlfn.XLOOKUP(K713,'Janeiro 2023 - Valor Real'!A3:A15,'Janeiro 2023 - Valor Real'!C3:C15,0))+1)),((L713-1)*(1-_xlfn.XLOOKUP(K713,'Janeiro 2023 - Valor Real'!A3:A15,'Janeiro 2023 - Valor Real'!C3:C15,0))+1)/(((L713-1)*(1-_xlfn.XLOOKUP(K713,'Janeiro 2023 - Valor Real'!A3:A15,'Janeiro 2023 - Valor Real'!C3:C15,0))+1)+((L712-1)*(1-_xlfn.XLOOKUP(K712,'Janeiro 2023 - Valor Real'!A3:A15,'Janeiro 2023 - Valor Real'!C3:C15,0))+1))))))</f>
        <v>0.382716049382716</v>
      </c>
      <c r="AF712" s="132">
        <f>IF($K712=AF$3,ROUND(IF(OR($C712="W",$C712="1/2W",$C712="1/2L"),$P712-$O712,IF($C712="X",0,-$O712)),2),0)</f>
        <v>-7</v>
      </c>
      <c r="AG712" s="133">
        <f>IF($K712=AG$3,ROUND(IF(OR($C712="W",$C712="1/2W",$C712="1/2L"),$P712-$O712,IF($C712="X",0,-$O712)),2),0)</f>
        <v>0</v>
      </c>
      <c r="AH712" s="133">
        <f>IF($K712=AH$3,ROUND(IF(OR($C712="W",$C712="1/2W",$C712="1/2L"),$P712-$O712,IF($C712="X",0,-$O712)),2),0)</f>
        <v>0</v>
      </c>
      <c r="AI712" s="133">
        <f>IF($K712=AI$3,ROUND(IF(OR($C712="W",$C712="1/2W",$C712="1/2L"),$P712-$O712,IF($C712="X",0,-$O712)),2),0)</f>
        <v>0</v>
      </c>
      <c r="AJ712" s="133">
        <f>IF($K712=AJ$3,ROUND(IF(OR($C712="W",$C712="1/2W",$C712="1/2L"),$P712-$O712,IF($C712="X",0,-$O712)),2),0)</f>
        <v>0</v>
      </c>
      <c r="AK712" s="133">
        <f>IF($K712=AK$3,ROUND(IF(OR($C712="W",$C712="1/2W",$C712="1/2L"),$P712-$O712,IF($C712="X",0,-$O712)),2),0)</f>
        <v>0</v>
      </c>
      <c r="AL712" s="133">
        <f>IF($K712=AL$3,ROUND(IF(OR($C712="W",$C712="1/2W",$C712="1/2L"),$P712-$O712,IF($C712="X",0,-$O712)),2),0)</f>
        <v>0</v>
      </c>
      <c r="AM712" s="133">
        <f>IF($K712=AM$3,ROUND(IF(OR($C712="W",$C712="1/2W",$C712="1/2L"),$P712-$O712,IF($C712="X",0,-$O712)),2),0)</f>
        <v>0</v>
      </c>
      <c r="AN712" s="133">
        <f>IF($K712=AN$3,ROUND(IF(OR($C712="W",$C712="1/2W",$C712="1/2L"),$P712-$O712,IF($C712="X",0,-$O712)),2),0)</f>
        <v>0</v>
      </c>
      <c r="AO712" s="133">
        <f>IF($K712=AO$3,ROUND(IF(OR($C712="W",$C712="1/2W",$C712="1/2L"),$P712-$O712,IF($C712="X",0,-$O712)),2),0)</f>
        <v>0</v>
      </c>
      <c r="AP712" s="133">
        <f>IF($K712=AP$3,ROUND(IF(OR($C712="W",$C712="1/2W",$C712="1/2L"),$P712-$O712,IF($C712="X",0,-$O712)),2),0)</f>
        <v>0</v>
      </c>
      <c r="AQ712" s="133">
        <f>IF($K712=AQ$3,ROUND(IF(OR($C712="W",$C712="1/2W",$C712="1/2L"),$P712-$O712,IF($C712="X",0,-$O712)),2),0)</f>
        <v>0</v>
      </c>
      <c r="AR712" s="134">
        <f>IF($K712=AR$3,ROUND(IF(OR($C712="W",$C712="1/2W",$C712="1/2L"),$P712-$O712,IF($C712="X",0,-$O712)),2),0)</f>
        <v>0</v>
      </c>
      <c r="AS712" s="132">
        <f>IF(AND($B712=" ",$K712=AS$3),$O712,0)</f>
        <v>0</v>
      </c>
      <c r="AT712" s="133">
        <f>IF(AND($B712=" ",$K712=AT$3),$O712,0)</f>
        <v>0</v>
      </c>
      <c r="AU712" s="133">
        <f>IF(AND($B712=" ",$K712=AU$3),$O712,0)</f>
        <v>0</v>
      </c>
      <c r="AV712" s="133">
        <f>IF(AND($B712=" ",$K712=AV$3),$O712,0)</f>
        <v>0</v>
      </c>
      <c r="AW712" s="133">
        <f>IF(AND($B712=" ",$K712=AW$3),$O712,0)</f>
        <v>0</v>
      </c>
      <c r="AX712" s="133">
        <f>IF(AND($B712=" ",$K712=AX$3),$O712,0)</f>
        <v>0</v>
      </c>
      <c r="AY712" s="135">
        <f>IF(AND($B712=" ",$K712=AY$3),$O712,0)</f>
        <v>0</v>
      </c>
      <c r="AZ712" s="136">
        <f>IF(AND($B712=" ",$K712=AZ$3),$O712,0)</f>
        <v>0</v>
      </c>
      <c r="BA712" s="136">
        <f>IF(AND($B712=" ",$K712=BA$3),$O712,0)</f>
        <v>0</v>
      </c>
      <c r="BB712" s="136">
        <f>IF(AND($B712=" ",$K712=BB$3),$O712,0)</f>
        <v>0</v>
      </c>
      <c r="BC712" s="137">
        <f>IF(AND($B712=" ",$K712=BC$3),$O712,0)</f>
        <v>0</v>
      </c>
      <c r="BD712" s="133">
        <f>IF(AND($B712=" ",$K712=BD$3),$O712,0)</f>
        <v>0</v>
      </c>
      <c r="BE712" s="134">
        <f>IF(AND($B712=" ",$K712=BE$3),$O712,0)</f>
        <v>0</v>
      </c>
      <c r="BF712" s="132">
        <f>IF($K712=BF$3,IF($C712="X",0,$O712),0)</f>
        <v>7</v>
      </c>
      <c r="BG712" s="133">
        <f>IF($K712=BG$3,IF($C712="X",0,$O712),0)</f>
        <v>0</v>
      </c>
      <c r="BH712" s="133">
        <f>IF($K712=BH$3,IF($C712="X",0,$O712),0)</f>
        <v>0</v>
      </c>
      <c r="BI712" s="133">
        <f>IF($K712=BI$3,IF($C712="X",0,$O712),0)</f>
        <v>0</v>
      </c>
      <c r="BJ712" s="133">
        <f>IF($K712=BJ$3,IF($C712="X",0,$O712),0)</f>
        <v>0</v>
      </c>
      <c r="BK712" s="133">
        <f>IF($K712=BK$3,IF($C712="X",0,$O712),0)</f>
        <v>0</v>
      </c>
      <c r="BL712" s="133">
        <f>IF($K712=BL$3,IF($C712="X",0,$O712),0)</f>
        <v>0</v>
      </c>
      <c r="BM712" s="135">
        <f>IF($K712=BM$3,IF($C712="X",0,$O712),0)</f>
        <v>0</v>
      </c>
      <c r="BN712" s="136">
        <f>IF($K712=BN$3,IF($C712="X",0,$O712),0)</f>
        <v>0</v>
      </c>
      <c r="BO712" s="136">
        <f>IF($K712=BO$3,IF($C712="X",0,$O712),0)</f>
        <v>0</v>
      </c>
      <c r="BP712" s="136">
        <f>IF($K712=BP$3,IF($C712="X",0,$O712),0)</f>
        <v>0</v>
      </c>
      <c r="BQ712" s="137">
        <f>IF($K712=BQ$3,IF($C712="X",0,$O712),0)</f>
        <v>0</v>
      </c>
      <c r="BR712" s="134">
        <f>IF($K712=BR$3,IF($C712="X",0,$O712),0)</f>
        <v>0</v>
      </c>
      <c r="BS712" s="170">
        <f>IF($B712="LOSS",IF(AND($K712=BS$3,$C712="L"),-$O712,0)+IF(AND($K713=BS$3,$C713="L"),-$O713,0)+IF(AND($K714=BS$3,$C714="L"),-$O714,0),IF(OR(AND($K712=BS$3,OR($C712="W",$C712="1/2W")),AND($K713=BS$3,OR($C713="W",$C713="1/2W")),AND($K714=BS$3,OR($C714="W",$C714="1/2W"))),$S712,0))</f>
        <v>0</v>
      </c>
      <c r="BT712" s="272">
        <f>IF($B712="LOSS",IF(AND($K712=BT$3,$C712="L"),-$O712,0)+IF(AND($K713=BT$3,$C713="L"),-$O713,0)+IF(AND($K713=BT$3,$C714="L"),-$O714,0),IF(OR(AND($K713=BT$3,OR($C712="W",$C712="1/2W")),AND($K713=BT$3,OR($C713="W",$C713="1/2W")),AND($K713=BT$3,OR($C714="W",$C714="1/2W"))),$S712,0))</f>
        <v>0</v>
      </c>
      <c r="BU712" s="136">
        <f>IF($B712="LOSS",IF(AND($K712=BU$3,$C712="L"),-$O712,0)+IF(AND($K713=BU$3,$C713="L"),-$O713,0)+IF(AND($K713=BU$3,$C714="L"),-$O714,0),IF(OR(AND($K713=BU$3,OR($C712="W",$C712="1/2W")),AND($K713=BU$3,OR($C713="W",$C713="1/2W")),AND($K713=BU$3,OR($C714="W",$C714="1/2W"))),$S712,0))</f>
        <v>0</v>
      </c>
      <c r="BV712" s="136">
        <f>IF($B712="LOSS",IF(AND($K712=BV$3,$C712="L"),-$O712,0)+IF(AND($K713=BV$3,$C713="L"),-$O713,0)+IF(AND($K714=BV$3,$C714="L"),-$O714,0),IF(OR(AND($K712=BV$3,OR($C712="W",$C712="1/2W")),AND($K713=BV$3,OR($C713="W",$C713="1/2W")),AND($K714=BV$3,OR($C714="W",$C714="1/2W"))),$S712,0))</f>
        <v>0</v>
      </c>
      <c r="BW712" s="136">
        <f>IF($B712="LOSS",IF(AND($K712=BW$3,$C712="L"),-$O712,0)+IF(AND($K713=BW$3,$C713="L"),-$O713,0)+IF(AND($K714=BW$3,$C714="L"),-$O714,0),IF(OR(AND($K712=BW$3,OR($C712="W",$C712="1/2W")),AND($K713=BW$3,OR($C713="W",$C713="1/2W")),AND($K714=BW$3,OR($C714="W",$C714="1/2W"))),$S712,0))</f>
        <v>2.72</v>
      </c>
      <c r="BX712" s="136">
        <f>IF($B712="LOSS",IF(AND($K712=BX$3,$C712="L"),-$O712,0)+IF(AND($K713=BX$3,$C713="L"),-$O713,0)+IF(AND($K714=BX$3,$C714="L"),-$O714,0),IF(OR(AND($K712=BX$3,OR($C712="W",$C712="1/2W")),AND($K713=BX$3,OR($C713="W",$C713="1/2W")),AND($K714=BX$3,OR($C714="W",$C714="1/2W"))),$S712,0))</f>
        <v>0</v>
      </c>
      <c r="BY712" s="136">
        <f>IF($B712="LOSS",IF(AND($K712=BY$3,$C712="L"),-$O712,0)+IF(AND($K713=BY$3,$C713="L"),-$O713,0)+IF(AND($K714=BY$3,$C714="L"),-$O714,0),IF(OR(AND($K712=BY$3,OR($C712="W",$C712="1/2W")),AND($K713=BY$3,OR($C713="W",$C713="1/2W")),AND($K714=BY$3,OR($C714="W",$C714="1/2W"))),$S712,0))</f>
        <v>0</v>
      </c>
      <c r="BZ712" s="136">
        <f>IF($B712="LOSS",IF(AND($K712=BZ$3,$C712="L"),-$O712,0)+IF(AND($K713=BZ$3,$C713="L"),-$O713,0)+IF(AND($K714=BZ$3,$C714="L"),-$O714,0),IF(OR(AND($K712=BZ$3,OR($C712="W",$C712="1/2W")),AND($K713=BZ$3,OR($C713="W",$C713="1/2W")),AND($K714=BZ$3,OR($C714="W",$C714="1/2W"))),$S712,0))</f>
        <v>0</v>
      </c>
      <c r="CA712" s="136">
        <f>IF($B712="LOSS",IF(AND($K712=CA$3,$C712="L"),-$O712,0)+IF(AND($K713=CA$3,$C713="L"),-$O713,0)+IF(AND($K714=CA$3,$C714="L"),-$O714,0),IF(OR(AND($K712=CA$3,OR($C712="W",$C712="1/2W")),AND($K713=CA$3,OR($C713="W",$C713="1/2W")),AND($K714=CA$3,OR($C714="W",$C714="1/2W"))),$S712,0))</f>
        <v>0</v>
      </c>
      <c r="CB712" s="136">
        <f>IF($B712="LOSS",IF(AND($K712=CB$3,$C712="L"),-$O712,0)+IF(AND($K713=CB$3,$C713="L"),-$O713,0)+IF(AND($K714=CB$3,$C714="L"),-$O714,0),IF(OR(AND($K712=CB$3,OR($C712="W",$C712="1/2W")),AND($K713=CB$3,OR($C713="W",$C713="1/2W")),AND($K714=CB$3,OR($C714="W",$C714="1/2W"))),$S712,0))</f>
        <v>0</v>
      </c>
      <c r="CC712" s="136">
        <f>IF($B712="LOSS",IF(AND($K712=CC$3,$C712="L"),-$O712,0)+IF(AND($K713=CC$3,$C713="L"),-$O713,0)+IF(AND($K714=CC$3,$C714="L"),-$O714,0),IF(OR(AND($K712=CC$3,OR($C712="W",$C712="1/2W")),AND($K713=CC$3,OR($C713="W",$C713="1/2W")),AND($K714=CC$3,OR($C714="W",$C714="1/2W"))),$S712,0))</f>
        <v>0</v>
      </c>
      <c r="CD712" s="137">
        <f>IF($B712="LOSS",IF(AND($K712=CD$3,$C712="L"),-$O712,0)+IF(AND($K713=CD$3,$C713="L"),-$O713,0)+IF(AND($K714=CD$3,$C714="L"),-$O714,0),IF(OR(AND($K712=CD$3,OR($C712="W",$C712="1/2W")),AND($K713=CD$3,OR($C713="W",$C713="1/2W")),AND($K714=CD$3,OR($C714="W",$C714="1/2W"))),$S712,0))</f>
        <v>0</v>
      </c>
      <c r="CE712" s="134">
        <f>IF($B712="LOSS",IF(AND($K712=CE$3,$C712="L"),-$O712,0)+IF(AND($K713=CE$3,$C713="L"),-$O713,0)+IF(AND($K714=CE$3,$C714="L"),-$O714,0),IF(OR(AND($K712=CE$3,OR($C712="W",$C712="1/2W")),AND($K713=CE$3,OR($C713="W",$C713="1/2W")),AND($K714=CE$3,OR($C714="W",$C714="1/2W"))),$S712,0))</f>
        <v>0</v>
      </c>
      <c r="CF712" s="273">
        <f>IF(CF$3=$K712,IF($C712="W",1,IF($C712="1/2W",0.5,0)),0)</f>
        <v>0</v>
      </c>
      <c r="CG712" s="274">
        <f>IF(CF$3=$K712,IF($C712="L",1,IF($C712="1/2L",0.5,0)),0)</f>
        <v>1</v>
      </c>
      <c r="CH712" s="274">
        <f>IF(CH$3=$K712,IF($C712="W",1,IF($C712="1/2W",0.5,0)),0)</f>
        <v>0</v>
      </c>
      <c r="CI712" s="274">
        <f>IF(CH$3=$K712,IF($C712="L",1,IF($C712="1/2L",0.5,0)),0)</f>
        <v>0</v>
      </c>
      <c r="CJ712" s="274">
        <f>IF(CJ$3=$K712,IF($C712="W",1,IF($C712="1/2W",0.5,0)),0)</f>
        <v>0</v>
      </c>
      <c r="CK712" s="274">
        <f>IF(CJ$3=$K712,IF($C712="L",1,IF($C712="1/2L",0.5,0)),0)</f>
        <v>0</v>
      </c>
      <c r="CL712" s="274">
        <f>IF(CL$3=$K712,IF($C712="W",1,IF($C712="1/2W",0.5,0)),0)</f>
        <v>0</v>
      </c>
      <c r="CM712" s="274">
        <f>IF(CL$3=$K712,IF($C712="L",1,IF($C712="1/2L",0.5,0)),0)</f>
        <v>0</v>
      </c>
      <c r="CN712" s="274">
        <f>IF(CN$3=$K712,IF($C712="W",1,IF($C712="1/2W",0.5,0)),0)</f>
        <v>0</v>
      </c>
      <c r="CO712" s="274">
        <f>IF(CN$3=$K712,IF($C712="L",1,IF($C712="1/2L",0.5,0)),0)</f>
        <v>0</v>
      </c>
      <c r="CP712" s="274">
        <f>IF(CP$3=$K712,IF($C712="W",1,IF($C712="1/2W",0.5,0)),0)</f>
        <v>0</v>
      </c>
      <c r="CQ712" s="274">
        <f>IF(CP$3=$K712,IF($C712="L",1,IF($C712="1/2L",0.5,0)),0)</f>
        <v>0</v>
      </c>
      <c r="CR712" s="274">
        <f>IF(CR$3=$K712,IF($C712="W",1,IF($C712="1/2W",0.5,0)),0)</f>
        <v>0</v>
      </c>
      <c r="CS712" s="274">
        <f>IF(CR$3=$K712,IF($C712="L",1,IF($C712="1/2L",0.5,0)),0)</f>
        <v>0</v>
      </c>
      <c r="CT712" s="145">
        <f>IF(CT$3=$K712,IF($C712="W",1,IF($C712="1/2W",0.5,0)),0)</f>
        <v>0</v>
      </c>
      <c r="CU712" s="146">
        <f>IF(CT$3=$K712,IF($C712="L",1,IF($C712="1/2L",0.5,0)),0)</f>
        <v>0</v>
      </c>
      <c r="CV712" s="146">
        <f>IF(CV$3=$K712,IF($C712="W",1,IF($C712="1/2W",0.5,0)),0)</f>
        <v>0</v>
      </c>
      <c r="CW712" s="146">
        <f>IF(CV$3=$K712,IF($C712="L",1,IF($C712="1/2L",0.5,0)),0)</f>
        <v>0</v>
      </c>
      <c r="CX712" s="146">
        <f>IF(CX$3=$K712,IF($C712="W",1,IF($C712="1/2W",0.5,0)),0)</f>
        <v>0</v>
      </c>
      <c r="CY712" s="146">
        <f>IF(CX$3=$K712,IF($C712="L",1,IF($C712="1/2L",0.5,0)),0)</f>
        <v>0</v>
      </c>
      <c r="CZ712" s="146">
        <f>IF(CZ$3=$K712,IF($C712="W",1,IF($C712="1/2W",0.5,0)),0)</f>
        <v>0</v>
      </c>
      <c r="DA712" s="146">
        <f>IF(CZ$3=$K712,IF($C712="L",1,IF($C712="1/2L",0.5,0)),0)</f>
        <v>0</v>
      </c>
      <c r="DB712" s="146">
        <f>IF(DB$3=$K712,IF($C712="W",1,IF($C712="1/2W",0.5,0)),0)</f>
        <v>0</v>
      </c>
      <c r="DC712" s="146">
        <f>IF(DB$3=$K712,IF($C712="L",1,IF($C712="1/2L",0.5,0)),0)</f>
        <v>0</v>
      </c>
      <c r="DD712" s="146">
        <f>IF(DD$3=$K712,IF($C712="W",1,IF($C712="1/2W",0.5,0)),0)</f>
        <v>0</v>
      </c>
      <c r="DE712" s="147">
        <f>IF(DD$3=$K712,IF($C712="L",1,IF($C712="1/2L",0.5,0)),0)</f>
        <v>0</v>
      </c>
      <c r="DF712" s="143">
        <f>IF(AND(L712&lt;DF$3,$C712="W"),1+DF711,DF711)</f>
        <v>20</v>
      </c>
      <c r="DG712" s="133">
        <f>IF(DF712&gt;DF711,L712+DG711,DG711)</f>
        <v>26.624</v>
      </c>
      <c r="DH712" s="146">
        <f>IF(AND(L712&gt;DH$3,$C712="W"),1+DH711,0+DH711)</f>
        <v>18</v>
      </c>
      <c r="DI712" s="133">
        <f>IF(DH712&gt;DH711,L712+DI711,DI711)</f>
        <v>93.66</v>
      </c>
      <c r="DJ712" t="s" s="304">
        <f>IF($D712="","",$D712)</f>
        <v>481</v>
      </c>
      <c r="DK712" s="146">
        <f>IF(AND($B712=" ",$D712&lt;&gt;""),1,0)</f>
        <v>0</v>
      </c>
    </row>
    <row r="713" ht="14.55" customHeight="1">
      <c r="A713" s="107"/>
      <c r="B713" s="108"/>
      <c r="C713" t="s" s="109">
        <v>56</v>
      </c>
      <c r="D713" s="110"/>
      <c r="E713" s="111"/>
      <c r="F713" s="113"/>
      <c r="G713" s="252"/>
      <c r="H713" s="114"/>
      <c r="I713" t="s" s="275">
        <v>67</v>
      </c>
      <c r="J713" s="276">
        <f>IF(OR(I712="TO",I712="TU",I712="TO1",I712="TU1",I712="TO2",I712="TU2"),J712,IF(OR(I712="AH1",I712="AH2"),IF(OR(I713="AH1",I713="AH2"),-J712,IF(OR(I713="EH1",I713="EH2"),-J712+0.5,"")),IF(OR(I712="EH1",I712="EH2"),IF(OR(I713="AH1",I713="AH2"),-J712+0.5,IF(OR(I713="EH1",I713="EH2"),-J712+1,"")),IF(AND(OR(I712="DNB1",I712="DNB2"),OR(I713="AH1",I713="AH2")),0,IF(AND(I712="Not ScoreBoth",OR(I713="TO1",I713="TO2")),0.5,"")))))</f>
        <v>1.5</v>
      </c>
      <c r="K713" t="s" s="117">
        <v>41</v>
      </c>
      <c r="L713" s="277">
        <v>1.86</v>
      </c>
      <c r="M713" s="278"/>
      <c r="N713" s="120"/>
      <c r="O713" s="121">
        <f>IF(OR(AE712="",AE713=""),"",ROUND(IF(L714&gt;0,IF(M713&gt;0,M713,IF(M712&gt;0,IF(N712=TRUE,ROUND((M712*AE713)/AE712,0),(M712*AE713)/AE712),IF(M713&gt;0,ROUND(M713,IF(N712=0,2,IF(N712=0.1,1,0))),IF(M714&gt;0,ROUND(O714*AE713/AE714,IF(N712=0,2,IF(N712=0.1,1,0))),0)))),IF(M713&gt;0,M713,ROUND((M712*AE713)/AE712,IF(N712=0,2,IF(N712=0.1,1,0))))),2))</f>
        <v>11.3</v>
      </c>
      <c r="P713" s="122">
        <f>IF(OR(L713="",O713=""),"",IF($C713="1/2W",O713/2+O713/2*L713,IF($C713="1/2L",O713/2,IF(I713="Lay",((O713*(L713/(L713-1)))-O713)*(1-_xlfn.XLOOKUP(K713,'Janeiro 2023 - Valor Real'!A3:A15,'Janeiro 2023 - Valor Real'!C3:C15,0))+O713,(O713*L713-O713)*(1-_xlfn.XLOOKUP(K713,'Janeiro 2023 - Valor Real'!A3:A15,'Janeiro 2023 - Valor Real'!C3:C15,0))+O713))))</f>
        <v>21.018</v>
      </c>
      <c r="Q713" s="279">
        <f>IF(K713="","",IF(_xlfn.XLOOKUP(K713,K$120:K492,DJ$120:DJ492,0,,-1)=DJ713,_xlfn.XLOOKUP(K713,K$120:K492,Q$120:Q492,1,,-1)+1,1))</f>
        <v>1</v>
      </c>
      <c r="R713" s="280">
        <f>IF(K713="","",_xlfn.XLOOKUP(K713,K$120:K492,R$120:R492,0,,-1)+IF($C713=" ",1,0))</f>
        <v>0</v>
      </c>
      <c r="S713" s="125"/>
      <c r="T713" s="126"/>
      <c r="U713" s="126"/>
      <c r="V713" s="224"/>
      <c r="W713" s="126"/>
      <c r="X713" s="127"/>
      <c r="Y713" s="128"/>
      <c r="Z713" s="129"/>
      <c r="AA713" s="129"/>
      <c r="AB713" s="129"/>
      <c r="AC713" s="129"/>
      <c r="AD713" s="130"/>
      <c r="AE713" s="131">
        <f>IF(L713="","",IF(L714&gt;0,(SUM(((L712-1)*(1-_xlfn.XLOOKUP(K712,'Janeiro 2023 - Valor Real'!A3:A15,'Janeiro 2023 - Valor Real'!C3:C15,0))+1),((L713-1)*(1-_xlfn.XLOOKUP(K713,'Janeiro 2023 - Valor Real'!A3:A15,'Janeiro 2023 - Valor Real'!C3:C15,0))+1),((L714-1)*(1-_xlfn.XLOOKUP(K714,'Janeiro 2023 - Valor Real'!A3:A15,'Janeiro 2023 - Valor Real'!C3:C15,0))+1))/((L713-1)*(1-_xlfn.XLOOKUP(K713,'Janeiro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Real'!C3:C15,0))+1))/((L712-1)*(1-_xlfn.XLOOKUP(K712,'Janeiro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Real'!C3:C15,0))+1))/((L713-1)*(1-_xlfn.XLOOKUP(K713,'Janeiro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Real'!C3:C15,0))+1))/((L714-1)*(1-_xlfn.XLOOKUP(K714,'Janeiro 2023 - Valor Real'!A3:A15,'Janeiro 2023 - Valor Real'!C3:C15,0))+1)),IF(I713="Lay",IF(I712="Lay",((L712/(L712-1)-1)*(1-_xlfn.XLOOKUP(K712,'Janeiro 2023 - Valor Real'!A3:A15,'Janeiro 2023 - Valor Real'!C3:C15,0))+1)/(((L712/(L712-1)-1)*(1-_xlfn.XLOOKUP(K712,'Janeiro 2023 - Valor Real'!A3:A15,'Janeiro 2023 - Valor Real'!C3:C15,0))+1)+((L713/(L713-1)-1)*(1-_xlfn.XLOOKUP(K713,'Janeiro 2023 - Valor Real'!A3:A15,'Janeiro 2023 - Valor Real'!C3:C15,0))+1)),((L712-1)*(1-_xlfn.XLOOKUP(K712,'Janeiro 2023 - Valor Real'!A3:A15,'Janeiro 2023 - Valor Real'!C3:C15,0))+1)/(((L712-1)*(1-_xlfn.XLOOKUP(K712,'Janeiro 2023 - Valor Real'!A3:A15,'Janeiro 2023 - Valor Real'!C3:C15,0))+1)+((L713/(L713-1)-1)*(1-_xlfn.XLOOKUP(K713,'Janeiro 2023 - Valor Real'!A3:A15,'Janeiro 2023 - Valor Real'!C3:C15,0))+1))),IF(I712="Lay",((L712/(L712-1)-1)*(1-_xlfn.XLOOKUP(K712,'Janeiro 2023 - Valor Real'!A3:A15,'Janeiro 2023 - Valor Real'!C3:C15,0))+1)/((((L712/(L712-1)-1)*(1-_xlfn.XLOOKUP(K712,'Janeiro 2023 - Valor Real'!A3:A15,'Janeiro 2023 - Valor Real'!C3:C15,0))+1))+((L713-1)*(1-_xlfn.XLOOKUP(K713,'Janeiro 2023 - Valor Real'!A3:A15,'Janeiro 2023 - Valor Real'!C3:C15,0))+1)),((L712-1)*(1-_xlfn.XLOOKUP(K712,'Janeiro 2023 - Valor Real'!A3:A15,'Janeiro 2023 - Valor Real'!C3:C15,0))+1)/(((L712-1)*(1-_xlfn.XLOOKUP(K712,'Janeiro 2023 - Valor Real'!A3:A15,'Janeiro 2023 - Valor Real'!C3:C15,0))+1)+((L713-1)*(1-_xlfn.XLOOKUP(K713,'Janeiro 2023 - Valor Real'!A3:A15,'Janeiro 2023 - Valor Real'!C3:C15,0))+1))))))</f>
        <v>0.617283950617284</v>
      </c>
      <c r="AF713" s="132">
        <f>IF($K713=AF$3,ROUND(IF(OR($C713="W",$C713="1/2W",$C713="1/2L"),$P713-$O713,IF($C713="X",0,-$O713)),2),0)</f>
        <v>0</v>
      </c>
      <c r="AG713" s="133">
        <f>IF($K713=AG$3,ROUND(IF(OR($C713="W",$C713="1/2W",$C713="1/2L"),$P713-$O713,IF($C713="X",0,-$O713)),2),0)</f>
        <v>0</v>
      </c>
      <c r="AH713" s="133">
        <f>IF($K713=AH$3,ROUND(IF(OR($C713="W",$C713="1/2W",$C713="1/2L"),$P713-$O713,IF($C713="X",0,-$O713)),2),0)</f>
        <v>0</v>
      </c>
      <c r="AI713" s="133">
        <f>IF($K713=AI$3,ROUND(IF(OR($C713="W",$C713="1/2W",$C713="1/2L"),$P713-$O713,IF($C713="X",0,-$O713)),2),0)</f>
        <v>0</v>
      </c>
      <c r="AJ713" s="133">
        <f>IF($K713=AJ$3,ROUND(IF(OR($C713="W",$C713="1/2W",$C713="1/2L"),$P713-$O713,IF($C713="X",0,-$O713)),2),0)</f>
        <v>9.720000000000001</v>
      </c>
      <c r="AK713" s="133">
        <f>IF($K713=AK$3,ROUND(IF(OR($C713="W",$C713="1/2W",$C713="1/2L"),$P713-$O713,IF($C713="X",0,-$O713)),2),0)</f>
        <v>0</v>
      </c>
      <c r="AL713" s="133">
        <f>IF($K713=AL$3,ROUND(IF(OR($C713="W",$C713="1/2W",$C713="1/2L"),$P713-$O713,IF($C713="X",0,-$O713)),2),0)</f>
        <v>0</v>
      </c>
      <c r="AM713" s="133">
        <f>IF($K713=AM$3,ROUND(IF(OR($C713="W",$C713="1/2W",$C713="1/2L"),$P713-$O713,IF($C713="X",0,-$O713)),2),0)</f>
        <v>0</v>
      </c>
      <c r="AN713" s="133">
        <f>IF($K713=AN$3,ROUND(IF(OR($C713="W",$C713="1/2W",$C713="1/2L"),$P713-$O713,IF($C713="X",0,-$O713)),2),0)</f>
        <v>0</v>
      </c>
      <c r="AO713" s="133">
        <f>IF($K713=AO$3,ROUND(IF(OR($C713="W",$C713="1/2W",$C713="1/2L"),$P713-$O713,IF($C713="X",0,-$O713)),2),0)</f>
        <v>0</v>
      </c>
      <c r="AP713" s="133">
        <f>IF($K713=AP$3,ROUND(IF(OR($C713="W",$C713="1/2W",$C713="1/2L"),$P713-$O713,IF($C713="X",0,-$O713)),2),0)</f>
        <v>0</v>
      </c>
      <c r="AQ713" s="133">
        <f>IF($K713=AQ$3,ROUND(IF(OR($C713="W",$C713="1/2W",$C713="1/2L"),$P713-$O713,IF($C713="X",0,-$O713)),2),0)</f>
        <v>0</v>
      </c>
      <c r="AR713" s="134">
        <f>IF($K713=AR$3,ROUND(IF(OR($C713="W",$C713="1/2W",$C713="1/2L"),$P713-$O713,IF($C713="X",0,-$O713)),2),0)</f>
        <v>0</v>
      </c>
      <c r="AS713" s="132">
        <f>IF(AND($B712=" ",$K713=AS$3),$O713,0)</f>
        <v>0</v>
      </c>
      <c r="AT713" s="133">
        <f>IF(AND($B712=" ",K713=AT$3),$O713,0)</f>
        <v>0</v>
      </c>
      <c r="AU713" s="133">
        <f>IF(AND($B712=" ",$K713=AU$3),$O713,0)</f>
        <v>0</v>
      </c>
      <c r="AV713" s="133">
        <f>IF(AND($B712=" ",$K713=AV$3),$O713,0)</f>
        <v>0</v>
      </c>
      <c r="AW713" s="133">
        <f>IF(AND($B712=" ",$K713=AW$3),$O713,0)</f>
        <v>0</v>
      </c>
      <c r="AX713" s="133">
        <f>IF(AND($B712=" ",$K713=AX$3),$O713,0)</f>
        <v>0</v>
      </c>
      <c r="AY713" s="135">
        <f>IF(AND($B712=" ",$K713=AY$3),$O713,0)</f>
        <v>0</v>
      </c>
      <c r="AZ713" s="136">
        <f>IF(AND($B712=" ",$K713=AZ$3),$O713,0)</f>
        <v>0</v>
      </c>
      <c r="BA713" s="136">
        <f>IF(AND($B712=" ",$K713=BA$3),$O713,0)</f>
        <v>0</v>
      </c>
      <c r="BB713" s="136">
        <f>IF(AND($B712=" ",$K713=BB$3),$O713,0)</f>
        <v>0</v>
      </c>
      <c r="BC713" s="137">
        <f>IF(AND($B712=" ",$K713=BC$3),$O713,0)</f>
        <v>0</v>
      </c>
      <c r="BD713" s="133">
        <f>IF(AND($B712=" ",$K713=BD$3),$O713,0)</f>
        <v>0</v>
      </c>
      <c r="BE713" s="134">
        <f>IF(AND($B712=" ",$K713=BE$3),$O713,0)</f>
        <v>0</v>
      </c>
      <c r="BF713" s="132">
        <f>IF($K713=BF$3,IF($C713="X",0,$O713),0)</f>
        <v>0</v>
      </c>
      <c r="BG713" s="281">
        <f>IF($K713=BG$3,IF($C713="X",0,$O713),0)</f>
        <v>0</v>
      </c>
      <c r="BH713" s="133">
        <f>IF($K713=BH$3,IF($C713="X",0,$O713),0)</f>
        <v>0</v>
      </c>
      <c r="BI713" s="133">
        <f>IF($K713=BI$3,IF($C713="X",0,$O713),0)</f>
        <v>0</v>
      </c>
      <c r="BJ713" s="133">
        <f>IF($K713=BJ$3,IF($C713="X",0,$O713),0)</f>
        <v>11.3</v>
      </c>
      <c r="BK713" s="133">
        <f>IF($K713=BK$3,IF($C713="X",0,$O713),0)</f>
        <v>0</v>
      </c>
      <c r="BL713" s="133">
        <f>IF($K713=BL$3,IF($C713="X",0,$O713),0)</f>
        <v>0</v>
      </c>
      <c r="BM713" s="135">
        <f>IF($K713=BM$3,IF($C713="X",0,$O713),0)</f>
        <v>0</v>
      </c>
      <c r="BN713" s="136">
        <f>IF($K713=BN$3,IF($C713="X",0,$O713),0)</f>
        <v>0</v>
      </c>
      <c r="BO713" s="136">
        <f>IF($K713=BO$3,IF($C713="X",0,$O713),0)</f>
        <v>0</v>
      </c>
      <c r="BP713" s="136">
        <f>IF($K713=BP$3,IF($C713="X",0,$O713),0)</f>
        <v>0</v>
      </c>
      <c r="BQ713" s="137">
        <f>IF($K713=BQ$3,IF($C713="X",0,$O713),0)</f>
        <v>0</v>
      </c>
      <c r="BR713" s="134">
        <f>IF($K713=BR$3,IF($C713="X",0,$O713),0)</f>
        <v>0</v>
      </c>
      <c r="BS713" s="282"/>
      <c r="BT713" s="283"/>
      <c r="BU713" s="140"/>
      <c r="BV713" s="283"/>
      <c r="BW713" s="140"/>
      <c r="BX713" s="140"/>
      <c r="BY713" s="140"/>
      <c r="BZ713" s="283"/>
      <c r="CA713" s="140"/>
      <c r="CB713" s="140"/>
      <c r="CC713" s="140"/>
      <c r="CD713" s="141"/>
      <c r="CE713" s="142"/>
      <c r="CF713" s="284">
        <f>IF(CF$3=$K713,IF($C713="W",1,IF($C713="1/2W",0.5,0)),0)</f>
        <v>0</v>
      </c>
      <c r="CG713" s="285">
        <f>IF(CF$3=$K713,IF($C713="L",1,IF($C713="1/2L",0.5,0)),0)</f>
        <v>0</v>
      </c>
      <c r="CH713" s="285">
        <f>IF(CH$3=$K713,IF($C713="W",1,IF($C713="1/2W",0.5,0)),0)</f>
        <v>0</v>
      </c>
      <c r="CI713" s="285">
        <f>IF(CH$3=$K713,IF($C713="L",1,IF($C713="1/2L",0.5,0)),0)</f>
        <v>0</v>
      </c>
      <c r="CJ713" s="285">
        <f>IF(CJ$3=$K713,IF($C713="W",1,IF($C713="1/2W",0.5,0)),0)</f>
        <v>0</v>
      </c>
      <c r="CK713" s="285">
        <f>IF(CJ$3=$K713,IF($C713="L",1,IF($C713="1/2L",0.5,0)),0)</f>
        <v>0</v>
      </c>
      <c r="CL713" s="285">
        <f>IF(CL$3=$K713,IF($C713="W",1,IF($C713="1/2W",0.5,0)),0)</f>
        <v>0</v>
      </c>
      <c r="CM713" s="285">
        <f>IF(CL$3=$K713,IF($C713="L",1,IF($C713="1/2L",0.5,0)),0)</f>
        <v>0</v>
      </c>
      <c r="CN713" s="285">
        <f>IF(CN$3=$K713,IF($C713="W",1,IF($C713="1/2W",0.5,0)),0)</f>
        <v>1</v>
      </c>
      <c r="CO713" s="285">
        <f>IF(CN$3=$K713,IF($C713="L",1,IF($C713="1/2L",0.5,0)),0)</f>
        <v>0</v>
      </c>
      <c r="CP713" s="285">
        <f>IF(CP$3=$K713,IF($C713="W",1,IF($C713="1/2W",0.5,0)),0)</f>
        <v>0</v>
      </c>
      <c r="CQ713" s="285">
        <f>IF(CP$3=$K713,IF($C713="L",1,IF($C713="1/2L",0.5,0)),0)</f>
        <v>0</v>
      </c>
      <c r="CR713" s="285">
        <f>IF(CR$3=$K713,IF($C713="W",1,IF($C713="1/2W",0.5,0)),0)</f>
        <v>0</v>
      </c>
      <c r="CS713" s="285">
        <f>IF(CR$3=$K713,IF($C713="L",1,IF($C713="1/2L",0.5,0)),0)</f>
        <v>0</v>
      </c>
      <c r="CT713" s="145">
        <f>IF(CT$3=$K713,IF($C713="W",1,IF($C713="1/2W",0.5,0)),0)</f>
        <v>0</v>
      </c>
      <c r="CU713" s="146">
        <f>IF(CT$3=$K713,IF($C713="L",1,IF($C713="1/2L",0.5,0)),0)</f>
        <v>0</v>
      </c>
      <c r="CV713" s="146">
        <f>IF(CV$3=$K713,IF($C713="W",1,IF($C713="1/2W",0.5,0)),0)</f>
        <v>0</v>
      </c>
      <c r="CW713" s="146">
        <f>IF(CV$3=$K713,IF($C713="L",1,IF($C713="1/2L",0.5,0)),0)</f>
        <v>0</v>
      </c>
      <c r="CX713" s="146">
        <f>IF(CX$3=$K713,IF($C713="W",1,IF($C713="1/2W",0.5,0)),0)</f>
        <v>0</v>
      </c>
      <c r="CY713" s="146">
        <f>IF(CX$3=$K713,IF($C713="L",1,IF($C713="1/2L",0.5,0)),0)</f>
        <v>0</v>
      </c>
      <c r="CZ713" s="146">
        <f>IF(CZ$3=$K713,IF($C713="W",1,IF($C713="1/2W",0.5,0)),0)</f>
        <v>0</v>
      </c>
      <c r="DA713" s="146">
        <f>IF(CZ$3=$K713,IF($C713="L",1,IF($C713="1/2L",0.5,0)),0)</f>
        <v>0</v>
      </c>
      <c r="DB713" s="146">
        <f>IF(DB$3=$K713,IF($C713="W",1,IF($C713="1/2W",0.5,0)),0)</f>
        <v>0</v>
      </c>
      <c r="DC713" s="146">
        <f>IF(DB$3=$K713,IF($C713="L",1,IF($C713="1/2L",0.5,0)),0)</f>
        <v>0</v>
      </c>
      <c r="DD713" s="146">
        <f>IF(DD$3=$K713,IF($C713="W",1,IF($C713="1/2W",0.5,0)),0)</f>
        <v>0</v>
      </c>
      <c r="DE713" s="147">
        <f>IF(DD$3=$K713,IF($C713="L",1,IF($C713="1/2L",0.5,0)),0)</f>
        <v>0</v>
      </c>
      <c r="DF713" s="143">
        <f>IF(AND(L713&lt;DF$3,$C713="W"),1+DF712,DF712)</f>
        <v>20</v>
      </c>
      <c r="DG713" s="133">
        <f>IF(DF713&gt;DF712,L713+DG712,DG712)</f>
        <v>26.624</v>
      </c>
      <c r="DH713" s="146">
        <f>IF(AND(L713&gt;DH$3,$C713="W"),1+DH712,0+DH712)</f>
        <v>18</v>
      </c>
      <c r="DI713" s="133">
        <f>IF(DH713&gt;DH712,L713+DI712,DI712)</f>
        <v>93.66</v>
      </c>
      <c r="DJ713" t="s" s="304">
        <f>IF($D712="","",$D712)</f>
        <v>481</v>
      </c>
      <c r="DK713" s="286"/>
    </row>
    <row r="714" ht="14.55" customHeight="1">
      <c r="A714" s="149"/>
      <c r="B714" s="150"/>
      <c r="C714" t="s" s="151">
        <v>58</v>
      </c>
      <c r="D714" s="152"/>
      <c r="E714" s="153"/>
      <c r="F714" s="155"/>
      <c r="G714" s="252"/>
      <c r="H714" s="156"/>
      <c r="I714" s="287"/>
      <c r="J714" s="288"/>
      <c r="K714" s="156"/>
      <c r="L714" s="289"/>
      <c r="M714" s="290"/>
      <c r="N714" s="161"/>
      <c r="O714" t="s" s="162">
        <f>IF(OR(AE712="",AE713=""),"",IF(L714&gt;0,ROUND(IF(M714&gt;0,M714,IF(M712&gt;0,ROUND((M712*AE714)/AE712,IF(N712=0,2,IF(N712=0.1,1,0))),IF(M713&gt;0,ROUND((M713*AE714)/AE713,IF(N712=0,2,IF(N712=0.1,1,0))),IF(M714&gt;0,M714,0)))),2),""))</f>
      </c>
      <c r="P714" t="s" s="163">
        <f>IF(I713="Lay",O713*(L713/(L713-1))-O713,IF(I712="Lay",O712*(L712/(L712-1))-O712,IF(OR(L714="",O714=""),"",IF($C714="1/2W",O714/2+O714/2*L714,IF($C714="1/2L",O714/2,(O714*L714-O714)*(1-_xlfn.XLOOKUP(K714,'Janeiro 2023 - Valor Real'!A3:A15,'Janeiro 2023 - Valor Real'!C3:C15,0))+O714)))))</f>
      </c>
      <c r="Q714" t="s" s="154">
        <f>IF(K714="","",IF(_xlfn.XLOOKUP(K714,K$121:K493,DJ$121:DJ493,0,,-1)=DJ714,_xlfn.XLOOKUP(K714,K$121:K493,Q$121:Q493,1,,-1)+1,1))</f>
      </c>
      <c r="R714" t="s" s="163">
        <f>IF(K714="","",_xlfn.XLOOKUP(K714,K$121:K493,R$121:R493,0,,-1)+IF($C714=" ",1,0))</f>
      </c>
      <c r="S714" s="166"/>
      <c r="T714" s="155"/>
      <c r="U714" s="155"/>
      <c r="V714" s="166"/>
      <c r="W714" s="155"/>
      <c r="X714" s="167"/>
      <c r="Y714" s="128"/>
      <c r="Z714" s="129"/>
      <c r="AA714" s="129"/>
      <c r="AB714" s="129"/>
      <c r="AC714" s="129"/>
      <c r="AD714" s="168"/>
      <c r="AE714" t="s" s="169">
        <f>IF(L714="","",(SUM(((L712-1)*(1-_xlfn.XLOOKUP(K712,'Janeiro 2023 - Valor Real'!A3:A15,'Janeiro 2023 - Valor Real'!C3:C15,0))+1),((L713-1)*(1-_xlfn.XLOOKUP(K713,'Janeiro 2023 - Valor Real'!A3:A15,'Janeiro 2023 - Valor Real'!C3:C15,0))+1),((L714-1)*(1-_xlfn.XLOOKUP(K714,'Janeiro 2023 - Valor Real'!A3:A15,'Janeiro 2023 - Valor Real'!C3:C15,0))+1))/((L714-1)*(1-_xlfn.XLOOKUP(K714,'Janeiro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Real'!C3:C15,0))+1))/((L712-1)*(1-_xlfn.XLOOKUP(K712,'Janeiro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Real'!C3:C15,0))+1))/((L713-1)*(1-_xlfn.XLOOKUP(K713,'Janeiro 2023 - Valor Real'!A3:A15,'Janeiro 2023 - Valor Real'!C3:C15,0))+1)+SUM(((L712-1)*(1-_xlfn.XLOOKUP(K712,'Janeiro 2023 - Valor Real'!A3:A15,'Janeiro 2023 - Valor Real'!C3:C15,0))+1),((L713-1)*(1-_xlfn.XLOOKUP(K713,'Janeiro 2023 - Valor Real'!A3:A15,'Janeiro 2023 - Valor Real'!C3:C15,0))+1),((L714-1)*(1-_xlfn.XLOOKUP(K714,'Janeiro 2023 - Valor Real'!A3:A15,'Janeiro 2023 - Valor Real'!C3:C15,0))+1))/((L714-1)*(1-_xlfn.XLOOKUP(K714,'Janeiro 2023 - Valor Real'!A3:A15,'Janeiro 2023 - Valor Real'!C3:C15,0))+1)))</f>
      </c>
      <c r="AF714" s="132">
        <f>IF($K714=AF$3,ROUND(IF(OR($C714="W",$C714="1/2W",$C714="1/2L"),$P714-$O714,IF($C714="X",0,-$O714)),2),0)</f>
        <v>0</v>
      </c>
      <c r="AG714" s="133">
        <f>IF($K714=AG$3,ROUND(IF(OR($C714="W",$C714="1/2W",$C714="1/2L"),$P714-$O714,IF($C714="X",0,-$O714)),2),0)</f>
        <v>0</v>
      </c>
      <c r="AH714" s="133">
        <f>IF($K714=AH$3,ROUND(IF(OR($C714="W",$C714="1/2W",$C714="1/2L"),$P714-$O714,IF($C714="X",0,-$O714)),2),0)</f>
        <v>0</v>
      </c>
      <c r="AI714" s="133">
        <f>IF($K714=AI$3,ROUND(IF(OR($C714="W",$C714="1/2W",$C714="1/2L"),$P714-$O714,IF($C714="X",0,-$O714)),2),0)</f>
        <v>0</v>
      </c>
      <c r="AJ714" s="133">
        <f>IF($K714=AJ$3,ROUND(IF(OR($C714="W",$C714="1/2W",$C714="1/2L"),$P714-$O714,IF($C714="X",0,-$O714)),2),0)</f>
        <v>0</v>
      </c>
      <c r="AK714" s="133">
        <f>IF($K714=AK$3,ROUND(IF(OR($C714="W",$C714="1/2W",$C714="1/2L"),$P714-$O714,IF($C714="X",0,-$O714)),2),0)</f>
        <v>0</v>
      </c>
      <c r="AL714" s="133">
        <f>IF($K714=AL$3,ROUND(IF(OR($C714="W",$C714="1/2W",$C714="1/2L"),$P714-$O714,IF($C714="X",0,-$O714)),2),0)</f>
        <v>0</v>
      </c>
      <c r="AM714" s="133">
        <f>IF($K714=AM$3,ROUND(IF(OR($C714="W",$C714="1/2W",$C714="1/2L"),$P714-$O714,IF($C714="X",0,-$O714)),2),0)</f>
        <v>0</v>
      </c>
      <c r="AN714" s="133">
        <f>IF($K714=AN$3,ROUND(IF(OR($C714="W",$C714="1/2W",$C714="1/2L"),$P714-$O714,IF($C714="X",0,-$O714)),2),0)</f>
        <v>0</v>
      </c>
      <c r="AO714" s="133">
        <f>IF($K714=AO$3,ROUND(IF(OR($C714="W",$C714="1/2W",$C714="1/2L"),$P714-$O714,IF($C714="X",0,-$O714)),2),0)</f>
        <v>0</v>
      </c>
      <c r="AP714" s="133">
        <f>IF($K714=AP$3,ROUND(IF(OR($C714="W",$C714="1/2W",$C714="1/2L"),$P714-$O714,IF($C714="X",0,-$O714)),2),0)</f>
        <v>0</v>
      </c>
      <c r="AQ714" s="133">
        <f>IF($K714=AQ$3,ROUND(IF(OR($C714="W",$C714="1/2W",$C714="1/2L"),$P714-$O714,IF($C714="X",0,-$O714)),2),0)</f>
        <v>0</v>
      </c>
      <c r="AR714" s="134">
        <f>IF($K714=AR$3,ROUND(IF(OR($C714="W",$C714="1/2W",$C714="1/2L"),$P714-$O714,IF($C714="X",0,-$O714)),2),0)</f>
        <v>0</v>
      </c>
      <c r="AS714" s="132">
        <f>IF(AND($B712=" ",$K714=AS$3),$O714,0)</f>
        <v>0</v>
      </c>
      <c r="AT714" s="133">
        <f>IF(AND($B712=" ",K714=AT$3),$O714,0)</f>
        <v>0</v>
      </c>
      <c r="AU714" s="133">
        <f>IF(AND($B712=" ",$K714=AU$3),$O714,0)</f>
        <v>0</v>
      </c>
      <c r="AV714" s="133">
        <f>IF(AND($B712=" ",$K714=AV$3),$O714,0)</f>
        <v>0</v>
      </c>
      <c r="AW714" s="133">
        <f>IF(AND($B712=" ",$K714=AW$3),$O714,0)</f>
        <v>0</v>
      </c>
      <c r="AX714" s="133">
        <f>IF(AND($B712=" ",$K714=AX$3),$O714,0)</f>
        <v>0</v>
      </c>
      <c r="AY714" s="135">
        <f>IF(AND($B712=" ",$K714=AY$3),$O714,0)</f>
        <v>0</v>
      </c>
      <c r="AZ714" s="136">
        <f>IF(AND($B712=" ",$K714=AZ$3),$O714,0)</f>
        <v>0</v>
      </c>
      <c r="BA714" s="136">
        <f>IF(AND($B712=" ",$K714=BA$3),$O714,0)</f>
        <v>0</v>
      </c>
      <c r="BB714" s="136">
        <f>IF(AND($B712=" ",$K714=BB$3),$O714,0)</f>
        <v>0</v>
      </c>
      <c r="BC714" s="137">
        <f>IF(AND($B712=" ",$K714=BC$3),$O714,0)</f>
        <v>0</v>
      </c>
      <c r="BD714" s="133">
        <f>IF(AND($B712=" ",$K714=BD$3),$O714,0)</f>
        <v>0</v>
      </c>
      <c r="BE714" s="134">
        <f>IF(AND($B712=" ",$K714=BE$3),$O714,0)</f>
        <v>0</v>
      </c>
      <c r="BF714" s="132">
        <f>IF($K714=BF$3,IF($C714="X",0,$O714),0)</f>
        <v>0</v>
      </c>
      <c r="BG714" s="281">
        <f>IF($K714=BG$3,IF($C714="X",0,$O714),0)</f>
        <v>0</v>
      </c>
      <c r="BH714" s="133">
        <f>IF($K714=BH$3,IF($C714="X",0,$O714),0)</f>
        <v>0</v>
      </c>
      <c r="BI714" s="133">
        <f>IF($K714=BI$3,IF($C714="X",0,$O714),0)</f>
        <v>0</v>
      </c>
      <c r="BJ714" s="133">
        <f>IF($K714=BJ$3,IF($C714="X",0,$O714),0)</f>
        <v>0</v>
      </c>
      <c r="BK714" s="133">
        <f>IF($K714=BK$3,IF($C714="X",0,$O714),0)</f>
        <v>0</v>
      </c>
      <c r="BL714" s="133">
        <f>IF($K714=BL$3,IF($C714="X",0,$O714),0)</f>
        <v>0</v>
      </c>
      <c r="BM714" s="135">
        <f>IF($K714=BM$3,IF($C714="X",0,$O714),0)</f>
        <v>0</v>
      </c>
      <c r="BN714" s="136">
        <f>IF($K714=BN$3,IF($C714="X",0,$O714),0)</f>
        <v>0</v>
      </c>
      <c r="BO714" s="136">
        <f>IF($K714=BO$3,IF($C714="X",0,$O714),0)</f>
        <v>0</v>
      </c>
      <c r="BP714" s="136">
        <f>IF($K714=BP$3,IF($C714="X",0,$O714),0)</f>
        <v>0</v>
      </c>
      <c r="BQ714" s="137">
        <f>IF($K714=BQ$3,IF($C714="X",0,$O714),0)</f>
        <v>0</v>
      </c>
      <c r="BR714" s="134">
        <f>IF($K714=BR$3,IF($C714="X",0,$O714),0)</f>
        <v>0</v>
      </c>
      <c r="BS714" s="282"/>
      <c r="BT714" s="283"/>
      <c r="BU714" s="140"/>
      <c r="BV714" s="283"/>
      <c r="BW714" s="140"/>
      <c r="BX714" s="140"/>
      <c r="BY714" s="140"/>
      <c r="BZ714" s="283"/>
      <c r="CA714" s="140"/>
      <c r="CB714" s="140"/>
      <c r="CC714" s="140"/>
      <c r="CD714" s="141"/>
      <c r="CE714" s="142"/>
      <c r="CF714" s="284">
        <f>IF(CF$3=$K714,IF($C714="W",1,IF($C714="1/2W",0.5,0)),0)</f>
        <v>0</v>
      </c>
      <c r="CG714" s="285">
        <f>IF(CF$3=$K714,IF($C714="L",1,IF($C714="1/2L",0.5,0)),0)</f>
        <v>0</v>
      </c>
      <c r="CH714" s="285">
        <f>IF(CH$3=$K714,IF($C714="W",1,IF($C714="1/2W",0.5,0)),0)</f>
        <v>0</v>
      </c>
      <c r="CI714" s="285">
        <f>IF(CH$3=$K714,IF($C714="L",1,IF($C714="1/2L",0.5,0)),0)</f>
        <v>0</v>
      </c>
      <c r="CJ714" s="285">
        <f>IF(CJ$3=$K714,IF($C714="W",1,IF($C714="1/2W",0.5,0)),0)</f>
        <v>0</v>
      </c>
      <c r="CK714" s="285">
        <f>IF(CJ$3=$K714,IF($C714="L",1,IF($C714="1/2L",0.5,0)),0)</f>
        <v>0</v>
      </c>
      <c r="CL714" s="285">
        <f>IF(CL$3=$K714,IF($C714="W",1,IF($C714="1/2W",0.5,0)),0)</f>
        <v>0</v>
      </c>
      <c r="CM714" s="285">
        <f>IF(CL$3=$K714,IF($C714="L",1,IF($C714="1/2L",0.5,0)),0)</f>
        <v>0</v>
      </c>
      <c r="CN714" s="285">
        <f>IF(CN$3=$K714,IF($C714="W",1,IF($C714="1/2W",0.5,0)),0)</f>
        <v>0</v>
      </c>
      <c r="CO714" s="285">
        <f>IF(CN$3=$K714,IF($C714="L",1,IF($C714="1/2L",0.5,0)),0)</f>
        <v>0</v>
      </c>
      <c r="CP714" s="285">
        <f>IF(CP$3=$K714,IF($C714="W",1,IF($C714="1/2W",0.5,0)),0)</f>
        <v>0</v>
      </c>
      <c r="CQ714" s="285">
        <f>IF(CP$3=$K714,IF($C714="L",1,IF($C714="1/2L",0.5,0)),0)</f>
        <v>0</v>
      </c>
      <c r="CR714" s="285">
        <f>IF(CR$3=$K714,IF($C714="W",1,IF($C714="1/2W",0.5,0)),0)</f>
        <v>0</v>
      </c>
      <c r="CS714" s="285">
        <f>IF(CR$3=$K714,IF($C714="L",1,IF($C714="1/2L",0.5,0)),0)</f>
        <v>0</v>
      </c>
      <c r="CT714" s="145">
        <f>IF(CT$3=$K714,IF($C714="W",1,IF($C714="1/2W",0.5,0)),0)</f>
        <v>0</v>
      </c>
      <c r="CU714" s="146">
        <f>IF(CT$3=$K714,IF($C714="L",1,IF($C714="1/2L",0.5,0)),0)</f>
        <v>0</v>
      </c>
      <c r="CV714" s="146">
        <f>IF(CV$3=$K714,IF($C714="W",1,IF($C714="1/2W",0.5,0)),0)</f>
        <v>0</v>
      </c>
      <c r="CW714" s="146">
        <f>IF(CV$3=$K714,IF($C714="L",1,IF($C714="1/2L",0.5,0)),0)</f>
        <v>0</v>
      </c>
      <c r="CX714" s="146">
        <f>IF(CX$3=$K714,IF($C714="W",1,IF($C714="1/2W",0.5,0)),0)</f>
        <v>0</v>
      </c>
      <c r="CY714" s="146">
        <f>IF(CX$3=$K714,IF($C714="L",1,IF($C714="1/2L",0.5,0)),0)</f>
        <v>0</v>
      </c>
      <c r="CZ714" s="146">
        <f>IF(CZ$3=$K714,IF($C714="W",1,IF($C714="1/2W",0.5,0)),0)</f>
        <v>0</v>
      </c>
      <c r="DA714" s="146">
        <f>IF(CZ$3=$K714,IF($C714="L",1,IF($C714="1/2L",0.5,0)),0)</f>
        <v>0</v>
      </c>
      <c r="DB714" s="146">
        <f>IF(DB$3=$K714,IF($C714="W",1,IF($C714="1/2W",0.5,0)),0)</f>
        <v>0</v>
      </c>
      <c r="DC714" s="146">
        <f>IF(DB$3=$K714,IF($C714="L",1,IF($C714="1/2L",0.5,0)),0)</f>
        <v>0</v>
      </c>
      <c r="DD714" s="146">
        <f>IF(DD$3=$K714,IF($C714="W",1,IF($C714="1/2W",0.5,0)),0)</f>
        <v>0</v>
      </c>
      <c r="DE714" s="147">
        <f>IF(DD$3=$K714,IF($C714="L",1,IF($C714="1/2L",0.5,0)),0)</f>
        <v>0</v>
      </c>
      <c r="DF714" s="143">
        <f>IF(AND(L714&lt;DF$3,$C714="W"),1+DF713,DF713)</f>
        <v>20</v>
      </c>
      <c r="DG714" s="133">
        <f>IF(DF714&gt;DF713,L714+DG713,DG713)</f>
        <v>26.624</v>
      </c>
      <c r="DH714" s="146">
        <f>IF(AND(L714&gt;DH$3,$C714="W"),1+DH713,0+DH713)</f>
        <v>18</v>
      </c>
      <c r="DI714" s="133">
        <f>IF(DH714&gt;DH713,L714+DI713,DI713)</f>
        <v>93.66</v>
      </c>
      <c r="DJ714" t="s" s="304">
        <f>IF($D712="","",$D712)</f>
        <v>481</v>
      </c>
      <c r="DK714" s="286"/>
    </row>
    <row r="715" ht="14.55" customHeight="1">
      <c r="A715" s="171">
        <f>$A712+1</f>
        <v>238</v>
      </c>
      <c r="B715" t="s" s="172">
        <f>IF(AND(_xlfn.XLOOKUP(H715,H$122:H488,G$122:G488,0)=G715,_xlfn.XLOOKUP("TempoBet",K715:K717,L715:L717,0)&gt;0),"X",IF(OR(C715="W",C716="W",C717="W",C715="1/2W",C716="1/2W",C717="1/2W",C715="1/2L",C716="1/2L",C717="1/2L"),"OK",IF(OR(C715="L",C716="L",C717="L"),"LOSS",IF(OR(C715="X",C716="X",C717="X"),"Anulado"," "))))</f>
        <v>50</v>
      </c>
      <c r="C715" t="s" s="173">
        <v>51</v>
      </c>
      <c r="D715" t="s" s="305">
        <f>IF(G715="","",$D712)</f>
        <v>481</v>
      </c>
      <c r="E715" t="s" s="175">
        <f>IF(G715=""," ","– "&amp;COUNTIF(D$4:D717,$D715))</f>
        <v>96</v>
      </c>
      <c r="F715" t="s" s="176">
        <f>IF(G715="","",IF(OR(AND($C715&lt;&gt;" ",$C716=" "),AND($C716&lt;&gt;" ",$C715=" "),AND(L717&gt;0,OR(AND($C717&lt;&gt;" ",OR($C715=" ",$C716=" ")),AND($C717=" ",OR($C715&lt;&gt;" ",$C716&lt;&gt;" "))))),IF(SUM(F$4:F714)=0,1,LARGE(F$4:F714,1)+1),IF(MONTH(G715)=MONTH(TODAY()),IF(AND(DAY(G715)&lt;DAY(TODAY()),$B715=" "),IF(SUM(F$4:F714)=0,1,LARGE(F$4:F714,1)+1),IF($B715=" ",IF(AND(DAY(G715)=DAY(TODAY()),HOUR(G715)&lt;=HOUR(NOW())+1),IF(AND(HOUR(G715)+2&lt;=HOUR(NOW()),DAY(G715)&lt;=DAY(TODAY()),MINUTE(G715)&lt;=MINUTE(NOW())),IF(SUM(F$4:F714)=0,1,LARGE(F$4:F714,1)+1),IF(OR(MINUTE(G715)&lt;=MINUTE(NOW()),HOUR(G715)&lt;=HOUR(NOW())),"!!!","")),""),"")),"")))</f>
      </c>
      <c r="G715" s="177">
        <v>44958.666666666664</v>
      </c>
      <c r="H715" t="s" s="178">
        <v>503</v>
      </c>
      <c r="I715" t="s" s="179">
        <v>65</v>
      </c>
      <c r="J715" s="291">
        <v>10.5</v>
      </c>
      <c r="K715" t="s" s="181">
        <v>38</v>
      </c>
      <c r="L715" s="182">
        <v>2.4</v>
      </c>
      <c r="M715" s="183"/>
      <c r="N715" s="184">
        <v>0</v>
      </c>
      <c r="O715" s="185">
        <f>IF(OR(AE715="",AE716=""),"",ROUND(IF(L717&gt;0,IF(M715&gt;0,M715,IF(M716&gt;0,ROUND((M716*AE715)/AE716,IF(N715=0,2,IF(N715=0.1,1,0))),ROUND((M717*AE715)/AE717,IF(N715=0,2,IF(N715=0.1,1,0))))),IF(M715&gt;0,M715,ROUND((M716*AE715)/AE716,IF(N715=0,2,IF(N715=0.1,1,0))))),2))</f>
        <v>5.01</v>
      </c>
      <c r="P715" s="186">
        <f>IF(OR(L715="",O715=""),"",IF($C715="1/2W",O715/2+O715/2*L715,IF($C715="1/2L",O715/2,IF(I715="Lay",(O715*(L715/(L715-1))-O715)*(1-_xlfn.XLOOKUP(K715,'Janeiro 2023 - Valor Real'!A3:A15,'Janeiro 2023 - Valor Real'!C3:C15,0))+O715,(O715*L715-O715)*(1-_xlfn.XLOOKUP(K715,'Janeiro 2023 - Valor Real'!A3:A15,'Janeiro 2023 - Valor Real'!C3:C15,0))+O715))))</f>
        <v>12.024</v>
      </c>
      <c r="Q715" s="187">
        <f>IF(K715="","",IF(_xlfn.XLOOKUP(K715,K$122:K488,DJ$122:DJ488,0,,-1)=DJ715,_xlfn.XLOOKUP(K715,K$122:K488,Q$122:Q488,1,,-1)+1,1))</f>
        <v>1</v>
      </c>
      <c r="R715" s="188">
        <f>IF(K715="","",_xlfn.XLOOKUP(K715,K$122:K488,R$122:R488,0,,-1)+IF($C715=" ",1,0))</f>
        <v>0</v>
      </c>
      <c r="S715" s="189">
        <f>IF($B715="Anulado",0,ROUND(IF(OR($B715="LOSS",$B715="OK"),IF(OR($C715="W",$C715="1/2W",$C715="1/2L"),P715-O715,IF($C715="L",-O715,0))+IF(OR($C716="W",$C716="1/2W",$C716="1/2L"),P716-O716,IF($C716="L",-O716,0))+IF(OR($C717="W",$C717="1/2W",$C717="1/2L"),P717-O717,IF($C717="L",-O717,0)),IF(AND(OR($C715="W",$C715="1/2W",$C715="1/2L"),C716="W"),P715+P716-SUM(O715:O717)+_xlfn.XLOOKUP("X",C715:C717,O715:O717,0),IF(AND(C715=TRUE,C717="W"),P715+P717-SUM(O715:O717),IF(AND(C716="W",C717="W"),P716+P717-SUM(O715:O717)+_xlfn.XLOOKUP("X",C715:C717,O715:O717,0),IF(L717&gt;0,IF(OR($C715="W",$C715="1/2W",$C715="1/2L"),P715-SUM(O715:O717)+_xlfn.XLOOKUP("X",C715:C717,O715:O717,0),IF(OR($C715="W",$C715="1/2W",$C715="1/2L"),P716-SUM(O715:O717)+_xlfn.XLOOKUP("X",C715:C717,O715:O717,0),IF(OR($C715="W",$C715="1/2W",$C715="1/2L"),P717-SUM(O715:O717)+_xlfn.XLOOKUP("X",C715:C717,O715:O717,0),IF(SUM(P715:P717)/3-SUM(O715:O717)+_xlfn.XLOOKUP("X",C715:C717,O715:O717,0)&gt;0,SUM(P715:P717)/3-SUM(O715:O717)+_xlfn.XLOOKUP("X",C715:C717,O715:O717,0),LARGE(P715:P717,1)-SUM(O715:O717))))),IF(OR($C715="W",$C715="1/2W",$C715="1/2L"),P715-SUM(O715:O716)+_xlfn.XLOOKUP("X",C715:C717,O715:O717,0),IF(OR($C715="W",$C715="1/2W",$C715="1/2L"),P716-SUM(O715:O716)+_xlfn.XLOOKUP("X",C715:C717,O715:O717,0),SUM(P715:P716)/2-SUM(O715:O716)+_xlfn.XLOOKUP("X",C715:C717,O715:O717,0)))))))),2))</f>
        <v>0.61</v>
      </c>
      <c r="T715" s="190">
        <f>IF(S715=0,0,S715/SUM(O715:O717))</f>
        <v>0.0535087719298246</v>
      </c>
      <c r="U715" s="191">
        <f>IF($D715=$D712,IF(OR($B715="LOSS",$B715="OK",$B715="Anulada"),S715,0)+U712,IF(OR($B715="LOSS",$B715="OK",$B715="Anulada"),S715,0))</f>
        <v>20.93</v>
      </c>
      <c r="V715" s="191">
        <f>IF($D715="",0,IF($D715=$D712,IF($B715=" ",IF(I717="",IF(OR(AND(I715="DNB1",I716="DNB2"),AND(OR(I715="DNB1",I715="DNB2"),J716=0),AND(OR(I716="DNB1",I716="DNB2"),J715=0),AND(I715="DNB2",I716="DNB1"),AND(IF(J715=0,(J715+1)/ROUND(J715+1,0),J715/ROUND(J715,0))=1,IF(J716=0,(J716+1)/ROUND(IF(J716="",0,J716)+1,0),IF(J716="",0,J716)/ROUND(IF(J716="",1,J716),0))=1,OR(J715&lt;&gt;""),J716&lt;&gt;"")),0,IF(S715&lt;0,IF(I717="",SMALL(P715:P716,1)-SUM(O715:O716),0),SMALL(P715:P716,1)-SUM(O715:O716))),IF(S715&lt;0,IF(I717="",SMALL(P715:P717,1)-SUM(O715:O717),0),LARGE(P715:P717,1)-SUM(O715:O717))),S715)+V712,IF(I717="",IF(OR(AND(I715="DNB1",I716="DNB2"),AND(OR(I715="DNB1",I715="DNB2"),J716=0),AND(OR(I716="DNB1",I716="DNB2"),J715=0),AND(I715="DNB2",I716="DNB1"),AND(IF(J715=0,(J715+1)/ROUND(J715+1,0),J715/ROUND(J715,0))=1,IF(J716=0,(IF(J716="",0,J716)+1)/ROUND(IF(J716="",0,J716)+1,0),IF(J716="",0,J716)/ROUND(IF(J716="",0,J716)+1,0))=1,OR(J715&lt;&gt;""),J716&lt;&gt;"")),0,IF(S715&lt;0,IF(I717="",SMALL(P715:P716,1)-SUM(O715:O716),0),SMALL(P715:P717,1)-SUM(O715:O717))),IF(S715&lt;0,IF(I717="",SMALL(P715:P717,1)-SUM(O715:O717),0),LARGE(P715:P717,1)-SUM(O715:O717)))))</f>
        <v>20.9276</v>
      </c>
      <c r="W715" s="191">
        <f>IF($D715=$D712,IF(S715&lt;0,IF(I717="",S715,0),S715)+W712,S715)</f>
        <v>20.93</v>
      </c>
      <c r="X715" t="s" s="192">
        <f>IF(OR(SUM(R715:R717)=0,V715=W715),ROUND(IF(W715=0,0,W715/Y715)*100,2)&amp;"%",ROUND(IF(V715=0,0,V715/Y715)*100,2)&amp;"% a "&amp;ROUND(IF(W715=0,0,W715/Y715)*100,2)&amp;"%")</f>
        <v>392</v>
      </c>
      <c r="Y715" s="193">
        <f>IF($D715=$D712,Y712+SUM(O715:O717),SUM(O715:O717))</f>
        <v>379.8</v>
      </c>
      <c r="Z715" s="191">
        <f>IF($B715=" ",SUM(O715:O717),0)+Z712</f>
        <v>0</v>
      </c>
      <c r="AA715" s="191">
        <f>IF(G715="","",IF($B715="Anulado",LARGE(P715:P717,1)-SUM(O715:O717)+AA712,AA712))</f>
        <v>27.7065076923077</v>
      </c>
      <c r="AB715" s="191">
        <f>IF($D715="","",AB712+S715)</f>
        <v>492.11</v>
      </c>
      <c r="AC715" s="194">
        <f>IF($D715="","",IF($B715=" ",IF(DAY(G715)=DAY(TODAY()),1+AC712,0+AC712),0+AC712))</f>
        <v>0</v>
      </c>
      <c r="AD715" s="195">
        <f>(((L716/(L716-1)-1)*(1-_xlfn.XLOOKUP(K716,'Janeiro 2023 - Valor Real'!A3:A15,'Janeiro 2023 - Valor Real'!C3:C15,0))+1))/(((L715-1)*(1-_xlfn.XLOOKUP(K715,'Janeiro 2023 - Valor Real'!A3:A15,'Janeiro 2023 - Valor Real'!C3:C15,0))+1)+((L716/(L716-1)-1)*(1-_xlfn.XLOOKUP(K716,'Janeiro 2023 - Valor Real'!A3:A15,'Janeiro 2023 - Valor Real'!C3:C15,0))+1))</f>
        <v>0.470941883767535</v>
      </c>
      <c r="AE715" s="196">
        <f>IF(L715="","",IF(L717&gt;0,(SUM(((L715-1)*(1-_xlfn.XLOOKUP(K715,'Janeiro 2023 - Valor Real'!A3:A15,'Janeiro 2023 - Valor Real'!C3:C15,0))+1),((L716-1)*(1-_xlfn.XLOOKUP(K716,'Janeiro 2023 - Valor Real'!A3:A15,'Janeiro 2023 - Valor Real'!C3:C15,0))+1),((L717-1)*(1-_xlfn.XLOOKUP(K717,'Janeiro 2023 - Valor Real'!A3:A15,'Janeiro 2023 - Valor Real'!C3:C15,0))+1))/((L715-1)*(1-_xlfn.XLOOKUP(K715,'Janeiro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Real'!C3:C15,0))+1))/((L715-1)*(1-_xlfn.XLOOKUP(K715,'Janeiro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Real'!C3:C15,0))+1))/((L716-1)*(1-_xlfn.XLOOKUP(K716,'Janeiro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Real'!C3:C15,0))+1))/((L717-1)*(1-_xlfn.XLOOKUP(K717,'Janeiro 2023 - Valor Real'!A3:A15,'Janeiro 2023 - Valor Real'!C3:C15,0))+1)),IF(I715="Lay",IF(I716="Lay",((L716/(L716-1)-1)*(1-_xlfn.XLOOKUP(K716,'Janeiro 2023 - Valor Real'!A3:A15,'Janeiro 2023 - Valor Real'!C3:C15,0))+1)/(((L716/(L716-1)-1)*(1-_xlfn.XLOOKUP(K716,'Janeiro 2023 - Valor Real'!A3:A15,'Janeiro 2023 - Valor Real'!C3:C15,0))+1)+((L715/(L715-1)-1)*(1-_xlfn.XLOOKUP(K715,'Janeiro 2023 - Valor Real'!A3:A15,'Janeiro 2023 - Valor Real'!C3:C15,0))+1)),((L716-1)*(1-_xlfn.XLOOKUP(K716,'Janeiro 2023 - Valor Real'!A3:A15,'Janeiro 2023 - Valor Real'!C3:C15,0))+1)/(((L716-1)*(1-_xlfn.XLOOKUP(K716,'Janeiro 2023 - Valor Real'!A3:A15,'Janeiro 2023 - Valor Real'!C3:C15,0))+1)+((L715/(L715-1)-1)*(1-_xlfn.XLOOKUP(K715,'Janeiro 2023 - Valor Real'!A3:A15,'Janeiro 2023 - Valor Real'!C3:C15,0))+1))),IF(I716="Lay",(((L716/(L716-1)-1)*(1-_xlfn.XLOOKUP(K716,'Janeiro 2023 - Valor Real'!A3:A15,'Janeiro 2023 - Valor Real'!C3:C15,0))+1))/(((L715-1)*(1-_xlfn.XLOOKUP(K715,'Janeiro 2023 - Valor Real'!A3:A15,'Janeiro 2023 - Valor Real'!C3:C15,0))+1)+((L716/(L716-1)-1)*(1-_xlfn.XLOOKUP(K716,'Janeiro 2023 - Valor Real'!A3:A15,'Janeiro 2023 - Valor Real'!C3:C15,0))+1)),((L716-1)*(1-_xlfn.XLOOKUP(K716,'Janeiro 2023 - Valor Real'!A3:A15,'Janeiro 2023 - Valor Real'!C3:C15,0))+1)/(((L716-1)*(1-_xlfn.XLOOKUP(K716,'Janeiro 2023 - Valor Real'!A3:A15,'Janeiro 2023 - Valor Real'!C3:C15,0))+1)+((L715-1)*(1-_xlfn.XLOOKUP(K715,'Janeiro 2023 - Valor Real'!A3:A15,'Janeiro 2023 - Valor Real'!C3:C15,0))+1))))))</f>
        <v>0.439252336448598</v>
      </c>
      <c r="AF715" s="197">
        <f>IF($K715=AF$3,ROUND(IF(OR($C715="W",$C715="1/2W",$C715="1/2L"),$P715-$O715,IF($C715="X",0,-$O715)),2),0)</f>
        <v>0</v>
      </c>
      <c r="AG715" s="198">
        <f>IF($K715=AG$3,ROUND(IF(OR($C715="W",$C715="1/2W",$C715="1/2L"),$P715-$O715,IF($C715="X",0,-$O715)),2),0)</f>
        <v>-5.01</v>
      </c>
      <c r="AH715" s="198">
        <f>IF($K715=AH$3,ROUND(IF(OR($C715="W",$C715="1/2W",$C715="1/2L"),$P715-$O715,IF($C715="X",0,-$O715)),2),0)</f>
        <v>0</v>
      </c>
      <c r="AI715" s="198">
        <f>IF($K715=AI$3,ROUND(IF(OR($C715="W",$C715="1/2W",$C715="1/2L"),$P715-$O715,IF($C715="X",0,-$O715)),2),0)</f>
        <v>0</v>
      </c>
      <c r="AJ715" s="198">
        <f>IF($K715=AJ$3,ROUND(IF(OR($C715="W",$C715="1/2W",$C715="1/2L"),$P715-$O715,IF($C715="X",0,-$O715)),2),0)</f>
        <v>0</v>
      </c>
      <c r="AK715" s="198">
        <f>IF($K715=AK$3,ROUND(IF(OR($C715="W",$C715="1/2W",$C715="1/2L"),$P715-$O715,IF($C715="X",0,-$O715)),2),0)</f>
        <v>0</v>
      </c>
      <c r="AL715" s="198">
        <f>IF($K715=AL$3,ROUND(IF(OR($C715="W",$C715="1/2W",$C715="1/2L"),$P715-$O715,IF($C715="X",0,-$O715)),2),0)</f>
        <v>0</v>
      </c>
      <c r="AM715" s="198">
        <f>IF($K715=AM$3,ROUND(IF(OR($C715="W",$C715="1/2W",$C715="1/2L"),$P715-$O715,IF($C715="X",0,-$O715)),2),0)</f>
        <v>0</v>
      </c>
      <c r="AN715" s="198">
        <f>IF($K715=AN$3,ROUND(IF(OR($C715="W",$C715="1/2W",$C715="1/2L"),$P715-$O715,IF($C715="X",0,-$O715)),2),0)</f>
        <v>0</v>
      </c>
      <c r="AO715" s="198">
        <f>IF($K715=AO$3,ROUND(IF(OR($C715="W",$C715="1/2W",$C715="1/2L"),$P715-$O715,IF($C715="X",0,-$O715)),2),0)</f>
        <v>0</v>
      </c>
      <c r="AP715" s="198">
        <f>IF($K715=AP$3,ROUND(IF(OR($C715="W",$C715="1/2W",$C715="1/2L"),$P715-$O715,IF($C715="X",0,-$O715)),2),0)</f>
        <v>0</v>
      </c>
      <c r="AQ715" s="198">
        <f>IF($K715=AQ$3,ROUND(IF(OR($C715="W",$C715="1/2W",$C715="1/2L"),$P715-$O715,IF($C715="X",0,-$O715)),2),0)</f>
        <v>0</v>
      </c>
      <c r="AR715" s="199">
        <f>IF($K715=AR$3,ROUND(IF(OR($C715="W",$C715="1/2W",$C715="1/2L"),$P715-$O715,IF($C715="X",0,-$O715)),2),0)</f>
        <v>0</v>
      </c>
      <c r="AS715" s="197">
        <f>IF(AND($B715=" ",$K715=AS$3),$O715,0)</f>
        <v>0</v>
      </c>
      <c r="AT715" s="198">
        <f>IF(AND($B715=" ",$K715=AT$3),$O715,0)</f>
        <v>0</v>
      </c>
      <c r="AU715" s="198">
        <f>IF(AND($B715=" ",$K715=AU$3),$O715,0)</f>
        <v>0</v>
      </c>
      <c r="AV715" s="198">
        <f>IF(AND($B715=" ",$K715=AV$3),$O715,0)</f>
        <v>0</v>
      </c>
      <c r="AW715" s="198">
        <f>IF(AND($B715=" ",$K715=AW$3),$O715,0)</f>
        <v>0</v>
      </c>
      <c r="AX715" s="198">
        <f>IF(AND($B715=" ",$K715=AX$3),$O715,0)</f>
        <v>0</v>
      </c>
      <c r="AY715" s="200">
        <f>IF(AND($B715=" ",$K715=AY$3),$O715,0)</f>
        <v>0</v>
      </c>
      <c r="AZ715" s="201">
        <f>IF(AND($B715=" ",$K715=AZ$3),$O715,0)</f>
        <v>0</v>
      </c>
      <c r="BA715" s="201">
        <f>IF(AND($B715=" ",$K715=BA$3),$O715,0)</f>
        <v>0</v>
      </c>
      <c r="BB715" s="201">
        <f>IF(AND($B715=" ",$K715=BB$3),$O715,0)</f>
        <v>0</v>
      </c>
      <c r="BC715" s="202">
        <f>IF(AND($B715=" ",$K715=BC$3),$O715,0)</f>
        <v>0</v>
      </c>
      <c r="BD715" s="198">
        <f>IF(AND($B715=" ",$K715=BD$3),$O715,0)</f>
        <v>0</v>
      </c>
      <c r="BE715" s="199">
        <f>IF(AND($B715=" ",$K715=BE$3),$O715,0)</f>
        <v>0</v>
      </c>
      <c r="BF715" s="203">
        <f>IF($K715=BF$3,IF($C715="X",0,$O715),0)</f>
        <v>0</v>
      </c>
      <c r="BG715" s="198">
        <f>IF($K715=BG$3,IF($C715="X",0,$O715),0)</f>
        <v>5.01</v>
      </c>
      <c r="BH715" s="198">
        <f>IF($K715=BH$3,IF($C715="X",0,$O715),0)</f>
        <v>0</v>
      </c>
      <c r="BI715" s="198">
        <f>IF($K715=BI$3,IF($C715="X",0,$O715),0)</f>
        <v>0</v>
      </c>
      <c r="BJ715" s="198">
        <f>IF($K715=BJ$3,IF($C715="X",0,$O715),0)</f>
        <v>0</v>
      </c>
      <c r="BK715" s="198">
        <f>IF($K715=BK$3,IF($C715="X",0,$O715),0)</f>
        <v>0</v>
      </c>
      <c r="BL715" s="198">
        <f>IF($K715=BL$3,IF($C715="X",0,$O715),0)</f>
        <v>0</v>
      </c>
      <c r="BM715" s="200">
        <f>IF($K715=BM$3,IF($C715="X",0,$O715),0)</f>
        <v>0</v>
      </c>
      <c r="BN715" s="201">
        <f>IF($K715=BN$3,IF($C715="X",0,$O715),0)</f>
        <v>0</v>
      </c>
      <c r="BO715" s="201">
        <f>IF($K715=BO$3,IF($C715="X",0,$O715),0)</f>
        <v>0</v>
      </c>
      <c r="BP715" s="201">
        <f>IF($K715=BP$3,IF($C715="X",0,$O715),0)</f>
        <v>0</v>
      </c>
      <c r="BQ715" s="202">
        <f>IF($K715=BQ$3,IF($C715="X",0,$O715),0)</f>
        <v>0</v>
      </c>
      <c r="BR715" s="199">
        <f>IF($K715=BR$3,IF($C715="X",0,$O715),0)</f>
        <v>0</v>
      </c>
      <c r="BS715" s="204">
        <f>IF($B715="LOSS",IF(AND($K715=BS$3,$C715="L"),-$O715,0)+IF(AND($K716=BS$3,$C716="L"),-$O716,0)+IF(AND($K717=BS$3,$C717="L"),-$O717,0),IF(OR(AND($K715=BS$3,OR($C715="W",$C715="1/2W")),AND($K716=BS$3,OR($C716="W",$C716="1/2W")),AND($K717=BS$3,OR($C717="W",$C717="1/2W"))),$S715,0))</f>
        <v>0</v>
      </c>
      <c r="BT715" s="201">
        <f>IF($B715="LOSS",IF(AND($K715=BT$3,$C715="L"),-$O715,0)+IF(AND($K716=BT$3,$C716="L"),-$O716,0)+IF(AND($K716=BT$3,$C717="L"),-$O717,0),IF(OR(AND($K716=BT$3,OR($C715="W",$C715="1/2W")),AND($K716=BT$3,OR($C716="W",$C716="1/2W")),AND($K716=BT$3,OR($C717="W",$C717="1/2W"))),$S715,0))</f>
        <v>0</v>
      </c>
      <c r="BU715" s="201">
        <f>IF($B715="LOSS",IF(AND($K715=BU$3,$C715="L"),-$O715,0)+IF(AND($K716=BU$3,$C716="L"),-$O716,0)+IF(AND($K716=BU$3,$C717="L"),-$O717,0),IF(OR(AND($K716=BU$3,OR($C715="W",$C715="1/2W")),AND($K716=BU$3,OR($C716="W",$C716="1/2W")),AND($K716=BU$3,OR($C717="W",$C717="1/2W"))),$S715,0))</f>
        <v>0</v>
      </c>
      <c r="BV715" s="201">
        <f>IF($B715="LOSS",IF(AND($K715=BV$3,$C715="L"),-$O715,0)+IF(AND($K716=BV$3,$C716="L"),-$O716,0)+IF(AND($K717=BV$3,$C717="L"),-$O717,0),IF(OR(AND($K715=BV$3,OR($C715="W",$C715="1/2W")),AND($K716=BV$3,OR($C716="W",$C716="1/2W")),AND($K717=BV$3,OR($C717="W",$C717="1/2W"))),$S715,0))</f>
        <v>0</v>
      </c>
      <c r="BW715" s="201">
        <f>IF($B715="LOSS",IF(AND($K715=BW$3,$C715="L"),-$O715,0)+IF(AND($K716=BW$3,$C716="L"),-$O716,0)+IF(AND($K717=BW$3,$C717="L"),-$O717,0),IF(OR(AND($K715=BW$3,OR($C715="W",$C715="1/2W")),AND($K716=BW$3,OR($C716="W",$C716="1/2W")),AND($K717=BW$3,OR($C717="W",$C717="1/2W"))),$S715,0))</f>
        <v>0.61</v>
      </c>
      <c r="BX715" s="201">
        <f>IF($B715="LOSS",IF(AND($K715=BX$3,$C715="L"),-$O715,0)+IF(AND($K716=BX$3,$C716="L"),-$O716,0)+IF(AND($K717=BX$3,$C717="L"),-$O717,0),IF(OR(AND($K715=BX$3,OR($C715="W",$C715="1/2W")),AND($K716=BX$3,OR($C716="W",$C716="1/2W")),AND($K717=BX$3,OR($C717="W",$C717="1/2W"))),$S715,0))</f>
        <v>0</v>
      </c>
      <c r="BY715" s="201">
        <f>IF($B715="LOSS",IF(AND($K715=BY$3,$C715="L"),-$O715,0)+IF(AND($K716=BY$3,$C716="L"),-$O716,0)+IF(AND($K717=BY$3,$C717="L"),-$O717,0),IF(OR(AND($K715=BY$3,OR($C715="W",$C715="1/2W")),AND($K716=BY$3,OR($C716="W",$C716="1/2W")),AND($K717=BY$3,OR($C717="W",$C717="1/2W"))),$S715,0))</f>
        <v>0</v>
      </c>
      <c r="BZ715" s="205">
        <f>IF($B715="LOSS",IF(AND($K715=BZ$3,$C715="L"),-$O715,0)+IF(AND($K716=BZ$3,$C716="L"),-$O716,0)+IF(AND($K717=BZ$3,$C717="L"),-$O717,0),IF(OR(AND($K715=BZ$3,OR($C715="W",$C715="1/2W")),AND($K716=BZ$3,OR($C716="W",$C716="1/2W")),AND($K717=BZ$3,OR($C717="W",$C717="1/2W"))),$S715,0))</f>
        <v>0</v>
      </c>
      <c r="CA715" s="205">
        <f>IF($B715="LOSS",IF(AND($K715=CA$3,$C715="L"),-$O715,0)+IF(AND($K716=CA$3,$C716="L"),-$O716,0)+IF(AND($K717=CA$3,$C717="L"),-$O717,0),IF(OR(AND($K715=CA$3,OR($C715="W",$C715="1/2W")),AND($K716=CA$3,OR($C716="W",$C716="1/2W")),AND($K717=CA$3,OR($C717="W",$C717="1/2W"))),$S715,0))</f>
        <v>0</v>
      </c>
      <c r="CB715" s="205">
        <f>IF($B715="LOSS",IF(AND($K715=CB$3,$C715="L"),-$O715,0)+IF(AND($K716=CB$3,$C716="L"),-$O716,0)+IF(AND($K717=CB$3,$C717="L"),-$O717,0),IF(OR(AND($K715=CB$3,OR($C715="W",$C715="1/2W")),AND($K716=CB$3,OR($C716="W",$C716="1/2W")),AND($K717=CB$3,OR($C717="W",$C717="1/2W"))),$S715,0))</f>
        <v>0</v>
      </c>
      <c r="CC715" s="205">
        <f>IF($B715="LOSS",IF(AND($K715=CC$3,$C715="L"),-$O715,0)+IF(AND($K716=CC$3,$C716="L"),-$O716,0)+IF(AND($K717=CC$3,$C717="L"),-$O717,0),IF(OR(AND($K715=CC$3,OR($C715="W",$C715="1/2W")),AND($K716=CC$3,OR($C716="W",$C716="1/2W")),AND($K717=CC$3,OR($C717="W",$C717="1/2W"))),$S715,0))</f>
        <v>0</v>
      </c>
      <c r="CD715" s="202">
        <f>IF($B715="LOSS",IF(AND($K715=CD$3,$C715="L"),-$O715,0)+IF(AND($K716=CD$3,$C716="L"),-$O716,0)+IF(AND($K717=CD$3,$C717="L"),-$O717,0),IF(OR(AND($K715=CD$3,OR($C715="W",$C715="1/2W")),AND($K716=CD$3,OR($C716="W",$C716="1/2W")),AND($K717=CD$3,OR($C717="W",$C717="1/2W"))),$S715,0))</f>
        <v>0</v>
      </c>
      <c r="CE715" s="199">
        <f>IF($B715="LOSS",IF(AND($K715=CE$3,$C715="L"),-$O715,0)+IF(AND($K716=CE$3,$C716="L"),-$O716,0)+IF(AND($K717=CE$3,$C717="L"),-$O717,0),IF(OR(AND($K715=CE$3,OR($C715="W",$C715="1/2W")),AND($K716=CE$3,OR($C716="W",$C716="1/2W")),AND($K717=CE$3,OR($C717="W",$C717="1/2W"))),$S715,0))</f>
        <v>0</v>
      </c>
      <c r="CF715" s="206">
        <f>IF(CF$3=$K715,IF($C715="W",1,IF($C715="1/2W",0.5,0)),0)</f>
        <v>0</v>
      </c>
      <c r="CG715" s="207">
        <f>IF(CF$3=$K715,IF($C715="L",1,IF($C715="1/2L",0.5,0)),0)</f>
        <v>0</v>
      </c>
      <c r="CH715" s="207">
        <f>IF(CH$3=$K715,IF($C715="W",1,IF($C715="1/2W",0.5,0)),0)</f>
        <v>0</v>
      </c>
      <c r="CI715" s="207">
        <f>IF(CH$3=$K715,IF($C715="L",1,IF($C715="1/2L",0.5,0)),0)</f>
        <v>1</v>
      </c>
      <c r="CJ715" s="207">
        <f>IF(CJ$3=$K715,IF($C715="W",1,IF($C715="1/2W",0.5,0)),0)</f>
        <v>0</v>
      </c>
      <c r="CK715" s="207">
        <f>IF(CJ$3=$K715,IF($C715="L",1,IF($C715="1/2L",0.5,0)),0)</f>
        <v>0</v>
      </c>
      <c r="CL715" s="207">
        <f>IF(CL$3=$K715,IF($C715="W",1,IF($C715="1/2W",0.5,0)),0)</f>
        <v>0</v>
      </c>
      <c r="CM715" s="207">
        <f>IF(CL$3=$K715,IF($C715="L",1,IF($C715="1/2L",0.5,0)),0)</f>
        <v>0</v>
      </c>
      <c r="CN715" s="207">
        <f>IF(CN$3=$K715,IF($C715="W",1,IF($C715="1/2W",0.5,0)),0)</f>
        <v>0</v>
      </c>
      <c r="CO715" s="207">
        <f>IF(CN$3=$K715,IF($C715="L",1,IF($C715="1/2L",0.5,0)),0)</f>
        <v>0</v>
      </c>
      <c r="CP715" s="207">
        <f>IF(CP$3=$K715,IF($C715="W",1,IF($C715="1/2W",0.5,0)),0)</f>
        <v>0</v>
      </c>
      <c r="CQ715" s="207">
        <f>IF(CP$3=$K715,IF($C715="L",1,IF($C715="1/2L",0.5,0)),0)</f>
        <v>0</v>
      </c>
      <c r="CR715" s="207">
        <f>IF(CR$3=$K715,IF($C715="W",1,IF($C715="1/2W",0.5,0)),0)</f>
        <v>0</v>
      </c>
      <c r="CS715" s="207">
        <f>IF(CR$3=$K715,IF($C715="L",1,IF($C715="1/2L",0.5,0)),0)</f>
        <v>0</v>
      </c>
      <c r="CT715" s="208">
        <f>IF(CT$3=$K715,IF($C715="W",1,IF($C715="1/2W",0.5,0)),0)</f>
        <v>0</v>
      </c>
      <c r="CU715" s="209">
        <f>IF(CT$3=$K715,IF($C715="L",1,IF($C715="1/2L",0.5,0)),0)</f>
        <v>0</v>
      </c>
      <c r="CV715" s="209">
        <f>IF(CV$3=$K715,IF($C715="W",1,IF($C715="1/2W",0.5,0)),0)</f>
        <v>0</v>
      </c>
      <c r="CW715" s="209">
        <f>IF(CV$3=$K715,IF($C715="L",1,IF($C715="1/2L",0.5,0)),0)</f>
        <v>0</v>
      </c>
      <c r="CX715" s="209">
        <f>IF(CX$3=$K715,IF($C715="W",1,IF($C715="1/2W",0.5,0)),0)</f>
        <v>0</v>
      </c>
      <c r="CY715" s="209">
        <f>IF(CX$3=$K715,IF($C715="L",1,IF($C715="1/2L",0.5,0)),0)</f>
        <v>0</v>
      </c>
      <c r="CZ715" s="209">
        <f>IF(CZ$3=$K715,IF($C715="W",1,IF($C715="1/2W",0.5,0)),0)</f>
        <v>0</v>
      </c>
      <c r="DA715" s="209">
        <f>IF(CZ$3=$K715,IF($C715="L",1,IF($C715="1/2L",0.5,0)),0)</f>
        <v>0</v>
      </c>
      <c r="DB715" s="209">
        <f>IF(DB$3=$K715,IF($C715="W",1,IF($C715="1/2W",0.5,0)),0)</f>
        <v>0</v>
      </c>
      <c r="DC715" s="209">
        <f>IF(DB$3=$K715,IF($C715="L",1,IF($C715="1/2L",0.5,0)),0)</f>
        <v>0</v>
      </c>
      <c r="DD715" s="209">
        <f>IF(DD$3=$K715,IF($C715="W",1,IF($C715="1/2W",0.5,0)),0)</f>
        <v>0</v>
      </c>
      <c r="DE715" s="210">
        <f>IF(DD$3=$K715,IF($C715="L",1,IF($C715="1/2L",0.5,0)),0)</f>
        <v>0</v>
      </c>
      <c r="DF715" s="211">
        <f>IF(AND(L715&lt;DF$3,$C715="W"),1+DF714,DF714)</f>
        <v>20</v>
      </c>
      <c r="DG715" s="198">
        <f>IF(DF715&gt;DF714,L715+DG714,DG714)</f>
        <v>26.624</v>
      </c>
      <c r="DH715" s="209">
        <f>IF(AND(L715&gt;DH$3,$C715="W"),1+DH714,0+DH714)</f>
        <v>18</v>
      </c>
      <c r="DI715" s="198">
        <f>IF(DH715&gt;DH714,L715+DI714,DI714)</f>
        <v>93.66</v>
      </c>
      <c r="DJ715" t="s" s="306">
        <f>IF($D715="","",$D715)</f>
        <v>481</v>
      </c>
      <c r="DK715" s="209">
        <f>IF(AND($B715=" ",$D715&lt;&gt;""),1,0)</f>
        <v>0</v>
      </c>
    </row>
    <row r="716" ht="14.55" customHeight="1">
      <c r="A716" s="107"/>
      <c r="B716" s="108"/>
      <c r="C716" t="s" s="213">
        <v>56</v>
      </c>
      <c r="D716" s="110"/>
      <c r="E716" s="111"/>
      <c r="F716" s="113"/>
      <c r="G716" s="214"/>
      <c r="H716" s="114"/>
      <c r="I716" t="s" s="215">
        <v>67</v>
      </c>
      <c r="J716" s="296">
        <f>IF(OR(I715="TO",I715="TU",I715="TO1",I715="TU1",I715="TO2",I715="TU2"),J715,IF(OR(I715="AH1",I715="AH2"),IF(OR(I716="AH1",I716="AH2"),-J715,IF(OR(I716="EH1",I716="EH2"),-J715+0.5,"")),IF(OR(I715="EH1",I715="EH2"),IF(OR(I716="AH1",I716="AH2"),-J715+0.5,IF(OR(I716="EH1",I716="EH2"),-J715+1,"")),IF(AND(OR(I715="DNB1",I715="DNB2"),OR(I716="AH1",I716="AH2")),0,IF(AND(I715="Not ScoreBoth",OR(I716="TO1",I716="TO2")),0.5,"")))))</f>
        <v>10.5</v>
      </c>
      <c r="K716" t="s" s="217">
        <v>41</v>
      </c>
      <c r="L716" s="218">
        <v>1.88</v>
      </c>
      <c r="M716" s="219">
        <v>6.39</v>
      </c>
      <c r="N716" s="120"/>
      <c r="O716" s="220">
        <f>IF(OR(AE715="",AE716=""),"",ROUND(IF(L717&gt;0,IF(M716&gt;0,M716,IF(M715&gt;0,IF(N715=TRUE,ROUND((M715*AE716)/AE715,0),(M715*AE716)/AE715),IF(M716&gt;0,ROUND(M716,IF(N715=0,2,IF(N715=0.1,1,0))),IF(M717&gt;0,ROUND(O717*AE716/AE717,IF(N715=0,2,IF(N715=0.1,1,0))),0)))),IF(M716&gt;0,M716,ROUND((M715*AE716)/AE715,IF(N715=0,2,IF(N715=0.1,1,0))))),2))</f>
        <v>6.39</v>
      </c>
      <c r="P716" s="221">
        <f>IF(OR(L716="",O716=""),"",IF($C716="1/2W",O716/2+O716/2*L716,IF($C716="1/2L",O716/2,IF(I716="Lay",((O716*(L716/(L716-1)))-O716)*(1-_xlfn.XLOOKUP(K716,'Janeiro 2023 - Valor Real'!A3:A15,'Janeiro 2023 - Valor Real'!C3:C15,0))+O716,(O716*L716-O716)*(1-_xlfn.XLOOKUP(K716,'Janeiro 2023 - Valor Real'!A3:A15,'Janeiro 2023 - Valor Real'!C3:C15,0))+O716))))</f>
        <v>12.0132</v>
      </c>
      <c r="Q716" s="222">
        <f>IF(K716="","",IF(_xlfn.XLOOKUP(K716,K$123:K489,DJ$123:DJ489,0,,-1)=DJ716,_xlfn.XLOOKUP(K716,K$123:K489,Q$123:Q489,1,,-1)+1,1))</f>
        <v>1</v>
      </c>
      <c r="R716" s="223">
        <f>IF(K716="","",_xlfn.XLOOKUP(K716,K$123:K489,R$123:R489,0,,-1)+IF($C716=" ",1,0))</f>
        <v>0</v>
      </c>
      <c r="S716" s="125"/>
      <c r="T716" s="126"/>
      <c r="U716" s="126"/>
      <c r="V716" s="224"/>
      <c r="W716" s="126"/>
      <c r="X716" s="127"/>
      <c r="Y716" s="128"/>
      <c r="Z716" s="129"/>
      <c r="AA716" s="129"/>
      <c r="AB716" s="129"/>
      <c r="AC716" s="129"/>
      <c r="AD716" s="225">
        <f>(((L716/(L716-1)-1)*(1-_xlfn.XLOOKUP(K716,'Janeiro 2023 - Valor Real'!A3:A15,'Janeiro 2023 - Valor Real'!C3:C15,0))+1))</f>
        <v>2.13636363636364</v>
      </c>
      <c r="AE716" s="226">
        <f>IF(L716="","",IF(L717&gt;0,(SUM(((L715-1)*(1-_xlfn.XLOOKUP(K715,'Janeiro 2023 - Valor Real'!A3:A15,'Janeiro 2023 - Valor Real'!C3:C15,0))+1),((L716-1)*(1-_xlfn.XLOOKUP(K716,'Janeiro 2023 - Valor Real'!A3:A15,'Janeiro 2023 - Valor Real'!C3:C15,0))+1),((L717-1)*(1-_xlfn.XLOOKUP(K717,'Janeiro 2023 - Valor Real'!A3:A15,'Janeiro 2023 - Valor Real'!C3:C15,0))+1))/((L716-1)*(1-_xlfn.XLOOKUP(K716,'Janeiro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Real'!C3:C15,0))+1))/((L715-1)*(1-_xlfn.XLOOKUP(K715,'Janeiro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Real'!C3:C15,0))+1))/((L716-1)*(1-_xlfn.XLOOKUP(K716,'Janeiro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Real'!C3:C15,0))+1))/((L717-1)*(1-_xlfn.XLOOKUP(K717,'Janeiro 2023 - Valor Real'!A3:A15,'Janeiro 2023 - Valor Real'!C3:C15,0))+1)),IF(I716="Lay",IF(I715="Lay",((L715/(L715-1)-1)*(1-_xlfn.XLOOKUP(K715,'Janeiro 2023 - Valor Real'!A3:A15,'Janeiro 2023 - Valor Real'!C3:C15,0))+1)/(((L715/(L715-1)-1)*(1-_xlfn.XLOOKUP(K715,'Janeiro 2023 - Valor Real'!A3:A15,'Janeiro 2023 - Valor Real'!C3:C15,0))+1)+((L716/(L716-1)-1)*(1-_xlfn.XLOOKUP(K716,'Janeiro 2023 - Valor Real'!A3:A15,'Janeiro 2023 - Valor Real'!C3:C15,0))+1)),((L715-1)*(1-_xlfn.XLOOKUP(K715,'Janeiro 2023 - Valor Real'!A3:A15,'Janeiro 2023 - Valor Real'!C3:C15,0))+1)/(((L715-1)*(1-_xlfn.XLOOKUP(K715,'Janeiro 2023 - Valor Real'!A3:A15,'Janeiro 2023 - Valor Real'!C3:C15,0))+1)+((L716/(L716-1)-1)*(1-_xlfn.XLOOKUP(K716,'Janeiro 2023 - Valor Real'!A3:A15,'Janeiro 2023 - Valor Real'!C3:C15,0))+1))),IF(I715="Lay",((L715/(L715-1)-1)*(1-_xlfn.XLOOKUP(K715,'Janeiro 2023 - Valor Real'!A3:A15,'Janeiro 2023 - Valor Real'!C3:C15,0))+1)/((((L715/(L715-1)-1)*(1-_xlfn.XLOOKUP(K715,'Janeiro 2023 - Valor Real'!A3:A15,'Janeiro 2023 - Valor Real'!C3:C15,0))+1))+((L716-1)*(1-_xlfn.XLOOKUP(K716,'Janeiro 2023 - Valor Real'!A3:A15,'Janeiro 2023 - Valor Real'!C3:C15,0))+1)),((L715-1)*(1-_xlfn.XLOOKUP(K715,'Janeiro 2023 - Valor Real'!A3:A15,'Janeiro 2023 - Valor Real'!C3:C15,0))+1)/(((L715-1)*(1-_xlfn.XLOOKUP(K715,'Janeiro 2023 - Valor Real'!A3:A15,'Janeiro 2023 - Valor Real'!C3:C15,0))+1)+((L716-1)*(1-_xlfn.XLOOKUP(K716,'Janeiro 2023 - Valor Real'!A3:A15,'Janeiro 2023 - Valor Real'!C3:C15,0))+1))))))</f>
        <v>0.560747663551402</v>
      </c>
      <c r="AF716" s="197">
        <f>IF($K716=AF$3,ROUND(IF(OR($C716="W",$C716="1/2W",$C716="1/2L"),$P716-$O716,IF($C716="X",0,-$O716)),2),0)</f>
        <v>0</v>
      </c>
      <c r="AG716" s="198">
        <f>IF($K716=AG$3,ROUND(IF(OR($C716="W",$C716="1/2W",$C716="1/2L"),$P716-$O716,IF($C716="X",0,-$O716)),2),0)</f>
        <v>0</v>
      </c>
      <c r="AH716" s="198">
        <f>IF($K716=AH$3,ROUND(IF(OR($C716="W",$C716="1/2W",$C716="1/2L"),$P716-$O716,IF($C716="X",0,-$O716)),2),0)</f>
        <v>0</v>
      </c>
      <c r="AI716" s="198">
        <f>IF($K716=AI$3,ROUND(IF(OR($C716="W",$C716="1/2W",$C716="1/2L"),$P716-$O716,IF($C716="X",0,-$O716)),2),0)</f>
        <v>0</v>
      </c>
      <c r="AJ716" s="198">
        <f>IF($K716=AJ$3,ROUND(IF(OR($C716="W",$C716="1/2W",$C716="1/2L"),$P716-$O716,IF($C716="X",0,-$O716)),2),0)</f>
        <v>5.62</v>
      </c>
      <c r="AK716" s="198">
        <f>IF($K716=AK$3,ROUND(IF(OR($C716="W",$C716="1/2W",$C716="1/2L"),$P716-$O716,IF($C716="X",0,-$O716)),2),0)</f>
        <v>0</v>
      </c>
      <c r="AL716" s="198">
        <f>IF($K716=AL$3,ROUND(IF(OR($C716="W",$C716="1/2W",$C716="1/2L"),$P716-$O716,IF($C716="X",0,-$O716)),2),0)</f>
        <v>0</v>
      </c>
      <c r="AM716" s="198">
        <f>IF($K716=AM$3,ROUND(IF(OR($C716="W",$C716="1/2W",$C716="1/2L"),$P716-$O716,IF($C716="X",0,-$O716)),2),0)</f>
        <v>0</v>
      </c>
      <c r="AN716" s="198">
        <f>IF($K716=AN$3,ROUND(IF(OR($C716="W",$C716="1/2W",$C716="1/2L"),$P716-$O716,IF($C716="X",0,-$O716)),2),0)</f>
        <v>0</v>
      </c>
      <c r="AO716" s="198">
        <f>IF($K716=AO$3,ROUND(IF(OR($C716="W",$C716="1/2W",$C716="1/2L"),$P716-$O716,IF($C716="X",0,-$O716)),2),0)</f>
        <v>0</v>
      </c>
      <c r="AP716" s="198">
        <f>IF($K716=AP$3,ROUND(IF(OR($C716="W",$C716="1/2W",$C716="1/2L"),$P716-$O716,IF($C716="X",0,-$O716)),2),0)</f>
        <v>0</v>
      </c>
      <c r="AQ716" s="198">
        <f>IF($K716=AQ$3,ROUND(IF(OR($C716="W",$C716="1/2W",$C716="1/2L"),$P716-$O716,IF($C716="X",0,-$O716)),2),0)</f>
        <v>0</v>
      </c>
      <c r="AR716" s="199">
        <f>IF($K716=AR$3,ROUND(IF(OR($C716="W",$C716="1/2W",$C716="1/2L"),$P716-$O716,IF($C716="X",0,-$O716)),2),0)</f>
        <v>0</v>
      </c>
      <c r="AS716" s="197">
        <f>IF(AND($B715=" ",$K716=AS$3),$O716,0)</f>
        <v>0</v>
      </c>
      <c r="AT716" s="198">
        <f>IF(AND($B715=" ",K716=AT$3),$O716,0)</f>
        <v>0</v>
      </c>
      <c r="AU716" s="198">
        <f>IF(AND($B715=" ",$K716=AU$3),$O716,0)</f>
        <v>0</v>
      </c>
      <c r="AV716" s="198">
        <f>IF(AND($B715=" ",$K716=AV$3),$O716,0)</f>
        <v>0</v>
      </c>
      <c r="AW716" s="198">
        <f>IF(AND($B715=" ",$K716=AW$3),$O716,0)</f>
        <v>0</v>
      </c>
      <c r="AX716" s="198">
        <f>IF(AND($B715=" ",$K716=AX$3),$O716,0)</f>
        <v>0</v>
      </c>
      <c r="AY716" s="200">
        <f>IF(AND($B715=" ",$K716=AY$3),$O716,0)</f>
        <v>0</v>
      </c>
      <c r="AZ716" s="201">
        <f>IF(AND($B715=" ",$K716=AZ$3),$O716,0)</f>
        <v>0</v>
      </c>
      <c r="BA716" s="201">
        <f>IF(AND($B715=" ",$K716=BA$3),$O716,0)</f>
        <v>0</v>
      </c>
      <c r="BB716" s="201">
        <f>IF(AND($B715=" ",$K716=BB$3),$O716,0)</f>
        <v>0</v>
      </c>
      <c r="BC716" s="202">
        <f>IF(AND($B715=" ",$K716=BC$3),$O716,0)</f>
        <v>0</v>
      </c>
      <c r="BD716" s="198">
        <f>IF(AND($B715=" ",$K716=BD$3),$O716,0)</f>
        <v>0</v>
      </c>
      <c r="BE716" s="199">
        <f>IF(AND($B715=" ",$K716=BE$3),$O716,0)</f>
        <v>0</v>
      </c>
      <c r="BF716" s="197">
        <f>IF($K716=BF$3,IF($C716="X",0,$O716),0)</f>
        <v>0</v>
      </c>
      <c r="BG716" s="198">
        <f>IF($K716=BG$3,IF($C716="X",0,$O716),0)</f>
        <v>0</v>
      </c>
      <c r="BH716" s="198">
        <f>IF($K716=BH$3,IF($C716="X",0,$O716),0)</f>
        <v>0</v>
      </c>
      <c r="BI716" s="198">
        <f>IF($K716=BI$3,IF($C716="X",0,$O716),0)</f>
        <v>0</v>
      </c>
      <c r="BJ716" s="198">
        <f>IF($K716=BJ$3,IF($C716="X",0,$O716),0)</f>
        <v>6.39</v>
      </c>
      <c r="BK716" s="198">
        <f>IF($K716=BK$3,IF($C716="X",0,$O716),0)</f>
        <v>0</v>
      </c>
      <c r="BL716" s="198">
        <f>IF($K716=BL$3,IF($C716="X",0,$O716),0)</f>
        <v>0</v>
      </c>
      <c r="BM716" s="227">
        <f>IF($K716=BM$3,IF($C716="X",0,$O716),0)</f>
        <v>0</v>
      </c>
      <c r="BN716" s="205">
        <f>IF($K716=BN$3,IF($C716="X",0,$O716),0)</f>
        <v>0</v>
      </c>
      <c r="BO716" s="205">
        <f>IF($K716=BO$3,IF($C716="X",0,$O716),0)</f>
        <v>0</v>
      </c>
      <c r="BP716" s="205">
        <f>IF($K716=BP$3,IF($C716="X",0,$O716),0)</f>
        <v>0</v>
      </c>
      <c r="BQ716" s="202">
        <f>IF($K716=BQ$3,IF($C716="X",0,$O716),0)</f>
        <v>0</v>
      </c>
      <c r="BR716" s="199">
        <f>IF($K716=BR$3,IF($C716="X",0,$O716),0)</f>
        <v>0</v>
      </c>
      <c r="BS716" s="228"/>
      <c r="BT716" s="229"/>
      <c r="BU716" s="140"/>
      <c r="BV716" s="229"/>
      <c r="BW716" s="140"/>
      <c r="BX716" s="140"/>
      <c r="BY716" s="140"/>
      <c r="BZ716" s="229"/>
      <c r="CA716" s="140"/>
      <c r="CB716" s="140"/>
      <c r="CC716" s="140"/>
      <c r="CD716" s="141"/>
      <c r="CE716" s="142"/>
      <c r="CF716" s="230">
        <f>IF(CF$3=$K716,IF($C716="W",1,IF($C716="1/2W",0.5,0)),0)</f>
        <v>0</v>
      </c>
      <c r="CG716" s="231">
        <f>IF(CF$3=$K716,IF($C716="L",1,IF($C716="1/2L",0.5,0)),0)</f>
        <v>0</v>
      </c>
      <c r="CH716" s="231">
        <f>IF(CH$3=$K716,IF($C716="W",1,IF($C716="1/2W",0.5,0)),0)</f>
        <v>0</v>
      </c>
      <c r="CI716" s="231">
        <f>IF(CH$3=$K716,IF($C716="L",1,IF($C716="1/2L",0.5,0)),0)</f>
        <v>0</v>
      </c>
      <c r="CJ716" s="231">
        <f>IF(CJ$3=$K716,IF($C716="W",1,IF($C716="1/2W",0.5,0)),0)</f>
        <v>0</v>
      </c>
      <c r="CK716" s="231">
        <f>IF(CJ$3=$K716,IF($C716="L",1,IF($C716="1/2L",0.5,0)),0)</f>
        <v>0</v>
      </c>
      <c r="CL716" s="231">
        <f>IF(CL$3=$K716,IF($C716="W",1,IF($C716="1/2W",0.5,0)),0)</f>
        <v>0</v>
      </c>
      <c r="CM716" s="231">
        <f>IF(CL$3=$K716,IF($C716="L",1,IF($C716="1/2L",0.5,0)),0)</f>
        <v>0</v>
      </c>
      <c r="CN716" s="231">
        <f>IF(CN$3=$K716,IF($C716="W",1,IF($C716="1/2W",0.5,0)),0)</f>
        <v>1</v>
      </c>
      <c r="CO716" s="231">
        <f>IF(CN$3=$K716,IF($C716="L",1,IF($C716="1/2L",0.5,0)),0)</f>
        <v>0</v>
      </c>
      <c r="CP716" s="231">
        <f>IF(CP$3=$K716,IF($C716="W",1,IF($C716="1/2W",0.5,0)),0)</f>
        <v>0</v>
      </c>
      <c r="CQ716" s="231">
        <f>IF(CP$3=$K716,IF($C716="L",1,IF($C716="1/2L",0.5,0)),0)</f>
        <v>0</v>
      </c>
      <c r="CR716" s="231">
        <f>IF(CR$3=$K716,IF($C716="W",1,IF($C716="1/2W",0.5,0)),0)</f>
        <v>0</v>
      </c>
      <c r="CS716" s="231">
        <f>IF(CR$3=$K716,IF($C716="L",1,IF($C716="1/2L",0.5,0)),0)</f>
        <v>0</v>
      </c>
      <c r="CT716" s="208">
        <f>IF(CT$3=$K716,IF($C716="W",1,IF($C716="1/2W",0.5,0)),0)</f>
        <v>0</v>
      </c>
      <c r="CU716" s="209">
        <f>IF(CT$3=$K716,IF($C716="L",1,IF($C716="1/2L",0.5,0)),0)</f>
        <v>0</v>
      </c>
      <c r="CV716" s="209">
        <f>IF(CV$3=$K716,IF($C716="W",1,IF($C716="1/2W",0.5,0)),0)</f>
        <v>0</v>
      </c>
      <c r="CW716" s="209">
        <f>IF(CV$3=$K716,IF($C716="L",1,IF($C716="1/2L",0.5,0)),0)</f>
        <v>0</v>
      </c>
      <c r="CX716" s="209">
        <f>IF(CX$3=$K716,IF($C716="W",1,IF($C716="1/2W",0.5,0)),0)</f>
        <v>0</v>
      </c>
      <c r="CY716" s="209">
        <f>IF(CX$3=$K716,IF($C716="L",1,IF($C716="1/2L",0.5,0)),0)</f>
        <v>0</v>
      </c>
      <c r="CZ716" s="209">
        <f>IF(CZ$3=$K716,IF($C716="W",1,IF($C716="1/2W",0.5,0)),0)</f>
        <v>0</v>
      </c>
      <c r="DA716" s="209">
        <f>IF(CZ$3=$K716,IF($C716="L",1,IF($C716="1/2L",0.5,0)),0)</f>
        <v>0</v>
      </c>
      <c r="DB716" s="209">
        <f>IF(DB$3=$K716,IF($C716="W",1,IF($C716="1/2W",0.5,0)),0)</f>
        <v>0</v>
      </c>
      <c r="DC716" s="209">
        <f>IF(DB$3=$K716,IF($C716="L",1,IF($C716="1/2L",0.5,0)),0)</f>
        <v>0</v>
      </c>
      <c r="DD716" s="209">
        <f>IF(DD$3=$K716,IF($C716="W",1,IF($C716="1/2W",0.5,0)),0)</f>
        <v>0</v>
      </c>
      <c r="DE716" s="210">
        <f>IF(DD$3=$K716,IF($C716="L",1,IF($C716="1/2L",0.5,0)),0)</f>
        <v>0</v>
      </c>
      <c r="DF716" s="211">
        <f>IF(AND(L716&lt;DF$3,$C716="W"),1+DF715,DF715)</f>
        <v>20</v>
      </c>
      <c r="DG716" s="198">
        <f>IF(DF716&gt;DF715,L716+DG715,DG715)</f>
        <v>26.624</v>
      </c>
      <c r="DH716" s="209">
        <f>IF(AND(L716&gt;DH$3,$C716="W"),1+DH715,0+DH715)</f>
        <v>18</v>
      </c>
      <c r="DI716" s="198">
        <f>IF(DH716&gt;DH715,L716+DI715,DI715)</f>
        <v>93.66</v>
      </c>
      <c r="DJ716" t="s" s="306">
        <f>IF($D715="","",$D715)</f>
        <v>481</v>
      </c>
      <c r="DK716" s="232"/>
    </row>
    <row r="717" ht="14.55" customHeight="1">
      <c r="A717" s="149"/>
      <c r="B717" s="150"/>
      <c r="C717" t="s" s="233">
        <v>58</v>
      </c>
      <c r="D717" s="152"/>
      <c r="E717" s="153"/>
      <c r="F717" s="155"/>
      <c r="G717" s="234"/>
      <c r="H717" s="156"/>
      <c r="I717" s="235"/>
      <c r="J717" s="236"/>
      <c r="K717" s="237"/>
      <c r="L717" s="238"/>
      <c r="M717" s="239"/>
      <c r="N717" s="161"/>
      <c r="O717" t="s" s="240">
        <f>IF(OR(AE715="",AE716=""),"",IF(L717&gt;0,ROUND(IF(M717&gt;0,M717,IF(M715&gt;0,ROUND((M715*AE717)/AE715,IF(N715=0,2,IF(N715=0.1,1,0))),IF(M716&gt;0,ROUND((M716*AE717)/AE716,IF(N715=0,2,IF(N715=0.1,1,0))),IF(M717&gt;0,M717,0)))),2),""))</f>
      </c>
      <c r="P717" t="s" s="241">
        <f>IF(I716="Lay",O716*(L716/(L716-1))-O716,IF(I715="Lay",O715*(L715/(L715-1))-O715,IF(OR(L717="",O717=""),"",IF($C717="1/2W",O717/2+O717/2*L717,IF($C717="1/2L",O717/2,(O717*L717-O717)*(1-_xlfn.XLOOKUP(K717,'Janeiro 2023 - Valor Real'!A3:A15,'Janeiro 2023 - Valor Real'!C3:C15,0))+O717)))))</f>
      </c>
      <c r="Q717" t="s" s="242">
        <f>IF(K717="","",IF(_xlfn.XLOOKUP(K717,K$124:K490,DJ$124:DJ490,0,,-1)=DJ717,_xlfn.XLOOKUP(K717,K$124:K490,Q$124:Q490,1,,-1)+1,1))</f>
      </c>
      <c r="R717" t="s" s="243">
        <f>IF(K717="","",_xlfn.XLOOKUP(K717,K$124:K490,R$124:R490,0,,-1)+IF($C717=" ",1,0))</f>
      </c>
      <c r="S717" s="166"/>
      <c r="T717" s="155"/>
      <c r="U717" s="155"/>
      <c r="V717" s="166"/>
      <c r="W717" s="155"/>
      <c r="X717" s="167"/>
      <c r="Y717" s="128"/>
      <c r="Z717" s="129"/>
      <c r="AA717" s="129"/>
      <c r="AB717" s="129"/>
      <c r="AC717" s="129"/>
      <c r="AD717" s="244">
        <f>((L716/(L716-1)-1))</f>
        <v>1.13636363636364</v>
      </c>
      <c r="AE717" t="s" s="245">
        <f>IF(L717="","",(SUM(((L715-1)*(1-_xlfn.XLOOKUP(K715,'Janeiro 2023 - Valor Real'!A3:A15,'Janeiro 2023 - Valor Real'!C3:C15,0))+1),((L716-1)*(1-_xlfn.XLOOKUP(K716,'Janeiro 2023 - Valor Real'!A3:A15,'Janeiro 2023 - Valor Real'!C3:C15,0))+1),((L717-1)*(1-_xlfn.XLOOKUP(K717,'Janeiro 2023 - Valor Real'!A3:A15,'Janeiro 2023 - Valor Real'!C3:C15,0))+1))/((L717-1)*(1-_xlfn.XLOOKUP(K717,'Janeiro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Real'!C3:C15,0))+1))/((L715-1)*(1-_xlfn.XLOOKUP(K715,'Janeiro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Real'!C3:C15,0))+1))/((L716-1)*(1-_xlfn.XLOOKUP(K716,'Janeiro 2023 - Valor Real'!A3:A15,'Janeiro 2023 - Valor Real'!C3:C15,0))+1)+SUM(((L715-1)*(1-_xlfn.XLOOKUP(K715,'Janeiro 2023 - Valor Real'!A3:A15,'Janeiro 2023 - Valor Real'!C3:C15,0))+1),((L716-1)*(1-_xlfn.XLOOKUP(K716,'Janeiro 2023 - Valor Real'!A3:A15,'Janeiro 2023 - Valor Real'!C3:C15,0))+1),((L717-1)*(1-_xlfn.XLOOKUP(K717,'Janeiro 2023 - Valor Real'!A3:A15,'Janeiro 2023 - Valor Real'!C3:C15,0))+1))/((L717-1)*(1-_xlfn.XLOOKUP(K717,'Janeiro 2023 - Valor Real'!A3:A15,'Janeiro 2023 - Valor Real'!C3:C15,0))+1)))</f>
      </c>
      <c r="AF717" s="197">
        <f>IF($K717=AF$3,ROUND(IF(OR($C717="W",$C717="1/2W",$C717="1/2L"),$P717-$O717,IF($C717="X",0,-$O717)),2),0)</f>
        <v>0</v>
      </c>
      <c r="AG717" s="198">
        <f>IF($K717=AG$3,ROUND(IF(OR($C717="W",$C717="1/2W",$C717="1/2L"),$P717-$O717,IF($C717="X",0,-$O717)),2),0)</f>
        <v>0</v>
      </c>
      <c r="AH717" s="198">
        <f>IF($K717=AH$3,ROUND(IF(OR($C717="W",$C717="1/2W",$C717="1/2L"),$P717-$O717,IF($C717="X",0,-$O717)),2),0)</f>
        <v>0</v>
      </c>
      <c r="AI717" s="198">
        <f>IF($K717=AI$3,ROUND(IF(OR($C717="W",$C717="1/2W",$C717="1/2L"),$P717-$O717,IF($C717="X",0,-$O717)),2),0)</f>
        <v>0</v>
      </c>
      <c r="AJ717" s="198">
        <f>IF($K717=AJ$3,ROUND(IF(OR($C717="W",$C717="1/2W",$C717="1/2L"),$P717-$O717,IF($C717="X",0,-$O717)),2),0)</f>
        <v>0</v>
      </c>
      <c r="AK717" s="198">
        <f>IF($K717=AK$3,ROUND(IF(OR($C717="W",$C717="1/2W",$C717="1/2L"),$P717-$O717,IF($C717="X",0,-$O717)),2),0)</f>
        <v>0</v>
      </c>
      <c r="AL717" s="198">
        <f>IF($K717=AL$3,ROUND(IF(OR($C717="W",$C717="1/2W",$C717="1/2L"),$P717-$O717,IF($C717="X",0,-$O717)),2),0)</f>
        <v>0</v>
      </c>
      <c r="AM717" s="198">
        <f>IF($K717=AM$3,ROUND(IF(OR($C717="W",$C717="1/2W",$C717="1/2L"),$P717-$O717,IF($C717="X",0,-$O717)),2),0)</f>
        <v>0</v>
      </c>
      <c r="AN717" s="198">
        <f>IF($K717=AN$3,ROUND(IF(OR($C717="W",$C717="1/2W",$C717="1/2L"),$P717-$O717,IF($C717="X",0,-$O717)),2),0)</f>
        <v>0</v>
      </c>
      <c r="AO717" s="198">
        <f>IF($K717=AO$3,ROUND(IF(OR($C717="W",$C717="1/2W",$C717="1/2L"),$P717-$O717,IF($C717="X",0,-$O717)),2),0)</f>
        <v>0</v>
      </c>
      <c r="AP717" s="198">
        <f>IF($K717=AP$3,ROUND(IF(OR($C717="W",$C717="1/2W",$C717="1/2L"),$P717-$O717,IF($C717="X",0,-$O717)),2),0)</f>
        <v>0</v>
      </c>
      <c r="AQ717" s="198">
        <f>IF($K717=AQ$3,ROUND(IF(OR($C717="W",$C717="1/2W",$C717="1/2L"),$P717-$O717,IF($C717="X",0,-$O717)),2),0)</f>
        <v>0</v>
      </c>
      <c r="AR717" s="199">
        <f>IF($K717=AR$3,ROUND(IF(OR($C717="W",$C717="1/2W",$C717="1/2L"),$P717-$O717,IF($C717="X",0,-$O717)),2),0)</f>
        <v>0</v>
      </c>
      <c r="AS717" s="197">
        <f>IF(AND($B715=" ",$K717=AS$3),$O717,0)</f>
        <v>0</v>
      </c>
      <c r="AT717" s="198">
        <f>IF(AND($B715=" ",K717=AT$3),$O717,0)</f>
        <v>0</v>
      </c>
      <c r="AU717" s="198">
        <f>IF(AND($B715=" ",$K717=AU$3),$O717,0)</f>
        <v>0</v>
      </c>
      <c r="AV717" s="198">
        <f>IF(AND($B715=" ",$K717=AV$3),$O717,0)</f>
        <v>0</v>
      </c>
      <c r="AW717" s="198">
        <f>IF(AND($B715=" ",$K717=AW$3),$O717,0)</f>
        <v>0</v>
      </c>
      <c r="AX717" s="198">
        <f>IF(AND($B715=" ",$K717=AX$3),$O717,0)</f>
        <v>0</v>
      </c>
      <c r="AY717" s="200">
        <f>IF(AND($B715=" ",$K717=AY$3),$O717,0)</f>
        <v>0</v>
      </c>
      <c r="AZ717" s="201">
        <f>IF(AND($B715=" ",$K717=AZ$3),$O717,0)</f>
        <v>0</v>
      </c>
      <c r="BA717" s="201">
        <f>IF(AND($B715=" ",$K717=BA$3),$O717,0)</f>
        <v>0</v>
      </c>
      <c r="BB717" s="201">
        <f>IF(AND($B715=" ",$K717=BB$3),$O717,0)</f>
        <v>0</v>
      </c>
      <c r="BC717" s="202">
        <f>IF(AND($B715=" ",$K717=BC$3),$O717,0)</f>
        <v>0</v>
      </c>
      <c r="BD717" s="198">
        <f>IF(AND($B715=" ",$K717=BD$3),$O717,0)</f>
        <v>0</v>
      </c>
      <c r="BE717" s="199">
        <f>IF(AND($B715=" ",$K717=BE$3),$O717,0)</f>
        <v>0</v>
      </c>
      <c r="BF717" s="197">
        <f>IF($K717=BF$3,IF($C717="X",0,$O717),0)</f>
        <v>0</v>
      </c>
      <c r="BG717" s="198">
        <f>IF($K717=BG$3,IF($C717="X",0,$O717),0)</f>
        <v>0</v>
      </c>
      <c r="BH717" s="198">
        <f>IF($K717=BH$3,IF($C717="X",0,$O717),0)</f>
        <v>0</v>
      </c>
      <c r="BI717" s="198">
        <f>IF($K717=BI$3,IF($C717="X",0,$O717),0)</f>
        <v>0</v>
      </c>
      <c r="BJ717" s="198">
        <f>IF($K717=BJ$3,IF($C717="X",0,$O717),0)</f>
        <v>0</v>
      </c>
      <c r="BK717" s="198">
        <f>IF($K717=BK$3,IF($C717="X",0,$O717),0)</f>
        <v>0</v>
      </c>
      <c r="BL717" s="198">
        <f>IF($K717=BL$3,IF($C717="X",0,$O717),0)</f>
        <v>0</v>
      </c>
      <c r="BM717" s="200">
        <f>IF($K717=BM$3,IF($C717="X",0,$O717),0)</f>
        <v>0</v>
      </c>
      <c r="BN717" s="201">
        <f>IF($K717=BN$3,IF($C717="X",0,$O717),0)</f>
        <v>0</v>
      </c>
      <c r="BO717" s="201">
        <f>IF($K717=BO$3,IF($C717="X",0,$O717),0)</f>
        <v>0</v>
      </c>
      <c r="BP717" s="201">
        <f>IF($K717=BP$3,IF($C717="X",0,$O717),0)</f>
        <v>0</v>
      </c>
      <c r="BQ717" s="202">
        <f>IF($K717=BQ$3,IF($C717="X",0,$O717),0)</f>
        <v>0</v>
      </c>
      <c r="BR717" s="199">
        <f>IF($K717=BR$3,IF($C717="X",0,$O717),0)</f>
        <v>0</v>
      </c>
      <c r="BS717" s="228"/>
      <c r="BT717" s="229"/>
      <c r="BU717" s="140"/>
      <c r="BV717" s="229"/>
      <c r="BW717" s="140"/>
      <c r="BX717" s="140"/>
      <c r="BY717" s="140"/>
      <c r="BZ717" s="229"/>
      <c r="CA717" s="140"/>
      <c r="CB717" s="140"/>
      <c r="CC717" s="140"/>
      <c r="CD717" s="141"/>
      <c r="CE717" s="142"/>
      <c r="CF717" s="230">
        <f>IF(CF$3=$K717,IF($C717="W",1,IF($C717="1/2W",0.5,0)),0)</f>
        <v>0</v>
      </c>
      <c r="CG717" s="231">
        <f>IF(CF$3=$K717,IF($C717="L",1,IF($C717="1/2L",0.5,0)),0)</f>
        <v>0</v>
      </c>
      <c r="CH717" s="231">
        <f>IF(CH$3=$K717,IF($C717="W",1,IF($C717="1/2W",0.5,0)),0)</f>
        <v>0</v>
      </c>
      <c r="CI717" s="231">
        <f>IF(CH$3=$K717,IF($C717="L",1,IF($C717="1/2L",0.5,0)),0)</f>
        <v>0</v>
      </c>
      <c r="CJ717" s="231">
        <f>IF(CJ$3=$K717,IF($C717="W",1,IF($C717="1/2W",0.5,0)),0)</f>
        <v>0</v>
      </c>
      <c r="CK717" s="231">
        <f>IF(CJ$3=$K717,IF($C717="L",1,IF($C717="1/2L",0.5,0)),0)</f>
        <v>0</v>
      </c>
      <c r="CL717" s="231">
        <f>IF(CL$3=$K717,IF($C717="W",1,IF($C717="1/2W",0.5,0)),0)</f>
        <v>0</v>
      </c>
      <c r="CM717" s="231">
        <f>IF(CL$3=$K717,IF($C717="L",1,IF($C717="1/2L",0.5,0)),0)</f>
        <v>0</v>
      </c>
      <c r="CN717" s="231">
        <f>IF(CN$3=$K717,IF($C717="W",1,IF($C717="1/2W",0.5,0)),0)</f>
        <v>0</v>
      </c>
      <c r="CO717" s="231">
        <f>IF(CN$3=$K717,IF($C717="L",1,IF($C717="1/2L",0.5,0)),0)</f>
        <v>0</v>
      </c>
      <c r="CP717" s="231">
        <f>IF(CP$3=$K717,IF($C717="W",1,IF($C717="1/2W",0.5,0)),0)</f>
        <v>0</v>
      </c>
      <c r="CQ717" s="231">
        <f>IF(CP$3=$K717,IF($C717="L",1,IF($C717="1/2L",0.5,0)),0)</f>
        <v>0</v>
      </c>
      <c r="CR717" s="231">
        <f>IF(CR$3=$K717,IF($C717="W",1,IF($C717="1/2W",0.5,0)),0)</f>
        <v>0</v>
      </c>
      <c r="CS717" s="231">
        <f>IF(CR$3=$K717,IF($C717="L",1,IF($C717="1/2L",0.5,0)),0)</f>
        <v>0</v>
      </c>
      <c r="CT717" s="208">
        <f>IF(CT$3=$K717,IF($C717="W",1,IF($C717="1/2W",0.5,0)),0)</f>
        <v>0</v>
      </c>
      <c r="CU717" s="209">
        <f>IF(CT$3=$K717,IF($C717="L",1,IF($C717="1/2L",0.5,0)),0)</f>
        <v>0</v>
      </c>
      <c r="CV717" s="209">
        <f>IF(CV$3=$K717,IF($C717="W",1,IF($C717="1/2W",0.5,0)),0)</f>
        <v>0</v>
      </c>
      <c r="CW717" s="209">
        <f>IF(CV$3=$K717,IF($C717="L",1,IF($C717="1/2L",0.5,0)),0)</f>
        <v>0</v>
      </c>
      <c r="CX717" s="209">
        <f>IF(CX$3=$K717,IF($C717="W",1,IF($C717="1/2W",0.5,0)),0)</f>
        <v>0</v>
      </c>
      <c r="CY717" s="209">
        <f>IF(CX$3=$K717,IF($C717="L",1,IF($C717="1/2L",0.5,0)),0)</f>
        <v>0</v>
      </c>
      <c r="CZ717" s="209">
        <f>IF(CZ$3=$K717,IF($C717="W",1,IF($C717="1/2W",0.5,0)),0)</f>
        <v>0</v>
      </c>
      <c r="DA717" s="209">
        <f>IF(CZ$3=$K717,IF($C717="L",1,IF($C717="1/2L",0.5,0)),0)</f>
        <v>0</v>
      </c>
      <c r="DB717" s="209">
        <f>IF(DB$3=$K717,IF($C717="W",1,IF($C717="1/2W",0.5,0)),0)</f>
        <v>0</v>
      </c>
      <c r="DC717" s="209">
        <f>IF(DB$3=$K717,IF($C717="L",1,IF($C717="1/2L",0.5,0)),0)</f>
        <v>0</v>
      </c>
      <c r="DD717" s="209">
        <f>IF(DD$3=$K717,IF($C717="W",1,IF($C717="1/2W",0.5,0)),0)</f>
        <v>0</v>
      </c>
      <c r="DE717" s="210">
        <f>IF(DD$3=$K717,IF($C717="L",1,IF($C717="1/2L",0.5,0)),0)</f>
        <v>0</v>
      </c>
      <c r="DF717" s="211">
        <f>IF(AND(L717&lt;DF$3,$C717="W"),1+DF716,DF716)</f>
        <v>20</v>
      </c>
      <c r="DG717" s="198">
        <f>IF(DF717&gt;DF716,L717+DG716,DG716)</f>
        <v>26.624</v>
      </c>
      <c r="DH717" s="209">
        <f>IF(AND(L717&gt;DH$3,$C717="W"),1+DH716,0+DH716)</f>
        <v>18</v>
      </c>
      <c r="DI717" s="198">
        <f>IF(DH717&gt;DH716,L717+DI716,DI716)</f>
        <v>93.66</v>
      </c>
      <c r="DJ717" t="s" s="306">
        <f>IF($D715="","",$D715)</f>
        <v>481</v>
      </c>
      <c r="DK717" s="232"/>
    </row>
    <row r="718" ht="14.55" customHeight="1">
      <c r="A718" s="246">
        <f>$A715+1</f>
        <v>239</v>
      </c>
      <c r="B718" t="s" s="247">
        <f>IF(AND(_xlfn.XLOOKUP(H718,H$107:H497,G$107:G497,0)=G718,_xlfn.XLOOKUP("TempoBet",K718:K720,L718:L720,0)&gt;0),"X",IF(OR(C718="W",C719="W",C720="W",C718="1/2W",C719="1/2W",C720="1/2W",C718="1/2L",C719="1/2L",C720="1/2L"),"OK",IF(OR(C718="L",C719="L",C720="L"),"LOSS",IF(OR(C718="X",C719="X",C720="X"),"Anulado"," "))))</f>
        <v>50</v>
      </c>
      <c r="C718" t="s" s="248">
        <v>56</v>
      </c>
      <c r="D718" t="s" s="303">
        <f>IF(G718="","",$D715)</f>
        <v>481</v>
      </c>
      <c r="E718" t="s" s="250">
        <v>141</v>
      </c>
      <c r="F718" t="s" s="251">
        <f>IF(G718="","",IF(OR(AND($C718&lt;&gt;" ",$C719=" "),AND($C719&lt;&gt;" ",$C718=" "),AND(L720&gt;0,OR(AND($C720&lt;&gt;" ",OR($C718=" ",$C719=" ")),AND($C720=" ",OR($C718&lt;&gt;" ",$C719&lt;&gt;" "))))),IF(SUM(F$4:F717)=0,1,LARGE(F$4:F717,1)+1),IF(MONTH(G718)=MONTH(TODAY()),IF(AND(DAY(G718)&lt;DAY(TODAY()),$B718=" "),IF(SUM(F$4:F717)=0,1,LARGE(F$4:F717,1)+1),IF($B718=" ",IF(AND(DAY(G718)=DAY(TODAY()),HOUR(G718)&lt;=HOUR(NOW())+1),IF(AND(HOUR(G718)+2&lt;=HOUR(NOW()),DAY(G718)&lt;=DAY(TODAY()),MINUTE(G718)&lt;=MINUTE(NOW())),IF(SUM(F$4:F717)=0,1,LARGE(F$4:F717,1)+1),IF(OR(MINUTE(G718)&lt;=MINUTE(NOW()),HOUR(G718)&lt;=HOUR(NOW())),"!!!","")),""),"")),"")))</f>
      </c>
      <c r="G718" s="252">
        <v>44958.666666666664</v>
      </c>
      <c r="H718" t="s" s="253">
        <v>503</v>
      </c>
      <c r="I718" t="s" s="254">
        <v>67</v>
      </c>
      <c r="J718" s="255">
        <v>11</v>
      </c>
      <c r="K718" t="s" s="256">
        <v>41</v>
      </c>
      <c r="L718" s="257">
        <v>1.66</v>
      </c>
      <c r="M718" s="258">
        <v>8.52</v>
      </c>
      <c r="N718" s="259">
        <v>0</v>
      </c>
      <c r="O718" s="260">
        <f>IF(OR(AE718="",AE719=""),"",ROUND(IF(L720&gt;0,IF(M718&gt;0,M718,IF(M719&gt;0,ROUND((M719*AE718)/AE719,IF(N718=0,2,IF(N718=0.1,1,0))),ROUND((M720*AE718)/AE720,IF(N718=0,2,IF(N718=0.1,1,0))))),IF(M718&gt;0,M718,ROUND((M719*AE718)/AE719,IF(N718=0,2,IF(N718=0.1,1,0))))),2))</f>
        <v>8.52</v>
      </c>
      <c r="P718" s="261">
        <f>IF(OR(L718="",O718=""),"",IF($C718="1/2W",O718/2+O718/2*L718,IF($C718="1/2L",O718/2,IF(I718="Lay",(O718*(L718/(L718-1))-O718)*(1-_xlfn.XLOOKUP(K718,'Janeiro 2023 - Valor Real'!A3:A15,'Janeiro 2023 - Valor Real'!C3:C15,0))+O718,(O718*L718-O718)*(1-_xlfn.XLOOKUP(K718,'Janeiro 2023 - Valor Real'!A3:A15,'Janeiro 2023 - Valor Real'!C3:C15,0))+O718))))</f>
        <v>14.1432</v>
      </c>
      <c r="Q718" s="262">
        <f>IF(K718="","",IF(_xlfn.XLOOKUP(K718,K$107:K497,DJ$107:DJ497,0,,-1)=DJ718,_xlfn.XLOOKUP(K718,K$107:K497,Q$107:Q497,1,,-1)+1,1))</f>
        <v>1</v>
      </c>
      <c r="R718" s="263">
        <f>IF(K718="","",_xlfn.XLOOKUP(K718,K$107:K497,R$107:R497,0,,-1)+IF($C718=" ",1,0))</f>
        <v>0</v>
      </c>
      <c r="S718" s="264">
        <f>IF($B718="Anulado",0,ROUND(IF(OR($B718="LOSS",$B718="OK"),IF(OR($C718="W",$C718="1/2W",$C718="1/2L"),P718-O718,IF($C718="L",-O718,0))+IF(OR($C719="W",$C719="1/2W",$C719="1/2L"),P719-O719,IF($C719="L",-O719,0))+IF(OR($C720="W",$C720="1/2W",$C720="1/2L"),P720-O720,IF($C720="L",-O720,0)),IF(AND(OR($C718="W",$C718="1/2W",$C718="1/2L"),C719="W"),P718+P719-SUM(O718:O720)+_xlfn.XLOOKUP("X",C718:C720,O718:O720,0),IF(AND(C718=TRUE,C720="W"),P718+P720-SUM(O718:O720),IF(AND(C719="W",C720="W"),P719+P720-SUM(O718:O720)+_xlfn.XLOOKUP("X",C718:C720,O718:O720,0),IF(L720&gt;0,IF(OR($C718="W",$C718="1/2W",$C718="1/2L"),P718-SUM(O718:O720)+_xlfn.XLOOKUP("X",C718:C720,O718:O720,0),IF(OR($C718="W",$C718="1/2W",$C718="1/2L"),P719-SUM(O718:O720)+_xlfn.XLOOKUP("X",C718:C720,O718:O720,0),IF(OR($C718="W",$C718="1/2W",$C718="1/2L"),P720-SUM(O718:O720)+_xlfn.XLOOKUP("X",C718:C720,O718:O720,0),IF(SUM(P718:P720)/3-SUM(O718:O720)+_xlfn.XLOOKUP("X",C718:C720,O718:O720,0)&gt;0,SUM(P718:P720)/3-SUM(O718:O720)+_xlfn.XLOOKUP("X",C718:C720,O718:O720,0),LARGE(P718:P720,1)-SUM(O718:O720))))),IF(OR($C718="W",$C718="1/2W",$C718="1/2L"),P718-SUM(O718:O719)+_xlfn.XLOOKUP("X",C718:C720,O718:O720,0),IF(OR($C718="W",$C718="1/2W",$C718="1/2L"),P719-SUM(O718:O719)+_xlfn.XLOOKUP("X",C718:C720,O718:O720,0),SUM(P718:P719)/2-SUM(O718:O719)+_xlfn.XLOOKUP("X",C718:C720,O718:O720,0)))))))),2))</f>
        <v>0.67</v>
      </c>
      <c r="T718" s="265">
        <f>IF(S718=0,0,S718/SUM(O718:O720))</f>
        <v>0.0497401633259094</v>
      </c>
      <c r="U718" s="266">
        <f>IF($D718=$D715,IF(OR($B718="LOSS",$B718="OK",$B718="Anulada"),S718,0)+U715,IF(OR($B718="LOSS",$B718="OK",$B718="Anulada"),S718,0))</f>
        <v>21.6</v>
      </c>
      <c r="V718" s="266">
        <f>IF($D718="",0,IF($D718=$D715,IF($B718=" ",IF(I720="",IF(OR(AND(I718="DNB1",I719="DNB2"),AND(OR(I718="DNB1",I718="DNB2"),J719=0),AND(OR(I719="DNB1",I719="DNB2"),J718=0),AND(I718="DNB2",I719="DNB1"),AND(IF(J718=0,(J718+1)/ROUND(J718+1,0),J718/ROUND(J718,0))=1,IF(J719=0,(J719+1)/ROUND(IF(J719="",0,J719)+1,0),IF(J719="",0,J719)/ROUND(IF(J719="",1,J719),0))=1,OR(J718&lt;&gt;""),J719&lt;&gt;"")),0,IF(S718&lt;0,IF(I720="",SMALL(P718:P719,1)-SUM(O718:O719),0),SMALL(P718:P719,1)-SUM(O718:O719))),IF(S718&lt;0,IF(I720="",SMALL(P718:P720,1)-SUM(O718:O720),0),LARGE(P718:P720,1)-SUM(O718:O720))),S718)+V715,IF(I720="",IF(OR(AND(I718="DNB1",I719="DNB2"),AND(OR(I718="DNB1",I718="DNB2"),J719=0),AND(OR(I719="DNB1",I719="DNB2"),J718=0),AND(I718="DNB2",I719="DNB1"),AND(IF(J718=0,(J718+1)/ROUND(J718+1,0),J718/ROUND(J718,0))=1,IF(J719=0,(IF(J719="",0,J719)+1)/ROUND(IF(J719="",0,J719)+1,0),IF(J719="",0,J719)/ROUND(IF(J719="",0,J719)+1,0))=1,OR(J718&lt;&gt;""),J719&lt;&gt;"")),0,IF(S718&lt;0,IF(I720="",SMALL(P718:P719,1)-SUM(O718:O719),0),SMALL(P718:P720,1)-SUM(O718:O720))),IF(S718&lt;0,IF(I720="",SMALL(P718:P720,1)-SUM(O718:O720),0),LARGE(P718:P720,1)-SUM(O718:O720)))))</f>
        <v>21.5976</v>
      </c>
      <c r="W718" s="266">
        <f>IF($D718=$D715,IF(S718&lt;0,IF(I720="",S718,0),S718)+W715,S718)</f>
        <v>21.6</v>
      </c>
      <c r="X718" t="s" s="267">
        <f>IF(OR(SUM(R718:R720)=0,V718=W718),ROUND(IF(W718=0,0,W718/Y718)*100,2)&amp;"%",ROUND(IF(V718=0,0,V718/Y718)*100,2)&amp;"% a "&amp;ROUND(IF(W718=0,0,W718/Y718)*100,2)&amp;"%")</f>
        <v>504</v>
      </c>
      <c r="Y718" s="268">
        <f>IF($D718=$D715,Y715+SUM(O718:O720),SUM(O718:O720))</f>
        <v>393.27</v>
      </c>
      <c r="Z718" s="266">
        <f>IF($B718=" ",SUM(O718:O720),0)+Z715</f>
        <v>0</v>
      </c>
      <c r="AA718" s="266">
        <f>IF(G718="","",IF($B718="Anulado",LARGE(P718:P720,1)-SUM(O718:O720)+AA715,AA715))</f>
        <v>27.7065076923077</v>
      </c>
      <c r="AB718" s="266">
        <f>IF($D718="","",AB715+S718)</f>
        <v>492.78</v>
      </c>
      <c r="AC718" s="269">
        <f>IF($D718="","",IF($B718=" ",IF(DAY(G718)=DAY(TODAY()),1+AC715,0+AC715),0+AC715))</f>
        <v>0</v>
      </c>
      <c r="AD718" s="270">
        <f>(1-_xlfn.XLOOKUP(K716,'Janeiro 2023 - Valor Real'!A3:A15,'Janeiro 2023 - Valor Real'!C3:C15,0))+1</f>
        <v>2</v>
      </c>
      <c r="AE718" s="271">
        <f>IF(L718="","",IF(L720&gt;0,(SUM(((L718-1)*(1-_xlfn.XLOOKUP(K718,'Janeiro 2023 - Valor Real'!A3:A15,'Janeiro 2023 - Valor Real'!C3:C15,0))+1),((L719-1)*(1-_xlfn.XLOOKUP(K719,'Janeiro 2023 - Valor Real'!A3:A15,'Janeiro 2023 - Valor Real'!C3:C15,0))+1),((L720-1)*(1-_xlfn.XLOOKUP(K720,'Janeiro 2023 - Valor Real'!A3:A15,'Janeiro 2023 - Valor Real'!C3:C15,0))+1))/((L718-1)*(1-_xlfn.XLOOKUP(K718,'Janeiro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Real'!C3:C15,0))+1))/((L718-1)*(1-_xlfn.XLOOKUP(K718,'Janeiro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Real'!C3:C15,0))+1))/((L719-1)*(1-_xlfn.XLOOKUP(K719,'Janeiro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Real'!C3:C15,0))+1))/((L720-1)*(1-_xlfn.XLOOKUP(K720,'Janeiro 2023 - Valor Real'!A3:A15,'Janeiro 2023 - Valor Real'!C3:C15,0))+1)),IF(I718="Lay",IF(I719="Lay",((L719/(L719-1)-1)*(1-_xlfn.XLOOKUP(K719,'Janeiro 2023 - Valor Real'!A3:A15,'Janeiro 2023 - Valor Real'!C3:C15,0))+1)/(((L719/(L719-1)-1)*(1-_xlfn.XLOOKUP(K719,'Janeiro 2023 - Valor Real'!A3:A15,'Janeiro 2023 - Valor Real'!C3:C15,0))+1)+((L718/(L718-1)-1)*(1-_xlfn.XLOOKUP(K718,'Janeiro 2023 - Valor Real'!A3:A15,'Janeiro 2023 - Valor Real'!C3:C15,0))+1)),((L719-1)*(1-_xlfn.XLOOKUP(K719,'Janeiro 2023 - Valor Real'!A3:A15,'Janeiro 2023 - Valor Real'!C3:C15,0))+1)/(((L719-1)*(1-_xlfn.XLOOKUP(K719,'Janeiro 2023 - Valor Real'!A3:A15,'Janeiro 2023 - Valor Real'!C3:C15,0))+1)+((L718/(L718-1)-1)*(1-_xlfn.XLOOKUP(K718,'Janeiro 2023 - Valor Real'!A3:A15,'Janeiro 2023 - Valor Real'!C3:C15,0))+1))),IF(I719="Lay",(((L719/(L719-1)-1)*(1-_xlfn.XLOOKUP(K719,'Janeiro 2023 - Valor Real'!A3:A15,'Janeiro 2023 - Valor Real'!C3:C15,0))+1))/(((L718-1)*(1-_xlfn.XLOOKUP(K718,'Janeiro 2023 - Valor Real'!A3:A15,'Janeiro 2023 - Valor Real'!C3:C15,0))+1)+((L719/(L719-1)-1)*(1-_xlfn.XLOOKUP(K719,'Janeiro 2023 - Valor Real'!A3:A15,'Janeiro 2023 - Valor Real'!C3:C15,0))+1)),((L719-1)*(1-_xlfn.XLOOKUP(K719,'Janeiro 2023 - Valor Real'!A3:A15,'Janeiro 2023 - Valor Real'!C3:C15,0))+1)/(((L719-1)*(1-_xlfn.XLOOKUP(K719,'Janeiro 2023 - Valor Real'!A3:A15,'Janeiro 2023 - Valor Real'!C3:C15,0))+1)+((L718-1)*(1-_xlfn.XLOOKUP(K718,'Janeiro 2023 - Valor Real'!A3:A15,'Janeiro 2023 - Valor Real'!C3:C15,0))+1))))))</f>
        <v>0.455643769416638</v>
      </c>
      <c r="AF718" s="132">
        <f>IF($K718=AF$3,ROUND(IF(OR($C718="W",$C718="1/2W",$C718="1/2L"),$P718-$O718,IF($C718="X",0,-$O718)),2),0)</f>
        <v>0</v>
      </c>
      <c r="AG718" s="133">
        <f>IF($K718=AG$3,ROUND(IF(OR($C718="W",$C718="1/2W",$C718="1/2L"),$P718-$O718,IF($C718="X",0,-$O718)),2),0)</f>
        <v>0</v>
      </c>
      <c r="AH718" s="133">
        <f>IF($K718=AH$3,ROUND(IF(OR($C718="W",$C718="1/2W",$C718="1/2L"),$P718-$O718,IF($C718="X",0,-$O718)),2),0)</f>
        <v>0</v>
      </c>
      <c r="AI718" s="133">
        <f>IF($K718=AI$3,ROUND(IF(OR($C718="W",$C718="1/2W",$C718="1/2L"),$P718-$O718,IF($C718="X",0,-$O718)),2),0)</f>
        <v>0</v>
      </c>
      <c r="AJ718" s="133">
        <f>IF($K718=AJ$3,ROUND(IF(OR($C718="W",$C718="1/2W",$C718="1/2L"),$P718-$O718,IF($C718="X",0,-$O718)),2),0)</f>
        <v>5.62</v>
      </c>
      <c r="AK718" s="133">
        <f>IF($K718=AK$3,ROUND(IF(OR($C718="W",$C718="1/2W",$C718="1/2L"),$P718-$O718,IF($C718="X",0,-$O718)),2),0)</f>
        <v>0</v>
      </c>
      <c r="AL718" s="133">
        <f>IF($K718=AL$3,ROUND(IF(OR($C718="W",$C718="1/2W",$C718="1/2L"),$P718-$O718,IF($C718="X",0,-$O718)),2),0)</f>
        <v>0</v>
      </c>
      <c r="AM718" s="133">
        <f>IF($K718=AM$3,ROUND(IF(OR($C718="W",$C718="1/2W",$C718="1/2L"),$P718-$O718,IF($C718="X",0,-$O718)),2),0)</f>
        <v>0</v>
      </c>
      <c r="AN718" s="133">
        <f>IF($K718=AN$3,ROUND(IF(OR($C718="W",$C718="1/2W",$C718="1/2L"),$P718-$O718,IF($C718="X",0,-$O718)),2),0)</f>
        <v>0</v>
      </c>
      <c r="AO718" s="133">
        <f>IF($K718=AO$3,ROUND(IF(OR($C718="W",$C718="1/2W",$C718="1/2L"),$P718-$O718,IF($C718="X",0,-$O718)),2),0)</f>
        <v>0</v>
      </c>
      <c r="AP718" s="133">
        <f>IF($K718=AP$3,ROUND(IF(OR($C718="W",$C718="1/2W",$C718="1/2L"),$P718-$O718,IF($C718="X",0,-$O718)),2),0)</f>
        <v>0</v>
      </c>
      <c r="AQ718" s="133">
        <f>IF($K718=AQ$3,ROUND(IF(OR($C718="W",$C718="1/2W",$C718="1/2L"),$P718-$O718,IF($C718="X",0,-$O718)),2),0)</f>
        <v>0</v>
      </c>
      <c r="AR718" s="134">
        <f>IF($K718=AR$3,ROUND(IF(OR($C718="W",$C718="1/2W",$C718="1/2L"),$P718-$O718,IF($C718="X",0,-$O718)),2),0)</f>
        <v>0</v>
      </c>
      <c r="AS718" s="132">
        <f>IF(AND($B718=" ",$K718=AS$3),$O718,0)</f>
        <v>0</v>
      </c>
      <c r="AT718" s="133">
        <f>IF(AND($B718=" ",$K718=AT$3),$O718,0)</f>
        <v>0</v>
      </c>
      <c r="AU718" s="133">
        <f>IF(AND($B718=" ",$K718=AU$3),$O718,0)</f>
        <v>0</v>
      </c>
      <c r="AV718" s="133">
        <f>IF(AND($B718=" ",$K718=AV$3),$O718,0)</f>
        <v>0</v>
      </c>
      <c r="AW718" s="133">
        <f>IF(AND($B718=" ",$K718=AW$3),$O718,0)</f>
        <v>0</v>
      </c>
      <c r="AX718" s="133">
        <f>IF(AND($B718=" ",$K718=AX$3),$O718,0)</f>
        <v>0</v>
      </c>
      <c r="AY718" s="135">
        <f>IF(AND($B718=" ",$K718=AY$3),$O718,0)</f>
        <v>0</v>
      </c>
      <c r="AZ718" s="136">
        <f>IF(AND($B718=" ",$K718=AZ$3),$O718,0)</f>
        <v>0</v>
      </c>
      <c r="BA718" s="136">
        <f>IF(AND($B718=" ",$K718=BA$3),$O718,0)</f>
        <v>0</v>
      </c>
      <c r="BB718" s="136">
        <f>IF(AND($B718=" ",$K718=BB$3),$O718,0)</f>
        <v>0</v>
      </c>
      <c r="BC718" s="137">
        <f>IF(AND($B718=" ",$K718=BC$3),$O718,0)</f>
        <v>0</v>
      </c>
      <c r="BD718" s="133">
        <f>IF(AND($B718=" ",$K718=BD$3),$O718,0)</f>
        <v>0</v>
      </c>
      <c r="BE718" s="134">
        <f>IF(AND($B718=" ",$K718=BE$3),$O718,0)</f>
        <v>0</v>
      </c>
      <c r="BF718" s="132">
        <f>IF($K718=BF$3,IF($C718="X",0,$O718),0)</f>
        <v>0</v>
      </c>
      <c r="BG718" s="133">
        <f>IF($K718=BG$3,IF($C718="X",0,$O718),0)</f>
        <v>0</v>
      </c>
      <c r="BH718" s="133">
        <f>IF($K718=BH$3,IF($C718="X",0,$O718),0)</f>
        <v>0</v>
      </c>
      <c r="BI718" s="133">
        <f>IF($K718=BI$3,IF($C718="X",0,$O718),0)</f>
        <v>0</v>
      </c>
      <c r="BJ718" s="133">
        <f>IF($K718=BJ$3,IF($C718="X",0,$O718),0)</f>
        <v>8.52</v>
      </c>
      <c r="BK718" s="133">
        <f>IF($K718=BK$3,IF($C718="X",0,$O718),0)</f>
        <v>0</v>
      </c>
      <c r="BL718" s="133">
        <f>IF($K718=BL$3,IF($C718="X",0,$O718),0)</f>
        <v>0</v>
      </c>
      <c r="BM718" s="135">
        <f>IF($K718=BM$3,IF($C718="X",0,$O718),0)</f>
        <v>0</v>
      </c>
      <c r="BN718" s="136">
        <f>IF($K718=BN$3,IF($C718="X",0,$O718),0)</f>
        <v>0</v>
      </c>
      <c r="BO718" s="136">
        <f>IF($K718=BO$3,IF($C718="X",0,$O718),0)</f>
        <v>0</v>
      </c>
      <c r="BP718" s="136">
        <f>IF($K718=BP$3,IF($C718="X",0,$O718),0)</f>
        <v>0</v>
      </c>
      <c r="BQ718" s="137">
        <f>IF($K718=BQ$3,IF($C718="X",0,$O718),0)</f>
        <v>0</v>
      </c>
      <c r="BR718" s="134">
        <f>IF($K718=BR$3,IF($C718="X",0,$O718),0)</f>
        <v>0</v>
      </c>
      <c r="BS718" s="170">
        <f>IF($B718="LOSS",IF(AND($K718=BS$3,$C718="L"),-$O718,0)+IF(AND($K719=BS$3,$C719="L"),-$O719,0)+IF(AND($K720=BS$3,$C720="L"),-$O720,0),IF(OR(AND($K718=BS$3,OR($C718="W",$C718="1/2W")),AND($K719=BS$3,OR($C719="W",$C719="1/2W")),AND($K720=BS$3,OR($C720="W",$C720="1/2W"))),$S718,0))</f>
        <v>0</v>
      </c>
      <c r="BT718" s="272">
        <f>IF($B718="LOSS",IF(AND($K718=BT$3,$C718="L"),-$O718,0)+IF(AND($K719=BT$3,$C719="L"),-$O719,0)+IF(AND($K719=BT$3,$C720="L"),-$O720,0),IF(OR(AND($K719=BT$3,OR($C718="W",$C718="1/2W")),AND($K719=BT$3,OR($C719="W",$C719="1/2W")),AND($K719=BT$3,OR($C720="W",$C720="1/2W"))),$S718,0))</f>
        <v>0.67</v>
      </c>
      <c r="BU718" s="136">
        <f>IF($B718="LOSS",IF(AND($K718=BU$3,$C718="L"),-$O718,0)+IF(AND($K719=BU$3,$C719="L"),-$O719,0)+IF(AND($K719=BU$3,$C720="L"),-$O720,0),IF(OR(AND($K719=BU$3,OR($C718="W",$C718="1/2W")),AND($K719=BU$3,OR($C719="W",$C719="1/2W")),AND($K719=BU$3,OR($C720="W",$C720="1/2W"))),$S718,0))</f>
        <v>0</v>
      </c>
      <c r="BV718" s="136">
        <f>IF($B718="LOSS",IF(AND($K718=BV$3,$C718="L"),-$O718,0)+IF(AND($K719=BV$3,$C719="L"),-$O719,0)+IF(AND($K720=BV$3,$C720="L"),-$O720,0),IF(OR(AND($K718=BV$3,OR($C718="W",$C718="1/2W")),AND($K719=BV$3,OR($C719="W",$C719="1/2W")),AND($K720=BV$3,OR($C720="W",$C720="1/2W"))),$S718,0))</f>
        <v>0</v>
      </c>
      <c r="BW718" s="136">
        <f>IF($B718="LOSS",IF(AND($K718=BW$3,$C718="L"),-$O718,0)+IF(AND($K719=BW$3,$C719="L"),-$O719,0)+IF(AND($K720=BW$3,$C720="L"),-$O720,0),IF(OR(AND($K718=BW$3,OR($C718="W",$C718="1/2W")),AND($K719=BW$3,OR($C719="W",$C719="1/2W")),AND($K720=BW$3,OR($C720="W",$C720="1/2W"))),$S718,0))</f>
        <v>0.67</v>
      </c>
      <c r="BX718" s="136">
        <f>IF($B718="LOSS",IF(AND($K718=BX$3,$C718="L"),-$O718,0)+IF(AND($K719=BX$3,$C719="L"),-$O719,0)+IF(AND($K720=BX$3,$C720="L"),-$O720,0),IF(OR(AND($K718=BX$3,OR($C718="W",$C718="1/2W")),AND($K719=BX$3,OR($C719="W",$C719="1/2W")),AND($K720=BX$3,OR($C720="W",$C720="1/2W"))),$S718,0))</f>
        <v>0</v>
      </c>
      <c r="BY718" s="136">
        <f>IF($B718="LOSS",IF(AND($K718=BY$3,$C718="L"),-$O718,0)+IF(AND($K719=BY$3,$C719="L"),-$O719,0)+IF(AND($K720=BY$3,$C720="L"),-$O720,0),IF(OR(AND($K718=BY$3,OR($C718="W",$C718="1/2W")),AND($K719=BY$3,OR($C719="W",$C719="1/2W")),AND($K720=BY$3,OR($C720="W",$C720="1/2W"))),$S718,0))</f>
        <v>0</v>
      </c>
      <c r="BZ718" s="136">
        <f>IF($B718="LOSS",IF(AND($K718=BZ$3,$C718="L"),-$O718,0)+IF(AND($K719=BZ$3,$C719="L"),-$O719,0)+IF(AND($K720=BZ$3,$C720="L"),-$O720,0),IF(OR(AND($K718=BZ$3,OR($C718="W",$C718="1/2W")),AND($K719=BZ$3,OR($C719="W",$C719="1/2W")),AND($K720=BZ$3,OR($C720="W",$C720="1/2W"))),$S718,0))</f>
        <v>0</v>
      </c>
      <c r="CA718" s="136">
        <f>IF($B718="LOSS",IF(AND($K718=CA$3,$C718="L"),-$O718,0)+IF(AND($K719=CA$3,$C719="L"),-$O719,0)+IF(AND($K720=CA$3,$C720="L"),-$O720,0),IF(OR(AND($K718=CA$3,OR($C718="W",$C718="1/2W")),AND($K719=CA$3,OR($C719="W",$C719="1/2W")),AND($K720=CA$3,OR($C720="W",$C720="1/2W"))),$S718,0))</f>
        <v>0</v>
      </c>
      <c r="CB718" s="136">
        <f>IF($B718="LOSS",IF(AND($K718=CB$3,$C718="L"),-$O718,0)+IF(AND($K719=CB$3,$C719="L"),-$O719,0)+IF(AND($K720=CB$3,$C720="L"),-$O720,0),IF(OR(AND($K718=CB$3,OR($C718="W",$C718="1/2W")),AND($K719=CB$3,OR($C719="W",$C719="1/2W")),AND($K720=CB$3,OR($C720="W",$C720="1/2W"))),$S718,0))</f>
        <v>0</v>
      </c>
      <c r="CC718" s="136">
        <f>IF($B718="LOSS",IF(AND($K718=CC$3,$C718="L"),-$O718,0)+IF(AND($K719=CC$3,$C719="L"),-$O719,0)+IF(AND($K720=CC$3,$C720="L"),-$O720,0),IF(OR(AND($K718=CC$3,OR($C718="W",$C718="1/2W")),AND($K719=CC$3,OR($C719="W",$C719="1/2W")),AND($K720=CC$3,OR($C720="W",$C720="1/2W"))),$S718,0))</f>
        <v>0</v>
      </c>
      <c r="CD718" s="137">
        <f>IF($B718="LOSS",IF(AND($K718=CD$3,$C718="L"),-$O718,0)+IF(AND($K719=CD$3,$C719="L"),-$O719,0)+IF(AND($K720=CD$3,$C720="L"),-$O720,0),IF(OR(AND($K718=CD$3,OR($C718="W",$C718="1/2W")),AND($K719=CD$3,OR($C719="W",$C719="1/2W")),AND($K720=CD$3,OR($C720="W",$C720="1/2W"))),$S718,0))</f>
        <v>0</v>
      </c>
      <c r="CE718" s="134">
        <f>IF($B718="LOSS",IF(AND($K718=CE$3,$C718="L"),-$O718,0)+IF(AND($K719=CE$3,$C719="L"),-$O719,0)+IF(AND($K720=CE$3,$C720="L"),-$O720,0),IF(OR(AND($K718=CE$3,OR($C718="W",$C718="1/2W")),AND($K719=CE$3,OR($C719="W",$C719="1/2W")),AND($K720=CE$3,OR($C720="W",$C720="1/2W"))),$S718,0))</f>
        <v>0</v>
      </c>
      <c r="CF718" s="273">
        <f>IF(CF$3=$K718,IF($C718="W",1,IF($C718="1/2W",0.5,0)),0)</f>
        <v>0</v>
      </c>
      <c r="CG718" s="274">
        <f>IF(CF$3=$K718,IF($C718="L",1,IF($C718="1/2L",0.5,0)),0)</f>
        <v>0</v>
      </c>
      <c r="CH718" s="274">
        <f>IF(CH$3=$K718,IF($C718="W",1,IF($C718="1/2W",0.5,0)),0)</f>
        <v>0</v>
      </c>
      <c r="CI718" s="274">
        <f>IF(CH$3=$K718,IF($C718="L",1,IF($C718="1/2L",0.5,0)),0)</f>
        <v>0</v>
      </c>
      <c r="CJ718" s="274">
        <f>IF(CJ$3=$K718,IF($C718="W",1,IF($C718="1/2W",0.5,0)),0)</f>
        <v>0</v>
      </c>
      <c r="CK718" s="274">
        <f>IF(CJ$3=$K718,IF($C718="L",1,IF($C718="1/2L",0.5,0)),0)</f>
        <v>0</v>
      </c>
      <c r="CL718" s="274">
        <f>IF(CL$3=$K718,IF($C718="W",1,IF($C718="1/2W",0.5,0)),0)</f>
        <v>0</v>
      </c>
      <c r="CM718" s="274">
        <f>IF(CL$3=$K718,IF($C718="L",1,IF($C718="1/2L",0.5,0)),0)</f>
        <v>0</v>
      </c>
      <c r="CN718" s="274">
        <f>IF(CN$3=$K718,IF($C718="W",1,IF($C718="1/2W",0.5,0)),0)</f>
        <v>1</v>
      </c>
      <c r="CO718" s="274">
        <f>IF(CN$3=$K718,IF($C718="L",1,IF($C718="1/2L",0.5,0)),0)</f>
        <v>0</v>
      </c>
      <c r="CP718" s="274">
        <f>IF(CP$3=$K718,IF($C718="W",1,IF($C718="1/2W",0.5,0)),0)</f>
        <v>0</v>
      </c>
      <c r="CQ718" s="274">
        <f>IF(CP$3=$K718,IF($C718="L",1,IF($C718="1/2L",0.5,0)),0)</f>
        <v>0</v>
      </c>
      <c r="CR718" s="274">
        <f>IF(CR$3=$K718,IF($C718="W",1,IF($C718="1/2W",0.5,0)),0)</f>
        <v>0</v>
      </c>
      <c r="CS718" s="274">
        <f>IF(CR$3=$K718,IF($C718="L",1,IF($C718="1/2L",0.5,0)),0)</f>
        <v>0</v>
      </c>
      <c r="CT718" s="145">
        <f>IF(CT$3=$K718,IF($C718="W",1,IF($C718="1/2W",0.5,0)),0)</f>
        <v>0</v>
      </c>
      <c r="CU718" s="146">
        <f>IF(CT$3=$K718,IF($C718="L",1,IF($C718="1/2L",0.5,0)),0)</f>
        <v>0</v>
      </c>
      <c r="CV718" s="146">
        <f>IF(CV$3=$K718,IF($C718="W",1,IF($C718="1/2W",0.5,0)),0)</f>
        <v>0</v>
      </c>
      <c r="CW718" s="146">
        <f>IF(CV$3=$K718,IF($C718="L",1,IF($C718="1/2L",0.5,0)),0)</f>
        <v>0</v>
      </c>
      <c r="CX718" s="146">
        <f>IF(CX$3=$K718,IF($C718="W",1,IF($C718="1/2W",0.5,0)),0)</f>
        <v>0</v>
      </c>
      <c r="CY718" s="146">
        <f>IF(CX$3=$K718,IF($C718="L",1,IF($C718="1/2L",0.5,0)),0)</f>
        <v>0</v>
      </c>
      <c r="CZ718" s="146">
        <f>IF(CZ$3=$K718,IF($C718="W",1,IF($C718="1/2W",0.5,0)),0)</f>
        <v>0</v>
      </c>
      <c r="DA718" s="146">
        <f>IF(CZ$3=$K718,IF($C718="L",1,IF($C718="1/2L",0.5,0)),0)</f>
        <v>0</v>
      </c>
      <c r="DB718" s="146">
        <f>IF(DB$3=$K718,IF($C718="W",1,IF($C718="1/2W",0.5,0)),0)</f>
        <v>0</v>
      </c>
      <c r="DC718" s="146">
        <f>IF(DB$3=$K718,IF($C718="L",1,IF($C718="1/2L",0.5,0)),0)</f>
        <v>0</v>
      </c>
      <c r="DD718" s="146">
        <f>IF(DD$3=$K718,IF($C718="W",1,IF($C718="1/2W",0.5,0)),0)</f>
        <v>0</v>
      </c>
      <c r="DE718" s="147">
        <f>IF(DD$3=$K718,IF($C718="L",1,IF($C718="1/2L",0.5,0)),0)</f>
        <v>0</v>
      </c>
      <c r="DF718" s="143">
        <f>IF(AND(L718&lt;DF$3,$C718="W"),1+DF717,DF717)</f>
        <v>20</v>
      </c>
      <c r="DG718" s="133">
        <f>IF(DF718&gt;DF717,L718+DG717,DG717)</f>
        <v>26.624</v>
      </c>
      <c r="DH718" s="146">
        <f>IF(AND(L718&gt;DH$3,$C718="W"),1+DH717,0+DH717)</f>
        <v>18</v>
      </c>
      <c r="DI718" s="133">
        <f>IF(DH718&gt;DH717,L718+DI717,DI717)</f>
        <v>93.66</v>
      </c>
      <c r="DJ718" t="s" s="304">
        <f>IF($D718="","",$D718)</f>
        <v>481</v>
      </c>
      <c r="DK718" s="146">
        <f>IF(AND($B718=" ",$D718&lt;&gt;""),1,0)</f>
        <v>0</v>
      </c>
    </row>
    <row r="719" ht="14.55" customHeight="1">
      <c r="A719" s="107"/>
      <c r="B719" s="108"/>
      <c r="C719" t="s" s="109">
        <v>51</v>
      </c>
      <c r="D719" s="110"/>
      <c r="E719" s="111"/>
      <c r="F719" s="113"/>
      <c r="G719" s="252"/>
      <c r="H719" s="114"/>
      <c r="I719" t="s" s="275">
        <v>65</v>
      </c>
      <c r="J719" s="276">
        <v>10.5</v>
      </c>
      <c r="K719" t="s" s="117">
        <v>38</v>
      </c>
      <c r="L719" s="277">
        <v>2.4</v>
      </c>
      <c r="M719" s="278">
        <v>2.35</v>
      </c>
      <c r="N719" s="120"/>
      <c r="O719" s="121">
        <f>IF(OR(AE718="",AE719=""),"",ROUND(IF(L720&gt;0,IF(M719&gt;0,M719,IF(M718&gt;0,IF(N718=TRUE,ROUND((M718*AE719)/AE718,0),(M718*AE719)/AE718),IF(M719&gt;0,ROUND(M719,IF(N718=0,2,IF(N718=0.1,1,0))),IF(M720&gt;0,ROUND(O720*AE719/AE720,IF(N718=0,2,IF(N718=0.1,1,0))),0)))),IF(M719&gt;0,M719,ROUND((M718*AE719)/AE718,IF(N718=0,2,IF(N718=0.1,1,0))))),2))</f>
        <v>2.35</v>
      </c>
      <c r="P719" s="122">
        <f>IF(OR(L719="",O719=""),"",IF($C719="1/2W",O719/2+O719/2*L719,IF($C719="1/2L",O719/2,IF(I719="Lay",((O719*(L719/(L719-1)))-O719)*(1-_xlfn.XLOOKUP(K719,'Janeiro 2023 - Valor Real'!A3:A15,'Janeiro 2023 - Valor Real'!C3:C15,0))+O719,(O719*L719-O719)*(1-_xlfn.XLOOKUP(K719,'Janeiro 2023 - Valor Real'!A3:A15,'Janeiro 2023 - Valor Real'!C3:C15,0))+O719))))</f>
        <v>5.64</v>
      </c>
      <c r="Q719" s="279">
        <f>IF(K719="","",IF(_xlfn.XLOOKUP(K719,K$120:K498,DJ$120:DJ498,0,,-1)=DJ719,_xlfn.XLOOKUP(K719,K$120:K498,Q$120:Q498,1,,-1)+1,1))</f>
        <v>1</v>
      </c>
      <c r="R719" s="280">
        <f>IF(K719="","",_xlfn.XLOOKUP(K719,K$120:K498,R$120:R498,0,,-1)+IF($C719=" ",1,0))</f>
        <v>0</v>
      </c>
      <c r="S719" s="125"/>
      <c r="T719" s="126"/>
      <c r="U719" s="126"/>
      <c r="V719" s="224"/>
      <c r="W719" s="126"/>
      <c r="X719" s="127"/>
      <c r="Y719" s="128"/>
      <c r="Z719" s="129"/>
      <c r="AA719" s="129"/>
      <c r="AB719" s="129"/>
      <c r="AC719" s="129"/>
      <c r="AD719" s="130"/>
      <c r="AE719" s="131">
        <f>IF(L719="","",IF(L720&gt;0,(SUM(((L718-1)*(1-_xlfn.XLOOKUP(K718,'Janeiro 2023 - Valor Real'!A3:A15,'Janeiro 2023 - Valor Real'!C3:C15,0))+1),((L719-1)*(1-_xlfn.XLOOKUP(K719,'Janeiro 2023 - Valor Real'!A3:A15,'Janeiro 2023 - Valor Real'!C3:C15,0))+1),((L720-1)*(1-_xlfn.XLOOKUP(K720,'Janeiro 2023 - Valor Real'!A3:A15,'Janeiro 2023 - Valor Real'!C3:C15,0))+1))/((L719-1)*(1-_xlfn.XLOOKUP(K719,'Janeiro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Real'!C3:C15,0))+1))/((L718-1)*(1-_xlfn.XLOOKUP(K718,'Janeiro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Real'!C3:C15,0))+1))/((L719-1)*(1-_xlfn.XLOOKUP(K719,'Janeiro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Real'!C3:C15,0))+1))/((L720-1)*(1-_xlfn.XLOOKUP(K720,'Janeiro 2023 - Valor Real'!A3:A15,'Janeiro 2023 - Valor Real'!C3:C15,0))+1)),IF(I719="Lay",IF(I718="Lay",((L718/(L718-1)-1)*(1-_xlfn.XLOOKUP(K718,'Janeiro 2023 - Valor Real'!A3:A15,'Janeiro 2023 - Valor Real'!C3:C15,0))+1)/(((L718/(L718-1)-1)*(1-_xlfn.XLOOKUP(K718,'Janeiro 2023 - Valor Real'!A3:A15,'Janeiro 2023 - Valor Real'!C3:C15,0))+1)+((L719/(L719-1)-1)*(1-_xlfn.XLOOKUP(K719,'Janeiro 2023 - Valor Real'!A3:A15,'Janeiro 2023 - Valor Real'!C3:C15,0))+1)),((L718-1)*(1-_xlfn.XLOOKUP(K718,'Janeiro 2023 - Valor Real'!A3:A15,'Janeiro 2023 - Valor Real'!C3:C15,0))+1)/(((L718-1)*(1-_xlfn.XLOOKUP(K718,'Janeiro 2023 - Valor Real'!A3:A15,'Janeiro 2023 - Valor Real'!C3:C15,0))+1)+((L719/(L719-1)-1)*(1-_xlfn.XLOOKUP(K719,'Janeiro 2023 - Valor Real'!A3:A15,'Janeiro 2023 - Valor Real'!C3:C15,0))+1))),IF(I718="Lay",((L718/(L718-1)-1)*(1-_xlfn.XLOOKUP(K718,'Janeiro 2023 - Valor Real'!A3:A15,'Janeiro 2023 - Valor Real'!C3:C15,0))+1)/((((L718/(L718-1)-1)*(1-_xlfn.XLOOKUP(K718,'Janeiro 2023 - Valor Real'!A3:A15,'Janeiro 2023 - Valor Real'!C3:C15,0))+1))+((L719-1)*(1-_xlfn.XLOOKUP(K719,'Janeiro 2023 - Valor Real'!A3:A15,'Janeiro 2023 - Valor Real'!C3:C15,0))+1)),((L718-1)*(1-_xlfn.XLOOKUP(K718,'Janeiro 2023 - Valor Real'!A3:A15,'Janeiro 2023 - Valor Real'!C3:C15,0))+1)/(((L718-1)*(1-_xlfn.XLOOKUP(K718,'Janeiro 2023 - Valor Real'!A3:A15,'Janeiro 2023 - Valor Real'!C3:C15,0))+1)+((L719-1)*(1-_xlfn.XLOOKUP(K719,'Janeiro 2023 - Valor Real'!A3:A15,'Janeiro 2023 - Valor Real'!C3:C15,0))+1))))))</f>
        <v>0.315153607179841</v>
      </c>
      <c r="AF719" s="132">
        <f>IF($K719=AF$3,ROUND(IF(OR($C719="W",$C719="1/2W",$C719="1/2L"),$P719-$O719,IF($C719="X",0,-$O719)),2),0)</f>
        <v>0</v>
      </c>
      <c r="AG719" s="133">
        <f>IF($K719=AG$3,ROUND(IF(OR($C719="W",$C719="1/2W",$C719="1/2L"),$P719-$O719,IF($C719="X",0,-$O719)),2),0)</f>
        <v>-2.35</v>
      </c>
      <c r="AH719" s="133">
        <f>IF($K719=AH$3,ROUND(IF(OR($C719="W",$C719="1/2W",$C719="1/2L"),$P719-$O719,IF($C719="X",0,-$O719)),2),0)</f>
        <v>0</v>
      </c>
      <c r="AI719" s="133">
        <f>IF($K719=AI$3,ROUND(IF(OR($C719="W",$C719="1/2W",$C719="1/2L"),$P719-$O719,IF($C719="X",0,-$O719)),2),0)</f>
        <v>0</v>
      </c>
      <c r="AJ719" s="133">
        <f>IF($K719=AJ$3,ROUND(IF(OR($C719="W",$C719="1/2W",$C719="1/2L"),$P719-$O719,IF($C719="X",0,-$O719)),2),0)</f>
        <v>0</v>
      </c>
      <c r="AK719" s="133">
        <f>IF($K719=AK$3,ROUND(IF(OR($C719="W",$C719="1/2W",$C719="1/2L"),$P719-$O719,IF($C719="X",0,-$O719)),2),0)</f>
        <v>0</v>
      </c>
      <c r="AL719" s="133">
        <f>IF($K719=AL$3,ROUND(IF(OR($C719="W",$C719="1/2W",$C719="1/2L"),$P719-$O719,IF($C719="X",0,-$O719)),2),0)</f>
        <v>0</v>
      </c>
      <c r="AM719" s="133">
        <f>IF($K719=AM$3,ROUND(IF(OR($C719="W",$C719="1/2W",$C719="1/2L"),$P719-$O719,IF($C719="X",0,-$O719)),2),0)</f>
        <v>0</v>
      </c>
      <c r="AN719" s="133">
        <f>IF($K719=AN$3,ROUND(IF(OR($C719="W",$C719="1/2W",$C719="1/2L"),$P719-$O719,IF($C719="X",0,-$O719)),2),0)</f>
        <v>0</v>
      </c>
      <c r="AO719" s="133">
        <f>IF($K719=AO$3,ROUND(IF(OR($C719="W",$C719="1/2W",$C719="1/2L"),$P719-$O719,IF($C719="X",0,-$O719)),2),0)</f>
        <v>0</v>
      </c>
      <c r="AP719" s="133">
        <f>IF($K719=AP$3,ROUND(IF(OR($C719="W",$C719="1/2W",$C719="1/2L"),$P719-$O719,IF($C719="X",0,-$O719)),2),0)</f>
        <v>0</v>
      </c>
      <c r="AQ719" s="133">
        <f>IF($K719=AQ$3,ROUND(IF(OR($C719="W",$C719="1/2W",$C719="1/2L"),$P719-$O719,IF($C719="X",0,-$O719)),2),0)</f>
        <v>0</v>
      </c>
      <c r="AR719" s="134">
        <f>IF($K719=AR$3,ROUND(IF(OR($C719="W",$C719="1/2W",$C719="1/2L"),$P719-$O719,IF($C719="X",0,-$O719)),2),0)</f>
        <v>0</v>
      </c>
      <c r="AS719" s="132">
        <f>IF(AND($B718=" ",$K719=AS$3),$O719,0)</f>
        <v>0</v>
      </c>
      <c r="AT719" s="133">
        <f>IF(AND($B718=" ",K719=AT$3),$O719,0)</f>
        <v>0</v>
      </c>
      <c r="AU719" s="133">
        <f>IF(AND($B718=" ",$K719=AU$3),$O719,0)</f>
        <v>0</v>
      </c>
      <c r="AV719" s="133">
        <f>IF(AND($B718=" ",$K719=AV$3),$O719,0)</f>
        <v>0</v>
      </c>
      <c r="AW719" s="133">
        <f>IF(AND($B718=" ",$K719=AW$3),$O719,0)</f>
        <v>0</v>
      </c>
      <c r="AX719" s="133">
        <f>IF(AND($B718=" ",$K719=AX$3),$O719,0)</f>
        <v>0</v>
      </c>
      <c r="AY719" s="135">
        <f>IF(AND($B718=" ",$K719=AY$3),$O719,0)</f>
        <v>0</v>
      </c>
      <c r="AZ719" s="136">
        <f>IF(AND($B718=" ",$K719=AZ$3),$O719,0)</f>
        <v>0</v>
      </c>
      <c r="BA719" s="136">
        <f>IF(AND($B718=" ",$K719=BA$3),$O719,0)</f>
        <v>0</v>
      </c>
      <c r="BB719" s="136">
        <f>IF(AND($B718=" ",$K719=BB$3),$O719,0)</f>
        <v>0</v>
      </c>
      <c r="BC719" s="137">
        <f>IF(AND($B718=" ",$K719=BC$3),$O719,0)</f>
        <v>0</v>
      </c>
      <c r="BD719" s="133">
        <f>IF(AND($B718=" ",$K719=BD$3),$O719,0)</f>
        <v>0</v>
      </c>
      <c r="BE719" s="134">
        <f>IF(AND($B718=" ",$K719=BE$3),$O719,0)</f>
        <v>0</v>
      </c>
      <c r="BF719" s="132">
        <f>IF($K719=BF$3,IF($C719="X",0,$O719),0)</f>
        <v>0</v>
      </c>
      <c r="BG719" s="281">
        <f>IF($K719=BG$3,IF($C719="X",0,$O719),0)</f>
        <v>2.35</v>
      </c>
      <c r="BH719" s="133">
        <f>IF($K719=BH$3,IF($C719="X",0,$O719),0)</f>
        <v>0</v>
      </c>
      <c r="BI719" s="133">
        <f>IF($K719=BI$3,IF($C719="X",0,$O719),0)</f>
        <v>0</v>
      </c>
      <c r="BJ719" s="133">
        <f>IF($K719=BJ$3,IF($C719="X",0,$O719),0)</f>
        <v>0</v>
      </c>
      <c r="BK719" s="133">
        <f>IF($K719=BK$3,IF($C719="X",0,$O719),0)</f>
        <v>0</v>
      </c>
      <c r="BL719" s="133">
        <f>IF($K719=BL$3,IF($C719="X",0,$O719),0)</f>
        <v>0</v>
      </c>
      <c r="BM719" s="135">
        <f>IF($K719=BM$3,IF($C719="X",0,$O719),0)</f>
        <v>0</v>
      </c>
      <c r="BN719" s="136">
        <f>IF($K719=BN$3,IF($C719="X",0,$O719),0)</f>
        <v>0</v>
      </c>
      <c r="BO719" s="136">
        <f>IF($K719=BO$3,IF($C719="X",0,$O719),0)</f>
        <v>0</v>
      </c>
      <c r="BP719" s="136">
        <f>IF($K719=BP$3,IF($C719="X",0,$O719),0)</f>
        <v>0</v>
      </c>
      <c r="BQ719" s="137">
        <f>IF($K719=BQ$3,IF($C719="X",0,$O719),0)</f>
        <v>0</v>
      </c>
      <c r="BR719" s="134">
        <f>IF($K719=BR$3,IF($C719="X",0,$O719),0)</f>
        <v>0</v>
      </c>
      <c r="BS719" s="282"/>
      <c r="BT719" s="283"/>
      <c r="BU719" s="140"/>
      <c r="BV719" s="283"/>
      <c r="BW719" s="140"/>
      <c r="BX719" s="140"/>
      <c r="BY719" s="140"/>
      <c r="BZ719" s="283"/>
      <c r="CA719" s="140"/>
      <c r="CB719" s="140"/>
      <c r="CC719" s="140"/>
      <c r="CD719" s="141"/>
      <c r="CE719" s="142"/>
      <c r="CF719" s="284">
        <f>IF(CF$3=$K719,IF($C719="W",1,IF($C719="1/2W",0.5,0)),0)</f>
        <v>0</v>
      </c>
      <c r="CG719" s="285">
        <f>IF(CF$3=$K719,IF($C719="L",1,IF($C719="1/2L",0.5,0)),0)</f>
        <v>0</v>
      </c>
      <c r="CH719" s="285">
        <f>IF(CH$3=$K719,IF($C719="W",1,IF($C719="1/2W",0.5,0)),0)</f>
        <v>0</v>
      </c>
      <c r="CI719" s="285">
        <f>IF(CH$3=$K719,IF($C719="L",1,IF($C719="1/2L",0.5,0)),0)</f>
        <v>1</v>
      </c>
      <c r="CJ719" s="285">
        <f>IF(CJ$3=$K719,IF($C719="W",1,IF($C719="1/2W",0.5,0)),0)</f>
        <v>0</v>
      </c>
      <c r="CK719" s="285">
        <f>IF(CJ$3=$K719,IF($C719="L",1,IF($C719="1/2L",0.5,0)),0)</f>
        <v>0</v>
      </c>
      <c r="CL719" s="285">
        <f>IF(CL$3=$K719,IF($C719="W",1,IF($C719="1/2W",0.5,0)),0)</f>
        <v>0</v>
      </c>
      <c r="CM719" s="285">
        <f>IF(CL$3=$K719,IF($C719="L",1,IF($C719="1/2L",0.5,0)),0)</f>
        <v>0</v>
      </c>
      <c r="CN719" s="285">
        <f>IF(CN$3=$K719,IF($C719="W",1,IF($C719="1/2W",0.5,0)),0)</f>
        <v>0</v>
      </c>
      <c r="CO719" s="285">
        <f>IF(CN$3=$K719,IF($C719="L",1,IF($C719="1/2L",0.5,0)),0)</f>
        <v>0</v>
      </c>
      <c r="CP719" s="285">
        <f>IF(CP$3=$K719,IF($C719="W",1,IF($C719="1/2W",0.5,0)),0)</f>
        <v>0</v>
      </c>
      <c r="CQ719" s="285">
        <f>IF(CP$3=$K719,IF($C719="L",1,IF($C719="1/2L",0.5,0)),0)</f>
        <v>0</v>
      </c>
      <c r="CR719" s="285">
        <f>IF(CR$3=$K719,IF($C719="W",1,IF($C719="1/2W",0.5,0)),0)</f>
        <v>0</v>
      </c>
      <c r="CS719" s="285">
        <f>IF(CR$3=$K719,IF($C719="L",1,IF($C719="1/2L",0.5,0)),0)</f>
        <v>0</v>
      </c>
      <c r="CT719" s="145">
        <f>IF(CT$3=$K719,IF($C719="W",1,IF($C719="1/2W",0.5,0)),0)</f>
        <v>0</v>
      </c>
      <c r="CU719" s="146">
        <f>IF(CT$3=$K719,IF($C719="L",1,IF($C719="1/2L",0.5,0)),0)</f>
        <v>0</v>
      </c>
      <c r="CV719" s="146">
        <f>IF(CV$3=$K719,IF($C719="W",1,IF($C719="1/2W",0.5,0)),0)</f>
        <v>0</v>
      </c>
      <c r="CW719" s="146">
        <f>IF(CV$3=$K719,IF($C719="L",1,IF($C719="1/2L",0.5,0)),0)</f>
        <v>0</v>
      </c>
      <c r="CX719" s="146">
        <f>IF(CX$3=$K719,IF($C719="W",1,IF($C719="1/2W",0.5,0)),0)</f>
        <v>0</v>
      </c>
      <c r="CY719" s="146">
        <f>IF(CX$3=$K719,IF($C719="L",1,IF($C719="1/2L",0.5,0)),0)</f>
        <v>0</v>
      </c>
      <c r="CZ719" s="146">
        <f>IF(CZ$3=$K719,IF($C719="W",1,IF($C719="1/2W",0.5,0)),0)</f>
        <v>0</v>
      </c>
      <c r="DA719" s="146">
        <f>IF(CZ$3=$K719,IF($C719="L",1,IF($C719="1/2L",0.5,0)),0)</f>
        <v>0</v>
      </c>
      <c r="DB719" s="146">
        <f>IF(DB$3=$K719,IF($C719="W",1,IF($C719="1/2W",0.5,0)),0)</f>
        <v>0</v>
      </c>
      <c r="DC719" s="146">
        <f>IF(DB$3=$K719,IF($C719="L",1,IF($C719="1/2L",0.5,0)),0)</f>
        <v>0</v>
      </c>
      <c r="DD719" s="146">
        <f>IF(DD$3=$K719,IF($C719="W",1,IF($C719="1/2W",0.5,0)),0)</f>
        <v>0</v>
      </c>
      <c r="DE719" s="147">
        <f>IF(DD$3=$K719,IF($C719="L",1,IF($C719="1/2L",0.5,0)),0)</f>
        <v>0</v>
      </c>
      <c r="DF719" s="143">
        <f>IF(AND(L719&lt;DF$3,$C719="W"),1+DF718,DF718)</f>
        <v>20</v>
      </c>
      <c r="DG719" s="133">
        <f>IF(DF719&gt;DF718,L719+DG718,DG718)</f>
        <v>26.624</v>
      </c>
      <c r="DH719" s="146">
        <f>IF(AND(L719&gt;DH$3,$C719="W"),1+DH718,0+DH718)</f>
        <v>18</v>
      </c>
      <c r="DI719" s="133">
        <f>IF(DH719&gt;DH718,L719+DI718,DI718)</f>
        <v>93.66</v>
      </c>
      <c r="DJ719" t="s" s="304">
        <f>IF($D718="","",$D718)</f>
        <v>481</v>
      </c>
      <c r="DK719" s="286"/>
    </row>
    <row r="720" ht="14.55" customHeight="1">
      <c r="A720" s="149"/>
      <c r="B720" s="150"/>
      <c r="C720" t="s" s="151">
        <v>51</v>
      </c>
      <c r="D720" s="152"/>
      <c r="E720" s="153"/>
      <c r="F720" s="155"/>
      <c r="G720" s="252"/>
      <c r="H720" s="156"/>
      <c r="I720" t="s" s="347">
        <v>65</v>
      </c>
      <c r="J720" s="348">
        <v>11.5</v>
      </c>
      <c r="K720" t="s" s="341">
        <v>38</v>
      </c>
      <c r="L720" s="342">
        <v>3.3</v>
      </c>
      <c r="M720" s="290">
        <v>2.6</v>
      </c>
      <c r="N720" s="161"/>
      <c r="O720" s="343">
        <f>IF(OR(AE718="",AE719=""),"",IF(L720&gt;0,ROUND(IF(M720&gt;0,M720,IF(M718&gt;0,ROUND((M718*AE720)/AE718,IF(N718=0,2,IF(N718=0.1,1,0))),IF(M719&gt;0,ROUND((M719*AE720)/AE719,IF(N718=0,2,IF(N718=0.1,1,0))),IF(M720&gt;0,M720,0)))),2),""))</f>
        <v>2.6</v>
      </c>
      <c r="P720" s="297">
        <f>IF(I719="Lay",O719*(L719/(L719-1))-O719,IF(I718="Lay",O718*(L718/(L718-1))-O718,IF(OR(L720="",O720=""),"",IF($C720="1/2W",O720/2+O720/2*L720,IF($C720="1/2L",O720/2,(O720*L720-O720)*(1-_xlfn.XLOOKUP(K720,'Janeiro 2023 - Valor Real'!A3:A15,'Janeiro 2023 - Valor Real'!C3:C15,0))+O720)))))</f>
        <v>8.58</v>
      </c>
      <c r="Q720" s="344">
        <f>IF(K720="","",IF(_xlfn.XLOOKUP(K720,K$121:K499,DJ$121:DJ499,0,,-1)=DJ720,_xlfn.XLOOKUP(K720,K$121:K499,Q$121:Q499,1,,-1)+1,1))</f>
        <v>1</v>
      </c>
      <c r="R720" s="345">
        <f>IF(K720="","",_xlfn.XLOOKUP(K720,K$121:K499,R$121:R499,0,,-1)+IF($C720=" ",1,0))</f>
        <v>0</v>
      </c>
      <c r="S720" s="166"/>
      <c r="T720" s="155"/>
      <c r="U720" s="155"/>
      <c r="V720" s="166"/>
      <c r="W720" s="155"/>
      <c r="X720" s="167"/>
      <c r="Y720" s="128"/>
      <c r="Z720" s="129"/>
      <c r="AA720" s="129"/>
      <c r="AB720" s="129"/>
      <c r="AC720" s="129"/>
      <c r="AD720" s="168"/>
      <c r="AE720" s="346">
        <f>IF(L720="","",(SUM(((L718-1)*(1-_xlfn.XLOOKUP(K718,'Janeiro 2023 - Valor Real'!A3:A15,'Janeiro 2023 - Valor Real'!C3:C15,0))+1),((L719-1)*(1-_xlfn.XLOOKUP(K719,'Janeiro 2023 - Valor Real'!A3:A15,'Janeiro 2023 - Valor Real'!C3:C15,0))+1),((L720-1)*(1-_xlfn.XLOOKUP(K720,'Janeiro 2023 - Valor Real'!A3:A15,'Janeiro 2023 - Valor Real'!C3:C15,0))+1))/((L720-1)*(1-_xlfn.XLOOKUP(K720,'Janeiro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Real'!C3:C15,0))+1))/((L718-1)*(1-_xlfn.XLOOKUP(K718,'Janeiro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Real'!C3:C15,0))+1))/((L719-1)*(1-_xlfn.XLOOKUP(K719,'Janeiro 2023 - Valor Real'!A3:A15,'Janeiro 2023 - Valor Real'!C3:C15,0))+1)+SUM(((L718-1)*(1-_xlfn.XLOOKUP(K718,'Janeiro 2023 - Valor Real'!A3:A15,'Janeiro 2023 - Valor Real'!C3:C15,0))+1),((L719-1)*(1-_xlfn.XLOOKUP(K719,'Janeiro 2023 - Valor Real'!A3:A15,'Janeiro 2023 - Valor Real'!C3:C15,0))+1),((L720-1)*(1-_xlfn.XLOOKUP(K720,'Janeiro 2023 - Valor Real'!A3:A15,'Janeiro 2023 - Valor Real'!C3:C15,0))+1))/((L720-1)*(1-_xlfn.XLOOKUP(K720,'Janeiro 2023 - Valor Real'!A3:A15,'Janeiro 2023 - Valor Real'!C3:C15,0))+1)))</f>
        <v>0.229202623403521</v>
      </c>
      <c r="AF720" s="132">
        <f>IF($K720=AF$3,ROUND(IF(OR($C720="W",$C720="1/2W",$C720="1/2L"),$P720-$O720,IF($C720="X",0,-$O720)),2),0)</f>
        <v>0</v>
      </c>
      <c r="AG720" s="133">
        <f>IF($K720=AG$3,ROUND(IF(OR($C720="W",$C720="1/2W",$C720="1/2L"),$P720-$O720,IF($C720="X",0,-$O720)),2),0)</f>
        <v>-2.6</v>
      </c>
      <c r="AH720" s="133">
        <f>IF($K720=AH$3,ROUND(IF(OR($C720="W",$C720="1/2W",$C720="1/2L"),$P720-$O720,IF($C720="X",0,-$O720)),2),0)</f>
        <v>0</v>
      </c>
      <c r="AI720" s="133">
        <f>IF($K720=AI$3,ROUND(IF(OR($C720="W",$C720="1/2W",$C720="1/2L"),$P720-$O720,IF($C720="X",0,-$O720)),2),0)</f>
        <v>0</v>
      </c>
      <c r="AJ720" s="133">
        <f>IF($K720=AJ$3,ROUND(IF(OR($C720="W",$C720="1/2W",$C720="1/2L"),$P720-$O720,IF($C720="X",0,-$O720)),2),0)</f>
        <v>0</v>
      </c>
      <c r="AK720" s="133">
        <f>IF($K720=AK$3,ROUND(IF(OR($C720="W",$C720="1/2W",$C720="1/2L"),$P720-$O720,IF($C720="X",0,-$O720)),2),0)</f>
        <v>0</v>
      </c>
      <c r="AL720" s="133">
        <f>IF($K720=AL$3,ROUND(IF(OR($C720="W",$C720="1/2W",$C720="1/2L"),$P720-$O720,IF($C720="X",0,-$O720)),2),0)</f>
        <v>0</v>
      </c>
      <c r="AM720" s="133">
        <f>IF($K720=AM$3,ROUND(IF(OR($C720="W",$C720="1/2W",$C720="1/2L"),$P720-$O720,IF($C720="X",0,-$O720)),2),0)</f>
        <v>0</v>
      </c>
      <c r="AN720" s="133">
        <f>IF($K720=AN$3,ROUND(IF(OR($C720="W",$C720="1/2W",$C720="1/2L"),$P720-$O720,IF($C720="X",0,-$O720)),2),0)</f>
        <v>0</v>
      </c>
      <c r="AO720" s="133">
        <f>IF($K720=AO$3,ROUND(IF(OR($C720="W",$C720="1/2W",$C720="1/2L"),$P720-$O720,IF($C720="X",0,-$O720)),2),0)</f>
        <v>0</v>
      </c>
      <c r="AP720" s="133">
        <f>IF($K720=AP$3,ROUND(IF(OR($C720="W",$C720="1/2W",$C720="1/2L"),$P720-$O720,IF($C720="X",0,-$O720)),2),0)</f>
        <v>0</v>
      </c>
      <c r="AQ720" s="133">
        <f>IF($K720=AQ$3,ROUND(IF(OR($C720="W",$C720="1/2W",$C720="1/2L"),$P720-$O720,IF($C720="X",0,-$O720)),2),0)</f>
        <v>0</v>
      </c>
      <c r="AR720" s="134">
        <f>IF($K720=AR$3,ROUND(IF(OR($C720="W",$C720="1/2W",$C720="1/2L"),$P720-$O720,IF($C720="X",0,-$O720)),2),0)</f>
        <v>0</v>
      </c>
      <c r="AS720" s="132">
        <f>IF(AND($B718=" ",$K720=AS$3),$O720,0)</f>
        <v>0</v>
      </c>
      <c r="AT720" s="133">
        <f>IF(AND($B718=" ",K720=AT$3),$O720,0)</f>
        <v>0</v>
      </c>
      <c r="AU720" s="133">
        <f>IF(AND($B718=" ",$K720=AU$3),$O720,0)</f>
        <v>0</v>
      </c>
      <c r="AV720" s="133">
        <f>IF(AND($B718=" ",$K720=AV$3),$O720,0)</f>
        <v>0</v>
      </c>
      <c r="AW720" s="133">
        <f>IF(AND($B718=" ",$K720=AW$3),$O720,0)</f>
        <v>0</v>
      </c>
      <c r="AX720" s="133">
        <f>IF(AND($B718=" ",$K720=AX$3),$O720,0)</f>
        <v>0</v>
      </c>
      <c r="AY720" s="135">
        <f>IF(AND($B718=" ",$K720=AY$3),$O720,0)</f>
        <v>0</v>
      </c>
      <c r="AZ720" s="136">
        <f>IF(AND($B718=" ",$K720=AZ$3),$O720,0)</f>
        <v>0</v>
      </c>
      <c r="BA720" s="136">
        <f>IF(AND($B718=" ",$K720=BA$3),$O720,0)</f>
        <v>0</v>
      </c>
      <c r="BB720" s="136">
        <f>IF(AND($B718=" ",$K720=BB$3),$O720,0)</f>
        <v>0</v>
      </c>
      <c r="BC720" s="137">
        <f>IF(AND($B718=" ",$K720=BC$3),$O720,0)</f>
        <v>0</v>
      </c>
      <c r="BD720" s="133">
        <f>IF(AND($B718=" ",$K720=BD$3),$O720,0)</f>
        <v>0</v>
      </c>
      <c r="BE720" s="134">
        <f>IF(AND($B718=" ",$K720=BE$3),$O720,0)</f>
        <v>0</v>
      </c>
      <c r="BF720" s="132">
        <f>IF($K720=BF$3,IF($C720="X",0,$O720),0)</f>
        <v>0</v>
      </c>
      <c r="BG720" s="281">
        <f>IF($K720=BG$3,IF($C720="X",0,$O720),0)</f>
        <v>2.6</v>
      </c>
      <c r="BH720" s="133">
        <f>IF($K720=BH$3,IF($C720="X",0,$O720),0)</f>
        <v>0</v>
      </c>
      <c r="BI720" s="133">
        <f>IF($K720=BI$3,IF($C720="X",0,$O720),0)</f>
        <v>0</v>
      </c>
      <c r="BJ720" s="133">
        <f>IF($K720=BJ$3,IF($C720="X",0,$O720),0)</f>
        <v>0</v>
      </c>
      <c r="BK720" s="133">
        <f>IF($K720=BK$3,IF($C720="X",0,$O720),0)</f>
        <v>0</v>
      </c>
      <c r="BL720" s="133">
        <f>IF($K720=BL$3,IF($C720="X",0,$O720),0)</f>
        <v>0</v>
      </c>
      <c r="BM720" s="135">
        <f>IF($K720=BM$3,IF($C720="X",0,$O720),0)</f>
        <v>0</v>
      </c>
      <c r="BN720" s="136">
        <f>IF($K720=BN$3,IF($C720="X",0,$O720),0)</f>
        <v>0</v>
      </c>
      <c r="BO720" s="136">
        <f>IF($K720=BO$3,IF($C720="X",0,$O720),0)</f>
        <v>0</v>
      </c>
      <c r="BP720" s="136">
        <f>IF($K720=BP$3,IF($C720="X",0,$O720),0)</f>
        <v>0</v>
      </c>
      <c r="BQ720" s="137">
        <f>IF($K720=BQ$3,IF($C720="X",0,$O720),0)</f>
        <v>0</v>
      </c>
      <c r="BR720" s="134">
        <f>IF($K720=BR$3,IF($C720="X",0,$O720),0)</f>
        <v>0</v>
      </c>
      <c r="BS720" s="282"/>
      <c r="BT720" s="283"/>
      <c r="BU720" s="140"/>
      <c r="BV720" s="283"/>
      <c r="BW720" s="140"/>
      <c r="BX720" s="140"/>
      <c r="BY720" s="140"/>
      <c r="BZ720" s="283"/>
      <c r="CA720" s="140"/>
      <c r="CB720" s="140"/>
      <c r="CC720" s="140"/>
      <c r="CD720" s="141"/>
      <c r="CE720" s="142"/>
      <c r="CF720" s="284">
        <f>IF(CF$3=$K720,IF($C720="W",1,IF($C720="1/2W",0.5,0)),0)</f>
        <v>0</v>
      </c>
      <c r="CG720" s="285">
        <f>IF(CF$3=$K720,IF($C720="L",1,IF($C720="1/2L",0.5,0)),0)</f>
        <v>0</v>
      </c>
      <c r="CH720" s="285">
        <f>IF(CH$3=$K720,IF($C720="W",1,IF($C720="1/2W",0.5,0)),0)</f>
        <v>0</v>
      </c>
      <c r="CI720" s="285">
        <f>IF(CH$3=$K720,IF($C720="L",1,IF($C720="1/2L",0.5,0)),0)</f>
        <v>1</v>
      </c>
      <c r="CJ720" s="285">
        <f>IF(CJ$3=$K720,IF($C720="W",1,IF($C720="1/2W",0.5,0)),0)</f>
        <v>0</v>
      </c>
      <c r="CK720" s="285">
        <f>IF(CJ$3=$K720,IF($C720="L",1,IF($C720="1/2L",0.5,0)),0)</f>
        <v>0</v>
      </c>
      <c r="CL720" s="285">
        <f>IF(CL$3=$K720,IF($C720="W",1,IF($C720="1/2W",0.5,0)),0)</f>
        <v>0</v>
      </c>
      <c r="CM720" s="285">
        <f>IF(CL$3=$K720,IF($C720="L",1,IF($C720="1/2L",0.5,0)),0)</f>
        <v>0</v>
      </c>
      <c r="CN720" s="285">
        <f>IF(CN$3=$K720,IF($C720="W",1,IF($C720="1/2W",0.5,0)),0)</f>
        <v>0</v>
      </c>
      <c r="CO720" s="285">
        <f>IF(CN$3=$K720,IF($C720="L",1,IF($C720="1/2L",0.5,0)),0)</f>
        <v>0</v>
      </c>
      <c r="CP720" s="285">
        <f>IF(CP$3=$K720,IF($C720="W",1,IF($C720="1/2W",0.5,0)),0)</f>
        <v>0</v>
      </c>
      <c r="CQ720" s="285">
        <f>IF(CP$3=$K720,IF($C720="L",1,IF($C720="1/2L",0.5,0)),0)</f>
        <v>0</v>
      </c>
      <c r="CR720" s="285">
        <f>IF(CR$3=$K720,IF($C720="W",1,IF($C720="1/2W",0.5,0)),0)</f>
        <v>0</v>
      </c>
      <c r="CS720" s="285">
        <f>IF(CR$3=$K720,IF($C720="L",1,IF($C720="1/2L",0.5,0)),0)</f>
        <v>0</v>
      </c>
      <c r="CT720" s="145">
        <f>IF(CT$3=$K720,IF($C720="W",1,IF($C720="1/2W",0.5,0)),0)</f>
        <v>0</v>
      </c>
      <c r="CU720" s="146">
        <f>IF(CT$3=$K720,IF($C720="L",1,IF($C720="1/2L",0.5,0)),0)</f>
        <v>0</v>
      </c>
      <c r="CV720" s="146">
        <f>IF(CV$3=$K720,IF($C720="W",1,IF($C720="1/2W",0.5,0)),0)</f>
        <v>0</v>
      </c>
      <c r="CW720" s="146">
        <f>IF(CV$3=$K720,IF($C720="L",1,IF($C720="1/2L",0.5,0)),0)</f>
        <v>0</v>
      </c>
      <c r="CX720" s="146">
        <f>IF(CX$3=$K720,IF($C720="W",1,IF($C720="1/2W",0.5,0)),0)</f>
        <v>0</v>
      </c>
      <c r="CY720" s="146">
        <f>IF(CX$3=$K720,IF($C720="L",1,IF($C720="1/2L",0.5,0)),0)</f>
        <v>0</v>
      </c>
      <c r="CZ720" s="146">
        <f>IF(CZ$3=$K720,IF($C720="W",1,IF($C720="1/2W",0.5,0)),0)</f>
        <v>0</v>
      </c>
      <c r="DA720" s="146">
        <f>IF(CZ$3=$K720,IF($C720="L",1,IF($C720="1/2L",0.5,0)),0)</f>
        <v>0</v>
      </c>
      <c r="DB720" s="146">
        <f>IF(DB$3=$K720,IF($C720="W",1,IF($C720="1/2W",0.5,0)),0)</f>
        <v>0</v>
      </c>
      <c r="DC720" s="146">
        <f>IF(DB$3=$K720,IF($C720="L",1,IF($C720="1/2L",0.5,0)),0)</f>
        <v>0</v>
      </c>
      <c r="DD720" s="146">
        <f>IF(DD$3=$K720,IF($C720="W",1,IF($C720="1/2W",0.5,0)),0)</f>
        <v>0</v>
      </c>
      <c r="DE720" s="147">
        <f>IF(DD$3=$K720,IF($C720="L",1,IF($C720="1/2L",0.5,0)),0)</f>
        <v>0</v>
      </c>
      <c r="DF720" s="143">
        <f>IF(AND(L720&lt;DF$3,$C720="W"),1+DF719,DF719)</f>
        <v>20</v>
      </c>
      <c r="DG720" s="133">
        <f>IF(DF720&gt;DF719,L720+DG719,DG719)</f>
        <v>26.624</v>
      </c>
      <c r="DH720" s="146">
        <f>IF(AND(L720&gt;DH$3,$C720="W"),1+DH719,0+DH719)</f>
        <v>18</v>
      </c>
      <c r="DI720" s="133">
        <f>IF(DH720&gt;DH719,L720+DI719,DI719)</f>
        <v>93.66</v>
      </c>
      <c r="DJ720" t="s" s="304">
        <f>IF($D718="","",$D718)</f>
        <v>481</v>
      </c>
      <c r="DK720" s="286"/>
    </row>
    <row r="721" ht="14.55" customHeight="1">
      <c r="A721" s="171">
        <f>$A718+1</f>
        <v>240</v>
      </c>
      <c r="B721" t="s" s="172">
        <f>IF(AND(_xlfn.XLOOKUP(H721,H$122:H494,G$122:G494,0)=G721,_xlfn.XLOOKUP("TempoBet",K721:K723,L721:L723,0)&gt;0),"X",IF(OR(C721="W",C722="W",C723="W",C721="1/2W",C722="1/2W",C723="1/2W",C721="1/2L",C722="1/2L",C723="1/2L"),"OK",IF(OR(C721="L",C722="L",C723="L"),"LOSS",IF(OR(C721="X",C722="X",C723="X"),"Anulado"," "))))</f>
        <v>50</v>
      </c>
      <c r="C721" t="s" s="173">
        <v>56</v>
      </c>
      <c r="D721" t="s" s="305">
        <f>IF(G721="","",$D718)</f>
        <v>481</v>
      </c>
      <c r="E721" t="s" s="175">
        <f>IF(G721=""," ","– "&amp;COUNTIF(D$4:D723,$D721))</f>
        <v>143</v>
      </c>
      <c r="F721" t="s" s="176">
        <f>IF(G721="","",IF(OR(AND($C721&lt;&gt;" ",$C722=" "),AND($C722&lt;&gt;" ",$C721=" "),AND(L723&gt;0,OR(AND($C723&lt;&gt;" ",OR($C721=" ",$C722=" ")),AND($C723=" ",OR($C721&lt;&gt;" ",$C722&lt;&gt;" "))))),IF(SUM(F$4:F720)=0,1,LARGE(F$4:F720,1)+1),IF(MONTH(G721)=MONTH(TODAY()),IF(AND(DAY(G721)&lt;DAY(TODAY()),$B721=" "),IF(SUM(F$4:F720)=0,1,LARGE(F$4:F720,1)+1),IF($B721=" ",IF(AND(DAY(G721)=DAY(TODAY()),HOUR(G721)&lt;=HOUR(NOW())+1),IF(AND(HOUR(G721)+2&lt;=HOUR(NOW()),DAY(G721)&lt;=DAY(TODAY()),MINUTE(G721)&lt;=MINUTE(NOW())),IF(SUM(F$4:F720)=0,1,LARGE(F$4:F720,1)+1),IF(OR(MINUTE(G721)&lt;=MINUTE(NOW()),HOUR(G721)&lt;=HOUR(NOW())),"!!!","")),""),"")),"")))</f>
      </c>
      <c r="G721" s="177">
        <v>44958</v>
      </c>
      <c r="H721" t="s" s="178">
        <v>505</v>
      </c>
      <c r="I721" t="s" s="179">
        <v>65</v>
      </c>
      <c r="J721" s="291">
        <v>59.5</v>
      </c>
      <c r="K721" t="s" s="181">
        <v>44</v>
      </c>
      <c r="L721" s="182">
        <v>2.36</v>
      </c>
      <c r="M721" s="183">
        <v>4.89</v>
      </c>
      <c r="N721" s="184">
        <v>0</v>
      </c>
      <c r="O721" s="185">
        <f>IF(OR(AE721="",AE722=""),"",ROUND(IF(L723&gt;0,IF(M721&gt;0,M721,IF(M722&gt;0,ROUND((M722*AE721)/AE722,IF(N721=0,2,IF(N721=0.1,1,0))),ROUND((M723*AE721)/AE723,IF(N721=0,2,IF(N721=0.1,1,0))))),IF(M721&gt;0,M721,ROUND((M722*AE721)/AE722,IF(N721=0,2,IF(N721=0.1,1,0))))),2))</f>
        <v>4.89</v>
      </c>
      <c r="P721" s="186">
        <f>IF(OR(L721="",O721=""),"",IF($C721="1/2W",O721/2+O721/2*L721,IF($C721="1/2L",O721/2,IF(I721="Lay",(O721*(L721/(L721-1))-O721)*(1-_xlfn.XLOOKUP(K721,'Janeiro 2023 - Valor Real'!A3:A15,'Janeiro 2023 - Valor Real'!C3:C15,0))+O721,(O721*L721-O721)*(1-_xlfn.XLOOKUP(K721,'Janeiro 2023 - Valor Real'!A3:A15,'Janeiro 2023 - Valor Real'!C3:C15,0))+O721))))</f>
        <v>11.5404</v>
      </c>
      <c r="Q721" s="187">
        <f>IF(K721="","",IF(_xlfn.XLOOKUP(K721,K$122:K494,DJ$122:DJ494,0,,-1)=DJ721,_xlfn.XLOOKUP(K721,K$122:K494,Q$122:Q494,1,,-1)+1,1))</f>
        <v>1</v>
      </c>
      <c r="R721" s="188">
        <f>IF(K721="","",_xlfn.XLOOKUP(K721,K$122:K494,R$122:R494,0,,-1)+IF($C721=" ",1,0))</f>
        <v>0</v>
      </c>
      <c r="S721" s="189">
        <f>IF($B721="Anulado",0,ROUND(IF(OR($B721="LOSS",$B721="OK"),IF(OR($C721="W",$C721="1/2W",$C721="1/2L"),P721-O721,IF($C721="L",-O721,0))+IF(OR($C722="W",$C722="1/2W",$C722="1/2L"),P722-O722,IF($C722="L",-O722,0))+IF(OR($C723="W",$C723="1/2W",$C723="1/2L"),P723-O723,IF($C723="L",-O723,0)),IF(AND(OR($C721="W",$C721="1/2W",$C721="1/2L"),C722="W"),P721+P722-SUM(O721:O723)+_xlfn.XLOOKUP("X",C721:C723,O721:O723,0),IF(AND(C721=TRUE,C723="W"),P721+P723-SUM(O721:O723),IF(AND(C722="W",C723="W"),P722+P723-SUM(O721:O723)+_xlfn.XLOOKUP("X",C721:C723,O721:O723,0),IF(L723&gt;0,IF(OR($C721="W",$C721="1/2W",$C721="1/2L"),P721-SUM(O721:O723)+_xlfn.XLOOKUP("X",C721:C723,O721:O723,0),IF(OR($C721="W",$C721="1/2W",$C721="1/2L"),P722-SUM(O721:O723)+_xlfn.XLOOKUP("X",C721:C723,O721:O723,0),IF(OR($C721="W",$C721="1/2W",$C721="1/2L"),P723-SUM(O721:O723)+_xlfn.XLOOKUP("X",C721:C723,O721:O723,0),IF(SUM(P721:P723)/3-SUM(O721:O723)+_xlfn.XLOOKUP("X",C721:C723,O721:O723,0)&gt;0,SUM(P721:P723)/3-SUM(O721:O723)+_xlfn.XLOOKUP("X",C721:C723,O721:O723,0),LARGE(P721:P723,1)-SUM(O721:O723))))),IF(OR($C721="W",$C721="1/2W",$C721="1/2L"),P721-SUM(O721:O722)+_xlfn.XLOOKUP("X",C721:C723,O721:O723,0),IF(OR($C721="W",$C721="1/2W",$C721="1/2L"),P722-SUM(O721:O722)+_xlfn.XLOOKUP("X",C721:C723,O721:O723,0),SUM(P721:P722)/2-SUM(O721:O722)+_xlfn.XLOOKUP("X",C721:C723,O721:O723,0)))))))),2))</f>
        <v>0.67</v>
      </c>
      <c r="T721" s="190">
        <f>IF(S721=0,0,S721/SUM(O721:O723))</f>
        <v>0.0616375344986201</v>
      </c>
      <c r="U721" s="191">
        <f>IF($D721=$D718,IF(OR($B721="LOSS",$B721="OK",$B721="Anulada"),S721,0)+U718,IF(OR($B721="LOSS",$B721="OK",$B721="Anulada"),S721,0))</f>
        <v>22.27</v>
      </c>
      <c r="V721" s="191">
        <f>IF($D721="",0,IF($D721=$D718,IF($B721=" ",IF(I723="",IF(OR(AND(I721="DNB1",I722="DNB2"),AND(OR(I721="DNB1",I721="DNB2"),J722=0),AND(OR(I722="DNB1",I722="DNB2"),J721=0),AND(I721="DNB2",I722="DNB1"),AND(IF(J721=0,(J721+1)/ROUND(J721+1,0),J721/ROUND(J721,0))=1,IF(J722=0,(J722+1)/ROUND(IF(J722="",0,J722)+1,0),IF(J722="",0,J722)/ROUND(IF(J722="",1,J722),0))=1,OR(J721&lt;&gt;""),J722&lt;&gt;"")),0,IF(S721&lt;0,IF(I723="",SMALL(P721:P722,1)-SUM(O721:O722),0),SMALL(P721:P722,1)-SUM(O721:O722))),IF(S721&lt;0,IF(I723="",SMALL(P721:P723,1)-SUM(O721:O723),0),LARGE(P721:P723,1)-SUM(O721:O723))),S721)+V718,IF(I723="",IF(OR(AND(I721="DNB1",I722="DNB2"),AND(OR(I721="DNB1",I721="DNB2"),J722=0),AND(OR(I722="DNB1",I722="DNB2"),J721=0),AND(I721="DNB2",I722="DNB1"),AND(IF(J721=0,(J721+1)/ROUND(J721+1,0),J721/ROUND(J721,0))=1,IF(J722=0,(IF(J722="",0,J722)+1)/ROUND(IF(J722="",0,J722)+1,0),IF(J722="",0,J722)/ROUND(IF(J722="",0,J722)+1,0))=1,OR(J721&lt;&gt;""),J722&lt;&gt;"")),0,IF(S721&lt;0,IF(I723="",SMALL(P721:P722,1)-SUM(O721:O722),0),SMALL(P721:P723,1)-SUM(O721:O723))),IF(S721&lt;0,IF(I723="",SMALL(P721:P723,1)-SUM(O721:O723),0),LARGE(P721:P723,1)-SUM(O721:O723)))))</f>
        <v>22.2676</v>
      </c>
      <c r="W721" s="191">
        <f>IF($D721=$D718,IF(S721&lt;0,IF(I723="",S721,0),S721)+W718,S721)</f>
        <v>22.27</v>
      </c>
      <c r="X721" t="s" s="192">
        <f>IF(OR(SUM(R721:R723)=0,V721=W721),ROUND(IF(W721=0,0,W721/Y721)*100,2)&amp;"%",ROUND(IF(V721=0,0,V721/Y721)*100,2)&amp;"% a "&amp;ROUND(IF(W721=0,0,W721/Y721)*100,2)&amp;"%")</f>
        <v>392</v>
      </c>
      <c r="Y721" s="193">
        <f>IF($D721=$D718,Y718+SUM(O721:O723),SUM(O721:O723))</f>
        <v>404.14</v>
      </c>
      <c r="Z721" s="191">
        <f>IF($B721=" ",SUM(O721:O723),0)+Z718</f>
        <v>0</v>
      </c>
      <c r="AA721" s="191">
        <f>IF(G721="","",IF($B721="Anulado",LARGE(P721:P723,1)-SUM(O721:O723)+AA718,AA718))</f>
        <v>27.7065076923077</v>
      </c>
      <c r="AB721" s="191">
        <f>IF($D721="","",AB718+S721)</f>
        <v>493.45</v>
      </c>
      <c r="AC721" s="194">
        <f>IF($D721="","",IF($B721=" ",IF(DAY(G721)=DAY(TODAY()),1+AC718,0+AC718),0+AC718))</f>
        <v>0</v>
      </c>
      <c r="AD721" s="195">
        <f>(((L722/(L722-1)-1)*(1-_xlfn.XLOOKUP(K722,'Janeiro 2023 - Valor Real'!A3:A15,'Janeiro 2023 - Valor Real'!C3:C15,0))+1))/(((L721-1)*(1-_xlfn.XLOOKUP(K721,'Janeiro 2023 - Valor Real'!A3:A15,'Janeiro 2023 - Valor Real'!C3:C15,0))+1)+((L722/(L722-1)-1)*(1-_xlfn.XLOOKUP(K722,'Janeiro 2023 - Valor Real'!A3:A15,'Janeiro 2023 - Valor Real'!C3:C15,0))+1))</f>
        <v>0.46652558676414</v>
      </c>
      <c r="AE721" s="196">
        <f>IF(L721="","",IF(L723&gt;0,(SUM(((L721-1)*(1-_xlfn.XLOOKUP(K721,'Janeiro 2023 - Valor Real'!A3:A15,'Janeiro 2023 - Valor Real'!C3:C15,0))+1),((L722-1)*(1-_xlfn.XLOOKUP(K722,'Janeiro 2023 - Valor Real'!A3:A15,'Janeiro 2023 - Valor Real'!C3:C15,0))+1),((L723-1)*(1-_xlfn.XLOOKUP(K723,'Janeiro 2023 - Valor Real'!A3:A15,'Janeiro 2023 - Valor Real'!C3:C15,0))+1))/((L721-1)*(1-_xlfn.XLOOKUP(K721,'Janeiro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Real'!C3:C15,0))+1))/((L721-1)*(1-_xlfn.XLOOKUP(K721,'Janeiro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Real'!C3:C15,0))+1))/((L722-1)*(1-_xlfn.XLOOKUP(K722,'Janeiro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Real'!C3:C15,0))+1))/((L723-1)*(1-_xlfn.XLOOKUP(K723,'Janeiro 2023 - Valor Real'!A3:A15,'Janeiro 2023 - Valor Real'!C3:C15,0))+1)),IF(I721="Lay",IF(I722="Lay",((L722/(L722-1)-1)*(1-_xlfn.XLOOKUP(K722,'Janeiro 2023 - Valor Real'!A3:A15,'Janeiro 2023 - Valor Real'!C3:C15,0))+1)/(((L722/(L722-1)-1)*(1-_xlfn.XLOOKUP(K722,'Janeiro 2023 - Valor Real'!A3:A15,'Janeiro 2023 - Valor Real'!C3:C15,0))+1)+((L721/(L721-1)-1)*(1-_xlfn.XLOOKUP(K721,'Janeiro 2023 - Valor Real'!A3:A15,'Janeiro 2023 - Valor Real'!C3:C15,0))+1)),((L722-1)*(1-_xlfn.XLOOKUP(K722,'Janeiro 2023 - Valor Real'!A3:A15,'Janeiro 2023 - Valor Real'!C3:C15,0))+1)/(((L722-1)*(1-_xlfn.XLOOKUP(K722,'Janeiro 2023 - Valor Real'!A3:A15,'Janeiro 2023 - Valor Real'!C3:C15,0))+1)+((L721/(L721-1)-1)*(1-_xlfn.XLOOKUP(K721,'Janeiro 2023 - Valor Real'!A3:A15,'Janeiro 2023 - Valor Real'!C3:C15,0))+1))),IF(I722="Lay",(((L722/(L722-1)-1)*(1-_xlfn.XLOOKUP(K722,'Janeiro 2023 - Valor Real'!A3:A15,'Janeiro 2023 - Valor Real'!C3:C15,0))+1))/(((L721-1)*(1-_xlfn.XLOOKUP(K721,'Janeiro 2023 - Valor Real'!A3:A15,'Janeiro 2023 - Valor Real'!C3:C15,0))+1)+((L722/(L722-1)-1)*(1-_xlfn.XLOOKUP(K722,'Janeiro 2023 - Valor Real'!A3:A15,'Janeiro 2023 - Valor Real'!C3:C15,0))+1)),((L722-1)*(1-_xlfn.XLOOKUP(K722,'Janeiro 2023 - Valor Real'!A3:A15,'Janeiro 2023 - Valor Real'!C3:C15,0))+1)/(((L722-1)*(1-_xlfn.XLOOKUP(K722,'Janeiro 2023 - Valor Real'!A3:A15,'Janeiro 2023 - Valor Real'!C3:C15,0))+1)+((L721-1)*(1-_xlfn.XLOOKUP(K721,'Janeiro 2023 - Valor Real'!A3:A15,'Janeiro 2023 - Valor Real'!C3:C15,0))+1))))))</f>
        <v>0.451162790697674</v>
      </c>
      <c r="AF721" s="197">
        <f>IF($K721=AF$3,ROUND(IF(OR($C721="W",$C721="1/2W",$C721="1/2L"),$P721-$O721,IF($C721="X",0,-$O721)),2),0)</f>
        <v>0</v>
      </c>
      <c r="AG721" s="198">
        <f>IF($K721=AG$3,ROUND(IF(OR($C721="W",$C721="1/2W",$C721="1/2L"),$P721-$O721,IF($C721="X",0,-$O721)),2),0)</f>
        <v>0</v>
      </c>
      <c r="AH721" s="198">
        <f>IF($K721=AH$3,ROUND(IF(OR($C721="W",$C721="1/2W",$C721="1/2L"),$P721-$O721,IF($C721="X",0,-$O721)),2),0)</f>
        <v>0</v>
      </c>
      <c r="AI721" s="198">
        <f>IF($K721=AI$3,ROUND(IF(OR($C721="W",$C721="1/2W",$C721="1/2L"),$P721-$O721,IF($C721="X",0,-$O721)),2),0)</f>
        <v>0</v>
      </c>
      <c r="AJ721" s="198">
        <f>IF($K721=AJ$3,ROUND(IF(OR($C721="W",$C721="1/2W",$C721="1/2L"),$P721-$O721,IF($C721="X",0,-$O721)),2),0)</f>
        <v>0</v>
      </c>
      <c r="AK721" s="198">
        <f>IF($K721=AK$3,ROUND(IF(OR($C721="W",$C721="1/2W",$C721="1/2L"),$P721-$O721,IF($C721="X",0,-$O721)),2),0)</f>
        <v>0</v>
      </c>
      <c r="AL721" s="198">
        <f>IF($K721=AL$3,ROUND(IF(OR($C721="W",$C721="1/2W",$C721="1/2L"),$P721-$O721,IF($C721="X",0,-$O721)),2),0)</f>
        <v>0</v>
      </c>
      <c r="AM721" s="198">
        <f>IF($K721=AM$3,ROUND(IF(OR($C721="W",$C721="1/2W",$C721="1/2L"),$P721-$O721,IF($C721="X",0,-$O721)),2),0)</f>
        <v>6.65</v>
      </c>
      <c r="AN721" s="198">
        <f>IF($K721=AN$3,ROUND(IF(OR($C721="W",$C721="1/2W",$C721="1/2L"),$P721-$O721,IF($C721="X",0,-$O721)),2),0)</f>
        <v>0</v>
      </c>
      <c r="AO721" s="198">
        <f>IF($K721=AO$3,ROUND(IF(OR($C721="W",$C721="1/2W",$C721="1/2L"),$P721-$O721,IF($C721="X",0,-$O721)),2),0)</f>
        <v>0</v>
      </c>
      <c r="AP721" s="198">
        <f>IF($K721=AP$3,ROUND(IF(OR($C721="W",$C721="1/2W",$C721="1/2L"),$P721-$O721,IF($C721="X",0,-$O721)),2),0)</f>
        <v>0</v>
      </c>
      <c r="AQ721" s="198">
        <f>IF($K721=AQ$3,ROUND(IF(OR($C721="W",$C721="1/2W",$C721="1/2L"),$P721-$O721,IF($C721="X",0,-$O721)),2),0)</f>
        <v>0</v>
      </c>
      <c r="AR721" s="199">
        <f>IF($K721=AR$3,ROUND(IF(OR($C721="W",$C721="1/2W",$C721="1/2L"),$P721-$O721,IF($C721="X",0,-$O721)),2),0)</f>
        <v>0</v>
      </c>
      <c r="AS721" s="197">
        <f>IF(AND($B721=" ",$K721=AS$3),$O721,0)</f>
        <v>0</v>
      </c>
      <c r="AT721" s="198">
        <f>IF(AND($B721=" ",$K721=AT$3),$O721,0)</f>
        <v>0</v>
      </c>
      <c r="AU721" s="198">
        <f>IF(AND($B721=" ",$K721=AU$3),$O721,0)</f>
        <v>0</v>
      </c>
      <c r="AV721" s="198">
        <f>IF(AND($B721=" ",$K721=AV$3),$O721,0)</f>
        <v>0</v>
      </c>
      <c r="AW721" s="198">
        <f>IF(AND($B721=" ",$K721=AW$3),$O721,0)</f>
        <v>0</v>
      </c>
      <c r="AX721" s="198">
        <f>IF(AND($B721=" ",$K721=AX$3),$O721,0)</f>
        <v>0</v>
      </c>
      <c r="AY721" s="200">
        <f>IF(AND($B721=" ",$K721=AY$3),$O721,0)</f>
        <v>0</v>
      </c>
      <c r="AZ721" s="201">
        <f>IF(AND($B721=" ",$K721=AZ$3),$O721,0)</f>
        <v>0</v>
      </c>
      <c r="BA721" s="201">
        <f>IF(AND($B721=" ",$K721=BA$3),$O721,0)</f>
        <v>0</v>
      </c>
      <c r="BB721" s="201">
        <f>IF(AND($B721=" ",$K721=BB$3),$O721,0)</f>
        <v>0</v>
      </c>
      <c r="BC721" s="202">
        <f>IF(AND($B721=" ",$K721=BC$3),$O721,0)</f>
        <v>0</v>
      </c>
      <c r="BD721" s="198">
        <f>IF(AND($B721=" ",$K721=BD$3),$O721,0)</f>
        <v>0</v>
      </c>
      <c r="BE721" s="199">
        <f>IF(AND($B721=" ",$K721=BE$3),$O721,0)</f>
        <v>0</v>
      </c>
      <c r="BF721" s="203">
        <f>IF($K721=BF$3,IF($C721="X",0,$O721),0)</f>
        <v>0</v>
      </c>
      <c r="BG721" s="198">
        <f>IF($K721=BG$3,IF($C721="X",0,$O721),0)</f>
        <v>0</v>
      </c>
      <c r="BH721" s="198">
        <f>IF($K721=BH$3,IF($C721="X",0,$O721),0)</f>
        <v>0</v>
      </c>
      <c r="BI721" s="198">
        <f>IF($K721=BI$3,IF($C721="X",0,$O721),0)</f>
        <v>0</v>
      </c>
      <c r="BJ721" s="198">
        <f>IF($K721=BJ$3,IF($C721="X",0,$O721),0)</f>
        <v>0</v>
      </c>
      <c r="BK721" s="198">
        <f>IF($K721=BK$3,IF($C721="X",0,$O721),0)</f>
        <v>0</v>
      </c>
      <c r="BL721" s="198">
        <f>IF($K721=BL$3,IF($C721="X",0,$O721),0)</f>
        <v>0</v>
      </c>
      <c r="BM721" s="200">
        <f>IF($K721=BM$3,IF($C721="X",0,$O721),0)</f>
        <v>4.89</v>
      </c>
      <c r="BN721" s="201">
        <f>IF($K721=BN$3,IF($C721="X",0,$O721),0)</f>
        <v>0</v>
      </c>
      <c r="BO721" s="201">
        <f>IF($K721=BO$3,IF($C721="X",0,$O721),0)</f>
        <v>0</v>
      </c>
      <c r="BP721" s="201">
        <f>IF($K721=BP$3,IF($C721="X",0,$O721),0)</f>
        <v>0</v>
      </c>
      <c r="BQ721" s="202">
        <f>IF($K721=BQ$3,IF($C721="X",0,$O721),0)</f>
        <v>0</v>
      </c>
      <c r="BR721" s="199">
        <f>IF($K721=BR$3,IF($C721="X",0,$O721),0)</f>
        <v>0</v>
      </c>
      <c r="BS721" s="204">
        <f>IF($B721="LOSS",IF(AND($K721=BS$3,$C721="L"),-$O721,0)+IF(AND($K722=BS$3,$C722="L"),-$O722,0)+IF(AND($K723=BS$3,$C723="L"),-$O723,0),IF(OR(AND($K721=BS$3,OR($C721="W",$C721="1/2W")),AND($K722=BS$3,OR($C722="W",$C722="1/2W")),AND($K723=BS$3,OR($C723="W",$C723="1/2W"))),$S721,0))</f>
        <v>0</v>
      </c>
      <c r="BT721" s="201">
        <f>IF($B721="LOSS",IF(AND($K721=BT$3,$C721="L"),-$O721,0)+IF(AND($K722=BT$3,$C722="L"),-$O722,0)+IF(AND($K722=BT$3,$C723="L"),-$O723,0),IF(OR(AND($K722=BT$3,OR($C721="W",$C721="1/2W")),AND($K722=BT$3,OR($C722="W",$C722="1/2W")),AND($K722=BT$3,OR($C723="W",$C723="1/2W"))),$S721,0))</f>
        <v>0</v>
      </c>
      <c r="BU721" s="201">
        <f>IF($B721="LOSS",IF(AND($K721=BU$3,$C721="L"),-$O721,0)+IF(AND($K722=BU$3,$C722="L"),-$O722,0)+IF(AND($K722=BU$3,$C723="L"),-$O723,0),IF(OR(AND($K722=BU$3,OR($C721="W",$C721="1/2W")),AND($K722=BU$3,OR($C722="W",$C722="1/2W")),AND($K722=BU$3,OR($C723="W",$C723="1/2W"))),$S721,0))</f>
        <v>0</v>
      </c>
      <c r="BV721" s="201">
        <f>IF($B721="LOSS",IF(AND($K721=BV$3,$C721="L"),-$O721,0)+IF(AND($K722=BV$3,$C722="L"),-$O722,0)+IF(AND($K723=BV$3,$C723="L"),-$O723,0),IF(OR(AND($K721=BV$3,OR($C721="W",$C721="1/2W")),AND($K722=BV$3,OR($C722="W",$C722="1/2W")),AND($K723=BV$3,OR($C723="W",$C723="1/2W"))),$S721,0))</f>
        <v>0</v>
      </c>
      <c r="BW721" s="201">
        <f>IF($B721="LOSS",IF(AND($K721=BW$3,$C721="L"),-$O721,0)+IF(AND($K722=BW$3,$C722="L"),-$O722,0)+IF(AND($K723=BW$3,$C723="L"),-$O723,0),IF(OR(AND($K721=BW$3,OR($C721="W",$C721="1/2W")),AND($K722=BW$3,OR($C722="W",$C722="1/2W")),AND($K723=BW$3,OR($C723="W",$C723="1/2W"))),$S721,0))</f>
        <v>0</v>
      </c>
      <c r="BX721" s="201">
        <f>IF($B721="LOSS",IF(AND($K721=BX$3,$C721="L"),-$O721,0)+IF(AND($K722=BX$3,$C722="L"),-$O722,0)+IF(AND($K723=BX$3,$C723="L"),-$O723,0),IF(OR(AND($K721=BX$3,OR($C721="W",$C721="1/2W")),AND($K722=BX$3,OR($C722="W",$C722="1/2W")),AND($K723=BX$3,OR($C723="W",$C723="1/2W"))),$S721,0))</f>
        <v>0</v>
      </c>
      <c r="BY721" s="201">
        <f>IF($B721="LOSS",IF(AND($K721=BY$3,$C721="L"),-$O721,0)+IF(AND($K722=BY$3,$C722="L"),-$O722,0)+IF(AND($K723=BY$3,$C723="L"),-$O723,0),IF(OR(AND($K721=BY$3,OR($C721="W",$C721="1/2W")),AND($K722=BY$3,OR($C722="W",$C722="1/2W")),AND($K723=BY$3,OR($C723="W",$C723="1/2W"))),$S721,0))</f>
        <v>0</v>
      </c>
      <c r="BZ721" s="205">
        <f>IF($B721="LOSS",IF(AND($K721=BZ$3,$C721="L"),-$O721,0)+IF(AND($K722=BZ$3,$C722="L"),-$O722,0)+IF(AND($K723=BZ$3,$C723="L"),-$O723,0),IF(OR(AND($K721=BZ$3,OR($C721="W",$C721="1/2W")),AND($K722=BZ$3,OR($C722="W",$C722="1/2W")),AND($K723=BZ$3,OR($C723="W",$C723="1/2W"))),$S721,0))</f>
        <v>0.67</v>
      </c>
      <c r="CA721" s="205">
        <f>IF($B721="LOSS",IF(AND($K721=CA$3,$C721="L"),-$O721,0)+IF(AND($K722=CA$3,$C722="L"),-$O722,0)+IF(AND($K723=CA$3,$C723="L"),-$O723,0),IF(OR(AND($K721=CA$3,OR($C721="W",$C721="1/2W")),AND($K722=CA$3,OR($C722="W",$C722="1/2W")),AND($K723=CA$3,OR($C723="W",$C723="1/2W"))),$S721,0))</f>
        <v>0</v>
      </c>
      <c r="CB721" s="205">
        <f>IF($B721="LOSS",IF(AND($K721=CB$3,$C721="L"),-$O721,0)+IF(AND($K722=CB$3,$C722="L"),-$O722,0)+IF(AND($K723=CB$3,$C723="L"),-$O723,0),IF(OR(AND($K721=CB$3,OR($C721="W",$C721="1/2W")),AND($K722=CB$3,OR($C722="W",$C722="1/2W")),AND($K723=CB$3,OR($C723="W",$C723="1/2W"))),$S721,0))</f>
        <v>0</v>
      </c>
      <c r="CC721" s="205">
        <f>IF($B721="LOSS",IF(AND($K721=CC$3,$C721="L"),-$O721,0)+IF(AND($K722=CC$3,$C722="L"),-$O722,0)+IF(AND($K723=CC$3,$C723="L"),-$O723,0),IF(OR(AND($K721=CC$3,OR($C721="W",$C721="1/2W")),AND($K722=CC$3,OR($C722="W",$C722="1/2W")),AND($K723=CC$3,OR($C723="W",$C723="1/2W"))),$S721,0))</f>
        <v>0</v>
      </c>
      <c r="CD721" s="202">
        <f>IF($B721="LOSS",IF(AND($K721=CD$3,$C721="L"),-$O721,0)+IF(AND($K722=CD$3,$C722="L"),-$O722,0)+IF(AND($K723=CD$3,$C723="L"),-$O723,0),IF(OR(AND($K721=CD$3,OR($C721="W",$C721="1/2W")),AND($K722=CD$3,OR($C722="W",$C722="1/2W")),AND($K723=CD$3,OR($C723="W",$C723="1/2W"))),$S721,0))</f>
        <v>0</v>
      </c>
      <c r="CE721" s="199">
        <f>IF($B721="LOSS",IF(AND($K721=CE$3,$C721="L"),-$O721,0)+IF(AND($K722=CE$3,$C722="L"),-$O722,0)+IF(AND($K723=CE$3,$C723="L"),-$O723,0),IF(OR(AND($K721=CE$3,OR($C721="W",$C721="1/2W")),AND($K722=CE$3,OR($C722="W",$C722="1/2W")),AND($K723=CE$3,OR($C723="W",$C723="1/2W"))),$S721,0))</f>
        <v>0</v>
      </c>
      <c r="CF721" s="206">
        <f>IF(CF$3=$K721,IF($C721="W",1,IF($C721="1/2W",0.5,0)),0)</f>
        <v>0</v>
      </c>
      <c r="CG721" s="207">
        <f>IF(CF$3=$K721,IF($C721="L",1,IF($C721="1/2L",0.5,0)),0)</f>
        <v>0</v>
      </c>
      <c r="CH721" s="207">
        <f>IF(CH$3=$K721,IF($C721="W",1,IF($C721="1/2W",0.5,0)),0)</f>
        <v>0</v>
      </c>
      <c r="CI721" s="207">
        <f>IF(CH$3=$K721,IF($C721="L",1,IF($C721="1/2L",0.5,0)),0)</f>
        <v>0</v>
      </c>
      <c r="CJ721" s="207">
        <f>IF(CJ$3=$K721,IF($C721="W",1,IF($C721="1/2W",0.5,0)),0)</f>
        <v>0</v>
      </c>
      <c r="CK721" s="207">
        <f>IF(CJ$3=$K721,IF($C721="L",1,IF($C721="1/2L",0.5,0)),0)</f>
        <v>0</v>
      </c>
      <c r="CL721" s="207">
        <f>IF(CL$3=$K721,IF($C721="W",1,IF($C721="1/2W",0.5,0)),0)</f>
        <v>0</v>
      </c>
      <c r="CM721" s="207">
        <f>IF(CL$3=$K721,IF($C721="L",1,IF($C721="1/2L",0.5,0)),0)</f>
        <v>0</v>
      </c>
      <c r="CN721" s="207">
        <f>IF(CN$3=$K721,IF($C721="W",1,IF($C721="1/2W",0.5,0)),0)</f>
        <v>0</v>
      </c>
      <c r="CO721" s="207">
        <f>IF(CN$3=$K721,IF($C721="L",1,IF($C721="1/2L",0.5,0)),0)</f>
        <v>0</v>
      </c>
      <c r="CP721" s="207">
        <f>IF(CP$3=$K721,IF($C721="W",1,IF($C721="1/2W",0.5,0)),0)</f>
        <v>0</v>
      </c>
      <c r="CQ721" s="207">
        <f>IF(CP$3=$K721,IF($C721="L",1,IF($C721="1/2L",0.5,0)),0)</f>
        <v>0</v>
      </c>
      <c r="CR721" s="207">
        <f>IF(CR$3=$K721,IF($C721="W",1,IF($C721="1/2W",0.5,0)),0)</f>
        <v>0</v>
      </c>
      <c r="CS721" s="207">
        <f>IF(CR$3=$K721,IF($C721="L",1,IF($C721="1/2L",0.5,0)),0)</f>
        <v>0</v>
      </c>
      <c r="CT721" s="208">
        <f>IF(CT$3=$K721,IF($C721="W",1,IF($C721="1/2W",0.5,0)),0)</f>
        <v>1</v>
      </c>
      <c r="CU721" s="209">
        <f>IF(CT$3=$K721,IF($C721="L",1,IF($C721="1/2L",0.5,0)),0)</f>
        <v>0</v>
      </c>
      <c r="CV721" s="209">
        <f>IF(CV$3=$K721,IF($C721="W",1,IF($C721="1/2W",0.5,0)),0)</f>
        <v>0</v>
      </c>
      <c r="CW721" s="209">
        <f>IF(CV$3=$K721,IF($C721="L",1,IF($C721="1/2L",0.5,0)),0)</f>
        <v>0</v>
      </c>
      <c r="CX721" s="209">
        <f>IF(CX$3=$K721,IF($C721="W",1,IF($C721="1/2W",0.5,0)),0)</f>
        <v>0</v>
      </c>
      <c r="CY721" s="209">
        <f>IF(CX$3=$K721,IF($C721="L",1,IF($C721="1/2L",0.5,0)),0)</f>
        <v>0</v>
      </c>
      <c r="CZ721" s="209">
        <f>IF(CZ$3=$K721,IF($C721="W",1,IF($C721="1/2W",0.5,0)),0)</f>
        <v>0</v>
      </c>
      <c r="DA721" s="209">
        <f>IF(CZ$3=$K721,IF($C721="L",1,IF($C721="1/2L",0.5,0)),0)</f>
        <v>0</v>
      </c>
      <c r="DB721" s="209">
        <f>IF(DB$3=$K721,IF($C721="W",1,IF($C721="1/2W",0.5,0)),0)</f>
        <v>0</v>
      </c>
      <c r="DC721" s="209">
        <f>IF(DB$3=$K721,IF($C721="L",1,IF($C721="1/2L",0.5,0)),0)</f>
        <v>0</v>
      </c>
      <c r="DD721" s="209">
        <f>IF(DD$3=$K721,IF($C721="W",1,IF($C721="1/2W",0.5,0)),0)</f>
        <v>0</v>
      </c>
      <c r="DE721" s="210">
        <f>IF(DD$3=$K721,IF($C721="L",1,IF($C721="1/2L",0.5,0)),0)</f>
        <v>0</v>
      </c>
      <c r="DF721" s="211">
        <f>IF(AND(L721&lt;DF$3,$C721="W"),1+DF720,DF720)</f>
        <v>20</v>
      </c>
      <c r="DG721" s="198">
        <f>IF(DF721&gt;DF720,L721+DG720,DG720)</f>
        <v>26.624</v>
      </c>
      <c r="DH721" s="209">
        <f>IF(AND(L721&gt;DH$3,$C721="W"),1+DH720,0+DH720)</f>
        <v>18</v>
      </c>
      <c r="DI721" s="198">
        <f>IF(DH721&gt;DH720,L721+DI720,DI720)</f>
        <v>93.66</v>
      </c>
      <c r="DJ721" t="s" s="306">
        <f>IF($D721="","",$D721)</f>
        <v>481</v>
      </c>
      <c r="DK721" s="209">
        <f>IF(AND($B721=" ",$D721&lt;&gt;""),1,0)</f>
        <v>0</v>
      </c>
    </row>
    <row r="722" ht="14.55" customHeight="1">
      <c r="A722" s="107"/>
      <c r="B722" s="108"/>
      <c r="C722" t="s" s="213">
        <v>51</v>
      </c>
      <c r="D722" s="110"/>
      <c r="E722" s="111"/>
      <c r="F722" s="113"/>
      <c r="G722" s="214"/>
      <c r="H722" s="114"/>
      <c r="I722" t="s" s="215">
        <v>67</v>
      </c>
      <c r="J722" s="296">
        <f>IF(OR(I721="TO",I721="TU",I721="TO1",I721="TU1",I721="TO2",I721="TU2"),J721,IF(OR(I721="AH1",I721="AH2"),IF(OR(I722="AH1",I722="AH2"),-J721,IF(OR(I722="EH1",I722="EH2"),-J721+0.5,"")),IF(OR(I721="EH1",I721="EH2"),IF(OR(I722="AH1",I722="AH2"),-J721+0.5,IF(OR(I722="EH1",I722="EH2"),-J721+1,"")),IF(AND(OR(I721="DNB1",I721="DNB2"),OR(I722="AH1",I722="AH2")),0,IF(AND(I721="Not ScoreBoth",OR(I722="TO1",I722="TO2")),0.5,"")))))</f>
        <v>59.5</v>
      </c>
      <c r="K722" t="s" s="217">
        <v>41</v>
      </c>
      <c r="L722" s="218">
        <v>1.94</v>
      </c>
      <c r="M722" s="219">
        <v>5.98</v>
      </c>
      <c r="N722" s="120"/>
      <c r="O722" s="220">
        <f>IF(OR(AE721="",AE722=""),"",ROUND(IF(L723&gt;0,IF(M722&gt;0,M722,IF(M721&gt;0,IF(N721=TRUE,ROUND((M721*AE722)/AE721,0),(M721*AE722)/AE721),IF(M722&gt;0,ROUND(M722,IF(N721=0,2,IF(N721=0.1,1,0))),IF(M723&gt;0,ROUND(O723*AE722/AE723,IF(N721=0,2,IF(N721=0.1,1,0))),0)))),IF(M722&gt;0,M722,ROUND((M721*AE722)/AE721,IF(N721=0,2,IF(N721=0.1,1,0))))),2))</f>
        <v>5.98</v>
      </c>
      <c r="P722" s="221">
        <f>IF(OR(L722="",O722=""),"",IF($C722="1/2W",O722/2+O722/2*L722,IF($C722="1/2L",O722/2,IF(I722="Lay",((O722*(L722/(L722-1)))-O722)*(1-_xlfn.XLOOKUP(K722,'Janeiro 2023 - Valor Real'!A3:A15,'Janeiro 2023 - Valor Real'!C3:C15,0))+O722,(O722*L722-O722)*(1-_xlfn.XLOOKUP(K722,'Janeiro 2023 - Valor Real'!A3:A15,'Janeiro 2023 - Valor Real'!C3:C15,0))+O722))))</f>
        <v>11.6012</v>
      </c>
      <c r="Q722" s="222">
        <f>IF(K722="","",IF(_xlfn.XLOOKUP(K722,K$123:K495,DJ$123:DJ495,0,,-1)=DJ722,_xlfn.XLOOKUP(K722,K$123:K495,Q$123:Q495,1,,-1)+1,1))</f>
        <v>1</v>
      </c>
      <c r="R722" s="223">
        <f>IF(K722="","",_xlfn.XLOOKUP(K722,K$123:K495,R$123:R495,0,,-1)+IF($C722=" ",1,0))</f>
        <v>0</v>
      </c>
      <c r="S722" s="125"/>
      <c r="T722" s="126"/>
      <c r="U722" s="126"/>
      <c r="V722" s="224"/>
      <c r="W722" s="126"/>
      <c r="X722" s="127"/>
      <c r="Y722" s="128"/>
      <c r="Z722" s="129"/>
      <c r="AA722" s="129"/>
      <c r="AB722" s="129"/>
      <c r="AC722" s="129"/>
      <c r="AD722" s="225">
        <f>(((L722/(L722-1)-1)*(1-_xlfn.XLOOKUP(K722,'Janeiro 2023 - Valor Real'!A3:A15,'Janeiro 2023 - Valor Real'!C3:C15,0))+1))</f>
        <v>2.06382978723404</v>
      </c>
      <c r="AE722" s="226">
        <f>IF(L722="","",IF(L723&gt;0,(SUM(((L721-1)*(1-_xlfn.XLOOKUP(K721,'Janeiro 2023 - Valor Real'!A3:A15,'Janeiro 2023 - Valor Real'!C3:C15,0))+1),((L722-1)*(1-_xlfn.XLOOKUP(K722,'Janeiro 2023 - Valor Real'!A3:A15,'Janeiro 2023 - Valor Real'!C3:C15,0))+1),((L723-1)*(1-_xlfn.XLOOKUP(K723,'Janeiro 2023 - Valor Real'!A3:A15,'Janeiro 2023 - Valor Real'!C3:C15,0))+1))/((L722-1)*(1-_xlfn.XLOOKUP(K722,'Janeiro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Real'!C3:C15,0))+1))/((L721-1)*(1-_xlfn.XLOOKUP(K721,'Janeiro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Real'!C3:C15,0))+1))/((L722-1)*(1-_xlfn.XLOOKUP(K722,'Janeiro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Real'!C3:C15,0))+1))/((L723-1)*(1-_xlfn.XLOOKUP(K723,'Janeiro 2023 - Valor Real'!A3:A15,'Janeiro 2023 - Valor Real'!C3:C15,0))+1)),IF(I722="Lay",IF(I721="Lay",((L721/(L721-1)-1)*(1-_xlfn.XLOOKUP(K721,'Janeiro 2023 - Valor Real'!A3:A15,'Janeiro 2023 - Valor Real'!C3:C15,0))+1)/(((L721/(L721-1)-1)*(1-_xlfn.XLOOKUP(K721,'Janeiro 2023 - Valor Real'!A3:A15,'Janeiro 2023 - Valor Real'!C3:C15,0))+1)+((L722/(L722-1)-1)*(1-_xlfn.XLOOKUP(K722,'Janeiro 2023 - Valor Real'!A3:A15,'Janeiro 2023 - Valor Real'!C3:C15,0))+1)),((L721-1)*(1-_xlfn.XLOOKUP(K721,'Janeiro 2023 - Valor Real'!A3:A15,'Janeiro 2023 - Valor Real'!C3:C15,0))+1)/(((L721-1)*(1-_xlfn.XLOOKUP(K721,'Janeiro 2023 - Valor Real'!A3:A15,'Janeiro 2023 - Valor Real'!C3:C15,0))+1)+((L722/(L722-1)-1)*(1-_xlfn.XLOOKUP(K722,'Janeiro 2023 - Valor Real'!A3:A15,'Janeiro 2023 - Valor Real'!C3:C15,0))+1))),IF(I721="Lay",((L721/(L721-1)-1)*(1-_xlfn.XLOOKUP(K721,'Janeiro 2023 - Valor Real'!A3:A15,'Janeiro 2023 - Valor Real'!C3:C15,0))+1)/((((L721/(L721-1)-1)*(1-_xlfn.XLOOKUP(K721,'Janeiro 2023 - Valor Real'!A3:A15,'Janeiro 2023 - Valor Real'!C3:C15,0))+1))+((L722-1)*(1-_xlfn.XLOOKUP(K722,'Janeiro 2023 - Valor Real'!A3:A15,'Janeiro 2023 - Valor Real'!C3:C15,0))+1)),((L721-1)*(1-_xlfn.XLOOKUP(K721,'Janeiro 2023 - Valor Real'!A3:A15,'Janeiro 2023 - Valor Real'!C3:C15,0))+1)/(((L721-1)*(1-_xlfn.XLOOKUP(K721,'Janeiro 2023 - Valor Real'!A3:A15,'Janeiro 2023 - Valor Real'!C3:C15,0))+1)+((L722-1)*(1-_xlfn.XLOOKUP(K722,'Janeiro 2023 - Valor Real'!A3:A15,'Janeiro 2023 - Valor Real'!C3:C15,0))+1))))))</f>
        <v>0.548837209302326</v>
      </c>
      <c r="AF722" s="197">
        <f>IF($K722=AF$3,ROUND(IF(OR($C722="W",$C722="1/2W",$C722="1/2L"),$P722-$O722,IF($C722="X",0,-$O722)),2),0)</f>
        <v>0</v>
      </c>
      <c r="AG722" s="198">
        <f>IF($K722=AG$3,ROUND(IF(OR($C722="W",$C722="1/2W",$C722="1/2L"),$P722-$O722,IF($C722="X",0,-$O722)),2),0)</f>
        <v>0</v>
      </c>
      <c r="AH722" s="198">
        <f>IF($K722=AH$3,ROUND(IF(OR($C722="W",$C722="1/2W",$C722="1/2L"),$P722-$O722,IF($C722="X",0,-$O722)),2),0)</f>
        <v>0</v>
      </c>
      <c r="AI722" s="198">
        <f>IF($K722=AI$3,ROUND(IF(OR($C722="W",$C722="1/2W",$C722="1/2L"),$P722-$O722,IF($C722="X",0,-$O722)),2),0)</f>
        <v>0</v>
      </c>
      <c r="AJ722" s="198">
        <f>IF($K722=AJ$3,ROUND(IF(OR($C722="W",$C722="1/2W",$C722="1/2L"),$P722-$O722,IF($C722="X",0,-$O722)),2),0)</f>
        <v>-5.98</v>
      </c>
      <c r="AK722" s="198">
        <f>IF($K722=AK$3,ROUND(IF(OR($C722="W",$C722="1/2W",$C722="1/2L"),$P722-$O722,IF($C722="X",0,-$O722)),2),0)</f>
        <v>0</v>
      </c>
      <c r="AL722" s="198">
        <f>IF($K722=AL$3,ROUND(IF(OR($C722="W",$C722="1/2W",$C722="1/2L"),$P722-$O722,IF($C722="X",0,-$O722)),2),0)</f>
        <v>0</v>
      </c>
      <c r="AM722" s="198">
        <f>IF($K722=AM$3,ROUND(IF(OR($C722="W",$C722="1/2W",$C722="1/2L"),$P722-$O722,IF($C722="X",0,-$O722)),2),0)</f>
        <v>0</v>
      </c>
      <c r="AN722" s="198">
        <f>IF($K722=AN$3,ROUND(IF(OR($C722="W",$C722="1/2W",$C722="1/2L"),$P722-$O722,IF($C722="X",0,-$O722)),2),0)</f>
        <v>0</v>
      </c>
      <c r="AO722" s="198">
        <f>IF($K722=AO$3,ROUND(IF(OR($C722="W",$C722="1/2W",$C722="1/2L"),$P722-$O722,IF($C722="X",0,-$O722)),2),0)</f>
        <v>0</v>
      </c>
      <c r="AP722" s="198">
        <f>IF($K722=AP$3,ROUND(IF(OR($C722="W",$C722="1/2W",$C722="1/2L"),$P722-$O722,IF($C722="X",0,-$O722)),2),0)</f>
        <v>0</v>
      </c>
      <c r="AQ722" s="198">
        <f>IF($K722=AQ$3,ROUND(IF(OR($C722="W",$C722="1/2W",$C722="1/2L"),$P722-$O722,IF($C722="X",0,-$O722)),2),0)</f>
        <v>0</v>
      </c>
      <c r="AR722" s="199">
        <f>IF($K722=AR$3,ROUND(IF(OR($C722="W",$C722="1/2W",$C722="1/2L"),$P722-$O722,IF($C722="X",0,-$O722)),2),0)</f>
        <v>0</v>
      </c>
      <c r="AS722" s="197">
        <f>IF(AND($B721=" ",$K722=AS$3),$O722,0)</f>
        <v>0</v>
      </c>
      <c r="AT722" s="198">
        <f>IF(AND($B721=" ",K722=AT$3),$O722,0)</f>
        <v>0</v>
      </c>
      <c r="AU722" s="198">
        <f>IF(AND($B721=" ",$K722=AU$3),$O722,0)</f>
        <v>0</v>
      </c>
      <c r="AV722" s="198">
        <f>IF(AND($B721=" ",$K722=AV$3),$O722,0)</f>
        <v>0</v>
      </c>
      <c r="AW722" s="198">
        <f>IF(AND($B721=" ",$K722=AW$3),$O722,0)</f>
        <v>0</v>
      </c>
      <c r="AX722" s="198">
        <f>IF(AND($B721=" ",$K722=AX$3),$O722,0)</f>
        <v>0</v>
      </c>
      <c r="AY722" s="200">
        <f>IF(AND($B721=" ",$K722=AY$3),$O722,0)</f>
        <v>0</v>
      </c>
      <c r="AZ722" s="201">
        <f>IF(AND($B721=" ",$K722=AZ$3),$O722,0)</f>
        <v>0</v>
      </c>
      <c r="BA722" s="201">
        <f>IF(AND($B721=" ",$K722=BA$3),$O722,0)</f>
        <v>0</v>
      </c>
      <c r="BB722" s="201">
        <f>IF(AND($B721=" ",$K722=BB$3),$O722,0)</f>
        <v>0</v>
      </c>
      <c r="BC722" s="202">
        <f>IF(AND($B721=" ",$K722=BC$3),$O722,0)</f>
        <v>0</v>
      </c>
      <c r="BD722" s="198">
        <f>IF(AND($B721=" ",$K722=BD$3),$O722,0)</f>
        <v>0</v>
      </c>
      <c r="BE722" s="199">
        <f>IF(AND($B721=" ",$K722=BE$3),$O722,0)</f>
        <v>0</v>
      </c>
      <c r="BF722" s="197">
        <f>IF($K722=BF$3,IF($C722="X",0,$O722),0)</f>
        <v>0</v>
      </c>
      <c r="BG722" s="198">
        <f>IF($K722=BG$3,IF($C722="X",0,$O722),0)</f>
        <v>0</v>
      </c>
      <c r="BH722" s="198">
        <f>IF($K722=BH$3,IF($C722="X",0,$O722),0)</f>
        <v>0</v>
      </c>
      <c r="BI722" s="198">
        <f>IF($K722=BI$3,IF($C722="X",0,$O722),0)</f>
        <v>0</v>
      </c>
      <c r="BJ722" s="198">
        <f>IF($K722=BJ$3,IF($C722="X",0,$O722),0)</f>
        <v>5.98</v>
      </c>
      <c r="BK722" s="198">
        <f>IF($K722=BK$3,IF($C722="X",0,$O722),0)</f>
        <v>0</v>
      </c>
      <c r="BL722" s="198">
        <f>IF($K722=BL$3,IF($C722="X",0,$O722),0)</f>
        <v>0</v>
      </c>
      <c r="BM722" s="227">
        <f>IF($K722=BM$3,IF($C722="X",0,$O722),0)</f>
        <v>0</v>
      </c>
      <c r="BN722" s="205">
        <f>IF($K722=BN$3,IF($C722="X",0,$O722),0)</f>
        <v>0</v>
      </c>
      <c r="BO722" s="205">
        <f>IF($K722=BO$3,IF($C722="X",0,$O722),0)</f>
        <v>0</v>
      </c>
      <c r="BP722" s="205">
        <f>IF($K722=BP$3,IF($C722="X",0,$O722),0)</f>
        <v>0</v>
      </c>
      <c r="BQ722" s="202">
        <f>IF($K722=BQ$3,IF($C722="X",0,$O722),0)</f>
        <v>0</v>
      </c>
      <c r="BR722" s="199">
        <f>IF($K722=BR$3,IF($C722="X",0,$O722),0)</f>
        <v>0</v>
      </c>
      <c r="BS722" s="228"/>
      <c r="BT722" s="229"/>
      <c r="BU722" s="140"/>
      <c r="BV722" s="229"/>
      <c r="BW722" s="140"/>
      <c r="BX722" s="140"/>
      <c r="BY722" s="140"/>
      <c r="BZ722" s="229"/>
      <c r="CA722" s="140"/>
      <c r="CB722" s="140"/>
      <c r="CC722" s="140"/>
      <c r="CD722" s="141"/>
      <c r="CE722" s="142"/>
      <c r="CF722" s="230">
        <f>IF(CF$3=$K722,IF($C722="W",1,IF($C722="1/2W",0.5,0)),0)</f>
        <v>0</v>
      </c>
      <c r="CG722" s="231">
        <f>IF(CF$3=$K722,IF($C722="L",1,IF($C722="1/2L",0.5,0)),0)</f>
        <v>0</v>
      </c>
      <c r="CH722" s="231">
        <f>IF(CH$3=$K722,IF($C722="W",1,IF($C722="1/2W",0.5,0)),0)</f>
        <v>0</v>
      </c>
      <c r="CI722" s="231">
        <f>IF(CH$3=$K722,IF($C722="L",1,IF($C722="1/2L",0.5,0)),0)</f>
        <v>0</v>
      </c>
      <c r="CJ722" s="231">
        <f>IF(CJ$3=$K722,IF($C722="W",1,IF($C722="1/2W",0.5,0)),0)</f>
        <v>0</v>
      </c>
      <c r="CK722" s="231">
        <f>IF(CJ$3=$K722,IF($C722="L",1,IF($C722="1/2L",0.5,0)),0)</f>
        <v>0</v>
      </c>
      <c r="CL722" s="231">
        <f>IF(CL$3=$K722,IF($C722="W",1,IF($C722="1/2W",0.5,0)),0)</f>
        <v>0</v>
      </c>
      <c r="CM722" s="231">
        <f>IF(CL$3=$K722,IF($C722="L",1,IF($C722="1/2L",0.5,0)),0)</f>
        <v>0</v>
      </c>
      <c r="CN722" s="231">
        <f>IF(CN$3=$K722,IF($C722="W",1,IF($C722="1/2W",0.5,0)),0)</f>
        <v>0</v>
      </c>
      <c r="CO722" s="231">
        <f>IF(CN$3=$K722,IF($C722="L",1,IF($C722="1/2L",0.5,0)),0)</f>
        <v>1</v>
      </c>
      <c r="CP722" s="231">
        <f>IF(CP$3=$K722,IF($C722="W",1,IF($C722="1/2W",0.5,0)),0)</f>
        <v>0</v>
      </c>
      <c r="CQ722" s="231">
        <f>IF(CP$3=$K722,IF($C722="L",1,IF($C722="1/2L",0.5,0)),0)</f>
        <v>0</v>
      </c>
      <c r="CR722" s="231">
        <f>IF(CR$3=$K722,IF($C722="W",1,IF($C722="1/2W",0.5,0)),0)</f>
        <v>0</v>
      </c>
      <c r="CS722" s="231">
        <f>IF(CR$3=$K722,IF($C722="L",1,IF($C722="1/2L",0.5,0)),0)</f>
        <v>0</v>
      </c>
      <c r="CT722" s="208">
        <f>IF(CT$3=$K722,IF($C722="W",1,IF($C722="1/2W",0.5,0)),0)</f>
        <v>0</v>
      </c>
      <c r="CU722" s="209">
        <f>IF(CT$3=$K722,IF($C722="L",1,IF($C722="1/2L",0.5,0)),0)</f>
        <v>0</v>
      </c>
      <c r="CV722" s="209">
        <f>IF(CV$3=$K722,IF($C722="W",1,IF($C722="1/2W",0.5,0)),0)</f>
        <v>0</v>
      </c>
      <c r="CW722" s="209">
        <f>IF(CV$3=$K722,IF($C722="L",1,IF($C722="1/2L",0.5,0)),0)</f>
        <v>0</v>
      </c>
      <c r="CX722" s="209">
        <f>IF(CX$3=$K722,IF($C722="W",1,IF($C722="1/2W",0.5,0)),0)</f>
        <v>0</v>
      </c>
      <c r="CY722" s="209">
        <f>IF(CX$3=$K722,IF($C722="L",1,IF($C722="1/2L",0.5,0)),0)</f>
        <v>0</v>
      </c>
      <c r="CZ722" s="209">
        <f>IF(CZ$3=$K722,IF($C722="W",1,IF($C722="1/2W",0.5,0)),0)</f>
        <v>0</v>
      </c>
      <c r="DA722" s="209">
        <f>IF(CZ$3=$K722,IF($C722="L",1,IF($C722="1/2L",0.5,0)),0)</f>
        <v>0</v>
      </c>
      <c r="DB722" s="209">
        <f>IF(DB$3=$K722,IF($C722="W",1,IF($C722="1/2W",0.5,0)),0)</f>
        <v>0</v>
      </c>
      <c r="DC722" s="209">
        <f>IF(DB$3=$K722,IF($C722="L",1,IF($C722="1/2L",0.5,0)),0)</f>
        <v>0</v>
      </c>
      <c r="DD722" s="209">
        <f>IF(DD$3=$K722,IF($C722="W",1,IF($C722="1/2W",0.5,0)),0)</f>
        <v>0</v>
      </c>
      <c r="DE722" s="210">
        <f>IF(DD$3=$K722,IF($C722="L",1,IF($C722="1/2L",0.5,0)),0)</f>
        <v>0</v>
      </c>
      <c r="DF722" s="211">
        <f>IF(AND(L722&lt;DF$3,$C722="W"),1+DF721,DF721)</f>
        <v>20</v>
      </c>
      <c r="DG722" s="198">
        <f>IF(DF722&gt;DF721,L722+DG721,DG721)</f>
        <v>26.624</v>
      </c>
      <c r="DH722" s="209">
        <f>IF(AND(L722&gt;DH$3,$C722="W"),1+DH721,0+DH721)</f>
        <v>18</v>
      </c>
      <c r="DI722" s="198">
        <f>IF(DH722&gt;DH721,L722+DI721,DI721)</f>
        <v>93.66</v>
      </c>
      <c r="DJ722" t="s" s="306">
        <f>IF($D721="","",$D721)</f>
        <v>481</v>
      </c>
      <c r="DK722" s="232"/>
    </row>
    <row r="723" ht="14.55" customHeight="1">
      <c r="A723" s="149"/>
      <c r="B723" s="150"/>
      <c r="C723" t="s" s="233">
        <v>58</v>
      </c>
      <c r="D723" s="152"/>
      <c r="E723" s="153"/>
      <c r="F723" s="155"/>
      <c r="G723" s="234"/>
      <c r="H723" s="156"/>
      <c r="I723" s="235"/>
      <c r="J723" s="236"/>
      <c r="K723" s="237"/>
      <c r="L723" s="238"/>
      <c r="M723" s="239"/>
      <c r="N723" s="161"/>
      <c r="O723" t="s" s="240">
        <f>IF(OR(AE721="",AE722=""),"",IF(L723&gt;0,ROUND(IF(M723&gt;0,M723,IF(M721&gt;0,ROUND((M721*AE723)/AE721,IF(N721=0,2,IF(N721=0.1,1,0))),IF(M722&gt;0,ROUND((M722*AE723)/AE722,IF(N721=0,2,IF(N721=0.1,1,0))),IF(M723&gt;0,M723,0)))),2),""))</f>
      </c>
      <c r="P723" t="s" s="241">
        <f>IF(I722="Lay",O722*(L722/(L722-1))-O722,IF(I721="Lay",O721*(L721/(L721-1))-O721,IF(OR(L723="",O723=""),"",IF($C723="1/2W",O723/2+O723/2*L723,IF($C723="1/2L",O723/2,(O723*L723-O723)*(1-_xlfn.XLOOKUP(K723,'Janeiro 2023 - Valor Real'!A3:A15,'Janeiro 2023 - Valor Real'!C3:C15,0))+O723)))))</f>
      </c>
      <c r="Q723" t="s" s="242">
        <f>IF(K723="","",IF(_xlfn.XLOOKUP(K723,K$124:K496,DJ$124:DJ496,0,,-1)=DJ723,_xlfn.XLOOKUP(K723,K$124:K496,Q$124:Q496,1,,-1)+1,1))</f>
      </c>
      <c r="R723" t="s" s="243">
        <f>IF(K723="","",_xlfn.XLOOKUP(K723,K$124:K496,R$124:R496,0,,-1)+IF($C723=" ",1,0))</f>
      </c>
      <c r="S723" s="166"/>
      <c r="T723" s="155"/>
      <c r="U723" s="155"/>
      <c r="V723" s="166"/>
      <c r="W723" s="155"/>
      <c r="X723" s="167"/>
      <c r="Y723" s="128"/>
      <c r="Z723" s="129"/>
      <c r="AA723" s="129"/>
      <c r="AB723" s="129"/>
      <c r="AC723" s="129"/>
      <c r="AD723" s="244">
        <f>((L722/(L722-1)-1))</f>
        <v>1.06382978723404</v>
      </c>
      <c r="AE723" t="s" s="245">
        <f>IF(L723="","",(SUM(((L721-1)*(1-_xlfn.XLOOKUP(K721,'Janeiro 2023 - Valor Real'!A3:A15,'Janeiro 2023 - Valor Real'!C3:C15,0))+1),((L722-1)*(1-_xlfn.XLOOKUP(K722,'Janeiro 2023 - Valor Real'!A3:A15,'Janeiro 2023 - Valor Real'!C3:C15,0))+1),((L723-1)*(1-_xlfn.XLOOKUP(K723,'Janeiro 2023 - Valor Real'!A3:A15,'Janeiro 2023 - Valor Real'!C3:C15,0))+1))/((L723-1)*(1-_xlfn.XLOOKUP(K723,'Janeiro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Real'!C3:C15,0))+1))/((L721-1)*(1-_xlfn.XLOOKUP(K721,'Janeiro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Real'!C3:C15,0))+1))/((L722-1)*(1-_xlfn.XLOOKUP(K722,'Janeiro 2023 - Valor Real'!A3:A15,'Janeiro 2023 - Valor Real'!C3:C15,0))+1)+SUM(((L721-1)*(1-_xlfn.XLOOKUP(K721,'Janeiro 2023 - Valor Real'!A3:A15,'Janeiro 2023 - Valor Real'!C3:C15,0))+1),((L722-1)*(1-_xlfn.XLOOKUP(K722,'Janeiro 2023 - Valor Real'!A3:A15,'Janeiro 2023 - Valor Real'!C3:C15,0))+1),((L723-1)*(1-_xlfn.XLOOKUP(K723,'Janeiro 2023 - Valor Real'!A3:A15,'Janeiro 2023 - Valor Real'!C3:C15,0))+1))/((L723-1)*(1-_xlfn.XLOOKUP(K723,'Janeiro 2023 - Valor Real'!A3:A15,'Janeiro 2023 - Valor Real'!C3:C15,0))+1)))</f>
      </c>
      <c r="AF723" s="197">
        <f>IF($K723=AF$3,ROUND(IF(OR($C723="W",$C723="1/2W",$C723="1/2L"),$P723-$O723,IF($C723="X",0,-$O723)),2),0)</f>
        <v>0</v>
      </c>
      <c r="AG723" s="198">
        <f>IF($K723=AG$3,ROUND(IF(OR($C723="W",$C723="1/2W",$C723="1/2L"),$P723-$O723,IF($C723="X",0,-$O723)),2),0)</f>
        <v>0</v>
      </c>
      <c r="AH723" s="198">
        <f>IF($K723=AH$3,ROUND(IF(OR($C723="W",$C723="1/2W",$C723="1/2L"),$P723-$O723,IF($C723="X",0,-$O723)),2),0)</f>
        <v>0</v>
      </c>
      <c r="AI723" s="198">
        <f>IF($K723=AI$3,ROUND(IF(OR($C723="W",$C723="1/2W",$C723="1/2L"),$P723-$O723,IF($C723="X",0,-$O723)),2),0)</f>
        <v>0</v>
      </c>
      <c r="AJ723" s="198">
        <f>IF($K723=AJ$3,ROUND(IF(OR($C723="W",$C723="1/2W",$C723="1/2L"),$P723-$O723,IF($C723="X",0,-$O723)),2),0)</f>
        <v>0</v>
      </c>
      <c r="AK723" s="198">
        <f>IF($K723=AK$3,ROUND(IF(OR($C723="W",$C723="1/2W",$C723="1/2L"),$P723-$O723,IF($C723="X",0,-$O723)),2),0)</f>
        <v>0</v>
      </c>
      <c r="AL723" s="198">
        <f>IF($K723=AL$3,ROUND(IF(OR($C723="W",$C723="1/2W",$C723="1/2L"),$P723-$O723,IF($C723="X",0,-$O723)),2),0)</f>
        <v>0</v>
      </c>
      <c r="AM723" s="198">
        <f>IF($K723=AM$3,ROUND(IF(OR($C723="W",$C723="1/2W",$C723="1/2L"),$P723-$O723,IF($C723="X",0,-$O723)),2),0)</f>
        <v>0</v>
      </c>
      <c r="AN723" s="198">
        <f>IF($K723=AN$3,ROUND(IF(OR($C723="W",$C723="1/2W",$C723="1/2L"),$P723-$O723,IF($C723="X",0,-$O723)),2),0)</f>
        <v>0</v>
      </c>
      <c r="AO723" s="198">
        <f>IF($K723=AO$3,ROUND(IF(OR($C723="W",$C723="1/2W",$C723="1/2L"),$P723-$O723,IF($C723="X",0,-$O723)),2),0)</f>
        <v>0</v>
      </c>
      <c r="AP723" s="198">
        <f>IF($K723=AP$3,ROUND(IF(OR($C723="W",$C723="1/2W",$C723="1/2L"),$P723-$O723,IF($C723="X",0,-$O723)),2),0)</f>
        <v>0</v>
      </c>
      <c r="AQ723" s="198">
        <f>IF($K723=AQ$3,ROUND(IF(OR($C723="W",$C723="1/2W",$C723="1/2L"),$P723-$O723,IF($C723="X",0,-$O723)),2),0)</f>
        <v>0</v>
      </c>
      <c r="AR723" s="199">
        <f>IF($K723=AR$3,ROUND(IF(OR($C723="W",$C723="1/2W",$C723="1/2L"),$P723-$O723,IF($C723="X",0,-$O723)),2),0)</f>
        <v>0</v>
      </c>
      <c r="AS723" s="197">
        <f>IF(AND($B721=" ",$K723=AS$3),$O723,0)</f>
        <v>0</v>
      </c>
      <c r="AT723" s="198">
        <f>IF(AND($B721=" ",K723=AT$3),$O723,0)</f>
        <v>0</v>
      </c>
      <c r="AU723" s="198">
        <f>IF(AND($B721=" ",$K723=AU$3),$O723,0)</f>
        <v>0</v>
      </c>
      <c r="AV723" s="198">
        <f>IF(AND($B721=" ",$K723=AV$3),$O723,0)</f>
        <v>0</v>
      </c>
      <c r="AW723" s="198">
        <f>IF(AND($B721=" ",$K723=AW$3),$O723,0)</f>
        <v>0</v>
      </c>
      <c r="AX723" s="198">
        <f>IF(AND($B721=" ",$K723=AX$3),$O723,0)</f>
        <v>0</v>
      </c>
      <c r="AY723" s="200">
        <f>IF(AND($B721=" ",$K723=AY$3),$O723,0)</f>
        <v>0</v>
      </c>
      <c r="AZ723" s="201">
        <f>IF(AND($B721=" ",$K723=AZ$3),$O723,0)</f>
        <v>0</v>
      </c>
      <c r="BA723" s="201">
        <f>IF(AND($B721=" ",$K723=BA$3),$O723,0)</f>
        <v>0</v>
      </c>
      <c r="BB723" s="201">
        <f>IF(AND($B721=" ",$K723=BB$3),$O723,0)</f>
        <v>0</v>
      </c>
      <c r="BC723" s="202">
        <f>IF(AND($B721=" ",$K723=BC$3),$O723,0)</f>
        <v>0</v>
      </c>
      <c r="BD723" s="198">
        <f>IF(AND($B721=" ",$K723=BD$3),$O723,0)</f>
        <v>0</v>
      </c>
      <c r="BE723" s="199">
        <f>IF(AND($B721=" ",$K723=BE$3),$O723,0)</f>
        <v>0</v>
      </c>
      <c r="BF723" s="197">
        <f>IF($K723=BF$3,IF($C723="X",0,$O723),0)</f>
        <v>0</v>
      </c>
      <c r="BG723" s="198">
        <f>IF($K723=BG$3,IF($C723="X",0,$O723),0)</f>
        <v>0</v>
      </c>
      <c r="BH723" s="198">
        <f>IF($K723=BH$3,IF($C723="X",0,$O723),0)</f>
        <v>0</v>
      </c>
      <c r="BI723" s="198">
        <f>IF($K723=BI$3,IF($C723="X",0,$O723),0)</f>
        <v>0</v>
      </c>
      <c r="BJ723" s="198">
        <f>IF($K723=BJ$3,IF($C723="X",0,$O723),0)</f>
        <v>0</v>
      </c>
      <c r="BK723" s="198">
        <f>IF($K723=BK$3,IF($C723="X",0,$O723),0)</f>
        <v>0</v>
      </c>
      <c r="BL723" s="198">
        <f>IF($K723=BL$3,IF($C723="X",0,$O723),0)</f>
        <v>0</v>
      </c>
      <c r="BM723" s="200">
        <f>IF($K723=BM$3,IF($C723="X",0,$O723),0)</f>
        <v>0</v>
      </c>
      <c r="BN723" s="201">
        <f>IF($K723=BN$3,IF($C723="X",0,$O723),0)</f>
        <v>0</v>
      </c>
      <c r="BO723" s="201">
        <f>IF($K723=BO$3,IF($C723="X",0,$O723),0)</f>
        <v>0</v>
      </c>
      <c r="BP723" s="201">
        <f>IF($K723=BP$3,IF($C723="X",0,$O723),0)</f>
        <v>0</v>
      </c>
      <c r="BQ723" s="202">
        <f>IF($K723=BQ$3,IF($C723="X",0,$O723),0)</f>
        <v>0</v>
      </c>
      <c r="BR723" s="199">
        <f>IF($K723=BR$3,IF($C723="X",0,$O723),0)</f>
        <v>0</v>
      </c>
      <c r="BS723" s="228"/>
      <c r="BT723" s="229"/>
      <c r="BU723" s="140"/>
      <c r="BV723" s="229"/>
      <c r="BW723" s="140"/>
      <c r="BX723" s="140"/>
      <c r="BY723" s="140"/>
      <c r="BZ723" s="229"/>
      <c r="CA723" s="140"/>
      <c r="CB723" s="140"/>
      <c r="CC723" s="140"/>
      <c r="CD723" s="141"/>
      <c r="CE723" s="142"/>
      <c r="CF723" s="230">
        <f>IF(CF$3=$K723,IF($C723="W",1,IF($C723="1/2W",0.5,0)),0)</f>
        <v>0</v>
      </c>
      <c r="CG723" s="231">
        <f>IF(CF$3=$K723,IF($C723="L",1,IF($C723="1/2L",0.5,0)),0)</f>
        <v>0</v>
      </c>
      <c r="CH723" s="231">
        <f>IF(CH$3=$K723,IF($C723="W",1,IF($C723="1/2W",0.5,0)),0)</f>
        <v>0</v>
      </c>
      <c r="CI723" s="231">
        <f>IF(CH$3=$K723,IF($C723="L",1,IF($C723="1/2L",0.5,0)),0)</f>
        <v>0</v>
      </c>
      <c r="CJ723" s="231">
        <f>IF(CJ$3=$K723,IF($C723="W",1,IF($C723="1/2W",0.5,0)),0)</f>
        <v>0</v>
      </c>
      <c r="CK723" s="231">
        <f>IF(CJ$3=$K723,IF($C723="L",1,IF($C723="1/2L",0.5,0)),0)</f>
        <v>0</v>
      </c>
      <c r="CL723" s="231">
        <f>IF(CL$3=$K723,IF($C723="W",1,IF($C723="1/2W",0.5,0)),0)</f>
        <v>0</v>
      </c>
      <c r="CM723" s="231">
        <f>IF(CL$3=$K723,IF($C723="L",1,IF($C723="1/2L",0.5,0)),0)</f>
        <v>0</v>
      </c>
      <c r="CN723" s="231">
        <f>IF(CN$3=$K723,IF($C723="W",1,IF($C723="1/2W",0.5,0)),0)</f>
        <v>0</v>
      </c>
      <c r="CO723" s="231">
        <f>IF(CN$3=$K723,IF($C723="L",1,IF($C723="1/2L",0.5,0)),0)</f>
        <v>0</v>
      </c>
      <c r="CP723" s="231">
        <f>IF(CP$3=$K723,IF($C723="W",1,IF($C723="1/2W",0.5,0)),0)</f>
        <v>0</v>
      </c>
      <c r="CQ723" s="231">
        <f>IF(CP$3=$K723,IF($C723="L",1,IF($C723="1/2L",0.5,0)),0)</f>
        <v>0</v>
      </c>
      <c r="CR723" s="231">
        <f>IF(CR$3=$K723,IF($C723="W",1,IF($C723="1/2W",0.5,0)),0)</f>
        <v>0</v>
      </c>
      <c r="CS723" s="231">
        <f>IF(CR$3=$K723,IF($C723="L",1,IF($C723="1/2L",0.5,0)),0)</f>
        <v>0</v>
      </c>
      <c r="CT723" s="208">
        <f>IF(CT$3=$K723,IF($C723="W",1,IF($C723="1/2W",0.5,0)),0)</f>
        <v>0</v>
      </c>
      <c r="CU723" s="209">
        <f>IF(CT$3=$K723,IF($C723="L",1,IF($C723="1/2L",0.5,0)),0)</f>
        <v>0</v>
      </c>
      <c r="CV723" s="209">
        <f>IF(CV$3=$K723,IF($C723="W",1,IF($C723="1/2W",0.5,0)),0)</f>
        <v>0</v>
      </c>
      <c r="CW723" s="209">
        <f>IF(CV$3=$K723,IF($C723="L",1,IF($C723="1/2L",0.5,0)),0)</f>
        <v>0</v>
      </c>
      <c r="CX723" s="209">
        <f>IF(CX$3=$K723,IF($C723="W",1,IF($C723="1/2W",0.5,0)),0)</f>
        <v>0</v>
      </c>
      <c r="CY723" s="209">
        <f>IF(CX$3=$K723,IF($C723="L",1,IF($C723="1/2L",0.5,0)),0)</f>
        <v>0</v>
      </c>
      <c r="CZ723" s="209">
        <f>IF(CZ$3=$K723,IF($C723="W",1,IF($C723="1/2W",0.5,0)),0)</f>
        <v>0</v>
      </c>
      <c r="DA723" s="209">
        <f>IF(CZ$3=$K723,IF($C723="L",1,IF($C723="1/2L",0.5,0)),0)</f>
        <v>0</v>
      </c>
      <c r="DB723" s="209">
        <f>IF(DB$3=$K723,IF($C723="W",1,IF($C723="1/2W",0.5,0)),0)</f>
        <v>0</v>
      </c>
      <c r="DC723" s="209">
        <f>IF(DB$3=$K723,IF($C723="L",1,IF($C723="1/2L",0.5,0)),0)</f>
        <v>0</v>
      </c>
      <c r="DD723" s="209">
        <f>IF(DD$3=$K723,IF($C723="W",1,IF($C723="1/2W",0.5,0)),0)</f>
        <v>0</v>
      </c>
      <c r="DE723" s="210">
        <f>IF(DD$3=$K723,IF($C723="L",1,IF($C723="1/2L",0.5,0)),0)</f>
        <v>0</v>
      </c>
      <c r="DF723" s="211">
        <f>IF(AND(L723&lt;DF$3,$C723="W"),1+DF722,DF722)</f>
        <v>20</v>
      </c>
      <c r="DG723" s="198">
        <f>IF(DF723&gt;DF722,L723+DG722,DG722)</f>
        <v>26.624</v>
      </c>
      <c r="DH723" s="209">
        <f>IF(AND(L723&gt;DH$3,$C723="W"),1+DH722,0+DH722)</f>
        <v>18</v>
      </c>
      <c r="DI723" s="198">
        <f>IF(DH723&gt;DH722,L723+DI722,DI722)</f>
        <v>93.66</v>
      </c>
      <c r="DJ723" t="s" s="306">
        <f>IF($D721="","",$D721)</f>
        <v>481</v>
      </c>
      <c r="DK723" s="232"/>
    </row>
    <row r="724" ht="14.55" customHeight="1">
      <c r="A724" s="246">
        <f>$A721+1</f>
        <v>241</v>
      </c>
      <c r="B724" t="s" s="247">
        <f>IF(AND(_xlfn.XLOOKUP(H724,H$107:H503,G$107:G503,0)=G724,_xlfn.XLOOKUP("TempoBet",K724:K726,L724:L726,0)&gt;0),"X",IF(OR(C724="W",C725="W",C726="W",C724="1/2W",C725="1/2W",C726="1/2W",C724="1/2L",C725="1/2L",C726="1/2L"),"OK",IF(OR(C724="L",C725="L",C726="L"),"LOSS",IF(OR(C724="X",C725="X",C726="X"),"Anulado"," "))))</f>
        <v>50</v>
      </c>
      <c r="C724" t="s" s="248">
        <v>56</v>
      </c>
      <c r="D724" t="s" s="303">
        <f>IF(G724="","",$D721)</f>
        <v>481</v>
      </c>
      <c r="E724" t="s" s="250">
        <v>145</v>
      </c>
      <c r="F724" t="s" s="251">
        <f>IF(G724="","",IF(OR(AND($C724&lt;&gt;" ",$C725=" "),AND($C725&lt;&gt;" ",$C724=" "),AND(L726&gt;0,OR(AND($C726&lt;&gt;" ",OR($C724=" ",$C725=" ")),AND($C726=" ",OR($C724&lt;&gt;" ",$C725&lt;&gt;" "))))),IF(SUM(F$4:F723)=0,1,LARGE(F$4:F723,1)+1),IF(MONTH(G724)=MONTH(TODAY()),IF(AND(DAY(G724)&lt;DAY(TODAY()),$B724=" "),IF(SUM(F$4:F723)=0,1,LARGE(F$4:F723,1)+1),IF($B724=" ",IF(AND(DAY(G724)=DAY(TODAY()),HOUR(G724)&lt;=HOUR(NOW())+1),IF(AND(HOUR(G724)+2&lt;=HOUR(NOW()),DAY(G724)&lt;=DAY(TODAY()),MINUTE(G724)&lt;=MINUTE(NOW())),IF(SUM(F$4:F723)=0,1,LARGE(F$4:F723,1)+1),IF(OR(MINUTE(G724)&lt;=MINUTE(NOW()),HOUR(G724)&lt;=HOUR(NOW())),"!!!","")),""),"")),"")))</f>
      </c>
      <c r="G724" s="252">
        <v>44962.333333333336</v>
      </c>
      <c r="H724" t="s" s="253">
        <v>506</v>
      </c>
      <c r="I724" s="292">
        <v>1</v>
      </c>
      <c r="J724" s="293"/>
      <c r="K724" t="s" s="256">
        <v>41</v>
      </c>
      <c r="L724" s="257">
        <v>1.77</v>
      </c>
      <c r="M724" s="258"/>
      <c r="N724" s="259">
        <v>0</v>
      </c>
      <c r="O724" s="260">
        <f>IF(OR(AE724="",AE725=""),"",ROUND(IF(L726&gt;0,IF(M724&gt;0,M724,IF(M725&gt;0,ROUND((M725*AE724)/AE725,IF(N724=0,2,IF(N724=0.1,1,0))),ROUND((M726*AE724)/AE726,IF(N724=0,2,IF(N724=0.1,1,0))))),IF(M724&gt;0,M724,ROUND((M725*AE724)/AE725,IF(N724=0,2,IF(N724=0.1,1,0))))),2))</f>
        <v>19.9</v>
      </c>
      <c r="P724" s="261">
        <f>IF(OR(L724="",O724=""),"",IF($C724="1/2W",O724/2+O724/2*L724,IF($C724="1/2L",O724/2,IF(I724="Lay",(O724*(L724/(L724-1))-O724)*(1-_xlfn.XLOOKUP(K724,'Janeiro 2023 - Valor Real'!A3:A15,'Janeiro 2023 - Valor Real'!C3:C15,0))+O724,(O724*L724-O724)*(1-_xlfn.XLOOKUP(K724,'Janeiro 2023 - Valor Real'!A3:A15,'Janeiro 2023 - Valor Real'!C3:C15,0))+O724))))</f>
        <v>35.223</v>
      </c>
      <c r="Q724" s="262">
        <f>IF(K724="","",IF(_xlfn.XLOOKUP(K724,K$107:K503,DJ$107:DJ503,0,,-1)=DJ724,_xlfn.XLOOKUP(K724,K$107:K503,Q$107:Q503,1,,-1)+1,1))</f>
        <v>1</v>
      </c>
      <c r="R724" s="263">
        <f>IF(K724="","",_xlfn.XLOOKUP(K724,K$107:K503,R$107:R503,0,,-1)+IF($C724=" ",1,0))</f>
        <v>0</v>
      </c>
      <c r="S724" s="264">
        <f>IF($B724="Anulado",0,ROUND(IF(OR($B724="LOSS",$B724="OK"),IF(OR($C724="W",$C724="1/2W",$C724="1/2L"),P724-O724,IF($C724="L",-O724,0))+IF(OR($C725="W",$C725="1/2W",$C725="1/2L"),P725-O725,IF($C725="L",-O725,0))+IF(OR($C726="W",$C726="1/2W",$C726="1/2L"),P726-O726,IF($C726="L",-O726,0)),IF(AND(OR($C724="W",$C724="1/2W",$C724="1/2L"),C725="W"),P724+P725-SUM(O724:O726)+_xlfn.XLOOKUP("X",C724:C726,O724:O726,0),IF(AND(C724=TRUE,C726="W"),P724+P726-SUM(O724:O726),IF(AND(C725="W",C726="W"),P725+P726-SUM(O724:O726)+_xlfn.XLOOKUP("X",C724:C726,O724:O726,0),IF(L726&gt;0,IF(OR($C724="W",$C724="1/2W",$C724="1/2L"),P724-SUM(O724:O726)+_xlfn.XLOOKUP("X",C724:C726,O724:O726,0),IF(OR($C724="W",$C724="1/2W",$C724="1/2L"),P725-SUM(O724:O726)+_xlfn.XLOOKUP("X",C724:C726,O724:O726,0),IF(OR($C724="W",$C724="1/2W",$C724="1/2L"),P726-SUM(O724:O726)+_xlfn.XLOOKUP("X",C724:C726,O724:O726,0),IF(SUM(P724:P726)/3-SUM(O724:O726)+_xlfn.XLOOKUP("X",C724:C726,O724:O726,0)&gt;0,SUM(P724:P726)/3-SUM(O724:O726)+_xlfn.XLOOKUP("X",C724:C726,O724:O726,0),LARGE(P724:P726,1)-SUM(O724:O726))))),IF(OR($C724="W",$C724="1/2W",$C724="1/2L"),P724-SUM(O724:O725)+_xlfn.XLOOKUP("X",C724:C726,O724:O726,0),IF(OR($C724="W",$C724="1/2W",$C724="1/2L"),P725-SUM(O724:O725)+_xlfn.XLOOKUP("X",C724:C726,O724:O726,0),SUM(P724:P725)/2-SUM(O724:O725)+_xlfn.XLOOKUP("X",C724:C726,O724:O726,0)))))))),2))</f>
        <v>1.77</v>
      </c>
      <c r="T724" s="265">
        <f>IF(S724=0,0,S724/SUM(O724:O726))</f>
        <v>0.052914798206278</v>
      </c>
      <c r="U724" s="266">
        <f>IF($D724=$D721,IF(OR($B724="LOSS",$B724="OK",$B724="Anulada"),S724,0)+U721,IF(OR($B724="LOSS",$B724="OK",$B724="Anulada"),S724,0))</f>
        <v>24.04</v>
      </c>
      <c r="V724" s="266">
        <f>IF($D724="",0,IF($D724=$D721,IF($B724=" ",IF(I726="",IF(OR(AND(I724="DNB1",I725="DNB2"),AND(OR(I724="DNB1",I724="DNB2"),J725=0),AND(OR(I725="DNB1",I725="DNB2"),J724=0),AND(I724="DNB2",I725="DNB1"),AND(IF(J724=0,(J724+1)/ROUND(J724+1,0),J724/ROUND(J724,0))=1,IF(J725=0,(J725+1)/ROUND(IF(J725="",0,J725)+1,0),IF(J725="",0,J725)/ROUND(IF(J725="",1,J725),0))=1,OR(J724&lt;&gt;""),J725&lt;&gt;"")),0,IF(S724&lt;0,IF(I726="",SMALL(P724:P725,1)-SUM(O724:O725),0),SMALL(P724:P725,1)-SUM(O724:O725))),IF(S724&lt;0,IF(I726="",SMALL(P724:P726,1)-SUM(O724:O726),0),LARGE(P724:P726,1)-SUM(O724:O726))),S724)+V721,IF(I726="",IF(OR(AND(I724="DNB1",I725="DNB2"),AND(OR(I724="DNB1",I724="DNB2"),J725=0),AND(OR(I725="DNB1",I725="DNB2"),J724=0),AND(I724="DNB2",I725="DNB1"),AND(IF(J724=0,(J724+1)/ROUND(J724+1,0),J724/ROUND(J724,0))=1,IF(J725=0,(IF(J725="",0,J725)+1)/ROUND(IF(J725="",0,J725)+1,0),IF(J725="",0,J725)/ROUND(IF(J725="",0,J725)+1,0))=1,OR(J724&lt;&gt;""),J725&lt;&gt;"")),0,IF(S724&lt;0,IF(I726="",SMALL(P724:P725,1)-SUM(O724:O725),0),SMALL(P724:P726,1)-SUM(O724:O726))),IF(S724&lt;0,IF(I726="",SMALL(P724:P726,1)-SUM(O724:O726),0),LARGE(P724:P726,1)-SUM(O724:O726)))))</f>
        <v>24.0376</v>
      </c>
      <c r="W724" s="266">
        <f>IF($D724=$D721,IF(S724&lt;0,IF(I726="",S724,0),S724)+W721,S724)</f>
        <v>24.04</v>
      </c>
      <c r="X724" t="s" s="267">
        <f>IF(OR(SUM(R724:R726)=0,V724=W724),ROUND(IF(W724=0,0,W724/Y724)*100,2)&amp;"%",ROUND(IF(V724=0,0,V724/Y724)*100,2)&amp;"% a "&amp;ROUND(IF(W724=0,0,W724/Y724)*100,2)&amp;"%")</f>
        <v>504</v>
      </c>
      <c r="Y724" s="268">
        <f>IF($D724=$D721,Y721+SUM(O724:O726),SUM(O724:O726))</f>
        <v>437.59</v>
      </c>
      <c r="Z724" s="266">
        <f>IF($B724=" ",SUM(O724:O726),0)+Z721</f>
        <v>0</v>
      </c>
      <c r="AA724" s="266">
        <f>IF(G724="","",IF($B724="Anulado",LARGE(P724:P726,1)-SUM(O724:O726)+AA721,AA721))</f>
        <v>27.7065076923077</v>
      </c>
      <c r="AB724" s="266">
        <f>IF($D724="","",AB721+S724)</f>
        <v>495.22</v>
      </c>
      <c r="AC724" s="269">
        <f>IF($D724="","",IF($B724=" ",IF(DAY(G724)=DAY(TODAY()),1+AC721,0+AC721),0+AC721))</f>
        <v>0</v>
      </c>
      <c r="AD724" s="270">
        <f>(1-_xlfn.XLOOKUP(K722,'Janeiro 2023 - Valor Real'!A3:A15,'Janeiro 2023 - Valor Real'!C3:C15,0))+1</f>
        <v>2</v>
      </c>
      <c r="AE724" s="271">
        <f>IF(L724="","",IF(L726&gt;0,(SUM(((L724-1)*(1-_xlfn.XLOOKUP(K724,'Janeiro 2023 - Valor Real'!A3:A15,'Janeiro 2023 - Valor Real'!C3:C15,0))+1),((L725-1)*(1-_xlfn.XLOOKUP(K725,'Janeiro 2023 - Valor Real'!A3:A15,'Janeiro 2023 - Valor Real'!C3:C15,0))+1),((L726-1)*(1-_xlfn.XLOOKUP(K726,'Janeiro 2023 - Valor Real'!A3:A15,'Janeiro 2023 - Valor Real'!C3:C15,0))+1))/((L724-1)*(1-_xlfn.XLOOKUP(K724,'Janeiro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Real'!C3:C15,0))+1))/((L724-1)*(1-_xlfn.XLOOKUP(K724,'Janeiro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Real'!C3:C15,0))+1))/((L725-1)*(1-_xlfn.XLOOKUP(K725,'Janeiro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Real'!C3:C15,0))+1))/((L726-1)*(1-_xlfn.XLOOKUP(K726,'Janeiro 2023 - Valor Real'!A3:A15,'Janeiro 2023 - Valor Real'!C3:C15,0))+1)),IF(I724="Lay",IF(I725="Lay",((L725/(L725-1)-1)*(1-_xlfn.XLOOKUP(K725,'Janeiro 2023 - Valor Real'!A3:A15,'Janeiro 2023 - Valor Real'!C3:C15,0))+1)/(((L725/(L725-1)-1)*(1-_xlfn.XLOOKUP(K725,'Janeiro 2023 - Valor Real'!A3:A15,'Janeiro 2023 - Valor Real'!C3:C15,0))+1)+((L724/(L724-1)-1)*(1-_xlfn.XLOOKUP(K724,'Janeiro 2023 - Valor Real'!A3:A15,'Janeiro 2023 - Valor Real'!C3:C15,0))+1)),((L725-1)*(1-_xlfn.XLOOKUP(K725,'Janeiro 2023 - Valor Real'!A3:A15,'Janeiro 2023 - Valor Real'!C3:C15,0))+1)/(((L725-1)*(1-_xlfn.XLOOKUP(K725,'Janeiro 2023 - Valor Real'!A3:A15,'Janeiro 2023 - Valor Real'!C3:C15,0))+1)+((L724/(L724-1)-1)*(1-_xlfn.XLOOKUP(K724,'Janeiro 2023 - Valor Real'!A3:A15,'Janeiro 2023 - Valor Real'!C3:C15,0))+1))),IF(I725="Lay",(((L725/(L725-1)-1)*(1-_xlfn.XLOOKUP(K725,'Janeiro 2023 - Valor Real'!A3:A15,'Janeiro 2023 - Valor Real'!C3:C15,0))+1))/(((L724-1)*(1-_xlfn.XLOOKUP(K724,'Janeiro 2023 - Valor Real'!A3:A15,'Janeiro 2023 - Valor Real'!C3:C15,0))+1)+((L725/(L725-1)-1)*(1-_xlfn.XLOOKUP(K725,'Janeiro 2023 - Valor Real'!A3:A15,'Janeiro 2023 - Valor Real'!C3:C15,0))+1)),((L725-1)*(1-_xlfn.XLOOKUP(K725,'Janeiro 2023 - Valor Real'!A3:A15,'Janeiro 2023 - Valor Real'!C3:C15,0))+1)/(((L725-1)*(1-_xlfn.XLOOKUP(K725,'Janeiro 2023 - Valor Real'!A3:A15,'Janeiro 2023 - Valor Real'!C3:C15,0))+1)+((L724-1)*(1-_xlfn.XLOOKUP(K724,'Janeiro 2023 - Valor Real'!A3:A15,'Janeiro 2023 - Valor Real'!C3:C15,0))+1))))))</f>
        <v>0.594965675057208</v>
      </c>
      <c r="AF724" s="132">
        <f>IF($K724=AF$3,ROUND(IF(OR($C724="W",$C724="1/2W",$C724="1/2L"),$P724-$O724,IF($C724="X",0,-$O724)),2),0)</f>
        <v>0</v>
      </c>
      <c r="AG724" s="133">
        <f>IF($K724=AG$3,ROUND(IF(OR($C724="W",$C724="1/2W",$C724="1/2L"),$P724-$O724,IF($C724="X",0,-$O724)),2),0)</f>
        <v>0</v>
      </c>
      <c r="AH724" s="133">
        <f>IF($K724=AH$3,ROUND(IF(OR($C724="W",$C724="1/2W",$C724="1/2L"),$P724-$O724,IF($C724="X",0,-$O724)),2),0)</f>
        <v>0</v>
      </c>
      <c r="AI724" s="133">
        <f>IF($K724=AI$3,ROUND(IF(OR($C724="W",$C724="1/2W",$C724="1/2L"),$P724-$O724,IF($C724="X",0,-$O724)),2),0)</f>
        <v>0</v>
      </c>
      <c r="AJ724" s="133">
        <f>IF($K724=AJ$3,ROUND(IF(OR($C724="W",$C724="1/2W",$C724="1/2L"),$P724-$O724,IF($C724="X",0,-$O724)),2),0)</f>
        <v>15.32</v>
      </c>
      <c r="AK724" s="133">
        <f>IF($K724=AK$3,ROUND(IF(OR($C724="W",$C724="1/2W",$C724="1/2L"),$P724-$O724,IF($C724="X",0,-$O724)),2),0)</f>
        <v>0</v>
      </c>
      <c r="AL724" s="133">
        <f>IF($K724=AL$3,ROUND(IF(OR($C724="W",$C724="1/2W",$C724="1/2L"),$P724-$O724,IF($C724="X",0,-$O724)),2),0)</f>
        <v>0</v>
      </c>
      <c r="AM724" s="133">
        <f>IF($K724=AM$3,ROUND(IF(OR($C724="W",$C724="1/2W",$C724="1/2L"),$P724-$O724,IF($C724="X",0,-$O724)),2),0)</f>
        <v>0</v>
      </c>
      <c r="AN724" s="133">
        <f>IF($K724=AN$3,ROUND(IF(OR($C724="W",$C724="1/2W",$C724="1/2L"),$P724-$O724,IF($C724="X",0,-$O724)),2),0)</f>
        <v>0</v>
      </c>
      <c r="AO724" s="133">
        <f>IF($K724=AO$3,ROUND(IF(OR($C724="W",$C724="1/2W",$C724="1/2L"),$P724-$O724,IF($C724="X",0,-$O724)),2),0)</f>
        <v>0</v>
      </c>
      <c r="AP724" s="133">
        <f>IF($K724=AP$3,ROUND(IF(OR($C724="W",$C724="1/2W",$C724="1/2L"),$P724-$O724,IF($C724="X",0,-$O724)),2),0)</f>
        <v>0</v>
      </c>
      <c r="AQ724" s="133">
        <f>IF($K724=AQ$3,ROUND(IF(OR($C724="W",$C724="1/2W",$C724="1/2L"),$P724-$O724,IF($C724="X",0,-$O724)),2),0)</f>
        <v>0</v>
      </c>
      <c r="AR724" s="134">
        <f>IF($K724=AR$3,ROUND(IF(OR($C724="W",$C724="1/2W",$C724="1/2L"),$P724-$O724,IF($C724="X",0,-$O724)),2),0)</f>
        <v>0</v>
      </c>
      <c r="AS724" s="132">
        <f>IF(AND($B724=" ",$K724=AS$3),$O724,0)</f>
        <v>0</v>
      </c>
      <c r="AT724" s="133">
        <f>IF(AND($B724=" ",$K724=AT$3),$O724,0)</f>
        <v>0</v>
      </c>
      <c r="AU724" s="133">
        <f>IF(AND($B724=" ",$K724=AU$3),$O724,0)</f>
        <v>0</v>
      </c>
      <c r="AV724" s="133">
        <f>IF(AND($B724=" ",$K724=AV$3),$O724,0)</f>
        <v>0</v>
      </c>
      <c r="AW724" s="133">
        <f>IF(AND($B724=" ",$K724=AW$3),$O724,0)</f>
        <v>0</v>
      </c>
      <c r="AX724" s="133">
        <f>IF(AND($B724=" ",$K724=AX$3),$O724,0)</f>
        <v>0</v>
      </c>
      <c r="AY724" s="135">
        <f>IF(AND($B724=" ",$K724=AY$3),$O724,0)</f>
        <v>0</v>
      </c>
      <c r="AZ724" s="136">
        <f>IF(AND($B724=" ",$K724=AZ$3),$O724,0)</f>
        <v>0</v>
      </c>
      <c r="BA724" s="136">
        <f>IF(AND($B724=" ",$K724=BA$3),$O724,0)</f>
        <v>0</v>
      </c>
      <c r="BB724" s="136">
        <f>IF(AND($B724=" ",$K724=BB$3),$O724,0)</f>
        <v>0</v>
      </c>
      <c r="BC724" s="137">
        <f>IF(AND($B724=" ",$K724=BC$3),$O724,0)</f>
        <v>0</v>
      </c>
      <c r="BD724" s="133">
        <f>IF(AND($B724=" ",$K724=BD$3),$O724,0)</f>
        <v>0</v>
      </c>
      <c r="BE724" s="134">
        <f>IF(AND($B724=" ",$K724=BE$3),$O724,0)</f>
        <v>0</v>
      </c>
      <c r="BF724" s="132">
        <f>IF($K724=BF$3,IF($C724="X",0,$O724),0)</f>
        <v>0</v>
      </c>
      <c r="BG724" s="133">
        <f>IF($K724=BG$3,IF($C724="X",0,$O724),0)</f>
        <v>0</v>
      </c>
      <c r="BH724" s="133">
        <f>IF($K724=BH$3,IF($C724="X",0,$O724),0)</f>
        <v>0</v>
      </c>
      <c r="BI724" s="133">
        <f>IF($K724=BI$3,IF($C724="X",0,$O724),0)</f>
        <v>0</v>
      </c>
      <c r="BJ724" s="133">
        <f>IF($K724=BJ$3,IF($C724="X",0,$O724),0)</f>
        <v>19.9</v>
      </c>
      <c r="BK724" s="133">
        <f>IF($K724=BK$3,IF($C724="X",0,$O724),0)</f>
        <v>0</v>
      </c>
      <c r="BL724" s="133">
        <f>IF($K724=BL$3,IF($C724="X",0,$O724),0)</f>
        <v>0</v>
      </c>
      <c r="BM724" s="135">
        <f>IF($K724=BM$3,IF($C724="X",0,$O724),0)</f>
        <v>0</v>
      </c>
      <c r="BN724" s="136">
        <f>IF($K724=BN$3,IF($C724="X",0,$O724),0)</f>
        <v>0</v>
      </c>
      <c r="BO724" s="136">
        <f>IF($K724=BO$3,IF($C724="X",0,$O724),0)</f>
        <v>0</v>
      </c>
      <c r="BP724" s="136">
        <f>IF($K724=BP$3,IF($C724="X",0,$O724),0)</f>
        <v>0</v>
      </c>
      <c r="BQ724" s="137">
        <f>IF($K724=BQ$3,IF($C724="X",0,$O724),0)</f>
        <v>0</v>
      </c>
      <c r="BR724" s="134">
        <f>IF($K724=BR$3,IF($C724="X",0,$O724),0)</f>
        <v>0</v>
      </c>
      <c r="BS724" s="170">
        <f>IF($B724="LOSS",IF(AND($K724=BS$3,$C724="L"),-$O724,0)+IF(AND($K725=BS$3,$C725="L"),-$O725,0)+IF(AND($K726=BS$3,$C726="L"),-$O726,0),IF(OR(AND($K724=BS$3,OR($C724="W",$C724="1/2W")),AND($K725=BS$3,OR($C725="W",$C725="1/2W")),AND($K726=BS$3,OR($C726="W",$C726="1/2W"))),$S724,0))</f>
        <v>0</v>
      </c>
      <c r="BT724" s="272">
        <f>IF($B724="LOSS",IF(AND($K724=BT$3,$C724="L"),-$O724,0)+IF(AND($K725=BT$3,$C725="L"),-$O725,0)+IF(AND($K725=BT$3,$C726="L"),-$O726,0),IF(OR(AND($K725=BT$3,OR($C724="W",$C724="1/2W")),AND($K725=BT$3,OR($C725="W",$C725="1/2W")),AND($K725=BT$3,OR($C726="W",$C726="1/2W"))),$S724,0))</f>
        <v>1.77</v>
      </c>
      <c r="BU724" s="136">
        <f>IF($B724="LOSS",IF(AND($K724=BU$3,$C724="L"),-$O724,0)+IF(AND($K725=BU$3,$C725="L"),-$O725,0)+IF(AND($K725=BU$3,$C726="L"),-$O726,0),IF(OR(AND($K725=BU$3,OR($C724="W",$C724="1/2W")),AND($K725=BU$3,OR($C725="W",$C725="1/2W")),AND($K725=BU$3,OR($C726="W",$C726="1/2W"))),$S724,0))</f>
        <v>0</v>
      </c>
      <c r="BV724" s="136">
        <f>IF($B724="LOSS",IF(AND($K724=BV$3,$C724="L"),-$O724,0)+IF(AND($K725=BV$3,$C725="L"),-$O725,0)+IF(AND($K726=BV$3,$C726="L"),-$O726,0),IF(OR(AND($K724=BV$3,OR($C724="W",$C724="1/2W")),AND($K725=BV$3,OR($C725="W",$C725="1/2W")),AND($K726=BV$3,OR($C726="W",$C726="1/2W"))),$S724,0))</f>
        <v>0</v>
      </c>
      <c r="BW724" s="136">
        <f>IF($B724="LOSS",IF(AND($K724=BW$3,$C724="L"),-$O724,0)+IF(AND($K725=BW$3,$C725="L"),-$O725,0)+IF(AND($K726=BW$3,$C726="L"),-$O726,0),IF(OR(AND($K724=BW$3,OR($C724="W",$C724="1/2W")),AND($K725=BW$3,OR($C725="W",$C725="1/2W")),AND($K726=BW$3,OR($C726="W",$C726="1/2W"))),$S724,0))</f>
        <v>1.77</v>
      </c>
      <c r="BX724" s="136">
        <f>IF($B724="LOSS",IF(AND($K724=BX$3,$C724="L"),-$O724,0)+IF(AND($K725=BX$3,$C725="L"),-$O725,0)+IF(AND($K726=BX$3,$C726="L"),-$O726,0),IF(OR(AND($K724=BX$3,OR($C724="W",$C724="1/2W")),AND($K725=BX$3,OR($C725="W",$C725="1/2W")),AND($K726=BX$3,OR($C726="W",$C726="1/2W"))),$S724,0))</f>
        <v>0</v>
      </c>
      <c r="BY724" s="136">
        <f>IF($B724="LOSS",IF(AND($K724=BY$3,$C724="L"),-$O724,0)+IF(AND($K725=BY$3,$C725="L"),-$O725,0)+IF(AND($K726=BY$3,$C726="L"),-$O726,0),IF(OR(AND($K724=BY$3,OR($C724="W",$C724="1/2W")),AND($K725=BY$3,OR($C725="W",$C725="1/2W")),AND($K726=BY$3,OR($C726="W",$C726="1/2W"))),$S724,0))</f>
        <v>0</v>
      </c>
      <c r="BZ724" s="136">
        <f>IF($B724="LOSS",IF(AND($K724=BZ$3,$C724="L"),-$O724,0)+IF(AND($K725=BZ$3,$C725="L"),-$O725,0)+IF(AND($K726=BZ$3,$C726="L"),-$O726,0),IF(OR(AND($K724=BZ$3,OR($C724="W",$C724="1/2W")),AND($K725=BZ$3,OR($C725="W",$C725="1/2W")),AND($K726=BZ$3,OR($C726="W",$C726="1/2W"))),$S724,0))</f>
        <v>0</v>
      </c>
      <c r="CA724" s="136">
        <f>IF($B724="LOSS",IF(AND($K724=CA$3,$C724="L"),-$O724,0)+IF(AND($K725=CA$3,$C725="L"),-$O725,0)+IF(AND($K726=CA$3,$C726="L"),-$O726,0),IF(OR(AND($K724=CA$3,OR($C724="W",$C724="1/2W")),AND($K725=CA$3,OR($C725="W",$C725="1/2W")),AND($K726=CA$3,OR($C726="W",$C726="1/2W"))),$S724,0))</f>
        <v>0</v>
      </c>
      <c r="CB724" s="136">
        <f>IF($B724="LOSS",IF(AND($K724=CB$3,$C724="L"),-$O724,0)+IF(AND($K725=CB$3,$C725="L"),-$O725,0)+IF(AND($K726=CB$3,$C726="L"),-$O726,0),IF(OR(AND($K724=CB$3,OR($C724="W",$C724="1/2W")),AND($K725=CB$3,OR($C725="W",$C725="1/2W")),AND($K726=CB$3,OR($C726="W",$C726="1/2W"))),$S724,0))</f>
        <v>0</v>
      </c>
      <c r="CC724" s="136">
        <f>IF($B724="LOSS",IF(AND($K724=CC$3,$C724="L"),-$O724,0)+IF(AND($K725=CC$3,$C725="L"),-$O725,0)+IF(AND($K726=CC$3,$C726="L"),-$O726,0),IF(OR(AND($K724=CC$3,OR($C724="W",$C724="1/2W")),AND($K725=CC$3,OR($C725="W",$C725="1/2W")),AND($K726=CC$3,OR($C726="W",$C726="1/2W"))),$S724,0))</f>
        <v>0</v>
      </c>
      <c r="CD724" s="137">
        <f>IF($B724="LOSS",IF(AND($K724=CD$3,$C724="L"),-$O724,0)+IF(AND($K725=CD$3,$C725="L"),-$O725,0)+IF(AND($K726=CD$3,$C726="L"),-$O726,0),IF(OR(AND($K724=CD$3,OR($C724="W",$C724="1/2W")),AND($K725=CD$3,OR($C725="W",$C725="1/2W")),AND($K726=CD$3,OR($C726="W",$C726="1/2W"))),$S724,0))</f>
        <v>0</v>
      </c>
      <c r="CE724" s="134">
        <f>IF($B724="LOSS",IF(AND($K724=CE$3,$C724="L"),-$O724,0)+IF(AND($K725=CE$3,$C725="L"),-$O725,0)+IF(AND($K726=CE$3,$C726="L"),-$O726,0),IF(OR(AND($K724=CE$3,OR($C724="W",$C724="1/2W")),AND($K725=CE$3,OR($C725="W",$C725="1/2W")),AND($K726=CE$3,OR($C726="W",$C726="1/2W"))),$S724,0))</f>
        <v>0</v>
      </c>
      <c r="CF724" s="273">
        <f>IF(CF$3=$K724,IF($C724="W",1,IF($C724="1/2W",0.5,0)),0)</f>
        <v>0</v>
      </c>
      <c r="CG724" s="274">
        <f>IF(CF$3=$K724,IF($C724="L",1,IF($C724="1/2L",0.5,0)),0)</f>
        <v>0</v>
      </c>
      <c r="CH724" s="274">
        <f>IF(CH$3=$K724,IF($C724="W",1,IF($C724="1/2W",0.5,0)),0)</f>
        <v>0</v>
      </c>
      <c r="CI724" s="274">
        <f>IF(CH$3=$K724,IF($C724="L",1,IF($C724="1/2L",0.5,0)),0)</f>
        <v>0</v>
      </c>
      <c r="CJ724" s="274">
        <f>IF(CJ$3=$K724,IF($C724="W",1,IF($C724="1/2W",0.5,0)),0)</f>
        <v>0</v>
      </c>
      <c r="CK724" s="274">
        <f>IF(CJ$3=$K724,IF($C724="L",1,IF($C724="1/2L",0.5,0)),0)</f>
        <v>0</v>
      </c>
      <c r="CL724" s="274">
        <f>IF(CL$3=$K724,IF($C724="W",1,IF($C724="1/2W",0.5,0)),0)</f>
        <v>0</v>
      </c>
      <c r="CM724" s="274">
        <f>IF(CL$3=$K724,IF($C724="L",1,IF($C724="1/2L",0.5,0)),0)</f>
        <v>0</v>
      </c>
      <c r="CN724" s="274">
        <f>IF(CN$3=$K724,IF($C724="W",1,IF($C724="1/2W",0.5,0)),0)</f>
        <v>1</v>
      </c>
      <c r="CO724" s="274">
        <f>IF(CN$3=$K724,IF($C724="L",1,IF($C724="1/2L",0.5,0)),0)</f>
        <v>0</v>
      </c>
      <c r="CP724" s="274">
        <f>IF(CP$3=$K724,IF($C724="W",1,IF($C724="1/2W",0.5,0)),0)</f>
        <v>0</v>
      </c>
      <c r="CQ724" s="274">
        <f>IF(CP$3=$K724,IF($C724="L",1,IF($C724="1/2L",0.5,0)),0)</f>
        <v>0</v>
      </c>
      <c r="CR724" s="274">
        <f>IF(CR$3=$K724,IF($C724="W",1,IF($C724="1/2W",0.5,0)),0)</f>
        <v>0</v>
      </c>
      <c r="CS724" s="274">
        <f>IF(CR$3=$K724,IF($C724="L",1,IF($C724="1/2L",0.5,0)),0)</f>
        <v>0</v>
      </c>
      <c r="CT724" s="145">
        <f>IF(CT$3=$K724,IF($C724="W",1,IF($C724="1/2W",0.5,0)),0)</f>
        <v>0</v>
      </c>
      <c r="CU724" s="146">
        <f>IF(CT$3=$K724,IF($C724="L",1,IF($C724="1/2L",0.5,0)),0)</f>
        <v>0</v>
      </c>
      <c r="CV724" s="146">
        <f>IF(CV$3=$K724,IF($C724="W",1,IF($C724="1/2W",0.5,0)),0)</f>
        <v>0</v>
      </c>
      <c r="CW724" s="146">
        <f>IF(CV$3=$K724,IF($C724="L",1,IF($C724="1/2L",0.5,0)),0)</f>
        <v>0</v>
      </c>
      <c r="CX724" s="146">
        <f>IF(CX$3=$K724,IF($C724="W",1,IF($C724="1/2W",0.5,0)),0)</f>
        <v>0</v>
      </c>
      <c r="CY724" s="146">
        <f>IF(CX$3=$K724,IF($C724="L",1,IF($C724="1/2L",0.5,0)),0)</f>
        <v>0</v>
      </c>
      <c r="CZ724" s="146">
        <f>IF(CZ$3=$K724,IF($C724="W",1,IF($C724="1/2W",0.5,0)),0)</f>
        <v>0</v>
      </c>
      <c r="DA724" s="146">
        <f>IF(CZ$3=$K724,IF($C724="L",1,IF($C724="1/2L",0.5,0)),0)</f>
        <v>0</v>
      </c>
      <c r="DB724" s="146">
        <f>IF(DB$3=$K724,IF($C724="W",1,IF($C724="1/2W",0.5,0)),0)</f>
        <v>0</v>
      </c>
      <c r="DC724" s="146">
        <f>IF(DB$3=$K724,IF($C724="L",1,IF($C724="1/2L",0.5,0)),0)</f>
        <v>0</v>
      </c>
      <c r="DD724" s="146">
        <f>IF(DD$3=$K724,IF($C724="W",1,IF($C724="1/2W",0.5,0)),0)</f>
        <v>0</v>
      </c>
      <c r="DE724" s="147">
        <f>IF(DD$3=$K724,IF($C724="L",1,IF($C724="1/2L",0.5,0)),0)</f>
        <v>0</v>
      </c>
      <c r="DF724" s="143">
        <f>IF(AND(L724&lt;DF$3,$C724="W"),1+DF723,DF723)</f>
        <v>20</v>
      </c>
      <c r="DG724" s="133">
        <f>IF(DF724&gt;DF723,L724+DG723,DG723)</f>
        <v>26.624</v>
      </c>
      <c r="DH724" s="146">
        <f>IF(AND(L724&gt;DH$3,$C724="W"),1+DH723,0+DH723)</f>
        <v>18</v>
      </c>
      <c r="DI724" s="133">
        <f>IF(DH724&gt;DH723,L724+DI723,DI723)</f>
        <v>93.66</v>
      </c>
      <c r="DJ724" t="s" s="304">
        <f>IF($D724="","",$D724)</f>
        <v>481</v>
      </c>
      <c r="DK724" s="146">
        <f>IF(AND($B724=" ",$D724&lt;&gt;""),1,0)</f>
        <v>0</v>
      </c>
    </row>
    <row r="725" ht="14.55" customHeight="1">
      <c r="A725" s="107"/>
      <c r="B725" s="108"/>
      <c r="C725" t="s" s="109">
        <v>51</v>
      </c>
      <c r="D725" s="110"/>
      <c r="E725" s="111"/>
      <c r="F725" s="113"/>
      <c r="G725" s="252"/>
      <c r="H725" s="114"/>
      <c r="I725" t="s" s="275">
        <v>87</v>
      </c>
      <c r="J725" t="s" s="295">
        <f>IF(OR(I724="TO",I724="TU",I724="TO1",I724="TU1",I724="TO2",I724="TU2"),J724,IF(OR(I724="AH1",I724="AH2"),IF(OR(I725="AH1",I725="AH2"),-J724,IF(OR(I725="EH1",I725="EH2"),-J724+0.5,"")),IF(OR(I724="EH1",I724="EH2"),IF(OR(I725="AH1",I725="AH2"),-J724+0.5,IF(OR(I725="EH1",I725="EH2"),-J724+1,"")),IF(AND(OR(I724="DNB1",I724="DNB2"),OR(I725="AH1",I725="AH2")),0,IF(AND(I724="Not ScoreBoth",OR(I725="TO1",I725="TO2")),0.5,"")))))</f>
      </c>
      <c r="K725" t="s" s="117">
        <v>38</v>
      </c>
      <c r="L725" s="277">
        <v>2.6</v>
      </c>
      <c r="M725" s="278">
        <v>13.55</v>
      </c>
      <c r="N725" s="120"/>
      <c r="O725" s="121">
        <f>IF(OR(AE724="",AE725=""),"",ROUND(IF(L726&gt;0,IF(M725&gt;0,M725,IF(M724&gt;0,IF(N724=TRUE,ROUND((M724*AE725)/AE724,0),(M724*AE725)/AE724),IF(M725&gt;0,ROUND(M725,IF(N724=0,2,IF(N724=0.1,1,0))),IF(M726&gt;0,ROUND(O726*AE725/AE726,IF(N724=0,2,IF(N724=0.1,1,0))),0)))),IF(M725&gt;0,M725,ROUND((M724*AE725)/AE724,IF(N724=0,2,IF(N724=0.1,1,0))))),2))</f>
        <v>13.55</v>
      </c>
      <c r="P725" s="122">
        <f>IF(OR(L725="",O725=""),"",IF($C725="1/2W",O725/2+O725/2*L725,IF($C725="1/2L",O725/2,IF(I725="Lay",((O725*(L725/(L725-1)))-O725)*(1-_xlfn.XLOOKUP(K725,'Janeiro 2023 - Valor Real'!A3:A15,'Janeiro 2023 - Valor Real'!C3:C15,0))+O725,(O725*L725-O725)*(1-_xlfn.XLOOKUP(K725,'Janeiro 2023 - Valor Real'!A3:A15,'Janeiro 2023 - Valor Real'!C3:C15,0))+O725))))</f>
        <v>35.23</v>
      </c>
      <c r="Q725" s="279">
        <f>IF(K725="","",IF(_xlfn.XLOOKUP(K725,K$120:K504,DJ$120:DJ504,0,,-1)=DJ725,_xlfn.XLOOKUP(K725,K$120:K504,Q$120:Q504,1,,-1)+1,1))</f>
        <v>1</v>
      </c>
      <c r="R725" s="280">
        <f>IF(K725="","",_xlfn.XLOOKUP(K725,K$120:K504,R$120:R504,0,,-1)+IF($C725=" ",1,0))</f>
        <v>0</v>
      </c>
      <c r="S725" s="125"/>
      <c r="T725" s="126"/>
      <c r="U725" s="126"/>
      <c r="V725" s="224"/>
      <c r="W725" s="126"/>
      <c r="X725" s="127"/>
      <c r="Y725" s="128"/>
      <c r="Z725" s="129"/>
      <c r="AA725" s="129"/>
      <c r="AB725" s="129"/>
      <c r="AC725" s="129"/>
      <c r="AD725" s="130"/>
      <c r="AE725" s="131">
        <f>IF(L725="","",IF(L726&gt;0,(SUM(((L724-1)*(1-_xlfn.XLOOKUP(K724,'Janeiro 2023 - Valor Real'!A3:A15,'Janeiro 2023 - Valor Real'!C3:C15,0))+1),((L725-1)*(1-_xlfn.XLOOKUP(K725,'Janeiro 2023 - Valor Real'!A3:A15,'Janeiro 2023 - Valor Real'!C3:C15,0))+1),((L726-1)*(1-_xlfn.XLOOKUP(K726,'Janeiro 2023 - Valor Real'!A3:A15,'Janeiro 2023 - Valor Real'!C3:C15,0))+1))/((L725-1)*(1-_xlfn.XLOOKUP(K725,'Janeiro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Real'!C3:C15,0))+1))/((L724-1)*(1-_xlfn.XLOOKUP(K724,'Janeiro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Real'!C3:C15,0))+1))/((L725-1)*(1-_xlfn.XLOOKUP(K725,'Janeiro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Real'!C3:C15,0))+1))/((L726-1)*(1-_xlfn.XLOOKUP(K726,'Janeiro 2023 - Valor Real'!A3:A15,'Janeiro 2023 - Valor Real'!C3:C15,0))+1)),IF(I725="Lay",IF(I724="Lay",((L724/(L724-1)-1)*(1-_xlfn.XLOOKUP(K724,'Janeiro 2023 - Valor Real'!A3:A15,'Janeiro 2023 - Valor Real'!C3:C15,0))+1)/(((L724/(L724-1)-1)*(1-_xlfn.XLOOKUP(K724,'Janeiro 2023 - Valor Real'!A3:A15,'Janeiro 2023 - Valor Real'!C3:C15,0))+1)+((L725/(L725-1)-1)*(1-_xlfn.XLOOKUP(K725,'Janeiro 2023 - Valor Real'!A3:A15,'Janeiro 2023 - Valor Real'!C3:C15,0))+1)),((L724-1)*(1-_xlfn.XLOOKUP(K724,'Janeiro 2023 - Valor Real'!A3:A15,'Janeiro 2023 - Valor Real'!C3:C15,0))+1)/(((L724-1)*(1-_xlfn.XLOOKUP(K724,'Janeiro 2023 - Valor Real'!A3:A15,'Janeiro 2023 - Valor Real'!C3:C15,0))+1)+((L725/(L725-1)-1)*(1-_xlfn.XLOOKUP(K725,'Janeiro 2023 - Valor Real'!A3:A15,'Janeiro 2023 - Valor Real'!C3:C15,0))+1))),IF(I724="Lay",((L724/(L724-1)-1)*(1-_xlfn.XLOOKUP(K724,'Janeiro 2023 - Valor Real'!A3:A15,'Janeiro 2023 - Valor Real'!C3:C15,0))+1)/((((L724/(L724-1)-1)*(1-_xlfn.XLOOKUP(K724,'Janeiro 2023 - Valor Real'!A3:A15,'Janeiro 2023 - Valor Real'!C3:C15,0))+1))+((L725-1)*(1-_xlfn.XLOOKUP(K725,'Janeiro 2023 - Valor Real'!A3:A15,'Janeiro 2023 - Valor Real'!C3:C15,0))+1)),((L724-1)*(1-_xlfn.XLOOKUP(K724,'Janeiro 2023 - Valor Real'!A3:A15,'Janeiro 2023 - Valor Real'!C3:C15,0))+1)/(((L724-1)*(1-_xlfn.XLOOKUP(K724,'Janeiro 2023 - Valor Real'!A3:A15,'Janeiro 2023 - Valor Real'!C3:C15,0))+1)+((L725-1)*(1-_xlfn.XLOOKUP(K725,'Janeiro 2023 - Valor Real'!A3:A15,'Janeiro 2023 - Valor Real'!C3:C15,0))+1))))))</f>
        <v>0.405034324942792</v>
      </c>
      <c r="AF725" s="132">
        <f>IF($K725=AF$3,ROUND(IF(OR($C725="W",$C725="1/2W",$C725="1/2L"),$P725-$O725,IF($C725="X",0,-$O725)),2),0)</f>
        <v>0</v>
      </c>
      <c r="AG725" s="133">
        <f>IF($K725=AG$3,ROUND(IF(OR($C725="W",$C725="1/2W",$C725="1/2L"),$P725-$O725,IF($C725="X",0,-$O725)),2),0)</f>
        <v>-13.55</v>
      </c>
      <c r="AH725" s="133">
        <f>IF($K725=AH$3,ROUND(IF(OR($C725="W",$C725="1/2W",$C725="1/2L"),$P725-$O725,IF($C725="X",0,-$O725)),2),0)</f>
        <v>0</v>
      </c>
      <c r="AI725" s="133">
        <f>IF($K725=AI$3,ROUND(IF(OR($C725="W",$C725="1/2W",$C725="1/2L"),$P725-$O725,IF($C725="X",0,-$O725)),2),0)</f>
        <v>0</v>
      </c>
      <c r="AJ725" s="133">
        <f>IF($K725=AJ$3,ROUND(IF(OR($C725="W",$C725="1/2W",$C725="1/2L"),$P725-$O725,IF($C725="X",0,-$O725)),2),0)</f>
        <v>0</v>
      </c>
      <c r="AK725" s="133">
        <f>IF($K725=AK$3,ROUND(IF(OR($C725="W",$C725="1/2W",$C725="1/2L"),$P725-$O725,IF($C725="X",0,-$O725)),2),0)</f>
        <v>0</v>
      </c>
      <c r="AL725" s="133">
        <f>IF($K725=AL$3,ROUND(IF(OR($C725="W",$C725="1/2W",$C725="1/2L"),$P725-$O725,IF($C725="X",0,-$O725)),2),0)</f>
        <v>0</v>
      </c>
      <c r="AM725" s="133">
        <f>IF($K725=AM$3,ROUND(IF(OR($C725="W",$C725="1/2W",$C725="1/2L"),$P725-$O725,IF($C725="X",0,-$O725)),2),0)</f>
        <v>0</v>
      </c>
      <c r="AN725" s="133">
        <f>IF($K725=AN$3,ROUND(IF(OR($C725="W",$C725="1/2W",$C725="1/2L"),$P725-$O725,IF($C725="X",0,-$O725)),2),0)</f>
        <v>0</v>
      </c>
      <c r="AO725" s="133">
        <f>IF($K725=AO$3,ROUND(IF(OR($C725="W",$C725="1/2W",$C725="1/2L"),$P725-$O725,IF($C725="X",0,-$O725)),2),0)</f>
        <v>0</v>
      </c>
      <c r="AP725" s="133">
        <f>IF($K725=AP$3,ROUND(IF(OR($C725="W",$C725="1/2W",$C725="1/2L"),$P725-$O725,IF($C725="X",0,-$O725)),2),0)</f>
        <v>0</v>
      </c>
      <c r="AQ725" s="133">
        <f>IF($K725=AQ$3,ROUND(IF(OR($C725="W",$C725="1/2W",$C725="1/2L"),$P725-$O725,IF($C725="X",0,-$O725)),2),0)</f>
        <v>0</v>
      </c>
      <c r="AR725" s="134">
        <f>IF($K725=AR$3,ROUND(IF(OR($C725="W",$C725="1/2W",$C725="1/2L"),$P725-$O725,IF($C725="X",0,-$O725)),2),0)</f>
        <v>0</v>
      </c>
      <c r="AS725" s="132">
        <f>IF(AND($B724=" ",$K725=AS$3),$O725,0)</f>
        <v>0</v>
      </c>
      <c r="AT725" s="133">
        <f>IF(AND($B724=" ",K725=AT$3),$O725,0)</f>
        <v>0</v>
      </c>
      <c r="AU725" s="133">
        <f>IF(AND($B724=" ",$K725=AU$3),$O725,0)</f>
        <v>0</v>
      </c>
      <c r="AV725" s="133">
        <f>IF(AND($B724=" ",$K725=AV$3),$O725,0)</f>
        <v>0</v>
      </c>
      <c r="AW725" s="133">
        <f>IF(AND($B724=" ",$K725=AW$3),$O725,0)</f>
        <v>0</v>
      </c>
      <c r="AX725" s="133">
        <f>IF(AND($B724=" ",$K725=AX$3),$O725,0)</f>
        <v>0</v>
      </c>
      <c r="AY725" s="135">
        <f>IF(AND($B724=" ",$K725=AY$3),$O725,0)</f>
        <v>0</v>
      </c>
      <c r="AZ725" s="136">
        <f>IF(AND($B724=" ",$K725=AZ$3),$O725,0)</f>
        <v>0</v>
      </c>
      <c r="BA725" s="136">
        <f>IF(AND($B724=" ",$K725=BA$3),$O725,0)</f>
        <v>0</v>
      </c>
      <c r="BB725" s="136">
        <f>IF(AND($B724=" ",$K725=BB$3),$O725,0)</f>
        <v>0</v>
      </c>
      <c r="BC725" s="137">
        <f>IF(AND($B724=" ",$K725=BC$3),$O725,0)</f>
        <v>0</v>
      </c>
      <c r="BD725" s="133">
        <f>IF(AND($B724=" ",$K725=BD$3),$O725,0)</f>
        <v>0</v>
      </c>
      <c r="BE725" s="134">
        <f>IF(AND($B724=" ",$K725=BE$3),$O725,0)</f>
        <v>0</v>
      </c>
      <c r="BF725" s="132">
        <f>IF($K725=BF$3,IF($C725="X",0,$O725),0)</f>
        <v>0</v>
      </c>
      <c r="BG725" s="281">
        <f>IF($K725=BG$3,IF($C725="X",0,$O725),0)</f>
        <v>13.55</v>
      </c>
      <c r="BH725" s="133">
        <f>IF($K725=BH$3,IF($C725="X",0,$O725),0)</f>
        <v>0</v>
      </c>
      <c r="BI725" s="133">
        <f>IF($K725=BI$3,IF($C725="X",0,$O725),0)</f>
        <v>0</v>
      </c>
      <c r="BJ725" s="133">
        <f>IF($K725=BJ$3,IF($C725="X",0,$O725),0)</f>
        <v>0</v>
      </c>
      <c r="BK725" s="133">
        <f>IF($K725=BK$3,IF($C725="X",0,$O725),0)</f>
        <v>0</v>
      </c>
      <c r="BL725" s="133">
        <f>IF($K725=BL$3,IF($C725="X",0,$O725),0)</f>
        <v>0</v>
      </c>
      <c r="BM725" s="135">
        <f>IF($K725=BM$3,IF($C725="X",0,$O725),0)</f>
        <v>0</v>
      </c>
      <c r="BN725" s="136">
        <f>IF($K725=BN$3,IF($C725="X",0,$O725),0)</f>
        <v>0</v>
      </c>
      <c r="BO725" s="136">
        <f>IF($K725=BO$3,IF($C725="X",0,$O725),0)</f>
        <v>0</v>
      </c>
      <c r="BP725" s="136">
        <f>IF($K725=BP$3,IF($C725="X",0,$O725),0)</f>
        <v>0</v>
      </c>
      <c r="BQ725" s="137">
        <f>IF($K725=BQ$3,IF($C725="X",0,$O725),0)</f>
        <v>0</v>
      </c>
      <c r="BR725" s="134">
        <f>IF($K725=BR$3,IF($C725="X",0,$O725),0)</f>
        <v>0</v>
      </c>
      <c r="BS725" s="282"/>
      <c r="BT725" s="283"/>
      <c r="BU725" s="140"/>
      <c r="BV725" s="283"/>
      <c r="BW725" s="140"/>
      <c r="BX725" s="140"/>
      <c r="BY725" s="140"/>
      <c r="BZ725" s="283"/>
      <c r="CA725" s="140"/>
      <c r="CB725" s="140"/>
      <c r="CC725" s="140"/>
      <c r="CD725" s="141"/>
      <c r="CE725" s="142"/>
      <c r="CF725" s="284">
        <f>IF(CF$3=$K725,IF($C725="W",1,IF($C725="1/2W",0.5,0)),0)</f>
        <v>0</v>
      </c>
      <c r="CG725" s="285">
        <f>IF(CF$3=$K725,IF($C725="L",1,IF($C725="1/2L",0.5,0)),0)</f>
        <v>0</v>
      </c>
      <c r="CH725" s="285">
        <f>IF(CH$3=$K725,IF($C725="W",1,IF($C725="1/2W",0.5,0)),0)</f>
        <v>0</v>
      </c>
      <c r="CI725" s="285">
        <f>IF(CH$3=$K725,IF($C725="L",1,IF($C725="1/2L",0.5,0)),0)</f>
        <v>1</v>
      </c>
      <c r="CJ725" s="285">
        <f>IF(CJ$3=$K725,IF($C725="W",1,IF($C725="1/2W",0.5,0)),0)</f>
        <v>0</v>
      </c>
      <c r="CK725" s="285">
        <f>IF(CJ$3=$K725,IF($C725="L",1,IF($C725="1/2L",0.5,0)),0)</f>
        <v>0</v>
      </c>
      <c r="CL725" s="285">
        <f>IF(CL$3=$K725,IF($C725="W",1,IF($C725="1/2W",0.5,0)),0)</f>
        <v>0</v>
      </c>
      <c r="CM725" s="285">
        <f>IF(CL$3=$K725,IF($C725="L",1,IF($C725="1/2L",0.5,0)),0)</f>
        <v>0</v>
      </c>
      <c r="CN725" s="285">
        <f>IF(CN$3=$K725,IF($C725="W",1,IF($C725="1/2W",0.5,0)),0)</f>
        <v>0</v>
      </c>
      <c r="CO725" s="285">
        <f>IF(CN$3=$K725,IF($C725="L",1,IF($C725="1/2L",0.5,0)),0)</f>
        <v>0</v>
      </c>
      <c r="CP725" s="285">
        <f>IF(CP$3=$K725,IF($C725="W",1,IF($C725="1/2W",0.5,0)),0)</f>
        <v>0</v>
      </c>
      <c r="CQ725" s="285">
        <f>IF(CP$3=$K725,IF($C725="L",1,IF($C725="1/2L",0.5,0)),0)</f>
        <v>0</v>
      </c>
      <c r="CR725" s="285">
        <f>IF(CR$3=$K725,IF($C725="W",1,IF($C725="1/2W",0.5,0)),0)</f>
        <v>0</v>
      </c>
      <c r="CS725" s="285">
        <f>IF(CR$3=$K725,IF($C725="L",1,IF($C725="1/2L",0.5,0)),0)</f>
        <v>0</v>
      </c>
      <c r="CT725" s="145">
        <f>IF(CT$3=$K725,IF($C725="W",1,IF($C725="1/2W",0.5,0)),0)</f>
        <v>0</v>
      </c>
      <c r="CU725" s="146">
        <f>IF(CT$3=$K725,IF($C725="L",1,IF($C725="1/2L",0.5,0)),0)</f>
        <v>0</v>
      </c>
      <c r="CV725" s="146">
        <f>IF(CV$3=$K725,IF($C725="W",1,IF($C725="1/2W",0.5,0)),0)</f>
        <v>0</v>
      </c>
      <c r="CW725" s="146">
        <f>IF(CV$3=$K725,IF($C725="L",1,IF($C725="1/2L",0.5,0)),0)</f>
        <v>0</v>
      </c>
      <c r="CX725" s="146">
        <f>IF(CX$3=$K725,IF($C725="W",1,IF($C725="1/2W",0.5,0)),0)</f>
        <v>0</v>
      </c>
      <c r="CY725" s="146">
        <f>IF(CX$3=$K725,IF($C725="L",1,IF($C725="1/2L",0.5,0)),0)</f>
        <v>0</v>
      </c>
      <c r="CZ725" s="146">
        <f>IF(CZ$3=$K725,IF($C725="W",1,IF($C725="1/2W",0.5,0)),0)</f>
        <v>0</v>
      </c>
      <c r="DA725" s="146">
        <f>IF(CZ$3=$K725,IF($C725="L",1,IF($C725="1/2L",0.5,0)),0)</f>
        <v>0</v>
      </c>
      <c r="DB725" s="146">
        <f>IF(DB$3=$K725,IF($C725="W",1,IF($C725="1/2W",0.5,0)),0)</f>
        <v>0</v>
      </c>
      <c r="DC725" s="146">
        <f>IF(DB$3=$K725,IF($C725="L",1,IF($C725="1/2L",0.5,0)),0)</f>
        <v>0</v>
      </c>
      <c r="DD725" s="146">
        <f>IF(DD$3=$K725,IF($C725="W",1,IF($C725="1/2W",0.5,0)),0)</f>
        <v>0</v>
      </c>
      <c r="DE725" s="147">
        <f>IF(DD$3=$K725,IF($C725="L",1,IF($C725="1/2L",0.5,0)),0)</f>
        <v>0</v>
      </c>
      <c r="DF725" s="143">
        <f>IF(AND(L725&lt;DF$3,$C725="W"),1+DF724,DF724)</f>
        <v>20</v>
      </c>
      <c r="DG725" s="133">
        <f>IF(DF725&gt;DF724,L725+DG724,DG724)</f>
        <v>26.624</v>
      </c>
      <c r="DH725" s="146">
        <f>IF(AND(L725&gt;DH$3,$C725="W"),1+DH724,0+DH724)</f>
        <v>18</v>
      </c>
      <c r="DI725" s="133">
        <f>IF(DH725&gt;DH724,L725+DI724,DI724)</f>
        <v>93.66</v>
      </c>
      <c r="DJ725" t="s" s="304">
        <f>IF($D724="","",$D724)</f>
        <v>481</v>
      </c>
      <c r="DK725" s="286"/>
    </row>
    <row r="726" ht="14.55" customHeight="1">
      <c r="A726" s="149"/>
      <c r="B726" s="150"/>
      <c r="C726" t="s" s="151">
        <v>58</v>
      </c>
      <c r="D726" s="152"/>
      <c r="E726" s="153"/>
      <c r="F726" s="155"/>
      <c r="G726" s="252"/>
      <c r="H726" s="156"/>
      <c r="I726" s="287"/>
      <c r="J726" s="288"/>
      <c r="K726" s="156"/>
      <c r="L726" s="289"/>
      <c r="M726" s="290"/>
      <c r="N726" s="161"/>
      <c r="O726" t="s" s="162">
        <f>IF(OR(AE724="",AE725=""),"",IF(L726&gt;0,ROUND(IF(M726&gt;0,M726,IF(M724&gt;0,ROUND((M724*AE726)/AE724,IF(N724=0,2,IF(N724=0.1,1,0))),IF(M725&gt;0,ROUND((M725*AE726)/AE725,IF(N724=0,2,IF(N724=0.1,1,0))),IF(M726&gt;0,M726,0)))),2),""))</f>
      </c>
      <c r="P726" t="s" s="163">
        <f>IF(I725="Lay",O725*(L725/(L725-1))-O725,IF(I724="Lay",O724*(L724/(L724-1))-O724,IF(OR(L726="",O726=""),"",IF($C726="1/2W",O726/2+O726/2*L726,IF($C726="1/2L",O726/2,(O726*L726-O726)*(1-_xlfn.XLOOKUP(K726,'Janeiro 2023 - Valor Real'!A3:A15,'Janeiro 2023 - Valor Real'!C3:C15,0))+O726)))))</f>
      </c>
      <c r="Q726" t="s" s="154">
        <f>IF(K726="","",IF(_xlfn.XLOOKUP(K726,K$121:K505,DJ$121:DJ505,0,,-1)=DJ726,_xlfn.XLOOKUP(K726,K$121:K505,Q$121:Q505,1,,-1)+1,1))</f>
      </c>
      <c r="R726" t="s" s="163">
        <f>IF(K726="","",_xlfn.XLOOKUP(K726,K$121:K505,R$121:R505,0,,-1)+IF($C726=" ",1,0))</f>
      </c>
      <c r="S726" s="166"/>
      <c r="T726" s="155"/>
      <c r="U726" s="155"/>
      <c r="V726" s="166"/>
      <c r="W726" s="155"/>
      <c r="X726" s="167"/>
      <c r="Y726" s="128"/>
      <c r="Z726" s="129"/>
      <c r="AA726" s="129"/>
      <c r="AB726" s="129"/>
      <c r="AC726" s="129"/>
      <c r="AD726" s="168"/>
      <c r="AE726" t="s" s="169">
        <f>IF(L726="","",(SUM(((L724-1)*(1-_xlfn.XLOOKUP(K724,'Janeiro 2023 - Valor Real'!A3:A15,'Janeiro 2023 - Valor Real'!C3:C15,0))+1),((L725-1)*(1-_xlfn.XLOOKUP(K725,'Janeiro 2023 - Valor Real'!A3:A15,'Janeiro 2023 - Valor Real'!C3:C15,0))+1),((L726-1)*(1-_xlfn.XLOOKUP(K726,'Janeiro 2023 - Valor Real'!A3:A15,'Janeiro 2023 - Valor Real'!C3:C15,0))+1))/((L726-1)*(1-_xlfn.XLOOKUP(K726,'Janeiro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Real'!C3:C15,0))+1))/((L724-1)*(1-_xlfn.XLOOKUP(K724,'Janeiro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Real'!C3:C15,0))+1))/((L725-1)*(1-_xlfn.XLOOKUP(K725,'Janeiro 2023 - Valor Real'!A3:A15,'Janeiro 2023 - Valor Real'!C3:C15,0))+1)+SUM(((L724-1)*(1-_xlfn.XLOOKUP(K724,'Janeiro 2023 - Valor Real'!A3:A15,'Janeiro 2023 - Valor Real'!C3:C15,0))+1),((L725-1)*(1-_xlfn.XLOOKUP(K725,'Janeiro 2023 - Valor Real'!A3:A15,'Janeiro 2023 - Valor Real'!C3:C15,0))+1),((L726-1)*(1-_xlfn.XLOOKUP(K726,'Janeiro 2023 - Valor Real'!A3:A15,'Janeiro 2023 - Valor Real'!C3:C15,0))+1))/((L726-1)*(1-_xlfn.XLOOKUP(K726,'Janeiro 2023 - Valor Real'!A3:A15,'Janeiro 2023 - Valor Real'!C3:C15,0))+1)))</f>
      </c>
      <c r="AF726" s="132">
        <f>IF($K726=AF$3,ROUND(IF(OR($C726="W",$C726="1/2W",$C726="1/2L"),$P726-$O726,IF($C726="X",0,-$O726)),2),0)</f>
        <v>0</v>
      </c>
      <c r="AG726" s="133">
        <f>IF($K726=AG$3,ROUND(IF(OR($C726="W",$C726="1/2W",$C726="1/2L"),$P726-$O726,IF($C726="X",0,-$O726)),2),0)</f>
        <v>0</v>
      </c>
      <c r="AH726" s="133">
        <f>IF($K726=AH$3,ROUND(IF(OR($C726="W",$C726="1/2W",$C726="1/2L"),$P726-$O726,IF($C726="X",0,-$O726)),2),0)</f>
        <v>0</v>
      </c>
      <c r="AI726" s="133">
        <f>IF($K726=AI$3,ROUND(IF(OR($C726="W",$C726="1/2W",$C726="1/2L"),$P726-$O726,IF($C726="X",0,-$O726)),2),0)</f>
        <v>0</v>
      </c>
      <c r="AJ726" s="133">
        <f>IF($K726=AJ$3,ROUND(IF(OR($C726="W",$C726="1/2W",$C726="1/2L"),$P726-$O726,IF($C726="X",0,-$O726)),2),0)</f>
        <v>0</v>
      </c>
      <c r="AK726" s="133">
        <f>IF($K726=AK$3,ROUND(IF(OR($C726="W",$C726="1/2W",$C726="1/2L"),$P726-$O726,IF($C726="X",0,-$O726)),2),0)</f>
        <v>0</v>
      </c>
      <c r="AL726" s="133">
        <f>IF($K726=AL$3,ROUND(IF(OR($C726="W",$C726="1/2W",$C726="1/2L"),$P726-$O726,IF($C726="X",0,-$O726)),2),0)</f>
        <v>0</v>
      </c>
      <c r="AM726" s="133">
        <f>IF($K726=AM$3,ROUND(IF(OR($C726="W",$C726="1/2W",$C726="1/2L"),$P726-$O726,IF($C726="X",0,-$O726)),2),0)</f>
        <v>0</v>
      </c>
      <c r="AN726" s="133">
        <f>IF($K726=AN$3,ROUND(IF(OR($C726="W",$C726="1/2W",$C726="1/2L"),$P726-$O726,IF($C726="X",0,-$O726)),2),0)</f>
        <v>0</v>
      </c>
      <c r="AO726" s="133">
        <f>IF($K726=AO$3,ROUND(IF(OR($C726="W",$C726="1/2W",$C726="1/2L"),$P726-$O726,IF($C726="X",0,-$O726)),2),0)</f>
        <v>0</v>
      </c>
      <c r="AP726" s="133">
        <f>IF($K726=AP$3,ROUND(IF(OR($C726="W",$C726="1/2W",$C726="1/2L"),$P726-$O726,IF($C726="X",0,-$O726)),2),0)</f>
        <v>0</v>
      </c>
      <c r="AQ726" s="133">
        <f>IF($K726=AQ$3,ROUND(IF(OR($C726="W",$C726="1/2W",$C726="1/2L"),$P726-$O726,IF($C726="X",0,-$O726)),2),0)</f>
        <v>0</v>
      </c>
      <c r="AR726" s="134">
        <f>IF($K726=AR$3,ROUND(IF(OR($C726="W",$C726="1/2W",$C726="1/2L"),$P726-$O726,IF($C726="X",0,-$O726)),2),0)</f>
        <v>0</v>
      </c>
      <c r="AS726" s="132">
        <f>IF(AND($B724=" ",$K726=AS$3),$O726,0)</f>
        <v>0</v>
      </c>
      <c r="AT726" s="133">
        <f>IF(AND($B724=" ",K726=AT$3),$O726,0)</f>
        <v>0</v>
      </c>
      <c r="AU726" s="133">
        <f>IF(AND($B724=" ",$K726=AU$3),$O726,0)</f>
        <v>0</v>
      </c>
      <c r="AV726" s="133">
        <f>IF(AND($B724=" ",$K726=AV$3),$O726,0)</f>
        <v>0</v>
      </c>
      <c r="AW726" s="133">
        <f>IF(AND($B724=" ",$K726=AW$3),$O726,0)</f>
        <v>0</v>
      </c>
      <c r="AX726" s="133">
        <f>IF(AND($B724=" ",$K726=AX$3),$O726,0)</f>
        <v>0</v>
      </c>
      <c r="AY726" s="135">
        <f>IF(AND($B724=" ",$K726=AY$3),$O726,0)</f>
        <v>0</v>
      </c>
      <c r="AZ726" s="136">
        <f>IF(AND($B724=" ",$K726=AZ$3),$O726,0)</f>
        <v>0</v>
      </c>
      <c r="BA726" s="136">
        <f>IF(AND($B724=" ",$K726=BA$3),$O726,0)</f>
        <v>0</v>
      </c>
      <c r="BB726" s="136">
        <f>IF(AND($B724=" ",$K726=BB$3),$O726,0)</f>
        <v>0</v>
      </c>
      <c r="BC726" s="137">
        <f>IF(AND($B724=" ",$K726=BC$3),$O726,0)</f>
        <v>0</v>
      </c>
      <c r="BD726" s="133">
        <f>IF(AND($B724=" ",$K726=BD$3),$O726,0)</f>
        <v>0</v>
      </c>
      <c r="BE726" s="134">
        <f>IF(AND($B724=" ",$K726=BE$3),$O726,0)</f>
        <v>0</v>
      </c>
      <c r="BF726" s="132">
        <f>IF($K726=BF$3,IF($C726="X",0,$O726),0)</f>
        <v>0</v>
      </c>
      <c r="BG726" s="281">
        <f>IF($K726=BG$3,IF($C726="X",0,$O726),0)</f>
        <v>0</v>
      </c>
      <c r="BH726" s="133">
        <f>IF($K726=BH$3,IF($C726="X",0,$O726),0)</f>
        <v>0</v>
      </c>
      <c r="BI726" s="133">
        <f>IF($K726=BI$3,IF($C726="X",0,$O726),0)</f>
        <v>0</v>
      </c>
      <c r="BJ726" s="133">
        <f>IF($K726=BJ$3,IF($C726="X",0,$O726),0)</f>
        <v>0</v>
      </c>
      <c r="BK726" s="133">
        <f>IF($K726=BK$3,IF($C726="X",0,$O726),0)</f>
        <v>0</v>
      </c>
      <c r="BL726" s="133">
        <f>IF($K726=BL$3,IF($C726="X",0,$O726),0)</f>
        <v>0</v>
      </c>
      <c r="BM726" s="135">
        <f>IF($K726=BM$3,IF($C726="X",0,$O726),0)</f>
        <v>0</v>
      </c>
      <c r="BN726" s="136">
        <f>IF($K726=BN$3,IF($C726="X",0,$O726),0)</f>
        <v>0</v>
      </c>
      <c r="BO726" s="136">
        <f>IF($K726=BO$3,IF($C726="X",0,$O726),0)</f>
        <v>0</v>
      </c>
      <c r="BP726" s="136">
        <f>IF($K726=BP$3,IF($C726="X",0,$O726),0)</f>
        <v>0</v>
      </c>
      <c r="BQ726" s="137">
        <f>IF($K726=BQ$3,IF($C726="X",0,$O726),0)</f>
        <v>0</v>
      </c>
      <c r="BR726" s="134">
        <f>IF($K726=BR$3,IF($C726="X",0,$O726),0)</f>
        <v>0</v>
      </c>
      <c r="BS726" s="282"/>
      <c r="BT726" s="283"/>
      <c r="BU726" s="140"/>
      <c r="BV726" s="283"/>
      <c r="BW726" s="140"/>
      <c r="BX726" s="140"/>
      <c r="BY726" s="140"/>
      <c r="BZ726" s="283"/>
      <c r="CA726" s="140"/>
      <c r="CB726" s="140"/>
      <c r="CC726" s="140"/>
      <c r="CD726" s="141"/>
      <c r="CE726" s="142"/>
      <c r="CF726" s="284">
        <f>IF(CF$3=$K726,IF($C726="W",1,IF($C726="1/2W",0.5,0)),0)</f>
        <v>0</v>
      </c>
      <c r="CG726" s="285">
        <f>IF(CF$3=$K726,IF($C726="L",1,IF($C726="1/2L",0.5,0)),0)</f>
        <v>0</v>
      </c>
      <c r="CH726" s="285">
        <f>IF(CH$3=$K726,IF($C726="W",1,IF($C726="1/2W",0.5,0)),0)</f>
        <v>0</v>
      </c>
      <c r="CI726" s="285">
        <f>IF(CH$3=$K726,IF($C726="L",1,IF($C726="1/2L",0.5,0)),0)</f>
        <v>0</v>
      </c>
      <c r="CJ726" s="285">
        <f>IF(CJ$3=$K726,IF($C726="W",1,IF($C726="1/2W",0.5,0)),0)</f>
        <v>0</v>
      </c>
      <c r="CK726" s="285">
        <f>IF(CJ$3=$K726,IF($C726="L",1,IF($C726="1/2L",0.5,0)),0)</f>
        <v>0</v>
      </c>
      <c r="CL726" s="285">
        <f>IF(CL$3=$K726,IF($C726="W",1,IF($C726="1/2W",0.5,0)),0)</f>
        <v>0</v>
      </c>
      <c r="CM726" s="285">
        <f>IF(CL$3=$K726,IF($C726="L",1,IF($C726="1/2L",0.5,0)),0)</f>
        <v>0</v>
      </c>
      <c r="CN726" s="285">
        <f>IF(CN$3=$K726,IF($C726="W",1,IF($C726="1/2W",0.5,0)),0)</f>
        <v>0</v>
      </c>
      <c r="CO726" s="285">
        <f>IF(CN$3=$K726,IF($C726="L",1,IF($C726="1/2L",0.5,0)),0)</f>
        <v>0</v>
      </c>
      <c r="CP726" s="285">
        <f>IF(CP$3=$K726,IF($C726="W",1,IF($C726="1/2W",0.5,0)),0)</f>
        <v>0</v>
      </c>
      <c r="CQ726" s="285">
        <f>IF(CP$3=$K726,IF($C726="L",1,IF($C726="1/2L",0.5,0)),0)</f>
        <v>0</v>
      </c>
      <c r="CR726" s="285">
        <f>IF(CR$3=$K726,IF($C726="W",1,IF($C726="1/2W",0.5,0)),0)</f>
        <v>0</v>
      </c>
      <c r="CS726" s="285">
        <f>IF(CR$3=$K726,IF($C726="L",1,IF($C726="1/2L",0.5,0)),0)</f>
        <v>0</v>
      </c>
      <c r="CT726" s="145">
        <f>IF(CT$3=$K726,IF($C726="W",1,IF($C726="1/2W",0.5,0)),0)</f>
        <v>0</v>
      </c>
      <c r="CU726" s="146">
        <f>IF(CT$3=$K726,IF($C726="L",1,IF($C726="1/2L",0.5,0)),0)</f>
        <v>0</v>
      </c>
      <c r="CV726" s="146">
        <f>IF(CV$3=$K726,IF($C726="W",1,IF($C726="1/2W",0.5,0)),0)</f>
        <v>0</v>
      </c>
      <c r="CW726" s="146">
        <f>IF(CV$3=$K726,IF($C726="L",1,IF($C726="1/2L",0.5,0)),0)</f>
        <v>0</v>
      </c>
      <c r="CX726" s="146">
        <f>IF(CX$3=$K726,IF($C726="W",1,IF($C726="1/2W",0.5,0)),0)</f>
        <v>0</v>
      </c>
      <c r="CY726" s="146">
        <f>IF(CX$3=$K726,IF($C726="L",1,IF($C726="1/2L",0.5,0)),0)</f>
        <v>0</v>
      </c>
      <c r="CZ726" s="146">
        <f>IF(CZ$3=$K726,IF($C726="W",1,IF($C726="1/2W",0.5,0)),0)</f>
        <v>0</v>
      </c>
      <c r="DA726" s="146">
        <f>IF(CZ$3=$K726,IF($C726="L",1,IF($C726="1/2L",0.5,0)),0)</f>
        <v>0</v>
      </c>
      <c r="DB726" s="146">
        <f>IF(DB$3=$K726,IF($C726="W",1,IF($C726="1/2W",0.5,0)),0)</f>
        <v>0</v>
      </c>
      <c r="DC726" s="146">
        <f>IF(DB$3=$K726,IF($C726="L",1,IF($C726="1/2L",0.5,0)),0)</f>
        <v>0</v>
      </c>
      <c r="DD726" s="146">
        <f>IF(DD$3=$K726,IF($C726="W",1,IF($C726="1/2W",0.5,0)),0)</f>
        <v>0</v>
      </c>
      <c r="DE726" s="147">
        <f>IF(DD$3=$K726,IF($C726="L",1,IF($C726="1/2L",0.5,0)),0)</f>
        <v>0</v>
      </c>
      <c r="DF726" s="143">
        <f>IF(AND(L726&lt;DF$3,$C726="W"),1+DF725,DF725)</f>
        <v>20</v>
      </c>
      <c r="DG726" s="133">
        <f>IF(DF726&gt;DF725,L726+DG725,DG725)</f>
        <v>26.624</v>
      </c>
      <c r="DH726" s="146">
        <f>IF(AND(L726&gt;DH$3,$C726="W"),1+DH725,0+DH725)</f>
        <v>18</v>
      </c>
      <c r="DI726" s="133">
        <f>IF(DH726&gt;DH725,L726+DI725,DI725)</f>
        <v>93.66</v>
      </c>
      <c r="DJ726" t="s" s="304">
        <f>IF($D724="","",$D724)</f>
        <v>481</v>
      </c>
      <c r="DK726" s="286"/>
    </row>
    <row r="727" ht="14.55" customHeight="1">
      <c r="A727" s="171">
        <f>$A724+1</f>
        <v>242</v>
      </c>
      <c r="B727" t="s" s="172">
        <f>IF(AND(_xlfn.XLOOKUP(H727,H$122:H500,G$122:G500,0)=G727,_xlfn.XLOOKUP("TempoBet",K727:K729,L727:L729,0)&gt;0),"X",IF(OR(C727="W",C728="W",C729="W",C727="1/2W",C728="1/2W",C729="1/2W",C727="1/2L",C728="1/2L",C729="1/2L"),"OK",IF(OR(C727="L",C728="L",C729="L"),"LOSS",IF(OR(C727="X",C728="X",C729="X"),"Anulado"," "))))</f>
        <v>50</v>
      </c>
      <c r="C727" t="s" s="173">
        <v>56</v>
      </c>
      <c r="D727" t="s" s="305">
        <f>IF(G727="","",$D724)</f>
        <v>481</v>
      </c>
      <c r="E727" t="s" s="175">
        <f>IF(G727=""," ","– "&amp;COUNTIF(D$4:D729,$D727))</f>
        <v>148</v>
      </c>
      <c r="F727" t="s" s="176">
        <f>IF(G727="","",IF(OR(AND($C727&lt;&gt;" ",$C728=" "),AND($C728&lt;&gt;" ",$C727=" "),AND(L729&gt;0,OR(AND($C729&lt;&gt;" ",OR($C727=" ",$C728=" ")),AND($C729=" ",OR($C727&lt;&gt;" ",$C728&lt;&gt;" "))))),IF(SUM(F$4:F726)=0,1,LARGE(F$4:F726,1)+1),IF(MONTH(G727)=MONTH(TODAY()),IF(AND(DAY(G727)&lt;DAY(TODAY()),$B727=" "),IF(SUM(F$4:F726)=0,1,LARGE(F$4:F726,1)+1),IF($B727=" ",IF(AND(DAY(G727)=DAY(TODAY()),HOUR(G727)&lt;=HOUR(NOW())+1),IF(AND(HOUR(G727)+2&lt;=HOUR(NOW()),DAY(G727)&lt;=DAY(TODAY()),MINUTE(G727)&lt;=MINUTE(NOW())),IF(SUM(F$4:F726)=0,1,LARGE(F$4:F726,1)+1),IF(OR(MINUTE(G727)&lt;=MINUTE(NOW()),HOUR(G727)&lt;=HOUR(NOW())),"!!!","")),""),"")),"")))</f>
      </c>
      <c r="G727" s="177">
        <v>44958.697916666664</v>
      </c>
      <c r="H727" t="s" s="178">
        <v>507</v>
      </c>
      <c r="I727" t="s" s="179">
        <v>67</v>
      </c>
      <c r="J727" s="291">
        <v>5</v>
      </c>
      <c r="K727" t="s" s="181">
        <v>41</v>
      </c>
      <c r="L727" s="182">
        <v>1.78</v>
      </c>
      <c r="M727" s="183">
        <v>8.550000000000001</v>
      </c>
      <c r="N727" s="184">
        <v>0</v>
      </c>
      <c r="O727" s="185">
        <f>IF(OR(AE727="",AE728=""),"",ROUND(IF(L729&gt;0,IF(M727&gt;0,M727,IF(M728&gt;0,ROUND((M728*AE727)/AE728,IF(N727=0,2,IF(N727=0.1,1,0))),ROUND((M729*AE727)/AE729,IF(N727=0,2,IF(N727=0.1,1,0))))),IF(M727&gt;0,M727,ROUND((M728*AE727)/AE728,IF(N727=0,2,IF(N727=0.1,1,0))))),2))</f>
        <v>8.550000000000001</v>
      </c>
      <c r="P727" s="186">
        <f>IF(OR(L727="",O727=""),"",IF($C727="1/2W",O727/2+O727/2*L727,IF($C727="1/2L",O727/2,IF(I727="Lay",(O727*(L727/(L727-1))-O727)*(1-_xlfn.XLOOKUP(K727,'Janeiro 2023 - Valor Real'!A3:A15,'Janeiro 2023 - Valor Real'!C3:C15,0))+O727,(O727*L727-O727)*(1-_xlfn.XLOOKUP(K727,'Janeiro 2023 - Valor Real'!A3:A15,'Janeiro 2023 - Valor Real'!C3:C15,0))+O727))))</f>
        <v>15.219</v>
      </c>
      <c r="Q727" s="187">
        <f>IF(K727="","",IF(_xlfn.XLOOKUP(K727,K$122:K500,DJ$122:DJ500,0,,-1)=DJ727,_xlfn.XLOOKUP(K727,K$122:K500,Q$122:Q500,1,,-1)+1,1))</f>
        <v>1</v>
      </c>
      <c r="R727" s="188">
        <f>IF(K727="","",_xlfn.XLOOKUP(K727,K$122:K500,R$122:R500,0,,-1)+IF($C727=" ",1,0))</f>
        <v>0</v>
      </c>
      <c r="S727" s="189">
        <f>IF($B727="Anulado",0,ROUND(IF(OR($B727="LOSS",$B727="OK"),IF(OR($C727="W",$C727="1/2W",$C727="1/2L"),P727-O727,IF($C727="L",-O727,0))+IF(OR($C728="W",$C728="1/2W",$C728="1/2L"),P728-O728,IF($C728="L",-O728,0))+IF(OR($C729="W",$C729="1/2W",$C729="1/2L"),P729-O729,IF($C729="L",-O729,0)),IF(AND(OR($C727="W",$C727="1/2W",$C727="1/2L"),C728="W"),P727+P728-SUM(O727:O729)+_xlfn.XLOOKUP("X",C727:C729,O727:O729,0),IF(AND(C727=TRUE,C729="W"),P727+P729-SUM(O727:O729),IF(AND(C728="W",C729="W"),P728+P729-SUM(O727:O729)+_xlfn.XLOOKUP("X",C727:C729,O727:O729,0),IF(L729&gt;0,IF(OR($C727="W",$C727="1/2W",$C727="1/2L"),P727-SUM(O727:O729)+_xlfn.XLOOKUP("X",C727:C729,O727:O729,0),IF(OR($C727="W",$C727="1/2W",$C727="1/2L"),P728-SUM(O727:O729)+_xlfn.XLOOKUP("X",C727:C729,O727:O729,0),IF(OR($C727="W",$C727="1/2W",$C727="1/2L"),P729-SUM(O727:O729)+_xlfn.XLOOKUP("X",C727:C729,O727:O729,0),IF(SUM(P727:P729)/3-SUM(O727:O729)+_xlfn.XLOOKUP("X",C727:C729,O727:O729,0)&gt;0,SUM(P727:P729)/3-SUM(O727:O729)+_xlfn.XLOOKUP("X",C727:C729,O727:O729,0),LARGE(P727:P729,1)-SUM(O727:O729))))),IF(OR($C727="W",$C727="1/2W",$C727="1/2L"),P727-SUM(O727:O728)+_xlfn.XLOOKUP("X",C727:C729,O727:O729,0),IF(OR($C727="W",$C727="1/2W",$C727="1/2L"),P728-SUM(O727:O728)+_xlfn.XLOOKUP("X",C727:C729,O727:O729,0),SUM(P727:P728)/2-SUM(O727:O728)+_xlfn.XLOOKUP("X",C727:C729,O727:O729,0)))))))),2))</f>
        <v>0.67</v>
      </c>
      <c r="T727" s="190">
        <f>IF(S727=0,0,S727/SUM(O727:O729))</f>
        <v>0.0460481099656357</v>
      </c>
      <c r="U727" s="191">
        <f>IF($D727=$D724,IF(OR($B727="LOSS",$B727="OK",$B727="Anulada"),S727,0)+U724,IF(OR($B727="LOSS",$B727="OK",$B727="Anulada"),S727,0))</f>
        <v>24.71</v>
      </c>
      <c r="V727" s="191">
        <f>IF($D727="",0,IF($D727=$D724,IF($B727=" ",IF(I729="",IF(OR(AND(I727="DNB1",I728="DNB2"),AND(OR(I727="DNB1",I727="DNB2"),J728=0),AND(OR(I728="DNB1",I728="DNB2"),J727=0),AND(I727="DNB2",I728="DNB1"),AND(IF(J727=0,(J727+1)/ROUND(J727+1,0),J727/ROUND(J727,0))=1,IF(J728=0,(J728+1)/ROUND(IF(J728="",0,J728)+1,0),IF(J728="",0,J728)/ROUND(IF(J728="",1,J728),0))=1,OR(J727&lt;&gt;""),J728&lt;&gt;"")),0,IF(S727&lt;0,IF(I729="",SMALL(P727:P728,1)-SUM(O727:O728),0),SMALL(P727:P728,1)-SUM(O727:O728))),IF(S727&lt;0,IF(I729="",SMALL(P727:P729,1)-SUM(O727:O729),0),LARGE(P727:P729,1)-SUM(O727:O729))),S727)+V724,IF(I729="",IF(OR(AND(I727="DNB1",I728="DNB2"),AND(OR(I727="DNB1",I727="DNB2"),J728=0),AND(OR(I728="DNB1",I728="DNB2"),J727=0),AND(I727="DNB2",I728="DNB1"),AND(IF(J727=0,(J727+1)/ROUND(J727+1,0),J727/ROUND(J727,0))=1,IF(J728=0,(IF(J728="",0,J728)+1)/ROUND(IF(J728="",0,J728)+1,0),IF(J728="",0,J728)/ROUND(IF(J728="",0,J728)+1,0))=1,OR(J727&lt;&gt;""),J728&lt;&gt;"")),0,IF(S727&lt;0,IF(I729="",SMALL(P727:P728,1)-SUM(O727:O728),0),SMALL(P727:P729,1)-SUM(O727:O729))),IF(S727&lt;0,IF(I729="",SMALL(P727:P729,1)-SUM(O727:O729),0),LARGE(P727:P729,1)-SUM(O727:O729)))))</f>
        <v>24.7076</v>
      </c>
      <c r="W727" s="191">
        <f>IF($D727=$D724,IF(S727&lt;0,IF(I729="",S727,0),S727)+W724,S727)</f>
        <v>24.71</v>
      </c>
      <c r="X727" t="s" s="192">
        <f>IF(OR(SUM(R727:R729)=0,V727=W727),ROUND(IF(W727=0,0,W727/Y727)*100,2)&amp;"%",ROUND(IF(V727=0,0,V727/Y727)*100,2)&amp;"% a "&amp;ROUND(IF(W727=0,0,W727/Y727)*100,2)&amp;"%")</f>
        <v>508</v>
      </c>
      <c r="Y727" s="193">
        <f>IF($D727=$D724,Y724+SUM(O727:O729),SUM(O727:O729))</f>
        <v>452.14</v>
      </c>
      <c r="Z727" s="191">
        <f>IF($B727=" ",SUM(O727:O729),0)+Z724</f>
        <v>0</v>
      </c>
      <c r="AA727" s="191">
        <f>IF(G727="","",IF($B727="Anulado",LARGE(P727:P729,1)-SUM(O727:O729)+AA724,AA724))</f>
        <v>27.7065076923077</v>
      </c>
      <c r="AB727" s="191">
        <f>IF($D727="","",AB724+S727)</f>
        <v>495.89</v>
      </c>
      <c r="AC727" s="194">
        <f>IF($D727="","",IF($B727=" ",IF(DAY(G727)=DAY(TODAY()),1+AC724,0+AC724),0+AC724))</f>
        <v>0</v>
      </c>
      <c r="AD727" s="195">
        <f>(((L728/(L728-1)-1)*(1-_xlfn.XLOOKUP(K728,'Janeiro 2023 - Valor Real'!A3:A15,'Janeiro 2023 - Valor Real'!C3:C15,0))+1))/(((L727-1)*(1-_xlfn.XLOOKUP(K727,'Janeiro 2023 - Valor Real'!A3:A15,'Janeiro 2023 - Valor Real'!C3:C15,0))+1)+((L728/(L728-1)-1)*(1-_xlfn.XLOOKUP(K728,'Janeiro 2023 - Valor Real'!A3:A15,'Janeiro 2023 - Valor Real'!C3:C15,0))+1))</f>
        <v>0.523092625669814</v>
      </c>
      <c r="AE727" s="196">
        <f>IF(L727="","",IF(L729&gt;0,(SUM(((L727-1)*(1-_xlfn.XLOOKUP(K727,'Janeiro 2023 - Valor Real'!A3:A15,'Janeiro 2023 - Valor Real'!C3:C15,0))+1),((L728-1)*(1-_xlfn.XLOOKUP(K728,'Janeiro 2023 - Valor Real'!A3:A15,'Janeiro 2023 - Valor Real'!C3:C15,0))+1),((L729-1)*(1-_xlfn.XLOOKUP(K729,'Janeiro 2023 - Valor Real'!A3:A15,'Janeiro 2023 - Valor Real'!C3:C15,0))+1))/((L727-1)*(1-_xlfn.XLOOKUP(K727,'Janeiro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Real'!C3:C15,0))+1))/((L727-1)*(1-_xlfn.XLOOKUP(K727,'Janeiro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Real'!C3:C15,0))+1))/((L728-1)*(1-_xlfn.XLOOKUP(K728,'Janeiro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Real'!C3:C15,0))+1))/((L729-1)*(1-_xlfn.XLOOKUP(K729,'Janeiro 2023 - Valor Real'!A3:A15,'Janeiro 2023 - Valor Real'!C3:C15,0))+1)),IF(I727="Lay",IF(I728="Lay",((L728/(L728-1)-1)*(1-_xlfn.XLOOKUP(K728,'Janeiro 2023 - Valor Real'!A3:A15,'Janeiro 2023 - Valor Real'!C3:C15,0))+1)/(((L728/(L728-1)-1)*(1-_xlfn.XLOOKUP(K728,'Janeiro 2023 - Valor Real'!A3:A15,'Janeiro 2023 - Valor Real'!C3:C15,0))+1)+((L727/(L727-1)-1)*(1-_xlfn.XLOOKUP(K727,'Janeiro 2023 - Valor Real'!A3:A15,'Janeiro 2023 - Valor Real'!C3:C15,0))+1)),((L728-1)*(1-_xlfn.XLOOKUP(K728,'Janeiro 2023 - Valor Real'!A3:A15,'Janeiro 2023 - Valor Real'!C3:C15,0))+1)/(((L728-1)*(1-_xlfn.XLOOKUP(K728,'Janeiro 2023 - Valor Real'!A3:A15,'Janeiro 2023 - Valor Real'!C3:C15,0))+1)+((L727/(L727-1)-1)*(1-_xlfn.XLOOKUP(K727,'Janeiro 2023 - Valor Real'!A3:A15,'Janeiro 2023 - Valor Real'!C3:C15,0))+1))),IF(I728="Lay",(((L728/(L728-1)-1)*(1-_xlfn.XLOOKUP(K728,'Janeiro 2023 - Valor Real'!A3:A15,'Janeiro 2023 - Valor Real'!C3:C15,0))+1))/(((L727-1)*(1-_xlfn.XLOOKUP(K727,'Janeiro 2023 - Valor Real'!A3:A15,'Janeiro 2023 - Valor Real'!C3:C15,0))+1)+((L728/(L728-1)-1)*(1-_xlfn.XLOOKUP(K728,'Janeiro 2023 - Valor Real'!A3:A15,'Janeiro 2023 - Valor Real'!C3:C15,0))+1)),((L728-1)*(1-_xlfn.XLOOKUP(K728,'Janeiro 2023 - Valor Real'!A3:A15,'Janeiro 2023 - Valor Real'!C3:C15,0))+1)/(((L728-1)*(1-_xlfn.XLOOKUP(K728,'Janeiro 2023 - Valor Real'!A3:A15,'Janeiro 2023 - Valor Real'!C3:C15,0))+1)+((L727-1)*(1-_xlfn.XLOOKUP(K727,'Janeiro 2023 - Valor Real'!A3:A15,'Janeiro 2023 - Valor Real'!C3:C15,0))+1))))))</f>
        <v>0.409418889318387</v>
      </c>
      <c r="AF727" s="197">
        <f>IF($K727=AF$3,ROUND(IF(OR($C727="W",$C727="1/2W",$C727="1/2L"),$P727-$O727,IF($C727="X",0,-$O727)),2),0)</f>
        <v>0</v>
      </c>
      <c r="AG727" s="198">
        <f>IF($K727=AG$3,ROUND(IF(OR($C727="W",$C727="1/2W",$C727="1/2L"),$P727-$O727,IF($C727="X",0,-$O727)),2),0)</f>
        <v>0</v>
      </c>
      <c r="AH727" s="198">
        <f>IF($K727=AH$3,ROUND(IF(OR($C727="W",$C727="1/2W",$C727="1/2L"),$P727-$O727,IF($C727="X",0,-$O727)),2),0)</f>
        <v>0</v>
      </c>
      <c r="AI727" s="198">
        <f>IF($K727=AI$3,ROUND(IF(OR($C727="W",$C727="1/2W",$C727="1/2L"),$P727-$O727,IF($C727="X",0,-$O727)),2),0)</f>
        <v>0</v>
      </c>
      <c r="AJ727" s="198">
        <f>IF($K727=AJ$3,ROUND(IF(OR($C727="W",$C727="1/2W",$C727="1/2L"),$P727-$O727,IF($C727="X",0,-$O727)),2),0)</f>
        <v>6.67</v>
      </c>
      <c r="AK727" s="198">
        <f>IF($K727=AK$3,ROUND(IF(OR($C727="W",$C727="1/2W",$C727="1/2L"),$P727-$O727,IF($C727="X",0,-$O727)),2),0)</f>
        <v>0</v>
      </c>
      <c r="AL727" s="198">
        <f>IF($K727=AL$3,ROUND(IF(OR($C727="W",$C727="1/2W",$C727="1/2L"),$P727-$O727,IF($C727="X",0,-$O727)),2),0)</f>
        <v>0</v>
      </c>
      <c r="AM727" s="198">
        <f>IF($K727=AM$3,ROUND(IF(OR($C727="W",$C727="1/2W",$C727="1/2L"),$P727-$O727,IF($C727="X",0,-$O727)),2),0)</f>
        <v>0</v>
      </c>
      <c r="AN727" s="198">
        <f>IF($K727=AN$3,ROUND(IF(OR($C727="W",$C727="1/2W",$C727="1/2L"),$P727-$O727,IF($C727="X",0,-$O727)),2),0)</f>
        <v>0</v>
      </c>
      <c r="AO727" s="198">
        <f>IF($K727=AO$3,ROUND(IF(OR($C727="W",$C727="1/2W",$C727="1/2L"),$P727-$O727,IF($C727="X",0,-$O727)),2),0)</f>
        <v>0</v>
      </c>
      <c r="AP727" s="198">
        <f>IF($K727=AP$3,ROUND(IF(OR($C727="W",$C727="1/2W",$C727="1/2L"),$P727-$O727,IF($C727="X",0,-$O727)),2),0)</f>
        <v>0</v>
      </c>
      <c r="AQ727" s="198">
        <f>IF($K727=AQ$3,ROUND(IF(OR($C727="W",$C727="1/2W",$C727="1/2L"),$P727-$O727,IF($C727="X",0,-$O727)),2),0)</f>
        <v>0</v>
      </c>
      <c r="AR727" s="199">
        <f>IF($K727=AR$3,ROUND(IF(OR($C727="W",$C727="1/2W",$C727="1/2L"),$P727-$O727,IF($C727="X",0,-$O727)),2),0)</f>
        <v>0</v>
      </c>
      <c r="AS727" s="197">
        <f>IF(AND($B727=" ",$K727=AS$3),$O727,0)</f>
        <v>0</v>
      </c>
      <c r="AT727" s="198">
        <f>IF(AND($B727=" ",$K727=AT$3),$O727,0)</f>
        <v>0</v>
      </c>
      <c r="AU727" s="198">
        <f>IF(AND($B727=" ",$K727=AU$3),$O727,0)</f>
        <v>0</v>
      </c>
      <c r="AV727" s="198">
        <f>IF(AND($B727=" ",$K727=AV$3),$O727,0)</f>
        <v>0</v>
      </c>
      <c r="AW727" s="198">
        <f>IF(AND($B727=" ",$K727=AW$3),$O727,0)</f>
        <v>0</v>
      </c>
      <c r="AX727" s="198">
        <f>IF(AND($B727=" ",$K727=AX$3),$O727,0)</f>
        <v>0</v>
      </c>
      <c r="AY727" s="200">
        <f>IF(AND($B727=" ",$K727=AY$3),$O727,0)</f>
        <v>0</v>
      </c>
      <c r="AZ727" s="201">
        <f>IF(AND($B727=" ",$K727=AZ$3),$O727,0)</f>
        <v>0</v>
      </c>
      <c r="BA727" s="201">
        <f>IF(AND($B727=" ",$K727=BA$3),$O727,0)</f>
        <v>0</v>
      </c>
      <c r="BB727" s="201">
        <f>IF(AND($B727=" ",$K727=BB$3),$O727,0)</f>
        <v>0</v>
      </c>
      <c r="BC727" s="202">
        <f>IF(AND($B727=" ",$K727=BC$3),$O727,0)</f>
        <v>0</v>
      </c>
      <c r="BD727" s="198">
        <f>IF(AND($B727=" ",$K727=BD$3),$O727,0)</f>
        <v>0</v>
      </c>
      <c r="BE727" s="199">
        <f>IF(AND($B727=" ",$K727=BE$3),$O727,0)</f>
        <v>0</v>
      </c>
      <c r="BF727" s="203">
        <f>IF($K727=BF$3,IF($C727="X",0,$O727),0)</f>
        <v>0</v>
      </c>
      <c r="BG727" s="198">
        <f>IF($K727=BG$3,IF($C727="X",0,$O727),0)</f>
        <v>0</v>
      </c>
      <c r="BH727" s="198">
        <f>IF($K727=BH$3,IF($C727="X",0,$O727),0)</f>
        <v>0</v>
      </c>
      <c r="BI727" s="198">
        <f>IF($K727=BI$3,IF($C727="X",0,$O727),0)</f>
        <v>0</v>
      </c>
      <c r="BJ727" s="198">
        <f>IF($K727=BJ$3,IF($C727="X",0,$O727),0)</f>
        <v>8.550000000000001</v>
      </c>
      <c r="BK727" s="198">
        <f>IF($K727=BK$3,IF($C727="X",0,$O727),0)</f>
        <v>0</v>
      </c>
      <c r="BL727" s="198">
        <f>IF($K727=BL$3,IF($C727="X",0,$O727),0)</f>
        <v>0</v>
      </c>
      <c r="BM727" s="200">
        <f>IF($K727=BM$3,IF($C727="X",0,$O727),0)</f>
        <v>0</v>
      </c>
      <c r="BN727" s="201">
        <f>IF($K727=BN$3,IF($C727="X",0,$O727),0)</f>
        <v>0</v>
      </c>
      <c r="BO727" s="201">
        <f>IF($K727=BO$3,IF($C727="X",0,$O727),0)</f>
        <v>0</v>
      </c>
      <c r="BP727" s="201">
        <f>IF($K727=BP$3,IF($C727="X",0,$O727),0)</f>
        <v>0</v>
      </c>
      <c r="BQ727" s="202">
        <f>IF($K727=BQ$3,IF($C727="X",0,$O727),0)</f>
        <v>0</v>
      </c>
      <c r="BR727" s="199">
        <f>IF($K727=BR$3,IF($C727="X",0,$O727),0)</f>
        <v>0</v>
      </c>
      <c r="BS727" s="204">
        <f>IF($B727="LOSS",IF(AND($K727=BS$3,$C727="L"),-$O727,0)+IF(AND($K728=BS$3,$C728="L"),-$O728,0)+IF(AND($K729=BS$3,$C729="L"),-$O729,0),IF(OR(AND($K727=BS$3,OR($C727="W",$C727="1/2W")),AND($K728=BS$3,OR($C728="W",$C728="1/2W")),AND($K729=BS$3,OR($C729="W",$C729="1/2W"))),$S727,0))</f>
        <v>0</v>
      </c>
      <c r="BT727" s="201">
        <f>IF($B727="LOSS",IF(AND($K727=BT$3,$C727="L"),-$O727,0)+IF(AND($K728=BT$3,$C728="L"),-$O728,0)+IF(AND($K728=BT$3,$C729="L"),-$O729,0),IF(OR(AND($K728=BT$3,OR($C727="W",$C727="1/2W")),AND($K728=BT$3,OR($C728="W",$C728="1/2W")),AND($K728=BT$3,OR($C729="W",$C729="1/2W"))),$S727,0))</f>
        <v>0.67</v>
      </c>
      <c r="BU727" s="201">
        <f>IF($B727="LOSS",IF(AND($K727=BU$3,$C727="L"),-$O727,0)+IF(AND($K728=BU$3,$C728="L"),-$O728,0)+IF(AND($K728=BU$3,$C729="L"),-$O729,0),IF(OR(AND($K728=BU$3,OR($C727="W",$C727="1/2W")),AND($K728=BU$3,OR($C728="W",$C728="1/2W")),AND($K728=BU$3,OR($C729="W",$C729="1/2W"))),$S727,0))</f>
        <v>0</v>
      </c>
      <c r="BV727" s="201">
        <f>IF($B727="LOSS",IF(AND($K727=BV$3,$C727="L"),-$O727,0)+IF(AND($K728=BV$3,$C728="L"),-$O728,0)+IF(AND($K729=BV$3,$C729="L"),-$O729,0),IF(OR(AND($K727=BV$3,OR($C727="W",$C727="1/2W")),AND($K728=BV$3,OR($C728="W",$C728="1/2W")),AND($K729=BV$3,OR($C729="W",$C729="1/2W"))),$S727,0))</f>
        <v>0</v>
      </c>
      <c r="BW727" s="201">
        <f>IF($B727="LOSS",IF(AND($K727=BW$3,$C727="L"),-$O727,0)+IF(AND($K728=BW$3,$C728="L"),-$O728,0)+IF(AND($K729=BW$3,$C729="L"),-$O729,0),IF(OR(AND($K727=BW$3,OR($C727="W",$C727="1/2W")),AND($K728=BW$3,OR($C728="W",$C728="1/2W")),AND($K729=BW$3,OR($C729="W",$C729="1/2W"))),$S727,0))</f>
        <v>0.67</v>
      </c>
      <c r="BX727" s="201">
        <f>IF($B727="LOSS",IF(AND($K727=BX$3,$C727="L"),-$O727,0)+IF(AND($K728=BX$3,$C728="L"),-$O728,0)+IF(AND($K729=BX$3,$C729="L"),-$O729,0),IF(OR(AND($K727=BX$3,OR($C727="W",$C727="1/2W")),AND($K728=BX$3,OR($C728="W",$C728="1/2W")),AND($K729=BX$3,OR($C729="W",$C729="1/2W"))),$S727,0))</f>
        <v>0</v>
      </c>
      <c r="BY727" s="201">
        <f>IF($B727="LOSS",IF(AND($K727=BY$3,$C727="L"),-$O727,0)+IF(AND($K728=BY$3,$C728="L"),-$O728,0)+IF(AND($K729=BY$3,$C729="L"),-$O729,0),IF(OR(AND($K727=BY$3,OR($C727="W",$C727="1/2W")),AND($K728=BY$3,OR($C728="W",$C728="1/2W")),AND($K729=BY$3,OR($C729="W",$C729="1/2W"))),$S727,0))</f>
        <v>0</v>
      </c>
      <c r="BZ727" s="205">
        <f>IF($B727="LOSS",IF(AND($K727=BZ$3,$C727="L"),-$O727,0)+IF(AND($K728=BZ$3,$C728="L"),-$O728,0)+IF(AND($K729=BZ$3,$C729="L"),-$O729,0),IF(OR(AND($K727=BZ$3,OR($C727="W",$C727="1/2W")),AND($K728=BZ$3,OR($C728="W",$C728="1/2W")),AND($K729=BZ$3,OR($C729="W",$C729="1/2W"))),$S727,0))</f>
        <v>0</v>
      </c>
      <c r="CA727" s="205">
        <f>IF($B727="LOSS",IF(AND($K727=CA$3,$C727="L"),-$O727,0)+IF(AND($K728=CA$3,$C728="L"),-$O728,0)+IF(AND($K729=CA$3,$C729="L"),-$O729,0),IF(OR(AND($K727=CA$3,OR($C727="W",$C727="1/2W")),AND($K728=CA$3,OR($C728="W",$C728="1/2W")),AND($K729=CA$3,OR($C729="W",$C729="1/2W"))),$S727,0))</f>
        <v>0</v>
      </c>
      <c r="CB727" s="205">
        <f>IF($B727="LOSS",IF(AND($K727=CB$3,$C727="L"),-$O727,0)+IF(AND($K728=CB$3,$C728="L"),-$O728,0)+IF(AND($K729=CB$3,$C729="L"),-$O729,0),IF(OR(AND($K727=CB$3,OR($C727="W",$C727="1/2W")),AND($K728=CB$3,OR($C728="W",$C728="1/2W")),AND($K729=CB$3,OR($C729="W",$C729="1/2W"))),$S727,0))</f>
        <v>0</v>
      </c>
      <c r="CC727" s="205">
        <f>IF($B727="LOSS",IF(AND($K727=CC$3,$C727="L"),-$O727,0)+IF(AND($K728=CC$3,$C728="L"),-$O728,0)+IF(AND($K729=CC$3,$C729="L"),-$O729,0),IF(OR(AND($K727=CC$3,OR($C727="W",$C727="1/2W")),AND($K728=CC$3,OR($C728="W",$C728="1/2W")),AND($K729=CC$3,OR($C729="W",$C729="1/2W"))),$S727,0))</f>
        <v>0</v>
      </c>
      <c r="CD727" s="202">
        <f>IF($B727="LOSS",IF(AND($K727=CD$3,$C727="L"),-$O727,0)+IF(AND($K728=CD$3,$C728="L"),-$O728,0)+IF(AND($K729=CD$3,$C729="L"),-$O729,0),IF(OR(AND($K727=CD$3,OR($C727="W",$C727="1/2W")),AND($K728=CD$3,OR($C728="W",$C728="1/2W")),AND($K729=CD$3,OR($C729="W",$C729="1/2W"))),$S727,0))</f>
        <v>0</v>
      </c>
      <c r="CE727" s="199">
        <f>IF($B727="LOSS",IF(AND($K727=CE$3,$C727="L"),-$O727,0)+IF(AND($K728=CE$3,$C728="L"),-$O728,0)+IF(AND($K729=CE$3,$C729="L"),-$O729,0),IF(OR(AND($K727=CE$3,OR($C727="W",$C727="1/2W")),AND($K728=CE$3,OR($C728="W",$C728="1/2W")),AND($K729=CE$3,OR($C729="W",$C729="1/2W"))),$S727,0))</f>
        <v>0</v>
      </c>
      <c r="CF727" s="206">
        <f>IF(CF$3=$K727,IF($C727="W",1,IF($C727="1/2W",0.5,0)),0)</f>
        <v>0</v>
      </c>
      <c r="CG727" s="207">
        <f>IF(CF$3=$K727,IF($C727="L",1,IF($C727="1/2L",0.5,0)),0)</f>
        <v>0</v>
      </c>
      <c r="CH727" s="207">
        <f>IF(CH$3=$K727,IF($C727="W",1,IF($C727="1/2W",0.5,0)),0)</f>
        <v>0</v>
      </c>
      <c r="CI727" s="207">
        <f>IF(CH$3=$K727,IF($C727="L",1,IF($C727="1/2L",0.5,0)),0)</f>
        <v>0</v>
      </c>
      <c r="CJ727" s="207">
        <f>IF(CJ$3=$K727,IF($C727="W",1,IF($C727="1/2W",0.5,0)),0)</f>
        <v>0</v>
      </c>
      <c r="CK727" s="207">
        <f>IF(CJ$3=$K727,IF($C727="L",1,IF($C727="1/2L",0.5,0)),0)</f>
        <v>0</v>
      </c>
      <c r="CL727" s="207">
        <f>IF(CL$3=$K727,IF($C727="W",1,IF($C727="1/2W",0.5,0)),0)</f>
        <v>0</v>
      </c>
      <c r="CM727" s="207">
        <f>IF(CL$3=$K727,IF($C727="L",1,IF($C727="1/2L",0.5,0)),0)</f>
        <v>0</v>
      </c>
      <c r="CN727" s="207">
        <f>IF(CN$3=$K727,IF($C727="W",1,IF($C727="1/2W",0.5,0)),0)</f>
        <v>1</v>
      </c>
      <c r="CO727" s="207">
        <f>IF(CN$3=$K727,IF($C727="L",1,IF($C727="1/2L",0.5,0)),0)</f>
        <v>0</v>
      </c>
      <c r="CP727" s="207">
        <f>IF(CP$3=$K727,IF($C727="W",1,IF($C727="1/2W",0.5,0)),0)</f>
        <v>0</v>
      </c>
      <c r="CQ727" s="207">
        <f>IF(CP$3=$K727,IF($C727="L",1,IF($C727="1/2L",0.5,0)),0)</f>
        <v>0</v>
      </c>
      <c r="CR727" s="207">
        <f>IF(CR$3=$K727,IF($C727="W",1,IF($C727="1/2W",0.5,0)),0)</f>
        <v>0</v>
      </c>
      <c r="CS727" s="207">
        <f>IF(CR$3=$K727,IF($C727="L",1,IF($C727="1/2L",0.5,0)),0)</f>
        <v>0</v>
      </c>
      <c r="CT727" s="208">
        <f>IF(CT$3=$K727,IF($C727="W",1,IF($C727="1/2W",0.5,0)),0)</f>
        <v>0</v>
      </c>
      <c r="CU727" s="209">
        <f>IF(CT$3=$K727,IF($C727="L",1,IF($C727="1/2L",0.5,0)),0)</f>
        <v>0</v>
      </c>
      <c r="CV727" s="209">
        <f>IF(CV$3=$K727,IF($C727="W",1,IF($C727="1/2W",0.5,0)),0)</f>
        <v>0</v>
      </c>
      <c r="CW727" s="209">
        <f>IF(CV$3=$K727,IF($C727="L",1,IF($C727="1/2L",0.5,0)),0)</f>
        <v>0</v>
      </c>
      <c r="CX727" s="209">
        <f>IF(CX$3=$K727,IF($C727="W",1,IF($C727="1/2W",0.5,0)),0)</f>
        <v>0</v>
      </c>
      <c r="CY727" s="209">
        <f>IF(CX$3=$K727,IF($C727="L",1,IF($C727="1/2L",0.5,0)),0)</f>
        <v>0</v>
      </c>
      <c r="CZ727" s="209">
        <f>IF(CZ$3=$K727,IF($C727="W",1,IF($C727="1/2W",0.5,0)),0)</f>
        <v>0</v>
      </c>
      <c r="DA727" s="209">
        <f>IF(CZ$3=$K727,IF($C727="L",1,IF($C727="1/2L",0.5,0)),0)</f>
        <v>0</v>
      </c>
      <c r="DB727" s="209">
        <f>IF(DB$3=$K727,IF($C727="W",1,IF($C727="1/2W",0.5,0)),0)</f>
        <v>0</v>
      </c>
      <c r="DC727" s="209">
        <f>IF(DB$3=$K727,IF($C727="L",1,IF($C727="1/2L",0.5,0)),0)</f>
        <v>0</v>
      </c>
      <c r="DD727" s="209">
        <f>IF(DD$3=$K727,IF($C727="W",1,IF($C727="1/2W",0.5,0)),0)</f>
        <v>0</v>
      </c>
      <c r="DE727" s="210">
        <f>IF(DD$3=$K727,IF($C727="L",1,IF($C727="1/2L",0.5,0)),0)</f>
        <v>0</v>
      </c>
      <c r="DF727" s="211">
        <f>IF(AND(L727&lt;DF$3,$C727="W"),1+DF726,DF726)</f>
        <v>20</v>
      </c>
      <c r="DG727" s="198">
        <f>IF(DF727&gt;DF726,L727+DG726,DG726)</f>
        <v>26.624</v>
      </c>
      <c r="DH727" s="209">
        <f>IF(AND(L727&gt;DH$3,$C727="W"),1+DH726,0+DH726)</f>
        <v>18</v>
      </c>
      <c r="DI727" s="198">
        <f>IF(DH727&gt;DH726,L727+DI726,DI726)</f>
        <v>93.66</v>
      </c>
      <c r="DJ727" t="s" s="306">
        <f>IF($D727="","",$D727)</f>
        <v>481</v>
      </c>
      <c r="DK727" s="209">
        <f>IF(AND($B727=" ",$D727&lt;&gt;""),1,0)</f>
        <v>0</v>
      </c>
    </row>
    <row r="728" ht="14.55" customHeight="1">
      <c r="A728" s="107"/>
      <c r="B728" s="108"/>
      <c r="C728" t="s" s="213">
        <v>51</v>
      </c>
      <c r="D728" s="110"/>
      <c r="E728" s="111"/>
      <c r="F728" s="113"/>
      <c r="G728" s="214"/>
      <c r="H728" s="114"/>
      <c r="I728" t="s" s="215">
        <v>65</v>
      </c>
      <c r="J728" s="296">
        <v>4.5</v>
      </c>
      <c r="K728" t="s" s="217">
        <v>38</v>
      </c>
      <c r="L728" s="218">
        <v>2.05</v>
      </c>
      <c r="M728" s="219">
        <v>3.25</v>
      </c>
      <c r="N728" s="120"/>
      <c r="O728" s="220">
        <f>IF(OR(AE727="",AE728=""),"",ROUND(IF(L729&gt;0,IF(M728&gt;0,M728,IF(M727&gt;0,IF(N727=TRUE,ROUND((M727*AE728)/AE727,0),(M727*AE728)/AE727),IF(M728&gt;0,ROUND(M728,IF(N727=0,2,IF(N727=0.1,1,0))),IF(M729&gt;0,ROUND(O729*AE728/AE729,IF(N727=0,2,IF(N727=0.1,1,0))),0)))),IF(M728&gt;0,M728,ROUND((M727*AE728)/AE727,IF(N727=0,2,IF(N727=0.1,1,0))))),2))</f>
        <v>3.25</v>
      </c>
      <c r="P728" s="221">
        <f>IF(OR(L728="",O728=""),"",IF($C728="1/2W",O728/2+O728/2*L728,IF($C728="1/2L",O728/2,IF(I728="Lay",((O728*(L728/(L728-1)))-O728)*(1-_xlfn.XLOOKUP(K728,'Janeiro 2023 - Valor Real'!A3:A15,'Janeiro 2023 - Valor Real'!C3:C15,0))+O728,(O728*L728-O728)*(1-_xlfn.XLOOKUP(K728,'Janeiro 2023 - Valor Real'!A3:A15,'Janeiro 2023 - Valor Real'!C3:C15,0))+O728))))</f>
        <v>6.6625</v>
      </c>
      <c r="Q728" s="222">
        <f>IF(K728="","",IF(_xlfn.XLOOKUP(K728,K$123:K501,DJ$123:DJ501,0,,-1)=DJ728,_xlfn.XLOOKUP(K728,K$123:K501,Q$123:Q501,1,,-1)+1,1))</f>
        <v>1</v>
      </c>
      <c r="R728" s="223">
        <f>IF(K728="","",_xlfn.XLOOKUP(K728,K$123:K501,R$123:R501,0,,-1)+IF($C728=" ",1,0))</f>
        <v>0</v>
      </c>
      <c r="S728" s="125"/>
      <c r="T728" s="126"/>
      <c r="U728" s="126"/>
      <c r="V728" s="224"/>
      <c r="W728" s="126"/>
      <c r="X728" s="127"/>
      <c r="Y728" s="128"/>
      <c r="Z728" s="129"/>
      <c r="AA728" s="129"/>
      <c r="AB728" s="129"/>
      <c r="AC728" s="129"/>
      <c r="AD728" s="225">
        <f>(((L728/(L728-1)-1)*(1-_xlfn.XLOOKUP(K728,'Janeiro 2023 - Valor Real'!A3:A15,'Janeiro 2023 - Valor Real'!C3:C15,0))+1))</f>
        <v>1.95238095238095</v>
      </c>
      <c r="AE728" s="226">
        <f>IF(L728="","",IF(L729&gt;0,(SUM(((L727-1)*(1-_xlfn.XLOOKUP(K727,'Janeiro 2023 - Valor Real'!A3:A15,'Janeiro 2023 - Valor Real'!C3:C15,0))+1),((L728-1)*(1-_xlfn.XLOOKUP(K728,'Janeiro 2023 - Valor Real'!A3:A15,'Janeiro 2023 - Valor Real'!C3:C15,0))+1),((L729-1)*(1-_xlfn.XLOOKUP(K729,'Janeiro 2023 - Valor Real'!A3:A15,'Janeiro 2023 - Valor Real'!C3:C15,0))+1))/((L728-1)*(1-_xlfn.XLOOKUP(K728,'Janeiro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Real'!C3:C15,0))+1))/((L727-1)*(1-_xlfn.XLOOKUP(K727,'Janeiro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Real'!C3:C15,0))+1))/((L728-1)*(1-_xlfn.XLOOKUP(K728,'Janeiro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Real'!C3:C15,0))+1))/((L729-1)*(1-_xlfn.XLOOKUP(K729,'Janeiro 2023 - Valor Real'!A3:A15,'Janeiro 2023 - Valor Real'!C3:C15,0))+1)),IF(I728="Lay",IF(I727="Lay",((L727/(L727-1)-1)*(1-_xlfn.XLOOKUP(K727,'Janeiro 2023 - Valor Real'!A3:A15,'Janeiro 2023 - Valor Real'!C3:C15,0))+1)/(((L727/(L727-1)-1)*(1-_xlfn.XLOOKUP(K727,'Janeiro 2023 - Valor Real'!A3:A15,'Janeiro 2023 - Valor Real'!C3:C15,0))+1)+((L728/(L728-1)-1)*(1-_xlfn.XLOOKUP(K728,'Janeiro 2023 - Valor Real'!A3:A15,'Janeiro 2023 - Valor Real'!C3:C15,0))+1)),((L727-1)*(1-_xlfn.XLOOKUP(K727,'Janeiro 2023 - Valor Real'!A3:A15,'Janeiro 2023 - Valor Real'!C3:C15,0))+1)/(((L727-1)*(1-_xlfn.XLOOKUP(K727,'Janeiro 2023 - Valor Real'!A3:A15,'Janeiro 2023 - Valor Real'!C3:C15,0))+1)+((L728/(L728-1)-1)*(1-_xlfn.XLOOKUP(K728,'Janeiro 2023 - Valor Real'!A3:A15,'Janeiro 2023 - Valor Real'!C3:C15,0))+1))),IF(I727="Lay",((L727/(L727-1)-1)*(1-_xlfn.XLOOKUP(K727,'Janeiro 2023 - Valor Real'!A3:A15,'Janeiro 2023 - Valor Real'!C3:C15,0))+1)/((((L727/(L727-1)-1)*(1-_xlfn.XLOOKUP(K727,'Janeiro 2023 - Valor Real'!A3:A15,'Janeiro 2023 - Valor Real'!C3:C15,0))+1))+((L728-1)*(1-_xlfn.XLOOKUP(K728,'Janeiro 2023 - Valor Real'!A3:A15,'Janeiro 2023 - Valor Real'!C3:C15,0))+1)),((L727-1)*(1-_xlfn.XLOOKUP(K727,'Janeiro 2023 - Valor Real'!A3:A15,'Janeiro 2023 - Valor Real'!C3:C15,0))+1)/(((L727-1)*(1-_xlfn.XLOOKUP(K727,'Janeiro 2023 - Valor Real'!A3:A15,'Janeiro 2023 - Valor Real'!C3:C15,0))+1)+((L728-1)*(1-_xlfn.XLOOKUP(K728,'Janeiro 2023 - Valor Real'!A3:A15,'Janeiro 2023 - Valor Real'!C3:C15,0))+1))))))</f>
        <v>0.355495425847185</v>
      </c>
      <c r="AF728" s="197">
        <f>IF($K728=AF$3,ROUND(IF(OR($C728="W",$C728="1/2W",$C728="1/2L"),$P728-$O728,IF($C728="X",0,-$O728)),2),0)</f>
        <v>0</v>
      </c>
      <c r="AG728" s="198">
        <f>IF($K728=AG$3,ROUND(IF(OR($C728="W",$C728="1/2W",$C728="1/2L"),$P728-$O728,IF($C728="X",0,-$O728)),2),0)</f>
        <v>-3.25</v>
      </c>
      <c r="AH728" s="198">
        <f>IF($K728=AH$3,ROUND(IF(OR($C728="W",$C728="1/2W",$C728="1/2L"),$P728-$O728,IF($C728="X",0,-$O728)),2),0)</f>
        <v>0</v>
      </c>
      <c r="AI728" s="198">
        <f>IF($K728=AI$3,ROUND(IF(OR($C728="W",$C728="1/2W",$C728="1/2L"),$P728-$O728,IF($C728="X",0,-$O728)),2),0)</f>
        <v>0</v>
      </c>
      <c r="AJ728" s="198">
        <f>IF($K728=AJ$3,ROUND(IF(OR($C728="W",$C728="1/2W",$C728="1/2L"),$P728-$O728,IF($C728="X",0,-$O728)),2),0)</f>
        <v>0</v>
      </c>
      <c r="AK728" s="198">
        <f>IF($K728=AK$3,ROUND(IF(OR($C728="W",$C728="1/2W",$C728="1/2L"),$P728-$O728,IF($C728="X",0,-$O728)),2),0)</f>
        <v>0</v>
      </c>
      <c r="AL728" s="198">
        <f>IF($K728=AL$3,ROUND(IF(OR($C728="W",$C728="1/2W",$C728="1/2L"),$P728-$O728,IF($C728="X",0,-$O728)),2),0)</f>
        <v>0</v>
      </c>
      <c r="AM728" s="198">
        <f>IF($K728=AM$3,ROUND(IF(OR($C728="W",$C728="1/2W",$C728="1/2L"),$P728-$O728,IF($C728="X",0,-$O728)),2),0)</f>
        <v>0</v>
      </c>
      <c r="AN728" s="198">
        <f>IF($K728=AN$3,ROUND(IF(OR($C728="W",$C728="1/2W",$C728="1/2L"),$P728-$O728,IF($C728="X",0,-$O728)),2),0)</f>
        <v>0</v>
      </c>
      <c r="AO728" s="198">
        <f>IF($K728=AO$3,ROUND(IF(OR($C728="W",$C728="1/2W",$C728="1/2L"),$P728-$O728,IF($C728="X",0,-$O728)),2),0)</f>
        <v>0</v>
      </c>
      <c r="AP728" s="198">
        <f>IF($K728=AP$3,ROUND(IF(OR($C728="W",$C728="1/2W",$C728="1/2L"),$P728-$O728,IF($C728="X",0,-$O728)),2),0)</f>
        <v>0</v>
      </c>
      <c r="AQ728" s="198">
        <f>IF($K728=AQ$3,ROUND(IF(OR($C728="W",$C728="1/2W",$C728="1/2L"),$P728-$O728,IF($C728="X",0,-$O728)),2),0)</f>
        <v>0</v>
      </c>
      <c r="AR728" s="199">
        <f>IF($K728=AR$3,ROUND(IF(OR($C728="W",$C728="1/2W",$C728="1/2L"),$P728-$O728,IF($C728="X",0,-$O728)),2),0)</f>
        <v>0</v>
      </c>
      <c r="AS728" s="197">
        <f>IF(AND($B727=" ",$K728=AS$3),$O728,0)</f>
        <v>0</v>
      </c>
      <c r="AT728" s="198">
        <f>IF(AND($B727=" ",K728=AT$3),$O728,0)</f>
        <v>0</v>
      </c>
      <c r="AU728" s="198">
        <f>IF(AND($B727=" ",$K728=AU$3),$O728,0)</f>
        <v>0</v>
      </c>
      <c r="AV728" s="198">
        <f>IF(AND($B727=" ",$K728=AV$3),$O728,0)</f>
        <v>0</v>
      </c>
      <c r="AW728" s="198">
        <f>IF(AND($B727=" ",$K728=AW$3),$O728,0)</f>
        <v>0</v>
      </c>
      <c r="AX728" s="198">
        <f>IF(AND($B727=" ",$K728=AX$3),$O728,0)</f>
        <v>0</v>
      </c>
      <c r="AY728" s="200">
        <f>IF(AND($B727=" ",$K728=AY$3),$O728,0)</f>
        <v>0</v>
      </c>
      <c r="AZ728" s="201">
        <f>IF(AND($B727=" ",$K728=AZ$3),$O728,0)</f>
        <v>0</v>
      </c>
      <c r="BA728" s="201">
        <f>IF(AND($B727=" ",$K728=BA$3),$O728,0)</f>
        <v>0</v>
      </c>
      <c r="BB728" s="201">
        <f>IF(AND($B727=" ",$K728=BB$3),$O728,0)</f>
        <v>0</v>
      </c>
      <c r="BC728" s="202">
        <f>IF(AND($B727=" ",$K728=BC$3),$O728,0)</f>
        <v>0</v>
      </c>
      <c r="BD728" s="198">
        <f>IF(AND($B727=" ",$K728=BD$3),$O728,0)</f>
        <v>0</v>
      </c>
      <c r="BE728" s="199">
        <f>IF(AND($B727=" ",$K728=BE$3),$O728,0)</f>
        <v>0</v>
      </c>
      <c r="BF728" s="197">
        <f>IF($K728=BF$3,IF($C728="X",0,$O728),0)</f>
        <v>0</v>
      </c>
      <c r="BG728" s="198">
        <f>IF($K728=BG$3,IF($C728="X",0,$O728),0)</f>
        <v>3.25</v>
      </c>
      <c r="BH728" s="198">
        <f>IF($K728=BH$3,IF($C728="X",0,$O728),0)</f>
        <v>0</v>
      </c>
      <c r="BI728" s="198">
        <f>IF($K728=BI$3,IF($C728="X",0,$O728),0)</f>
        <v>0</v>
      </c>
      <c r="BJ728" s="198">
        <f>IF($K728=BJ$3,IF($C728="X",0,$O728),0)</f>
        <v>0</v>
      </c>
      <c r="BK728" s="198">
        <f>IF($K728=BK$3,IF($C728="X",0,$O728),0)</f>
        <v>0</v>
      </c>
      <c r="BL728" s="198">
        <f>IF($K728=BL$3,IF($C728="X",0,$O728),0)</f>
        <v>0</v>
      </c>
      <c r="BM728" s="227">
        <f>IF($K728=BM$3,IF($C728="X",0,$O728),0)</f>
        <v>0</v>
      </c>
      <c r="BN728" s="205">
        <f>IF($K728=BN$3,IF($C728="X",0,$O728),0)</f>
        <v>0</v>
      </c>
      <c r="BO728" s="205">
        <f>IF($K728=BO$3,IF($C728="X",0,$O728),0)</f>
        <v>0</v>
      </c>
      <c r="BP728" s="205">
        <f>IF($K728=BP$3,IF($C728="X",0,$O728),0)</f>
        <v>0</v>
      </c>
      <c r="BQ728" s="202">
        <f>IF($K728=BQ$3,IF($C728="X",0,$O728),0)</f>
        <v>0</v>
      </c>
      <c r="BR728" s="199">
        <f>IF($K728=BR$3,IF($C728="X",0,$O728),0)</f>
        <v>0</v>
      </c>
      <c r="BS728" s="228"/>
      <c r="BT728" s="229"/>
      <c r="BU728" s="140"/>
      <c r="BV728" s="229"/>
      <c r="BW728" s="140"/>
      <c r="BX728" s="140"/>
      <c r="BY728" s="140"/>
      <c r="BZ728" s="229"/>
      <c r="CA728" s="140"/>
      <c r="CB728" s="140"/>
      <c r="CC728" s="140"/>
      <c r="CD728" s="141"/>
      <c r="CE728" s="142"/>
      <c r="CF728" s="230">
        <f>IF(CF$3=$K728,IF($C728="W",1,IF($C728="1/2W",0.5,0)),0)</f>
        <v>0</v>
      </c>
      <c r="CG728" s="231">
        <f>IF(CF$3=$K728,IF($C728="L",1,IF($C728="1/2L",0.5,0)),0)</f>
        <v>0</v>
      </c>
      <c r="CH728" s="231">
        <f>IF(CH$3=$K728,IF($C728="W",1,IF($C728="1/2W",0.5,0)),0)</f>
        <v>0</v>
      </c>
      <c r="CI728" s="231">
        <f>IF(CH$3=$K728,IF($C728="L",1,IF($C728="1/2L",0.5,0)),0)</f>
        <v>1</v>
      </c>
      <c r="CJ728" s="231">
        <f>IF(CJ$3=$K728,IF($C728="W",1,IF($C728="1/2W",0.5,0)),0)</f>
        <v>0</v>
      </c>
      <c r="CK728" s="231">
        <f>IF(CJ$3=$K728,IF($C728="L",1,IF($C728="1/2L",0.5,0)),0)</f>
        <v>0</v>
      </c>
      <c r="CL728" s="231">
        <f>IF(CL$3=$K728,IF($C728="W",1,IF($C728="1/2W",0.5,0)),0)</f>
        <v>0</v>
      </c>
      <c r="CM728" s="231">
        <f>IF(CL$3=$K728,IF($C728="L",1,IF($C728="1/2L",0.5,0)),0)</f>
        <v>0</v>
      </c>
      <c r="CN728" s="231">
        <f>IF(CN$3=$K728,IF($C728="W",1,IF($C728="1/2W",0.5,0)),0)</f>
        <v>0</v>
      </c>
      <c r="CO728" s="231">
        <f>IF(CN$3=$K728,IF($C728="L",1,IF($C728="1/2L",0.5,0)),0)</f>
        <v>0</v>
      </c>
      <c r="CP728" s="231">
        <f>IF(CP$3=$K728,IF($C728="W",1,IF($C728="1/2W",0.5,0)),0)</f>
        <v>0</v>
      </c>
      <c r="CQ728" s="231">
        <f>IF(CP$3=$K728,IF($C728="L",1,IF($C728="1/2L",0.5,0)),0)</f>
        <v>0</v>
      </c>
      <c r="CR728" s="231">
        <f>IF(CR$3=$K728,IF($C728="W",1,IF($C728="1/2W",0.5,0)),0)</f>
        <v>0</v>
      </c>
      <c r="CS728" s="231">
        <f>IF(CR$3=$K728,IF($C728="L",1,IF($C728="1/2L",0.5,0)),0)</f>
        <v>0</v>
      </c>
      <c r="CT728" s="208">
        <f>IF(CT$3=$K728,IF($C728="W",1,IF($C728="1/2W",0.5,0)),0)</f>
        <v>0</v>
      </c>
      <c r="CU728" s="209">
        <f>IF(CT$3=$K728,IF($C728="L",1,IF($C728="1/2L",0.5,0)),0)</f>
        <v>0</v>
      </c>
      <c r="CV728" s="209">
        <f>IF(CV$3=$K728,IF($C728="W",1,IF($C728="1/2W",0.5,0)),0)</f>
        <v>0</v>
      </c>
      <c r="CW728" s="209">
        <f>IF(CV$3=$K728,IF($C728="L",1,IF($C728="1/2L",0.5,0)),0)</f>
        <v>0</v>
      </c>
      <c r="CX728" s="209">
        <f>IF(CX$3=$K728,IF($C728="W",1,IF($C728="1/2W",0.5,0)),0)</f>
        <v>0</v>
      </c>
      <c r="CY728" s="209">
        <f>IF(CX$3=$K728,IF($C728="L",1,IF($C728="1/2L",0.5,0)),0)</f>
        <v>0</v>
      </c>
      <c r="CZ728" s="209">
        <f>IF(CZ$3=$K728,IF($C728="W",1,IF($C728="1/2W",0.5,0)),0)</f>
        <v>0</v>
      </c>
      <c r="DA728" s="209">
        <f>IF(CZ$3=$K728,IF($C728="L",1,IF($C728="1/2L",0.5,0)),0)</f>
        <v>0</v>
      </c>
      <c r="DB728" s="209">
        <f>IF(DB$3=$K728,IF($C728="W",1,IF($C728="1/2W",0.5,0)),0)</f>
        <v>0</v>
      </c>
      <c r="DC728" s="209">
        <f>IF(DB$3=$K728,IF($C728="L",1,IF($C728="1/2L",0.5,0)),0)</f>
        <v>0</v>
      </c>
      <c r="DD728" s="209">
        <f>IF(DD$3=$K728,IF($C728="W",1,IF($C728="1/2W",0.5,0)),0)</f>
        <v>0</v>
      </c>
      <c r="DE728" s="210">
        <f>IF(DD$3=$K728,IF($C728="L",1,IF($C728="1/2L",0.5,0)),0)</f>
        <v>0</v>
      </c>
      <c r="DF728" s="211">
        <f>IF(AND(L728&lt;DF$3,$C728="W"),1+DF727,DF727)</f>
        <v>20</v>
      </c>
      <c r="DG728" s="198">
        <f>IF(DF728&gt;DF727,L728+DG727,DG727)</f>
        <v>26.624</v>
      </c>
      <c r="DH728" s="209">
        <f>IF(AND(L728&gt;DH$3,$C728="W"),1+DH727,0+DH727)</f>
        <v>18</v>
      </c>
      <c r="DI728" s="198">
        <f>IF(DH728&gt;DH727,L728+DI727,DI727)</f>
        <v>93.66</v>
      </c>
      <c r="DJ728" t="s" s="306">
        <f>IF($D727="","",$D727)</f>
        <v>481</v>
      </c>
      <c r="DK728" s="232"/>
    </row>
    <row r="729" ht="14.55" customHeight="1">
      <c r="A729" s="149"/>
      <c r="B729" s="150"/>
      <c r="C729" t="s" s="233">
        <v>51</v>
      </c>
      <c r="D729" s="152"/>
      <c r="E729" s="153"/>
      <c r="F729" s="155"/>
      <c r="G729" s="234"/>
      <c r="H729" s="156"/>
      <c r="I729" t="s" s="349">
        <v>65</v>
      </c>
      <c r="J729" s="350">
        <v>5.5</v>
      </c>
      <c r="K729" t="s" s="351">
        <v>38</v>
      </c>
      <c r="L729" s="352">
        <v>3.1</v>
      </c>
      <c r="M729" s="239">
        <v>2.75</v>
      </c>
      <c r="N729" s="161"/>
      <c r="O729" s="335">
        <f>IF(OR(AE727="",AE728=""),"",IF(L729&gt;0,ROUND(IF(M729&gt;0,M729,IF(M727&gt;0,ROUND((M727*AE729)/AE727,IF(N727=0,2,IF(N727=0.1,1,0))),IF(M728&gt;0,ROUND((M728*AE729)/AE728,IF(N727=0,2,IF(N727=0.1,1,0))),IF(M729&gt;0,M729,0)))),2),""))</f>
        <v>2.75</v>
      </c>
      <c r="P729" s="309">
        <f>IF(I728="Lay",O728*(L728/(L728-1))-O728,IF(I727="Lay",O727*(L727/(L727-1))-O727,IF(OR(L729="",O729=""),"",IF($C729="1/2W",O729/2+O729/2*L729,IF($C729="1/2L",O729/2,(O729*L729-O729)*(1-_xlfn.XLOOKUP(K729,'Janeiro 2023 - Valor Real'!A3:A15,'Janeiro 2023 - Valor Real'!C3:C15,0))+O729)))))</f>
        <v>8.525</v>
      </c>
      <c r="Q729" s="336">
        <f>IF(K729="","",IF(_xlfn.XLOOKUP(K729,K$124:K502,DJ$124:DJ502,0,,-1)=DJ729,_xlfn.XLOOKUP(K729,K$124:K502,Q$124:Q502,1,,-1)+1,1))</f>
        <v>1</v>
      </c>
      <c r="R729" s="337">
        <f>IF(K729="","",_xlfn.XLOOKUP(K729,K$124:K502,R$124:R502,0,,-1)+IF($C729=" ",1,0))</f>
        <v>0</v>
      </c>
      <c r="S729" s="166"/>
      <c r="T729" s="155"/>
      <c r="U729" s="155"/>
      <c r="V729" s="166"/>
      <c r="W729" s="155"/>
      <c r="X729" s="167"/>
      <c r="Y729" s="128"/>
      <c r="Z729" s="129"/>
      <c r="AA729" s="129"/>
      <c r="AB729" s="129"/>
      <c r="AC729" s="129"/>
      <c r="AD729" s="244">
        <f>((L728/(L728-1)-1))</f>
        <v>0.952380952380952</v>
      </c>
      <c r="AE729" s="338">
        <f>IF(L729="","",(SUM(((L727-1)*(1-_xlfn.XLOOKUP(K727,'Janeiro 2023 - Valor Real'!A3:A15,'Janeiro 2023 - Valor Real'!C3:C15,0))+1),((L728-1)*(1-_xlfn.XLOOKUP(K728,'Janeiro 2023 - Valor Real'!A3:A15,'Janeiro 2023 - Valor Real'!C3:C15,0))+1),((L729-1)*(1-_xlfn.XLOOKUP(K729,'Janeiro 2023 - Valor Real'!A3:A15,'Janeiro 2023 - Valor Real'!C3:C15,0))+1))/((L729-1)*(1-_xlfn.XLOOKUP(K729,'Janeiro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Real'!C3:C15,0))+1))/((L727-1)*(1-_xlfn.XLOOKUP(K727,'Janeiro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Real'!C3:C15,0))+1))/((L728-1)*(1-_xlfn.XLOOKUP(K728,'Janeiro 2023 - Valor Real'!A3:A15,'Janeiro 2023 - Valor Real'!C3:C15,0))+1)+SUM(((L727-1)*(1-_xlfn.XLOOKUP(K727,'Janeiro 2023 - Valor Real'!A3:A15,'Janeiro 2023 - Valor Real'!C3:C15,0))+1),((L728-1)*(1-_xlfn.XLOOKUP(K728,'Janeiro 2023 - Valor Real'!A3:A15,'Janeiro 2023 - Valor Real'!C3:C15,0))+1),((L729-1)*(1-_xlfn.XLOOKUP(K729,'Janeiro 2023 - Valor Real'!A3:A15,'Janeiro 2023 - Valor Real'!C3:C15,0))+1))/((L729-1)*(1-_xlfn.XLOOKUP(K729,'Janeiro 2023 - Valor Real'!A3:A15,'Janeiro 2023 - Valor Real'!C3:C15,0))+1)))</f>
        <v>0.235085684834429</v>
      </c>
      <c r="AF729" s="197">
        <f>IF($K729=AF$3,ROUND(IF(OR($C729="W",$C729="1/2W",$C729="1/2L"),$P729-$O729,IF($C729="X",0,-$O729)),2),0)</f>
        <v>0</v>
      </c>
      <c r="AG729" s="198">
        <f>IF($K729=AG$3,ROUND(IF(OR($C729="W",$C729="1/2W",$C729="1/2L"),$P729-$O729,IF($C729="X",0,-$O729)),2),0)</f>
        <v>-2.75</v>
      </c>
      <c r="AH729" s="198">
        <f>IF($K729=AH$3,ROUND(IF(OR($C729="W",$C729="1/2W",$C729="1/2L"),$P729-$O729,IF($C729="X",0,-$O729)),2),0)</f>
        <v>0</v>
      </c>
      <c r="AI729" s="198">
        <f>IF($K729=AI$3,ROUND(IF(OR($C729="W",$C729="1/2W",$C729="1/2L"),$P729-$O729,IF($C729="X",0,-$O729)),2),0)</f>
        <v>0</v>
      </c>
      <c r="AJ729" s="198">
        <f>IF($K729=AJ$3,ROUND(IF(OR($C729="W",$C729="1/2W",$C729="1/2L"),$P729-$O729,IF($C729="X",0,-$O729)),2),0)</f>
        <v>0</v>
      </c>
      <c r="AK729" s="198">
        <f>IF($K729=AK$3,ROUND(IF(OR($C729="W",$C729="1/2W",$C729="1/2L"),$P729-$O729,IF($C729="X",0,-$O729)),2),0)</f>
        <v>0</v>
      </c>
      <c r="AL729" s="198">
        <f>IF($K729=AL$3,ROUND(IF(OR($C729="W",$C729="1/2W",$C729="1/2L"),$P729-$O729,IF($C729="X",0,-$O729)),2),0)</f>
        <v>0</v>
      </c>
      <c r="AM729" s="198">
        <f>IF($K729=AM$3,ROUND(IF(OR($C729="W",$C729="1/2W",$C729="1/2L"),$P729-$O729,IF($C729="X",0,-$O729)),2),0)</f>
        <v>0</v>
      </c>
      <c r="AN729" s="198">
        <f>IF($K729=AN$3,ROUND(IF(OR($C729="W",$C729="1/2W",$C729="1/2L"),$P729-$O729,IF($C729="X",0,-$O729)),2),0)</f>
        <v>0</v>
      </c>
      <c r="AO729" s="198">
        <f>IF($K729=AO$3,ROUND(IF(OR($C729="W",$C729="1/2W",$C729="1/2L"),$P729-$O729,IF($C729="X",0,-$O729)),2),0)</f>
        <v>0</v>
      </c>
      <c r="AP729" s="198">
        <f>IF($K729=AP$3,ROUND(IF(OR($C729="W",$C729="1/2W",$C729="1/2L"),$P729-$O729,IF($C729="X",0,-$O729)),2),0)</f>
        <v>0</v>
      </c>
      <c r="AQ729" s="198">
        <f>IF($K729=AQ$3,ROUND(IF(OR($C729="W",$C729="1/2W",$C729="1/2L"),$P729-$O729,IF($C729="X",0,-$O729)),2),0)</f>
        <v>0</v>
      </c>
      <c r="AR729" s="199">
        <f>IF($K729=AR$3,ROUND(IF(OR($C729="W",$C729="1/2W",$C729="1/2L"),$P729-$O729,IF($C729="X",0,-$O729)),2),0)</f>
        <v>0</v>
      </c>
      <c r="AS729" s="197">
        <f>IF(AND($B727=" ",$K729=AS$3),$O729,0)</f>
        <v>0</v>
      </c>
      <c r="AT729" s="198">
        <f>IF(AND($B727=" ",K729=AT$3),$O729,0)</f>
        <v>0</v>
      </c>
      <c r="AU729" s="198">
        <f>IF(AND($B727=" ",$K729=AU$3),$O729,0)</f>
        <v>0</v>
      </c>
      <c r="AV729" s="198">
        <f>IF(AND($B727=" ",$K729=AV$3),$O729,0)</f>
        <v>0</v>
      </c>
      <c r="AW729" s="198">
        <f>IF(AND($B727=" ",$K729=AW$3),$O729,0)</f>
        <v>0</v>
      </c>
      <c r="AX729" s="198">
        <f>IF(AND($B727=" ",$K729=AX$3),$O729,0)</f>
        <v>0</v>
      </c>
      <c r="AY729" s="200">
        <f>IF(AND($B727=" ",$K729=AY$3),$O729,0)</f>
        <v>0</v>
      </c>
      <c r="AZ729" s="201">
        <f>IF(AND($B727=" ",$K729=AZ$3),$O729,0)</f>
        <v>0</v>
      </c>
      <c r="BA729" s="201">
        <f>IF(AND($B727=" ",$K729=BA$3),$O729,0)</f>
        <v>0</v>
      </c>
      <c r="BB729" s="201">
        <f>IF(AND($B727=" ",$K729=BB$3),$O729,0)</f>
        <v>0</v>
      </c>
      <c r="BC729" s="202">
        <f>IF(AND($B727=" ",$K729=BC$3),$O729,0)</f>
        <v>0</v>
      </c>
      <c r="BD729" s="198">
        <f>IF(AND($B727=" ",$K729=BD$3),$O729,0)</f>
        <v>0</v>
      </c>
      <c r="BE729" s="199">
        <f>IF(AND($B727=" ",$K729=BE$3),$O729,0)</f>
        <v>0</v>
      </c>
      <c r="BF729" s="197">
        <f>IF($K729=BF$3,IF($C729="X",0,$O729),0)</f>
        <v>0</v>
      </c>
      <c r="BG729" s="198">
        <f>IF($K729=BG$3,IF($C729="X",0,$O729),0)</f>
        <v>2.75</v>
      </c>
      <c r="BH729" s="198">
        <f>IF($K729=BH$3,IF($C729="X",0,$O729),0)</f>
        <v>0</v>
      </c>
      <c r="BI729" s="198">
        <f>IF($K729=BI$3,IF($C729="X",0,$O729),0)</f>
        <v>0</v>
      </c>
      <c r="BJ729" s="198">
        <f>IF($K729=BJ$3,IF($C729="X",0,$O729),0)</f>
        <v>0</v>
      </c>
      <c r="BK729" s="198">
        <f>IF($K729=BK$3,IF($C729="X",0,$O729),0)</f>
        <v>0</v>
      </c>
      <c r="BL729" s="198">
        <f>IF($K729=BL$3,IF($C729="X",0,$O729),0)</f>
        <v>0</v>
      </c>
      <c r="BM729" s="200">
        <f>IF($K729=BM$3,IF($C729="X",0,$O729),0)</f>
        <v>0</v>
      </c>
      <c r="BN729" s="201">
        <f>IF($K729=BN$3,IF($C729="X",0,$O729),0)</f>
        <v>0</v>
      </c>
      <c r="BO729" s="201">
        <f>IF($K729=BO$3,IF($C729="X",0,$O729),0)</f>
        <v>0</v>
      </c>
      <c r="BP729" s="201">
        <f>IF($K729=BP$3,IF($C729="X",0,$O729),0)</f>
        <v>0</v>
      </c>
      <c r="BQ729" s="202">
        <f>IF($K729=BQ$3,IF($C729="X",0,$O729),0)</f>
        <v>0</v>
      </c>
      <c r="BR729" s="199">
        <f>IF($K729=BR$3,IF($C729="X",0,$O729),0)</f>
        <v>0</v>
      </c>
      <c r="BS729" s="228"/>
      <c r="BT729" s="229"/>
      <c r="BU729" s="140"/>
      <c r="BV729" s="229"/>
      <c r="BW729" s="140"/>
      <c r="BX729" s="140"/>
      <c r="BY729" s="140"/>
      <c r="BZ729" s="229"/>
      <c r="CA729" s="140"/>
      <c r="CB729" s="140"/>
      <c r="CC729" s="140"/>
      <c r="CD729" s="141"/>
      <c r="CE729" s="142"/>
      <c r="CF729" s="230">
        <f>IF(CF$3=$K729,IF($C729="W",1,IF($C729="1/2W",0.5,0)),0)</f>
        <v>0</v>
      </c>
      <c r="CG729" s="231">
        <f>IF(CF$3=$K729,IF($C729="L",1,IF($C729="1/2L",0.5,0)),0)</f>
        <v>0</v>
      </c>
      <c r="CH729" s="231">
        <f>IF(CH$3=$K729,IF($C729="W",1,IF($C729="1/2W",0.5,0)),0)</f>
        <v>0</v>
      </c>
      <c r="CI729" s="231">
        <f>IF(CH$3=$K729,IF($C729="L",1,IF($C729="1/2L",0.5,0)),0)</f>
        <v>1</v>
      </c>
      <c r="CJ729" s="231">
        <f>IF(CJ$3=$K729,IF($C729="W",1,IF($C729="1/2W",0.5,0)),0)</f>
        <v>0</v>
      </c>
      <c r="CK729" s="231">
        <f>IF(CJ$3=$K729,IF($C729="L",1,IF($C729="1/2L",0.5,0)),0)</f>
        <v>0</v>
      </c>
      <c r="CL729" s="231">
        <f>IF(CL$3=$K729,IF($C729="W",1,IF($C729="1/2W",0.5,0)),0)</f>
        <v>0</v>
      </c>
      <c r="CM729" s="231">
        <f>IF(CL$3=$K729,IF($C729="L",1,IF($C729="1/2L",0.5,0)),0)</f>
        <v>0</v>
      </c>
      <c r="CN729" s="231">
        <f>IF(CN$3=$K729,IF($C729="W",1,IF($C729="1/2W",0.5,0)),0)</f>
        <v>0</v>
      </c>
      <c r="CO729" s="231">
        <f>IF(CN$3=$K729,IF($C729="L",1,IF($C729="1/2L",0.5,0)),0)</f>
        <v>0</v>
      </c>
      <c r="CP729" s="231">
        <f>IF(CP$3=$K729,IF($C729="W",1,IF($C729="1/2W",0.5,0)),0)</f>
        <v>0</v>
      </c>
      <c r="CQ729" s="231">
        <f>IF(CP$3=$K729,IF($C729="L",1,IF($C729="1/2L",0.5,0)),0)</f>
        <v>0</v>
      </c>
      <c r="CR729" s="231">
        <f>IF(CR$3=$K729,IF($C729="W",1,IF($C729="1/2W",0.5,0)),0)</f>
        <v>0</v>
      </c>
      <c r="CS729" s="231">
        <f>IF(CR$3=$K729,IF($C729="L",1,IF($C729="1/2L",0.5,0)),0)</f>
        <v>0</v>
      </c>
      <c r="CT729" s="208">
        <f>IF(CT$3=$K729,IF($C729="W",1,IF($C729="1/2W",0.5,0)),0)</f>
        <v>0</v>
      </c>
      <c r="CU729" s="209">
        <f>IF(CT$3=$K729,IF($C729="L",1,IF($C729="1/2L",0.5,0)),0)</f>
        <v>0</v>
      </c>
      <c r="CV729" s="209">
        <f>IF(CV$3=$K729,IF($C729="W",1,IF($C729="1/2W",0.5,0)),0)</f>
        <v>0</v>
      </c>
      <c r="CW729" s="209">
        <f>IF(CV$3=$K729,IF($C729="L",1,IF($C729="1/2L",0.5,0)),0)</f>
        <v>0</v>
      </c>
      <c r="CX729" s="209">
        <f>IF(CX$3=$K729,IF($C729="W",1,IF($C729="1/2W",0.5,0)),0)</f>
        <v>0</v>
      </c>
      <c r="CY729" s="209">
        <f>IF(CX$3=$K729,IF($C729="L",1,IF($C729="1/2L",0.5,0)),0)</f>
        <v>0</v>
      </c>
      <c r="CZ729" s="209">
        <f>IF(CZ$3=$K729,IF($C729="W",1,IF($C729="1/2W",0.5,0)),0)</f>
        <v>0</v>
      </c>
      <c r="DA729" s="209">
        <f>IF(CZ$3=$K729,IF($C729="L",1,IF($C729="1/2L",0.5,0)),0)</f>
        <v>0</v>
      </c>
      <c r="DB729" s="209">
        <f>IF(DB$3=$K729,IF($C729="W",1,IF($C729="1/2W",0.5,0)),0)</f>
        <v>0</v>
      </c>
      <c r="DC729" s="209">
        <f>IF(DB$3=$K729,IF($C729="L",1,IF($C729="1/2L",0.5,0)),0)</f>
        <v>0</v>
      </c>
      <c r="DD729" s="209">
        <f>IF(DD$3=$K729,IF($C729="W",1,IF($C729="1/2W",0.5,0)),0)</f>
        <v>0</v>
      </c>
      <c r="DE729" s="210">
        <f>IF(DD$3=$K729,IF($C729="L",1,IF($C729="1/2L",0.5,0)),0)</f>
        <v>0</v>
      </c>
      <c r="DF729" s="211">
        <f>IF(AND(L729&lt;DF$3,$C729="W"),1+DF728,DF728)</f>
        <v>20</v>
      </c>
      <c r="DG729" s="198">
        <f>IF(DF729&gt;DF728,L729+DG728,DG728)</f>
        <v>26.624</v>
      </c>
      <c r="DH729" s="209">
        <f>IF(AND(L729&gt;DH$3,$C729="W"),1+DH728,0+DH728)</f>
        <v>18</v>
      </c>
      <c r="DI729" s="198">
        <f>IF(DH729&gt;DH728,L729+DI728,DI728)</f>
        <v>93.66</v>
      </c>
      <c r="DJ729" t="s" s="306">
        <f>IF($D727="","",$D727)</f>
        <v>481</v>
      </c>
      <c r="DK729" s="232"/>
    </row>
    <row r="730" ht="14.55" customHeight="1">
      <c r="A730" s="246">
        <f>$A727+1</f>
        <v>243</v>
      </c>
      <c r="B730" t="s" s="247">
        <f>IF(AND(_xlfn.XLOOKUP(H730,H$107:H509,G$107:G509,0)=G730,_xlfn.XLOOKUP("TempoBet",K730:K732,L730:L732,0)&gt;0),"X",IF(OR(C730="W",C731="W",C732="W",C730="1/2W",C731="1/2W",C732="1/2W",C730="1/2L",C731="1/2L",C732="1/2L"),"OK",IF(OR(C730="L",C731="L",C732="L"),"LOSS",IF(OR(C730="X",C731="X",C732="X"),"Anulado"," "))))</f>
        <v>50</v>
      </c>
      <c r="C730" t="s" s="248">
        <v>51</v>
      </c>
      <c r="D730" t="s" s="303">
        <f>IF(G730="","",$D727)</f>
        <v>481</v>
      </c>
      <c r="E730" t="s" s="250">
        <v>150</v>
      </c>
      <c r="F730" t="s" s="251">
        <f>IF(G730="","",IF(OR(AND($C730&lt;&gt;" ",$C731=" "),AND($C731&lt;&gt;" ",$C730=" "),AND(L732&gt;0,OR(AND($C732&lt;&gt;" ",OR($C730=" ",$C731=" ")),AND($C732=" ",OR($C730&lt;&gt;" ",$C731&lt;&gt;" "))))),IF(SUM(F$4:F729)=0,1,LARGE(F$4:F729,1)+1),IF(MONTH(G730)=MONTH(TODAY()),IF(AND(DAY(G730)&lt;DAY(TODAY()),$B730=" "),IF(SUM(F$4:F729)=0,1,LARGE(F$4:F729,1)+1),IF($B730=" ",IF(AND(DAY(G730)=DAY(TODAY()),HOUR(G730)&lt;=HOUR(NOW())+1),IF(AND(HOUR(G730)+2&lt;=HOUR(NOW()),DAY(G730)&lt;=DAY(TODAY()),MINUTE(G730)&lt;=MINUTE(NOW())),IF(SUM(F$4:F729)=0,1,LARGE(F$4:F729,1)+1),IF(OR(MINUTE(G730)&lt;=MINUTE(NOW()),HOUR(G730)&lt;=HOUR(NOW())),"!!!","")),""),"")),"")))</f>
      </c>
      <c r="G730" s="252">
        <v>44958.708333333336</v>
      </c>
      <c r="H730" t="s" s="253">
        <v>509</v>
      </c>
      <c r="I730" t="s" s="254">
        <v>65</v>
      </c>
      <c r="J730" s="255">
        <v>5</v>
      </c>
      <c r="K730" t="s" s="256">
        <v>38</v>
      </c>
      <c r="L730" s="257">
        <v>2</v>
      </c>
      <c r="M730" s="258"/>
      <c r="N730" s="259">
        <v>0</v>
      </c>
      <c r="O730" s="260">
        <f>IF(OR(AE730="",AE731=""),"",ROUND(IF(L732&gt;0,IF(M730&gt;0,M730,IF(M731&gt;0,ROUND((M731*AE730)/AE731,IF(N730=0,2,IF(N730=0.1,1,0))),ROUND((M732*AE730)/AE732,IF(N730=0,2,IF(N730=0.1,1,0))))),IF(M730&gt;0,M730,ROUND((M731*AE730)/AE731,IF(N730=0,2,IF(N730=0.1,1,0))))),2))</f>
        <v>12.52</v>
      </c>
      <c r="P730" s="261">
        <f>IF(OR(L730="",O730=""),"",IF($C730="1/2W",O730/2+O730/2*L730,IF($C730="1/2L",O730/2,IF(I730="Lay",(O730*(L730/(L730-1))-O730)*(1-_xlfn.XLOOKUP(K730,'Janeiro 2023 - Valor Real'!A3:A15,'Janeiro 2023 - Valor Real'!C3:C15,0))+O730,(O730*L730-O730)*(1-_xlfn.XLOOKUP(K730,'Janeiro 2023 - Valor Real'!A3:A15,'Janeiro 2023 - Valor Real'!C3:C15,0))+O730))))</f>
        <v>25.04</v>
      </c>
      <c r="Q730" s="262">
        <f>IF(K730="","",IF(_xlfn.XLOOKUP(K730,K$107:K509,DJ$107:DJ509,0,,-1)=DJ730,_xlfn.XLOOKUP(K730,K$107:K509,Q$107:Q509,1,,-1)+1,1))</f>
        <v>1</v>
      </c>
      <c r="R730" s="263">
        <f>IF(K730="","",_xlfn.XLOOKUP(K730,K$107:K509,R$107:R509,0,,-1)+IF($C730=" ",1,0))</f>
        <v>0</v>
      </c>
      <c r="S730" s="264">
        <f>IF($B730="Anulado",0,ROUND(IF(OR($B730="LOSS",$B730="OK"),IF(OR($C730="W",$C730="1/2W",$C730="1/2L"),P730-O730,IF($C730="L",-O730,0))+IF(OR($C731="W",$C731="1/2W",$C731="1/2L"),P731-O731,IF($C731="L",-O731,0))+IF(OR($C732="W",$C732="1/2W",$C732="1/2L"),P732-O732,IF($C732="L",-O732,0)),IF(AND(OR($C730="W",$C730="1/2W",$C730="1/2L"),C731="W"),P730+P731-SUM(O730:O732)+_xlfn.XLOOKUP("X",C730:C732,O730:O732,0),IF(AND(C730=TRUE,C732="W"),P730+P732-SUM(O730:O732),IF(AND(C731="W",C732="W"),P731+P732-SUM(O730:O732)+_xlfn.XLOOKUP("X",C730:C732,O730:O732,0),IF(L732&gt;0,IF(OR($C730="W",$C730="1/2W",$C730="1/2L"),P730-SUM(O730:O732)+_xlfn.XLOOKUP("X",C730:C732,O730:O732,0),IF(OR($C730="W",$C730="1/2W",$C730="1/2L"),P731-SUM(O730:O732)+_xlfn.XLOOKUP("X",C730:C732,O730:O732,0),IF(OR($C730="W",$C730="1/2W",$C730="1/2L"),P732-SUM(O730:O732)+_xlfn.XLOOKUP("X",C730:C732,O730:O732,0),IF(SUM(P730:P732)/3-SUM(O730:O732)+_xlfn.XLOOKUP("X",C730:C732,O730:O732,0)&gt;0,SUM(P730:P732)/3-SUM(O730:O732)+_xlfn.XLOOKUP("X",C730:C732,O730:O732,0),LARGE(P730:P732,1)-SUM(O730:O732))))),IF(OR($C730="W",$C730="1/2W",$C730="1/2L"),P730-SUM(O730:O731)+_xlfn.XLOOKUP("X",C730:C732,O730:O732,0),IF(OR($C730="W",$C730="1/2W",$C730="1/2L"),P731-SUM(O730:O731)+_xlfn.XLOOKUP("X",C730:C732,O730:O732,0),SUM(P730:P731)/2-SUM(O730:O731)+_xlfn.XLOOKUP("X",C730:C732,O730:O732,0)))))))),2))</f>
        <v>0.98</v>
      </c>
      <c r="T730" s="265">
        <f>IF(S730=0,0,S730/SUM(O730:O732))</f>
        <v>0.0407315045719036</v>
      </c>
      <c r="U730" s="266">
        <f>IF($D730=$D727,IF(OR($B730="LOSS",$B730="OK",$B730="Anulada"),S730,0)+U727,IF(OR($B730="LOSS",$B730="OK",$B730="Anulada"),S730,0))</f>
        <v>25.69</v>
      </c>
      <c r="V730" s="266">
        <f>IF($D730="",0,IF($D730=$D727,IF($B730=" ",IF(I732="",IF(OR(AND(I730="DNB1",I731="DNB2"),AND(OR(I730="DNB1",I730="DNB2"),J731=0),AND(OR(I731="DNB1",I731="DNB2"),J730=0),AND(I730="DNB2",I731="DNB1"),AND(IF(J730=0,(J730+1)/ROUND(J730+1,0),J730/ROUND(J730,0))=1,IF(J731=0,(J731+1)/ROUND(IF(J731="",0,J731)+1,0),IF(J731="",0,J731)/ROUND(IF(J731="",1,J731),0))=1,OR(J730&lt;&gt;""),J731&lt;&gt;"")),0,IF(S730&lt;0,IF(I732="",SMALL(P730:P731,1)-SUM(O730:O731),0),SMALL(P730:P731,1)-SUM(O730:O731))),IF(S730&lt;0,IF(I732="",SMALL(P730:P732,1)-SUM(O730:O732),0),LARGE(P730:P732,1)-SUM(O730:O732))),S730)+V727,IF(I732="",IF(OR(AND(I730="DNB1",I731="DNB2"),AND(OR(I730="DNB1",I730="DNB2"),J731=0),AND(OR(I731="DNB1",I731="DNB2"),J730=0),AND(I730="DNB2",I731="DNB1"),AND(IF(J730=0,(J730+1)/ROUND(J730+1,0),J730/ROUND(J730,0))=1,IF(J731=0,(IF(J731="",0,J731)+1)/ROUND(IF(J731="",0,J731)+1,0),IF(J731="",0,J731)/ROUND(IF(J731="",0,J731)+1,0))=1,OR(J730&lt;&gt;""),J731&lt;&gt;"")),0,IF(S730&lt;0,IF(I732="",SMALL(P730:P731,1)-SUM(O730:O731),0),SMALL(P730:P732,1)-SUM(O730:O732))),IF(S730&lt;0,IF(I732="",SMALL(P730:P732,1)-SUM(O730:O732),0),LARGE(P730:P732,1)-SUM(O730:O732)))))</f>
        <v>25.6876</v>
      </c>
      <c r="W730" s="266">
        <f>IF($D730=$D727,IF(S730&lt;0,IF(I732="",S730,0),S730)+W727,S730)</f>
        <v>25.69</v>
      </c>
      <c r="X730" t="s" s="267">
        <f>IF(OR(SUM(R730:R732)=0,V730=W730),ROUND(IF(W730=0,0,W730/Y730)*100,2)&amp;"%",ROUND(IF(V730=0,0,V730/Y730)*100,2)&amp;"% a "&amp;ROUND(IF(W730=0,0,W730/Y730)*100,2)&amp;"%")</f>
        <v>510</v>
      </c>
      <c r="Y730" s="268">
        <f>IF($D730=$D727,Y727+SUM(O730:O732),SUM(O730:O732))</f>
        <v>476.2</v>
      </c>
      <c r="Z730" s="266">
        <f>IF($B730=" ",SUM(O730:O732),0)+Z727</f>
        <v>0</v>
      </c>
      <c r="AA730" s="266">
        <f>IF(G730="","",IF($B730="Anulado",LARGE(P730:P732,1)-SUM(O730:O732)+AA727,AA727))</f>
        <v>27.7065076923077</v>
      </c>
      <c r="AB730" s="266">
        <f>IF($D730="","",AB727+S730)</f>
        <v>496.87</v>
      </c>
      <c r="AC730" s="269">
        <f>IF($D730="","",IF($B730=" ",IF(DAY(G730)=DAY(TODAY()),1+AC727,0+AC727),0+AC727))</f>
        <v>0</v>
      </c>
      <c r="AD730" s="270">
        <f>(1-_xlfn.XLOOKUP(K728,'Janeiro 2023 - Valor Real'!A3:A15,'Janeiro 2023 - Valor Real'!C3:C15,0))+1</f>
        <v>2</v>
      </c>
      <c r="AE730" s="271">
        <f>IF(L730="","",IF(L732&gt;0,(SUM(((L730-1)*(1-_xlfn.XLOOKUP(K730,'Janeiro 2023 - Valor Real'!A3:A15,'Janeiro 2023 - Valor Real'!C3:C15,0))+1),((L731-1)*(1-_xlfn.XLOOKUP(K731,'Janeiro 2023 - Valor Real'!A3:A15,'Janeiro 2023 - Valor Real'!C3:C15,0))+1),((L732-1)*(1-_xlfn.XLOOKUP(K732,'Janeiro 2023 - Valor Real'!A3:A15,'Janeiro 2023 - Valor Real'!C3:C15,0))+1))/((L730-1)*(1-_xlfn.XLOOKUP(K730,'Janeiro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Real'!C3:C15,0))+1))/((L730-1)*(1-_xlfn.XLOOKUP(K730,'Janeiro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Real'!C3:C15,0))+1))/((L731-1)*(1-_xlfn.XLOOKUP(K731,'Janeiro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Real'!C3:C15,0))+1))/((L732-1)*(1-_xlfn.XLOOKUP(K732,'Janeiro 2023 - Valor Real'!A3:A15,'Janeiro 2023 - Valor Real'!C3:C15,0))+1)),IF(I730="Lay",IF(I731="Lay",((L731/(L731-1)-1)*(1-_xlfn.XLOOKUP(K731,'Janeiro 2023 - Valor Real'!A3:A15,'Janeiro 2023 - Valor Real'!C3:C15,0))+1)/(((L731/(L731-1)-1)*(1-_xlfn.XLOOKUP(K731,'Janeiro 2023 - Valor Real'!A3:A15,'Janeiro 2023 - Valor Real'!C3:C15,0))+1)+((L730/(L730-1)-1)*(1-_xlfn.XLOOKUP(K730,'Janeiro 2023 - Valor Real'!A3:A15,'Janeiro 2023 - Valor Real'!C3:C15,0))+1)),((L731-1)*(1-_xlfn.XLOOKUP(K731,'Janeiro 2023 - Valor Real'!A3:A15,'Janeiro 2023 - Valor Real'!C3:C15,0))+1)/(((L731-1)*(1-_xlfn.XLOOKUP(K731,'Janeiro 2023 - Valor Real'!A3:A15,'Janeiro 2023 - Valor Real'!C3:C15,0))+1)+((L730/(L730-1)-1)*(1-_xlfn.XLOOKUP(K730,'Janeiro 2023 - Valor Real'!A3:A15,'Janeiro 2023 - Valor Real'!C3:C15,0))+1))),IF(I731="Lay",(((L731/(L731-1)-1)*(1-_xlfn.XLOOKUP(K731,'Janeiro 2023 - Valor Real'!A3:A15,'Janeiro 2023 - Valor Real'!C3:C15,0))+1))/(((L730-1)*(1-_xlfn.XLOOKUP(K730,'Janeiro 2023 - Valor Real'!A3:A15,'Janeiro 2023 - Valor Real'!C3:C15,0))+1)+((L731/(L731-1)-1)*(1-_xlfn.XLOOKUP(K731,'Janeiro 2023 - Valor Real'!A3:A15,'Janeiro 2023 - Valor Real'!C3:C15,0))+1)),((L731-1)*(1-_xlfn.XLOOKUP(K731,'Janeiro 2023 - Valor Real'!A3:A15,'Janeiro 2023 - Valor Real'!C3:C15,0))+1)/(((L731-1)*(1-_xlfn.XLOOKUP(K731,'Janeiro 2023 - Valor Real'!A3:A15,'Janeiro 2023 - Valor Real'!C3:C15,0))+1)+((L730-1)*(1-_xlfn.XLOOKUP(K730,'Janeiro 2023 - Valor Real'!A3:A15,'Janeiro 2023 - Valor Real'!C3:C15,0))+1))))))</f>
        <v>0.520383693045564</v>
      </c>
      <c r="AF730" s="132">
        <f>IF($K730=AF$3,ROUND(IF(OR($C730="W",$C730="1/2W",$C730="1/2L"),$P730-$O730,IF($C730="X",0,-$O730)),2),0)</f>
        <v>0</v>
      </c>
      <c r="AG730" s="133">
        <f>IF($K730=AG$3,ROUND(IF(OR($C730="W",$C730="1/2W",$C730="1/2L"),$P730-$O730,IF($C730="X",0,-$O730)),2),0)</f>
        <v>-12.52</v>
      </c>
      <c r="AH730" s="133">
        <f>IF($K730=AH$3,ROUND(IF(OR($C730="W",$C730="1/2W",$C730="1/2L"),$P730-$O730,IF($C730="X",0,-$O730)),2),0)</f>
        <v>0</v>
      </c>
      <c r="AI730" s="133">
        <f>IF($K730=AI$3,ROUND(IF(OR($C730="W",$C730="1/2W",$C730="1/2L"),$P730-$O730,IF($C730="X",0,-$O730)),2),0)</f>
        <v>0</v>
      </c>
      <c r="AJ730" s="133">
        <f>IF($K730=AJ$3,ROUND(IF(OR($C730="W",$C730="1/2W",$C730="1/2L"),$P730-$O730,IF($C730="X",0,-$O730)),2),0)</f>
        <v>0</v>
      </c>
      <c r="AK730" s="133">
        <f>IF($K730=AK$3,ROUND(IF(OR($C730="W",$C730="1/2W",$C730="1/2L"),$P730-$O730,IF($C730="X",0,-$O730)),2),0)</f>
        <v>0</v>
      </c>
      <c r="AL730" s="133">
        <f>IF($K730=AL$3,ROUND(IF(OR($C730="W",$C730="1/2W",$C730="1/2L"),$P730-$O730,IF($C730="X",0,-$O730)),2),0)</f>
        <v>0</v>
      </c>
      <c r="AM730" s="133">
        <f>IF($K730=AM$3,ROUND(IF(OR($C730="W",$C730="1/2W",$C730="1/2L"),$P730-$O730,IF($C730="X",0,-$O730)),2),0)</f>
        <v>0</v>
      </c>
      <c r="AN730" s="133">
        <f>IF($K730=AN$3,ROUND(IF(OR($C730="W",$C730="1/2W",$C730="1/2L"),$P730-$O730,IF($C730="X",0,-$O730)),2),0)</f>
        <v>0</v>
      </c>
      <c r="AO730" s="133">
        <f>IF($K730=AO$3,ROUND(IF(OR($C730="W",$C730="1/2W",$C730="1/2L"),$P730-$O730,IF($C730="X",0,-$O730)),2),0)</f>
        <v>0</v>
      </c>
      <c r="AP730" s="133">
        <f>IF($K730=AP$3,ROUND(IF(OR($C730="W",$C730="1/2W",$C730="1/2L"),$P730-$O730,IF($C730="X",0,-$O730)),2),0)</f>
        <v>0</v>
      </c>
      <c r="AQ730" s="133">
        <f>IF($K730=AQ$3,ROUND(IF(OR($C730="W",$C730="1/2W",$C730="1/2L"),$P730-$O730,IF($C730="X",0,-$O730)),2),0)</f>
        <v>0</v>
      </c>
      <c r="AR730" s="134">
        <f>IF($K730=AR$3,ROUND(IF(OR($C730="W",$C730="1/2W",$C730="1/2L"),$P730-$O730,IF($C730="X",0,-$O730)),2),0)</f>
        <v>0</v>
      </c>
      <c r="AS730" s="132">
        <f>IF(AND($B730=" ",$K730=AS$3),$O730,0)</f>
        <v>0</v>
      </c>
      <c r="AT730" s="133">
        <f>IF(AND($B730=" ",$K730=AT$3),$O730,0)</f>
        <v>0</v>
      </c>
      <c r="AU730" s="133">
        <f>IF(AND($B730=" ",$K730=AU$3),$O730,0)</f>
        <v>0</v>
      </c>
      <c r="AV730" s="133">
        <f>IF(AND($B730=" ",$K730=AV$3),$O730,0)</f>
        <v>0</v>
      </c>
      <c r="AW730" s="133">
        <f>IF(AND($B730=" ",$K730=AW$3),$O730,0)</f>
        <v>0</v>
      </c>
      <c r="AX730" s="133">
        <f>IF(AND($B730=" ",$K730=AX$3),$O730,0)</f>
        <v>0</v>
      </c>
      <c r="AY730" s="135">
        <f>IF(AND($B730=" ",$K730=AY$3),$O730,0)</f>
        <v>0</v>
      </c>
      <c r="AZ730" s="136">
        <f>IF(AND($B730=" ",$K730=AZ$3),$O730,0)</f>
        <v>0</v>
      </c>
      <c r="BA730" s="136">
        <f>IF(AND($B730=" ",$K730=BA$3),$O730,0)</f>
        <v>0</v>
      </c>
      <c r="BB730" s="136">
        <f>IF(AND($B730=" ",$K730=BB$3),$O730,0)</f>
        <v>0</v>
      </c>
      <c r="BC730" s="137">
        <f>IF(AND($B730=" ",$K730=BC$3),$O730,0)</f>
        <v>0</v>
      </c>
      <c r="BD730" s="133">
        <f>IF(AND($B730=" ",$K730=BD$3),$O730,0)</f>
        <v>0</v>
      </c>
      <c r="BE730" s="134">
        <f>IF(AND($B730=" ",$K730=BE$3),$O730,0)</f>
        <v>0</v>
      </c>
      <c r="BF730" s="132">
        <f>IF($K730=BF$3,IF($C730="X",0,$O730),0)</f>
        <v>0</v>
      </c>
      <c r="BG730" s="133">
        <f>IF($K730=BG$3,IF($C730="X",0,$O730),0)</f>
        <v>12.52</v>
      </c>
      <c r="BH730" s="133">
        <f>IF($K730=BH$3,IF($C730="X",0,$O730),0)</f>
        <v>0</v>
      </c>
      <c r="BI730" s="133">
        <f>IF($K730=BI$3,IF($C730="X",0,$O730),0)</f>
        <v>0</v>
      </c>
      <c r="BJ730" s="133">
        <f>IF($K730=BJ$3,IF($C730="X",0,$O730),0)</f>
        <v>0</v>
      </c>
      <c r="BK730" s="133">
        <f>IF($K730=BK$3,IF($C730="X",0,$O730),0)</f>
        <v>0</v>
      </c>
      <c r="BL730" s="133">
        <f>IF($K730=BL$3,IF($C730="X",0,$O730),0)</f>
        <v>0</v>
      </c>
      <c r="BM730" s="135">
        <f>IF($K730=BM$3,IF($C730="X",0,$O730),0)</f>
        <v>0</v>
      </c>
      <c r="BN730" s="136">
        <f>IF($K730=BN$3,IF($C730="X",0,$O730),0)</f>
        <v>0</v>
      </c>
      <c r="BO730" s="136">
        <f>IF($K730=BO$3,IF($C730="X",0,$O730),0)</f>
        <v>0</v>
      </c>
      <c r="BP730" s="136">
        <f>IF($K730=BP$3,IF($C730="X",0,$O730),0)</f>
        <v>0</v>
      </c>
      <c r="BQ730" s="137">
        <f>IF($K730=BQ$3,IF($C730="X",0,$O730),0)</f>
        <v>0</v>
      </c>
      <c r="BR730" s="134">
        <f>IF($K730=BR$3,IF($C730="X",0,$O730),0)</f>
        <v>0</v>
      </c>
      <c r="BS730" s="170">
        <f>IF($B730="LOSS",IF(AND($K730=BS$3,$C730="L"),-$O730,0)+IF(AND($K731=BS$3,$C731="L"),-$O731,0)+IF(AND($K732=BS$3,$C732="L"),-$O732,0),IF(OR(AND($K730=BS$3,OR($C730="W",$C730="1/2W")),AND($K731=BS$3,OR($C731="W",$C731="1/2W")),AND($K732=BS$3,OR($C732="W",$C732="1/2W"))),$S730,0))</f>
        <v>0</v>
      </c>
      <c r="BT730" s="272">
        <f>IF($B730="LOSS",IF(AND($K730=BT$3,$C730="L"),-$O730,0)+IF(AND($K731=BT$3,$C731="L"),-$O731,0)+IF(AND($K731=BT$3,$C732="L"),-$O732,0),IF(OR(AND($K731=BT$3,OR($C730="W",$C730="1/2W")),AND($K731=BT$3,OR($C731="W",$C731="1/2W")),AND($K731=BT$3,OR($C732="W",$C732="1/2W"))),$S730,0))</f>
        <v>0</v>
      </c>
      <c r="BU730" s="136">
        <f>IF($B730="LOSS",IF(AND($K730=BU$3,$C730="L"),-$O730,0)+IF(AND($K731=BU$3,$C731="L"),-$O731,0)+IF(AND($K731=BU$3,$C732="L"),-$O732,0),IF(OR(AND($K731=BU$3,OR($C730="W",$C730="1/2W")),AND($K731=BU$3,OR($C731="W",$C731="1/2W")),AND($K731=BU$3,OR($C732="W",$C732="1/2W"))),$S730,0))</f>
        <v>0</v>
      </c>
      <c r="BV730" s="136">
        <f>IF($B730="LOSS",IF(AND($K730=BV$3,$C730="L"),-$O730,0)+IF(AND($K731=BV$3,$C731="L"),-$O731,0)+IF(AND($K732=BV$3,$C732="L"),-$O732,0),IF(OR(AND($K730=BV$3,OR($C730="W",$C730="1/2W")),AND($K731=BV$3,OR($C731="W",$C731="1/2W")),AND($K732=BV$3,OR($C732="W",$C732="1/2W"))),$S730,0))</f>
        <v>0</v>
      </c>
      <c r="BW730" s="136">
        <f>IF($B730="LOSS",IF(AND($K730=BW$3,$C730="L"),-$O730,0)+IF(AND($K731=BW$3,$C731="L"),-$O731,0)+IF(AND($K732=BW$3,$C732="L"),-$O732,0),IF(OR(AND($K730=BW$3,OR($C730="W",$C730="1/2W")),AND($K731=BW$3,OR($C731="W",$C731="1/2W")),AND($K732=BW$3,OR($C732="W",$C732="1/2W"))),$S730,0))</f>
        <v>0.98</v>
      </c>
      <c r="BX730" s="136">
        <f>IF($B730="LOSS",IF(AND($K730=BX$3,$C730="L"),-$O730,0)+IF(AND($K731=BX$3,$C731="L"),-$O731,0)+IF(AND($K732=BX$3,$C732="L"),-$O732,0),IF(OR(AND($K730=BX$3,OR($C730="W",$C730="1/2W")),AND($K731=BX$3,OR($C731="W",$C731="1/2W")),AND($K732=BX$3,OR($C732="W",$C732="1/2W"))),$S730,0))</f>
        <v>0</v>
      </c>
      <c r="BY730" s="136">
        <f>IF($B730="LOSS",IF(AND($K730=BY$3,$C730="L"),-$O730,0)+IF(AND($K731=BY$3,$C731="L"),-$O731,0)+IF(AND($K732=BY$3,$C732="L"),-$O732,0),IF(OR(AND($K730=BY$3,OR($C730="W",$C730="1/2W")),AND($K731=BY$3,OR($C731="W",$C731="1/2W")),AND($K732=BY$3,OR($C732="W",$C732="1/2W"))),$S730,0))</f>
        <v>0</v>
      </c>
      <c r="BZ730" s="136">
        <f>IF($B730="LOSS",IF(AND($K730=BZ$3,$C730="L"),-$O730,0)+IF(AND($K731=BZ$3,$C731="L"),-$O731,0)+IF(AND($K732=BZ$3,$C732="L"),-$O732,0),IF(OR(AND($K730=BZ$3,OR($C730="W",$C730="1/2W")),AND($K731=BZ$3,OR($C731="W",$C731="1/2W")),AND($K732=BZ$3,OR($C732="W",$C732="1/2W"))),$S730,0))</f>
        <v>0</v>
      </c>
      <c r="CA730" s="136">
        <f>IF($B730="LOSS",IF(AND($K730=CA$3,$C730="L"),-$O730,0)+IF(AND($K731=CA$3,$C731="L"),-$O731,0)+IF(AND($K732=CA$3,$C732="L"),-$O732,0),IF(OR(AND($K730=CA$3,OR($C730="W",$C730="1/2W")),AND($K731=CA$3,OR($C731="W",$C731="1/2W")),AND($K732=CA$3,OR($C732="W",$C732="1/2W"))),$S730,0))</f>
        <v>0</v>
      </c>
      <c r="CB730" s="136">
        <f>IF($B730="LOSS",IF(AND($K730=CB$3,$C730="L"),-$O730,0)+IF(AND($K731=CB$3,$C731="L"),-$O731,0)+IF(AND($K732=CB$3,$C732="L"),-$O732,0),IF(OR(AND($K730=CB$3,OR($C730="W",$C730="1/2W")),AND($K731=CB$3,OR($C731="W",$C731="1/2W")),AND($K732=CB$3,OR($C732="W",$C732="1/2W"))),$S730,0))</f>
        <v>0</v>
      </c>
      <c r="CC730" s="136">
        <f>IF($B730="LOSS",IF(AND($K730=CC$3,$C730="L"),-$O730,0)+IF(AND($K731=CC$3,$C731="L"),-$O731,0)+IF(AND($K732=CC$3,$C732="L"),-$O732,0),IF(OR(AND($K730=CC$3,OR($C730="W",$C730="1/2W")),AND($K731=CC$3,OR($C731="W",$C731="1/2W")),AND($K732=CC$3,OR($C732="W",$C732="1/2W"))),$S730,0))</f>
        <v>0</v>
      </c>
      <c r="CD730" s="137">
        <f>IF($B730="LOSS",IF(AND($K730=CD$3,$C730="L"),-$O730,0)+IF(AND($K731=CD$3,$C731="L"),-$O731,0)+IF(AND($K732=CD$3,$C732="L"),-$O732,0),IF(OR(AND($K730=CD$3,OR($C730="W",$C730="1/2W")),AND($K731=CD$3,OR($C731="W",$C731="1/2W")),AND($K732=CD$3,OR($C732="W",$C732="1/2W"))),$S730,0))</f>
        <v>0</v>
      </c>
      <c r="CE730" s="134">
        <f>IF($B730="LOSS",IF(AND($K730=CE$3,$C730="L"),-$O730,0)+IF(AND($K731=CE$3,$C731="L"),-$O731,0)+IF(AND($K732=CE$3,$C732="L"),-$O732,0),IF(OR(AND($K730=CE$3,OR($C730="W",$C730="1/2W")),AND($K731=CE$3,OR($C731="W",$C731="1/2W")),AND($K732=CE$3,OR($C732="W",$C732="1/2W"))),$S730,0))</f>
        <v>0</v>
      </c>
      <c r="CF730" s="273">
        <f>IF(CF$3=$K730,IF($C730="W",1,IF($C730="1/2W",0.5,0)),0)</f>
        <v>0</v>
      </c>
      <c r="CG730" s="274">
        <f>IF(CF$3=$K730,IF($C730="L",1,IF($C730="1/2L",0.5,0)),0)</f>
        <v>0</v>
      </c>
      <c r="CH730" s="274">
        <f>IF(CH$3=$K730,IF($C730="W",1,IF($C730="1/2W",0.5,0)),0)</f>
        <v>0</v>
      </c>
      <c r="CI730" s="274">
        <f>IF(CH$3=$K730,IF($C730="L",1,IF($C730="1/2L",0.5,0)),0)</f>
        <v>1</v>
      </c>
      <c r="CJ730" s="274">
        <f>IF(CJ$3=$K730,IF($C730="W",1,IF($C730="1/2W",0.5,0)),0)</f>
        <v>0</v>
      </c>
      <c r="CK730" s="274">
        <f>IF(CJ$3=$K730,IF($C730="L",1,IF($C730="1/2L",0.5,0)),0)</f>
        <v>0</v>
      </c>
      <c r="CL730" s="274">
        <f>IF(CL$3=$K730,IF($C730="W",1,IF($C730="1/2W",0.5,0)),0)</f>
        <v>0</v>
      </c>
      <c r="CM730" s="274">
        <f>IF(CL$3=$K730,IF($C730="L",1,IF($C730="1/2L",0.5,0)),0)</f>
        <v>0</v>
      </c>
      <c r="CN730" s="274">
        <f>IF(CN$3=$K730,IF($C730="W",1,IF($C730="1/2W",0.5,0)),0)</f>
        <v>0</v>
      </c>
      <c r="CO730" s="274">
        <f>IF(CN$3=$K730,IF($C730="L",1,IF($C730="1/2L",0.5,0)),0)</f>
        <v>0</v>
      </c>
      <c r="CP730" s="274">
        <f>IF(CP$3=$K730,IF($C730="W",1,IF($C730="1/2W",0.5,0)),0)</f>
        <v>0</v>
      </c>
      <c r="CQ730" s="274">
        <f>IF(CP$3=$K730,IF($C730="L",1,IF($C730="1/2L",0.5,0)),0)</f>
        <v>0</v>
      </c>
      <c r="CR730" s="274">
        <f>IF(CR$3=$K730,IF($C730="W",1,IF($C730="1/2W",0.5,0)),0)</f>
        <v>0</v>
      </c>
      <c r="CS730" s="274">
        <f>IF(CR$3=$K730,IF($C730="L",1,IF($C730="1/2L",0.5,0)),0)</f>
        <v>0</v>
      </c>
      <c r="CT730" s="145">
        <f>IF(CT$3=$K730,IF($C730="W",1,IF($C730="1/2W",0.5,0)),0)</f>
        <v>0</v>
      </c>
      <c r="CU730" s="146">
        <f>IF(CT$3=$K730,IF($C730="L",1,IF($C730="1/2L",0.5,0)),0)</f>
        <v>0</v>
      </c>
      <c r="CV730" s="146">
        <f>IF(CV$3=$K730,IF($C730="W",1,IF($C730="1/2W",0.5,0)),0)</f>
        <v>0</v>
      </c>
      <c r="CW730" s="146">
        <f>IF(CV$3=$K730,IF($C730="L",1,IF($C730="1/2L",0.5,0)),0)</f>
        <v>0</v>
      </c>
      <c r="CX730" s="146">
        <f>IF(CX$3=$K730,IF($C730="W",1,IF($C730="1/2W",0.5,0)),0)</f>
        <v>0</v>
      </c>
      <c r="CY730" s="146">
        <f>IF(CX$3=$K730,IF($C730="L",1,IF($C730="1/2L",0.5,0)),0)</f>
        <v>0</v>
      </c>
      <c r="CZ730" s="146">
        <f>IF(CZ$3=$K730,IF($C730="W",1,IF($C730="1/2W",0.5,0)),0)</f>
        <v>0</v>
      </c>
      <c r="DA730" s="146">
        <f>IF(CZ$3=$K730,IF($C730="L",1,IF($C730="1/2L",0.5,0)),0)</f>
        <v>0</v>
      </c>
      <c r="DB730" s="146">
        <f>IF(DB$3=$K730,IF($C730="W",1,IF($C730="1/2W",0.5,0)),0)</f>
        <v>0</v>
      </c>
      <c r="DC730" s="146">
        <f>IF(DB$3=$K730,IF($C730="L",1,IF($C730="1/2L",0.5,0)),0)</f>
        <v>0</v>
      </c>
      <c r="DD730" s="146">
        <f>IF(DD$3=$K730,IF($C730="W",1,IF($C730="1/2W",0.5,0)),0)</f>
        <v>0</v>
      </c>
      <c r="DE730" s="147">
        <f>IF(DD$3=$K730,IF($C730="L",1,IF($C730="1/2L",0.5,0)),0)</f>
        <v>0</v>
      </c>
      <c r="DF730" s="143">
        <f>IF(AND(L730&lt;DF$3,$C730="W"),1+DF729,DF729)</f>
        <v>20</v>
      </c>
      <c r="DG730" s="133">
        <f>IF(DF730&gt;DF729,L730+DG729,DG729)</f>
        <v>26.624</v>
      </c>
      <c r="DH730" s="146">
        <f>IF(AND(L730&gt;DH$3,$C730="W"),1+DH729,0+DH729)</f>
        <v>18</v>
      </c>
      <c r="DI730" s="133">
        <f>IF(DH730&gt;DH729,L730+DI729,DI729)</f>
        <v>93.66</v>
      </c>
      <c r="DJ730" t="s" s="304">
        <f>IF($D730="","",$D730)</f>
        <v>481</v>
      </c>
      <c r="DK730" s="146">
        <f>IF(AND($B730=" ",$D730&lt;&gt;""),1,0)</f>
        <v>0</v>
      </c>
    </row>
    <row r="731" ht="14.55" customHeight="1">
      <c r="A731" s="107"/>
      <c r="B731" s="108"/>
      <c r="C731" t="s" s="109">
        <v>56</v>
      </c>
      <c r="D731" s="110"/>
      <c r="E731" s="111"/>
      <c r="F731" s="113"/>
      <c r="G731" s="252"/>
      <c r="H731" s="114"/>
      <c r="I731" t="s" s="275">
        <v>67</v>
      </c>
      <c r="J731" s="276">
        <f>IF(OR(I730="TO",I730="TU",I730="TO1",I730="TU1",I730="TO2",I730="TU2"),J730,IF(OR(I730="AH1",I730="AH2"),IF(OR(I731="AH1",I731="AH2"),-J730,IF(OR(I731="EH1",I731="EH2"),-J730+0.5,"")),IF(OR(I730="EH1",I730="EH2"),IF(OR(I731="AH1",I731="AH2"),-J730+0.5,IF(OR(I731="EH1",I731="EH2"),-J730+1,"")),IF(AND(OR(I730="DNB1",I730="DNB2"),OR(I731="AH1",I731="AH2")),0,IF(AND(I730="Not ScoreBoth",OR(I731="TO1",I731="TO2")),0.5,"")))))</f>
        <v>5</v>
      </c>
      <c r="K731" t="s" s="117">
        <v>41</v>
      </c>
      <c r="L731" s="277">
        <v>2.17</v>
      </c>
      <c r="M731" s="278">
        <v>11.54</v>
      </c>
      <c r="N731" s="120"/>
      <c r="O731" s="121">
        <f>IF(OR(AE730="",AE731=""),"",ROUND(IF(L732&gt;0,IF(M731&gt;0,M731,IF(M730&gt;0,IF(N730=TRUE,ROUND((M730*AE731)/AE730,0),(M730*AE731)/AE730),IF(M731&gt;0,ROUND(M731,IF(N730=0,2,IF(N730=0.1,1,0))),IF(M732&gt;0,ROUND(O732*AE731/AE732,IF(N730=0,2,IF(N730=0.1,1,0))),0)))),IF(M731&gt;0,M731,ROUND((M730*AE731)/AE730,IF(N730=0,2,IF(N730=0.1,1,0))))),2))</f>
        <v>11.54</v>
      </c>
      <c r="P731" s="122">
        <f>IF(OR(L731="",O731=""),"",IF($C731="1/2W",O731/2+O731/2*L731,IF($C731="1/2L",O731/2,IF(I731="Lay",((O731*(L731/(L731-1)))-O731)*(1-_xlfn.XLOOKUP(K731,'Janeiro 2023 - Valor Real'!A3:A15,'Janeiro 2023 - Valor Real'!C3:C15,0))+O731,(O731*L731-O731)*(1-_xlfn.XLOOKUP(K731,'Janeiro 2023 - Valor Real'!A3:A15,'Janeiro 2023 - Valor Real'!C3:C15,0))+O731))))</f>
        <v>25.0418</v>
      </c>
      <c r="Q731" s="279">
        <f>IF(K731="","",IF(_xlfn.XLOOKUP(K731,K$120:K510,DJ$120:DJ510,0,,-1)=DJ731,_xlfn.XLOOKUP(K731,K$120:K510,Q$120:Q510,1,,-1)+1,1))</f>
        <v>1</v>
      </c>
      <c r="R731" s="280">
        <f>IF(K731="","",_xlfn.XLOOKUP(K731,K$120:K510,R$120:R510,0,,-1)+IF($C731=" ",1,0))</f>
        <v>0</v>
      </c>
      <c r="S731" s="125"/>
      <c r="T731" s="126"/>
      <c r="U731" s="126"/>
      <c r="V731" s="224"/>
      <c r="W731" s="126"/>
      <c r="X731" s="127"/>
      <c r="Y731" s="128"/>
      <c r="Z731" s="129"/>
      <c r="AA731" s="129"/>
      <c r="AB731" s="129"/>
      <c r="AC731" s="129"/>
      <c r="AD731" s="130"/>
      <c r="AE731" s="131">
        <f>IF(L731="","",IF(L732&gt;0,(SUM(((L730-1)*(1-_xlfn.XLOOKUP(K730,'Janeiro 2023 - Valor Real'!A3:A15,'Janeiro 2023 - Valor Real'!C3:C15,0))+1),((L731-1)*(1-_xlfn.XLOOKUP(K731,'Janeiro 2023 - Valor Real'!A3:A15,'Janeiro 2023 - Valor Real'!C3:C15,0))+1),((L732-1)*(1-_xlfn.XLOOKUP(K732,'Janeiro 2023 - Valor Real'!A3:A15,'Janeiro 2023 - Valor Real'!C3:C15,0))+1))/((L731-1)*(1-_xlfn.XLOOKUP(K731,'Janeiro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Real'!C3:C15,0))+1))/((L730-1)*(1-_xlfn.XLOOKUP(K730,'Janeiro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Real'!C3:C15,0))+1))/((L731-1)*(1-_xlfn.XLOOKUP(K731,'Janeiro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Real'!C3:C15,0))+1))/((L732-1)*(1-_xlfn.XLOOKUP(K732,'Janeiro 2023 - Valor Real'!A3:A15,'Janeiro 2023 - Valor Real'!C3:C15,0))+1)),IF(I731="Lay",IF(I730="Lay",((L730/(L730-1)-1)*(1-_xlfn.XLOOKUP(K730,'Janeiro 2023 - Valor Real'!A3:A15,'Janeiro 2023 - Valor Real'!C3:C15,0))+1)/(((L730/(L730-1)-1)*(1-_xlfn.XLOOKUP(K730,'Janeiro 2023 - Valor Real'!A3:A15,'Janeiro 2023 - Valor Real'!C3:C15,0))+1)+((L731/(L731-1)-1)*(1-_xlfn.XLOOKUP(K731,'Janeiro 2023 - Valor Real'!A3:A15,'Janeiro 2023 - Valor Real'!C3:C15,0))+1)),((L730-1)*(1-_xlfn.XLOOKUP(K730,'Janeiro 2023 - Valor Real'!A3:A15,'Janeiro 2023 - Valor Real'!C3:C15,0))+1)/(((L730-1)*(1-_xlfn.XLOOKUP(K730,'Janeiro 2023 - Valor Real'!A3:A15,'Janeiro 2023 - Valor Real'!C3:C15,0))+1)+((L731/(L731-1)-1)*(1-_xlfn.XLOOKUP(K731,'Janeiro 2023 - Valor Real'!A3:A15,'Janeiro 2023 - Valor Real'!C3:C15,0))+1))),IF(I730="Lay",((L730/(L730-1)-1)*(1-_xlfn.XLOOKUP(K730,'Janeiro 2023 - Valor Real'!A3:A15,'Janeiro 2023 - Valor Real'!C3:C15,0))+1)/((((L730/(L730-1)-1)*(1-_xlfn.XLOOKUP(K730,'Janeiro 2023 - Valor Real'!A3:A15,'Janeiro 2023 - Valor Real'!C3:C15,0))+1))+((L731-1)*(1-_xlfn.XLOOKUP(K731,'Janeiro 2023 - Valor Real'!A3:A15,'Janeiro 2023 - Valor Real'!C3:C15,0))+1)),((L730-1)*(1-_xlfn.XLOOKUP(K730,'Janeiro 2023 - Valor Real'!A3:A15,'Janeiro 2023 - Valor Real'!C3:C15,0))+1)/(((L730-1)*(1-_xlfn.XLOOKUP(K730,'Janeiro 2023 - Valor Real'!A3:A15,'Janeiro 2023 - Valor Real'!C3:C15,0))+1)+((L731-1)*(1-_xlfn.XLOOKUP(K731,'Janeiro 2023 - Valor Real'!A3:A15,'Janeiro 2023 - Valor Real'!C3:C15,0))+1))))))</f>
        <v>0.479616306954436</v>
      </c>
      <c r="AF731" s="132">
        <f>IF($K731=AF$3,ROUND(IF(OR($C731="W",$C731="1/2W",$C731="1/2L"),$P731-$O731,IF($C731="X",0,-$O731)),2),0)</f>
        <v>0</v>
      </c>
      <c r="AG731" s="133">
        <f>IF($K731=AG$3,ROUND(IF(OR($C731="W",$C731="1/2W",$C731="1/2L"),$P731-$O731,IF($C731="X",0,-$O731)),2),0)</f>
        <v>0</v>
      </c>
      <c r="AH731" s="133">
        <f>IF($K731=AH$3,ROUND(IF(OR($C731="W",$C731="1/2W",$C731="1/2L"),$P731-$O731,IF($C731="X",0,-$O731)),2),0)</f>
        <v>0</v>
      </c>
      <c r="AI731" s="133">
        <f>IF($K731=AI$3,ROUND(IF(OR($C731="W",$C731="1/2W",$C731="1/2L"),$P731-$O731,IF($C731="X",0,-$O731)),2),0)</f>
        <v>0</v>
      </c>
      <c r="AJ731" s="133">
        <f>IF($K731=AJ$3,ROUND(IF(OR($C731="W",$C731="1/2W",$C731="1/2L"),$P731-$O731,IF($C731="X",0,-$O731)),2),0)</f>
        <v>13.5</v>
      </c>
      <c r="AK731" s="133">
        <f>IF($K731=AK$3,ROUND(IF(OR($C731="W",$C731="1/2W",$C731="1/2L"),$P731-$O731,IF($C731="X",0,-$O731)),2),0)</f>
        <v>0</v>
      </c>
      <c r="AL731" s="133">
        <f>IF($K731=AL$3,ROUND(IF(OR($C731="W",$C731="1/2W",$C731="1/2L"),$P731-$O731,IF($C731="X",0,-$O731)),2),0)</f>
        <v>0</v>
      </c>
      <c r="AM731" s="133">
        <f>IF($K731=AM$3,ROUND(IF(OR($C731="W",$C731="1/2W",$C731="1/2L"),$P731-$O731,IF($C731="X",0,-$O731)),2),0)</f>
        <v>0</v>
      </c>
      <c r="AN731" s="133">
        <f>IF($K731=AN$3,ROUND(IF(OR($C731="W",$C731="1/2W",$C731="1/2L"),$P731-$O731,IF($C731="X",0,-$O731)),2),0)</f>
        <v>0</v>
      </c>
      <c r="AO731" s="133">
        <f>IF($K731=AO$3,ROUND(IF(OR($C731="W",$C731="1/2W",$C731="1/2L"),$P731-$O731,IF($C731="X",0,-$O731)),2),0)</f>
        <v>0</v>
      </c>
      <c r="AP731" s="133">
        <f>IF($K731=AP$3,ROUND(IF(OR($C731="W",$C731="1/2W",$C731="1/2L"),$P731-$O731,IF($C731="X",0,-$O731)),2),0)</f>
        <v>0</v>
      </c>
      <c r="AQ731" s="133">
        <f>IF($K731=AQ$3,ROUND(IF(OR($C731="W",$C731="1/2W",$C731="1/2L"),$P731-$O731,IF($C731="X",0,-$O731)),2),0)</f>
        <v>0</v>
      </c>
      <c r="AR731" s="134">
        <f>IF($K731=AR$3,ROUND(IF(OR($C731="W",$C731="1/2W",$C731="1/2L"),$P731-$O731,IF($C731="X",0,-$O731)),2),0)</f>
        <v>0</v>
      </c>
      <c r="AS731" s="132">
        <f>IF(AND($B730=" ",$K731=AS$3),$O731,0)</f>
        <v>0</v>
      </c>
      <c r="AT731" s="133">
        <f>IF(AND($B730=" ",K731=AT$3),$O731,0)</f>
        <v>0</v>
      </c>
      <c r="AU731" s="133">
        <f>IF(AND($B730=" ",$K731=AU$3),$O731,0)</f>
        <v>0</v>
      </c>
      <c r="AV731" s="133">
        <f>IF(AND($B730=" ",$K731=AV$3),$O731,0)</f>
        <v>0</v>
      </c>
      <c r="AW731" s="133">
        <f>IF(AND($B730=" ",$K731=AW$3),$O731,0)</f>
        <v>0</v>
      </c>
      <c r="AX731" s="133">
        <f>IF(AND($B730=" ",$K731=AX$3),$O731,0)</f>
        <v>0</v>
      </c>
      <c r="AY731" s="135">
        <f>IF(AND($B730=" ",$K731=AY$3),$O731,0)</f>
        <v>0</v>
      </c>
      <c r="AZ731" s="136">
        <f>IF(AND($B730=" ",$K731=AZ$3),$O731,0)</f>
        <v>0</v>
      </c>
      <c r="BA731" s="136">
        <f>IF(AND($B730=" ",$K731=BA$3),$O731,0)</f>
        <v>0</v>
      </c>
      <c r="BB731" s="136">
        <f>IF(AND($B730=" ",$K731=BB$3),$O731,0)</f>
        <v>0</v>
      </c>
      <c r="BC731" s="137">
        <f>IF(AND($B730=" ",$K731=BC$3),$O731,0)</f>
        <v>0</v>
      </c>
      <c r="BD731" s="133">
        <f>IF(AND($B730=" ",$K731=BD$3),$O731,0)</f>
        <v>0</v>
      </c>
      <c r="BE731" s="134">
        <f>IF(AND($B730=" ",$K731=BE$3),$O731,0)</f>
        <v>0</v>
      </c>
      <c r="BF731" s="132">
        <f>IF($K731=BF$3,IF($C731="X",0,$O731),0)</f>
        <v>0</v>
      </c>
      <c r="BG731" s="281">
        <f>IF($K731=BG$3,IF($C731="X",0,$O731),0)</f>
        <v>0</v>
      </c>
      <c r="BH731" s="133">
        <f>IF($K731=BH$3,IF($C731="X",0,$O731),0)</f>
        <v>0</v>
      </c>
      <c r="BI731" s="133">
        <f>IF($K731=BI$3,IF($C731="X",0,$O731),0)</f>
        <v>0</v>
      </c>
      <c r="BJ731" s="133">
        <f>IF($K731=BJ$3,IF($C731="X",0,$O731),0)</f>
        <v>11.54</v>
      </c>
      <c r="BK731" s="133">
        <f>IF($K731=BK$3,IF($C731="X",0,$O731),0)</f>
        <v>0</v>
      </c>
      <c r="BL731" s="133">
        <f>IF($K731=BL$3,IF($C731="X",0,$O731),0)</f>
        <v>0</v>
      </c>
      <c r="BM731" s="135">
        <f>IF($K731=BM$3,IF($C731="X",0,$O731),0)</f>
        <v>0</v>
      </c>
      <c r="BN731" s="136">
        <f>IF($K731=BN$3,IF($C731="X",0,$O731),0)</f>
        <v>0</v>
      </c>
      <c r="BO731" s="136">
        <f>IF($K731=BO$3,IF($C731="X",0,$O731),0)</f>
        <v>0</v>
      </c>
      <c r="BP731" s="136">
        <f>IF($K731=BP$3,IF($C731="X",0,$O731),0)</f>
        <v>0</v>
      </c>
      <c r="BQ731" s="137">
        <f>IF($K731=BQ$3,IF($C731="X",0,$O731),0)</f>
        <v>0</v>
      </c>
      <c r="BR731" s="134">
        <f>IF($K731=BR$3,IF($C731="X",0,$O731),0)</f>
        <v>0</v>
      </c>
      <c r="BS731" s="282"/>
      <c r="BT731" s="283"/>
      <c r="BU731" s="140"/>
      <c r="BV731" s="283"/>
      <c r="BW731" s="140"/>
      <c r="BX731" s="140"/>
      <c r="BY731" s="140"/>
      <c r="BZ731" s="283"/>
      <c r="CA731" s="140"/>
      <c r="CB731" s="140"/>
      <c r="CC731" s="140"/>
      <c r="CD731" s="141"/>
      <c r="CE731" s="142"/>
      <c r="CF731" s="284">
        <f>IF(CF$3=$K731,IF($C731="W",1,IF($C731="1/2W",0.5,0)),0)</f>
        <v>0</v>
      </c>
      <c r="CG731" s="285">
        <f>IF(CF$3=$K731,IF($C731="L",1,IF($C731="1/2L",0.5,0)),0)</f>
        <v>0</v>
      </c>
      <c r="CH731" s="285">
        <f>IF(CH$3=$K731,IF($C731="W",1,IF($C731="1/2W",0.5,0)),0)</f>
        <v>0</v>
      </c>
      <c r="CI731" s="285">
        <f>IF(CH$3=$K731,IF($C731="L",1,IF($C731="1/2L",0.5,0)),0)</f>
        <v>0</v>
      </c>
      <c r="CJ731" s="285">
        <f>IF(CJ$3=$K731,IF($C731="W",1,IF($C731="1/2W",0.5,0)),0)</f>
        <v>0</v>
      </c>
      <c r="CK731" s="285">
        <f>IF(CJ$3=$K731,IF($C731="L",1,IF($C731="1/2L",0.5,0)),0)</f>
        <v>0</v>
      </c>
      <c r="CL731" s="285">
        <f>IF(CL$3=$K731,IF($C731="W",1,IF($C731="1/2W",0.5,0)),0)</f>
        <v>0</v>
      </c>
      <c r="CM731" s="285">
        <f>IF(CL$3=$K731,IF($C731="L",1,IF($C731="1/2L",0.5,0)),0)</f>
        <v>0</v>
      </c>
      <c r="CN731" s="285">
        <f>IF(CN$3=$K731,IF($C731="W",1,IF($C731="1/2W",0.5,0)),0)</f>
        <v>1</v>
      </c>
      <c r="CO731" s="285">
        <f>IF(CN$3=$K731,IF($C731="L",1,IF($C731="1/2L",0.5,0)),0)</f>
        <v>0</v>
      </c>
      <c r="CP731" s="285">
        <f>IF(CP$3=$K731,IF($C731="W",1,IF($C731="1/2W",0.5,0)),0)</f>
        <v>0</v>
      </c>
      <c r="CQ731" s="285">
        <f>IF(CP$3=$K731,IF($C731="L",1,IF($C731="1/2L",0.5,0)),0)</f>
        <v>0</v>
      </c>
      <c r="CR731" s="285">
        <f>IF(CR$3=$K731,IF($C731="W",1,IF($C731="1/2W",0.5,0)),0)</f>
        <v>0</v>
      </c>
      <c r="CS731" s="285">
        <f>IF(CR$3=$K731,IF($C731="L",1,IF($C731="1/2L",0.5,0)),0)</f>
        <v>0</v>
      </c>
      <c r="CT731" s="145">
        <f>IF(CT$3=$K731,IF($C731="W",1,IF($C731="1/2W",0.5,0)),0)</f>
        <v>0</v>
      </c>
      <c r="CU731" s="146">
        <f>IF(CT$3=$K731,IF($C731="L",1,IF($C731="1/2L",0.5,0)),0)</f>
        <v>0</v>
      </c>
      <c r="CV731" s="146">
        <f>IF(CV$3=$K731,IF($C731="W",1,IF($C731="1/2W",0.5,0)),0)</f>
        <v>0</v>
      </c>
      <c r="CW731" s="146">
        <f>IF(CV$3=$K731,IF($C731="L",1,IF($C731="1/2L",0.5,0)),0)</f>
        <v>0</v>
      </c>
      <c r="CX731" s="146">
        <f>IF(CX$3=$K731,IF($C731="W",1,IF($C731="1/2W",0.5,0)),0)</f>
        <v>0</v>
      </c>
      <c r="CY731" s="146">
        <f>IF(CX$3=$K731,IF($C731="L",1,IF($C731="1/2L",0.5,0)),0)</f>
        <v>0</v>
      </c>
      <c r="CZ731" s="146">
        <f>IF(CZ$3=$K731,IF($C731="W",1,IF($C731="1/2W",0.5,0)),0)</f>
        <v>0</v>
      </c>
      <c r="DA731" s="146">
        <f>IF(CZ$3=$K731,IF($C731="L",1,IF($C731="1/2L",0.5,0)),0)</f>
        <v>0</v>
      </c>
      <c r="DB731" s="146">
        <f>IF(DB$3=$K731,IF($C731="W",1,IF($C731="1/2W",0.5,0)),0)</f>
        <v>0</v>
      </c>
      <c r="DC731" s="146">
        <f>IF(DB$3=$K731,IF($C731="L",1,IF($C731="1/2L",0.5,0)),0)</f>
        <v>0</v>
      </c>
      <c r="DD731" s="146">
        <f>IF(DD$3=$K731,IF($C731="W",1,IF($C731="1/2W",0.5,0)),0)</f>
        <v>0</v>
      </c>
      <c r="DE731" s="147">
        <f>IF(DD$3=$K731,IF($C731="L",1,IF($C731="1/2L",0.5,0)),0)</f>
        <v>0</v>
      </c>
      <c r="DF731" s="143">
        <f>IF(AND(L731&lt;DF$3,$C731="W"),1+DF730,DF730)</f>
        <v>20</v>
      </c>
      <c r="DG731" s="133">
        <f>IF(DF731&gt;DF730,L731+DG730,DG730)</f>
        <v>26.624</v>
      </c>
      <c r="DH731" s="146">
        <f>IF(AND(L731&gt;DH$3,$C731="W"),1+DH730,0+DH730)</f>
        <v>18</v>
      </c>
      <c r="DI731" s="133">
        <f>IF(DH731&gt;DH730,L731+DI730,DI730)</f>
        <v>93.66</v>
      </c>
      <c r="DJ731" t="s" s="304">
        <f>IF($D730="","",$D730)</f>
        <v>481</v>
      </c>
      <c r="DK731" s="286"/>
    </row>
    <row r="732" ht="14.55" customHeight="1">
      <c r="A732" s="149"/>
      <c r="B732" s="150"/>
      <c r="C732" t="s" s="151">
        <v>58</v>
      </c>
      <c r="D732" s="152"/>
      <c r="E732" s="153"/>
      <c r="F732" s="155"/>
      <c r="G732" s="252"/>
      <c r="H732" s="156"/>
      <c r="I732" s="287"/>
      <c r="J732" s="288"/>
      <c r="K732" s="156"/>
      <c r="L732" s="289"/>
      <c r="M732" s="290"/>
      <c r="N732" s="161"/>
      <c r="O732" t="s" s="162">
        <f>IF(OR(AE730="",AE731=""),"",IF(L732&gt;0,ROUND(IF(M732&gt;0,M732,IF(M730&gt;0,ROUND((M730*AE732)/AE730,IF(N730=0,2,IF(N730=0.1,1,0))),IF(M731&gt;0,ROUND((M731*AE732)/AE731,IF(N730=0,2,IF(N730=0.1,1,0))),IF(M732&gt;0,M732,0)))),2),""))</f>
      </c>
      <c r="P732" t="s" s="163">
        <f>IF(I731="Lay",O731*(L731/(L731-1))-O731,IF(I730="Lay",O730*(L730/(L730-1))-O730,IF(OR(L732="",O732=""),"",IF($C732="1/2W",O732/2+O732/2*L732,IF($C732="1/2L",O732/2,(O732*L732-O732)*(1-_xlfn.XLOOKUP(K732,'Janeiro 2023 - Valor Real'!A3:A15,'Janeiro 2023 - Valor Real'!C3:C15,0))+O732)))))</f>
      </c>
      <c r="Q732" t="s" s="154">
        <f>IF(K732="","",IF(_xlfn.XLOOKUP(K732,K$121:K511,DJ$121:DJ511,0,,-1)=DJ732,_xlfn.XLOOKUP(K732,K$121:K511,Q$121:Q511,1,,-1)+1,1))</f>
      </c>
      <c r="R732" t="s" s="163">
        <f>IF(K732="","",_xlfn.XLOOKUP(K732,K$121:K511,R$121:R511,0,,-1)+IF($C732=" ",1,0))</f>
      </c>
      <c r="S732" s="166"/>
      <c r="T732" s="155"/>
      <c r="U732" s="155"/>
      <c r="V732" s="166"/>
      <c r="W732" s="155"/>
      <c r="X732" s="167"/>
      <c r="Y732" s="128"/>
      <c r="Z732" s="129"/>
      <c r="AA732" s="129"/>
      <c r="AB732" s="129"/>
      <c r="AC732" s="129"/>
      <c r="AD732" s="168"/>
      <c r="AE732" t="s" s="169">
        <f>IF(L732="","",(SUM(((L730-1)*(1-_xlfn.XLOOKUP(K730,'Janeiro 2023 - Valor Real'!A3:A15,'Janeiro 2023 - Valor Real'!C3:C15,0))+1),((L731-1)*(1-_xlfn.XLOOKUP(K731,'Janeiro 2023 - Valor Real'!A3:A15,'Janeiro 2023 - Valor Real'!C3:C15,0))+1),((L732-1)*(1-_xlfn.XLOOKUP(K732,'Janeiro 2023 - Valor Real'!A3:A15,'Janeiro 2023 - Valor Real'!C3:C15,0))+1))/((L732-1)*(1-_xlfn.XLOOKUP(K732,'Janeiro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Real'!C3:C15,0))+1))/((L730-1)*(1-_xlfn.XLOOKUP(K730,'Janeiro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Real'!C3:C15,0))+1))/((L731-1)*(1-_xlfn.XLOOKUP(K731,'Janeiro 2023 - Valor Real'!A3:A15,'Janeiro 2023 - Valor Real'!C3:C15,0))+1)+SUM(((L730-1)*(1-_xlfn.XLOOKUP(K730,'Janeiro 2023 - Valor Real'!A3:A15,'Janeiro 2023 - Valor Real'!C3:C15,0))+1),((L731-1)*(1-_xlfn.XLOOKUP(K731,'Janeiro 2023 - Valor Real'!A3:A15,'Janeiro 2023 - Valor Real'!C3:C15,0))+1),((L732-1)*(1-_xlfn.XLOOKUP(K732,'Janeiro 2023 - Valor Real'!A3:A15,'Janeiro 2023 - Valor Real'!C3:C15,0))+1))/((L732-1)*(1-_xlfn.XLOOKUP(K732,'Janeiro 2023 - Valor Real'!A3:A15,'Janeiro 2023 - Valor Real'!C3:C15,0))+1)))</f>
      </c>
      <c r="AF732" s="132">
        <f>IF($K732=AF$3,ROUND(IF(OR($C732="W",$C732="1/2W",$C732="1/2L"),$P732-$O732,IF($C732="X",0,-$O732)),2),0)</f>
        <v>0</v>
      </c>
      <c r="AG732" s="133">
        <f>IF($K732=AG$3,ROUND(IF(OR($C732="W",$C732="1/2W",$C732="1/2L"),$P732-$O732,IF($C732="X",0,-$O732)),2),0)</f>
        <v>0</v>
      </c>
      <c r="AH732" s="133">
        <f>IF($K732=AH$3,ROUND(IF(OR($C732="W",$C732="1/2W",$C732="1/2L"),$P732-$O732,IF($C732="X",0,-$O732)),2),0)</f>
        <v>0</v>
      </c>
      <c r="AI732" s="133">
        <f>IF($K732=AI$3,ROUND(IF(OR($C732="W",$C732="1/2W",$C732="1/2L"),$P732-$O732,IF($C732="X",0,-$O732)),2),0)</f>
        <v>0</v>
      </c>
      <c r="AJ732" s="133">
        <f>IF($K732=AJ$3,ROUND(IF(OR($C732="W",$C732="1/2W",$C732="1/2L"),$P732-$O732,IF($C732="X",0,-$O732)),2),0)</f>
        <v>0</v>
      </c>
      <c r="AK732" s="133">
        <f>IF($K732=AK$3,ROUND(IF(OR($C732="W",$C732="1/2W",$C732="1/2L"),$P732-$O732,IF($C732="X",0,-$O732)),2),0)</f>
        <v>0</v>
      </c>
      <c r="AL732" s="133">
        <f>IF($K732=AL$3,ROUND(IF(OR($C732="W",$C732="1/2W",$C732="1/2L"),$P732-$O732,IF($C732="X",0,-$O732)),2),0)</f>
        <v>0</v>
      </c>
      <c r="AM732" s="133">
        <f>IF($K732=AM$3,ROUND(IF(OR($C732="W",$C732="1/2W",$C732="1/2L"),$P732-$O732,IF($C732="X",0,-$O732)),2),0)</f>
        <v>0</v>
      </c>
      <c r="AN732" s="133">
        <f>IF($K732=AN$3,ROUND(IF(OR($C732="W",$C732="1/2W",$C732="1/2L"),$P732-$O732,IF($C732="X",0,-$O732)),2),0)</f>
        <v>0</v>
      </c>
      <c r="AO732" s="133">
        <f>IF($K732=AO$3,ROUND(IF(OR($C732="W",$C732="1/2W",$C732="1/2L"),$P732-$O732,IF($C732="X",0,-$O732)),2),0)</f>
        <v>0</v>
      </c>
      <c r="AP732" s="133">
        <f>IF($K732=AP$3,ROUND(IF(OR($C732="W",$C732="1/2W",$C732="1/2L"),$P732-$O732,IF($C732="X",0,-$O732)),2),0)</f>
        <v>0</v>
      </c>
      <c r="AQ732" s="133">
        <f>IF($K732=AQ$3,ROUND(IF(OR($C732="W",$C732="1/2W",$C732="1/2L"),$P732-$O732,IF($C732="X",0,-$O732)),2),0)</f>
        <v>0</v>
      </c>
      <c r="AR732" s="134">
        <f>IF($K732=AR$3,ROUND(IF(OR($C732="W",$C732="1/2W",$C732="1/2L"),$P732-$O732,IF($C732="X",0,-$O732)),2),0)</f>
        <v>0</v>
      </c>
      <c r="AS732" s="132">
        <f>IF(AND($B730=" ",$K732=AS$3),$O732,0)</f>
        <v>0</v>
      </c>
      <c r="AT732" s="133">
        <f>IF(AND($B730=" ",K732=AT$3),$O732,0)</f>
        <v>0</v>
      </c>
      <c r="AU732" s="133">
        <f>IF(AND($B730=" ",$K732=AU$3),$O732,0)</f>
        <v>0</v>
      </c>
      <c r="AV732" s="133">
        <f>IF(AND($B730=" ",$K732=AV$3),$O732,0)</f>
        <v>0</v>
      </c>
      <c r="AW732" s="133">
        <f>IF(AND($B730=" ",$K732=AW$3),$O732,0)</f>
        <v>0</v>
      </c>
      <c r="AX732" s="133">
        <f>IF(AND($B730=" ",$K732=AX$3),$O732,0)</f>
        <v>0</v>
      </c>
      <c r="AY732" s="135">
        <f>IF(AND($B730=" ",$K732=AY$3),$O732,0)</f>
        <v>0</v>
      </c>
      <c r="AZ732" s="136">
        <f>IF(AND($B730=" ",$K732=AZ$3),$O732,0)</f>
        <v>0</v>
      </c>
      <c r="BA732" s="136">
        <f>IF(AND($B730=" ",$K732=BA$3),$O732,0)</f>
        <v>0</v>
      </c>
      <c r="BB732" s="136">
        <f>IF(AND($B730=" ",$K732=BB$3),$O732,0)</f>
        <v>0</v>
      </c>
      <c r="BC732" s="137">
        <f>IF(AND($B730=" ",$K732=BC$3),$O732,0)</f>
        <v>0</v>
      </c>
      <c r="BD732" s="133">
        <f>IF(AND($B730=" ",$K732=BD$3),$O732,0)</f>
        <v>0</v>
      </c>
      <c r="BE732" s="134">
        <f>IF(AND($B730=" ",$K732=BE$3),$O732,0)</f>
        <v>0</v>
      </c>
      <c r="BF732" s="132">
        <f>IF($K732=BF$3,IF($C732="X",0,$O732),0)</f>
        <v>0</v>
      </c>
      <c r="BG732" s="281">
        <f>IF($K732=BG$3,IF($C732="X",0,$O732),0)</f>
        <v>0</v>
      </c>
      <c r="BH732" s="133">
        <f>IF($K732=BH$3,IF($C732="X",0,$O732),0)</f>
        <v>0</v>
      </c>
      <c r="BI732" s="133">
        <f>IF($K732=BI$3,IF($C732="X",0,$O732),0)</f>
        <v>0</v>
      </c>
      <c r="BJ732" s="133">
        <f>IF($K732=BJ$3,IF($C732="X",0,$O732),0)</f>
        <v>0</v>
      </c>
      <c r="BK732" s="133">
        <f>IF($K732=BK$3,IF($C732="X",0,$O732),0)</f>
        <v>0</v>
      </c>
      <c r="BL732" s="133">
        <f>IF($K732=BL$3,IF($C732="X",0,$O732),0)</f>
        <v>0</v>
      </c>
      <c r="BM732" s="135">
        <f>IF($K732=BM$3,IF($C732="X",0,$O732),0)</f>
        <v>0</v>
      </c>
      <c r="BN732" s="136">
        <f>IF($K732=BN$3,IF($C732="X",0,$O732),0)</f>
        <v>0</v>
      </c>
      <c r="BO732" s="136">
        <f>IF($K732=BO$3,IF($C732="X",0,$O732),0)</f>
        <v>0</v>
      </c>
      <c r="BP732" s="136">
        <f>IF($K732=BP$3,IF($C732="X",0,$O732),0)</f>
        <v>0</v>
      </c>
      <c r="BQ732" s="137">
        <f>IF($K732=BQ$3,IF($C732="X",0,$O732),0)</f>
        <v>0</v>
      </c>
      <c r="BR732" s="134">
        <f>IF($K732=BR$3,IF($C732="X",0,$O732),0)</f>
        <v>0</v>
      </c>
      <c r="BS732" s="282"/>
      <c r="BT732" s="283"/>
      <c r="BU732" s="140"/>
      <c r="BV732" s="283"/>
      <c r="BW732" s="140"/>
      <c r="BX732" s="140"/>
      <c r="BY732" s="140"/>
      <c r="BZ732" s="283"/>
      <c r="CA732" s="140"/>
      <c r="CB732" s="140"/>
      <c r="CC732" s="140"/>
      <c r="CD732" s="141"/>
      <c r="CE732" s="142"/>
      <c r="CF732" s="284">
        <f>IF(CF$3=$K732,IF($C732="W",1,IF($C732="1/2W",0.5,0)),0)</f>
        <v>0</v>
      </c>
      <c r="CG732" s="285">
        <f>IF(CF$3=$K732,IF($C732="L",1,IF($C732="1/2L",0.5,0)),0)</f>
        <v>0</v>
      </c>
      <c r="CH732" s="285">
        <f>IF(CH$3=$K732,IF($C732="W",1,IF($C732="1/2W",0.5,0)),0)</f>
        <v>0</v>
      </c>
      <c r="CI732" s="285">
        <f>IF(CH$3=$K732,IF($C732="L",1,IF($C732="1/2L",0.5,0)),0)</f>
        <v>0</v>
      </c>
      <c r="CJ732" s="285">
        <f>IF(CJ$3=$K732,IF($C732="W",1,IF($C732="1/2W",0.5,0)),0)</f>
        <v>0</v>
      </c>
      <c r="CK732" s="285">
        <f>IF(CJ$3=$K732,IF($C732="L",1,IF($C732="1/2L",0.5,0)),0)</f>
        <v>0</v>
      </c>
      <c r="CL732" s="285">
        <f>IF(CL$3=$K732,IF($C732="W",1,IF($C732="1/2W",0.5,0)),0)</f>
        <v>0</v>
      </c>
      <c r="CM732" s="285">
        <f>IF(CL$3=$K732,IF($C732="L",1,IF($C732="1/2L",0.5,0)),0)</f>
        <v>0</v>
      </c>
      <c r="CN732" s="285">
        <f>IF(CN$3=$K732,IF($C732="W",1,IF($C732="1/2W",0.5,0)),0)</f>
        <v>0</v>
      </c>
      <c r="CO732" s="285">
        <f>IF(CN$3=$K732,IF($C732="L",1,IF($C732="1/2L",0.5,0)),0)</f>
        <v>0</v>
      </c>
      <c r="CP732" s="285">
        <f>IF(CP$3=$K732,IF($C732="W",1,IF($C732="1/2W",0.5,0)),0)</f>
        <v>0</v>
      </c>
      <c r="CQ732" s="285">
        <f>IF(CP$3=$K732,IF($C732="L",1,IF($C732="1/2L",0.5,0)),0)</f>
        <v>0</v>
      </c>
      <c r="CR732" s="285">
        <f>IF(CR$3=$K732,IF($C732="W",1,IF($C732="1/2W",0.5,0)),0)</f>
        <v>0</v>
      </c>
      <c r="CS732" s="285">
        <f>IF(CR$3=$K732,IF($C732="L",1,IF($C732="1/2L",0.5,0)),0)</f>
        <v>0</v>
      </c>
      <c r="CT732" s="145">
        <f>IF(CT$3=$K732,IF($C732="W",1,IF($C732="1/2W",0.5,0)),0)</f>
        <v>0</v>
      </c>
      <c r="CU732" s="146">
        <f>IF(CT$3=$K732,IF($C732="L",1,IF($C732="1/2L",0.5,0)),0)</f>
        <v>0</v>
      </c>
      <c r="CV732" s="146">
        <f>IF(CV$3=$K732,IF($C732="W",1,IF($C732="1/2W",0.5,0)),0)</f>
        <v>0</v>
      </c>
      <c r="CW732" s="146">
        <f>IF(CV$3=$K732,IF($C732="L",1,IF($C732="1/2L",0.5,0)),0)</f>
        <v>0</v>
      </c>
      <c r="CX732" s="146">
        <f>IF(CX$3=$K732,IF($C732="W",1,IF($C732="1/2W",0.5,0)),0)</f>
        <v>0</v>
      </c>
      <c r="CY732" s="146">
        <f>IF(CX$3=$K732,IF($C732="L",1,IF($C732="1/2L",0.5,0)),0)</f>
        <v>0</v>
      </c>
      <c r="CZ732" s="146">
        <f>IF(CZ$3=$K732,IF($C732="W",1,IF($C732="1/2W",0.5,0)),0)</f>
        <v>0</v>
      </c>
      <c r="DA732" s="146">
        <f>IF(CZ$3=$K732,IF($C732="L",1,IF($C732="1/2L",0.5,0)),0)</f>
        <v>0</v>
      </c>
      <c r="DB732" s="146">
        <f>IF(DB$3=$K732,IF($C732="W",1,IF($C732="1/2W",0.5,0)),0)</f>
        <v>0</v>
      </c>
      <c r="DC732" s="146">
        <f>IF(DB$3=$K732,IF($C732="L",1,IF($C732="1/2L",0.5,0)),0)</f>
        <v>0</v>
      </c>
      <c r="DD732" s="146">
        <f>IF(DD$3=$K732,IF($C732="W",1,IF($C732="1/2W",0.5,0)),0)</f>
        <v>0</v>
      </c>
      <c r="DE732" s="147">
        <f>IF(DD$3=$K732,IF($C732="L",1,IF($C732="1/2L",0.5,0)),0)</f>
        <v>0</v>
      </c>
      <c r="DF732" s="143">
        <f>IF(AND(L732&lt;DF$3,$C732="W"),1+DF731,DF731)</f>
        <v>20</v>
      </c>
      <c r="DG732" s="133">
        <f>IF(DF732&gt;DF731,L732+DG731,DG731)</f>
        <v>26.624</v>
      </c>
      <c r="DH732" s="146">
        <f>IF(AND(L732&gt;DH$3,$C732="W"),1+DH731,0+DH731)</f>
        <v>18</v>
      </c>
      <c r="DI732" s="133">
        <f>IF(DH732&gt;DH731,L732+DI731,DI731)</f>
        <v>93.66</v>
      </c>
      <c r="DJ732" t="s" s="304">
        <f>IF($D730="","",$D730)</f>
        <v>481</v>
      </c>
      <c r="DK732" s="286"/>
    </row>
    <row r="733" ht="14.55" customHeight="1">
      <c r="A733" s="171">
        <f>$A730+1</f>
        <v>244</v>
      </c>
      <c r="B733" t="s" s="172">
        <f>IF(AND(_xlfn.XLOOKUP(H733,H$122:H506,G$122:G506,0)=G733,_xlfn.XLOOKUP("TempoBet",K733:K735,L733:L735,0)&gt;0),"X",IF(OR(C733="W",C734="W",C735="W",C733="1/2W",C734="1/2W",C735="1/2W",C733="1/2L",C734="1/2L",C735="1/2L"),"OK",IF(OR(C733="L",C734="L",C735="L"),"LOSS",IF(OR(C733="X",C734="X",C735="X"),"Anulado"," "))))</f>
        <v>50</v>
      </c>
      <c r="C733" t="s" s="173">
        <v>56</v>
      </c>
      <c r="D733" t="s" s="305">
        <f>IF(G733="","",$D730)</f>
        <v>481</v>
      </c>
      <c r="E733" t="s" s="175">
        <f>IF(G733=""," ","– "&amp;COUNTIF(D$4:D735,$D733))</f>
        <v>152</v>
      </c>
      <c r="F733" t="s" s="176">
        <f>IF(G733="","",IF(OR(AND($C733&lt;&gt;" ",$C734=" "),AND($C734&lt;&gt;" ",$C733=" "),AND(L735&gt;0,OR(AND($C735&lt;&gt;" ",OR($C733=" ",$C734=" ")),AND($C735=" ",OR($C733&lt;&gt;" ",$C734&lt;&gt;" "))))),IF(SUM(F$4:F732)=0,1,LARGE(F$4:F732,1)+1),IF(MONTH(G733)=MONTH(TODAY()),IF(AND(DAY(G733)&lt;DAY(TODAY()),$B733=" "),IF(SUM(F$4:F732)=0,1,LARGE(F$4:F732,1)+1),IF($B733=" ",IF(AND(DAY(G733)=DAY(TODAY()),HOUR(G733)&lt;=HOUR(NOW())+1),IF(AND(HOUR(G733)+2&lt;=HOUR(NOW()),DAY(G733)&lt;=DAY(TODAY()),MINUTE(G733)&lt;=MINUTE(NOW())),IF(SUM(F$4:F732)=0,1,LARGE(F$4:F732,1)+1),IF(OR(MINUTE(G733)&lt;=MINUTE(NOW()),HOUR(G733)&lt;=HOUR(NOW())),"!!!","")),""),"")),"")))</f>
      </c>
      <c r="G733" s="177">
        <v>44962.625</v>
      </c>
      <c r="H733" t="s" s="178">
        <v>511</v>
      </c>
      <c r="I733" t="s" s="179">
        <v>60</v>
      </c>
      <c r="J733" s="180"/>
      <c r="K733" t="s" s="181">
        <v>38</v>
      </c>
      <c r="L733" s="182">
        <v>1.45</v>
      </c>
      <c r="M733" s="183">
        <v>21.25</v>
      </c>
      <c r="N733" s="184">
        <v>0</v>
      </c>
      <c r="O733" s="185">
        <f>IF(OR(AE733="",AE734=""),"",ROUND(IF(L735&gt;0,IF(M733&gt;0,M733,IF(M734&gt;0,ROUND((M734*AE733)/AE734,IF(N733=0,2,IF(N733=0.1,1,0))),ROUND((M735*AE733)/AE735,IF(N733=0,2,IF(N733=0.1,1,0))))),IF(M733&gt;0,M733,ROUND((M734*AE733)/AE734,IF(N733=0,2,IF(N733=0.1,1,0))))),2))</f>
        <v>21.25</v>
      </c>
      <c r="P733" s="186">
        <f>IF(OR(L733="",O733=""),"",IF($C733="1/2W",O733/2+O733/2*L733,IF($C733="1/2L",O733/2,IF(I733="Lay",(O733*(L733/(L733-1))-O733)*(1-_xlfn.XLOOKUP(K733,'Janeiro 2023 - Valor Real'!A3:A15,'Janeiro 2023 - Valor Real'!C3:C15,0))+O733,(O733*L733-O733)*(1-_xlfn.XLOOKUP(K733,'Janeiro 2023 - Valor Real'!A3:A15,'Janeiro 2023 - Valor Real'!C3:C15,0))+O733))))</f>
        <v>30.8125</v>
      </c>
      <c r="Q733" s="187">
        <f>IF(K733="","",IF(_xlfn.XLOOKUP(K733,K$122:K506,DJ$122:DJ506,0,,-1)=DJ733,_xlfn.XLOOKUP(K733,K$122:K506,Q$122:Q506,1,,-1)+1,1))</f>
        <v>1</v>
      </c>
      <c r="R733" s="188">
        <f>IF(K733="","",_xlfn.XLOOKUP(K733,K$122:K506,R$122:R506,0,,-1)+IF($C733=" ",1,0))</f>
        <v>0</v>
      </c>
      <c r="S733" s="189">
        <f>IF($B733="Anulado",0,ROUND(IF(OR($B733="LOSS",$B733="OK"),IF(OR($C733="W",$C733="1/2W",$C733="1/2L"),P733-O733,IF($C733="L",-O733,0))+IF(OR($C734="W",$C734="1/2W",$C734="1/2L"),P734-O734,IF($C734="L",-O734,0))+IF(OR($C735="W",$C735="1/2W",$C735="1/2L"),P735-O735,IF($C735="L",-O735,0)),IF(AND(OR($C733="W",$C733="1/2W",$C733="1/2L"),C734="W"),P733+P734-SUM(O733:O735)+_xlfn.XLOOKUP("X",C733:C735,O733:O735,0),IF(AND(C733=TRUE,C735="W"),P733+P735-SUM(O733:O735),IF(AND(C734="W",C735="W"),P734+P735-SUM(O733:O735)+_xlfn.XLOOKUP("X",C733:C735,O733:O735,0),IF(L735&gt;0,IF(OR($C733="W",$C733="1/2W",$C733="1/2L"),P733-SUM(O733:O735)+_xlfn.XLOOKUP("X",C733:C735,O733:O735,0),IF(OR($C733="W",$C733="1/2W",$C733="1/2L"),P734-SUM(O733:O735)+_xlfn.XLOOKUP("X",C733:C735,O733:O735,0),IF(OR($C733="W",$C733="1/2W",$C733="1/2L"),P735-SUM(O733:O735)+_xlfn.XLOOKUP("X",C733:C735,O733:O735,0),IF(SUM(P733:P735)/3-SUM(O733:O735)+_xlfn.XLOOKUP("X",C733:C735,O733:O735,0)&gt;0,SUM(P733:P735)/3-SUM(O733:O735)+_xlfn.XLOOKUP("X",C733:C735,O733:O735,0),LARGE(P733:P735,1)-SUM(O733:O735))))),IF(OR($C733="W",$C733="1/2W",$C733="1/2L"),P733-SUM(O733:O734)+_xlfn.XLOOKUP("X",C733:C735,O733:O735,0),IF(OR($C733="W",$C733="1/2W",$C733="1/2L"),P734-SUM(O733:O734)+_xlfn.XLOOKUP("X",C733:C735,O733:O735,0),SUM(P733:P734)/2-SUM(O733:O734)+_xlfn.XLOOKUP("X",C733:C735,O733:O735,0)))))))),2))</f>
        <v>1.86</v>
      </c>
      <c r="T733" s="190">
        <f>IF(S733=0,0,S733/SUM(O733:O735))</f>
        <v>0.06424870466321241</v>
      </c>
      <c r="U733" s="191">
        <f>IF($D733=$D730,IF(OR($B733="LOSS",$B733="OK",$B733="Anulada"),S733,0)+U730,IF(OR($B733="LOSS",$B733="OK",$B733="Anulada"),S733,0))</f>
        <v>27.55</v>
      </c>
      <c r="V733" s="191">
        <f>IF($D733="",0,IF($D733=$D730,IF($B733=" ",IF(I735="",IF(OR(AND(I733="DNB1",I734="DNB2"),AND(OR(I733="DNB1",I733="DNB2"),J734=0),AND(OR(I734="DNB1",I734="DNB2"),J733=0),AND(I733="DNB2",I734="DNB1"),AND(IF(J733=0,(J733+1)/ROUND(J733+1,0),J733/ROUND(J733,0))=1,IF(J734=0,(J734+1)/ROUND(IF(J734="",0,J734)+1,0),IF(J734="",0,J734)/ROUND(IF(J734="",1,J734),0))=1,OR(J733&lt;&gt;""),J734&lt;&gt;"")),0,IF(S733&lt;0,IF(I735="",SMALL(P733:P734,1)-SUM(O733:O734),0),SMALL(P733:P734,1)-SUM(O733:O734))),IF(S733&lt;0,IF(I735="",SMALL(P733:P735,1)-SUM(O733:O735),0),LARGE(P733:P735,1)-SUM(O733:O735))),S733)+V730,IF(I735="",IF(OR(AND(I733="DNB1",I734="DNB2"),AND(OR(I733="DNB1",I733="DNB2"),J734=0),AND(OR(I734="DNB1",I734="DNB2"),J733=0),AND(I733="DNB2",I734="DNB1"),AND(IF(J733=0,(J733+1)/ROUND(J733+1,0),J733/ROUND(J733,0))=1,IF(J734=0,(IF(J734="",0,J734)+1)/ROUND(IF(J734="",0,J734)+1,0),IF(J734="",0,J734)/ROUND(IF(J734="",0,J734)+1,0))=1,OR(J733&lt;&gt;""),J734&lt;&gt;"")),0,IF(S733&lt;0,IF(I735="",SMALL(P733:P734,1)-SUM(O733:O734),0),SMALL(P733:P735,1)-SUM(O733:O735))),IF(S733&lt;0,IF(I735="",SMALL(P733:P735,1)-SUM(O733:O735),0),LARGE(P733:P735,1)-SUM(O733:O735)))))</f>
        <v>27.5476</v>
      </c>
      <c r="W733" s="191">
        <f>IF($D733=$D730,IF(S733&lt;0,IF(I735="",S733,0),S733)+W730,S733)</f>
        <v>27.55</v>
      </c>
      <c r="X733" t="s" s="192">
        <f>IF(OR(SUM(R733:R735)=0,V733=W733),ROUND(IF(W733=0,0,W733/Y733)*100,2)&amp;"%",ROUND(IF(V733=0,0,V733/Y733)*100,2)&amp;"% a "&amp;ROUND(IF(W733=0,0,W733/Y733)*100,2)&amp;"%")</f>
        <v>512</v>
      </c>
      <c r="Y733" s="193">
        <f>IF($D733=$D730,Y730+SUM(O733:O735),SUM(O733:O735))</f>
        <v>505.15</v>
      </c>
      <c r="Z733" s="191">
        <f>IF($B733=" ",SUM(O733:O735),0)+Z730</f>
        <v>0</v>
      </c>
      <c r="AA733" s="191">
        <f>IF(G733="","",IF($B733="Anulado",LARGE(P733:P735,1)-SUM(O733:O735)+AA730,AA730))</f>
        <v>27.7065076923077</v>
      </c>
      <c r="AB733" s="191">
        <f>IF($D733="","",AB730+S733)</f>
        <v>498.73</v>
      </c>
      <c r="AC733" s="194">
        <f>IF($D733="","",IF($B733=" ",IF(DAY(G733)=DAY(TODAY()),1+AC730,0+AC730),0+AC730))</f>
        <v>0</v>
      </c>
      <c r="AD733" s="195">
        <f>(((L734/(L734-1)-1)*(1-_xlfn.XLOOKUP(K734,'Janeiro 2023 - Valor Real'!A3:A15,'Janeiro 2023 - Valor Real'!C3:C15,0))+1))/(((L733-1)*(1-_xlfn.XLOOKUP(K733,'Janeiro 2023 - Valor Real'!A3:A15,'Janeiro 2023 - Valor Real'!C3:C15,0))+1)+((L734/(L734-1)-1)*(1-_xlfn.XLOOKUP(K734,'Janeiro 2023 - Valor Real'!A3:A15,'Janeiro 2023 - Valor Real'!C3:C15,0))+1))</f>
        <v>0.479041916167665</v>
      </c>
      <c r="AE733" s="196">
        <f>IF(L733="","",IF(L735&gt;0,(SUM(((L733-1)*(1-_xlfn.XLOOKUP(K733,'Janeiro 2023 - Valor Real'!A3:A15,'Janeiro 2023 - Valor Real'!C3:C15,0))+1),((L734-1)*(1-_xlfn.XLOOKUP(K734,'Janeiro 2023 - Valor Real'!A3:A15,'Janeiro 2023 - Valor Real'!C3:C15,0))+1),((L735-1)*(1-_xlfn.XLOOKUP(K735,'Janeiro 2023 - Valor Real'!A3:A15,'Janeiro 2023 - Valor Real'!C3:C15,0))+1))/((L733-1)*(1-_xlfn.XLOOKUP(K733,'Janeiro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Real'!C3:C15,0))+1))/((L733-1)*(1-_xlfn.XLOOKUP(K733,'Janeiro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Real'!C3:C15,0))+1))/((L734-1)*(1-_xlfn.XLOOKUP(K734,'Janeiro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Real'!C3:C15,0))+1))/((L735-1)*(1-_xlfn.XLOOKUP(K735,'Janeiro 2023 - Valor Real'!A3:A15,'Janeiro 2023 - Valor Real'!C3:C15,0))+1)),IF(I733="Lay",IF(I734="Lay",((L734/(L734-1)-1)*(1-_xlfn.XLOOKUP(K734,'Janeiro 2023 - Valor Real'!A3:A15,'Janeiro 2023 - Valor Real'!C3:C15,0))+1)/(((L734/(L734-1)-1)*(1-_xlfn.XLOOKUP(K734,'Janeiro 2023 - Valor Real'!A3:A15,'Janeiro 2023 - Valor Real'!C3:C15,0))+1)+((L733/(L733-1)-1)*(1-_xlfn.XLOOKUP(K733,'Janeiro 2023 - Valor Real'!A3:A15,'Janeiro 2023 - Valor Real'!C3:C15,0))+1)),((L734-1)*(1-_xlfn.XLOOKUP(K734,'Janeiro 2023 - Valor Real'!A3:A15,'Janeiro 2023 - Valor Real'!C3:C15,0))+1)/(((L734-1)*(1-_xlfn.XLOOKUP(K734,'Janeiro 2023 - Valor Real'!A3:A15,'Janeiro 2023 - Valor Real'!C3:C15,0))+1)+((L733/(L733-1)-1)*(1-_xlfn.XLOOKUP(K733,'Janeiro 2023 - Valor Real'!A3:A15,'Janeiro 2023 - Valor Real'!C3:C15,0))+1))),IF(I734="Lay",(((L734/(L734-1)-1)*(1-_xlfn.XLOOKUP(K734,'Janeiro 2023 - Valor Real'!A3:A15,'Janeiro 2023 - Valor Real'!C3:C15,0))+1))/(((L733-1)*(1-_xlfn.XLOOKUP(K733,'Janeiro 2023 - Valor Real'!A3:A15,'Janeiro 2023 - Valor Real'!C3:C15,0))+1)+((L734/(L734-1)-1)*(1-_xlfn.XLOOKUP(K734,'Janeiro 2023 - Valor Real'!A3:A15,'Janeiro 2023 - Valor Real'!C3:C15,0))+1)),((L734-1)*(1-_xlfn.XLOOKUP(K734,'Janeiro 2023 - Valor Real'!A3:A15,'Janeiro 2023 - Valor Real'!C3:C15,0))+1)/(((L734-1)*(1-_xlfn.XLOOKUP(K734,'Janeiro 2023 - Valor Real'!A3:A15,'Janeiro 2023 - Valor Real'!C3:C15,0))+1)+((L733-1)*(1-_xlfn.XLOOKUP(K733,'Janeiro 2023 - Valor Real'!A3:A15,'Janeiro 2023 - Valor Real'!C3:C15,0))+1))))))</f>
        <v>0.73394495412844</v>
      </c>
      <c r="AF733" s="197">
        <f>IF($K733=AF$3,ROUND(IF(OR($C733="W",$C733="1/2W",$C733="1/2L"),$P733-$O733,IF($C733="X",0,-$O733)),2),0)</f>
        <v>0</v>
      </c>
      <c r="AG733" s="198">
        <f>IF($K733=AG$3,ROUND(IF(OR($C733="W",$C733="1/2W",$C733="1/2L"),$P733-$O733,IF($C733="X",0,-$O733)),2),0)</f>
        <v>9.56</v>
      </c>
      <c r="AH733" s="198">
        <f>IF($K733=AH$3,ROUND(IF(OR($C733="W",$C733="1/2W",$C733="1/2L"),$P733-$O733,IF($C733="X",0,-$O733)),2),0)</f>
        <v>0</v>
      </c>
      <c r="AI733" s="198">
        <f>IF($K733=AI$3,ROUND(IF(OR($C733="W",$C733="1/2W",$C733="1/2L"),$P733-$O733,IF($C733="X",0,-$O733)),2),0)</f>
        <v>0</v>
      </c>
      <c r="AJ733" s="198">
        <f>IF($K733=AJ$3,ROUND(IF(OR($C733="W",$C733="1/2W",$C733="1/2L"),$P733-$O733,IF($C733="X",0,-$O733)),2),0)</f>
        <v>0</v>
      </c>
      <c r="AK733" s="198">
        <f>IF($K733=AK$3,ROUND(IF(OR($C733="W",$C733="1/2W",$C733="1/2L"),$P733-$O733,IF($C733="X",0,-$O733)),2),0)</f>
        <v>0</v>
      </c>
      <c r="AL733" s="198">
        <f>IF($K733=AL$3,ROUND(IF(OR($C733="W",$C733="1/2W",$C733="1/2L"),$P733-$O733,IF($C733="X",0,-$O733)),2),0)</f>
        <v>0</v>
      </c>
      <c r="AM733" s="198">
        <f>IF($K733=AM$3,ROUND(IF(OR($C733="W",$C733="1/2W",$C733="1/2L"),$P733-$O733,IF($C733="X",0,-$O733)),2),0)</f>
        <v>0</v>
      </c>
      <c r="AN733" s="198">
        <f>IF($K733=AN$3,ROUND(IF(OR($C733="W",$C733="1/2W",$C733="1/2L"),$P733-$O733,IF($C733="X",0,-$O733)),2),0)</f>
        <v>0</v>
      </c>
      <c r="AO733" s="198">
        <f>IF($K733=AO$3,ROUND(IF(OR($C733="W",$C733="1/2W",$C733="1/2L"),$P733-$O733,IF($C733="X",0,-$O733)),2),0)</f>
        <v>0</v>
      </c>
      <c r="AP733" s="198">
        <f>IF($K733=AP$3,ROUND(IF(OR($C733="W",$C733="1/2W",$C733="1/2L"),$P733-$O733,IF($C733="X",0,-$O733)),2),0)</f>
        <v>0</v>
      </c>
      <c r="AQ733" s="198">
        <f>IF($K733=AQ$3,ROUND(IF(OR($C733="W",$C733="1/2W",$C733="1/2L"),$P733-$O733,IF($C733="X",0,-$O733)),2),0)</f>
        <v>0</v>
      </c>
      <c r="AR733" s="199">
        <f>IF($K733=AR$3,ROUND(IF(OR($C733="W",$C733="1/2W",$C733="1/2L"),$P733-$O733,IF($C733="X",0,-$O733)),2),0)</f>
        <v>0</v>
      </c>
      <c r="AS733" s="197">
        <f>IF(AND($B733=" ",$K733=AS$3),$O733,0)</f>
        <v>0</v>
      </c>
      <c r="AT733" s="198">
        <f>IF(AND($B733=" ",$K733=AT$3),$O733,0)</f>
        <v>0</v>
      </c>
      <c r="AU733" s="198">
        <f>IF(AND($B733=" ",$K733=AU$3),$O733,0)</f>
        <v>0</v>
      </c>
      <c r="AV733" s="198">
        <f>IF(AND($B733=" ",$K733=AV$3),$O733,0)</f>
        <v>0</v>
      </c>
      <c r="AW733" s="198">
        <f>IF(AND($B733=" ",$K733=AW$3),$O733,0)</f>
        <v>0</v>
      </c>
      <c r="AX733" s="198">
        <f>IF(AND($B733=" ",$K733=AX$3),$O733,0)</f>
        <v>0</v>
      </c>
      <c r="AY733" s="200">
        <f>IF(AND($B733=" ",$K733=AY$3),$O733,0)</f>
        <v>0</v>
      </c>
      <c r="AZ733" s="201">
        <f>IF(AND($B733=" ",$K733=AZ$3),$O733,0)</f>
        <v>0</v>
      </c>
      <c r="BA733" s="201">
        <f>IF(AND($B733=" ",$K733=BA$3),$O733,0)</f>
        <v>0</v>
      </c>
      <c r="BB733" s="201">
        <f>IF(AND($B733=" ",$K733=BB$3),$O733,0)</f>
        <v>0</v>
      </c>
      <c r="BC733" s="202">
        <f>IF(AND($B733=" ",$K733=BC$3),$O733,0)</f>
        <v>0</v>
      </c>
      <c r="BD733" s="198">
        <f>IF(AND($B733=" ",$K733=BD$3),$O733,0)</f>
        <v>0</v>
      </c>
      <c r="BE733" s="199">
        <f>IF(AND($B733=" ",$K733=BE$3),$O733,0)</f>
        <v>0</v>
      </c>
      <c r="BF733" s="203">
        <f>IF($K733=BF$3,IF($C733="X",0,$O733),0)</f>
        <v>0</v>
      </c>
      <c r="BG733" s="198">
        <f>IF($K733=BG$3,IF($C733="X",0,$O733),0)</f>
        <v>21.25</v>
      </c>
      <c r="BH733" s="198">
        <f>IF($K733=BH$3,IF($C733="X",0,$O733),0)</f>
        <v>0</v>
      </c>
      <c r="BI733" s="198">
        <f>IF($K733=BI$3,IF($C733="X",0,$O733),0)</f>
        <v>0</v>
      </c>
      <c r="BJ733" s="198">
        <f>IF($K733=BJ$3,IF($C733="X",0,$O733),0)</f>
        <v>0</v>
      </c>
      <c r="BK733" s="198">
        <f>IF($K733=BK$3,IF($C733="X",0,$O733),0)</f>
        <v>0</v>
      </c>
      <c r="BL733" s="198">
        <f>IF($K733=BL$3,IF($C733="X",0,$O733),0)</f>
        <v>0</v>
      </c>
      <c r="BM733" s="200">
        <f>IF($K733=BM$3,IF($C733="X",0,$O733),0)</f>
        <v>0</v>
      </c>
      <c r="BN733" s="201">
        <f>IF($K733=BN$3,IF($C733="X",0,$O733),0)</f>
        <v>0</v>
      </c>
      <c r="BO733" s="201">
        <f>IF($K733=BO$3,IF($C733="X",0,$O733),0)</f>
        <v>0</v>
      </c>
      <c r="BP733" s="201">
        <f>IF($K733=BP$3,IF($C733="X",0,$O733),0)</f>
        <v>0</v>
      </c>
      <c r="BQ733" s="202">
        <f>IF($K733=BQ$3,IF($C733="X",0,$O733),0)</f>
        <v>0</v>
      </c>
      <c r="BR733" s="199">
        <f>IF($K733=BR$3,IF($C733="X",0,$O733),0)</f>
        <v>0</v>
      </c>
      <c r="BS733" s="204">
        <f>IF($B733="LOSS",IF(AND($K733=BS$3,$C733="L"),-$O733,0)+IF(AND($K734=BS$3,$C734="L"),-$O734,0)+IF(AND($K735=BS$3,$C735="L"),-$O735,0),IF(OR(AND($K733=BS$3,OR($C733="W",$C733="1/2W")),AND($K734=BS$3,OR($C734="W",$C734="1/2W")),AND($K735=BS$3,OR($C735="W",$C735="1/2W"))),$S733,0))</f>
        <v>0</v>
      </c>
      <c r="BT733" s="201">
        <f>IF($B733="LOSS",IF(AND($K733=BT$3,$C733="L"),-$O733,0)+IF(AND($K734=BT$3,$C734="L"),-$O734,0)+IF(AND($K734=BT$3,$C735="L"),-$O735,0),IF(OR(AND($K734=BT$3,OR($C733="W",$C733="1/2W")),AND($K734=BT$3,OR($C734="W",$C734="1/2W")),AND($K734=BT$3,OR($C735="W",$C735="1/2W"))),$S733,0))</f>
        <v>0</v>
      </c>
      <c r="BU733" s="201">
        <f>IF($B733="LOSS",IF(AND($K733=BU$3,$C733="L"),-$O733,0)+IF(AND($K734=BU$3,$C734="L"),-$O734,0)+IF(AND($K734=BU$3,$C735="L"),-$O735,0),IF(OR(AND($K734=BU$3,OR($C733="W",$C733="1/2W")),AND($K734=BU$3,OR($C734="W",$C734="1/2W")),AND($K734=BU$3,OR($C735="W",$C735="1/2W"))),$S733,0))</f>
        <v>0</v>
      </c>
      <c r="BV733" s="201">
        <f>IF($B733="LOSS",IF(AND($K733=BV$3,$C733="L"),-$O733,0)+IF(AND($K734=BV$3,$C734="L"),-$O734,0)+IF(AND($K735=BV$3,$C735="L"),-$O735,0),IF(OR(AND($K733=BV$3,OR($C733="W",$C733="1/2W")),AND($K734=BV$3,OR($C734="W",$C734="1/2W")),AND($K735=BV$3,OR($C735="W",$C735="1/2W"))),$S733,0))</f>
        <v>0</v>
      </c>
      <c r="BW733" s="201">
        <f>IF($B733="LOSS",IF(AND($K733=BW$3,$C733="L"),-$O733,0)+IF(AND($K734=BW$3,$C734="L"),-$O734,0)+IF(AND($K735=BW$3,$C735="L"),-$O735,0),IF(OR(AND($K733=BW$3,OR($C733="W",$C733="1/2W")),AND($K734=BW$3,OR($C734="W",$C734="1/2W")),AND($K735=BW$3,OR($C735="W",$C735="1/2W"))),$S733,0))</f>
        <v>0</v>
      </c>
      <c r="BX733" s="201">
        <f>IF($B733="LOSS",IF(AND($K733=BX$3,$C733="L"),-$O733,0)+IF(AND($K734=BX$3,$C734="L"),-$O734,0)+IF(AND($K735=BX$3,$C735="L"),-$O735,0),IF(OR(AND($K733=BX$3,OR($C733="W",$C733="1/2W")),AND($K734=BX$3,OR($C734="W",$C734="1/2W")),AND($K735=BX$3,OR($C735="W",$C735="1/2W"))),$S733,0))</f>
        <v>0</v>
      </c>
      <c r="BY733" s="201">
        <f>IF($B733="LOSS",IF(AND($K733=BY$3,$C733="L"),-$O733,0)+IF(AND($K734=BY$3,$C734="L"),-$O734,0)+IF(AND($K735=BY$3,$C735="L"),-$O735,0),IF(OR(AND($K733=BY$3,OR($C733="W",$C733="1/2W")),AND($K734=BY$3,OR($C734="W",$C734="1/2W")),AND($K735=BY$3,OR($C735="W",$C735="1/2W"))),$S733,0))</f>
        <v>0</v>
      </c>
      <c r="BZ733" s="205">
        <f>IF($B733="LOSS",IF(AND($K733=BZ$3,$C733="L"),-$O733,0)+IF(AND($K734=BZ$3,$C734="L"),-$O734,0)+IF(AND($K735=BZ$3,$C735="L"),-$O735,0),IF(OR(AND($K733=BZ$3,OR($C733="W",$C733="1/2W")),AND($K734=BZ$3,OR($C734="W",$C734="1/2W")),AND($K735=BZ$3,OR($C735="W",$C735="1/2W"))),$S733,0))</f>
        <v>0</v>
      </c>
      <c r="CA733" s="205">
        <f>IF($B733="LOSS",IF(AND($K733=CA$3,$C733="L"),-$O733,0)+IF(AND($K734=CA$3,$C734="L"),-$O734,0)+IF(AND($K735=CA$3,$C735="L"),-$O735,0),IF(OR(AND($K733=CA$3,OR($C733="W",$C733="1/2W")),AND($K734=CA$3,OR($C734="W",$C734="1/2W")),AND($K735=CA$3,OR($C735="W",$C735="1/2W"))),$S733,0))</f>
        <v>0</v>
      </c>
      <c r="CB733" s="205">
        <f>IF($B733="LOSS",IF(AND($K733=CB$3,$C733="L"),-$O733,0)+IF(AND($K734=CB$3,$C734="L"),-$O734,0)+IF(AND($K735=CB$3,$C735="L"),-$O735,0),IF(OR(AND($K733=CB$3,OR($C733="W",$C733="1/2W")),AND($K734=CB$3,OR($C734="W",$C734="1/2W")),AND($K735=CB$3,OR($C735="W",$C735="1/2W"))),$S733,0))</f>
        <v>0</v>
      </c>
      <c r="CC733" s="205">
        <f>IF($B733="LOSS",IF(AND($K733=CC$3,$C733="L"),-$O733,0)+IF(AND($K734=CC$3,$C734="L"),-$O734,0)+IF(AND($K735=CC$3,$C735="L"),-$O735,0),IF(OR(AND($K733=CC$3,OR($C733="W",$C733="1/2W")),AND($K734=CC$3,OR($C734="W",$C734="1/2W")),AND($K735=CC$3,OR($C735="W",$C735="1/2W"))),$S733,0))</f>
        <v>0</v>
      </c>
      <c r="CD733" s="202">
        <f>IF($B733="LOSS",IF(AND($K733=CD$3,$C733="L"),-$O733,0)+IF(AND($K734=CD$3,$C734="L"),-$O734,0)+IF(AND($K735=CD$3,$C735="L"),-$O735,0),IF(OR(AND($K733=CD$3,OR($C733="W",$C733="1/2W")),AND($K734=CD$3,OR($C734="W",$C734="1/2W")),AND($K735=CD$3,OR($C735="W",$C735="1/2W"))),$S733,0))</f>
        <v>0</v>
      </c>
      <c r="CE733" s="199">
        <f>IF($B733="LOSS",IF(AND($K733=CE$3,$C733="L"),-$O733,0)+IF(AND($K734=CE$3,$C734="L"),-$O734,0)+IF(AND($K735=CE$3,$C735="L"),-$O735,0),IF(OR(AND($K733=CE$3,OR($C733="W",$C733="1/2W")),AND($K734=CE$3,OR($C734="W",$C734="1/2W")),AND($K735=CE$3,OR($C735="W",$C735="1/2W"))),$S733,0))</f>
        <v>0</v>
      </c>
      <c r="CF733" s="206">
        <f>IF(CF$3=$K733,IF($C733="W",1,IF($C733="1/2W",0.5,0)),0)</f>
        <v>0</v>
      </c>
      <c r="CG733" s="207">
        <f>IF(CF$3=$K733,IF($C733="L",1,IF($C733="1/2L",0.5,0)),0)</f>
        <v>0</v>
      </c>
      <c r="CH733" s="207">
        <f>IF(CH$3=$K733,IF($C733="W",1,IF($C733="1/2W",0.5,0)),0)</f>
        <v>1</v>
      </c>
      <c r="CI733" s="207">
        <f>IF(CH$3=$K733,IF($C733="L",1,IF($C733="1/2L",0.5,0)),0)</f>
        <v>0</v>
      </c>
      <c r="CJ733" s="207">
        <f>IF(CJ$3=$K733,IF($C733="W",1,IF($C733="1/2W",0.5,0)),0)</f>
        <v>0</v>
      </c>
      <c r="CK733" s="207">
        <f>IF(CJ$3=$K733,IF($C733="L",1,IF($C733="1/2L",0.5,0)),0)</f>
        <v>0</v>
      </c>
      <c r="CL733" s="207">
        <f>IF(CL$3=$K733,IF($C733="W",1,IF($C733="1/2W",0.5,0)),0)</f>
        <v>0</v>
      </c>
      <c r="CM733" s="207">
        <f>IF(CL$3=$K733,IF($C733="L",1,IF($C733="1/2L",0.5,0)),0)</f>
        <v>0</v>
      </c>
      <c r="CN733" s="207">
        <f>IF(CN$3=$K733,IF($C733="W",1,IF($C733="1/2W",0.5,0)),0)</f>
        <v>0</v>
      </c>
      <c r="CO733" s="207">
        <f>IF(CN$3=$K733,IF($C733="L",1,IF($C733="1/2L",0.5,0)),0)</f>
        <v>0</v>
      </c>
      <c r="CP733" s="207">
        <f>IF(CP$3=$K733,IF($C733="W",1,IF($C733="1/2W",0.5,0)),0)</f>
        <v>0</v>
      </c>
      <c r="CQ733" s="207">
        <f>IF(CP$3=$K733,IF($C733="L",1,IF($C733="1/2L",0.5,0)),0)</f>
        <v>0</v>
      </c>
      <c r="CR733" s="207">
        <f>IF(CR$3=$K733,IF($C733="W",1,IF($C733="1/2W",0.5,0)),0)</f>
        <v>0</v>
      </c>
      <c r="CS733" s="207">
        <f>IF(CR$3=$K733,IF($C733="L",1,IF($C733="1/2L",0.5,0)),0)</f>
        <v>0</v>
      </c>
      <c r="CT733" s="208">
        <f>IF(CT$3=$K733,IF($C733="W",1,IF($C733="1/2W",0.5,0)),0)</f>
        <v>0</v>
      </c>
      <c r="CU733" s="209">
        <f>IF(CT$3=$K733,IF($C733="L",1,IF($C733="1/2L",0.5,0)),0)</f>
        <v>0</v>
      </c>
      <c r="CV733" s="209">
        <f>IF(CV$3=$K733,IF($C733="W",1,IF($C733="1/2W",0.5,0)),0)</f>
        <v>0</v>
      </c>
      <c r="CW733" s="209">
        <f>IF(CV$3=$K733,IF($C733="L",1,IF($C733="1/2L",0.5,0)),0)</f>
        <v>0</v>
      </c>
      <c r="CX733" s="209">
        <f>IF(CX$3=$K733,IF($C733="W",1,IF($C733="1/2W",0.5,0)),0)</f>
        <v>0</v>
      </c>
      <c r="CY733" s="209">
        <f>IF(CX$3=$K733,IF($C733="L",1,IF($C733="1/2L",0.5,0)),0)</f>
        <v>0</v>
      </c>
      <c r="CZ733" s="209">
        <f>IF(CZ$3=$K733,IF($C733="W",1,IF($C733="1/2W",0.5,0)),0)</f>
        <v>0</v>
      </c>
      <c r="DA733" s="209">
        <f>IF(CZ$3=$K733,IF($C733="L",1,IF($C733="1/2L",0.5,0)),0)</f>
        <v>0</v>
      </c>
      <c r="DB733" s="209">
        <f>IF(DB$3=$K733,IF($C733="W",1,IF($C733="1/2W",0.5,0)),0)</f>
        <v>0</v>
      </c>
      <c r="DC733" s="209">
        <f>IF(DB$3=$K733,IF($C733="L",1,IF($C733="1/2L",0.5,0)),0)</f>
        <v>0</v>
      </c>
      <c r="DD733" s="209">
        <f>IF(DD$3=$K733,IF($C733="W",1,IF($C733="1/2W",0.5,0)),0)</f>
        <v>0</v>
      </c>
      <c r="DE733" s="210">
        <f>IF(DD$3=$K733,IF($C733="L",1,IF($C733="1/2L",0.5,0)),0)</f>
        <v>0</v>
      </c>
      <c r="DF733" s="211">
        <f>IF(AND(L733&lt;DF$3,$C733="W"),1+DF732,DF732)</f>
        <v>21</v>
      </c>
      <c r="DG733" s="198">
        <f>IF(DF733&gt;DF732,L733+DG732,DG732)</f>
        <v>28.074</v>
      </c>
      <c r="DH733" s="209">
        <f>IF(AND(L733&gt;DH$3,$C733="W"),1+DH732,0+DH732)</f>
        <v>18</v>
      </c>
      <c r="DI733" s="198">
        <f>IF(DH733&gt;DH732,L733+DI732,DI732)</f>
        <v>93.66</v>
      </c>
      <c r="DJ733" t="s" s="306">
        <f>IF($D733="","",$D733)</f>
        <v>481</v>
      </c>
      <c r="DK733" s="209">
        <f>IF(AND($B733=" ",$D733&lt;&gt;""),1,0)</f>
        <v>0</v>
      </c>
    </row>
    <row r="734" ht="14.55" customHeight="1">
      <c r="A734" s="107"/>
      <c r="B734" s="108"/>
      <c r="C734" t="s" s="213">
        <v>51</v>
      </c>
      <c r="D734" s="110"/>
      <c r="E734" s="111"/>
      <c r="F734" s="113"/>
      <c r="G734" s="214"/>
      <c r="H734" s="114"/>
      <c r="I734" t="s" s="215">
        <v>62</v>
      </c>
      <c r="J734" t="s" s="216">
        <f>IF(OR(I733="TO",I733="TU",I733="TO1",I733="TU1",I733="TO2",I733="TU2"),J733,IF(OR(I733="AH1",I733="AH2"),IF(OR(I734="AH1",I734="AH2"),-J733,IF(OR(I734="EH1",I734="EH2"),-J733+0.5,"")),IF(OR(I733="EH1",I733="EH2"),IF(OR(I734="AH1",I734="AH2"),-J733+0.5,IF(OR(I734="EH1",I734="EH2"),-J733+1,"")),IF(AND(OR(I733="DNB1",I733="DNB2"),OR(I734="AH1",I734="AH2")),0,IF(AND(I733="Not ScoreBoth",OR(I734="TO1",I734="TO2")),0.5,"")))))</f>
      </c>
      <c r="K734" t="s" s="217">
        <v>37</v>
      </c>
      <c r="L734" s="218">
        <v>4</v>
      </c>
      <c r="M734" s="219"/>
      <c r="N734" s="120"/>
      <c r="O734" s="220">
        <f>IF(OR(AE733="",AE734=""),"",ROUND(IF(L735&gt;0,IF(M734&gt;0,M734,IF(M733&gt;0,IF(N733=TRUE,ROUND((M733*AE734)/AE733,0),(M733*AE734)/AE733),IF(M734&gt;0,ROUND(M734,IF(N733=0,2,IF(N733=0.1,1,0))),IF(M735&gt;0,ROUND(O735*AE734/AE735,IF(N733=0,2,IF(N733=0.1,1,0))),0)))),IF(M734&gt;0,M734,ROUND((M733*AE734)/AE733,IF(N733=0,2,IF(N733=0.1,1,0))))),2))</f>
        <v>7.7</v>
      </c>
      <c r="P734" s="221">
        <f>IF(OR(L734="",O734=""),"",IF($C734="1/2W",O734/2+O734/2*L734,IF($C734="1/2L",O734/2,IF(I734="Lay",((O734*(L734/(L734-1)))-O734)*(1-_xlfn.XLOOKUP(K734,'Janeiro 2023 - Valor Real'!A3:A15,'Janeiro 2023 - Valor Real'!C3:C15,0))+O734,(O734*L734-O734)*(1-_xlfn.XLOOKUP(K734,'Janeiro 2023 - Valor Real'!A3:A15,'Janeiro 2023 - Valor Real'!C3:C15,0))+O734))))</f>
        <v>30.8</v>
      </c>
      <c r="Q734" s="222">
        <f>IF(K734="","",IF(_xlfn.XLOOKUP(K734,K$123:K507,DJ$123:DJ507,0,,-1)=DJ734,_xlfn.XLOOKUP(K734,K$123:K507,Q$123:Q507,1,,-1)+1,1))</f>
        <v>1</v>
      </c>
      <c r="R734" s="223">
        <f>IF(K734="","",_xlfn.XLOOKUP(K734,K$123:K507,R$123:R507,0,,-1)+IF($C734=" ",1,0))</f>
        <v>0</v>
      </c>
      <c r="S734" s="125"/>
      <c r="T734" s="126"/>
      <c r="U734" s="126"/>
      <c r="V734" s="224"/>
      <c r="W734" s="126"/>
      <c r="X734" s="127"/>
      <c r="Y734" s="128"/>
      <c r="Z734" s="129"/>
      <c r="AA734" s="129"/>
      <c r="AB734" s="129"/>
      <c r="AC734" s="129"/>
      <c r="AD734" s="225">
        <f>(((L734/(L734-1)-1)*(1-_xlfn.XLOOKUP(K734,'Janeiro 2023 - Valor Real'!A3:A15,'Janeiro 2023 - Valor Real'!C3:C15,0))+1))</f>
        <v>1.33333333333333</v>
      </c>
      <c r="AE734" s="226">
        <f>IF(L734="","",IF(L735&gt;0,(SUM(((L733-1)*(1-_xlfn.XLOOKUP(K733,'Janeiro 2023 - Valor Real'!A3:A15,'Janeiro 2023 - Valor Real'!C3:C15,0))+1),((L734-1)*(1-_xlfn.XLOOKUP(K734,'Janeiro 2023 - Valor Real'!A3:A15,'Janeiro 2023 - Valor Real'!C3:C15,0))+1),((L735-1)*(1-_xlfn.XLOOKUP(K735,'Janeiro 2023 - Valor Real'!A3:A15,'Janeiro 2023 - Valor Real'!C3:C15,0))+1))/((L734-1)*(1-_xlfn.XLOOKUP(K734,'Janeiro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Real'!C3:C15,0))+1))/((L733-1)*(1-_xlfn.XLOOKUP(K733,'Janeiro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Real'!C3:C15,0))+1))/((L734-1)*(1-_xlfn.XLOOKUP(K734,'Janeiro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Real'!C3:C15,0))+1))/((L735-1)*(1-_xlfn.XLOOKUP(K735,'Janeiro 2023 - Valor Real'!A3:A15,'Janeiro 2023 - Valor Real'!C3:C15,0))+1)),IF(I734="Lay",IF(I733="Lay",((L733/(L733-1)-1)*(1-_xlfn.XLOOKUP(K733,'Janeiro 2023 - Valor Real'!A3:A15,'Janeiro 2023 - Valor Real'!C3:C15,0))+1)/(((L733/(L733-1)-1)*(1-_xlfn.XLOOKUP(K733,'Janeiro 2023 - Valor Real'!A3:A15,'Janeiro 2023 - Valor Real'!C3:C15,0))+1)+((L734/(L734-1)-1)*(1-_xlfn.XLOOKUP(K734,'Janeiro 2023 - Valor Real'!A3:A15,'Janeiro 2023 - Valor Real'!C3:C15,0))+1)),((L733-1)*(1-_xlfn.XLOOKUP(K733,'Janeiro 2023 - Valor Real'!A3:A15,'Janeiro 2023 - Valor Real'!C3:C15,0))+1)/(((L733-1)*(1-_xlfn.XLOOKUP(K733,'Janeiro 2023 - Valor Real'!A3:A15,'Janeiro 2023 - Valor Real'!C3:C15,0))+1)+((L734/(L734-1)-1)*(1-_xlfn.XLOOKUP(K734,'Janeiro 2023 - Valor Real'!A3:A15,'Janeiro 2023 - Valor Real'!C3:C15,0))+1))),IF(I733="Lay",((L733/(L733-1)-1)*(1-_xlfn.XLOOKUP(K733,'Janeiro 2023 - Valor Real'!A3:A15,'Janeiro 2023 - Valor Real'!C3:C15,0))+1)/((((L733/(L733-1)-1)*(1-_xlfn.XLOOKUP(K733,'Janeiro 2023 - Valor Real'!A3:A15,'Janeiro 2023 - Valor Real'!C3:C15,0))+1))+((L734-1)*(1-_xlfn.XLOOKUP(K734,'Janeiro 2023 - Valor Real'!A3:A15,'Janeiro 2023 - Valor Real'!C3:C15,0))+1)),((L733-1)*(1-_xlfn.XLOOKUP(K733,'Janeiro 2023 - Valor Real'!A3:A15,'Janeiro 2023 - Valor Real'!C3:C15,0))+1)/(((L733-1)*(1-_xlfn.XLOOKUP(K733,'Janeiro 2023 - Valor Real'!A3:A15,'Janeiro 2023 - Valor Real'!C3:C15,0))+1)+((L734-1)*(1-_xlfn.XLOOKUP(K734,'Janeiro 2023 - Valor Real'!A3:A15,'Janeiro 2023 - Valor Real'!C3:C15,0))+1))))))</f>
        <v>0.26605504587156</v>
      </c>
      <c r="AF734" s="197">
        <f>IF($K734=AF$3,ROUND(IF(OR($C734="W",$C734="1/2W",$C734="1/2L"),$P734-$O734,IF($C734="X",0,-$O734)),2),0)</f>
        <v>-7.7</v>
      </c>
      <c r="AG734" s="198">
        <f>IF($K734=AG$3,ROUND(IF(OR($C734="W",$C734="1/2W",$C734="1/2L"),$P734-$O734,IF($C734="X",0,-$O734)),2),0)</f>
        <v>0</v>
      </c>
      <c r="AH734" s="198">
        <f>IF($K734=AH$3,ROUND(IF(OR($C734="W",$C734="1/2W",$C734="1/2L"),$P734-$O734,IF($C734="X",0,-$O734)),2),0)</f>
        <v>0</v>
      </c>
      <c r="AI734" s="198">
        <f>IF($K734=AI$3,ROUND(IF(OR($C734="W",$C734="1/2W",$C734="1/2L"),$P734-$O734,IF($C734="X",0,-$O734)),2),0)</f>
        <v>0</v>
      </c>
      <c r="AJ734" s="198">
        <f>IF($K734=AJ$3,ROUND(IF(OR($C734="W",$C734="1/2W",$C734="1/2L"),$P734-$O734,IF($C734="X",0,-$O734)),2),0)</f>
        <v>0</v>
      </c>
      <c r="AK734" s="198">
        <f>IF($K734=AK$3,ROUND(IF(OR($C734="W",$C734="1/2W",$C734="1/2L"),$P734-$O734,IF($C734="X",0,-$O734)),2),0)</f>
        <v>0</v>
      </c>
      <c r="AL734" s="198">
        <f>IF($K734=AL$3,ROUND(IF(OR($C734="W",$C734="1/2W",$C734="1/2L"),$P734-$O734,IF($C734="X",0,-$O734)),2),0)</f>
        <v>0</v>
      </c>
      <c r="AM734" s="198">
        <f>IF($K734=AM$3,ROUND(IF(OR($C734="W",$C734="1/2W",$C734="1/2L"),$P734-$O734,IF($C734="X",0,-$O734)),2),0)</f>
        <v>0</v>
      </c>
      <c r="AN734" s="198">
        <f>IF($K734=AN$3,ROUND(IF(OR($C734="W",$C734="1/2W",$C734="1/2L"),$P734-$O734,IF($C734="X",0,-$O734)),2),0)</f>
        <v>0</v>
      </c>
      <c r="AO734" s="198">
        <f>IF($K734=AO$3,ROUND(IF(OR($C734="W",$C734="1/2W",$C734="1/2L"),$P734-$O734,IF($C734="X",0,-$O734)),2),0)</f>
        <v>0</v>
      </c>
      <c r="AP734" s="198">
        <f>IF($K734=AP$3,ROUND(IF(OR($C734="W",$C734="1/2W",$C734="1/2L"),$P734-$O734,IF($C734="X",0,-$O734)),2),0)</f>
        <v>0</v>
      </c>
      <c r="AQ734" s="198">
        <f>IF($K734=AQ$3,ROUND(IF(OR($C734="W",$C734="1/2W",$C734="1/2L"),$P734-$O734,IF($C734="X",0,-$O734)),2),0)</f>
        <v>0</v>
      </c>
      <c r="AR734" s="199">
        <f>IF($K734=AR$3,ROUND(IF(OR($C734="W",$C734="1/2W",$C734="1/2L"),$P734-$O734,IF($C734="X",0,-$O734)),2),0)</f>
        <v>0</v>
      </c>
      <c r="AS734" s="197">
        <f>IF(AND($B733=" ",$K734=AS$3),$O734,0)</f>
        <v>0</v>
      </c>
      <c r="AT734" s="198">
        <f>IF(AND($B733=" ",K734=AT$3),$O734,0)</f>
        <v>0</v>
      </c>
      <c r="AU734" s="198">
        <f>IF(AND($B733=" ",$K734=AU$3),$O734,0)</f>
        <v>0</v>
      </c>
      <c r="AV734" s="198">
        <f>IF(AND($B733=" ",$K734=AV$3),$O734,0)</f>
        <v>0</v>
      </c>
      <c r="AW734" s="198">
        <f>IF(AND($B733=" ",$K734=AW$3),$O734,0)</f>
        <v>0</v>
      </c>
      <c r="AX734" s="198">
        <f>IF(AND($B733=" ",$K734=AX$3),$O734,0)</f>
        <v>0</v>
      </c>
      <c r="AY734" s="200">
        <f>IF(AND($B733=" ",$K734=AY$3),$O734,0)</f>
        <v>0</v>
      </c>
      <c r="AZ734" s="201">
        <f>IF(AND($B733=" ",$K734=AZ$3),$O734,0)</f>
        <v>0</v>
      </c>
      <c r="BA734" s="201">
        <f>IF(AND($B733=" ",$K734=BA$3),$O734,0)</f>
        <v>0</v>
      </c>
      <c r="BB734" s="201">
        <f>IF(AND($B733=" ",$K734=BB$3),$O734,0)</f>
        <v>0</v>
      </c>
      <c r="BC734" s="202">
        <f>IF(AND($B733=" ",$K734=BC$3),$O734,0)</f>
        <v>0</v>
      </c>
      <c r="BD734" s="198">
        <f>IF(AND($B733=" ",$K734=BD$3),$O734,0)</f>
        <v>0</v>
      </c>
      <c r="BE734" s="199">
        <f>IF(AND($B733=" ",$K734=BE$3),$O734,0)</f>
        <v>0</v>
      </c>
      <c r="BF734" s="197">
        <f>IF($K734=BF$3,IF($C734="X",0,$O734),0)</f>
        <v>7.7</v>
      </c>
      <c r="BG734" s="198">
        <f>IF($K734=BG$3,IF($C734="X",0,$O734),0)</f>
        <v>0</v>
      </c>
      <c r="BH734" s="198">
        <f>IF($K734=BH$3,IF($C734="X",0,$O734),0)</f>
        <v>0</v>
      </c>
      <c r="BI734" s="198">
        <f>IF($K734=BI$3,IF($C734="X",0,$O734),0)</f>
        <v>0</v>
      </c>
      <c r="BJ734" s="198">
        <f>IF($K734=BJ$3,IF($C734="X",0,$O734),0)</f>
        <v>0</v>
      </c>
      <c r="BK734" s="198">
        <f>IF($K734=BK$3,IF($C734="X",0,$O734),0)</f>
        <v>0</v>
      </c>
      <c r="BL734" s="198">
        <f>IF($K734=BL$3,IF($C734="X",0,$O734),0)</f>
        <v>0</v>
      </c>
      <c r="BM734" s="227">
        <f>IF($K734=BM$3,IF($C734="X",0,$O734),0)</f>
        <v>0</v>
      </c>
      <c r="BN734" s="205">
        <f>IF($K734=BN$3,IF($C734="X",0,$O734),0)</f>
        <v>0</v>
      </c>
      <c r="BO734" s="205">
        <f>IF($K734=BO$3,IF($C734="X",0,$O734),0)</f>
        <v>0</v>
      </c>
      <c r="BP734" s="205">
        <f>IF($K734=BP$3,IF($C734="X",0,$O734),0)</f>
        <v>0</v>
      </c>
      <c r="BQ734" s="202">
        <f>IF($K734=BQ$3,IF($C734="X",0,$O734),0)</f>
        <v>0</v>
      </c>
      <c r="BR734" s="199">
        <f>IF($K734=BR$3,IF($C734="X",0,$O734),0)</f>
        <v>0</v>
      </c>
      <c r="BS734" s="228"/>
      <c r="BT734" s="229"/>
      <c r="BU734" s="140"/>
      <c r="BV734" s="229"/>
      <c r="BW734" s="140"/>
      <c r="BX734" s="140"/>
      <c r="BY734" s="140"/>
      <c r="BZ734" s="229"/>
      <c r="CA734" s="140"/>
      <c r="CB734" s="140"/>
      <c r="CC734" s="140"/>
      <c r="CD734" s="141"/>
      <c r="CE734" s="142"/>
      <c r="CF734" s="230">
        <f>IF(CF$3=$K734,IF($C734="W",1,IF($C734="1/2W",0.5,0)),0)</f>
        <v>0</v>
      </c>
      <c r="CG734" s="231">
        <f>IF(CF$3=$K734,IF($C734="L",1,IF($C734="1/2L",0.5,0)),0)</f>
        <v>1</v>
      </c>
      <c r="CH734" s="231">
        <f>IF(CH$3=$K734,IF($C734="W",1,IF($C734="1/2W",0.5,0)),0)</f>
        <v>0</v>
      </c>
      <c r="CI734" s="231">
        <f>IF(CH$3=$K734,IF($C734="L",1,IF($C734="1/2L",0.5,0)),0)</f>
        <v>0</v>
      </c>
      <c r="CJ734" s="231">
        <f>IF(CJ$3=$K734,IF($C734="W",1,IF($C734="1/2W",0.5,0)),0)</f>
        <v>0</v>
      </c>
      <c r="CK734" s="231">
        <f>IF(CJ$3=$K734,IF($C734="L",1,IF($C734="1/2L",0.5,0)),0)</f>
        <v>0</v>
      </c>
      <c r="CL734" s="231">
        <f>IF(CL$3=$K734,IF($C734="W",1,IF($C734="1/2W",0.5,0)),0)</f>
        <v>0</v>
      </c>
      <c r="CM734" s="231">
        <f>IF(CL$3=$K734,IF($C734="L",1,IF($C734="1/2L",0.5,0)),0)</f>
        <v>0</v>
      </c>
      <c r="CN734" s="231">
        <f>IF(CN$3=$K734,IF($C734="W",1,IF($C734="1/2W",0.5,0)),0)</f>
        <v>0</v>
      </c>
      <c r="CO734" s="231">
        <f>IF(CN$3=$K734,IF($C734="L",1,IF($C734="1/2L",0.5,0)),0)</f>
        <v>0</v>
      </c>
      <c r="CP734" s="231">
        <f>IF(CP$3=$K734,IF($C734="W",1,IF($C734="1/2W",0.5,0)),0)</f>
        <v>0</v>
      </c>
      <c r="CQ734" s="231">
        <f>IF(CP$3=$K734,IF($C734="L",1,IF($C734="1/2L",0.5,0)),0)</f>
        <v>0</v>
      </c>
      <c r="CR734" s="231">
        <f>IF(CR$3=$K734,IF($C734="W",1,IF($C734="1/2W",0.5,0)),0)</f>
        <v>0</v>
      </c>
      <c r="CS734" s="231">
        <f>IF(CR$3=$K734,IF($C734="L",1,IF($C734="1/2L",0.5,0)),0)</f>
        <v>0</v>
      </c>
      <c r="CT734" s="208">
        <f>IF(CT$3=$K734,IF($C734="W",1,IF($C734="1/2W",0.5,0)),0)</f>
        <v>0</v>
      </c>
      <c r="CU734" s="209">
        <f>IF(CT$3=$K734,IF($C734="L",1,IF($C734="1/2L",0.5,0)),0)</f>
        <v>0</v>
      </c>
      <c r="CV734" s="209">
        <f>IF(CV$3=$K734,IF($C734="W",1,IF($C734="1/2W",0.5,0)),0)</f>
        <v>0</v>
      </c>
      <c r="CW734" s="209">
        <f>IF(CV$3=$K734,IF($C734="L",1,IF($C734="1/2L",0.5,0)),0)</f>
        <v>0</v>
      </c>
      <c r="CX734" s="209">
        <f>IF(CX$3=$K734,IF($C734="W",1,IF($C734="1/2W",0.5,0)),0)</f>
        <v>0</v>
      </c>
      <c r="CY734" s="209">
        <f>IF(CX$3=$K734,IF($C734="L",1,IF($C734="1/2L",0.5,0)),0)</f>
        <v>0</v>
      </c>
      <c r="CZ734" s="209">
        <f>IF(CZ$3=$K734,IF($C734="W",1,IF($C734="1/2W",0.5,0)),0)</f>
        <v>0</v>
      </c>
      <c r="DA734" s="209">
        <f>IF(CZ$3=$K734,IF($C734="L",1,IF($C734="1/2L",0.5,0)),0)</f>
        <v>0</v>
      </c>
      <c r="DB734" s="209">
        <f>IF(DB$3=$K734,IF($C734="W",1,IF($C734="1/2W",0.5,0)),0)</f>
        <v>0</v>
      </c>
      <c r="DC734" s="209">
        <f>IF(DB$3=$K734,IF($C734="L",1,IF($C734="1/2L",0.5,0)),0)</f>
        <v>0</v>
      </c>
      <c r="DD734" s="209">
        <f>IF(DD$3=$K734,IF($C734="W",1,IF($C734="1/2W",0.5,0)),0)</f>
        <v>0</v>
      </c>
      <c r="DE734" s="210">
        <f>IF(DD$3=$K734,IF($C734="L",1,IF($C734="1/2L",0.5,0)),0)</f>
        <v>0</v>
      </c>
      <c r="DF734" s="211">
        <f>IF(AND(L734&lt;DF$3,$C734="W"),1+DF733,DF733)</f>
        <v>21</v>
      </c>
      <c r="DG734" s="198">
        <f>IF(DF734&gt;DF733,L734+DG733,DG733)</f>
        <v>28.074</v>
      </c>
      <c r="DH734" s="209">
        <f>IF(AND(L734&gt;DH$3,$C734="W"),1+DH733,0+DH733)</f>
        <v>18</v>
      </c>
      <c r="DI734" s="198">
        <f>IF(DH734&gt;DH733,L734+DI733,DI733)</f>
        <v>93.66</v>
      </c>
      <c r="DJ734" t="s" s="306">
        <f>IF($D733="","",$D733)</f>
        <v>481</v>
      </c>
      <c r="DK734" s="232"/>
    </row>
    <row r="735" ht="14.55" customHeight="1">
      <c r="A735" s="149"/>
      <c r="B735" s="150"/>
      <c r="C735" t="s" s="233">
        <v>58</v>
      </c>
      <c r="D735" s="152"/>
      <c r="E735" s="153"/>
      <c r="F735" s="155"/>
      <c r="G735" s="234"/>
      <c r="H735" s="156"/>
      <c r="I735" s="235"/>
      <c r="J735" s="236"/>
      <c r="K735" s="237"/>
      <c r="L735" s="238"/>
      <c r="M735" s="239"/>
      <c r="N735" s="161"/>
      <c r="O735" t="s" s="240">
        <f>IF(OR(AE733="",AE734=""),"",IF(L735&gt;0,ROUND(IF(M735&gt;0,M735,IF(M733&gt;0,ROUND((M733*AE735)/AE733,IF(N733=0,2,IF(N733=0.1,1,0))),IF(M734&gt;0,ROUND((M734*AE735)/AE734,IF(N733=0,2,IF(N733=0.1,1,0))),IF(M735&gt;0,M735,0)))),2),""))</f>
      </c>
      <c r="P735" t="s" s="241">
        <f>IF(I734="Lay",O734*(L734/(L734-1))-O734,IF(I733="Lay",O733*(L733/(L733-1))-O733,IF(OR(L735="",O735=""),"",IF($C735="1/2W",O735/2+O735/2*L735,IF($C735="1/2L",O735/2,(O735*L735-O735)*(1-_xlfn.XLOOKUP(K735,'Janeiro 2023 - Valor Real'!A3:A15,'Janeiro 2023 - Valor Real'!C3:C15,0))+O735)))))</f>
      </c>
      <c r="Q735" t="s" s="242">
        <f>IF(K735="","",IF(_xlfn.XLOOKUP(K735,K$124:K508,DJ$124:DJ508,0,,-1)=DJ735,_xlfn.XLOOKUP(K735,K$124:K508,Q$124:Q508,1,,-1)+1,1))</f>
      </c>
      <c r="R735" t="s" s="243">
        <f>IF(K735="","",_xlfn.XLOOKUP(K735,K$124:K508,R$124:R508,0,,-1)+IF($C735=" ",1,0))</f>
      </c>
      <c r="S735" s="166"/>
      <c r="T735" s="155"/>
      <c r="U735" s="155"/>
      <c r="V735" s="166"/>
      <c r="W735" s="155"/>
      <c r="X735" s="167"/>
      <c r="Y735" s="128"/>
      <c r="Z735" s="129"/>
      <c r="AA735" s="129"/>
      <c r="AB735" s="129"/>
      <c r="AC735" s="129"/>
      <c r="AD735" s="244">
        <f>((L734/(L734-1)-1))</f>
        <v>0.333333333333333</v>
      </c>
      <c r="AE735" t="s" s="245">
        <f>IF(L735="","",(SUM(((L733-1)*(1-_xlfn.XLOOKUP(K733,'Janeiro 2023 - Valor Real'!A3:A15,'Janeiro 2023 - Valor Real'!C3:C15,0))+1),((L734-1)*(1-_xlfn.XLOOKUP(K734,'Janeiro 2023 - Valor Real'!A3:A15,'Janeiro 2023 - Valor Real'!C3:C15,0))+1),((L735-1)*(1-_xlfn.XLOOKUP(K735,'Janeiro 2023 - Valor Real'!A3:A15,'Janeiro 2023 - Valor Real'!C3:C15,0))+1))/((L735-1)*(1-_xlfn.XLOOKUP(K735,'Janeiro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Real'!C3:C15,0))+1))/((L733-1)*(1-_xlfn.XLOOKUP(K733,'Janeiro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Real'!C3:C15,0))+1))/((L734-1)*(1-_xlfn.XLOOKUP(K734,'Janeiro 2023 - Valor Real'!A3:A15,'Janeiro 2023 - Valor Real'!C3:C15,0))+1)+SUM(((L733-1)*(1-_xlfn.XLOOKUP(K733,'Janeiro 2023 - Valor Real'!A3:A15,'Janeiro 2023 - Valor Real'!C3:C15,0))+1),((L734-1)*(1-_xlfn.XLOOKUP(K734,'Janeiro 2023 - Valor Real'!A3:A15,'Janeiro 2023 - Valor Real'!C3:C15,0))+1),((L735-1)*(1-_xlfn.XLOOKUP(K735,'Janeiro 2023 - Valor Real'!A3:A15,'Janeiro 2023 - Valor Real'!C3:C15,0))+1))/((L735-1)*(1-_xlfn.XLOOKUP(K735,'Janeiro 2023 - Valor Real'!A3:A15,'Janeiro 2023 - Valor Real'!C3:C15,0))+1)))</f>
      </c>
      <c r="AF735" s="197">
        <f>IF($K735=AF$3,ROUND(IF(OR($C735="W",$C735="1/2W",$C735="1/2L"),$P735-$O735,IF($C735="X",0,-$O735)),2),0)</f>
        <v>0</v>
      </c>
      <c r="AG735" s="198">
        <f>IF($K735=AG$3,ROUND(IF(OR($C735="W",$C735="1/2W",$C735="1/2L"),$P735-$O735,IF($C735="X",0,-$O735)),2),0)</f>
        <v>0</v>
      </c>
      <c r="AH735" s="198">
        <f>IF($K735=AH$3,ROUND(IF(OR($C735="W",$C735="1/2W",$C735="1/2L"),$P735-$O735,IF($C735="X",0,-$O735)),2),0)</f>
        <v>0</v>
      </c>
      <c r="AI735" s="198">
        <f>IF($K735=AI$3,ROUND(IF(OR($C735="W",$C735="1/2W",$C735="1/2L"),$P735-$O735,IF($C735="X",0,-$O735)),2),0)</f>
        <v>0</v>
      </c>
      <c r="AJ735" s="198">
        <f>IF($K735=AJ$3,ROUND(IF(OR($C735="W",$C735="1/2W",$C735="1/2L"),$P735-$O735,IF($C735="X",0,-$O735)),2),0)</f>
        <v>0</v>
      </c>
      <c r="AK735" s="198">
        <f>IF($K735=AK$3,ROUND(IF(OR($C735="W",$C735="1/2W",$C735="1/2L"),$P735-$O735,IF($C735="X",0,-$O735)),2),0)</f>
        <v>0</v>
      </c>
      <c r="AL735" s="198">
        <f>IF($K735=AL$3,ROUND(IF(OR($C735="W",$C735="1/2W",$C735="1/2L"),$P735-$O735,IF($C735="X",0,-$O735)),2),0)</f>
        <v>0</v>
      </c>
      <c r="AM735" s="198">
        <f>IF($K735=AM$3,ROUND(IF(OR($C735="W",$C735="1/2W",$C735="1/2L"),$P735-$O735,IF($C735="X",0,-$O735)),2),0)</f>
        <v>0</v>
      </c>
      <c r="AN735" s="198">
        <f>IF($K735=AN$3,ROUND(IF(OR($C735="W",$C735="1/2W",$C735="1/2L"),$P735-$O735,IF($C735="X",0,-$O735)),2),0)</f>
        <v>0</v>
      </c>
      <c r="AO735" s="198">
        <f>IF($K735=AO$3,ROUND(IF(OR($C735="W",$C735="1/2W",$C735="1/2L"),$P735-$O735,IF($C735="X",0,-$O735)),2),0)</f>
        <v>0</v>
      </c>
      <c r="AP735" s="198">
        <f>IF($K735=AP$3,ROUND(IF(OR($C735="W",$C735="1/2W",$C735="1/2L"),$P735-$O735,IF($C735="X",0,-$O735)),2),0)</f>
        <v>0</v>
      </c>
      <c r="AQ735" s="198">
        <f>IF($K735=AQ$3,ROUND(IF(OR($C735="W",$C735="1/2W",$C735="1/2L"),$P735-$O735,IF($C735="X",0,-$O735)),2),0)</f>
        <v>0</v>
      </c>
      <c r="AR735" s="199">
        <f>IF($K735=AR$3,ROUND(IF(OR($C735="W",$C735="1/2W",$C735="1/2L"),$P735-$O735,IF($C735="X",0,-$O735)),2),0)</f>
        <v>0</v>
      </c>
      <c r="AS735" s="197">
        <f>IF(AND($B733=" ",$K735=AS$3),$O735,0)</f>
        <v>0</v>
      </c>
      <c r="AT735" s="198">
        <f>IF(AND($B733=" ",K735=AT$3),$O735,0)</f>
        <v>0</v>
      </c>
      <c r="AU735" s="198">
        <f>IF(AND($B733=" ",$K735=AU$3),$O735,0)</f>
        <v>0</v>
      </c>
      <c r="AV735" s="198">
        <f>IF(AND($B733=" ",$K735=AV$3),$O735,0)</f>
        <v>0</v>
      </c>
      <c r="AW735" s="198">
        <f>IF(AND($B733=" ",$K735=AW$3),$O735,0)</f>
        <v>0</v>
      </c>
      <c r="AX735" s="198">
        <f>IF(AND($B733=" ",$K735=AX$3),$O735,0)</f>
        <v>0</v>
      </c>
      <c r="AY735" s="200">
        <f>IF(AND($B733=" ",$K735=AY$3),$O735,0)</f>
        <v>0</v>
      </c>
      <c r="AZ735" s="201">
        <f>IF(AND($B733=" ",$K735=AZ$3),$O735,0)</f>
        <v>0</v>
      </c>
      <c r="BA735" s="201">
        <f>IF(AND($B733=" ",$K735=BA$3),$O735,0)</f>
        <v>0</v>
      </c>
      <c r="BB735" s="201">
        <f>IF(AND($B733=" ",$K735=BB$3),$O735,0)</f>
        <v>0</v>
      </c>
      <c r="BC735" s="202">
        <f>IF(AND($B733=" ",$K735=BC$3),$O735,0)</f>
        <v>0</v>
      </c>
      <c r="BD735" s="198">
        <f>IF(AND($B733=" ",$K735=BD$3),$O735,0)</f>
        <v>0</v>
      </c>
      <c r="BE735" s="199">
        <f>IF(AND($B733=" ",$K735=BE$3),$O735,0)</f>
        <v>0</v>
      </c>
      <c r="BF735" s="197">
        <f>IF($K735=BF$3,IF($C735="X",0,$O735),0)</f>
        <v>0</v>
      </c>
      <c r="BG735" s="198">
        <f>IF($K735=BG$3,IF($C735="X",0,$O735),0)</f>
        <v>0</v>
      </c>
      <c r="BH735" s="198">
        <f>IF($K735=BH$3,IF($C735="X",0,$O735),0)</f>
        <v>0</v>
      </c>
      <c r="BI735" s="198">
        <f>IF($K735=BI$3,IF($C735="X",0,$O735),0)</f>
        <v>0</v>
      </c>
      <c r="BJ735" s="198">
        <f>IF($K735=BJ$3,IF($C735="X",0,$O735),0)</f>
        <v>0</v>
      </c>
      <c r="BK735" s="198">
        <f>IF($K735=BK$3,IF($C735="X",0,$O735),0)</f>
        <v>0</v>
      </c>
      <c r="BL735" s="198">
        <f>IF($K735=BL$3,IF($C735="X",0,$O735),0)</f>
        <v>0</v>
      </c>
      <c r="BM735" s="200">
        <f>IF($K735=BM$3,IF($C735="X",0,$O735),0)</f>
        <v>0</v>
      </c>
      <c r="BN735" s="201">
        <f>IF($K735=BN$3,IF($C735="X",0,$O735),0)</f>
        <v>0</v>
      </c>
      <c r="BO735" s="201">
        <f>IF($K735=BO$3,IF($C735="X",0,$O735),0)</f>
        <v>0</v>
      </c>
      <c r="BP735" s="201">
        <f>IF($K735=BP$3,IF($C735="X",0,$O735),0)</f>
        <v>0</v>
      </c>
      <c r="BQ735" s="202">
        <f>IF($K735=BQ$3,IF($C735="X",0,$O735),0)</f>
        <v>0</v>
      </c>
      <c r="BR735" s="199">
        <f>IF($K735=BR$3,IF($C735="X",0,$O735),0)</f>
        <v>0</v>
      </c>
      <c r="BS735" s="228"/>
      <c r="BT735" s="229"/>
      <c r="BU735" s="140"/>
      <c r="BV735" s="229"/>
      <c r="BW735" s="140"/>
      <c r="BX735" s="140"/>
      <c r="BY735" s="140"/>
      <c r="BZ735" s="229"/>
      <c r="CA735" s="140"/>
      <c r="CB735" s="140"/>
      <c r="CC735" s="140"/>
      <c r="CD735" s="141"/>
      <c r="CE735" s="142"/>
      <c r="CF735" s="230">
        <f>IF(CF$3=$K735,IF($C735="W",1,IF($C735="1/2W",0.5,0)),0)</f>
        <v>0</v>
      </c>
      <c r="CG735" s="231">
        <f>IF(CF$3=$K735,IF($C735="L",1,IF($C735="1/2L",0.5,0)),0)</f>
        <v>0</v>
      </c>
      <c r="CH735" s="231">
        <f>IF(CH$3=$K735,IF($C735="W",1,IF($C735="1/2W",0.5,0)),0)</f>
        <v>0</v>
      </c>
      <c r="CI735" s="231">
        <f>IF(CH$3=$K735,IF($C735="L",1,IF($C735="1/2L",0.5,0)),0)</f>
        <v>0</v>
      </c>
      <c r="CJ735" s="231">
        <f>IF(CJ$3=$K735,IF($C735="W",1,IF($C735="1/2W",0.5,0)),0)</f>
        <v>0</v>
      </c>
      <c r="CK735" s="231">
        <f>IF(CJ$3=$K735,IF($C735="L",1,IF($C735="1/2L",0.5,0)),0)</f>
        <v>0</v>
      </c>
      <c r="CL735" s="231">
        <f>IF(CL$3=$K735,IF($C735="W",1,IF($C735="1/2W",0.5,0)),0)</f>
        <v>0</v>
      </c>
      <c r="CM735" s="231">
        <f>IF(CL$3=$K735,IF($C735="L",1,IF($C735="1/2L",0.5,0)),0)</f>
        <v>0</v>
      </c>
      <c r="CN735" s="231">
        <f>IF(CN$3=$K735,IF($C735="W",1,IF($C735="1/2W",0.5,0)),0)</f>
        <v>0</v>
      </c>
      <c r="CO735" s="231">
        <f>IF(CN$3=$K735,IF($C735="L",1,IF($C735="1/2L",0.5,0)),0)</f>
        <v>0</v>
      </c>
      <c r="CP735" s="231">
        <f>IF(CP$3=$K735,IF($C735="W",1,IF($C735="1/2W",0.5,0)),0)</f>
        <v>0</v>
      </c>
      <c r="CQ735" s="231">
        <f>IF(CP$3=$K735,IF($C735="L",1,IF($C735="1/2L",0.5,0)),0)</f>
        <v>0</v>
      </c>
      <c r="CR735" s="231">
        <f>IF(CR$3=$K735,IF($C735="W",1,IF($C735="1/2W",0.5,0)),0)</f>
        <v>0</v>
      </c>
      <c r="CS735" s="231">
        <f>IF(CR$3=$K735,IF($C735="L",1,IF($C735="1/2L",0.5,0)),0)</f>
        <v>0</v>
      </c>
      <c r="CT735" s="208">
        <f>IF(CT$3=$K735,IF($C735="W",1,IF($C735="1/2W",0.5,0)),0)</f>
        <v>0</v>
      </c>
      <c r="CU735" s="209">
        <f>IF(CT$3=$K735,IF($C735="L",1,IF($C735="1/2L",0.5,0)),0)</f>
        <v>0</v>
      </c>
      <c r="CV735" s="209">
        <f>IF(CV$3=$K735,IF($C735="W",1,IF($C735="1/2W",0.5,0)),0)</f>
        <v>0</v>
      </c>
      <c r="CW735" s="209">
        <f>IF(CV$3=$K735,IF($C735="L",1,IF($C735="1/2L",0.5,0)),0)</f>
        <v>0</v>
      </c>
      <c r="CX735" s="209">
        <f>IF(CX$3=$K735,IF($C735="W",1,IF($C735="1/2W",0.5,0)),0)</f>
        <v>0</v>
      </c>
      <c r="CY735" s="209">
        <f>IF(CX$3=$K735,IF($C735="L",1,IF($C735="1/2L",0.5,0)),0)</f>
        <v>0</v>
      </c>
      <c r="CZ735" s="209">
        <f>IF(CZ$3=$K735,IF($C735="W",1,IF($C735="1/2W",0.5,0)),0)</f>
        <v>0</v>
      </c>
      <c r="DA735" s="209">
        <f>IF(CZ$3=$K735,IF($C735="L",1,IF($C735="1/2L",0.5,0)),0)</f>
        <v>0</v>
      </c>
      <c r="DB735" s="209">
        <f>IF(DB$3=$K735,IF($C735="W",1,IF($C735="1/2W",0.5,0)),0)</f>
        <v>0</v>
      </c>
      <c r="DC735" s="209">
        <f>IF(DB$3=$K735,IF($C735="L",1,IF($C735="1/2L",0.5,0)),0)</f>
        <v>0</v>
      </c>
      <c r="DD735" s="209">
        <f>IF(DD$3=$K735,IF($C735="W",1,IF($C735="1/2W",0.5,0)),0)</f>
        <v>0</v>
      </c>
      <c r="DE735" s="210">
        <f>IF(DD$3=$K735,IF($C735="L",1,IF($C735="1/2L",0.5,0)),0)</f>
        <v>0</v>
      </c>
      <c r="DF735" s="211">
        <f>IF(AND(L735&lt;DF$3,$C735="W"),1+DF734,DF734)</f>
        <v>21</v>
      </c>
      <c r="DG735" s="198">
        <f>IF(DF735&gt;DF734,L735+DG734,DG734)</f>
        <v>28.074</v>
      </c>
      <c r="DH735" s="209">
        <f>IF(AND(L735&gt;DH$3,$C735="W"),1+DH734,0+DH734)</f>
        <v>18</v>
      </c>
      <c r="DI735" s="198">
        <f>IF(DH735&gt;DH734,L735+DI734,DI734)</f>
        <v>93.66</v>
      </c>
      <c r="DJ735" t="s" s="306">
        <f>IF($D733="","",$D733)</f>
        <v>481</v>
      </c>
      <c r="DK735" s="232"/>
    </row>
    <row r="736" ht="14.55" customHeight="1">
      <c r="A736" s="246">
        <f>$A733+1</f>
        <v>245</v>
      </c>
      <c r="B736" t="s" s="247">
        <f>IF(AND(_xlfn.XLOOKUP(H736,H$107:H515,G$107:G515,0)=G736,_xlfn.XLOOKUP("TempoBet",K736:K738,L736:L738,0)&gt;0),"X",IF(OR(C736="W",C737="W",C738="W",C736="1/2W",C737="1/2W",C738="1/2W",C736="1/2L",C737="1/2L",C738="1/2L"),"OK",IF(OR(C736="L",C737="L",C738="L"),"LOSS",IF(OR(C736="X",C737="X",C738="X"),"Anulado"," "))))</f>
        <v>50</v>
      </c>
      <c r="C736" t="s" s="248">
        <v>56</v>
      </c>
      <c r="D736" t="s" s="303">
        <f>IF(G736="","",$D733)</f>
        <v>481</v>
      </c>
      <c r="E736" t="s" s="250">
        <v>155</v>
      </c>
      <c r="F736" t="s" s="251">
        <f>IF(G736="","",IF(OR(AND($C736&lt;&gt;" ",$C737=" "),AND($C737&lt;&gt;" ",$C736=" "),AND(L738&gt;0,OR(AND($C738&lt;&gt;" ",OR($C736=" ",$C737=" ")),AND($C738=" ",OR($C736&lt;&gt;" ",$C737&lt;&gt;" "))))),IF(SUM(F$4:F735)=0,1,LARGE(F$4:F735,1)+1),IF(MONTH(G736)=MONTH(TODAY()),IF(AND(DAY(G736)&lt;DAY(TODAY()),$B736=" "),IF(SUM(F$4:F735)=0,1,LARGE(F$4:F735,1)+1),IF($B736=" ",IF(AND(DAY(G736)=DAY(TODAY()),HOUR(G736)&lt;=HOUR(NOW())+1),IF(AND(HOUR(G736)+2&lt;=HOUR(NOW()),DAY(G736)&lt;=DAY(TODAY()),MINUTE(G736)&lt;=MINUTE(NOW())),IF(SUM(F$4:F735)=0,1,LARGE(F$4:F735,1)+1),IF(OR(MINUTE(G736)&lt;=MINUTE(NOW()),HOUR(G736)&lt;=HOUR(NOW())),"!!!","")),""),"")),"")))</f>
      </c>
      <c r="G736" s="252">
        <v>44962.333333333336</v>
      </c>
      <c r="H736" t="s" s="253">
        <v>506</v>
      </c>
      <c r="I736" t="s" s="254">
        <v>54</v>
      </c>
      <c r="J736" s="293"/>
      <c r="K736" t="s" s="256">
        <v>48</v>
      </c>
      <c r="L736" s="257">
        <v>1.33</v>
      </c>
      <c r="M736" s="258"/>
      <c r="N736" s="259">
        <v>0.1</v>
      </c>
      <c r="O736" s="260">
        <f>IF(OR(AE736="",AE737=""),"",ROUND(IF(L738&gt;0,IF(M736&gt;0,M736,IF(M737&gt;0,ROUND((M737*AE736)/AE737,IF(N736=0,2,IF(N736=0.1,1,0))),ROUND((M738*AE736)/AE738,IF(N736=0,2,IF(N736=0.1,1,0))))),IF(M736&gt;0,M736,ROUND((M737*AE736)/AE737,IF(N736=0,2,IF(N736=0.1,1,0))))),2))</f>
        <v>8.800000000000001</v>
      </c>
      <c r="P736" s="261">
        <f>IF(OR(L736="",O736=""),"",IF($C736="1/2W",O736/2+O736/2*L736,IF($C736="1/2L",O736/2,IF(I736="Lay",(O736*(L736/(L736-1))-O736)*(1-_xlfn.XLOOKUP(K736,'Janeiro 2023 - Valor Real'!A3:A15,'Janeiro 2023 - Valor Real'!C3:C15,0))+O736,(O736*L736-O736)*(1-_xlfn.XLOOKUP(K736,'Janeiro 2023 - Valor Real'!A3:A15,'Janeiro 2023 - Valor Real'!C3:C15,0))+O736))))</f>
        <v>11.704</v>
      </c>
      <c r="Q736" s="262">
        <f>IF(K736="","",IF(_xlfn.XLOOKUP(K736,K$107:K515,DJ$107:DJ515,0,,-1)=DJ736,_xlfn.XLOOKUP(K736,K$107:K515,Q$107:Q515,1,,-1)+1,1))</f>
        <v>1</v>
      </c>
      <c r="R736" s="263">
        <f>IF(K736="","",_xlfn.XLOOKUP(K736,K$107:K515,R$107:R515,0,,-1)+IF($C736=" ",1,0))</f>
        <v>0</v>
      </c>
      <c r="S736" s="264">
        <f>IF($B736="Anulado",0,ROUND(IF(OR($B736="LOSS",$B736="OK"),IF(OR($C736="W",$C736="1/2W",$C736="1/2L"),P736-O736,IF($C736="L",-O736,0))+IF(OR($C737="W",$C737="1/2W",$C737="1/2L"),P737-O737,IF($C737="L",-O737,0))+IF(OR($C738="W",$C738="1/2W",$C738="1/2L"),P738-O738,IF($C738="L",-O738,0)),IF(AND(OR($C736="W",$C736="1/2W",$C736="1/2L"),C737="W"),P736+P737-SUM(O736:O738)+_xlfn.XLOOKUP("X",C736:C738,O736:O738,0),IF(AND(C736=TRUE,C738="W"),P736+P738-SUM(O736:O738),IF(AND(C737="W",C738="W"),P737+P738-SUM(O736:O738)+_xlfn.XLOOKUP("X",C736:C738,O736:O738,0),IF(L738&gt;0,IF(OR($C736="W",$C736="1/2W",$C736="1/2L"),P736-SUM(O736:O738)+_xlfn.XLOOKUP("X",C736:C738,O736:O738,0),IF(OR($C736="W",$C736="1/2W",$C736="1/2L"),P737-SUM(O736:O738)+_xlfn.XLOOKUP("X",C736:C738,O736:O738,0),IF(OR($C736="W",$C736="1/2W",$C736="1/2L"),P738-SUM(O736:O738)+_xlfn.XLOOKUP("X",C736:C738,O736:O738,0),IF(SUM(P736:P738)/3-SUM(O736:O738)+_xlfn.XLOOKUP("X",C736:C738,O736:O738,0)&gt;0,SUM(P736:P738)/3-SUM(O736:O738)+_xlfn.XLOOKUP("X",C736:C738,O736:O738,0),LARGE(P736:P738,1)-SUM(O736:O738))))),IF(OR($C736="W",$C736="1/2W",$C736="1/2L"),P736-SUM(O736:O737)+_xlfn.XLOOKUP("X",C736:C738,O736:O738,0),IF(OR($C736="W",$C736="1/2W",$C736="1/2L"),P737-SUM(O736:O737)+_xlfn.XLOOKUP("X",C736:C738,O736:O738,0),SUM(P736:P737)/2-SUM(O736:O737)+_xlfn.XLOOKUP("X",C736:C738,O736:O738,0)))))))),2))</f>
        <v>0.87</v>
      </c>
      <c r="T736" s="265">
        <f>IF(S736=0,0,S736/SUM(O736:O738))</f>
        <v>0.08033240997229921</v>
      </c>
      <c r="U736" s="266">
        <f>IF($D736=$D733,IF(OR($B736="LOSS",$B736="OK",$B736="Anulada"),S736,0)+U733,IF(OR($B736="LOSS",$B736="OK",$B736="Anulada"),S736,0))</f>
        <v>28.42</v>
      </c>
      <c r="V736" s="266">
        <f>IF($D736="",0,IF($D736=$D733,IF($B736=" ",IF(I738="",IF(OR(AND(I736="DNB1",I737="DNB2"),AND(OR(I736="DNB1",I736="DNB2"),J737=0),AND(OR(I737="DNB1",I737="DNB2"),J736=0),AND(I736="DNB2",I737="DNB1"),AND(IF(J736=0,(J736+1)/ROUND(J736+1,0),J736/ROUND(J736,0))=1,IF(J737=0,(J737+1)/ROUND(IF(J737="",0,J737)+1,0),IF(J737="",0,J737)/ROUND(IF(J737="",1,J737),0))=1,OR(J736&lt;&gt;""),J737&lt;&gt;"")),0,IF(S736&lt;0,IF(I738="",SMALL(P736:P737,1)-SUM(O736:O737),0),SMALL(P736:P737,1)-SUM(O736:O737))),IF(S736&lt;0,IF(I738="",SMALL(P736:P738,1)-SUM(O736:O738),0),LARGE(P736:P738,1)-SUM(O736:O738))),S736)+V733,IF(I738="",IF(OR(AND(I736="DNB1",I737="DNB2"),AND(OR(I736="DNB1",I736="DNB2"),J737=0),AND(OR(I737="DNB1",I737="DNB2"),J736=0),AND(I736="DNB2",I737="DNB1"),AND(IF(J736=0,(J736+1)/ROUND(J736+1,0),J736/ROUND(J736,0))=1,IF(J737=0,(IF(J737="",0,J737)+1)/ROUND(IF(J737="",0,J737)+1,0),IF(J737="",0,J737)/ROUND(IF(J737="",0,J737)+1,0))=1,OR(J736&lt;&gt;""),J737&lt;&gt;"")),0,IF(S736&lt;0,IF(I738="",SMALL(P736:P737,1)-SUM(O736:O737),0),SMALL(P736:P738,1)-SUM(O736:O738))),IF(S736&lt;0,IF(I738="",SMALL(P736:P738,1)-SUM(O736:O738),0),LARGE(P736:P738,1)-SUM(O736:O738)))))</f>
        <v>28.4176</v>
      </c>
      <c r="W736" s="266">
        <f>IF($D736=$D733,IF(S736&lt;0,IF(I738="",S736,0),S736)+W733,S736)</f>
        <v>28.42</v>
      </c>
      <c r="X736" t="s" s="267">
        <f>IF(OR(SUM(R736:R738)=0,V736=W736),ROUND(IF(W736=0,0,W736/Y736)*100,2)&amp;"%",ROUND(IF(V736=0,0,V736/Y736)*100,2)&amp;"% a "&amp;ROUND(IF(W736=0,0,W736/Y736)*100,2)&amp;"%")</f>
        <v>392</v>
      </c>
      <c r="Y736" s="268">
        <f>IF($D736=$D733,Y733+SUM(O736:O738),SUM(O736:O738))</f>
        <v>515.98</v>
      </c>
      <c r="Z736" s="266">
        <f>IF($B736=" ",SUM(O736:O738),0)+Z733</f>
        <v>0</v>
      </c>
      <c r="AA736" s="266">
        <f>IF(G736="","",IF($B736="Anulado",LARGE(P736:P738,1)-SUM(O736:O738)+AA733,AA733))</f>
        <v>27.7065076923077</v>
      </c>
      <c r="AB736" s="266">
        <f>IF($D736="","",AB733+S736)</f>
        <v>499.6</v>
      </c>
      <c r="AC736" s="269">
        <f>IF($D736="","",IF($B736=" ",IF(DAY(G736)=DAY(TODAY()),1+AC733,0+AC733),0+AC733))</f>
        <v>0</v>
      </c>
      <c r="AD736" s="270">
        <f>(1-_xlfn.XLOOKUP(K734,'Janeiro 2023 - Valor Real'!A3:A15,'Janeiro 2023 - Valor Real'!C3:C15,0))+1</f>
        <v>2</v>
      </c>
      <c r="AE736" s="271">
        <f>IF(L736="","",IF(L738&gt;0,(SUM(((L736-1)*(1-_xlfn.XLOOKUP(K736,'Janeiro 2023 - Valor Real'!A3:A15,'Janeiro 2023 - Valor Real'!C3:C15,0))+1),((L737-1)*(1-_xlfn.XLOOKUP(K737,'Janeiro 2023 - Valor Real'!A3:A15,'Janeiro 2023 - Valor Real'!C3:C15,0))+1),((L738-1)*(1-_xlfn.XLOOKUP(K738,'Janeiro 2023 - Valor Real'!A3:A15,'Janeiro 2023 - Valor Real'!C3:C15,0))+1))/((L736-1)*(1-_xlfn.XLOOKUP(K736,'Janeiro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Real'!C3:C15,0))+1))/((L736-1)*(1-_xlfn.XLOOKUP(K736,'Janeiro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Real'!C3:C15,0))+1))/((L737-1)*(1-_xlfn.XLOOKUP(K737,'Janeiro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Real'!C3:C15,0))+1))/((L738-1)*(1-_xlfn.XLOOKUP(K738,'Janeiro 2023 - Valor Real'!A3:A15,'Janeiro 2023 - Valor Real'!C3:C15,0))+1)),IF(I736="Lay",IF(I737="Lay",((L737/(L737-1)-1)*(1-_xlfn.XLOOKUP(K737,'Janeiro 2023 - Valor Real'!A3:A15,'Janeiro 2023 - Valor Real'!C3:C15,0))+1)/(((L737/(L737-1)-1)*(1-_xlfn.XLOOKUP(K737,'Janeiro 2023 - Valor Real'!A3:A15,'Janeiro 2023 - Valor Real'!C3:C15,0))+1)+((L736/(L736-1)-1)*(1-_xlfn.XLOOKUP(K736,'Janeiro 2023 - Valor Real'!A3:A15,'Janeiro 2023 - Valor Real'!C3:C15,0))+1)),((L737-1)*(1-_xlfn.XLOOKUP(K737,'Janeiro 2023 - Valor Real'!A3:A15,'Janeiro 2023 - Valor Real'!C3:C15,0))+1)/(((L737-1)*(1-_xlfn.XLOOKUP(K737,'Janeiro 2023 - Valor Real'!A3:A15,'Janeiro 2023 - Valor Real'!C3:C15,0))+1)+((L736/(L736-1)-1)*(1-_xlfn.XLOOKUP(K736,'Janeiro 2023 - Valor Real'!A3:A15,'Janeiro 2023 - Valor Real'!C3:C15,0))+1))),IF(I737="Lay",(((L737/(L737-1)-1)*(1-_xlfn.XLOOKUP(K737,'Janeiro 2023 - Valor Real'!A3:A15,'Janeiro 2023 - Valor Real'!C3:C15,0))+1))/(((L736-1)*(1-_xlfn.XLOOKUP(K736,'Janeiro 2023 - Valor Real'!A3:A15,'Janeiro 2023 - Valor Real'!C3:C15,0))+1)+((L737/(L737-1)-1)*(1-_xlfn.XLOOKUP(K737,'Janeiro 2023 - Valor Real'!A3:A15,'Janeiro 2023 - Valor Real'!C3:C15,0))+1)),((L737-1)*(1-_xlfn.XLOOKUP(K737,'Janeiro 2023 - Valor Real'!A3:A15,'Janeiro 2023 - Valor Real'!C3:C15,0))+1)/(((L737-1)*(1-_xlfn.XLOOKUP(K737,'Janeiro 2023 - Valor Real'!A3:A15,'Janeiro 2023 - Valor Real'!C3:C15,0))+1)+((L736-1)*(1-_xlfn.XLOOKUP(K736,'Janeiro 2023 - Valor Real'!A3:A15,'Janeiro 2023 - Valor Real'!C3:C15,0))+1))))))</f>
        <v>0.812146892655367</v>
      </c>
      <c r="AF736" s="132">
        <f>IF($K736=AF$3,ROUND(IF(OR($C736="W",$C736="1/2W",$C736="1/2L"),$P736-$O736,IF($C736="X",0,-$O736)),2),0)</f>
        <v>0</v>
      </c>
      <c r="AG736" s="133">
        <f>IF($K736=AG$3,ROUND(IF(OR($C736="W",$C736="1/2W",$C736="1/2L"),$P736-$O736,IF($C736="X",0,-$O736)),2),0)</f>
        <v>0</v>
      </c>
      <c r="AH736" s="133">
        <f>IF($K736=AH$3,ROUND(IF(OR($C736="W",$C736="1/2W",$C736="1/2L"),$P736-$O736,IF($C736="X",0,-$O736)),2),0)</f>
        <v>0</v>
      </c>
      <c r="AI736" s="133">
        <f>IF($K736=AI$3,ROUND(IF(OR($C736="W",$C736="1/2W",$C736="1/2L"),$P736-$O736,IF($C736="X",0,-$O736)),2),0)</f>
        <v>0</v>
      </c>
      <c r="AJ736" s="133">
        <f>IF($K736=AJ$3,ROUND(IF(OR($C736="W",$C736="1/2W",$C736="1/2L"),$P736-$O736,IF($C736="X",0,-$O736)),2),0)</f>
        <v>0</v>
      </c>
      <c r="AK736" s="133">
        <f>IF($K736=AK$3,ROUND(IF(OR($C736="W",$C736="1/2W",$C736="1/2L"),$P736-$O736,IF($C736="X",0,-$O736)),2),0)</f>
        <v>0</v>
      </c>
      <c r="AL736" s="133">
        <f>IF($K736=AL$3,ROUND(IF(OR($C736="W",$C736="1/2W",$C736="1/2L"),$P736-$O736,IF($C736="X",0,-$O736)),2),0)</f>
        <v>0</v>
      </c>
      <c r="AM736" s="133">
        <f>IF($K736=AM$3,ROUND(IF(OR($C736="W",$C736="1/2W",$C736="1/2L"),$P736-$O736,IF($C736="X",0,-$O736)),2),0)</f>
        <v>0</v>
      </c>
      <c r="AN736" s="133">
        <f>IF($K736=AN$3,ROUND(IF(OR($C736="W",$C736="1/2W",$C736="1/2L"),$P736-$O736,IF($C736="X",0,-$O736)),2),0)</f>
        <v>0</v>
      </c>
      <c r="AO736" s="133">
        <f>IF($K736=AO$3,ROUND(IF(OR($C736="W",$C736="1/2W",$C736="1/2L"),$P736-$O736,IF($C736="X",0,-$O736)),2),0)</f>
        <v>0</v>
      </c>
      <c r="AP736" s="133">
        <f>IF($K736=AP$3,ROUND(IF(OR($C736="W",$C736="1/2W",$C736="1/2L"),$P736-$O736,IF($C736="X",0,-$O736)),2),0)</f>
        <v>0</v>
      </c>
      <c r="AQ736" s="133">
        <f>IF($K736=AQ$3,ROUND(IF(OR($C736="W",$C736="1/2W",$C736="1/2L"),$P736-$O736,IF($C736="X",0,-$O736)),2),0)</f>
        <v>2.9</v>
      </c>
      <c r="AR736" s="134">
        <f>IF($K736=AR$3,ROUND(IF(OR($C736="W",$C736="1/2W",$C736="1/2L"),$P736-$O736,IF($C736="X",0,-$O736)),2),0)</f>
        <v>0</v>
      </c>
      <c r="AS736" s="132">
        <f>IF(AND($B736=" ",$K736=AS$3),$O736,0)</f>
        <v>0</v>
      </c>
      <c r="AT736" s="133">
        <f>IF(AND($B736=" ",$K736=AT$3),$O736,0)</f>
        <v>0</v>
      </c>
      <c r="AU736" s="133">
        <f>IF(AND($B736=" ",$K736=AU$3),$O736,0)</f>
        <v>0</v>
      </c>
      <c r="AV736" s="133">
        <f>IF(AND($B736=" ",$K736=AV$3),$O736,0)</f>
        <v>0</v>
      </c>
      <c r="AW736" s="133">
        <f>IF(AND($B736=" ",$K736=AW$3),$O736,0)</f>
        <v>0</v>
      </c>
      <c r="AX736" s="133">
        <f>IF(AND($B736=" ",$K736=AX$3),$O736,0)</f>
        <v>0</v>
      </c>
      <c r="AY736" s="135">
        <f>IF(AND($B736=" ",$K736=AY$3),$O736,0)</f>
        <v>0</v>
      </c>
      <c r="AZ736" s="136">
        <f>IF(AND($B736=" ",$K736=AZ$3),$O736,0)</f>
        <v>0</v>
      </c>
      <c r="BA736" s="136">
        <f>IF(AND($B736=" ",$K736=BA$3),$O736,0)</f>
        <v>0</v>
      </c>
      <c r="BB736" s="136">
        <f>IF(AND($B736=" ",$K736=BB$3),$O736,0)</f>
        <v>0</v>
      </c>
      <c r="BC736" s="137">
        <f>IF(AND($B736=" ",$K736=BC$3),$O736,0)</f>
        <v>0</v>
      </c>
      <c r="BD736" s="133">
        <f>IF(AND($B736=" ",$K736=BD$3),$O736,0)</f>
        <v>0</v>
      </c>
      <c r="BE736" s="134">
        <f>IF(AND($B736=" ",$K736=BE$3),$O736,0)</f>
        <v>0</v>
      </c>
      <c r="BF736" s="132">
        <f>IF($K736=BF$3,IF($C736="X",0,$O736),0)</f>
        <v>0</v>
      </c>
      <c r="BG736" s="133">
        <f>IF($K736=BG$3,IF($C736="X",0,$O736),0)</f>
        <v>0</v>
      </c>
      <c r="BH736" s="133">
        <f>IF($K736=BH$3,IF($C736="X",0,$O736),0)</f>
        <v>0</v>
      </c>
      <c r="BI736" s="133">
        <f>IF($K736=BI$3,IF($C736="X",0,$O736),0)</f>
        <v>0</v>
      </c>
      <c r="BJ736" s="133">
        <f>IF($K736=BJ$3,IF($C736="X",0,$O736),0)</f>
        <v>0</v>
      </c>
      <c r="BK736" s="133">
        <f>IF($K736=BK$3,IF($C736="X",0,$O736),0)</f>
        <v>0</v>
      </c>
      <c r="BL736" s="133">
        <f>IF($K736=BL$3,IF($C736="X",0,$O736),0)</f>
        <v>0</v>
      </c>
      <c r="BM736" s="135">
        <f>IF($K736=BM$3,IF($C736="X",0,$O736),0)</f>
        <v>0</v>
      </c>
      <c r="BN736" s="136">
        <f>IF($K736=BN$3,IF($C736="X",0,$O736),0)</f>
        <v>0</v>
      </c>
      <c r="BO736" s="136">
        <f>IF($K736=BO$3,IF($C736="X",0,$O736),0)</f>
        <v>0</v>
      </c>
      <c r="BP736" s="136">
        <f>IF($K736=BP$3,IF($C736="X",0,$O736),0)</f>
        <v>0</v>
      </c>
      <c r="BQ736" s="137">
        <f>IF($K736=BQ$3,IF($C736="X",0,$O736),0)</f>
        <v>8.800000000000001</v>
      </c>
      <c r="BR736" s="134">
        <f>IF($K736=BR$3,IF($C736="X",0,$O736),0)</f>
        <v>0</v>
      </c>
      <c r="BS736" s="170">
        <f>IF($B736="LOSS",IF(AND($K736=BS$3,$C736="L"),-$O736,0)+IF(AND($K737=BS$3,$C737="L"),-$O737,0)+IF(AND($K738=BS$3,$C738="L"),-$O738,0),IF(OR(AND($K736=BS$3,OR($C736="W",$C736="1/2W")),AND($K737=BS$3,OR($C737="W",$C737="1/2W")),AND($K738=BS$3,OR($C738="W",$C738="1/2W"))),$S736,0))</f>
        <v>0</v>
      </c>
      <c r="BT736" s="272">
        <f>IF($B736="LOSS",IF(AND($K736=BT$3,$C736="L"),-$O736,0)+IF(AND($K737=BT$3,$C737="L"),-$O737,0)+IF(AND($K737=BT$3,$C738="L"),-$O738,0),IF(OR(AND($K737=BT$3,OR($C736="W",$C736="1/2W")),AND($K737=BT$3,OR($C737="W",$C737="1/2W")),AND($K737=BT$3,OR($C738="W",$C738="1/2W"))),$S736,0))</f>
        <v>0.87</v>
      </c>
      <c r="BU736" s="136">
        <f>IF($B736="LOSS",IF(AND($K736=BU$3,$C736="L"),-$O736,0)+IF(AND($K737=BU$3,$C737="L"),-$O737,0)+IF(AND($K737=BU$3,$C738="L"),-$O738,0),IF(OR(AND($K737=BU$3,OR($C736="W",$C736="1/2W")),AND($K737=BU$3,OR($C737="W",$C737="1/2W")),AND($K737=BU$3,OR($C738="W",$C738="1/2W"))),$S736,0))</f>
        <v>0</v>
      </c>
      <c r="BV736" s="136">
        <f>IF($B736="LOSS",IF(AND($K736=BV$3,$C736="L"),-$O736,0)+IF(AND($K737=BV$3,$C737="L"),-$O737,0)+IF(AND($K738=BV$3,$C738="L"),-$O738,0),IF(OR(AND($K736=BV$3,OR($C736="W",$C736="1/2W")),AND($K737=BV$3,OR($C737="W",$C737="1/2W")),AND($K738=BV$3,OR($C738="W",$C738="1/2W"))),$S736,0))</f>
        <v>0</v>
      </c>
      <c r="BW736" s="136">
        <f>IF($B736="LOSS",IF(AND($K736=BW$3,$C736="L"),-$O736,0)+IF(AND($K737=BW$3,$C737="L"),-$O737,0)+IF(AND($K738=BW$3,$C738="L"),-$O738,0),IF(OR(AND($K736=BW$3,OR($C736="W",$C736="1/2W")),AND($K737=BW$3,OR($C737="W",$C737="1/2W")),AND($K738=BW$3,OR($C738="W",$C738="1/2W"))),$S736,0))</f>
        <v>0</v>
      </c>
      <c r="BX736" s="136">
        <f>IF($B736="LOSS",IF(AND($K736=BX$3,$C736="L"),-$O736,0)+IF(AND($K737=BX$3,$C737="L"),-$O737,0)+IF(AND($K738=BX$3,$C738="L"),-$O738,0),IF(OR(AND($K736=BX$3,OR($C736="W",$C736="1/2W")),AND($K737=BX$3,OR($C737="W",$C737="1/2W")),AND($K738=BX$3,OR($C738="W",$C738="1/2W"))),$S736,0))</f>
        <v>0</v>
      </c>
      <c r="BY736" s="136">
        <f>IF($B736="LOSS",IF(AND($K736=BY$3,$C736="L"),-$O736,0)+IF(AND($K737=BY$3,$C737="L"),-$O737,0)+IF(AND($K738=BY$3,$C738="L"),-$O738,0),IF(OR(AND($K736=BY$3,OR($C736="W",$C736="1/2W")),AND($K737=BY$3,OR($C737="W",$C737="1/2W")),AND($K738=BY$3,OR($C738="W",$C738="1/2W"))),$S736,0))</f>
        <v>0</v>
      </c>
      <c r="BZ736" s="136">
        <f>IF($B736="LOSS",IF(AND($K736=BZ$3,$C736="L"),-$O736,0)+IF(AND($K737=BZ$3,$C737="L"),-$O737,0)+IF(AND($K738=BZ$3,$C738="L"),-$O738,0),IF(OR(AND($K736=BZ$3,OR($C736="W",$C736="1/2W")),AND($K737=BZ$3,OR($C737="W",$C737="1/2W")),AND($K738=BZ$3,OR($C738="W",$C738="1/2W"))),$S736,0))</f>
        <v>0</v>
      </c>
      <c r="CA736" s="136">
        <f>IF($B736="LOSS",IF(AND($K736=CA$3,$C736="L"),-$O736,0)+IF(AND($K737=CA$3,$C737="L"),-$O737,0)+IF(AND($K738=CA$3,$C738="L"),-$O738,0),IF(OR(AND($K736=CA$3,OR($C736="W",$C736="1/2W")),AND($K737=CA$3,OR($C737="W",$C737="1/2W")),AND($K738=CA$3,OR($C738="W",$C738="1/2W"))),$S736,0))</f>
        <v>0</v>
      </c>
      <c r="CB736" s="136">
        <f>IF($B736="LOSS",IF(AND($K736=CB$3,$C736="L"),-$O736,0)+IF(AND($K737=CB$3,$C737="L"),-$O737,0)+IF(AND($K738=CB$3,$C738="L"),-$O738,0),IF(OR(AND($K736=CB$3,OR($C736="W",$C736="1/2W")),AND($K737=CB$3,OR($C737="W",$C737="1/2W")),AND($K738=CB$3,OR($C738="W",$C738="1/2W"))),$S736,0))</f>
        <v>0</v>
      </c>
      <c r="CC736" s="136">
        <f>IF($B736="LOSS",IF(AND($K736=CC$3,$C736="L"),-$O736,0)+IF(AND($K737=CC$3,$C737="L"),-$O737,0)+IF(AND($K738=CC$3,$C738="L"),-$O738,0),IF(OR(AND($K736=CC$3,OR($C736="W",$C736="1/2W")),AND($K737=CC$3,OR($C737="W",$C737="1/2W")),AND($K738=CC$3,OR($C738="W",$C738="1/2W"))),$S736,0))</f>
        <v>0</v>
      </c>
      <c r="CD736" s="137">
        <f>IF($B736="LOSS",IF(AND($K736=CD$3,$C736="L"),-$O736,0)+IF(AND($K737=CD$3,$C737="L"),-$O737,0)+IF(AND($K738=CD$3,$C738="L"),-$O738,0),IF(OR(AND($K736=CD$3,OR($C736="W",$C736="1/2W")),AND($K737=CD$3,OR($C737="W",$C737="1/2W")),AND($K738=CD$3,OR($C738="W",$C738="1/2W"))),$S736,0))</f>
        <v>0.87</v>
      </c>
      <c r="CE736" s="134">
        <f>IF($B736="LOSS",IF(AND($K736=CE$3,$C736="L"),-$O736,0)+IF(AND($K737=CE$3,$C737="L"),-$O737,0)+IF(AND($K738=CE$3,$C738="L"),-$O738,0),IF(OR(AND($K736=CE$3,OR($C736="W",$C736="1/2W")),AND($K737=CE$3,OR($C737="W",$C737="1/2W")),AND($K738=CE$3,OR($C738="W",$C738="1/2W"))),$S736,0))</f>
        <v>0</v>
      </c>
      <c r="CF736" s="273">
        <f>IF(CF$3=$K736,IF($C736="W",1,IF($C736="1/2W",0.5,0)),0)</f>
        <v>0</v>
      </c>
      <c r="CG736" s="274">
        <f>IF(CF$3=$K736,IF($C736="L",1,IF($C736="1/2L",0.5,0)),0)</f>
        <v>0</v>
      </c>
      <c r="CH736" s="274">
        <f>IF(CH$3=$K736,IF($C736="W",1,IF($C736="1/2W",0.5,0)),0)</f>
        <v>0</v>
      </c>
      <c r="CI736" s="274">
        <f>IF(CH$3=$K736,IF($C736="L",1,IF($C736="1/2L",0.5,0)),0)</f>
        <v>0</v>
      </c>
      <c r="CJ736" s="274">
        <f>IF(CJ$3=$K736,IF($C736="W",1,IF($C736="1/2W",0.5,0)),0)</f>
        <v>0</v>
      </c>
      <c r="CK736" s="274">
        <f>IF(CJ$3=$K736,IF($C736="L",1,IF($C736="1/2L",0.5,0)),0)</f>
        <v>0</v>
      </c>
      <c r="CL736" s="274">
        <f>IF(CL$3=$K736,IF($C736="W",1,IF($C736="1/2W",0.5,0)),0)</f>
        <v>0</v>
      </c>
      <c r="CM736" s="274">
        <f>IF(CL$3=$K736,IF($C736="L",1,IF($C736="1/2L",0.5,0)),0)</f>
        <v>0</v>
      </c>
      <c r="CN736" s="274">
        <f>IF(CN$3=$K736,IF($C736="W",1,IF($C736="1/2W",0.5,0)),0)</f>
        <v>0</v>
      </c>
      <c r="CO736" s="274">
        <f>IF(CN$3=$K736,IF($C736="L",1,IF($C736="1/2L",0.5,0)),0)</f>
        <v>0</v>
      </c>
      <c r="CP736" s="274">
        <f>IF(CP$3=$K736,IF($C736="W",1,IF($C736="1/2W",0.5,0)),0)</f>
        <v>0</v>
      </c>
      <c r="CQ736" s="274">
        <f>IF(CP$3=$K736,IF($C736="L",1,IF($C736="1/2L",0.5,0)),0)</f>
        <v>0</v>
      </c>
      <c r="CR736" s="274">
        <f>IF(CR$3=$K736,IF($C736="W",1,IF($C736="1/2W",0.5,0)),0)</f>
        <v>0</v>
      </c>
      <c r="CS736" s="274">
        <f>IF(CR$3=$K736,IF($C736="L",1,IF($C736="1/2L",0.5,0)),0)</f>
        <v>0</v>
      </c>
      <c r="CT736" s="145">
        <f>IF(CT$3=$K736,IF($C736="W",1,IF($C736="1/2W",0.5,0)),0)</f>
        <v>0</v>
      </c>
      <c r="CU736" s="146">
        <f>IF(CT$3=$K736,IF($C736="L",1,IF($C736="1/2L",0.5,0)),0)</f>
        <v>0</v>
      </c>
      <c r="CV736" s="146">
        <f>IF(CV$3=$K736,IF($C736="W",1,IF($C736="1/2W",0.5,0)),0)</f>
        <v>0</v>
      </c>
      <c r="CW736" s="146">
        <f>IF(CV$3=$K736,IF($C736="L",1,IF($C736="1/2L",0.5,0)),0)</f>
        <v>0</v>
      </c>
      <c r="CX736" s="146">
        <f>IF(CX$3=$K736,IF($C736="W",1,IF($C736="1/2W",0.5,0)),0)</f>
        <v>0</v>
      </c>
      <c r="CY736" s="146">
        <f>IF(CX$3=$K736,IF($C736="L",1,IF($C736="1/2L",0.5,0)),0)</f>
        <v>0</v>
      </c>
      <c r="CZ736" s="146">
        <f>IF(CZ$3=$K736,IF($C736="W",1,IF($C736="1/2W",0.5,0)),0)</f>
        <v>0</v>
      </c>
      <c r="DA736" s="146">
        <f>IF(CZ$3=$K736,IF($C736="L",1,IF($C736="1/2L",0.5,0)),0)</f>
        <v>0</v>
      </c>
      <c r="DB736" s="146">
        <f>IF(DB$3=$K736,IF($C736="W",1,IF($C736="1/2W",0.5,0)),0)</f>
        <v>1</v>
      </c>
      <c r="DC736" s="146">
        <f>IF(DB$3=$K736,IF($C736="L",1,IF($C736="1/2L",0.5,0)),0)</f>
        <v>0</v>
      </c>
      <c r="DD736" s="146">
        <f>IF(DD$3=$K736,IF($C736="W",1,IF($C736="1/2W",0.5,0)),0)</f>
        <v>0</v>
      </c>
      <c r="DE736" s="147">
        <f>IF(DD$3=$K736,IF($C736="L",1,IF($C736="1/2L",0.5,0)),0)</f>
        <v>0</v>
      </c>
      <c r="DF736" s="143">
        <f>IF(AND(L736&lt;DF$3,$C736="W"),1+DF735,DF735)</f>
        <v>22</v>
      </c>
      <c r="DG736" s="133">
        <f>IF(DF736&gt;DF735,L736+DG735,DG735)</f>
        <v>29.404</v>
      </c>
      <c r="DH736" s="146">
        <f>IF(AND(L736&gt;DH$3,$C736="W"),1+DH735,0+DH735)</f>
        <v>18</v>
      </c>
      <c r="DI736" s="133">
        <f>IF(DH736&gt;DH735,L736+DI735,DI735)</f>
        <v>93.66</v>
      </c>
      <c r="DJ736" t="s" s="304">
        <f>IF($D736="","",$D736)</f>
        <v>481</v>
      </c>
      <c r="DK736" s="146">
        <f>IF(AND($B736=" ",$D736&lt;&gt;""),1,0)</f>
        <v>0</v>
      </c>
    </row>
    <row r="737" ht="14.55" customHeight="1">
      <c r="A737" s="107"/>
      <c r="B737" s="108"/>
      <c r="C737" t="s" s="109">
        <v>51</v>
      </c>
      <c r="D737" s="110"/>
      <c r="E737" s="111"/>
      <c r="F737" s="113"/>
      <c r="G737" s="252"/>
      <c r="H737" s="114"/>
      <c r="I737" t="s" s="275">
        <v>62</v>
      </c>
      <c r="J737" t="s" s="295">
        <f>IF(OR(I736="TO",I736="TU",I736="TO1",I736="TU1",I736="TO2",I736="TU2"),J736,IF(OR(I736="AH1",I736="AH2"),IF(OR(I737="AH1",I737="AH2"),-J736,IF(OR(I737="EH1",I737="EH2"),-J736+0.5,"")),IF(OR(I736="EH1",I736="EH2"),IF(OR(I737="AH1",I737="AH2"),-J736+0.5,IF(OR(I737="EH1",I737="EH2"),-J736+1,"")),IF(AND(OR(I736="DNB1",I736="DNB2"),OR(I737="AH1",I737="AH2")),0,IF(AND(I736="Not ScoreBoth",OR(I737="TO1",I737="TO2")),0.5,"")))))</f>
      </c>
      <c r="K737" t="s" s="117">
        <v>38</v>
      </c>
      <c r="L737" s="277">
        <v>5.75</v>
      </c>
      <c r="M737" s="278">
        <v>2.03</v>
      </c>
      <c r="N737" s="120"/>
      <c r="O737" s="121">
        <f>IF(OR(AE736="",AE737=""),"",ROUND(IF(L738&gt;0,IF(M737&gt;0,M737,IF(M736&gt;0,IF(N736=TRUE,ROUND((M736*AE737)/AE736,0),(M736*AE737)/AE736),IF(M737&gt;0,ROUND(M737,IF(N736=0,2,IF(N736=0.1,1,0))),IF(M738&gt;0,ROUND(O738*AE737/AE738,IF(N736=0,2,IF(N736=0.1,1,0))),0)))),IF(M737&gt;0,M737,ROUND((M736*AE737)/AE736,IF(N736=0,2,IF(N736=0.1,1,0))))),2))</f>
        <v>2.03</v>
      </c>
      <c r="P737" s="122">
        <f>IF(OR(L737="",O737=""),"",IF($C737="1/2W",O737/2+O737/2*L737,IF($C737="1/2L",O737/2,IF(I737="Lay",((O737*(L737/(L737-1)))-O737)*(1-_xlfn.XLOOKUP(K737,'Janeiro 2023 - Valor Real'!A3:A15,'Janeiro 2023 - Valor Real'!C3:C15,0))+O737,(O737*L737-O737)*(1-_xlfn.XLOOKUP(K737,'Janeiro 2023 - Valor Real'!A3:A15,'Janeiro 2023 - Valor Real'!C3:C15,0))+O737))))</f>
        <v>11.6725</v>
      </c>
      <c r="Q737" s="279">
        <f>IF(K737="","",IF(_xlfn.XLOOKUP(K737,K$120:K516,DJ$120:DJ516,0,,-1)=DJ737,_xlfn.XLOOKUP(K737,K$120:K516,Q$120:Q516,1,,-1)+1,1))</f>
        <v>1</v>
      </c>
      <c r="R737" s="280">
        <f>IF(K737="","",_xlfn.XLOOKUP(K737,K$120:K516,R$120:R516,0,,-1)+IF($C737=" ",1,0))</f>
        <v>0</v>
      </c>
      <c r="S737" s="125"/>
      <c r="T737" s="126"/>
      <c r="U737" s="126"/>
      <c r="V737" s="224"/>
      <c r="W737" s="126"/>
      <c r="X737" s="127"/>
      <c r="Y737" s="128"/>
      <c r="Z737" s="129"/>
      <c r="AA737" s="129"/>
      <c r="AB737" s="129"/>
      <c r="AC737" s="129"/>
      <c r="AD737" s="130"/>
      <c r="AE737" s="131">
        <f>IF(L737="","",IF(L738&gt;0,(SUM(((L736-1)*(1-_xlfn.XLOOKUP(K736,'Janeiro 2023 - Valor Real'!A3:A15,'Janeiro 2023 - Valor Real'!C3:C15,0))+1),((L737-1)*(1-_xlfn.XLOOKUP(K737,'Janeiro 2023 - Valor Real'!A3:A15,'Janeiro 2023 - Valor Real'!C3:C15,0))+1),((L738-1)*(1-_xlfn.XLOOKUP(K738,'Janeiro 2023 - Valor Real'!A3:A15,'Janeiro 2023 - Valor Real'!C3:C15,0))+1))/((L737-1)*(1-_xlfn.XLOOKUP(K737,'Janeiro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Real'!C3:C15,0))+1))/((L736-1)*(1-_xlfn.XLOOKUP(K736,'Janeiro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Real'!C3:C15,0))+1))/((L737-1)*(1-_xlfn.XLOOKUP(K737,'Janeiro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Real'!C3:C15,0))+1))/((L738-1)*(1-_xlfn.XLOOKUP(K738,'Janeiro 2023 - Valor Real'!A3:A15,'Janeiro 2023 - Valor Real'!C3:C15,0))+1)),IF(I737="Lay",IF(I736="Lay",((L736/(L736-1)-1)*(1-_xlfn.XLOOKUP(K736,'Janeiro 2023 - Valor Real'!A3:A15,'Janeiro 2023 - Valor Real'!C3:C15,0))+1)/(((L736/(L736-1)-1)*(1-_xlfn.XLOOKUP(K736,'Janeiro 2023 - Valor Real'!A3:A15,'Janeiro 2023 - Valor Real'!C3:C15,0))+1)+((L737/(L737-1)-1)*(1-_xlfn.XLOOKUP(K737,'Janeiro 2023 - Valor Real'!A3:A15,'Janeiro 2023 - Valor Real'!C3:C15,0))+1)),((L736-1)*(1-_xlfn.XLOOKUP(K736,'Janeiro 2023 - Valor Real'!A3:A15,'Janeiro 2023 - Valor Real'!C3:C15,0))+1)/(((L736-1)*(1-_xlfn.XLOOKUP(K736,'Janeiro 2023 - Valor Real'!A3:A15,'Janeiro 2023 - Valor Real'!C3:C15,0))+1)+((L737/(L737-1)-1)*(1-_xlfn.XLOOKUP(K737,'Janeiro 2023 - Valor Real'!A3:A15,'Janeiro 2023 - Valor Real'!C3:C15,0))+1))),IF(I736="Lay",((L736/(L736-1)-1)*(1-_xlfn.XLOOKUP(K736,'Janeiro 2023 - Valor Real'!A3:A15,'Janeiro 2023 - Valor Real'!C3:C15,0))+1)/((((L736/(L736-1)-1)*(1-_xlfn.XLOOKUP(K736,'Janeiro 2023 - Valor Real'!A3:A15,'Janeiro 2023 - Valor Real'!C3:C15,0))+1))+((L737-1)*(1-_xlfn.XLOOKUP(K737,'Janeiro 2023 - Valor Real'!A3:A15,'Janeiro 2023 - Valor Real'!C3:C15,0))+1)),((L736-1)*(1-_xlfn.XLOOKUP(K736,'Janeiro 2023 - Valor Real'!A3:A15,'Janeiro 2023 - Valor Real'!C3:C15,0))+1)/(((L736-1)*(1-_xlfn.XLOOKUP(K736,'Janeiro 2023 - Valor Real'!A3:A15,'Janeiro 2023 - Valor Real'!C3:C15,0))+1)+((L737-1)*(1-_xlfn.XLOOKUP(K737,'Janeiro 2023 - Valor Real'!A3:A15,'Janeiro 2023 - Valor Real'!C3:C15,0))+1))))))</f>
        <v>0.187853107344633</v>
      </c>
      <c r="AF737" s="132">
        <f>IF($K737=AF$3,ROUND(IF(OR($C737="W",$C737="1/2W",$C737="1/2L"),$P737-$O737,IF($C737="X",0,-$O737)),2),0)</f>
        <v>0</v>
      </c>
      <c r="AG737" s="133">
        <f>IF($K737=AG$3,ROUND(IF(OR($C737="W",$C737="1/2W",$C737="1/2L"),$P737-$O737,IF($C737="X",0,-$O737)),2),0)</f>
        <v>-2.03</v>
      </c>
      <c r="AH737" s="133">
        <f>IF($K737=AH$3,ROUND(IF(OR($C737="W",$C737="1/2W",$C737="1/2L"),$P737-$O737,IF($C737="X",0,-$O737)),2),0)</f>
        <v>0</v>
      </c>
      <c r="AI737" s="133">
        <f>IF($K737=AI$3,ROUND(IF(OR($C737="W",$C737="1/2W",$C737="1/2L"),$P737-$O737,IF($C737="X",0,-$O737)),2),0)</f>
        <v>0</v>
      </c>
      <c r="AJ737" s="133">
        <f>IF($K737=AJ$3,ROUND(IF(OR($C737="W",$C737="1/2W",$C737="1/2L"),$P737-$O737,IF($C737="X",0,-$O737)),2),0)</f>
        <v>0</v>
      </c>
      <c r="AK737" s="133">
        <f>IF($K737=AK$3,ROUND(IF(OR($C737="W",$C737="1/2W",$C737="1/2L"),$P737-$O737,IF($C737="X",0,-$O737)),2),0)</f>
        <v>0</v>
      </c>
      <c r="AL737" s="133">
        <f>IF($K737=AL$3,ROUND(IF(OR($C737="W",$C737="1/2W",$C737="1/2L"),$P737-$O737,IF($C737="X",0,-$O737)),2),0)</f>
        <v>0</v>
      </c>
      <c r="AM737" s="133">
        <f>IF($K737=AM$3,ROUND(IF(OR($C737="W",$C737="1/2W",$C737="1/2L"),$P737-$O737,IF($C737="X",0,-$O737)),2),0)</f>
        <v>0</v>
      </c>
      <c r="AN737" s="133">
        <f>IF($K737=AN$3,ROUND(IF(OR($C737="W",$C737="1/2W",$C737="1/2L"),$P737-$O737,IF($C737="X",0,-$O737)),2),0)</f>
        <v>0</v>
      </c>
      <c r="AO737" s="133">
        <f>IF($K737=AO$3,ROUND(IF(OR($C737="W",$C737="1/2W",$C737="1/2L"),$P737-$O737,IF($C737="X",0,-$O737)),2),0)</f>
        <v>0</v>
      </c>
      <c r="AP737" s="133">
        <f>IF($K737=AP$3,ROUND(IF(OR($C737="W",$C737="1/2W",$C737="1/2L"),$P737-$O737,IF($C737="X",0,-$O737)),2),0)</f>
        <v>0</v>
      </c>
      <c r="AQ737" s="133">
        <f>IF($K737=AQ$3,ROUND(IF(OR($C737="W",$C737="1/2W",$C737="1/2L"),$P737-$O737,IF($C737="X",0,-$O737)),2),0)</f>
        <v>0</v>
      </c>
      <c r="AR737" s="134">
        <f>IF($K737=AR$3,ROUND(IF(OR($C737="W",$C737="1/2W",$C737="1/2L"),$P737-$O737,IF($C737="X",0,-$O737)),2),0)</f>
        <v>0</v>
      </c>
      <c r="AS737" s="132">
        <f>IF(AND($B736=" ",$K737=AS$3),$O737,0)</f>
        <v>0</v>
      </c>
      <c r="AT737" s="133">
        <f>IF(AND($B736=" ",K737=AT$3),$O737,0)</f>
        <v>0</v>
      </c>
      <c r="AU737" s="133">
        <f>IF(AND($B736=" ",$K737=AU$3),$O737,0)</f>
        <v>0</v>
      </c>
      <c r="AV737" s="133">
        <f>IF(AND($B736=" ",$K737=AV$3),$O737,0)</f>
        <v>0</v>
      </c>
      <c r="AW737" s="133">
        <f>IF(AND($B736=" ",$K737=AW$3),$O737,0)</f>
        <v>0</v>
      </c>
      <c r="AX737" s="133">
        <f>IF(AND($B736=" ",$K737=AX$3),$O737,0)</f>
        <v>0</v>
      </c>
      <c r="AY737" s="135">
        <f>IF(AND($B736=" ",$K737=AY$3),$O737,0)</f>
        <v>0</v>
      </c>
      <c r="AZ737" s="136">
        <f>IF(AND($B736=" ",$K737=AZ$3),$O737,0)</f>
        <v>0</v>
      </c>
      <c r="BA737" s="136">
        <f>IF(AND($B736=" ",$K737=BA$3),$O737,0)</f>
        <v>0</v>
      </c>
      <c r="BB737" s="136">
        <f>IF(AND($B736=" ",$K737=BB$3),$O737,0)</f>
        <v>0</v>
      </c>
      <c r="BC737" s="137">
        <f>IF(AND($B736=" ",$K737=BC$3),$O737,0)</f>
        <v>0</v>
      </c>
      <c r="BD737" s="133">
        <f>IF(AND($B736=" ",$K737=BD$3),$O737,0)</f>
        <v>0</v>
      </c>
      <c r="BE737" s="134">
        <f>IF(AND($B736=" ",$K737=BE$3),$O737,0)</f>
        <v>0</v>
      </c>
      <c r="BF737" s="132">
        <f>IF($K737=BF$3,IF($C737="X",0,$O737),0)</f>
        <v>0</v>
      </c>
      <c r="BG737" s="281">
        <f>IF($K737=BG$3,IF($C737="X",0,$O737),0)</f>
        <v>2.03</v>
      </c>
      <c r="BH737" s="133">
        <f>IF($K737=BH$3,IF($C737="X",0,$O737),0)</f>
        <v>0</v>
      </c>
      <c r="BI737" s="133">
        <f>IF($K737=BI$3,IF($C737="X",0,$O737),0)</f>
        <v>0</v>
      </c>
      <c r="BJ737" s="133">
        <f>IF($K737=BJ$3,IF($C737="X",0,$O737),0)</f>
        <v>0</v>
      </c>
      <c r="BK737" s="133">
        <f>IF($K737=BK$3,IF($C737="X",0,$O737),0)</f>
        <v>0</v>
      </c>
      <c r="BL737" s="133">
        <f>IF($K737=BL$3,IF($C737="X",0,$O737),0)</f>
        <v>0</v>
      </c>
      <c r="BM737" s="135">
        <f>IF($K737=BM$3,IF($C737="X",0,$O737),0)</f>
        <v>0</v>
      </c>
      <c r="BN737" s="136">
        <f>IF($K737=BN$3,IF($C737="X",0,$O737),0)</f>
        <v>0</v>
      </c>
      <c r="BO737" s="136">
        <f>IF($K737=BO$3,IF($C737="X",0,$O737),0)</f>
        <v>0</v>
      </c>
      <c r="BP737" s="136">
        <f>IF($K737=BP$3,IF($C737="X",0,$O737),0)</f>
        <v>0</v>
      </c>
      <c r="BQ737" s="137">
        <f>IF($K737=BQ$3,IF($C737="X",0,$O737),0)</f>
        <v>0</v>
      </c>
      <c r="BR737" s="134">
        <f>IF($K737=BR$3,IF($C737="X",0,$O737),0)</f>
        <v>0</v>
      </c>
      <c r="BS737" s="282"/>
      <c r="BT737" s="283"/>
      <c r="BU737" s="140"/>
      <c r="BV737" s="283"/>
      <c r="BW737" s="140"/>
      <c r="BX737" s="140"/>
      <c r="BY737" s="140"/>
      <c r="BZ737" s="283"/>
      <c r="CA737" s="140"/>
      <c r="CB737" s="140"/>
      <c r="CC737" s="140"/>
      <c r="CD737" s="141"/>
      <c r="CE737" s="142"/>
      <c r="CF737" s="284">
        <f>IF(CF$3=$K737,IF($C737="W",1,IF($C737="1/2W",0.5,0)),0)</f>
        <v>0</v>
      </c>
      <c r="CG737" s="285">
        <f>IF(CF$3=$K737,IF($C737="L",1,IF($C737="1/2L",0.5,0)),0)</f>
        <v>0</v>
      </c>
      <c r="CH737" s="285">
        <f>IF(CH$3=$K737,IF($C737="W",1,IF($C737="1/2W",0.5,0)),0)</f>
        <v>0</v>
      </c>
      <c r="CI737" s="285">
        <f>IF(CH$3=$K737,IF($C737="L",1,IF($C737="1/2L",0.5,0)),0)</f>
        <v>1</v>
      </c>
      <c r="CJ737" s="285">
        <f>IF(CJ$3=$K737,IF($C737="W",1,IF($C737="1/2W",0.5,0)),0)</f>
        <v>0</v>
      </c>
      <c r="CK737" s="285">
        <f>IF(CJ$3=$K737,IF($C737="L",1,IF($C737="1/2L",0.5,0)),0)</f>
        <v>0</v>
      </c>
      <c r="CL737" s="285">
        <f>IF(CL$3=$K737,IF($C737="W",1,IF($C737="1/2W",0.5,0)),0)</f>
        <v>0</v>
      </c>
      <c r="CM737" s="285">
        <f>IF(CL$3=$K737,IF($C737="L",1,IF($C737="1/2L",0.5,0)),0)</f>
        <v>0</v>
      </c>
      <c r="CN737" s="285">
        <f>IF(CN$3=$K737,IF($C737="W",1,IF($C737="1/2W",0.5,0)),0)</f>
        <v>0</v>
      </c>
      <c r="CO737" s="285">
        <f>IF(CN$3=$K737,IF($C737="L",1,IF($C737="1/2L",0.5,0)),0)</f>
        <v>0</v>
      </c>
      <c r="CP737" s="285">
        <f>IF(CP$3=$K737,IF($C737="W",1,IF($C737="1/2W",0.5,0)),0)</f>
        <v>0</v>
      </c>
      <c r="CQ737" s="285">
        <f>IF(CP$3=$K737,IF($C737="L",1,IF($C737="1/2L",0.5,0)),0)</f>
        <v>0</v>
      </c>
      <c r="CR737" s="285">
        <f>IF(CR$3=$K737,IF($C737="W",1,IF($C737="1/2W",0.5,0)),0)</f>
        <v>0</v>
      </c>
      <c r="CS737" s="285">
        <f>IF(CR$3=$K737,IF($C737="L",1,IF($C737="1/2L",0.5,0)),0)</f>
        <v>0</v>
      </c>
      <c r="CT737" s="145">
        <f>IF(CT$3=$K737,IF($C737="W",1,IF($C737="1/2W",0.5,0)),0)</f>
        <v>0</v>
      </c>
      <c r="CU737" s="146">
        <f>IF(CT$3=$K737,IF($C737="L",1,IF($C737="1/2L",0.5,0)),0)</f>
        <v>0</v>
      </c>
      <c r="CV737" s="146">
        <f>IF(CV$3=$K737,IF($C737="W",1,IF($C737="1/2W",0.5,0)),0)</f>
        <v>0</v>
      </c>
      <c r="CW737" s="146">
        <f>IF(CV$3=$K737,IF($C737="L",1,IF($C737="1/2L",0.5,0)),0)</f>
        <v>0</v>
      </c>
      <c r="CX737" s="146">
        <f>IF(CX$3=$K737,IF($C737="W",1,IF($C737="1/2W",0.5,0)),0)</f>
        <v>0</v>
      </c>
      <c r="CY737" s="146">
        <f>IF(CX$3=$K737,IF($C737="L",1,IF($C737="1/2L",0.5,0)),0)</f>
        <v>0</v>
      </c>
      <c r="CZ737" s="146">
        <f>IF(CZ$3=$K737,IF($C737="W",1,IF($C737="1/2W",0.5,0)),0)</f>
        <v>0</v>
      </c>
      <c r="DA737" s="146">
        <f>IF(CZ$3=$K737,IF($C737="L",1,IF($C737="1/2L",0.5,0)),0)</f>
        <v>0</v>
      </c>
      <c r="DB737" s="146">
        <f>IF(DB$3=$K737,IF($C737="W",1,IF($C737="1/2W",0.5,0)),0)</f>
        <v>0</v>
      </c>
      <c r="DC737" s="146">
        <f>IF(DB$3=$K737,IF($C737="L",1,IF($C737="1/2L",0.5,0)),0)</f>
        <v>0</v>
      </c>
      <c r="DD737" s="146">
        <f>IF(DD$3=$K737,IF($C737="W",1,IF($C737="1/2W",0.5,0)),0)</f>
        <v>0</v>
      </c>
      <c r="DE737" s="147">
        <f>IF(DD$3=$K737,IF($C737="L",1,IF($C737="1/2L",0.5,0)),0)</f>
        <v>0</v>
      </c>
      <c r="DF737" s="143">
        <f>IF(AND(L737&lt;DF$3,$C737="W"),1+DF736,DF736)</f>
        <v>22</v>
      </c>
      <c r="DG737" s="133">
        <f>IF(DF737&gt;DF736,L737+DG736,DG736)</f>
        <v>29.404</v>
      </c>
      <c r="DH737" s="146">
        <f>IF(AND(L737&gt;DH$3,$C737="W"),1+DH736,0+DH736)</f>
        <v>18</v>
      </c>
      <c r="DI737" s="133">
        <f>IF(DH737&gt;DH736,L737+DI736,DI736)</f>
        <v>93.66</v>
      </c>
      <c r="DJ737" t="s" s="304">
        <f>IF($D736="","",$D736)</f>
        <v>481</v>
      </c>
      <c r="DK737" s="286"/>
    </row>
    <row r="738" ht="14.55" customHeight="1">
      <c r="A738" s="149"/>
      <c r="B738" s="150"/>
      <c r="C738" t="s" s="151">
        <v>58</v>
      </c>
      <c r="D738" s="152"/>
      <c r="E738" s="153"/>
      <c r="F738" s="155"/>
      <c r="G738" s="252"/>
      <c r="H738" s="156"/>
      <c r="I738" s="287"/>
      <c r="J738" s="288"/>
      <c r="K738" s="156"/>
      <c r="L738" s="289"/>
      <c r="M738" s="290"/>
      <c r="N738" s="161"/>
      <c r="O738" t="s" s="162">
        <f>IF(OR(AE736="",AE737=""),"",IF(L738&gt;0,ROUND(IF(M738&gt;0,M738,IF(M736&gt;0,ROUND((M736*AE738)/AE736,IF(N736=0,2,IF(N736=0.1,1,0))),IF(M737&gt;0,ROUND((M737*AE738)/AE737,IF(N736=0,2,IF(N736=0.1,1,0))),IF(M738&gt;0,M738,0)))),2),""))</f>
      </c>
      <c r="P738" t="s" s="163">
        <f>IF(I737="Lay",O737*(L737/(L737-1))-O737,IF(I736="Lay",O736*(L736/(L736-1))-O736,IF(OR(L738="",O738=""),"",IF($C738="1/2W",O738/2+O738/2*L738,IF($C738="1/2L",O738/2,(O738*L738-O738)*(1-_xlfn.XLOOKUP(K738,'Janeiro 2023 - Valor Real'!A3:A15,'Janeiro 2023 - Valor Real'!C3:C15,0))+O738)))))</f>
      </c>
      <c r="Q738" t="s" s="154">
        <f>IF(K738="","",IF(_xlfn.XLOOKUP(K738,K$121:K517,DJ$121:DJ517,0,,-1)=DJ738,_xlfn.XLOOKUP(K738,K$121:K517,Q$121:Q517,1,,-1)+1,1))</f>
      </c>
      <c r="R738" t="s" s="163">
        <f>IF(K738="","",_xlfn.XLOOKUP(K738,K$121:K517,R$121:R517,0,,-1)+IF($C738=" ",1,0))</f>
      </c>
      <c r="S738" s="166"/>
      <c r="T738" s="155"/>
      <c r="U738" s="155"/>
      <c r="V738" s="166"/>
      <c r="W738" s="155"/>
      <c r="X738" s="167"/>
      <c r="Y738" s="128"/>
      <c r="Z738" s="129"/>
      <c r="AA738" s="129"/>
      <c r="AB738" s="129"/>
      <c r="AC738" s="129"/>
      <c r="AD738" s="168"/>
      <c r="AE738" t="s" s="169">
        <f>IF(L738="","",(SUM(((L736-1)*(1-_xlfn.XLOOKUP(K736,'Janeiro 2023 - Valor Real'!A3:A15,'Janeiro 2023 - Valor Real'!C3:C15,0))+1),((L737-1)*(1-_xlfn.XLOOKUP(K737,'Janeiro 2023 - Valor Real'!A3:A15,'Janeiro 2023 - Valor Real'!C3:C15,0))+1),((L738-1)*(1-_xlfn.XLOOKUP(K738,'Janeiro 2023 - Valor Real'!A3:A15,'Janeiro 2023 - Valor Real'!C3:C15,0))+1))/((L738-1)*(1-_xlfn.XLOOKUP(K738,'Janeiro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Real'!C3:C15,0))+1))/((L736-1)*(1-_xlfn.XLOOKUP(K736,'Janeiro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Real'!C3:C15,0))+1))/((L737-1)*(1-_xlfn.XLOOKUP(K737,'Janeiro 2023 - Valor Real'!A3:A15,'Janeiro 2023 - Valor Real'!C3:C15,0))+1)+SUM(((L736-1)*(1-_xlfn.XLOOKUP(K736,'Janeiro 2023 - Valor Real'!A3:A15,'Janeiro 2023 - Valor Real'!C3:C15,0))+1),((L737-1)*(1-_xlfn.XLOOKUP(K737,'Janeiro 2023 - Valor Real'!A3:A15,'Janeiro 2023 - Valor Real'!C3:C15,0))+1),((L738-1)*(1-_xlfn.XLOOKUP(K738,'Janeiro 2023 - Valor Real'!A3:A15,'Janeiro 2023 - Valor Real'!C3:C15,0))+1))/((L738-1)*(1-_xlfn.XLOOKUP(K738,'Janeiro 2023 - Valor Real'!A3:A15,'Janeiro 2023 - Valor Real'!C3:C15,0))+1)))</f>
      </c>
      <c r="AF738" s="132">
        <f>IF($K738=AF$3,ROUND(IF(OR($C738="W",$C738="1/2W",$C738="1/2L"),$P738-$O738,IF($C738="X",0,-$O738)),2),0)</f>
        <v>0</v>
      </c>
      <c r="AG738" s="133">
        <f>IF($K738=AG$3,ROUND(IF(OR($C738="W",$C738="1/2W",$C738="1/2L"),$P738-$O738,IF($C738="X",0,-$O738)),2),0)</f>
        <v>0</v>
      </c>
      <c r="AH738" s="133">
        <f>IF($K738=AH$3,ROUND(IF(OR($C738="W",$C738="1/2W",$C738="1/2L"),$P738-$O738,IF($C738="X",0,-$O738)),2),0)</f>
        <v>0</v>
      </c>
      <c r="AI738" s="133">
        <f>IF($K738=AI$3,ROUND(IF(OR($C738="W",$C738="1/2W",$C738="1/2L"),$P738-$O738,IF($C738="X",0,-$O738)),2),0)</f>
        <v>0</v>
      </c>
      <c r="AJ738" s="133">
        <f>IF($K738=AJ$3,ROUND(IF(OR($C738="W",$C738="1/2W",$C738="1/2L"),$P738-$O738,IF($C738="X",0,-$O738)),2),0)</f>
        <v>0</v>
      </c>
      <c r="AK738" s="133">
        <f>IF($K738=AK$3,ROUND(IF(OR($C738="W",$C738="1/2W",$C738="1/2L"),$P738-$O738,IF($C738="X",0,-$O738)),2),0)</f>
        <v>0</v>
      </c>
      <c r="AL738" s="133">
        <f>IF($K738=AL$3,ROUND(IF(OR($C738="W",$C738="1/2W",$C738="1/2L"),$P738-$O738,IF($C738="X",0,-$O738)),2),0)</f>
        <v>0</v>
      </c>
      <c r="AM738" s="133">
        <f>IF($K738=AM$3,ROUND(IF(OR($C738="W",$C738="1/2W",$C738="1/2L"),$P738-$O738,IF($C738="X",0,-$O738)),2),0)</f>
        <v>0</v>
      </c>
      <c r="AN738" s="133">
        <f>IF($K738=AN$3,ROUND(IF(OR($C738="W",$C738="1/2W",$C738="1/2L"),$P738-$O738,IF($C738="X",0,-$O738)),2),0)</f>
        <v>0</v>
      </c>
      <c r="AO738" s="133">
        <f>IF($K738=AO$3,ROUND(IF(OR($C738="W",$C738="1/2W",$C738="1/2L"),$P738-$O738,IF($C738="X",0,-$O738)),2),0)</f>
        <v>0</v>
      </c>
      <c r="AP738" s="133">
        <f>IF($K738=AP$3,ROUND(IF(OR($C738="W",$C738="1/2W",$C738="1/2L"),$P738-$O738,IF($C738="X",0,-$O738)),2),0)</f>
        <v>0</v>
      </c>
      <c r="AQ738" s="133">
        <f>IF($K738=AQ$3,ROUND(IF(OR($C738="W",$C738="1/2W",$C738="1/2L"),$P738-$O738,IF($C738="X",0,-$O738)),2),0)</f>
        <v>0</v>
      </c>
      <c r="AR738" s="134">
        <f>IF($K738=AR$3,ROUND(IF(OR($C738="W",$C738="1/2W",$C738="1/2L"),$P738-$O738,IF($C738="X",0,-$O738)),2),0)</f>
        <v>0</v>
      </c>
      <c r="AS738" s="132">
        <f>IF(AND($B736=" ",$K738=AS$3),$O738,0)</f>
        <v>0</v>
      </c>
      <c r="AT738" s="133">
        <f>IF(AND($B736=" ",K738=AT$3),$O738,0)</f>
        <v>0</v>
      </c>
      <c r="AU738" s="133">
        <f>IF(AND($B736=" ",$K738=AU$3),$O738,0)</f>
        <v>0</v>
      </c>
      <c r="AV738" s="133">
        <f>IF(AND($B736=" ",$K738=AV$3),$O738,0)</f>
        <v>0</v>
      </c>
      <c r="AW738" s="133">
        <f>IF(AND($B736=" ",$K738=AW$3),$O738,0)</f>
        <v>0</v>
      </c>
      <c r="AX738" s="133">
        <f>IF(AND($B736=" ",$K738=AX$3),$O738,0)</f>
        <v>0</v>
      </c>
      <c r="AY738" s="135">
        <f>IF(AND($B736=" ",$K738=AY$3),$O738,0)</f>
        <v>0</v>
      </c>
      <c r="AZ738" s="136">
        <f>IF(AND($B736=" ",$K738=AZ$3),$O738,0)</f>
        <v>0</v>
      </c>
      <c r="BA738" s="136">
        <f>IF(AND($B736=" ",$K738=BA$3),$O738,0)</f>
        <v>0</v>
      </c>
      <c r="BB738" s="136">
        <f>IF(AND($B736=" ",$K738=BB$3),$O738,0)</f>
        <v>0</v>
      </c>
      <c r="BC738" s="137">
        <f>IF(AND($B736=" ",$K738=BC$3),$O738,0)</f>
        <v>0</v>
      </c>
      <c r="BD738" s="133">
        <f>IF(AND($B736=" ",$K738=BD$3),$O738,0)</f>
        <v>0</v>
      </c>
      <c r="BE738" s="134">
        <f>IF(AND($B736=" ",$K738=BE$3),$O738,0)</f>
        <v>0</v>
      </c>
      <c r="BF738" s="132">
        <f>IF($K738=BF$3,IF($C738="X",0,$O738),0)</f>
        <v>0</v>
      </c>
      <c r="BG738" s="281">
        <f>IF($K738=BG$3,IF($C738="X",0,$O738),0)</f>
        <v>0</v>
      </c>
      <c r="BH738" s="133">
        <f>IF($K738=BH$3,IF($C738="X",0,$O738),0)</f>
        <v>0</v>
      </c>
      <c r="BI738" s="133">
        <f>IF($K738=BI$3,IF($C738="X",0,$O738),0)</f>
        <v>0</v>
      </c>
      <c r="BJ738" s="133">
        <f>IF($K738=BJ$3,IF($C738="X",0,$O738),0)</f>
        <v>0</v>
      </c>
      <c r="BK738" s="133">
        <f>IF($K738=BK$3,IF($C738="X",0,$O738),0)</f>
        <v>0</v>
      </c>
      <c r="BL738" s="133">
        <f>IF($K738=BL$3,IF($C738="X",0,$O738),0)</f>
        <v>0</v>
      </c>
      <c r="BM738" s="135">
        <f>IF($K738=BM$3,IF($C738="X",0,$O738),0)</f>
        <v>0</v>
      </c>
      <c r="BN738" s="136">
        <f>IF($K738=BN$3,IF($C738="X",0,$O738),0)</f>
        <v>0</v>
      </c>
      <c r="BO738" s="136">
        <f>IF($K738=BO$3,IF($C738="X",0,$O738),0)</f>
        <v>0</v>
      </c>
      <c r="BP738" s="136">
        <f>IF($K738=BP$3,IF($C738="X",0,$O738),0)</f>
        <v>0</v>
      </c>
      <c r="BQ738" s="137">
        <f>IF($K738=BQ$3,IF($C738="X",0,$O738),0)</f>
        <v>0</v>
      </c>
      <c r="BR738" s="134">
        <f>IF($K738=BR$3,IF($C738="X",0,$O738),0)</f>
        <v>0</v>
      </c>
      <c r="BS738" s="282"/>
      <c r="BT738" s="283"/>
      <c r="BU738" s="140"/>
      <c r="BV738" s="283"/>
      <c r="BW738" s="140"/>
      <c r="BX738" s="140"/>
      <c r="BY738" s="140"/>
      <c r="BZ738" s="283"/>
      <c r="CA738" s="140"/>
      <c r="CB738" s="140"/>
      <c r="CC738" s="140"/>
      <c r="CD738" s="141"/>
      <c r="CE738" s="142"/>
      <c r="CF738" s="284">
        <f>IF(CF$3=$K738,IF($C738="W",1,IF($C738="1/2W",0.5,0)),0)</f>
        <v>0</v>
      </c>
      <c r="CG738" s="285">
        <f>IF(CF$3=$K738,IF($C738="L",1,IF($C738="1/2L",0.5,0)),0)</f>
        <v>0</v>
      </c>
      <c r="CH738" s="285">
        <f>IF(CH$3=$K738,IF($C738="W",1,IF($C738="1/2W",0.5,0)),0)</f>
        <v>0</v>
      </c>
      <c r="CI738" s="285">
        <f>IF(CH$3=$K738,IF($C738="L",1,IF($C738="1/2L",0.5,0)),0)</f>
        <v>0</v>
      </c>
      <c r="CJ738" s="285">
        <f>IF(CJ$3=$K738,IF($C738="W",1,IF($C738="1/2W",0.5,0)),0)</f>
        <v>0</v>
      </c>
      <c r="CK738" s="285">
        <f>IF(CJ$3=$K738,IF($C738="L",1,IF($C738="1/2L",0.5,0)),0)</f>
        <v>0</v>
      </c>
      <c r="CL738" s="285">
        <f>IF(CL$3=$K738,IF($C738="W",1,IF($C738="1/2W",0.5,0)),0)</f>
        <v>0</v>
      </c>
      <c r="CM738" s="285">
        <f>IF(CL$3=$K738,IF($C738="L",1,IF($C738="1/2L",0.5,0)),0)</f>
        <v>0</v>
      </c>
      <c r="CN738" s="285">
        <f>IF(CN$3=$K738,IF($C738="W",1,IF($C738="1/2W",0.5,0)),0)</f>
        <v>0</v>
      </c>
      <c r="CO738" s="285">
        <f>IF(CN$3=$K738,IF($C738="L",1,IF($C738="1/2L",0.5,0)),0)</f>
        <v>0</v>
      </c>
      <c r="CP738" s="285">
        <f>IF(CP$3=$K738,IF($C738="W",1,IF($C738="1/2W",0.5,0)),0)</f>
        <v>0</v>
      </c>
      <c r="CQ738" s="285">
        <f>IF(CP$3=$K738,IF($C738="L",1,IF($C738="1/2L",0.5,0)),0)</f>
        <v>0</v>
      </c>
      <c r="CR738" s="285">
        <f>IF(CR$3=$K738,IF($C738="W",1,IF($C738="1/2W",0.5,0)),0)</f>
        <v>0</v>
      </c>
      <c r="CS738" s="285">
        <f>IF(CR$3=$K738,IF($C738="L",1,IF($C738="1/2L",0.5,0)),0)</f>
        <v>0</v>
      </c>
      <c r="CT738" s="145">
        <f>IF(CT$3=$K738,IF($C738="W",1,IF($C738="1/2W",0.5,0)),0)</f>
        <v>0</v>
      </c>
      <c r="CU738" s="146">
        <f>IF(CT$3=$K738,IF($C738="L",1,IF($C738="1/2L",0.5,0)),0)</f>
        <v>0</v>
      </c>
      <c r="CV738" s="146">
        <f>IF(CV$3=$K738,IF($C738="W",1,IF($C738="1/2W",0.5,0)),0)</f>
        <v>0</v>
      </c>
      <c r="CW738" s="146">
        <f>IF(CV$3=$K738,IF($C738="L",1,IF($C738="1/2L",0.5,0)),0)</f>
        <v>0</v>
      </c>
      <c r="CX738" s="146">
        <f>IF(CX$3=$K738,IF($C738="W",1,IF($C738="1/2W",0.5,0)),0)</f>
        <v>0</v>
      </c>
      <c r="CY738" s="146">
        <f>IF(CX$3=$K738,IF($C738="L",1,IF($C738="1/2L",0.5,0)),0)</f>
        <v>0</v>
      </c>
      <c r="CZ738" s="146">
        <f>IF(CZ$3=$K738,IF($C738="W",1,IF($C738="1/2W",0.5,0)),0)</f>
        <v>0</v>
      </c>
      <c r="DA738" s="146">
        <f>IF(CZ$3=$K738,IF($C738="L",1,IF($C738="1/2L",0.5,0)),0)</f>
        <v>0</v>
      </c>
      <c r="DB738" s="146">
        <f>IF(DB$3=$K738,IF($C738="W",1,IF($C738="1/2W",0.5,0)),0)</f>
        <v>0</v>
      </c>
      <c r="DC738" s="146">
        <f>IF(DB$3=$K738,IF($C738="L",1,IF($C738="1/2L",0.5,0)),0)</f>
        <v>0</v>
      </c>
      <c r="DD738" s="146">
        <f>IF(DD$3=$K738,IF($C738="W",1,IF($C738="1/2W",0.5,0)),0)</f>
        <v>0</v>
      </c>
      <c r="DE738" s="147">
        <f>IF(DD$3=$K738,IF($C738="L",1,IF($C738="1/2L",0.5,0)),0)</f>
        <v>0</v>
      </c>
      <c r="DF738" s="143">
        <f>IF(AND(L738&lt;DF$3,$C738="W"),1+DF737,DF737)</f>
        <v>22</v>
      </c>
      <c r="DG738" s="133">
        <f>IF(DF738&gt;DF737,L738+DG737,DG737)</f>
        <v>29.404</v>
      </c>
      <c r="DH738" s="146">
        <f>IF(AND(L738&gt;DH$3,$C738="W"),1+DH737,0+DH737)</f>
        <v>18</v>
      </c>
      <c r="DI738" s="133">
        <f>IF(DH738&gt;DH737,L738+DI737,DI737)</f>
        <v>93.66</v>
      </c>
      <c r="DJ738" t="s" s="304">
        <f>IF($D736="","",$D736)</f>
        <v>481</v>
      </c>
      <c r="DK738" s="286"/>
    </row>
    <row r="739" ht="14.55" customHeight="1">
      <c r="A739" s="171">
        <f>$A736+1</f>
        <v>246</v>
      </c>
      <c r="B739" t="s" s="172">
        <f>IF(AND(_xlfn.XLOOKUP(H739,H$122:H512,G$122:G512,0)=G739,_xlfn.XLOOKUP("TempoBet",K739:K741,L739:L741,0)&gt;0),"X",IF(OR(C739="W",C740="W",C741="W",C739="1/2W",C740="1/2W",C741="1/2W",C739="1/2L",C740="1/2L",C741="1/2L"),"OK",IF(OR(C739="L",C740="L",C741="L"),"LOSS",IF(OR(C739="X",C740="X",C741="X"),"Anulado"," "))))</f>
        <v>50</v>
      </c>
      <c r="C739" t="s" s="173">
        <v>51</v>
      </c>
      <c r="D739" t="s" s="305">
        <f>IF(G739="","",$D736)</f>
        <v>481</v>
      </c>
      <c r="E739" t="s" s="175">
        <f>IF(G739=""," ","– "&amp;COUNTIF(D$4:D741,$D739))</f>
        <v>158</v>
      </c>
      <c r="F739" t="s" s="176">
        <f>IF(G739="","",IF(OR(AND($C739&lt;&gt;" ",$C740=" "),AND($C740&lt;&gt;" ",$C739=" "),AND(L741&gt;0,OR(AND($C741&lt;&gt;" ",OR($C739=" ",$C740=" ")),AND($C741=" ",OR($C739&lt;&gt;" ",$C740&lt;&gt;" "))))),IF(SUM(F$4:F738)=0,1,LARGE(F$4:F738,1)+1),IF(MONTH(G739)=MONTH(TODAY()),IF(AND(DAY(G739)&lt;DAY(TODAY()),$B739=" "),IF(SUM(F$4:F738)=0,1,LARGE(F$4:F738,1)+1),IF($B739=" ",IF(AND(DAY(G739)=DAY(TODAY()),HOUR(G739)&lt;=HOUR(NOW())+1),IF(AND(HOUR(G739)+2&lt;=HOUR(NOW()),DAY(G739)&lt;=DAY(TODAY()),MINUTE(G739)&lt;=MINUTE(NOW())),IF(SUM(F$4:F738)=0,1,LARGE(F$4:F738,1)+1),IF(OR(MINUTE(G739)&lt;=MINUTE(NOW()),HOUR(G739)&lt;=HOUR(NOW())),"!!!","")),""),"")),"")))</f>
      </c>
      <c r="G739" s="177">
        <v>44957.916666666664</v>
      </c>
      <c r="H739" t="s" s="178">
        <v>513</v>
      </c>
      <c r="I739" t="s" s="179">
        <v>65</v>
      </c>
      <c r="J739" s="291">
        <v>62.5</v>
      </c>
      <c r="K739" t="s" s="181">
        <v>38</v>
      </c>
      <c r="L739" s="182">
        <v>2.5</v>
      </c>
      <c r="M739" s="183">
        <v>5.79</v>
      </c>
      <c r="N739" s="184">
        <v>0</v>
      </c>
      <c r="O739" s="185">
        <f>IF(OR(AE739="",AE740=""),"",ROUND(IF(L741&gt;0,IF(M739&gt;0,M739,IF(M740&gt;0,ROUND((M740*AE739)/AE740,IF(N739=0,2,IF(N739=0.1,1,0))),ROUND((M741*AE739)/AE741,IF(N739=0,2,IF(N739=0.1,1,0))))),IF(M739&gt;0,M739,ROUND((M740*AE739)/AE740,IF(N739=0,2,IF(N739=0.1,1,0))))),2))</f>
        <v>5.79</v>
      </c>
      <c r="P739" s="186">
        <f>IF(OR(L739="",O739=""),"",IF($C739="1/2W",O739/2+O739/2*L739,IF($C739="1/2L",O739/2,IF(I739="Lay",(O739*(L739/(L739-1))-O739)*(1-_xlfn.XLOOKUP(K739,'Janeiro 2023 - Valor Real'!A3:A15,'Janeiro 2023 - Valor Real'!C3:C15,0))+O739,(O739*L739-O739)*(1-_xlfn.XLOOKUP(K739,'Janeiro 2023 - Valor Real'!A3:A15,'Janeiro 2023 - Valor Real'!C3:C15,0))+O739))))</f>
        <v>14.475</v>
      </c>
      <c r="Q739" s="187">
        <f>IF(K739="","",IF(_xlfn.XLOOKUP(K739,K$122:K512,DJ$122:DJ512,0,,-1)=DJ739,_xlfn.XLOOKUP(K739,K$122:K512,Q$122:Q512,1,,-1)+1,1))</f>
        <v>1</v>
      </c>
      <c r="R739" s="188">
        <f>IF(K739="","",_xlfn.XLOOKUP(K739,K$122:K512,R$122:R512,0,,-1)+IF($C739=" ",1,0))</f>
        <v>0</v>
      </c>
      <c r="S739" s="189">
        <f>IF($B739="Anulado",0,ROUND(IF(OR($B739="LOSS",$B739="OK"),IF(OR($C739="W",$C739="1/2W",$C739="1/2L"),P739-O739,IF($C739="L",-O739,0))+IF(OR($C740="W",$C740="1/2W",$C740="1/2L"),P740-O740,IF($C740="L",-O740,0))+IF(OR($C741="W",$C741="1/2W",$C741="1/2L"),P741-O741,IF($C741="L",-O741,0)),IF(AND(OR($C739="W",$C739="1/2W",$C739="1/2L"),C740="W"),P739+P740-SUM(O739:O741)+_xlfn.XLOOKUP("X",C739:C741,O739:O741,0),IF(AND(C739=TRUE,C741="W"),P739+P741-SUM(O739:O741),IF(AND(C740="W",C741="W"),P740+P741-SUM(O739:O741)+_xlfn.XLOOKUP("X",C739:C741,O739:O741,0),IF(L741&gt;0,IF(OR($C739="W",$C739="1/2W",$C739="1/2L"),P739-SUM(O739:O741)+_xlfn.XLOOKUP("X",C739:C741,O739:O741,0),IF(OR($C739="W",$C739="1/2W",$C739="1/2L"),P740-SUM(O739:O741)+_xlfn.XLOOKUP("X",C739:C741,O739:O741,0),IF(OR($C739="W",$C739="1/2W",$C739="1/2L"),P741-SUM(O739:O741)+_xlfn.XLOOKUP("X",C739:C741,O739:O741,0),IF(SUM(P739:P741)/3-SUM(O739:O741)+_xlfn.XLOOKUP("X",C739:C741,O739:O741,0)&gt;0,SUM(P739:P741)/3-SUM(O739:O741)+_xlfn.XLOOKUP("X",C739:C741,O739:O741,0),LARGE(P739:P741,1)-SUM(O739:O741))))),IF(OR($C739="W",$C739="1/2W",$C739="1/2L"),P739-SUM(O739:O740)+_xlfn.XLOOKUP("X",C739:C741,O739:O741,0),IF(OR($C739="W",$C739="1/2W",$C739="1/2L"),P740-SUM(O739:O740)+_xlfn.XLOOKUP("X",C739:C741,O739:O741,0),SUM(P739:P740)/2-SUM(O739:O740)+_xlfn.XLOOKUP("X",C739:C741,O739:O741,0)))))))),2))</f>
        <v>0.58</v>
      </c>
      <c r="T739" s="190">
        <f>IF(S739=0,0,S739/SUM(O739:O741))</f>
        <v>0.0417566594672426</v>
      </c>
      <c r="U739" s="191">
        <f>IF($D739=$D736,IF(OR($B739="LOSS",$B739="OK",$B739="Anulada"),S739,0)+U736,IF(OR($B739="LOSS",$B739="OK",$B739="Anulada"),S739,0))</f>
        <v>29</v>
      </c>
      <c r="V739" s="191">
        <f>IF($D739="",0,IF($D739=$D736,IF($B739=" ",IF(I741="",IF(OR(AND(I739="DNB1",I740="DNB2"),AND(OR(I739="DNB1",I739="DNB2"),J740=0),AND(OR(I740="DNB1",I740="DNB2"),J739=0),AND(I739="DNB2",I740="DNB1"),AND(IF(J739=0,(J739+1)/ROUND(J739+1,0),J739/ROUND(J739,0))=1,IF(J740=0,(J740+1)/ROUND(IF(J740="",0,J740)+1,0),IF(J740="",0,J740)/ROUND(IF(J740="",1,J740),0))=1,OR(J739&lt;&gt;""),J740&lt;&gt;"")),0,IF(S739&lt;0,IF(I741="",SMALL(P739:P740,1)-SUM(O739:O740),0),SMALL(P739:P740,1)-SUM(O739:O740))),IF(S739&lt;0,IF(I741="",SMALL(P739:P741,1)-SUM(O739:O741),0),LARGE(P739:P741,1)-SUM(O739:O741))),S739)+V736,IF(I741="",IF(OR(AND(I739="DNB1",I740="DNB2"),AND(OR(I739="DNB1",I739="DNB2"),J740=0),AND(OR(I740="DNB1",I740="DNB2"),J739=0),AND(I739="DNB2",I740="DNB1"),AND(IF(J739=0,(J739+1)/ROUND(J739+1,0),J739/ROUND(J739,0))=1,IF(J740=0,(IF(J740="",0,J740)+1)/ROUND(IF(J740="",0,J740)+1,0),IF(J740="",0,J740)/ROUND(IF(J740="",0,J740)+1,0))=1,OR(J739&lt;&gt;""),J740&lt;&gt;"")),0,IF(S739&lt;0,IF(I741="",SMALL(P739:P740,1)-SUM(O739:O740),0),SMALL(P739:P741,1)-SUM(O739:O741))),IF(S739&lt;0,IF(I741="",SMALL(P739:P741,1)-SUM(O739:O741),0),LARGE(P739:P741,1)-SUM(O739:O741)))))</f>
        <v>28.9976</v>
      </c>
      <c r="W739" s="191">
        <f>IF($D739=$D736,IF(S739&lt;0,IF(I741="",S739,0),S739)+W736,S739)</f>
        <v>29</v>
      </c>
      <c r="X739" t="s" s="192">
        <f>IF(OR(SUM(R739:R741)=0,V739=W739),ROUND(IF(W739=0,0,W739/Y739)*100,2)&amp;"%",ROUND(IF(V739=0,0,V739/Y739)*100,2)&amp;"% a "&amp;ROUND(IF(W739=0,0,W739/Y739)*100,2)&amp;"%")</f>
        <v>508</v>
      </c>
      <c r="Y739" s="193">
        <f>IF($D739=$D736,Y736+SUM(O739:O741),SUM(O739:O741))</f>
        <v>529.87</v>
      </c>
      <c r="Z739" s="191">
        <f>IF($B739=" ",SUM(O739:O741),0)+Z736</f>
        <v>0</v>
      </c>
      <c r="AA739" s="191">
        <f>IF(G739="","",IF($B739="Anulado",LARGE(P739:P741,1)-SUM(O739:O741)+AA736,AA736))</f>
        <v>27.7065076923077</v>
      </c>
      <c r="AB739" s="191">
        <f>IF($D739="","",AB736+S739)</f>
        <v>500.18</v>
      </c>
      <c r="AC739" s="194">
        <f>IF($D739="","",IF($B739=" ",IF(DAY(G739)=DAY(TODAY()),1+AC736,0+AC736),0+AC736))</f>
        <v>0</v>
      </c>
      <c r="AD739" s="195">
        <f>(((L740/(L740-1)-1)*(1-_xlfn.XLOOKUP(K740,'Janeiro 2023 - Valor Real'!A3:A15,'Janeiro 2023 - Valor Real'!C3:C15,0))+1))/(((L739-1)*(1-_xlfn.XLOOKUP(K739,'Janeiro 2023 - Valor Real'!A3:A15,'Janeiro 2023 - Valor Real'!C3:C15,0))+1)+((L740/(L740-1)-1)*(1-_xlfn.XLOOKUP(K740,'Janeiro 2023 - Valor Real'!A3:A15,'Janeiro 2023 - Valor Real'!C3:C15,0))+1))</f>
        <v>0.475962178718871</v>
      </c>
      <c r="AE739" s="196">
        <f>IF(L739="","",IF(L741&gt;0,(SUM(((L739-1)*(1-_xlfn.XLOOKUP(K739,'Janeiro 2023 - Valor Real'!A3:A15,'Janeiro 2023 - Valor Real'!C3:C15,0))+1),((L740-1)*(1-_xlfn.XLOOKUP(K740,'Janeiro 2023 - Valor Real'!A3:A15,'Janeiro 2023 - Valor Real'!C3:C15,0))+1),((L741-1)*(1-_xlfn.XLOOKUP(K741,'Janeiro 2023 - Valor Real'!A3:A15,'Janeiro 2023 - Valor Real'!C3:C15,0))+1))/((L739-1)*(1-_xlfn.XLOOKUP(K739,'Janeiro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Real'!C3:C15,0))+1))/((L739-1)*(1-_xlfn.XLOOKUP(K739,'Janeiro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Real'!C3:C15,0))+1))/((L740-1)*(1-_xlfn.XLOOKUP(K740,'Janeiro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Real'!C3:C15,0))+1))/((L741-1)*(1-_xlfn.XLOOKUP(K741,'Janeiro 2023 - Valor Real'!A3:A15,'Janeiro 2023 - Valor Real'!C3:C15,0))+1)),IF(I739="Lay",IF(I740="Lay",((L740/(L740-1)-1)*(1-_xlfn.XLOOKUP(K740,'Janeiro 2023 - Valor Real'!A3:A15,'Janeiro 2023 - Valor Real'!C3:C15,0))+1)/(((L740/(L740-1)-1)*(1-_xlfn.XLOOKUP(K740,'Janeiro 2023 - Valor Real'!A3:A15,'Janeiro 2023 - Valor Real'!C3:C15,0))+1)+((L739/(L739-1)-1)*(1-_xlfn.XLOOKUP(K739,'Janeiro 2023 - Valor Real'!A3:A15,'Janeiro 2023 - Valor Real'!C3:C15,0))+1)),((L740-1)*(1-_xlfn.XLOOKUP(K740,'Janeiro 2023 - Valor Real'!A3:A15,'Janeiro 2023 - Valor Real'!C3:C15,0))+1)/(((L740-1)*(1-_xlfn.XLOOKUP(K740,'Janeiro 2023 - Valor Real'!A3:A15,'Janeiro 2023 - Valor Real'!C3:C15,0))+1)+((L739/(L739-1)-1)*(1-_xlfn.XLOOKUP(K739,'Janeiro 2023 - Valor Real'!A3:A15,'Janeiro 2023 - Valor Real'!C3:C15,0))+1))),IF(I740="Lay",(((L740/(L740-1)-1)*(1-_xlfn.XLOOKUP(K740,'Janeiro 2023 - Valor Real'!A3:A15,'Janeiro 2023 - Valor Real'!C3:C15,0))+1))/(((L739-1)*(1-_xlfn.XLOOKUP(K739,'Janeiro 2023 - Valor Real'!A3:A15,'Janeiro 2023 - Valor Real'!C3:C15,0))+1)+((L740/(L740-1)-1)*(1-_xlfn.XLOOKUP(K740,'Janeiro 2023 - Valor Real'!A3:A15,'Janeiro 2023 - Valor Real'!C3:C15,0))+1)),((L740-1)*(1-_xlfn.XLOOKUP(K740,'Janeiro 2023 - Valor Real'!A3:A15,'Janeiro 2023 - Valor Real'!C3:C15,0))+1)/(((L740-1)*(1-_xlfn.XLOOKUP(K740,'Janeiro 2023 - Valor Real'!A3:A15,'Janeiro 2023 - Valor Real'!C3:C15,0))+1)+((L739-1)*(1-_xlfn.XLOOKUP(K739,'Janeiro 2023 - Valor Real'!A3:A15,'Janeiro 2023 - Valor Real'!C3:C15,0))+1))))))</f>
        <v>0.416841614182412</v>
      </c>
      <c r="AF739" s="197">
        <f>IF($K739=AF$3,ROUND(IF(OR($C739="W",$C739="1/2W",$C739="1/2L"),$P739-$O739,IF($C739="X",0,-$O739)),2),0)</f>
        <v>0</v>
      </c>
      <c r="AG739" s="198">
        <f>IF($K739=AG$3,ROUND(IF(OR($C739="W",$C739="1/2W",$C739="1/2L"),$P739-$O739,IF($C739="X",0,-$O739)),2),0)</f>
        <v>-5.79</v>
      </c>
      <c r="AH739" s="198">
        <f>IF($K739=AH$3,ROUND(IF(OR($C739="W",$C739="1/2W",$C739="1/2L"),$P739-$O739,IF($C739="X",0,-$O739)),2),0)</f>
        <v>0</v>
      </c>
      <c r="AI739" s="198">
        <f>IF($K739=AI$3,ROUND(IF(OR($C739="W",$C739="1/2W",$C739="1/2L"),$P739-$O739,IF($C739="X",0,-$O739)),2),0)</f>
        <v>0</v>
      </c>
      <c r="AJ739" s="198">
        <f>IF($K739=AJ$3,ROUND(IF(OR($C739="W",$C739="1/2W",$C739="1/2L"),$P739-$O739,IF($C739="X",0,-$O739)),2),0)</f>
        <v>0</v>
      </c>
      <c r="AK739" s="198">
        <f>IF($K739=AK$3,ROUND(IF(OR($C739="W",$C739="1/2W",$C739="1/2L"),$P739-$O739,IF($C739="X",0,-$O739)),2),0)</f>
        <v>0</v>
      </c>
      <c r="AL739" s="198">
        <f>IF($K739=AL$3,ROUND(IF(OR($C739="W",$C739="1/2W",$C739="1/2L"),$P739-$O739,IF($C739="X",0,-$O739)),2),0)</f>
        <v>0</v>
      </c>
      <c r="AM739" s="198">
        <f>IF($K739=AM$3,ROUND(IF(OR($C739="W",$C739="1/2W",$C739="1/2L"),$P739-$O739,IF($C739="X",0,-$O739)),2),0)</f>
        <v>0</v>
      </c>
      <c r="AN739" s="198">
        <f>IF($K739=AN$3,ROUND(IF(OR($C739="W",$C739="1/2W",$C739="1/2L"),$P739-$O739,IF($C739="X",0,-$O739)),2),0)</f>
        <v>0</v>
      </c>
      <c r="AO739" s="198">
        <f>IF($K739=AO$3,ROUND(IF(OR($C739="W",$C739="1/2W",$C739="1/2L"),$P739-$O739,IF($C739="X",0,-$O739)),2),0)</f>
        <v>0</v>
      </c>
      <c r="AP739" s="198">
        <f>IF($K739=AP$3,ROUND(IF(OR($C739="W",$C739="1/2W",$C739="1/2L"),$P739-$O739,IF($C739="X",0,-$O739)),2),0)</f>
        <v>0</v>
      </c>
      <c r="AQ739" s="198">
        <f>IF($K739=AQ$3,ROUND(IF(OR($C739="W",$C739="1/2W",$C739="1/2L"),$P739-$O739,IF($C739="X",0,-$O739)),2),0)</f>
        <v>0</v>
      </c>
      <c r="AR739" s="199">
        <f>IF($K739=AR$3,ROUND(IF(OR($C739="W",$C739="1/2W",$C739="1/2L"),$P739-$O739,IF($C739="X",0,-$O739)),2),0)</f>
        <v>0</v>
      </c>
      <c r="AS739" s="197">
        <f>IF(AND($B739=" ",$K739=AS$3),$O739,0)</f>
        <v>0</v>
      </c>
      <c r="AT739" s="198">
        <f>IF(AND($B739=" ",$K739=AT$3),$O739,0)</f>
        <v>0</v>
      </c>
      <c r="AU739" s="198">
        <f>IF(AND($B739=" ",$K739=AU$3),$O739,0)</f>
        <v>0</v>
      </c>
      <c r="AV739" s="198">
        <f>IF(AND($B739=" ",$K739=AV$3),$O739,0)</f>
        <v>0</v>
      </c>
      <c r="AW739" s="198">
        <f>IF(AND($B739=" ",$K739=AW$3),$O739,0)</f>
        <v>0</v>
      </c>
      <c r="AX739" s="198">
        <f>IF(AND($B739=" ",$K739=AX$3),$O739,0)</f>
        <v>0</v>
      </c>
      <c r="AY739" s="200">
        <f>IF(AND($B739=" ",$K739=AY$3),$O739,0)</f>
        <v>0</v>
      </c>
      <c r="AZ739" s="201">
        <f>IF(AND($B739=" ",$K739=AZ$3),$O739,0)</f>
        <v>0</v>
      </c>
      <c r="BA739" s="201">
        <f>IF(AND($B739=" ",$K739=BA$3),$O739,0)</f>
        <v>0</v>
      </c>
      <c r="BB739" s="201">
        <f>IF(AND($B739=" ",$K739=BB$3),$O739,0)</f>
        <v>0</v>
      </c>
      <c r="BC739" s="202">
        <f>IF(AND($B739=" ",$K739=BC$3),$O739,0)</f>
        <v>0</v>
      </c>
      <c r="BD739" s="198">
        <f>IF(AND($B739=" ",$K739=BD$3),$O739,0)</f>
        <v>0</v>
      </c>
      <c r="BE739" s="199">
        <f>IF(AND($B739=" ",$K739=BE$3),$O739,0)</f>
        <v>0</v>
      </c>
      <c r="BF739" s="203">
        <f>IF($K739=BF$3,IF($C739="X",0,$O739),0)</f>
        <v>0</v>
      </c>
      <c r="BG739" s="198">
        <f>IF($K739=BG$3,IF($C739="X",0,$O739),0)</f>
        <v>5.79</v>
      </c>
      <c r="BH739" s="198">
        <f>IF($K739=BH$3,IF($C739="X",0,$O739),0)</f>
        <v>0</v>
      </c>
      <c r="BI739" s="198">
        <f>IF($K739=BI$3,IF($C739="X",0,$O739),0)</f>
        <v>0</v>
      </c>
      <c r="BJ739" s="198">
        <f>IF($K739=BJ$3,IF($C739="X",0,$O739),0)</f>
        <v>0</v>
      </c>
      <c r="BK739" s="198">
        <f>IF($K739=BK$3,IF($C739="X",0,$O739),0)</f>
        <v>0</v>
      </c>
      <c r="BL739" s="198">
        <f>IF($K739=BL$3,IF($C739="X",0,$O739),0)</f>
        <v>0</v>
      </c>
      <c r="BM739" s="200">
        <f>IF($K739=BM$3,IF($C739="X",0,$O739),0)</f>
        <v>0</v>
      </c>
      <c r="BN739" s="201">
        <f>IF($K739=BN$3,IF($C739="X",0,$O739),0)</f>
        <v>0</v>
      </c>
      <c r="BO739" s="201">
        <f>IF($K739=BO$3,IF($C739="X",0,$O739),0)</f>
        <v>0</v>
      </c>
      <c r="BP739" s="201">
        <f>IF($K739=BP$3,IF($C739="X",0,$O739),0)</f>
        <v>0</v>
      </c>
      <c r="BQ739" s="202">
        <f>IF($K739=BQ$3,IF($C739="X",0,$O739),0)</f>
        <v>0</v>
      </c>
      <c r="BR739" s="199">
        <f>IF($K739=BR$3,IF($C739="X",0,$O739),0)</f>
        <v>0</v>
      </c>
      <c r="BS739" s="204">
        <f>IF($B739="LOSS",IF(AND($K739=BS$3,$C739="L"),-$O739,0)+IF(AND($K740=BS$3,$C740="L"),-$O740,0)+IF(AND($K741=BS$3,$C741="L"),-$O741,0),IF(OR(AND($K739=BS$3,OR($C739="W",$C739="1/2W")),AND($K740=BS$3,OR($C740="W",$C740="1/2W")),AND($K741=BS$3,OR($C741="W",$C741="1/2W"))),$S739,0))</f>
        <v>0</v>
      </c>
      <c r="BT739" s="201">
        <f>IF($B739="LOSS",IF(AND($K739=BT$3,$C739="L"),-$O739,0)+IF(AND($K740=BT$3,$C740="L"),-$O740,0)+IF(AND($K740=BT$3,$C741="L"),-$O741,0),IF(OR(AND($K740=BT$3,OR($C739="W",$C739="1/2W")),AND($K740=BT$3,OR($C740="W",$C740="1/2W")),AND($K740=BT$3,OR($C741="W",$C741="1/2W"))),$S739,0))</f>
        <v>0</v>
      </c>
      <c r="BU739" s="201">
        <f>IF($B739="LOSS",IF(AND($K739=BU$3,$C739="L"),-$O739,0)+IF(AND($K740=BU$3,$C740="L"),-$O740,0)+IF(AND($K740=BU$3,$C741="L"),-$O741,0),IF(OR(AND($K740=BU$3,OR($C739="W",$C739="1/2W")),AND($K740=BU$3,OR($C740="W",$C740="1/2W")),AND($K740=BU$3,OR($C741="W",$C741="1/2W"))),$S739,0))</f>
        <v>0</v>
      </c>
      <c r="BV739" s="201">
        <f>IF($B739="LOSS",IF(AND($K739=BV$3,$C739="L"),-$O739,0)+IF(AND($K740=BV$3,$C740="L"),-$O740,0)+IF(AND($K741=BV$3,$C741="L"),-$O741,0),IF(OR(AND($K739=BV$3,OR($C739="W",$C739="1/2W")),AND($K740=BV$3,OR($C740="W",$C740="1/2W")),AND($K741=BV$3,OR($C741="W",$C741="1/2W"))),$S739,0))</f>
        <v>0</v>
      </c>
      <c r="BW739" s="201">
        <f>IF($B739="LOSS",IF(AND($K739=BW$3,$C739="L"),-$O739,0)+IF(AND($K740=BW$3,$C740="L"),-$O740,0)+IF(AND($K741=BW$3,$C741="L"),-$O741,0),IF(OR(AND($K739=BW$3,OR($C739="W",$C739="1/2W")),AND($K740=BW$3,OR($C740="W",$C740="1/2W")),AND($K741=BW$3,OR($C741="W",$C741="1/2W"))),$S739,0))</f>
        <v>0</v>
      </c>
      <c r="BX739" s="201">
        <f>IF($B739="LOSS",IF(AND($K739=BX$3,$C739="L"),-$O739,0)+IF(AND($K740=BX$3,$C740="L"),-$O740,0)+IF(AND($K741=BX$3,$C741="L"),-$O741,0),IF(OR(AND($K739=BX$3,OR($C739="W",$C739="1/2W")),AND($K740=BX$3,OR($C740="W",$C740="1/2W")),AND($K741=BX$3,OR($C741="W",$C741="1/2W"))),$S739,0))</f>
        <v>0</v>
      </c>
      <c r="BY739" s="201">
        <f>IF($B739="LOSS",IF(AND($K739=BY$3,$C739="L"),-$O739,0)+IF(AND($K740=BY$3,$C740="L"),-$O740,0)+IF(AND($K741=BY$3,$C741="L"),-$O741,0),IF(OR(AND($K739=BY$3,OR($C739="W",$C739="1/2W")),AND($K740=BY$3,OR($C740="W",$C740="1/2W")),AND($K741=BY$3,OR($C741="W",$C741="1/2W"))),$S739,0))</f>
        <v>0</v>
      </c>
      <c r="BZ739" s="205">
        <f>IF($B739="LOSS",IF(AND($K739=BZ$3,$C739="L"),-$O739,0)+IF(AND($K740=BZ$3,$C740="L"),-$O740,0)+IF(AND($K741=BZ$3,$C741="L"),-$O741,0),IF(OR(AND($K739=BZ$3,OR($C739="W",$C739="1/2W")),AND($K740=BZ$3,OR($C740="W",$C740="1/2W")),AND($K741=BZ$3,OR($C741="W",$C741="1/2W"))),$S739,0))</f>
        <v>0.58</v>
      </c>
      <c r="CA739" s="205">
        <f>IF($B739="LOSS",IF(AND($K739=CA$3,$C739="L"),-$O739,0)+IF(AND($K740=CA$3,$C740="L"),-$O740,0)+IF(AND($K741=CA$3,$C741="L"),-$O741,0),IF(OR(AND($K739=CA$3,OR($C739="W",$C739="1/2W")),AND($K740=CA$3,OR($C740="W",$C740="1/2W")),AND($K741=CA$3,OR($C741="W",$C741="1/2W"))),$S739,0))</f>
        <v>0</v>
      </c>
      <c r="CB739" s="205">
        <f>IF($B739="LOSS",IF(AND($K739=CB$3,$C739="L"),-$O739,0)+IF(AND($K740=CB$3,$C740="L"),-$O740,0)+IF(AND($K741=CB$3,$C741="L"),-$O741,0),IF(OR(AND($K739=CB$3,OR($C739="W",$C739="1/2W")),AND($K740=CB$3,OR($C740="W",$C740="1/2W")),AND($K741=CB$3,OR($C741="W",$C741="1/2W"))),$S739,0))</f>
        <v>0</v>
      </c>
      <c r="CC739" s="205">
        <f>IF($B739="LOSS",IF(AND($K739=CC$3,$C739="L"),-$O739,0)+IF(AND($K740=CC$3,$C740="L"),-$O740,0)+IF(AND($K741=CC$3,$C741="L"),-$O741,0),IF(OR(AND($K739=CC$3,OR($C739="W",$C739="1/2W")),AND($K740=CC$3,OR($C740="W",$C740="1/2W")),AND($K741=CC$3,OR($C741="W",$C741="1/2W"))),$S739,0))</f>
        <v>0</v>
      </c>
      <c r="CD739" s="202">
        <f>IF($B739="LOSS",IF(AND($K739=CD$3,$C739="L"),-$O739,0)+IF(AND($K740=CD$3,$C740="L"),-$O740,0)+IF(AND($K741=CD$3,$C741="L"),-$O741,0),IF(OR(AND($K739=CD$3,OR($C739="W",$C739="1/2W")),AND($K740=CD$3,OR($C740="W",$C740="1/2W")),AND($K741=CD$3,OR($C741="W",$C741="1/2W"))),$S739,0))</f>
        <v>0</v>
      </c>
      <c r="CE739" s="199">
        <f>IF($B739="LOSS",IF(AND($K739=CE$3,$C739="L"),-$O739,0)+IF(AND($K740=CE$3,$C740="L"),-$O740,0)+IF(AND($K741=CE$3,$C741="L"),-$O741,0),IF(OR(AND($K739=CE$3,OR($C739="W",$C739="1/2W")),AND($K740=CE$3,OR($C740="W",$C740="1/2W")),AND($K741=CE$3,OR($C741="W",$C741="1/2W"))),$S739,0))</f>
        <v>0</v>
      </c>
      <c r="CF739" s="206">
        <f>IF(CF$3=$K739,IF($C739="W",1,IF($C739="1/2W",0.5,0)),0)</f>
        <v>0</v>
      </c>
      <c r="CG739" s="207">
        <f>IF(CF$3=$K739,IF($C739="L",1,IF($C739="1/2L",0.5,0)),0)</f>
        <v>0</v>
      </c>
      <c r="CH739" s="207">
        <f>IF(CH$3=$K739,IF($C739="W",1,IF($C739="1/2W",0.5,0)),0)</f>
        <v>0</v>
      </c>
      <c r="CI739" s="207">
        <f>IF(CH$3=$K739,IF($C739="L",1,IF($C739="1/2L",0.5,0)),0)</f>
        <v>1</v>
      </c>
      <c r="CJ739" s="207">
        <f>IF(CJ$3=$K739,IF($C739="W",1,IF($C739="1/2W",0.5,0)),0)</f>
        <v>0</v>
      </c>
      <c r="CK739" s="207">
        <f>IF(CJ$3=$K739,IF($C739="L",1,IF($C739="1/2L",0.5,0)),0)</f>
        <v>0</v>
      </c>
      <c r="CL739" s="207">
        <f>IF(CL$3=$K739,IF($C739="W",1,IF($C739="1/2W",0.5,0)),0)</f>
        <v>0</v>
      </c>
      <c r="CM739" s="207">
        <f>IF(CL$3=$K739,IF($C739="L",1,IF($C739="1/2L",0.5,0)),0)</f>
        <v>0</v>
      </c>
      <c r="CN739" s="207">
        <f>IF(CN$3=$K739,IF($C739="W",1,IF($C739="1/2W",0.5,0)),0)</f>
        <v>0</v>
      </c>
      <c r="CO739" s="207">
        <f>IF(CN$3=$K739,IF($C739="L",1,IF($C739="1/2L",0.5,0)),0)</f>
        <v>0</v>
      </c>
      <c r="CP739" s="207">
        <f>IF(CP$3=$K739,IF($C739="W",1,IF($C739="1/2W",0.5,0)),0)</f>
        <v>0</v>
      </c>
      <c r="CQ739" s="207">
        <f>IF(CP$3=$K739,IF($C739="L",1,IF($C739="1/2L",0.5,0)),0)</f>
        <v>0</v>
      </c>
      <c r="CR739" s="207">
        <f>IF(CR$3=$K739,IF($C739="W",1,IF($C739="1/2W",0.5,0)),0)</f>
        <v>0</v>
      </c>
      <c r="CS739" s="207">
        <f>IF(CR$3=$K739,IF($C739="L",1,IF($C739="1/2L",0.5,0)),0)</f>
        <v>0</v>
      </c>
      <c r="CT739" s="208">
        <f>IF(CT$3=$K739,IF($C739="W",1,IF($C739="1/2W",0.5,0)),0)</f>
        <v>0</v>
      </c>
      <c r="CU739" s="209">
        <f>IF(CT$3=$K739,IF($C739="L",1,IF($C739="1/2L",0.5,0)),0)</f>
        <v>0</v>
      </c>
      <c r="CV739" s="209">
        <f>IF(CV$3=$K739,IF($C739="W",1,IF($C739="1/2W",0.5,0)),0)</f>
        <v>0</v>
      </c>
      <c r="CW739" s="209">
        <f>IF(CV$3=$K739,IF($C739="L",1,IF($C739="1/2L",0.5,0)),0)</f>
        <v>0</v>
      </c>
      <c r="CX739" s="209">
        <f>IF(CX$3=$K739,IF($C739="W",1,IF($C739="1/2W",0.5,0)),0)</f>
        <v>0</v>
      </c>
      <c r="CY739" s="209">
        <f>IF(CX$3=$K739,IF($C739="L",1,IF($C739="1/2L",0.5,0)),0)</f>
        <v>0</v>
      </c>
      <c r="CZ739" s="209">
        <f>IF(CZ$3=$K739,IF($C739="W",1,IF($C739="1/2W",0.5,0)),0)</f>
        <v>0</v>
      </c>
      <c r="DA739" s="209">
        <f>IF(CZ$3=$K739,IF($C739="L",1,IF($C739="1/2L",0.5,0)),0)</f>
        <v>0</v>
      </c>
      <c r="DB739" s="209">
        <f>IF(DB$3=$K739,IF($C739="W",1,IF($C739="1/2W",0.5,0)),0)</f>
        <v>0</v>
      </c>
      <c r="DC739" s="209">
        <f>IF(DB$3=$K739,IF($C739="L",1,IF($C739="1/2L",0.5,0)),0)</f>
        <v>0</v>
      </c>
      <c r="DD739" s="209">
        <f>IF(DD$3=$K739,IF($C739="W",1,IF($C739="1/2W",0.5,0)),0)</f>
        <v>0</v>
      </c>
      <c r="DE739" s="210">
        <f>IF(DD$3=$K739,IF($C739="L",1,IF($C739="1/2L",0.5,0)),0)</f>
        <v>0</v>
      </c>
      <c r="DF739" s="211">
        <f>IF(AND(L739&lt;DF$3,$C739="W"),1+DF738,DF738)</f>
        <v>22</v>
      </c>
      <c r="DG739" s="198">
        <f>IF(DF739&gt;DF738,L739+DG738,DG738)</f>
        <v>29.404</v>
      </c>
      <c r="DH739" s="209">
        <f>IF(AND(L739&gt;DH$3,$C739="W"),1+DH738,0+DH738)</f>
        <v>18</v>
      </c>
      <c r="DI739" s="198">
        <f>IF(DH739&gt;DH738,L739+DI738,DI738)</f>
        <v>93.66</v>
      </c>
      <c r="DJ739" t="s" s="306">
        <f>IF($D739="","",$D739)</f>
        <v>481</v>
      </c>
      <c r="DK739" s="209">
        <f>IF(AND($B739=" ",$D739&lt;&gt;""),1,0)</f>
        <v>0</v>
      </c>
    </row>
    <row r="740" ht="14.55" customHeight="1">
      <c r="A740" s="107"/>
      <c r="B740" s="108"/>
      <c r="C740" t="s" s="213">
        <v>56</v>
      </c>
      <c r="D740" s="110"/>
      <c r="E740" s="111"/>
      <c r="F740" s="113"/>
      <c r="G740" s="214"/>
      <c r="H740" s="114"/>
      <c r="I740" t="s" s="215">
        <v>67</v>
      </c>
      <c r="J740" s="296">
        <f>IF(OR(I739="TO",I739="TU",I739="TO1",I739="TU1",I739="TO2",I739="TU2"),J739,IF(OR(I739="AH1",I739="AH2"),IF(OR(I740="AH1",I740="AH2"),-J739,IF(OR(I740="EH1",I740="EH2"),-J739+0.5,"")),IF(OR(I739="EH1",I739="EH2"),IF(OR(I740="AH1",I740="AH2"),-J739+0.5,IF(OR(I740="EH1",I740="EH2"),-J739+1,"")),IF(AND(OR(I739="DNB1",I739="DNB2"),OR(I740="AH1",I740="AH2")),0,IF(AND(I739="Not ScoreBoth",OR(I740="TO1",I740="TO2")),0.5,"")))))</f>
        <v>62.5</v>
      </c>
      <c r="K740" t="s" s="217">
        <v>44</v>
      </c>
      <c r="L740" s="218">
        <v>1.787</v>
      </c>
      <c r="M740" s="219"/>
      <c r="N740" s="120"/>
      <c r="O740" s="220">
        <f>IF(OR(AE739="",AE740=""),"",ROUND(IF(L741&gt;0,IF(M740&gt;0,M740,IF(M739&gt;0,IF(N739=TRUE,ROUND((M739*AE740)/AE739,0),(M739*AE740)/AE739),IF(M740&gt;0,ROUND(M740,IF(N739=0,2,IF(N739=0.1,1,0))),IF(M741&gt;0,ROUND(O741*AE740/AE741,IF(N739=0,2,IF(N739=0.1,1,0))),0)))),IF(M740&gt;0,M740,ROUND((M739*AE740)/AE739,IF(N739=0,2,IF(N739=0.1,1,0))))),2))</f>
        <v>8.1</v>
      </c>
      <c r="P740" s="221">
        <f>IF(OR(L740="",O740=""),"",IF($C740="1/2W",O740/2+O740/2*L740,IF($C740="1/2L",O740/2,IF(I740="Lay",((O740*(L740/(L740-1)))-O740)*(1-_xlfn.XLOOKUP(K740,'Janeiro 2023 - Valor Real'!A3:A15,'Janeiro 2023 - Valor Real'!C3:C15,0))+O740,(O740*L740-O740)*(1-_xlfn.XLOOKUP(K740,'Janeiro 2023 - Valor Real'!A3:A15,'Janeiro 2023 - Valor Real'!C3:C15,0))+O740))))</f>
        <v>14.4747</v>
      </c>
      <c r="Q740" s="222">
        <f>IF(K740="","",IF(_xlfn.XLOOKUP(K740,K$123:K513,DJ$123:DJ513,0,,-1)=DJ740,_xlfn.XLOOKUP(K740,K$123:K513,Q$123:Q513,1,,-1)+1,1))</f>
        <v>1</v>
      </c>
      <c r="R740" s="223">
        <f>IF(K740="","",_xlfn.XLOOKUP(K740,K$123:K513,R$123:R513,0,,-1)+IF($C740=" ",1,0))</f>
        <v>0</v>
      </c>
      <c r="S740" s="125"/>
      <c r="T740" s="126"/>
      <c r="U740" s="126"/>
      <c r="V740" s="224"/>
      <c r="W740" s="126"/>
      <c r="X740" s="127"/>
      <c r="Y740" s="128"/>
      <c r="Z740" s="129"/>
      <c r="AA740" s="129"/>
      <c r="AB740" s="129"/>
      <c r="AC740" s="129"/>
      <c r="AD740" s="225">
        <f>(((L740/(L740-1)-1)*(1-_xlfn.XLOOKUP(K740,'Janeiro 2023 - Valor Real'!A3:A15,'Janeiro 2023 - Valor Real'!C3:C15,0))+1))</f>
        <v>2.27064803049555</v>
      </c>
      <c r="AE740" s="226">
        <f>IF(L740="","",IF(L741&gt;0,(SUM(((L739-1)*(1-_xlfn.XLOOKUP(K739,'Janeiro 2023 - Valor Real'!A3:A15,'Janeiro 2023 - Valor Real'!C3:C15,0))+1),((L740-1)*(1-_xlfn.XLOOKUP(K740,'Janeiro 2023 - Valor Real'!A3:A15,'Janeiro 2023 - Valor Real'!C3:C15,0))+1),((L741-1)*(1-_xlfn.XLOOKUP(K741,'Janeiro 2023 - Valor Real'!A3:A15,'Janeiro 2023 - Valor Real'!C3:C15,0))+1))/((L740-1)*(1-_xlfn.XLOOKUP(K740,'Janeiro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Real'!C3:C15,0))+1))/((L739-1)*(1-_xlfn.XLOOKUP(K739,'Janeiro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Real'!C3:C15,0))+1))/((L740-1)*(1-_xlfn.XLOOKUP(K740,'Janeiro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Real'!C3:C15,0))+1))/((L741-1)*(1-_xlfn.XLOOKUP(K741,'Janeiro 2023 - Valor Real'!A3:A15,'Janeiro 2023 - Valor Real'!C3:C15,0))+1)),IF(I740="Lay",IF(I739="Lay",((L739/(L739-1)-1)*(1-_xlfn.XLOOKUP(K739,'Janeiro 2023 - Valor Real'!A3:A15,'Janeiro 2023 - Valor Real'!C3:C15,0))+1)/(((L739/(L739-1)-1)*(1-_xlfn.XLOOKUP(K739,'Janeiro 2023 - Valor Real'!A3:A15,'Janeiro 2023 - Valor Real'!C3:C15,0))+1)+((L740/(L740-1)-1)*(1-_xlfn.XLOOKUP(K740,'Janeiro 2023 - Valor Real'!A3:A15,'Janeiro 2023 - Valor Real'!C3:C15,0))+1)),((L739-1)*(1-_xlfn.XLOOKUP(K739,'Janeiro 2023 - Valor Real'!A3:A15,'Janeiro 2023 - Valor Real'!C3:C15,0))+1)/(((L739-1)*(1-_xlfn.XLOOKUP(K739,'Janeiro 2023 - Valor Real'!A3:A15,'Janeiro 2023 - Valor Real'!C3:C15,0))+1)+((L740/(L740-1)-1)*(1-_xlfn.XLOOKUP(K740,'Janeiro 2023 - Valor Real'!A3:A15,'Janeiro 2023 - Valor Real'!C3:C15,0))+1))),IF(I739="Lay",((L739/(L739-1)-1)*(1-_xlfn.XLOOKUP(K739,'Janeiro 2023 - Valor Real'!A3:A15,'Janeiro 2023 - Valor Real'!C3:C15,0))+1)/((((L739/(L739-1)-1)*(1-_xlfn.XLOOKUP(K739,'Janeiro 2023 - Valor Real'!A3:A15,'Janeiro 2023 - Valor Real'!C3:C15,0))+1))+((L740-1)*(1-_xlfn.XLOOKUP(K740,'Janeiro 2023 - Valor Real'!A3:A15,'Janeiro 2023 - Valor Real'!C3:C15,0))+1)),((L739-1)*(1-_xlfn.XLOOKUP(K739,'Janeiro 2023 - Valor Real'!A3:A15,'Janeiro 2023 - Valor Real'!C3:C15,0))+1)/(((L739-1)*(1-_xlfn.XLOOKUP(K739,'Janeiro 2023 - Valor Real'!A3:A15,'Janeiro 2023 - Valor Real'!C3:C15,0))+1)+((L740-1)*(1-_xlfn.XLOOKUP(K740,'Janeiro 2023 - Valor Real'!A3:A15,'Janeiro 2023 - Valor Real'!C3:C15,0))+1))))))</f>
        <v>0.5831583858175881</v>
      </c>
      <c r="AF740" s="197">
        <f>IF($K740=AF$3,ROUND(IF(OR($C740="W",$C740="1/2W",$C740="1/2L"),$P740-$O740,IF($C740="X",0,-$O740)),2),0)</f>
        <v>0</v>
      </c>
      <c r="AG740" s="198">
        <f>IF($K740=AG$3,ROUND(IF(OR($C740="W",$C740="1/2W",$C740="1/2L"),$P740-$O740,IF($C740="X",0,-$O740)),2),0)</f>
        <v>0</v>
      </c>
      <c r="AH740" s="198">
        <f>IF($K740=AH$3,ROUND(IF(OR($C740="W",$C740="1/2W",$C740="1/2L"),$P740-$O740,IF($C740="X",0,-$O740)),2),0)</f>
        <v>0</v>
      </c>
      <c r="AI740" s="198">
        <f>IF($K740=AI$3,ROUND(IF(OR($C740="W",$C740="1/2W",$C740="1/2L"),$P740-$O740,IF($C740="X",0,-$O740)),2),0)</f>
        <v>0</v>
      </c>
      <c r="AJ740" s="198">
        <f>IF($K740=AJ$3,ROUND(IF(OR($C740="W",$C740="1/2W",$C740="1/2L"),$P740-$O740,IF($C740="X",0,-$O740)),2),0)</f>
        <v>0</v>
      </c>
      <c r="AK740" s="198">
        <f>IF($K740=AK$3,ROUND(IF(OR($C740="W",$C740="1/2W",$C740="1/2L"),$P740-$O740,IF($C740="X",0,-$O740)),2),0)</f>
        <v>0</v>
      </c>
      <c r="AL740" s="198">
        <f>IF($K740=AL$3,ROUND(IF(OR($C740="W",$C740="1/2W",$C740="1/2L"),$P740-$O740,IF($C740="X",0,-$O740)),2),0)</f>
        <v>0</v>
      </c>
      <c r="AM740" s="198">
        <f>IF($K740=AM$3,ROUND(IF(OR($C740="W",$C740="1/2W",$C740="1/2L"),$P740-$O740,IF($C740="X",0,-$O740)),2),0)</f>
        <v>6.37</v>
      </c>
      <c r="AN740" s="198">
        <f>IF($K740=AN$3,ROUND(IF(OR($C740="W",$C740="1/2W",$C740="1/2L"),$P740-$O740,IF($C740="X",0,-$O740)),2),0)</f>
        <v>0</v>
      </c>
      <c r="AO740" s="198">
        <f>IF($K740=AO$3,ROUND(IF(OR($C740="W",$C740="1/2W",$C740="1/2L"),$P740-$O740,IF($C740="X",0,-$O740)),2),0)</f>
        <v>0</v>
      </c>
      <c r="AP740" s="198">
        <f>IF($K740=AP$3,ROUND(IF(OR($C740="W",$C740="1/2W",$C740="1/2L"),$P740-$O740,IF($C740="X",0,-$O740)),2),0)</f>
        <v>0</v>
      </c>
      <c r="AQ740" s="198">
        <f>IF($K740=AQ$3,ROUND(IF(OR($C740="W",$C740="1/2W",$C740="1/2L"),$P740-$O740,IF($C740="X",0,-$O740)),2),0)</f>
        <v>0</v>
      </c>
      <c r="AR740" s="199">
        <f>IF($K740=AR$3,ROUND(IF(OR($C740="W",$C740="1/2W",$C740="1/2L"),$P740-$O740,IF($C740="X",0,-$O740)),2),0)</f>
        <v>0</v>
      </c>
      <c r="AS740" s="197">
        <f>IF(AND($B739=" ",$K740=AS$3),$O740,0)</f>
        <v>0</v>
      </c>
      <c r="AT740" s="198">
        <f>IF(AND($B739=" ",K740=AT$3),$O740,0)</f>
        <v>0</v>
      </c>
      <c r="AU740" s="198">
        <f>IF(AND($B739=" ",$K740=AU$3),$O740,0)</f>
        <v>0</v>
      </c>
      <c r="AV740" s="198">
        <f>IF(AND($B739=" ",$K740=AV$3),$O740,0)</f>
        <v>0</v>
      </c>
      <c r="AW740" s="198">
        <f>IF(AND($B739=" ",$K740=AW$3),$O740,0)</f>
        <v>0</v>
      </c>
      <c r="AX740" s="198">
        <f>IF(AND($B739=" ",$K740=AX$3),$O740,0)</f>
        <v>0</v>
      </c>
      <c r="AY740" s="200">
        <f>IF(AND($B739=" ",$K740=AY$3),$O740,0)</f>
        <v>0</v>
      </c>
      <c r="AZ740" s="201">
        <f>IF(AND($B739=" ",$K740=AZ$3),$O740,0)</f>
        <v>0</v>
      </c>
      <c r="BA740" s="201">
        <f>IF(AND($B739=" ",$K740=BA$3),$O740,0)</f>
        <v>0</v>
      </c>
      <c r="BB740" s="201">
        <f>IF(AND($B739=" ",$K740=BB$3),$O740,0)</f>
        <v>0</v>
      </c>
      <c r="BC740" s="202">
        <f>IF(AND($B739=" ",$K740=BC$3),$O740,0)</f>
        <v>0</v>
      </c>
      <c r="BD740" s="198">
        <f>IF(AND($B739=" ",$K740=BD$3),$O740,0)</f>
        <v>0</v>
      </c>
      <c r="BE740" s="199">
        <f>IF(AND($B739=" ",$K740=BE$3),$O740,0)</f>
        <v>0</v>
      </c>
      <c r="BF740" s="197">
        <f>IF($K740=BF$3,IF($C740="X",0,$O740),0)</f>
        <v>0</v>
      </c>
      <c r="BG740" s="198">
        <f>IF($K740=BG$3,IF($C740="X",0,$O740),0)</f>
        <v>0</v>
      </c>
      <c r="BH740" s="198">
        <f>IF($K740=BH$3,IF($C740="X",0,$O740),0)</f>
        <v>0</v>
      </c>
      <c r="BI740" s="198">
        <f>IF($K740=BI$3,IF($C740="X",0,$O740),0)</f>
        <v>0</v>
      </c>
      <c r="BJ740" s="198">
        <f>IF($K740=BJ$3,IF($C740="X",0,$O740),0)</f>
        <v>0</v>
      </c>
      <c r="BK740" s="198">
        <f>IF($K740=BK$3,IF($C740="X",0,$O740),0)</f>
        <v>0</v>
      </c>
      <c r="BL740" s="198">
        <f>IF($K740=BL$3,IF($C740="X",0,$O740),0)</f>
        <v>0</v>
      </c>
      <c r="BM740" s="227">
        <f>IF($K740=BM$3,IF($C740="X",0,$O740),0)</f>
        <v>8.1</v>
      </c>
      <c r="BN740" s="205">
        <f>IF($K740=BN$3,IF($C740="X",0,$O740),0)</f>
        <v>0</v>
      </c>
      <c r="BO740" s="205">
        <f>IF($K740=BO$3,IF($C740="X",0,$O740),0)</f>
        <v>0</v>
      </c>
      <c r="BP740" s="205">
        <f>IF($K740=BP$3,IF($C740="X",0,$O740),0)</f>
        <v>0</v>
      </c>
      <c r="BQ740" s="202">
        <f>IF($K740=BQ$3,IF($C740="X",0,$O740),0)</f>
        <v>0</v>
      </c>
      <c r="BR740" s="199">
        <f>IF($K740=BR$3,IF($C740="X",0,$O740),0)</f>
        <v>0</v>
      </c>
      <c r="BS740" s="228"/>
      <c r="BT740" s="229"/>
      <c r="BU740" s="140"/>
      <c r="BV740" s="229"/>
      <c r="BW740" s="140"/>
      <c r="BX740" s="140"/>
      <c r="BY740" s="140"/>
      <c r="BZ740" s="229"/>
      <c r="CA740" s="140"/>
      <c r="CB740" s="140"/>
      <c r="CC740" s="140"/>
      <c r="CD740" s="141"/>
      <c r="CE740" s="142"/>
      <c r="CF740" s="230">
        <f>IF(CF$3=$K740,IF($C740="W",1,IF($C740="1/2W",0.5,0)),0)</f>
        <v>0</v>
      </c>
      <c r="CG740" s="231">
        <f>IF(CF$3=$K740,IF($C740="L",1,IF($C740="1/2L",0.5,0)),0)</f>
        <v>0</v>
      </c>
      <c r="CH740" s="231">
        <f>IF(CH$3=$K740,IF($C740="W",1,IF($C740="1/2W",0.5,0)),0)</f>
        <v>0</v>
      </c>
      <c r="CI740" s="231">
        <f>IF(CH$3=$K740,IF($C740="L",1,IF($C740="1/2L",0.5,0)),0)</f>
        <v>0</v>
      </c>
      <c r="CJ740" s="231">
        <f>IF(CJ$3=$K740,IF($C740="W",1,IF($C740="1/2W",0.5,0)),0)</f>
        <v>0</v>
      </c>
      <c r="CK740" s="231">
        <f>IF(CJ$3=$K740,IF($C740="L",1,IF($C740="1/2L",0.5,0)),0)</f>
        <v>0</v>
      </c>
      <c r="CL740" s="231">
        <f>IF(CL$3=$K740,IF($C740="W",1,IF($C740="1/2W",0.5,0)),0)</f>
        <v>0</v>
      </c>
      <c r="CM740" s="231">
        <f>IF(CL$3=$K740,IF($C740="L",1,IF($C740="1/2L",0.5,0)),0)</f>
        <v>0</v>
      </c>
      <c r="CN740" s="231">
        <f>IF(CN$3=$K740,IF($C740="W",1,IF($C740="1/2W",0.5,0)),0)</f>
        <v>0</v>
      </c>
      <c r="CO740" s="231">
        <f>IF(CN$3=$K740,IF($C740="L",1,IF($C740="1/2L",0.5,0)),0)</f>
        <v>0</v>
      </c>
      <c r="CP740" s="231">
        <f>IF(CP$3=$K740,IF($C740="W",1,IF($C740="1/2W",0.5,0)),0)</f>
        <v>0</v>
      </c>
      <c r="CQ740" s="231">
        <f>IF(CP$3=$K740,IF($C740="L",1,IF($C740="1/2L",0.5,0)),0)</f>
        <v>0</v>
      </c>
      <c r="CR740" s="231">
        <f>IF(CR$3=$K740,IF($C740="W",1,IF($C740="1/2W",0.5,0)),0)</f>
        <v>0</v>
      </c>
      <c r="CS740" s="231">
        <f>IF(CR$3=$K740,IF($C740="L",1,IF($C740="1/2L",0.5,0)),0)</f>
        <v>0</v>
      </c>
      <c r="CT740" s="208">
        <f>IF(CT$3=$K740,IF($C740="W",1,IF($C740="1/2W",0.5,0)),0)</f>
        <v>1</v>
      </c>
      <c r="CU740" s="209">
        <f>IF(CT$3=$K740,IF($C740="L",1,IF($C740="1/2L",0.5,0)),0)</f>
        <v>0</v>
      </c>
      <c r="CV740" s="209">
        <f>IF(CV$3=$K740,IF($C740="W",1,IF($C740="1/2W",0.5,0)),0)</f>
        <v>0</v>
      </c>
      <c r="CW740" s="209">
        <f>IF(CV$3=$K740,IF($C740="L",1,IF($C740="1/2L",0.5,0)),0)</f>
        <v>0</v>
      </c>
      <c r="CX740" s="209">
        <f>IF(CX$3=$K740,IF($C740="W",1,IF($C740="1/2W",0.5,0)),0)</f>
        <v>0</v>
      </c>
      <c r="CY740" s="209">
        <f>IF(CX$3=$K740,IF($C740="L",1,IF($C740="1/2L",0.5,0)),0)</f>
        <v>0</v>
      </c>
      <c r="CZ740" s="209">
        <f>IF(CZ$3=$K740,IF($C740="W",1,IF($C740="1/2W",0.5,0)),0)</f>
        <v>0</v>
      </c>
      <c r="DA740" s="209">
        <f>IF(CZ$3=$K740,IF($C740="L",1,IF($C740="1/2L",0.5,0)),0)</f>
        <v>0</v>
      </c>
      <c r="DB740" s="209">
        <f>IF(DB$3=$K740,IF($C740="W",1,IF($C740="1/2W",0.5,0)),0)</f>
        <v>0</v>
      </c>
      <c r="DC740" s="209">
        <f>IF(DB$3=$K740,IF($C740="L",1,IF($C740="1/2L",0.5,0)),0)</f>
        <v>0</v>
      </c>
      <c r="DD740" s="209">
        <f>IF(DD$3=$K740,IF($C740="W",1,IF($C740="1/2W",0.5,0)),0)</f>
        <v>0</v>
      </c>
      <c r="DE740" s="210">
        <f>IF(DD$3=$K740,IF($C740="L",1,IF($C740="1/2L",0.5,0)),0)</f>
        <v>0</v>
      </c>
      <c r="DF740" s="211">
        <f>IF(AND(L740&lt;DF$3,$C740="W"),1+DF739,DF739)</f>
        <v>22</v>
      </c>
      <c r="DG740" s="198">
        <f>IF(DF740&gt;DF739,L740+DG739,DG739)</f>
        <v>29.404</v>
      </c>
      <c r="DH740" s="209">
        <f>IF(AND(L740&gt;DH$3,$C740="W"),1+DH739,0+DH739)</f>
        <v>18</v>
      </c>
      <c r="DI740" s="198">
        <f>IF(DH740&gt;DH739,L740+DI739,DI739)</f>
        <v>93.66</v>
      </c>
      <c r="DJ740" t="s" s="306">
        <f>IF($D739="","",$D739)</f>
        <v>481</v>
      </c>
      <c r="DK740" s="232"/>
    </row>
    <row r="741" ht="14.55" customHeight="1">
      <c r="A741" s="149"/>
      <c r="B741" s="150"/>
      <c r="C741" t="s" s="233">
        <v>58</v>
      </c>
      <c r="D741" s="152"/>
      <c r="E741" s="153"/>
      <c r="F741" s="155"/>
      <c r="G741" s="234"/>
      <c r="H741" s="156"/>
      <c r="I741" s="235"/>
      <c r="J741" s="236"/>
      <c r="K741" s="237"/>
      <c r="L741" s="238"/>
      <c r="M741" s="239"/>
      <c r="N741" s="161"/>
      <c r="O741" t="s" s="240">
        <f>IF(OR(AE739="",AE740=""),"",IF(L741&gt;0,ROUND(IF(M741&gt;0,M741,IF(M739&gt;0,ROUND((M739*AE741)/AE739,IF(N739=0,2,IF(N739=0.1,1,0))),IF(M740&gt;0,ROUND((M740*AE741)/AE740,IF(N739=0,2,IF(N739=0.1,1,0))),IF(M741&gt;0,M741,0)))),2),""))</f>
      </c>
      <c r="P741" t="s" s="241">
        <f>IF(I740="Lay",O740*(L740/(L740-1))-O740,IF(I739="Lay",O739*(L739/(L739-1))-O739,IF(OR(L741="",O741=""),"",IF($C741="1/2W",O741/2+O741/2*L741,IF($C741="1/2L",O741/2,(O741*L741-O741)*(1-_xlfn.XLOOKUP(K741,'Janeiro 2023 - Valor Real'!A3:A15,'Janeiro 2023 - Valor Real'!C3:C15,0))+O741)))))</f>
      </c>
      <c r="Q741" t="s" s="242">
        <f>IF(K741="","",IF(_xlfn.XLOOKUP(K741,K$124:K514,DJ$124:DJ514,0,,-1)=DJ741,_xlfn.XLOOKUP(K741,K$124:K514,Q$124:Q514,1,,-1)+1,1))</f>
      </c>
      <c r="R741" t="s" s="243">
        <f>IF(K741="","",_xlfn.XLOOKUP(K741,K$124:K514,R$124:R514,0,,-1)+IF($C741=" ",1,0))</f>
      </c>
      <c r="S741" s="166"/>
      <c r="T741" s="155"/>
      <c r="U741" s="155"/>
      <c r="V741" s="166"/>
      <c r="W741" s="155"/>
      <c r="X741" s="167"/>
      <c r="Y741" s="128"/>
      <c r="Z741" s="129"/>
      <c r="AA741" s="129"/>
      <c r="AB741" s="129"/>
      <c r="AC741" s="129"/>
      <c r="AD741" s="244">
        <f>((L740/(L740-1)-1))</f>
        <v>1.27064803049555</v>
      </c>
      <c r="AE741" t="s" s="245">
        <f>IF(L741="","",(SUM(((L739-1)*(1-_xlfn.XLOOKUP(K739,'Janeiro 2023 - Valor Real'!A3:A15,'Janeiro 2023 - Valor Real'!C3:C15,0))+1),((L740-1)*(1-_xlfn.XLOOKUP(K740,'Janeiro 2023 - Valor Real'!A3:A15,'Janeiro 2023 - Valor Real'!C3:C15,0))+1),((L741-1)*(1-_xlfn.XLOOKUP(K741,'Janeiro 2023 - Valor Real'!A3:A15,'Janeiro 2023 - Valor Real'!C3:C15,0))+1))/((L741-1)*(1-_xlfn.XLOOKUP(K741,'Janeiro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Real'!C3:C15,0))+1))/((L739-1)*(1-_xlfn.XLOOKUP(K739,'Janeiro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Real'!C3:C15,0))+1))/((L740-1)*(1-_xlfn.XLOOKUP(K740,'Janeiro 2023 - Valor Real'!A3:A15,'Janeiro 2023 - Valor Real'!C3:C15,0))+1)+SUM(((L739-1)*(1-_xlfn.XLOOKUP(K739,'Janeiro 2023 - Valor Real'!A3:A15,'Janeiro 2023 - Valor Real'!C3:C15,0))+1),((L740-1)*(1-_xlfn.XLOOKUP(K740,'Janeiro 2023 - Valor Real'!A3:A15,'Janeiro 2023 - Valor Real'!C3:C15,0))+1),((L741-1)*(1-_xlfn.XLOOKUP(K741,'Janeiro 2023 - Valor Real'!A3:A15,'Janeiro 2023 - Valor Real'!C3:C15,0))+1))/((L741-1)*(1-_xlfn.XLOOKUP(K741,'Janeiro 2023 - Valor Real'!A3:A15,'Janeiro 2023 - Valor Real'!C3:C15,0))+1)))</f>
      </c>
      <c r="AF741" s="197">
        <f>IF($K741=AF$3,ROUND(IF(OR($C741="W",$C741="1/2W",$C741="1/2L"),$P741-$O741,IF($C741="X",0,-$O741)),2),0)</f>
        <v>0</v>
      </c>
      <c r="AG741" s="198">
        <f>IF($K741=AG$3,ROUND(IF(OR($C741="W",$C741="1/2W",$C741="1/2L"),$P741-$O741,IF($C741="X",0,-$O741)),2),0)</f>
        <v>0</v>
      </c>
      <c r="AH741" s="198">
        <f>IF($K741=AH$3,ROUND(IF(OR($C741="W",$C741="1/2W",$C741="1/2L"),$P741-$O741,IF($C741="X",0,-$O741)),2),0)</f>
        <v>0</v>
      </c>
      <c r="AI741" s="198">
        <f>IF($K741=AI$3,ROUND(IF(OR($C741="W",$C741="1/2W",$C741="1/2L"),$P741-$O741,IF($C741="X",0,-$O741)),2),0)</f>
        <v>0</v>
      </c>
      <c r="AJ741" s="198">
        <f>IF($K741=AJ$3,ROUND(IF(OR($C741="W",$C741="1/2W",$C741="1/2L"),$P741-$O741,IF($C741="X",0,-$O741)),2),0)</f>
        <v>0</v>
      </c>
      <c r="AK741" s="198">
        <f>IF($K741=AK$3,ROUND(IF(OR($C741="W",$C741="1/2W",$C741="1/2L"),$P741-$O741,IF($C741="X",0,-$O741)),2),0)</f>
        <v>0</v>
      </c>
      <c r="AL741" s="198">
        <f>IF($K741=AL$3,ROUND(IF(OR($C741="W",$C741="1/2W",$C741="1/2L"),$P741-$O741,IF($C741="X",0,-$O741)),2),0)</f>
        <v>0</v>
      </c>
      <c r="AM741" s="198">
        <f>IF($K741=AM$3,ROUND(IF(OR($C741="W",$C741="1/2W",$C741="1/2L"),$P741-$O741,IF($C741="X",0,-$O741)),2),0)</f>
        <v>0</v>
      </c>
      <c r="AN741" s="198">
        <f>IF($K741=AN$3,ROUND(IF(OR($C741="W",$C741="1/2W",$C741="1/2L"),$P741-$O741,IF($C741="X",0,-$O741)),2),0)</f>
        <v>0</v>
      </c>
      <c r="AO741" s="198">
        <f>IF($K741=AO$3,ROUND(IF(OR($C741="W",$C741="1/2W",$C741="1/2L"),$P741-$O741,IF($C741="X",0,-$O741)),2),0)</f>
        <v>0</v>
      </c>
      <c r="AP741" s="198">
        <f>IF($K741=AP$3,ROUND(IF(OR($C741="W",$C741="1/2W",$C741="1/2L"),$P741-$O741,IF($C741="X",0,-$O741)),2),0)</f>
        <v>0</v>
      </c>
      <c r="AQ741" s="198">
        <f>IF($K741=AQ$3,ROUND(IF(OR($C741="W",$C741="1/2W",$C741="1/2L"),$P741-$O741,IF($C741="X",0,-$O741)),2),0)</f>
        <v>0</v>
      </c>
      <c r="AR741" s="199">
        <f>IF($K741=AR$3,ROUND(IF(OR($C741="W",$C741="1/2W",$C741="1/2L"),$P741-$O741,IF($C741="X",0,-$O741)),2),0)</f>
        <v>0</v>
      </c>
      <c r="AS741" s="197">
        <f>IF(AND($B739=" ",$K741=AS$3),$O741,0)</f>
        <v>0</v>
      </c>
      <c r="AT741" s="198">
        <f>IF(AND($B739=" ",K741=AT$3),$O741,0)</f>
        <v>0</v>
      </c>
      <c r="AU741" s="198">
        <f>IF(AND($B739=" ",$K741=AU$3),$O741,0)</f>
        <v>0</v>
      </c>
      <c r="AV741" s="198">
        <f>IF(AND($B739=" ",$K741=AV$3),$O741,0)</f>
        <v>0</v>
      </c>
      <c r="AW741" s="198">
        <f>IF(AND($B739=" ",$K741=AW$3),$O741,0)</f>
        <v>0</v>
      </c>
      <c r="AX741" s="198">
        <f>IF(AND($B739=" ",$K741=AX$3),$O741,0)</f>
        <v>0</v>
      </c>
      <c r="AY741" s="200">
        <f>IF(AND($B739=" ",$K741=AY$3),$O741,0)</f>
        <v>0</v>
      </c>
      <c r="AZ741" s="201">
        <f>IF(AND($B739=" ",$K741=AZ$3),$O741,0)</f>
        <v>0</v>
      </c>
      <c r="BA741" s="201">
        <f>IF(AND($B739=" ",$K741=BA$3),$O741,0)</f>
        <v>0</v>
      </c>
      <c r="BB741" s="201">
        <f>IF(AND($B739=" ",$K741=BB$3),$O741,0)</f>
        <v>0</v>
      </c>
      <c r="BC741" s="202">
        <f>IF(AND($B739=" ",$K741=BC$3),$O741,0)</f>
        <v>0</v>
      </c>
      <c r="BD741" s="198">
        <f>IF(AND($B739=" ",$K741=BD$3),$O741,0)</f>
        <v>0</v>
      </c>
      <c r="BE741" s="199">
        <f>IF(AND($B739=" ",$K741=BE$3),$O741,0)</f>
        <v>0</v>
      </c>
      <c r="BF741" s="197">
        <f>IF($K741=BF$3,IF($C741="X",0,$O741),0)</f>
        <v>0</v>
      </c>
      <c r="BG741" s="198">
        <f>IF($K741=BG$3,IF($C741="X",0,$O741),0)</f>
        <v>0</v>
      </c>
      <c r="BH741" s="198">
        <f>IF($K741=BH$3,IF($C741="X",0,$O741),0)</f>
        <v>0</v>
      </c>
      <c r="BI741" s="198">
        <f>IF($K741=BI$3,IF($C741="X",0,$O741),0)</f>
        <v>0</v>
      </c>
      <c r="BJ741" s="198">
        <f>IF($K741=BJ$3,IF($C741="X",0,$O741),0)</f>
        <v>0</v>
      </c>
      <c r="BK741" s="198">
        <f>IF($K741=BK$3,IF($C741="X",0,$O741),0)</f>
        <v>0</v>
      </c>
      <c r="BL741" s="198">
        <f>IF($K741=BL$3,IF($C741="X",0,$O741),0)</f>
        <v>0</v>
      </c>
      <c r="BM741" s="200">
        <f>IF($K741=BM$3,IF($C741="X",0,$O741),0)</f>
        <v>0</v>
      </c>
      <c r="BN741" s="201">
        <f>IF($K741=BN$3,IF($C741="X",0,$O741),0)</f>
        <v>0</v>
      </c>
      <c r="BO741" s="201">
        <f>IF($K741=BO$3,IF($C741="X",0,$O741),0)</f>
        <v>0</v>
      </c>
      <c r="BP741" s="201">
        <f>IF($K741=BP$3,IF($C741="X",0,$O741),0)</f>
        <v>0</v>
      </c>
      <c r="BQ741" s="202">
        <f>IF($K741=BQ$3,IF($C741="X",0,$O741),0)</f>
        <v>0</v>
      </c>
      <c r="BR741" s="199">
        <f>IF($K741=BR$3,IF($C741="X",0,$O741),0)</f>
        <v>0</v>
      </c>
      <c r="BS741" s="228"/>
      <c r="BT741" s="229"/>
      <c r="BU741" s="140"/>
      <c r="BV741" s="229"/>
      <c r="BW741" s="140"/>
      <c r="BX741" s="140"/>
      <c r="BY741" s="140"/>
      <c r="BZ741" s="229"/>
      <c r="CA741" s="140"/>
      <c r="CB741" s="140"/>
      <c r="CC741" s="140"/>
      <c r="CD741" s="141"/>
      <c r="CE741" s="142"/>
      <c r="CF741" s="230">
        <f>IF(CF$3=$K741,IF($C741="W",1,IF($C741="1/2W",0.5,0)),0)</f>
        <v>0</v>
      </c>
      <c r="CG741" s="231">
        <f>IF(CF$3=$K741,IF($C741="L",1,IF($C741="1/2L",0.5,0)),0)</f>
        <v>0</v>
      </c>
      <c r="CH741" s="231">
        <f>IF(CH$3=$K741,IF($C741="W",1,IF($C741="1/2W",0.5,0)),0)</f>
        <v>0</v>
      </c>
      <c r="CI741" s="231">
        <f>IF(CH$3=$K741,IF($C741="L",1,IF($C741="1/2L",0.5,0)),0)</f>
        <v>0</v>
      </c>
      <c r="CJ741" s="231">
        <f>IF(CJ$3=$K741,IF($C741="W",1,IF($C741="1/2W",0.5,0)),0)</f>
        <v>0</v>
      </c>
      <c r="CK741" s="231">
        <f>IF(CJ$3=$K741,IF($C741="L",1,IF($C741="1/2L",0.5,0)),0)</f>
        <v>0</v>
      </c>
      <c r="CL741" s="231">
        <f>IF(CL$3=$K741,IF($C741="W",1,IF($C741="1/2W",0.5,0)),0)</f>
        <v>0</v>
      </c>
      <c r="CM741" s="231">
        <f>IF(CL$3=$K741,IF($C741="L",1,IF($C741="1/2L",0.5,0)),0)</f>
        <v>0</v>
      </c>
      <c r="CN741" s="231">
        <f>IF(CN$3=$K741,IF($C741="W",1,IF($C741="1/2W",0.5,0)),0)</f>
        <v>0</v>
      </c>
      <c r="CO741" s="231">
        <f>IF(CN$3=$K741,IF($C741="L",1,IF($C741="1/2L",0.5,0)),0)</f>
        <v>0</v>
      </c>
      <c r="CP741" s="231">
        <f>IF(CP$3=$K741,IF($C741="W",1,IF($C741="1/2W",0.5,0)),0)</f>
        <v>0</v>
      </c>
      <c r="CQ741" s="231">
        <f>IF(CP$3=$K741,IF($C741="L",1,IF($C741="1/2L",0.5,0)),0)</f>
        <v>0</v>
      </c>
      <c r="CR741" s="231">
        <f>IF(CR$3=$K741,IF($C741="W",1,IF($C741="1/2W",0.5,0)),0)</f>
        <v>0</v>
      </c>
      <c r="CS741" s="231">
        <f>IF(CR$3=$K741,IF($C741="L",1,IF($C741="1/2L",0.5,0)),0)</f>
        <v>0</v>
      </c>
      <c r="CT741" s="208">
        <f>IF(CT$3=$K741,IF($C741="W",1,IF($C741="1/2W",0.5,0)),0)</f>
        <v>0</v>
      </c>
      <c r="CU741" s="209">
        <f>IF(CT$3=$K741,IF($C741="L",1,IF($C741="1/2L",0.5,0)),0)</f>
        <v>0</v>
      </c>
      <c r="CV741" s="209">
        <f>IF(CV$3=$K741,IF($C741="W",1,IF($C741="1/2W",0.5,0)),0)</f>
        <v>0</v>
      </c>
      <c r="CW741" s="209">
        <f>IF(CV$3=$K741,IF($C741="L",1,IF($C741="1/2L",0.5,0)),0)</f>
        <v>0</v>
      </c>
      <c r="CX741" s="209">
        <f>IF(CX$3=$K741,IF($C741="W",1,IF($C741="1/2W",0.5,0)),0)</f>
        <v>0</v>
      </c>
      <c r="CY741" s="209">
        <f>IF(CX$3=$K741,IF($C741="L",1,IF($C741="1/2L",0.5,0)),0)</f>
        <v>0</v>
      </c>
      <c r="CZ741" s="209">
        <f>IF(CZ$3=$K741,IF($C741="W",1,IF($C741="1/2W",0.5,0)),0)</f>
        <v>0</v>
      </c>
      <c r="DA741" s="209">
        <f>IF(CZ$3=$K741,IF($C741="L",1,IF($C741="1/2L",0.5,0)),0)</f>
        <v>0</v>
      </c>
      <c r="DB741" s="209">
        <f>IF(DB$3=$K741,IF($C741="W",1,IF($C741="1/2W",0.5,0)),0)</f>
        <v>0</v>
      </c>
      <c r="DC741" s="209">
        <f>IF(DB$3=$K741,IF($C741="L",1,IF($C741="1/2L",0.5,0)),0)</f>
        <v>0</v>
      </c>
      <c r="DD741" s="209">
        <f>IF(DD$3=$K741,IF($C741="W",1,IF($C741="1/2W",0.5,0)),0)</f>
        <v>0</v>
      </c>
      <c r="DE741" s="210">
        <f>IF(DD$3=$K741,IF($C741="L",1,IF($C741="1/2L",0.5,0)),0)</f>
        <v>0</v>
      </c>
      <c r="DF741" s="211">
        <f>IF(AND(L741&lt;DF$3,$C741="W"),1+DF740,DF740)</f>
        <v>22</v>
      </c>
      <c r="DG741" s="198">
        <f>IF(DF741&gt;DF740,L741+DG740,DG740)</f>
        <v>29.404</v>
      </c>
      <c r="DH741" s="209">
        <f>IF(AND(L741&gt;DH$3,$C741="W"),1+DH740,0+DH740)</f>
        <v>18</v>
      </c>
      <c r="DI741" s="198">
        <f>IF(DH741&gt;DH740,L741+DI740,DI740)</f>
        <v>93.66</v>
      </c>
      <c r="DJ741" t="s" s="306">
        <f>IF($D739="","",$D739)</f>
        <v>481</v>
      </c>
      <c r="DK741" s="232"/>
    </row>
    <row r="742" ht="14.55" customHeight="1">
      <c r="A742" s="246">
        <f>$A739+1</f>
        <v>247</v>
      </c>
      <c r="B742" t="s" s="247">
        <f>IF(AND(_xlfn.XLOOKUP(H742,H$107:H521,G$107:G521,0)=G742,_xlfn.XLOOKUP("TempoBet",K742:K744,L742:L744,0)&gt;0),"X",IF(OR(C742="W",C743="W",C744="W",C742="1/2W",C743="1/2W",C744="1/2W",C742="1/2L",C743="1/2L",C744="1/2L"),"OK",IF(OR(C742="L",C743="L",C744="L"),"LOSS",IF(OR(C742="X",C743="X",C744="X"),"Anulado"," "))))</f>
        <v>24</v>
      </c>
      <c r="C742" t="s" s="248">
        <v>114</v>
      </c>
      <c r="D742" t="s" s="303">
        <f>IF(G742="","",$D739)</f>
        <v>481</v>
      </c>
      <c r="E742" t="s" s="250">
        <v>160</v>
      </c>
      <c r="F742" t="s" s="251">
        <f>IF(G742="","",IF(OR(AND($C742&lt;&gt;" ",$C743=" "),AND($C743&lt;&gt;" ",$C742=" "),AND(L744&gt;0,OR(AND($C744&lt;&gt;" ",OR($C742=" ",$C743=" ")),AND($C744=" ",OR($C742&lt;&gt;" ",$C743&lt;&gt;" "))))),IF(SUM(F$4:F741)=0,1,LARGE(F$4:F741,1)+1),IF(MONTH(G742)=MONTH(TODAY()),IF(AND(DAY(G742)&lt;DAY(TODAY()),$B742=" "),IF(SUM(F$4:F741)=0,1,LARGE(F$4:F741,1)+1),IF($B742=" ",IF(AND(DAY(G742)=DAY(TODAY()),HOUR(G742)&lt;=HOUR(NOW())+1),IF(AND(HOUR(G742)+2&lt;=HOUR(NOW()),DAY(G742)&lt;=DAY(TODAY()),MINUTE(G742)&lt;=MINUTE(NOW())),IF(SUM(F$4:F741)=0,1,LARGE(F$4:F741,1)+1),IF(OR(MINUTE(G742)&lt;=MINUTE(NOW()),HOUR(G742)&lt;=HOUR(NOW())),"!!!","")),""),"")),"")))</f>
      </c>
      <c r="G742" s="252">
        <v>44962.333333333336</v>
      </c>
      <c r="H742" t="s" s="253">
        <v>514</v>
      </c>
      <c r="I742" t="s" s="254">
        <v>62</v>
      </c>
      <c r="J742" s="293"/>
      <c r="K742" t="s" s="256">
        <v>37</v>
      </c>
      <c r="L742" s="257">
        <v>3.5</v>
      </c>
      <c r="M742" s="258"/>
      <c r="N742" s="259">
        <v>0.1</v>
      </c>
      <c r="O742" s="260">
        <f>IF(OR(AE742="",AE743=""),"",ROUND(IF(L744&gt;0,IF(M742&gt;0,M742,IF(M743&gt;0,ROUND((M743*AE742)/AE743,IF(N742=0,2,IF(N742=0.1,1,0))),ROUND((M744*AE742)/AE744,IF(N742=0,2,IF(N742=0.1,1,0))))),IF(M742&gt;0,M742,ROUND((M743*AE742)/AE743,IF(N742=0,2,IF(N742=0.1,1,0))))),2))</f>
        <v>11</v>
      </c>
      <c r="P742" s="261">
        <f>IF(OR(L742="",O742=""),"",IF($C742="1/2W",O742/2+O742/2*L742,IF($C742="1/2L",O742/2,IF(I742="Lay",(O742*(L742/(L742-1))-O742)*(1-_xlfn.XLOOKUP(K742,'Janeiro 2023 - Valor Real'!A3:A15,'Janeiro 2023 - Valor Real'!C3:C15,0))+O742,(O742*L742-O742)*(1-_xlfn.XLOOKUP(K742,'Janeiro 2023 - Valor Real'!A3:A15,'Janeiro 2023 - Valor Real'!C3:C15,0))+O742))))</f>
        <v>38.5</v>
      </c>
      <c r="Q742" s="262">
        <f>IF(K742="","",IF(_xlfn.XLOOKUP(K742,K$107:K521,DJ$107:DJ521,0,,-1)=DJ742,_xlfn.XLOOKUP(K742,K$107:K521,Q$107:Q521,1,,-1)+1,1))</f>
        <v>1</v>
      </c>
      <c r="R742" s="263">
        <f>IF(K742="","",_xlfn.XLOOKUP(K742,K$107:K521,R$107:R521,0,,-1)+IF($C742=" ",1,0))</f>
        <v>0</v>
      </c>
      <c r="S742" s="264">
        <f>IF($B742="Anulado",0,ROUND(IF(OR($B742="LOSS",$B742="OK"),IF(OR($C742="W",$C742="1/2W",$C742="1/2L"),P742-O742,IF($C742="L",-O742,0))+IF(OR($C743="W",$C743="1/2W",$C743="1/2L"),P743-O743,IF($C743="L",-O743,0))+IF(OR($C744="W",$C744="1/2W",$C744="1/2L"),P744-O744,IF($C744="L",-O744,0)),IF(AND(OR($C742="W",$C742="1/2W",$C742="1/2L"),C743="W"),P742+P743-SUM(O742:O744)+_xlfn.XLOOKUP("X",C742:C744,O742:O744,0),IF(AND(C742=TRUE,C744="W"),P742+P744-SUM(O742:O744),IF(AND(C743="W",C744="W"),P743+P744-SUM(O742:O744)+_xlfn.XLOOKUP("X",C742:C744,O742:O744,0),IF(L744&gt;0,IF(OR($C742="W",$C742="1/2W",$C742="1/2L"),P742-SUM(O742:O744)+_xlfn.XLOOKUP("X",C742:C744,O742:O744,0),IF(OR($C742="W",$C742="1/2W",$C742="1/2L"),P743-SUM(O742:O744)+_xlfn.XLOOKUP("X",C742:C744,O742:O744,0),IF(OR($C742="W",$C742="1/2W",$C742="1/2L"),P744-SUM(O742:O744)+_xlfn.XLOOKUP("X",C742:C744,O742:O744,0),IF(SUM(P742:P744)/3-SUM(O742:O744)+_xlfn.XLOOKUP("X",C742:C744,O742:O744,0)&gt;0,SUM(P742:P744)/3-SUM(O742:O744)+_xlfn.XLOOKUP("X",C742:C744,O742:O744,0),LARGE(P742:P744,1)-SUM(O742:O744))))),IF(OR($C742="W",$C742="1/2W",$C742="1/2L"),P742-SUM(O742:O743)+_xlfn.XLOOKUP("X",C742:C744,O742:O744,0),IF(OR($C742="W",$C742="1/2W",$C742="1/2L"),P743-SUM(O742:O743)+_xlfn.XLOOKUP("X",C742:C744,O742:O744,0),SUM(P742:P743)/2-SUM(O742:O743)+_xlfn.XLOOKUP("X",C742:C744,O742:O744,0)))))))),2))</f>
        <v>0</v>
      </c>
      <c r="T742" s="265">
        <f>IF(S742=0,0,S742/SUM(O742:O744))</f>
        <v>0</v>
      </c>
      <c r="U742" s="266">
        <f>IF($D742=$D739,IF(OR($B742="LOSS",$B742="OK",$B742="Anulada"),S742,0)+U739,IF(OR($B742="LOSS",$B742="OK",$B742="Anulada"),S742,0))</f>
        <v>29</v>
      </c>
      <c r="V742" s="266">
        <f>IF($D742="",0,IF($D742=$D739,IF($B742=" ",IF(I744="",IF(OR(AND(I742="DNB1",I743="DNB2"),AND(OR(I742="DNB1",I742="DNB2"),J743=0),AND(OR(I743="DNB1",I743="DNB2"),J742=0),AND(I742="DNB2",I743="DNB1"),AND(IF(J742=0,(J742+1)/ROUND(J742+1,0),J742/ROUND(J742,0))=1,IF(J743=0,(J743+1)/ROUND(IF(J743="",0,J743)+1,0),IF(J743="",0,J743)/ROUND(IF(J743="",1,J743),0))=1,OR(J742&lt;&gt;""),J743&lt;&gt;"")),0,IF(S742&lt;0,IF(I744="",SMALL(P742:P743,1)-SUM(O742:O743),0),SMALL(P742:P743,1)-SUM(O742:O743))),IF(S742&lt;0,IF(I744="",SMALL(P742:P744,1)-SUM(O742:O744),0),LARGE(P742:P744,1)-SUM(O742:O744))),S742)+V739,IF(I744="",IF(OR(AND(I742="DNB1",I743="DNB2"),AND(OR(I742="DNB1",I742="DNB2"),J743=0),AND(OR(I743="DNB1",I743="DNB2"),J742=0),AND(I742="DNB2",I743="DNB1"),AND(IF(J742=0,(J742+1)/ROUND(J742+1,0),J742/ROUND(J742,0))=1,IF(J743=0,(IF(J743="",0,J743)+1)/ROUND(IF(J743="",0,J743)+1,0),IF(J743="",0,J743)/ROUND(IF(J743="",0,J743)+1,0))=1,OR(J742&lt;&gt;""),J743&lt;&gt;"")),0,IF(S742&lt;0,IF(I744="",SMALL(P742:P743,1)-SUM(O742:O743),0),SMALL(P742:P744,1)-SUM(O742:O744))),IF(S742&lt;0,IF(I744="",SMALL(P742:P744,1)-SUM(O742:O744),0),LARGE(P742:P744,1)-SUM(O742:O744)))))</f>
        <v>28.9976</v>
      </c>
      <c r="W742" s="266">
        <f>IF($D742=$D739,IF(S742&lt;0,IF(I744="",S742,0),S742)+W739,S742)</f>
        <v>29</v>
      </c>
      <c r="X742" t="s" s="267">
        <f>IF(OR(SUM(R742:R744)=0,V742=W742),ROUND(IF(W742=0,0,W742/Y742)*100,2)&amp;"%",ROUND(IF(V742=0,0,V742/Y742)*100,2)&amp;"% a "&amp;ROUND(IF(W742=0,0,W742/Y742)*100,2)&amp;"%")</f>
        <v>515</v>
      </c>
      <c r="Y742" s="268">
        <f>IF($D742=$D739,Y739+SUM(O742:O744),SUM(O742:O744))</f>
        <v>566.27</v>
      </c>
      <c r="Z742" s="266">
        <f>IF($B742=" ",SUM(O742:O744),0)+Z739</f>
        <v>0</v>
      </c>
      <c r="AA742" s="266">
        <f>IF(G742="","",IF($B742="Anulado",LARGE(P742:P744,1)-SUM(O742:O744)+AA739,AA739))</f>
        <v>29.9145076923077</v>
      </c>
      <c r="AB742" s="266">
        <f>IF($D742="","",AB739+S742)</f>
        <v>500.18</v>
      </c>
      <c r="AC742" s="269">
        <f>IF($D742="","",IF($B742=" ",IF(DAY(G742)=DAY(TODAY()),1+AC739,0+AC739),0+AC739))</f>
        <v>0</v>
      </c>
      <c r="AD742" s="270">
        <f>(1-_xlfn.XLOOKUP(K740,'Janeiro 2023 - Valor Real'!A3:A15,'Janeiro 2023 - Valor Real'!C3:C15,0))+1</f>
        <v>2</v>
      </c>
      <c r="AE742" s="271">
        <f>IF(L742="","",IF(L744&gt;0,(SUM(((L742-1)*(1-_xlfn.XLOOKUP(K742,'Janeiro 2023 - Valor Real'!A3:A15,'Janeiro 2023 - Valor Real'!C3:C15,0))+1),((L743-1)*(1-_xlfn.XLOOKUP(K743,'Janeiro 2023 - Valor Real'!A3:A15,'Janeiro 2023 - Valor Real'!C3:C15,0))+1),((L744-1)*(1-_xlfn.XLOOKUP(K744,'Janeiro 2023 - Valor Real'!A3:A15,'Janeiro 2023 - Valor Real'!C3:C15,0))+1))/((L742-1)*(1-_xlfn.XLOOKUP(K742,'Janeiro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Real'!C3:C15,0))+1))/((L742-1)*(1-_xlfn.XLOOKUP(K742,'Janeiro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Real'!C3:C15,0))+1))/((L743-1)*(1-_xlfn.XLOOKUP(K743,'Janeiro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Real'!C3:C15,0))+1))/((L744-1)*(1-_xlfn.XLOOKUP(K744,'Janeiro 2023 - Valor Real'!A3:A15,'Janeiro 2023 - Valor Real'!C3:C15,0))+1)),IF(I742="Lay",IF(I743="Lay",((L743/(L743-1)-1)*(1-_xlfn.XLOOKUP(K743,'Janeiro 2023 - Valor Real'!A3:A15,'Janeiro 2023 - Valor Real'!C3:C15,0))+1)/(((L743/(L743-1)-1)*(1-_xlfn.XLOOKUP(K743,'Janeiro 2023 - Valor Real'!A3:A15,'Janeiro 2023 - Valor Real'!C3:C15,0))+1)+((L742/(L742-1)-1)*(1-_xlfn.XLOOKUP(K742,'Janeiro 2023 - Valor Real'!A3:A15,'Janeiro 2023 - Valor Real'!C3:C15,0))+1)),((L743-1)*(1-_xlfn.XLOOKUP(K743,'Janeiro 2023 - Valor Real'!A3:A15,'Janeiro 2023 - Valor Real'!C3:C15,0))+1)/(((L743-1)*(1-_xlfn.XLOOKUP(K743,'Janeiro 2023 - Valor Real'!A3:A15,'Janeiro 2023 - Valor Real'!C3:C15,0))+1)+((L742/(L742-1)-1)*(1-_xlfn.XLOOKUP(K742,'Janeiro 2023 - Valor Real'!A3:A15,'Janeiro 2023 - Valor Real'!C3:C15,0))+1))),IF(I743="Lay",(((L743/(L743-1)-1)*(1-_xlfn.XLOOKUP(K743,'Janeiro 2023 - Valor Real'!A3:A15,'Janeiro 2023 - Valor Real'!C3:C15,0))+1))/(((L742-1)*(1-_xlfn.XLOOKUP(K742,'Janeiro 2023 - Valor Real'!A3:A15,'Janeiro 2023 - Valor Real'!C3:C15,0))+1)+((L743/(L743-1)-1)*(1-_xlfn.XLOOKUP(K743,'Janeiro 2023 - Valor Real'!A3:A15,'Janeiro 2023 - Valor Real'!C3:C15,0))+1)),((L743-1)*(1-_xlfn.XLOOKUP(K743,'Janeiro 2023 - Valor Real'!A3:A15,'Janeiro 2023 - Valor Real'!C3:C15,0))+1)/(((L743-1)*(1-_xlfn.XLOOKUP(K743,'Janeiro 2023 - Valor Real'!A3:A15,'Janeiro 2023 - Valor Real'!C3:C15,0))+1)+((L742-1)*(1-_xlfn.XLOOKUP(K742,'Janeiro 2023 - Valor Real'!A3:A15,'Janeiro 2023 - Valor Real'!C3:C15,0))+1))))))</f>
        <v>0.302788844621514</v>
      </c>
      <c r="AF742" s="132">
        <f>IF($K742=AF$3,ROUND(IF(OR($C742="W",$C742="1/2W",$C742="1/2L"),$P742-$O742,IF($C742="X",0,-$O742)),2),0)</f>
        <v>0</v>
      </c>
      <c r="AG742" s="133">
        <f>IF($K742=AG$3,ROUND(IF(OR($C742="W",$C742="1/2W",$C742="1/2L"),$P742-$O742,IF($C742="X",0,-$O742)),2),0)</f>
        <v>0</v>
      </c>
      <c r="AH742" s="133">
        <f>IF($K742=AH$3,ROUND(IF(OR($C742="W",$C742="1/2W",$C742="1/2L"),$P742-$O742,IF($C742="X",0,-$O742)),2),0)</f>
        <v>0</v>
      </c>
      <c r="AI742" s="133">
        <f>IF($K742=AI$3,ROUND(IF(OR($C742="W",$C742="1/2W",$C742="1/2L"),$P742-$O742,IF($C742="X",0,-$O742)),2),0)</f>
        <v>0</v>
      </c>
      <c r="AJ742" s="133">
        <f>IF($K742=AJ$3,ROUND(IF(OR($C742="W",$C742="1/2W",$C742="1/2L"),$P742-$O742,IF($C742="X",0,-$O742)),2),0)</f>
        <v>0</v>
      </c>
      <c r="AK742" s="133">
        <f>IF($K742=AK$3,ROUND(IF(OR($C742="W",$C742="1/2W",$C742="1/2L"),$P742-$O742,IF($C742="X",0,-$O742)),2),0)</f>
        <v>0</v>
      </c>
      <c r="AL742" s="133">
        <f>IF($K742=AL$3,ROUND(IF(OR($C742="W",$C742="1/2W",$C742="1/2L"),$P742-$O742,IF($C742="X",0,-$O742)),2),0)</f>
        <v>0</v>
      </c>
      <c r="AM742" s="133">
        <f>IF($K742=AM$3,ROUND(IF(OR($C742="W",$C742="1/2W",$C742="1/2L"),$P742-$O742,IF($C742="X",0,-$O742)),2),0)</f>
        <v>0</v>
      </c>
      <c r="AN742" s="133">
        <f>IF($K742=AN$3,ROUND(IF(OR($C742="W",$C742="1/2W",$C742="1/2L"),$P742-$O742,IF($C742="X",0,-$O742)),2),0)</f>
        <v>0</v>
      </c>
      <c r="AO742" s="133">
        <f>IF($K742=AO$3,ROUND(IF(OR($C742="W",$C742="1/2W",$C742="1/2L"),$P742-$O742,IF($C742="X",0,-$O742)),2),0)</f>
        <v>0</v>
      </c>
      <c r="AP742" s="133">
        <f>IF($K742=AP$3,ROUND(IF(OR($C742="W",$C742="1/2W",$C742="1/2L"),$P742-$O742,IF($C742="X",0,-$O742)),2),0)</f>
        <v>0</v>
      </c>
      <c r="AQ742" s="133">
        <f>IF($K742=AQ$3,ROUND(IF(OR($C742="W",$C742="1/2W",$C742="1/2L"),$P742-$O742,IF($C742="X",0,-$O742)),2),0)</f>
        <v>0</v>
      </c>
      <c r="AR742" s="134">
        <f>IF($K742=AR$3,ROUND(IF(OR($C742="W",$C742="1/2W",$C742="1/2L"),$P742-$O742,IF($C742="X",0,-$O742)),2),0)</f>
        <v>0</v>
      </c>
      <c r="AS742" s="132">
        <f>IF(AND($B742=" ",$K742=AS$3),$O742,0)</f>
        <v>0</v>
      </c>
      <c r="AT742" s="133">
        <f>IF(AND($B742=" ",$K742=AT$3),$O742,0)</f>
        <v>0</v>
      </c>
      <c r="AU742" s="133">
        <f>IF(AND($B742=" ",$K742=AU$3),$O742,0)</f>
        <v>0</v>
      </c>
      <c r="AV742" s="133">
        <f>IF(AND($B742=" ",$K742=AV$3),$O742,0)</f>
        <v>0</v>
      </c>
      <c r="AW742" s="133">
        <f>IF(AND($B742=" ",$K742=AW$3),$O742,0)</f>
        <v>0</v>
      </c>
      <c r="AX742" s="133">
        <f>IF(AND($B742=" ",$K742=AX$3),$O742,0)</f>
        <v>0</v>
      </c>
      <c r="AY742" s="135">
        <f>IF(AND($B742=" ",$K742=AY$3),$O742,0)</f>
        <v>0</v>
      </c>
      <c r="AZ742" s="136">
        <f>IF(AND($B742=" ",$K742=AZ$3),$O742,0)</f>
        <v>0</v>
      </c>
      <c r="BA742" s="136">
        <f>IF(AND($B742=" ",$K742=BA$3),$O742,0)</f>
        <v>0</v>
      </c>
      <c r="BB742" s="136">
        <f>IF(AND($B742=" ",$K742=BB$3),$O742,0)</f>
        <v>0</v>
      </c>
      <c r="BC742" s="137">
        <f>IF(AND($B742=" ",$K742=BC$3),$O742,0)</f>
        <v>0</v>
      </c>
      <c r="BD742" s="133">
        <f>IF(AND($B742=" ",$K742=BD$3),$O742,0)</f>
        <v>0</v>
      </c>
      <c r="BE742" s="134">
        <f>IF(AND($B742=" ",$K742=BE$3),$O742,0)</f>
        <v>0</v>
      </c>
      <c r="BF742" s="132">
        <f>IF($K742=BF$3,IF($C742="X",0,$O742),0)</f>
        <v>0</v>
      </c>
      <c r="BG742" s="133">
        <f>IF($K742=BG$3,IF($C742="X",0,$O742),0)</f>
        <v>0</v>
      </c>
      <c r="BH742" s="133">
        <f>IF($K742=BH$3,IF($C742="X",0,$O742),0)</f>
        <v>0</v>
      </c>
      <c r="BI742" s="133">
        <f>IF($K742=BI$3,IF($C742="X",0,$O742),0)</f>
        <v>0</v>
      </c>
      <c r="BJ742" s="133">
        <f>IF($K742=BJ$3,IF($C742="X",0,$O742),0)</f>
        <v>0</v>
      </c>
      <c r="BK742" s="133">
        <f>IF($K742=BK$3,IF($C742="X",0,$O742),0)</f>
        <v>0</v>
      </c>
      <c r="BL742" s="133">
        <f>IF($K742=BL$3,IF($C742="X",0,$O742),0)</f>
        <v>0</v>
      </c>
      <c r="BM742" s="135">
        <f>IF($K742=BM$3,IF($C742="X",0,$O742),0)</f>
        <v>0</v>
      </c>
      <c r="BN742" s="136">
        <f>IF($K742=BN$3,IF($C742="X",0,$O742),0)</f>
        <v>0</v>
      </c>
      <c r="BO742" s="136">
        <f>IF($K742=BO$3,IF($C742="X",0,$O742),0)</f>
        <v>0</v>
      </c>
      <c r="BP742" s="136">
        <f>IF($K742=BP$3,IF($C742="X",0,$O742),0)</f>
        <v>0</v>
      </c>
      <c r="BQ742" s="137">
        <f>IF($K742=BQ$3,IF($C742="X",0,$O742),0)</f>
        <v>0</v>
      </c>
      <c r="BR742" s="134">
        <f>IF($K742=BR$3,IF($C742="X",0,$O742),0)</f>
        <v>0</v>
      </c>
      <c r="BS742" s="170">
        <f>IF($B742="LOSS",IF(AND($K742=BS$3,$C742="L"),-$O742,0)+IF(AND($K743=BS$3,$C743="L"),-$O743,0)+IF(AND($K744=BS$3,$C744="L"),-$O744,0),IF(OR(AND($K742=BS$3,OR($C742="W",$C742="1/2W")),AND($K743=BS$3,OR($C743="W",$C743="1/2W")),AND($K744=BS$3,OR($C744="W",$C744="1/2W"))),$S742,0))</f>
        <v>0</v>
      </c>
      <c r="BT742" s="272">
        <f>IF($B742="LOSS",IF(AND($K742=BT$3,$C742="L"),-$O742,0)+IF(AND($K743=BT$3,$C743="L"),-$O743,0)+IF(AND($K743=BT$3,$C744="L"),-$O744,0),IF(OR(AND($K743=BT$3,OR($C742="W",$C742="1/2W")),AND($K743=BT$3,OR($C743="W",$C743="1/2W")),AND($K743=BT$3,OR($C744="W",$C744="1/2W"))),$S742,0))</f>
        <v>0</v>
      </c>
      <c r="BU742" s="136">
        <f>IF($B742="LOSS",IF(AND($K742=BU$3,$C742="L"),-$O742,0)+IF(AND($K743=BU$3,$C743="L"),-$O743,0)+IF(AND($K743=BU$3,$C744="L"),-$O744,0),IF(OR(AND($K743=BU$3,OR($C742="W",$C742="1/2W")),AND($K743=BU$3,OR($C743="W",$C743="1/2W")),AND($K743=BU$3,OR($C744="W",$C744="1/2W"))),$S742,0))</f>
        <v>0</v>
      </c>
      <c r="BV742" s="136">
        <f>IF($B742="LOSS",IF(AND($K742=BV$3,$C742="L"),-$O742,0)+IF(AND($K743=BV$3,$C743="L"),-$O743,0)+IF(AND($K744=BV$3,$C744="L"),-$O744,0),IF(OR(AND($K742=BV$3,OR($C742="W",$C742="1/2W")),AND($K743=BV$3,OR($C743="W",$C743="1/2W")),AND($K744=BV$3,OR($C744="W",$C744="1/2W"))),$S742,0))</f>
        <v>0</v>
      </c>
      <c r="BW742" s="136">
        <f>IF($B742="LOSS",IF(AND($K742=BW$3,$C742="L"),-$O742,0)+IF(AND($K743=BW$3,$C743="L"),-$O743,0)+IF(AND($K744=BW$3,$C744="L"),-$O744,0),IF(OR(AND($K742=BW$3,OR($C742="W",$C742="1/2W")),AND($K743=BW$3,OR($C743="W",$C743="1/2W")),AND($K744=BW$3,OR($C744="W",$C744="1/2W"))),$S742,0))</f>
        <v>0</v>
      </c>
      <c r="BX742" s="136">
        <f>IF($B742="LOSS",IF(AND($K742=BX$3,$C742="L"),-$O742,0)+IF(AND($K743=BX$3,$C743="L"),-$O743,0)+IF(AND($K744=BX$3,$C744="L"),-$O744,0),IF(OR(AND($K742=BX$3,OR($C742="W",$C742="1/2W")),AND($K743=BX$3,OR($C743="W",$C743="1/2W")),AND($K744=BX$3,OR($C744="W",$C744="1/2W"))),$S742,0))</f>
        <v>0</v>
      </c>
      <c r="BY742" s="136">
        <f>IF($B742="LOSS",IF(AND($K742=BY$3,$C742="L"),-$O742,0)+IF(AND($K743=BY$3,$C743="L"),-$O743,0)+IF(AND($K744=BY$3,$C744="L"),-$O744,0),IF(OR(AND($K742=BY$3,OR($C742="W",$C742="1/2W")),AND($K743=BY$3,OR($C743="W",$C743="1/2W")),AND($K744=BY$3,OR($C744="W",$C744="1/2W"))),$S742,0))</f>
        <v>0</v>
      </c>
      <c r="BZ742" s="136">
        <f>IF($B742="LOSS",IF(AND($K742=BZ$3,$C742="L"),-$O742,0)+IF(AND($K743=BZ$3,$C743="L"),-$O743,0)+IF(AND($K744=BZ$3,$C744="L"),-$O744,0),IF(OR(AND($K742=BZ$3,OR($C742="W",$C742="1/2W")),AND($K743=BZ$3,OR($C743="W",$C743="1/2W")),AND($K744=BZ$3,OR($C744="W",$C744="1/2W"))),$S742,0))</f>
        <v>0</v>
      </c>
      <c r="CA742" s="136">
        <f>IF($B742="LOSS",IF(AND($K742=CA$3,$C742="L"),-$O742,0)+IF(AND($K743=CA$3,$C743="L"),-$O743,0)+IF(AND($K744=CA$3,$C744="L"),-$O744,0),IF(OR(AND($K742=CA$3,OR($C742="W",$C742="1/2W")),AND($K743=CA$3,OR($C743="W",$C743="1/2W")),AND($K744=CA$3,OR($C744="W",$C744="1/2W"))),$S742,0))</f>
        <v>0</v>
      </c>
      <c r="CB742" s="136">
        <f>IF($B742="LOSS",IF(AND($K742=CB$3,$C742="L"),-$O742,0)+IF(AND($K743=CB$3,$C743="L"),-$O743,0)+IF(AND($K744=CB$3,$C744="L"),-$O744,0),IF(OR(AND($K742=CB$3,OR($C742="W",$C742="1/2W")),AND($K743=CB$3,OR($C743="W",$C743="1/2W")),AND($K744=CB$3,OR($C744="W",$C744="1/2W"))),$S742,0))</f>
        <v>0</v>
      </c>
      <c r="CC742" s="136">
        <f>IF($B742="LOSS",IF(AND($K742=CC$3,$C742="L"),-$O742,0)+IF(AND($K743=CC$3,$C743="L"),-$O743,0)+IF(AND($K744=CC$3,$C744="L"),-$O744,0),IF(OR(AND($K742=CC$3,OR($C742="W",$C742="1/2W")),AND($K743=CC$3,OR($C743="W",$C743="1/2W")),AND($K744=CC$3,OR($C744="W",$C744="1/2W"))),$S742,0))</f>
        <v>0</v>
      </c>
      <c r="CD742" s="137">
        <f>IF($B742="LOSS",IF(AND($K742=CD$3,$C742="L"),-$O742,0)+IF(AND($K743=CD$3,$C743="L"),-$O743,0)+IF(AND($K744=CD$3,$C744="L"),-$O744,0),IF(OR(AND($K742=CD$3,OR($C742="W",$C742="1/2W")),AND($K743=CD$3,OR($C743="W",$C743="1/2W")),AND($K744=CD$3,OR($C744="W",$C744="1/2W"))),$S742,0))</f>
        <v>0</v>
      </c>
      <c r="CE742" s="134">
        <f>IF($B742="LOSS",IF(AND($K742=CE$3,$C742="L"),-$O742,0)+IF(AND($K743=CE$3,$C743="L"),-$O743,0)+IF(AND($K744=CE$3,$C744="L"),-$O744,0),IF(OR(AND($K742=CE$3,OR($C742="W",$C742="1/2W")),AND($K743=CE$3,OR($C743="W",$C743="1/2W")),AND($K744=CE$3,OR($C744="W",$C744="1/2W"))),$S742,0))</f>
        <v>0</v>
      </c>
      <c r="CF742" s="273">
        <f>IF(CF$3=$K742,IF($C742="W",1,IF($C742="1/2W",0.5,0)),0)</f>
        <v>0</v>
      </c>
      <c r="CG742" s="274">
        <f>IF(CF$3=$K742,IF($C742="L",1,IF($C742="1/2L",0.5,0)),0)</f>
        <v>0</v>
      </c>
      <c r="CH742" s="274">
        <f>IF(CH$3=$K742,IF($C742="W",1,IF($C742="1/2W",0.5,0)),0)</f>
        <v>0</v>
      </c>
      <c r="CI742" s="274">
        <f>IF(CH$3=$K742,IF($C742="L",1,IF($C742="1/2L",0.5,0)),0)</f>
        <v>0</v>
      </c>
      <c r="CJ742" s="274">
        <f>IF(CJ$3=$K742,IF($C742="W",1,IF($C742="1/2W",0.5,0)),0)</f>
        <v>0</v>
      </c>
      <c r="CK742" s="274">
        <f>IF(CJ$3=$K742,IF($C742="L",1,IF($C742="1/2L",0.5,0)),0)</f>
        <v>0</v>
      </c>
      <c r="CL742" s="274">
        <f>IF(CL$3=$K742,IF($C742="W",1,IF($C742="1/2W",0.5,0)),0)</f>
        <v>0</v>
      </c>
      <c r="CM742" s="274">
        <f>IF(CL$3=$K742,IF($C742="L",1,IF($C742="1/2L",0.5,0)),0)</f>
        <v>0</v>
      </c>
      <c r="CN742" s="274">
        <f>IF(CN$3=$K742,IF($C742="W",1,IF($C742="1/2W",0.5,0)),0)</f>
        <v>0</v>
      </c>
      <c r="CO742" s="274">
        <f>IF(CN$3=$K742,IF($C742="L",1,IF($C742="1/2L",0.5,0)),0)</f>
        <v>0</v>
      </c>
      <c r="CP742" s="274">
        <f>IF(CP$3=$K742,IF($C742="W",1,IF($C742="1/2W",0.5,0)),0)</f>
        <v>0</v>
      </c>
      <c r="CQ742" s="274">
        <f>IF(CP$3=$K742,IF($C742="L",1,IF($C742="1/2L",0.5,0)),0)</f>
        <v>0</v>
      </c>
      <c r="CR742" s="274">
        <f>IF(CR$3=$K742,IF($C742="W",1,IF($C742="1/2W",0.5,0)),0)</f>
        <v>0</v>
      </c>
      <c r="CS742" s="274">
        <f>IF(CR$3=$K742,IF($C742="L",1,IF($C742="1/2L",0.5,0)),0)</f>
        <v>0</v>
      </c>
      <c r="CT742" s="145">
        <f>IF(CT$3=$K742,IF($C742="W",1,IF($C742="1/2W",0.5,0)),0)</f>
        <v>0</v>
      </c>
      <c r="CU742" s="146">
        <f>IF(CT$3=$K742,IF($C742="L",1,IF($C742="1/2L",0.5,0)),0)</f>
        <v>0</v>
      </c>
      <c r="CV742" s="146">
        <f>IF(CV$3=$K742,IF($C742="W",1,IF($C742="1/2W",0.5,0)),0)</f>
        <v>0</v>
      </c>
      <c r="CW742" s="146">
        <f>IF(CV$3=$K742,IF($C742="L",1,IF($C742="1/2L",0.5,0)),0)</f>
        <v>0</v>
      </c>
      <c r="CX742" s="146">
        <f>IF(CX$3=$K742,IF($C742="W",1,IF($C742="1/2W",0.5,0)),0)</f>
        <v>0</v>
      </c>
      <c r="CY742" s="146">
        <f>IF(CX$3=$K742,IF($C742="L",1,IF($C742="1/2L",0.5,0)),0)</f>
        <v>0</v>
      </c>
      <c r="CZ742" s="146">
        <f>IF(CZ$3=$K742,IF($C742="W",1,IF($C742="1/2W",0.5,0)),0)</f>
        <v>0</v>
      </c>
      <c r="DA742" s="146">
        <f>IF(CZ$3=$K742,IF($C742="L",1,IF($C742="1/2L",0.5,0)),0)</f>
        <v>0</v>
      </c>
      <c r="DB742" s="146">
        <f>IF(DB$3=$K742,IF($C742="W",1,IF($C742="1/2W",0.5,0)),0)</f>
        <v>0</v>
      </c>
      <c r="DC742" s="146">
        <f>IF(DB$3=$K742,IF($C742="L",1,IF($C742="1/2L",0.5,0)),0)</f>
        <v>0</v>
      </c>
      <c r="DD742" s="146">
        <f>IF(DD$3=$K742,IF($C742="W",1,IF($C742="1/2W",0.5,0)),0)</f>
        <v>0</v>
      </c>
      <c r="DE742" s="147">
        <f>IF(DD$3=$K742,IF($C742="L",1,IF($C742="1/2L",0.5,0)),0)</f>
        <v>0</v>
      </c>
      <c r="DF742" s="143">
        <f>IF(AND(L742&lt;DF$3,$C742="W"),1+DF741,DF741)</f>
        <v>22</v>
      </c>
      <c r="DG742" s="133">
        <f>IF(DF742&gt;DF741,L742+DG741,DG741)</f>
        <v>29.404</v>
      </c>
      <c r="DH742" s="146">
        <f>IF(AND(L742&gt;DH$3,$C742="W"),1+DH741,0+DH741)</f>
        <v>18</v>
      </c>
      <c r="DI742" s="133">
        <f>IF(DH742&gt;DH741,L742+DI741,DI741)</f>
        <v>93.66</v>
      </c>
      <c r="DJ742" t="s" s="304">
        <f>IF($D742="","",$D742)</f>
        <v>481</v>
      </c>
      <c r="DK742" s="146">
        <f>IF(AND($B742=" ",$D742&lt;&gt;""),1,0)</f>
        <v>0</v>
      </c>
    </row>
    <row r="743" ht="14.55" customHeight="1">
      <c r="A743" s="107"/>
      <c r="B743" s="108"/>
      <c r="C743" t="s" s="109">
        <v>114</v>
      </c>
      <c r="D743" s="110"/>
      <c r="E743" s="111"/>
      <c r="F743" s="113"/>
      <c r="G743" s="252"/>
      <c r="H743" s="114"/>
      <c r="I743" t="s" s="275">
        <v>54</v>
      </c>
      <c r="J743" s="276">
        <f>IF(OR(I742="TO",I742="TU",I742="TO1",I742="TU1",I742="TO2",I742="TU2"),J742,IF(OR(I742="AH1",I742="AH2"),IF(OR(I743="AH1",I743="AH2"),-J742,IF(OR(I743="EH1",I743="EH2"),-J742+0.5,"")),IF(OR(I742="EH1",I742="EH2"),IF(OR(I743="AH1",I743="AH2"),-J742+0.5,IF(OR(I743="EH1",I743="EH2"),-J742+1,"")),IF(AND(OR(I742="DNB1",I742="DNB2"),OR(I743="AH1",I743="AH2")),0,IF(AND(I742="Not ScoreBoth",OR(I743="TO1",I743="TO2")),0.5,"")))))</f>
        <v>0</v>
      </c>
      <c r="K743" t="s" s="117">
        <v>48</v>
      </c>
      <c r="L743" s="277">
        <v>1.52</v>
      </c>
      <c r="M743" s="278">
        <v>25.4</v>
      </c>
      <c r="N743" s="120"/>
      <c r="O743" s="121">
        <f>IF(OR(AE742="",AE743=""),"",ROUND(IF(L744&gt;0,IF(M743&gt;0,M743,IF(M742&gt;0,IF(N742=TRUE,ROUND((M742*AE743)/AE742,0),(M742*AE743)/AE742),IF(M743&gt;0,ROUND(M743,IF(N742=0,2,IF(N742=0.1,1,0))),IF(M744&gt;0,ROUND(O744*AE743/AE744,IF(N742=0,2,IF(N742=0.1,1,0))),0)))),IF(M743&gt;0,M743,ROUND((M742*AE743)/AE742,IF(N742=0,2,IF(N742=0.1,1,0))))),2))</f>
        <v>25.4</v>
      </c>
      <c r="P743" s="122">
        <f>IF(OR(L743="",O743=""),"",IF($C743="1/2W",O743/2+O743/2*L743,IF($C743="1/2L",O743/2,IF(I743="Lay",((O743*(L743/(L743-1)))-O743)*(1-_xlfn.XLOOKUP(K743,'Janeiro 2023 - Valor Real'!A3:A15,'Janeiro 2023 - Valor Real'!C3:C15,0))+O743,(O743*L743-O743)*(1-_xlfn.XLOOKUP(K743,'Janeiro 2023 - Valor Real'!A3:A15,'Janeiro 2023 - Valor Real'!C3:C15,0))+O743))))</f>
        <v>38.608</v>
      </c>
      <c r="Q743" s="279">
        <f>IF(K743="","",IF(_xlfn.XLOOKUP(K743,K$120:K522,DJ$120:DJ522,0,,-1)=DJ743,_xlfn.XLOOKUP(K743,K$120:K522,Q$120:Q522,1,,-1)+1,1))</f>
        <v>1</v>
      </c>
      <c r="R743" s="280">
        <f>IF(K743="","",_xlfn.XLOOKUP(K743,K$120:K522,R$120:R522,0,,-1)+IF($C743=" ",1,0))</f>
        <v>0</v>
      </c>
      <c r="S743" s="125"/>
      <c r="T743" s="126"/>
      <c r="U743" s="126"/>
      <c r="V743" s="224"/>
      <c r="W743" s="126"/>
      <c r="X743" s="127"/>
      <c r="Y743" s="128"/>
      <c r="Z743" s="129"/>
      <c r="AA743" s="129"/>
      <c r="AB743" s="129"/>
      <c r="AC743" s="129"/>
      <c r="AD743" s="130"/>
      <c r="AE743" s="131">
        <f>IF(L743="","",IF(L744&gt;0,(SUM(((L742-1)*(1-_xlfn.XLOOKUP(K742,'Janeiro 2023 - Valor Real'!A3:A15,'Janeiro 2023 - Valor Real'!C3:C15,0))+1),((L743-1)*(1-_xlfn.XLOOKUP(K743,'Janeiro 2023 - Valor Real'!A3:A15,'Janeiro 2023 - Valor Real'!C3:C15,0))+1),((L744-1)*(1-_xlfn.XLOOKUP(K744,'Janeiro 2023 - Valor Real'!A3:A15,'Janeiro 2023 - Valor Real'!C3:C15,0))+1))/((L743-1)*(1-_xlfn.XLOOKUP(K743,'Janeiro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Real'!C3:C15,0))+1))/((L742-1)*(1-_xlfn.XLOOKUP(K742,'Janeiro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Real'!C3:C15,0))+1))/((L743-1)*(1-_xlfn.XLOOKUP(K743,'Janeiro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Real'!C3:C15,0))+1))/((L744-1)*(1-_xlfn.XLOOKUP(K744,'Janeiro 2023 - Valor Real'!A3:A15,'Janeiro 2023 - Valor Real'!C3:C15,0))+1)),IF(I743="Lay",IF(I742="Lay",((L742/(L742-1)-1)*(1-_xlfn.XLOOKUP(K742,'Janeiro 2023 - Valor Real'!A3:A15,'Janeiro 2023 - Valor Real'!C3:C15,0))+1)/(((L742/(L742-1)-1)*(1-_xlfn.XLOOKUP(K742,'Janeiro 2023 - Valor Real'!A3:A15,'Janeiro 2023 - Valor Real'!C3:C15,0))+1)+((L743/(L743-1)-1)*(1-_xlfn.XLOOKUP(K743,'Janeiro 2023 - Valor Real'!A3:A15,'Janeiro 2023 - Valor Real'!C3:C15,0))+1)),((L742-1)*(1-_xlfn.XLOOKUP(K742,'Janeiro 2023 - Valor Real'!A3:A15,'Janeiro 2023 - Valor Real'!C3:C15,0))+1)/(((L742-1)*(1-_xlfn.XLOOKUP(K742,'Janeiro 2023 - Valor Real'!A3:A15,'Janeiro 2023 - Valor Real'!C3:C15,0))+1)+((L743/(L743-1)-1)*(1-_xlfn.XLOOKUP(K743,'Janeiro 2023 - Valor Real'!A3:A15,'Janeiro 2023 - Valor Real'!C3:C15,0))+1))),IF(I742="Lay",((L742/(L742-1)-1)*(1-_xlfn.XLOOKUP(K742,'Janeiro 2023 - Valor Real'!A3:A15,'Janeiro 2023 - Valor Real'!C3:C15,0))+1)/((((L742/(L742-1)-1)*(1-_xlfn.XLOOKUP(K742,'Janeiro 2023 - Valor Real'!A3:A15,'Janeiro 2023 - Valor Real'!C3:C15,0))+1))+((L743-1)*(1-_xlfn.XLOOKUP(K743,'Janeiro 2023 - Valor Real'!A3:A15,'Janeiro 2023 - Valor Real'!C3:C15,0))+1)),((L742-1)*(1-_xlfn.XLOOKUP(K742,'Janeiro 2023 - Valor Real'!A3:A15,'Janeiro 2023 - Valor Real'!C3:C15,0))+1)/(((L742-1)*(1-_xlfn.XLOOKUP(K742,'Janeiro 2023 - Valor Real'!A3:A15,'Janeiro 2023 - Valor Real'!C3:C15,0))+1)+((L743-1)*(1-_xlfn.XLOOKUP(K743,'Janeiro 2023 - Valor Real'!A3:A15,'Janeiro 2023 - Valor Real'!C3:C15,0))+1))))))</f>
        <v>0.697211155378486</v>
      </c>
      <c r="AF743" s="132">
        <f>IF($K743=AF$3,ROUND(IF(OR($C743="W",$C743="1/2W",$C743="1/2L"),$P743-$O743,IF($C743="X",0,-$O743)),2),0)</f>
        <v>0</v>
      </c>
      <c r="AG743" s="133">
        <f>IF($K743=AG$3,ROUND(IF(OR($C743="W",$C743="1/2W",$C743="1/2L"),$P743-$O743,IF($C743="X",0,-$O743)),2),0)</f>
        <v>0</v>
      </c>
      <c r="AH743" s="133">
        <f>IF($K743=AH$3,ROUND(IF(OR($C743="W",$C743="1/2W",$C743="1/2L"),$P743-$O743,IF($C743="X",0,-$O743)),2),0)</f>
        <v>0</v>
      </c>
      <c r="AI743" s="133">
        <f>IF($K743=AI$3,ROUND(IF(OR($C743="W",$C743="1/2W",$C743="1/2L"),$P743-$O743,IF($C743="X",0,-$O743)),2),0)</f>
        <v>0</v>
      </c>
      <c r="AJ743" s="133">
        <f>IF($K743=AJ$3,ROUND(IF(OR($C743="W",$C743="1/2W",$C743="1/2L"),$P743-$O743,IF($C743="X",0,-$O743)),2),0)</f>
        <v>0</v>
      </c>
      <c r="AK743" s="133">
        <f>IF($K743=AK$3,ROUND(IF(OR($C743="W",$C743="1/2W",$C743="1/2L"),$P743-$O743,IF($C743="X",0,-$O743)),2),0)</f>
        <v>0</v>
      </c>
      <c r="AL743" s="133">
        <f>IF($K743=AL$3,ROUND(IF(OR($C743="W",$C743="1/2W",$C743="1/2L"),$P743-$O743,IF($C743="X",0,-$O743)),2),0)</f>
        <v>0</v>
      </c>
      <c r="AM743" s="133">
        <f>IF($K743=AM$3,ROUND(IF(OR($C743="W",$C743="1/2W",$C743="1/2L"),$P743-$O743,IF($C743="X",0,-$O743)),2),0)</f>
        <v>0</v>
      </c>
      <c r="AN743" s="133">
        <f>IF($K743=AN$3,ROUND(IF(OR($C743="W",$C743="1/2W",$C743="1/2L"),$P743-$O743,IF($C743="X",0,-$O743)),2),0)</f>
        <v>0</v>
      </c>
      <c r="AO743" s="133">
        <f>IF($K743=AO$3,ROUND(IF(OR($C743="W",$C743="1/2W",$C743="1/2L"),$P743-$O743,IF($C743="X",0,-$O743)),2),0)</f>
        <v>0</v>
      </c>
      <c r="AP743" s="133">
        <f>IF($K743=AP$3,ROUND(IF(OR($C743="W",$C743="1/2W",$C743="1/2L"),$P743-$O743,IF($C743="X",0,-$O743)),2),0)</f>
        <v>0</v>
      </c>
      <c r="AQ743" s="133">
        <f>IF($K743=AQ$3,ROUND(IF(OR($C743="W",$C743="1/2W",$C743="1/2L"),$P743-$O743,IF($C743="X",0,-$O743)),2),0)</f>
        <v>0</v>
      </c>
      <c r="AR743" s="134">
        <f>IF($K743=AR$3,ROUND(IF(OR($C743="W",$C743="1/2W",$C743="1/2L"),$P743-$O743,IF($C743="X",0,-$O743)),2),0)</f>
        <v>0</v>
      </c>
      <c r="AS743" s="132">
        <f>IF(AND($B742=" ",$K743=AS$3),$O743,0)</f>
        <v>0</v>
      </c>
      <c r="AT743" s="133">
        <f>IF(AND($B742=" ",K743=AT$3),$O743,0)</f>
        <v>0</v>
      </c>
      <c r="AU743" s="133">
        <f>IF(AND($B742=" ",$K743=AU$3),$O743,0)</f>
        <v>0</v>
      </c>
      <c r="AV743" s="133">
        <f>IF(AND($B742=" ",$K743=AV$3),$O743,0)</f>
        <v>0</v>
      </c>
      <c r="AW743" s="133">
        <f>IF(AND($B742=" ",$K743=AW$3),$O743,0)</f>
        <v>0</v>
      </c>
      <c r="AX743" s="133">
        <f>IF(AND($B742=" ",$K743=AX$3),$O743,0)</f>
        <v>0</v>
      </c>
      <c r="AY743" s="135">
        <f>IF(AND($B742=" ",$K743=AY$3),$O743,0)</f>
        <v>0</v>
      </c>
      <c r="AZ743" s="136">
        <f>IF(AND($B742=" ",$K743=AZ$3),$O743,0)</f>
        <v>0</v>
      </c>
      <c r="BA743" s="136">
        <f>IF(AND($B742=" ",$K743=BA$3),$O743,0)</f>
        <v>0</v>
      </c>
      <c r="BB743" s="136">
        <f>IF(AND($B742=" ",$K743=BB$3),$O743,0)</f>
        <v>0</v>
      </c>
      <c r="BC743" s="137">
        <f>IF(AND($B742=" ",$K743=BC$3),$O743,0)</f>
        <v>0</v>
      </c>
      <c r="BD743" s="133">
        <f>IF(AND($B742=" ",$K743=BD$3),$O743,0)</f>
        <v>0</v>
      </c>
      <c r="BE743" s="134">
        <f>IF(AND($B742=" ",$K743=BE$3),$O743,0)</f>
        <v>0</v>
      </c>
      <c r="BF743" s="132">
        <f>IF($K743=BF$3,IF($C743="X",0,$O743),0)</f>
        <v>0</v>
      </c>
      <c r="BG743" s="281">
        <f>IF($K743=BG$3,IF($C743="X",0,$O743),0)</f>
        <v>0</v>
      </c>
      <c r="BH743" s="133">
        <f>IF($K743=BH$3,IF($C743="X",0,$O743),0)</f>
        <v>0</v>
      </c>
      <c r="BI743" s="133">
        <f>IF($K743=BI$3,IF($C743="X",0,$O743),0)</f>
        <v>0</v>
      </c>
      <c r="BJ743" s="133">
        <f>IF($K743=BJ$3,IF($C743="X",0,$O743),0)</f>
        <v>0</v>
      </c>
      <c r="BK743" s="133">
        <f>IF($K743=BK$3,IF($C743="X",0,$O743),0)</f>
        <v>0</v>
      </c>
      <c r="BL743" s="133">
        <f>IF($K743=BL$3,IF($C743="X",0,$O743),0)</f>
        <v>0</v>
      </c>
      <c r="BM743" s="135">
        <f>IF($K743=BM$3,IF($C743="X",0,$O743),0)</f>
        <v>0</v>
      </c>
      <c r="BN743" s="136">
        <f>IF($K743=BN$3,IF($C743="X",0,$O743),0)</f>
        <v>0</v>
      </c>
      <c r="BO743" s="136">
        <f>IF($K743=BO$3,IF($C743="X",0,$O743),0)</f>
        <v>0</v>
      </c>
      <c r="BP743" s="136">
        <f>IF($K743=BP$3,IF($C743="X",0,$O743),0)</f>
        <v>0</v>
      </c>
      <c r="BQ743" s="137">
        <f>IF($K743=BQ$3,IF($C743="X",0,$O743),0)</f>
        <v>0</v>
      </c>
      <c r="BR743" s="134">
        <f>IF($K743=BR$3,IF($C743="X",0,$O743),0)</f>
        <v>0</v>
      </c>
      <c r="BS743" s="282"/>
      <c r="BT743" s="283"/>
      <c r="BU743" s="140"/>
      <c r="BV743" s="283"/>
      <c r="BW743" s="140"/>
      <c r="BX743" s="140"/>
      <c r="BY743" s="140"/>
      <c r="BZ743" s="283"/>
      <c r="CA743" s="140"/>
      <c r="CB743" s="140"/>
      <c r="CC743" s="140"/>
      <c r="CD743" s="141"/>
      <c r="CE743" s="142"/>
      <c r="CF743" s="284">
        <f>IF(CF$3=$K743,IF($C743="W",1,IF($C743="1/2W",0.5,0)),0)</f>
        <v>0</v>
      </c>
      <c r="CG743" s="285">
        <f>IF(CF$3=$K743,IF($C743="L",1,IF($C743="1/2L",0.5,0)),0)</f>
        <v>0</v>
      </c>
      <c r="CH743" s="285">
        <f>IF(CH$3=$K743,IF($C743="W",1,IF($C743="1/2W",0.5,0)),0)</f>
        <v>0</v>
      </c>
      <c r="CI743" s="285">
        <f>IF(CH$3=$K743,IF($C743="L",1,IF($C743="1/2L",0.5,0)),0)</f>
        <v>0</v>
      </c>
      <c r="CJ743" s="285">
        <f>IF(CJ$3=$K743,IF($C743="W",1,IF($C743="1/2W",0.5,0)),0)</f>
        <v>0</v>
      </c>
      <c r="CK743" s="285">
        <f>IF(CJ$3=$K743,IF($C743="L",1,IF($C743="1/2L",0.5,0)),0)</f>
        <v>0</v>
      </c>
      <c r="CL743" s="285">
        <f>IF(CL$3=$K743,IF($C743="W",1,IF($C743="1/2W",0.5,0)),0)</f>
        <v>0</v>
      </c>
      <c r="CM743" s="285">
        <f>IF(CL$3=$K743,IF($C743="L",1,IF($C743="1/2L",0.5,0)),0)</f>
        <v>0</v>
      </c>
      <c r="CN743" s="285">
        <f>IF(CN$3=$K743,IF($C743="W",1,IF($C743="1/2W",0.5,0)),0)</f>
        <v>0</v>
      </c>
      <c r="CO743" s="285">
        <f>IF(CN$3=$K743,IF($C743="L",1,IF($C743="1/2L",0.5,0)),0)</f>
        <v>0</v>
      </c>
      <c r="CP743" s="285">
        <f>IF(CP$3=$K743,IF($C743="W",1,IF($C743="1/2W",0.5,0)),0)</f>
        <v>0</v>
      </c>
      <c r="CQ743" s="285">
        <f>IF(CP$3=$K743,IF($C743="L",1,IF($C743="1/2L",0.5,0)),0)</f>
        <v>0</v>
      </c>
      <c r="CR743" s="285">
        <f>IF(CR$3=$K743,IF($C743="W",1,IF($C743="1/2W",0.5,0)),0)</f>
        <v>0</v>
      </c>
      <c r="CS743" s="285">
        <f>IF(CR$3=$K743,IF($C743="L",1,IF($C743="1/2L",0.5,0)),0)</f>
        <v>0</v>
      </c>
      <c r="CT743" s="145">
        <f>IF(CT$3=$K743,IF($C743="W",1,IF($C743="1/2W",0.5,0)),0)</f>
        <v>0</v>
      </c>
      <c r="CU743" s="146">
        <f>IF(CT$3=$K743,IF($C743="L",1,IF($C743="1/2L",0.5,0)),0)</f>
        <v>0</v>
      </c>
      <c r="CV743" s="146">
        <f>IF(CV$3=$K743,IF($C743="W",1,IF($C743="1/2W",0.5,0)),0)</f>
        <v>0</v>
      </c>
      <c r="CW743" s="146">
        <f>IF(CV$3=$K743,IF($C743="L",1,IF($C743="1/2L",0.5,0)),0)</f>
        <v>0</v>
      </c>
      <c r="CX743" s="146">
        <f>IF(CX$3=$K743,IF($C743="W",1,IF($C743="1/2W",0.5,0)),0)</f>
        <v>0</v>
      </c>
      <c r="CY743" s="146">
        <f>IF(CX$3=$K743,IF($C743="L",1,IF($C743="1/2L",0.5,0)),0)</f>
        <v>0</v>
      </c>
      <c r="CZ743" s="146">
        <f>IF(CZ$3=$K743,IF($C743="W",1,IF($C743="1/2W",0.5,0)),0)</f>
        <v>0</v>
      </c>
      <c r="DA743" s="146">
        <f>IF(CZ$3=$K743,IF($C743="L",1,IF($C743="1/2L",0.5,0)),0)</f>
        <v>0</v>
      </c>
      <c r="DB743" s="146">
        <f>IF(DB$3=$K743,IF($C743="W",1,IF($C743="1/2W",0.5,0)),0)</f>
        <v>0</v>
      </c>
      <c r="DC743" s="146">
        <f>IF(DB$3=$K743,IF($C743="L",1,IF($C743="1/2L",0.5,0)),0)</f>
        <v>0</v>
      </c>
      <c r="DD743" s="146">
        <f>IF(DD$3=$K743,IF($C743="W",1,IF($C743="1/2W",0.5,0)),0)</f>
        <v>0</v>
      </c>
      <c r="DE743" s="147">
        <f>IF(DD$3=$K743,IF($C743="L",1,IF($C743="1/2L",0.5,0)),0)</f>
        <v>0</v>
      </c>
      <c r="DF743" s="143">
        <f>IF(AND(L743&lt;DF$3,$C743="W"),1+DF742,DF742)</f>
        <v>22</v>
      </c>
      <c r="DG743" s="133">
        <f>IF(DF743&gt;DF742,L743+DG742,DG742)</f>
        <v>29.404</v>
      </c>
      <c r="DH743" s="146">
        <f>IF(AND(L743&gt;DH$3,$C743="W"),1+DH742,0+DH742)</f>
        <v>18</v>
      </c>
      <c r="DI743" s="133">
        <f>IF(DH743&gt;DH742,L743+DI742,DI742)</f>
        <v>93.66</v>
      </c>
      <c r="DJ743" t="s" s="304">
        <f>IF($D742="","",$D742)</f>
        <v>481</v>
      </c>
      <c r="DK743" s="286"/>
    </row>
    <row r="744" ht="14.55" customHeight="1">
      <c r="A744" s="149"/>
      <c r="B744" s="150"/>
      <c r="C744" t="s" s="151">
        <v>58</v>
      </c>
      <c r="D744" s="152"/>
      <c r="E744" s="153"/>
      <c r="F744" s="155"/>
      <c r="G744" s="252"/>
      <c r="H744" s="156"/>
      <c r="I744" s="287"/>
      <c r="J744" s="288"/>
      <c r="K744" s="156"/>
      <c r="L744" s="289"/>
      <c r="M744" s="290"/>
      <c r="N744" s="161"/>
      <c r="O744" t="s" s="162">
        <f>IF(OR(AE742="",AE743=""),"",IF(L744&gt;0,ROUND(IF(M744&gt;0,M744,IF(M742&gt;0,ROUND((M742*AE744)/AE742,IF(N742=0,2,IF(N742=0.1,1,0))),IF(M743&gt;0,ROUND((M743*AE744)/AE743,IF(N742=0,2,IF(N742=0.1,1,0))),IF(M744&gt;0,M744,0)))),2),""))</f>
      </c>
      <c r="P744" t="s" s="163">
        <f>IF(I743="Lay",O743*(L743/(L743-1))-O743,IF(I742="Lay",O742*(L742/(L742-1))-O742,IF(OR(L744="",O744=""),"",IF($C744="1/2W",O744/2+O744/2*L744,IF($C744="1/2L",O744/2,(O744*L744-O744)*(1-_xlfn.XLOOKUP(K744,'Janeiro 2023 - Valor Real'!A3:A15,'Janeiro 2023 - Valor Real'!C3:C15,0))+O744)))))</f>
      </c>
      <c r="Q744" t="s" s="154">
        <f>IF(K744="","",IF(_xlfn.XLOOKUP(K744,K$121:K523,DJ$121:DJ523,0,,-1)=DJ744,_xlfn.XLOOKUP(K744,K$121:K523,Q$121:Q523,1,,-1)+1,1))</f>
      </c>
      <c r="R744" t="s" s="163">
        <f>IF(K744="","",_xlfn.XLOOKUP(K744,K$121:K523,R$121:R523,0,,-1)+IF($C744=" ",1,0))</f>
      </c>
      <c r="S744" s="166"/>
      <c r="T744" s="155"/>
      <c r="U744" s="155"/>
      <c r="V744" s="166"/>
      <c r="W744" s="155"/>
      <c r="X744" s="167"/>
      <c r="Y744" s="128"/>
      <c r="Z744" s="129"/>
      <c r="AA744" s="129"/>
      <c r="AB744" s="129"/>
      <c r="AC744" s="129"/>
      <c r="AD744" s="168"/>
      <c r="AE744" t="s" s="169">
        <f>IF(L744="","",(SUM(((L742-1)*(1-_xlfn.XLOOKUP(K742,'Janeiro 2023 - Valor Real'!A3:A15,'Janeiro 2023 - Valor Real'!C3:C15,0))+1),((L743-1)*(1-_xlfn.XLOOKUP(K743,'Janeiro 2023 - Valor Real'!A3:A15,'Janeiro 2023 - Valor Real'!C3:C15,0))+1),((L744-1)*(1-_xlfn.XLOOKUP(K744,'Janeiro 2023 - Valor Real'!A3:A15,'Janeiro 2023 - Valor Real'!C3:C15,0))+1))/((L744-1)*(1-_xlfn.XLOOKUP(K744,'Janeiro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Real'!C3:C15,0))+1))/((L742-1)*(1-_xlfn.XLOOKUP(K742,'Janeiro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Real'!C3:C15,0))+1))/((L743-1)*(1-_xlfn.XLOOKUP(K743,'Janeiro 2023 - Valor Real'!A3:A15,'Janeiro 2023 - Valor Real'!C3:C15,0))+1)+SUM(((L742-1)*(1-_xlfn.XLOOKUP(K742,'Janeiro 2023 - Valor Real'!A3:A15,'Janeiro 2023 - Valor Real'!C3:C15,0))+1),((L743-1)*(1-_xlfn.XLOOKUP(K743,'Janeiro 2023 - Valor Real'!A3:A15,'Janeiro 2023 - Valor Real'!C3:C15,0))+1),((L744-1)*(1-_xlfn.XLOOKUP(K744,'Janeiro 2023 - Valor Real'!A3:A15,'Janeiro 2023 - Valor Real'!C3:C15,0))+1))/((L744-1)*(1-_xlfn.XLOOKUP(K744,'Janeiro 2023 - Valor Real'!A3:A15,'Janeiro 2023 - Valor Real'!C3:C15,0))+1)))</f>
      </c>
      <c r="AF744" s="132">
        <f>IF($K744=AF$3,ROUND(IF(OR($C744="W",$C744="1/2W",$C744="1/2L"),$P744-$O744,IF($C744="X",0,-$O744)),2),0)</f>
        <v>0</v>
      </c>
      <c r="AG744" s="133">
        <f>IF($K744=AG$3,ROUND(IF(OR($C744="W",$C744="1/2W",$C744="1/2L"),$P744-$O744,IF($C744="X",0,-$O744)),2),0)</f>
        <v>0</v>
      </c>
      <c r="AH744" s="133">
        <f>IF($K744=AH$3,ROUND(IF(OR($C744="W",$C744="1/2W",$C744="1/2L"),$P744-$O744,IF($C744="X",0,-$O744)),2),0)</f>
        <v>0</v>
      </c>
      <c r="AI744" s="133">
        <f>IF($K744=AI$3,ROUND(IF(OR($C744="W",$C744="1/2W",$C744="1/2L"),$P744-$O744,IF($C744="X",0,-$O744)),2),0)</f>
        <v>0</v>
      </c>
      <c r="AJ744" s="133">
        <f>IF($K744=AJ$3,ROUND(IF(OR($C744="W",$C744="1/2W",$C744="1/2L"),$P744-$O744,IF($C744="X",0,-$O744)),2),0)</f>
        <v>0</v>
      </c>
      <c r="AK744" s="133">
        <f>IF($K744=AK$3,ROUND(IF(OR($C744="W",$C744="1/2W",$C744="1/2L"),$P744-$O744,IF($C744="X",0,-$O744)),2),0)</f>
        <v>0</v>
      </c>
      <c r="AL744" s="133">
        <f>IF($K744=AL$3,ROUND(IF(OR($C744="W",$C744="1/2W",$C744="1/2L"),$P744-$O744,IF($C744="X",0,-$O744)),2),0)</f>
        <v>0</v>
      </c>
      <c r="AM744" s="133">
        <f>IF($K744=AM$3,ROUND(IF(OR($C744="W",$C744="1/2W",$C744="1/2L"),$P744-$O744,IF($C744="X",0,-$O744)),2),0)</f>
        <v>0</v>
      </c>
      <c r="AN744" s="133">
        <f>IF($K744=AN$3,ROUND(IF(OR($C744="W",$C744="1/2W",$C744="1/2L"),$P744-$O744,IF($C744="X",0,-$O744)),2),0)</f>
        <v>0</v>
      </c>
      <c r="AO744" s="133">
        <f>IF($K744=AO$3,ROUND(IF(OR($C744="W",$C744="1/2W",$C744="1/2L"),$P744-$O744,IF($C744="X",0,-$O744)),2),0)</f>
        <v>0</v>
      </c>
      <c r="AP744" s="133">
        <f>IF($K744=AP$3,ROUND(IF(OR($C744="W",$C744="1/2W",$C744="1/2L"),$P744-$O744,IF($C744="X",0,-$O744)),2),0)</f>
        <v>0</v>
      </c>
      <c r="AQ744" s="133">
        <f>IF($K744=AQ$3,ROUND(IF(OR($C744="W",$C744="1/2W",$C744="1/2L"),$P744-$O744,IF($C744="X",0,-$O744)),2),0)</f>
        <v>0</v>
      </c>
      <c r="AR744" s="134">
        <f>IF($K744=AR$3,ROUND(IF(OR($C744="W",$C744="1/2W",$C744="1/2L"),$P744-$O744,IF($C744="X",0,-$O744)),2),0)</f>
        <v>0</v>
      </c>
      <c r="AS744" s="132">
        <f>IF(AND($B742=" ",$K744=AS$3),$O744,0)</f>
        <v>0</v>
      </c>
      <c r="AT744" s="133">
        <f>IF(AND($B742=" ",K744=AT$3),$O744,0)</f>
        <v>0</v>
      </c>
      <c r="AU744" s="133">
        <f>IF(AND($B742=" ",$K744=AU$3),$O744,0)</f>
        <v>0</v>
      </c>
      <c r="AV744" s="133">
        <f>IF(AND($B742=" ",$K744=AV$3),$O744,0)</f>
        <v>0</v>
      </c>
      <c r="AW744" s="133">
        <f>IF(AND($B742=" ",$K744=AW$3),$O744,0)</f>
        <v>0</v>
      </c>
      <c r="AX744" s="133">
        <f>IF(AND($B742=" ",$K744=AX$3),$O744,0)</f>
        <v>0</v>
      </c>
      <c r="AY744" s="135">
        <f>IF(AND($B742=" ",$K744=AY$3),$O744,0)</f>
        <v>0</v>
      </c>
      <c r="AZ744" s="136">
        <f>IF(AND($B742=" ",$K744=AZ$3),$O744,0)</f>
        <v>0</v>
      </c>
      <c r="BA744" s="136">
        <f>IF(AND($B742=" ",$K744=BA$3),$O744,0)</f>
        <v>0</v>
      </c>
      <c r="BB744" s="136">
        <f>IF(AND($B742=" ",$K744=BB$3),$O744,0)</f>
        <v>0</v>
      </c>
      <c r="BC744" s="137">
        <f>IF(AND($B742=" ",$K744=BC$3),$O744,0)</f>
        <v>0</v>
      </c>
      <c r="BD744" s="133">
        <f>IF(AND($B742=" ",$K744=BD$3),$O744,0)</f>
        <v>0</v>
      </c>
      <c r="BE744" s="134">
        <f>IF(AND($B742=" ",$K744=BE$3),$O744,0)</f>
        <v>0</v>
      </c>
      <c r="BF744" s="132">
        <f>IF($K744=BF$3,IF($C744="X",0,$O744),0)</f>
        <v>0</v>
      </c>
      <c r="BG744" s="281">
        <f>IF($K744=BG$3,IF($C744="X",0,$O744),0)</f>
        <v>0</v>
      </c>
      <c r="BH744" s="133">
        <f>IF($K744=BH$3,IF($C744="X",0,$O744),0)</f>
        <v>0</v>
      </c>
      <c r="BI744" s="133">
        <f>IF($K744=BI$3,IF($C744="X",0,$O744),0)</f>
        <v>0</v>
      </c>
      <c r="BJ744" s="133">
        <f>IF($K744=BJ$3,IF($C744="X",0,$O744),0)</f>
        <v>0</v>
      </c>
      <c r="BK744" s="133">
        <f>IF($K744=BK$3,IF($C744="X",0,$O744),0)</f>
        <v>0</v>
      </c>
      <c r="BL744" s="133">
        <f>IF($K744=BL$3,IF($C744="X",0,$O744),0)</f>
        <v>0</v>
      </c>
      <c r="BM744" s="135">
        <f>IF($K744=BM$3,IF($C744="X",0,$O744),0)</f>
        <v>0</v>
      </c>
      <c r="BN744" s="136">
        <f>IF($K744=BN$3,IF($C744="X",0,$O744),0)</f>
        <v>0</v>
      </c>
      <c r="BO744" s="136">
        <f>IF($K744=BO$3,IF($C744="X",0,$O744),0)</f>
        <v>0</v>
      </c>
      <c r="BP744" s="136">
        <f>IF($K744=BP$3,IF($C744="X",0,$O744),0)</f>
        <v>0</v>
      </c>
      <c r="BQ744" s="137">
        <f>IF($K744=BQ$3,IF($C744="X",0,$O744),0)</f>
        <v>0</v>
      </c>
      <c r="BR744" s="134">
        <f>IF($K744=BR$3,IF($C744="X",0,$O744),0)</f>
        <v>0</v>
      </c>
      <c r="BS744" s="282"/>
      <c r="BT744" s="283"/>
      <c r="BU744" s="140"/>
      <c r="BV744" s="283"/>
      <c r="BW744" s="140"/>
      <c r="BX744" s="140"/>
      <c r="BY744" s="140"/>
      <c r="BZ744" s="283"/>
      <c r="CA744" s="140"/>
      <c r="CB744" s="140"/>
      <c r="CC744" s="140"/>
      <c r="CD744" s="141"/>
      <c r="CE744" s="142"/>
      <c r="CF744" s="284">
        <f>IF(CF$3=$K744,IF($C744="W",1,IF($C744="1/2W",0.5,0)),0)</f>
        <v>0</v>
      </c>
      <c r="CG744" s="285">
        <f>IF(CF$3=$K744,IF($C744="L",1,IF($C744="1/2L",0.5,0)),0)</f>
        <v>0</v>
      </c>
      <c r="CH744" s="285">
        <f>IF(CH$3=$K744,IF($C744="W",1,IF($C744="1/2W",0.5,0)),0)</f>
        <v>0</v>
      </c>
      <c r="CI744" s="285">
        <f>IF(CH$3=$K744,IF($C744="L",1,IF($C744="1/2L",0.5,0)),0)</f>
        <v>0</v>
      </c>
      <c r="CJ744" s="285">
        <f>IF(CJ$3=$K744,IF($C744="W",1,IF($C744="1/2W",0.5,0)),0)</f>
        <v>0</v>
      </c>
      <c r="CK744" s="285">
        <f>IF(CJ$3=$K744,IF($C744="L",1,IF($C744="1/2L",0.5,0)),0)</f>
        <v>0</v>
      </c>
      <c r="CL744" s="285">
        <f>IF(CL$3=$K744,IF($C744="W",1,IF($C744="1/2W",0.5,0)),0)</f>
        <v>0</v>
      </c>
      <c r="CM744" s="285">
        <f>IF(CL$3=$K744,IF($C744="L",1,IF($C744="1/2L",0.5,0)),0)</f>
        <v>0</v>
      </c>
      <c r="CN744" s="285">
        <f>IF(CN$3=$K744,IF($C744="W",1,IF($C744="1/2W",0.5,0)),0)</f>
        <v>0</v>
      </c>
      <c r="CO744" s="285">
        <f>IF(CN$3=$K744,IF($C744="L",1,IF($C744="1/2L",0.5,0)),0)</f>
        <v>0</v>
      </c>
      <c r="CP744" s="285">
        <f>IF(CP$3=$K744,IF($C744="W",1,IF($C744="1/2W",0.5,0)),0)</f>
        <v>0</v>
      </c>
      <c r="CQ744" s="285">
        <f>IF(CP$3=$K744,IF($C744="L",1,IF($C744="1/2L",0.5,0)),0)</f>
        <v>0</v>
      </c>
      <c r="CR744" s="285">
        <f>IF(CR$3=$K744,IF($C744="W",1,IF($C744="1/2W",0.5,0)),0)</f>
        <v>0</v>
      </c>
      <c r="CS744" s="285">
        <f>IF(CR$3=$K744,IF($C744="L",1,IF($C744="1/2L",0.5,0)),0)</f>
        <v>0</v>
      </c>
      <c r="CT744" s="145">
        <f>IF(CT$3=$K744,IF($C744="W",1,IF($C744="1/2W",0.5,0)),0)</f>
        <v>0</v>
      </c>
      <c r="CU744" s="146">
        <f>IF(CT$3=$K744,IF($C744="L",1,IF($C744="1/2L",0.5,0)),0)</f>
        <v>0</v>
      </c>
      <c r="CV744" s="146">
        <f>IF(CV$3=$K744,IF($C744="W",1,IF($C744="1/2W",0.5,0)),0)</f>
        <v>0</v>
      </c>
      <c r="CW744" s="146">
        <f>IF(CV$3=$K744,IF($C744="L",1,IF($C744="1/2L",0.5,0)),0)</f>
        <v>0</v>
      </c>
      <c r="CX744" s="146">
        <f>IF(CX$3=$K744,IF($C744="W",1,IF($C744="1/2W",0.5,0)),0)</f>
        <v>0</v>
      </c>
      <c r="CY744" s="146">
        <f>IF(CX$3=$K744,IF($C744="L",1,IF($C744="1/2L",0.5,0)),0)</f>
        <v>0</v>
      </c>
      <c r="CZ744" s="146">
        <f>IF(CZ$3=$K744,IF($C744="W",1,IF($C744="1/2W",0.5,0)),0)</f>
        <v>0</v>
      </c>
      <c r="DA744" s="146">
        <f>IF(CZ$3=$K744,IF($C744="L",1,IF($C744="1/2L",0.5,0)),0)</f>
        <v>0</v>
      </c>
      <c r="DB744" s="146">
        <f>IF(DB$3=$K744,IF($C744="W",1,IF($C744="1/2W",0.5,0)),0)</f>
        <v>0</v>
      </c>
      <c r="DC744" s="146">
        <f>IF(DB$3=$K744,IF($C744="L",1,IF($C744="1/2L",0.5,0)),0)</f>
        <v>0</v>
      </c>
      <c r="DD744" s="146">
        <f>IF(DD$3=$K744,IF($C744="W",1,IF($C744="1/2W",0.5,0)),0)</f>
        <v>0</v>
      </c>
      <c r="DE744" s="147">
        <f>IF(DD$3=$K744,IF($C744="L",1,IF($C744="1/2L",0.5,0)),0)</f>
        <v>0</v>
      </c>
      <c r="DF744" s="143">
        <f>IF(AND(L744&lt;DF$3,$C744="W"),1+DF743,DF743)</f>
        <v>22</v>
      </c>
      <c r="DG744" s="133">
        <f>IF(DF744&gt;DF743,L744+DG743,DG743)</f>
        <v>29.404</v>
      </c>
      <c r="DH744" s="146">
        <f>IF(AND(L744&gt;DH$3,$C744="W"),1+DH743,0+DH743)</f>
        <v>18</v>
      </c>
      <c r="DI744" s="133">
        <f>IF(DH744&gt;DH743,L744+DI743,DI743)</f>
        <v>93.66</v>
      </c>
      <c r="DJ744" t="s" s="304">
        <f>IF($D742="","",$D742)</f>
        <v>481</v>
      </c>
      <c r="DK744" s="286"/>
    </row>
    <row r="745" ht="14.55" customHeight="1">
      <c r="A745" s="171">
        <f>$A742+1</f>
        <v>248</v>
      </c>
      <c r="B745" t="s" s="172">
        <f>IF(AND(_xlfn.XLOOKUP(H745,H$122:H518,G$122:G518,0)=G745,_xlfn.XLOOKUP("TempoBet",K745:K747,L745:L747,0)&gt;0),"X",IF(OR(C745="W",C746="W",C747="W",C745="1/2W",C746="1/2W",C747="1/2W",C745="1/2L",C746="1/2L",C747="1/2L"),"OK",IF(OR(C745="L",C746="L",C747="L"),"LOSS",IF(OR(C745="X",C746="X",C747="X"),"Anulado"," "))))</f>
        <v>50</v>
      </c>
      <c r="C745" t="s" s="173">
        <v>56</v>
      </c>
      <c r="D745" t="s" s="305">
        <f>IF(G745="","",$D742)</f>
        <v>481</v>
      </c>
      <c r="E745" t="s" s="175">
        <f>IF(G745=""," ","– "&amp;COUNTIF(D$4:D747,$D745))</f>
        <v>163</v>
      </c>
      <c r="F745" t="s" s="176">
        <f>IF(G745="","",IF(OR(AND($C745&lt;&gt;" ",$C746=" "),AND($C746&lt;&gt;" ",$C745=" "),AND(L747&gt;0,OR(AND($C747&lt;&gt;" ",OR($C745=" ",$C746=" ")),AND($C747=" ",OR($C745&lt;&gt;" ",$C746&lt;&gt;" "))))),IF(SUM(F$4:F744)=0,1,LARGE(F$4:F744,1)+1),IF(MONTH(G745)=MONTH(TODAY()),IF(AND(DAY(G745)&lt;DAY(TODAY()),$B745=" "),IF(SUM(F$4:F744)=0,1,LARGE(F$4:F744,1)+1),IF($B745=" ",IF(AND(DAY(G745)=DAY(TODAY()),HOUR(G745)&lt;=HOUR(NOW())+1),IF(AND(HOUR(G745)+2&lt;=HOUR(NOW()),DAY(G745)&lt;=DAY(TODAY()),MINUTE(G745)&lt;=MINUTE(NOW())),IF(SUM(F$4:F744)=0,1,LARGE(F$4:F744,1)+1),IF(OR(MINUTE(G745)&lt;=MINUTE(NOW()),HOUR(G745)&lt;=HOUR(NOW())),"!!!","")),""),"")),"")))</f>
      </c>
      <c r="G745" s="177">
        <v>44962.333333333336</v>
      </c>
      <c r="H745" t="s" s="178">
        <v>514</v>
      </c>
      <c r="I745" t="s" s="179">
        <v>57</v>
      </c>
      <c r="J745" s="180"/>
      <c r="K745" t="s" s="181">
        <v>37</v>
      </c>
      <c r="L745" s="182">
        <v>2.05</v>
      </c>
      <c r="M745" s="183"/>
      <c r="N745" s="184">
        <v>0</v>
      </c>
      <c r="O745" s="185">
        <f>IF(OR(AE745="",AE746=""),"",ROUND(IF(L747&gt;0,IF(M745&gt;0,M745,IF(M746&gt;0,ROUND((M746*AE745)/AE746,IF(N745=0,2,IF(N745=0.1,1,0))),ROUND((M747*AE745)/AE747,IF(N745=0,2,IF(N745=0.1,1,0))))),IF(M745&gt;0,M745,ROUND((M746*AE745)/AE746,IF(N745=0,2,IF(N745=0.1,1,0))))),2))</f>
        <v>12.15</v>
      </c>
      <c r="P745" s="186">
        <f>IF(OR(L745="",O745=""),"",IF($C745="1/2W",O745/2+O745/2*L745,IF($C745="1/2L",O745/2,IF(I745="Lay",(O745*(L745/(L745-1))-O745)*(1-_xlfn.XLOOKUP(K745,'Janeiro 2023 - Valor Real'!A3:A15,'Janeiro 2023 - Valor Real'!C3:C15,0))+O745,(O745*L745-O745)*(1-_xlfn.XLOOKUP(K745,'Janeiro 2023 - Valor Real'!A3:A15,'Janeiro 2023 - Valor Real'!C3:C15,0))+O745))))</f>
        <v>24.9075</v>
      </c>
      <c r="Q745" s="187">
        <f>IF(K745="","",IF(_xlfn.XLOOKUP(K745,K$122:K518,DJ$122:DJ518,0,,-1)=DJ745,_xlfn.XLOOKUP(K745,K$122:K518,Q$122:Q518,1,,-1)+1,1))</f>
        <v>1</v>
      </c>
      <c r="R745" s="188">
        <f>IF(K745="","",_xlfn.XLOOKUP(K745,K$122:K518,R$122:R518,0,,-1)+IF($C745=" ",1,0))</f>
        <v>0</v>
      </c>
      <c r="S745" s="189">
        <f>IF($B745="Anulado",0,ROUND(IF(OR($B745="LOSS",$B745="OK"),IF(OR($C745="W",$C745="1/2W",$C745="1/2L"),P745-O745,IF($C745="L",-O745,0))+IF(OR($C746="W",$C746="1/2W",$C746="1/2L"),P746-O746,IF($C746="L",-O746,0))+IF(OR($C747="W",$C747="1/2W",$C747="1/2L"),P747-O747,IF($C747="L",-O747,0)),IF(AND(OR($C745="W",$C745="1/2W",$C745="1/2L"),C746="W"),P745+P746-SUM(O745:O747)+_xlfn.XLOOKUP("X",C745:C747,O745:O747,0),IF(AND(C745=TRUE,C747="W"),P745+P747-SUM(O745:O747),IF(AND(C746="W",C747="W"),P746+P747-SUM(O745:O747)+_xlfn.XLOOKUP("X",C745:C747,O745:O747,0),IF(L747&gt;0,IF(OR($C745="W",$C745="1/2W",$C745="1/2L"),P745-SUM(O745:O747)+_xlfn.XLOOKUP("X",C745:C747,O745:O747,0),IF(OR($C745="W",$C745="1/2W",$C745="1/2L"),P746-SUM(O745:O747)+_xlfn.XLOOKUP("X",C745:C747,O745:O747,0),IF(OR($C745="W",$C745="1/2W",$C745="1/2L"),P747-SUM(O745:O747)+_xlfn.XLOOKUP("X",C745:C747,O745:O747,0),IF(SUM(P745:P747)/3-SUM(O745:O747)+_xlfn.XLOOKUP("X",C745:C747,O745:O747,0)&gt;0,SUM(P745:P747)/3-SUM(O745:O747)+_xlfn.XLOOKUP("X",C745:C747,O745:O747,0),LARGE(P745:P747,1)-SUM(O745:O747))))),IF(OR($C745="W",$C745="1/2W",$C745="1/2L"),P745-SUM(O745:O746)+_xlfn.XLOOKUP("X",C745:C747,O745:O747,0),IF(OR($C745="W",$C745="1/2W",$C745="1/2L"),P746-SUM(O745:O746)+_xlfn.XLOOKUP("X",C745:C747,O745:O747,0),SUM(P745:P746)/2-SUM(O745:O746)+_xlfn.XLOOKUP("X",C745:C747,O745:O747,0)))))))),2))</f>
        <v>1.07</v>
      </c>
      <c r="T745" s="190">
        <f>IF(S745=0,0,S745/SUM(O745:O747))</f>
        <v>0.0448825503355705</v>
      </c>
      <c r="U745" s="191">
        <f>IF($D745=$D742,IF(OR($B745="LOSS",$B745="OK",$B745="Anulada"),S745,0)+U742,IF(OR($B745="LOSS",$B745="OK",$B745="Anulada"),S745,0))</f>
        <v>30.07</v>
      </c>
      <c r="V745" s="191">
        <f>IF($D745="",0,IF($D745=$D742,IF($B745=" ",IF(I747="",IF(OR(AND(I745="DNB1",I746="DNB2"),AND(OR(I745="DNB1",I745="DNB2"),J746=0),AND(OR(I746="DNB1",I746="DNB2"),J745=0),AND(I745="DNB2",I746="DNB1"),AND(IF(J745=0,(J745+1)/ROUND(J745+1,0),J745/ROUND(J745,0))=1,IF(J746=0,(J746+1)/ROUND(IF(J746="",0,J746)+1,0),IF(J746="",0,J746)/ROUND(IF(J746="",1,J746),0))=1,OR(J745&lt;&gt;""),J746&lt;&gt;"")),0,IF(S745&lt;0,IF(I747="",SMALL(P745:P746,1)-SUM(O745:O746),0),SMALL(P745:P746,1)-SUM(O745:O746))),IF(S745&lt;0,IF(I747="",SMALL(P745:P747,1)-SUM(O745:O747),0),LARGE(P745:P747,1)-SUM(O745:O747))),S745)+V742,IF(I747="",IF(OR(AND(I745="DNB1",I746="DNB2"),AND(OR(I745="DNB1",I745="DNB2"),J746=0),AND(OR(I746="DNB1",I746="DNB2"),J745=0),AND(I745="DNB2",I746="DNB1"),AND(IF(J745=0,(J745+1)/ROUND(J745+1,0),J745/ROUND(J745,0))=1,IF(J746=0,(IF(J746="",0,J746)+1)/ROUND(IF(J746="",0,J746)+1,0),IF(J746="",0,J746)/ROUND(IF(J746="",0,J746)+1,0))=1,OR(J745&lt;&gt;""),J746&lt;&gt;"")),0,IF(S745&lt;0,IF(I747="",SMALL(P745:P746,1)-SUM(O745:O746),0),SMALL(P745:P747,1)-SUM(O745:O747))),IF(S745&lt;0,IF(I747="",SMALL(P745:P747,1)-SUM(O745:O747),0),LARGE(P745:P747,1)-SUM(O745:O747)))))</f>
        <v>30.0676</v>
      </c>
      <c r="W745" s="191">
        <f>IF($D745=$D742,IF(S745&lt;0,IF(I747="",S745,0),S745)+W742,S745)</f>
        <v>30.07</v>
      </c>
      <c r="X745" t="s" s="192">
        <f>IF(OR(SUM(R745:R747)=0,V745=W745),ROUND(IF(W745=0,0,W745/Y745)*100,2)&amp;"%",ROUND(IF(V745=0,0,V745/Y745)*100,2)&amp;"% a "&amp;ROUND(IF(W745=0,0,W745/Y745)*100,2)&amp;"%")</f>
        <v>516</v>
      </c>
      <c r="Y745" s="193">
        <f>IF($D745=$D742,Y742+SUM(O745:O747),SUM(O745:O747))</f>
        <v>590.11</v>
      </c>
      <c r="Z745" s="191">
        <f>IF($B745=" ",SUM(O745:O747),0)+Z742</f>
        <v>0</v>
      </c>
      <c r="AA745" s="191">
        <f>IF(G745="","",IF($B745="Anulado",LARGE(P745:P747,1)-SUM(O745:O747)+AA742,AA742))</f>
        <v>29.9145076923077</v>
      </c>
      <c r="AB745" s="191">
        <f>IF($D745="","",AB742+S745)</f>
        <v>501.25</v>
      </c>
      <c r="AC745" s="194">
        <f>IF($D745="","",IF($B745=" ",IF(DAY(G745)=DAY(TODAY()),1+AC742,0+AC742),0+AC742))</f>
        <v>0</v>
      </c>
      <c r="AD745" s="195">
        <f>(((L746/(L746-1)-1)*(1-_xlfn.XLOOKUP(K746,'Janeiro 2023 - Valor Real'!A3:A15,'Janeiro 2023 - Valor Real'!C3:C15,0))+1))/(((L745-1)*(1-_xlfn.XLOOKUP(K745,'Janeiro 2023 - Valor Real'!A3:A15,'Janeiro 2023 - Valor Real'!C3:C15,0))+1)+((L746/(L746-1)-1)*(1-_xlfn.XLOOKUP(K746,'Janeiro 2023 - Valor Real'!A3:A15,'Janeiro 2023 - Valor Real'!C3:C15,0))+1))</f>
        <v>0.479028449342179</v>
      </c>
      <c r="AE745" s="196">
        <f>IF(L745="","",IF(L747&gt;0,(SUM(((L745-1)*(1-_xlfn.XLOOKUP(K745,'Janeiro 2023 - Valor Real'!A3:A15,'Janeiro 2023 - Valor Real'!C3:C15,0))+1),((L746-1)*(1-_xlfn.XLOOKUP(K746,'Janeiro 2023 - Valor Real'!A3:A15,'Janeiro 2023 - Valor Real'!C3:C15,0))+1),((L747-1)*(1-_xlfn.XLOOKUP(K747,'Janeiro 2023 - Valor Real'!A3:A15,'Janeiro 2023 - Valor Real'!C3:C15,0))+1))/((L745-1)*(1-_xlfn.XLOOKUP(K745,'Janeiro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Real'!C3:C15,0))+1))/((L745-1)*(1-_xlfn.XLOOKUP(K745,'Janeiro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Real'!C3:C15,0))+1))/((L746-1)*(1-_xlfn.XLOOKUP(K746,'Janeiro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Real'!C3:C15,0))+1))/((L747-1)*(1-_xlfn.XLOOKUP(K747,'Janeiro 2023 - Valor Real'!A3:A15,'Janeiro 2023 - Valor Real'!C3:C15,0))+1)),IF(I745="Lay",IF(I746="Lay",((L746/(L746-1)-1)*(1-_xlfn.XLOOKUP(K746,'Janeiro 2023 - Valor Real'!A3:A15,'Janeiro 2023 - Valor Real'!C3:C15,0))+1)/(((L746/(L746-1)-1)*(1-_xlfn.XLOOKUP(K746,'Janeiro 2023 - Valor Real'!A3:A15,'Janeiro 2023 - Valor Real'!C3:C15,0))+1)+((L745/(L745-1)-1)*(1-_xlfn.XLOOKUP(K745,'Janeiro 2023 - Valor Real'!A3:A15,'Janeiro 2023 - Valor Real'!C3:C15,0))+1)),((L746-1)*(1-_xlfn.XLOOKUP(K746,'Janeiro 2023 - Valor Real'!A3:A15,'Janeiro 2023 - Valor Real'!C3:C15,0))+1)/(((L746-1)*(1-_xlfn.XLOOKUP(K746,'Janeiro 2023 - Valor Real'!A3:A15,'Janeiro 2023 - Valor Real'!C3:C15,0))+1)+((L745/(L745-1)-1)*(1-_xlfn.XLOOKUP(K745,'Janeiro 2023 - Valor Real'!A3:A15,'Janeiro 2023 - Valor Real'!C3:C15,0))+1))),IF(I746="Lay",(((L746/(L746-1)-1)*(1-_xlfn.XLOOKUP(K746,'Janeiro 2023 - Valor Real'!A3:A15,'Janeiro 2023 - Valor Real'!C3:C15,0))+1))/(((L745-1)*(1-_xlfn.XLOOKUP(K745,'Janeiro 2023 - Valor Real'!A3:A15,'Janeiro 2023 - Valor Real'!C3:C15,0))+1)+((L746/(L746-1)-1)*(1-_xlfn.XLOOKUP(K746,'Janeiro 2023 - Valor Real'!A3:A15,'Janeiro 2023 - Valor Real'!C3:C15,0))+1)),((L746-1)*(1-_xlfn.XLOOKUP(K746,'Janeiro 2023 - Valor Real'!A3:A15,'Janeiro 2023 - Valor Real'!C3:C15,0))+1)/(((L746-1)*(1-_xlfn.XLOOKUP(K746,'Janeiro 2023 - Valor Real'!A3:A15,'Janeiro 2023 - Valor Real'!C3:C15,0))+1)+((L745-1)*(1-_xlfn.XLOOKUP(K745,'Janeiro 2023 - Valor Real'!A3:A15,'Janeiro 2023 - Valor Real'!C3:C15,0))+1))))))</f>
        <v>0.509569377990431</v>
      </c>
      <c r="AF745" s="197">
        <f>IF($K745=AF$3,ROUND(IF(OR($C745="W",$C745="1/2W",$C745="1/2L"),$P745-$O745,IF($C745="X",0,-$O745)),2),0)</f>
        <v>12.76</v>
      </c>
      <c r="AG745" s="198">
        <f>IF($K745=AG$3,ROUND(IF(OR($C745="W",$C745="1/2W",$C745="1/2L"),$P745-$O745,IF($C745="X",0,-$O745)),2),0)</f>
        <v>0</v>
      </c>
      <c r="AH745" s="198">
        <f>IF($K745=AH$3,ROUND(IF(OR($C745="W",$C745="1/2W",$C745="1/2L"),$P745-$O745,IF($C745="X",0,-$O745)),2),0)</f>
        <v>0</v>
      </c>
      <c r="AI745" s="198">
        <f>IF($K745=AI$3,ROUND(IF(OR($C745="W",$C745="1/2W",$C745="1/2L"),$P745-$O745,IF($C745="X",0,-$O745)),2),0)</f>
        <v>0</v>
      </c>
      <c r="AJ745" s="198">
        <f>IF($K745=AJ$3,ROUND(IF(OR($C745="W",$C745="1/2W",$C745="1/2L"),$P745-$O745,IF($C745="X",0,-$O745)),2),0)</f>
        <v>0</v>
      </c>
      <c r="AK745" s="198">
        <f>IF($K745=AK$3,ROUND(IF(OR($C745="W",$C745="1/2W",$C745="1/2L"),$P745-$O745,IF($C745="X",0,-$O745)),2),0)</f>
        <v>0</v>
      </c>
      <c r="AL745" s="198">
        <f>IF($K745=AL$3,ROUND(IF(OR($C745="W",$C745="1/2W",$C745="1/2L"),$P745-$O745,IF($C745="X",0,-$O745)),2),0)</f>
        <v>0</v>
      </c>
      <c r="AM745" s="198">
        <f>IF($K745=AM$3,ROUND(IF(OR($C745="W",$C745="1/2W",$C745="1/2L"),$P745-$O745,IF($C745="X",0,-$O745)),2),0)</f>
        <v>0</v>
      </c>
      <c r="AN745" s="198">
        <f>IF($K745=AN$3,ROUND(IF(OR($C745="W",$C745="1/2W",$C745="1/2L"),$P745-$O745,IF($C745="X",0,-$O745)),2),0)</f>
        <v>0</v>
      </c>
      <c r="AO745" s="198">
        <f>IF($K745=AO$3,ROUND(IF(OR($C745="W",$C745="1/2W",$C745="1/2L"),$P745-$O745,IF($C745="X",0,-$O745)),2),0)</f>
        <v>0</v>
      </c>
      <c r="AP745" s="198">
        <f>IF($K745=AP$3,ROUND(IF(OR($C745="W",$C745="1/2W",$C745="1/2L"),$P745-$O745,IF($C745="X",0,-$O745)),2),0)</f>
        <v>0</v>
      </c>
      <c r="AQ745" s="198">
        <f>IF($K745=AQ$3,ROUND(IF(OR($C745="W",$C745="1/2W",$C745="1/2L"),$P745-$O745,IF($C745="X",0,-$O745)),2),0)</f>
        <v>0</v>
      </c>
      <c r="AR745" s="199">
        <f>IF($K745=AR$3,ROUND(IF(OR($C745="W",$C745="1/2W",$C745="1/2L"),$P745-$O745,IF($C745="X",0,-$O745)),2),0)</f>
        <v>0</v>
      </c>
      <c r="AS745" s="197">
        <f>IF(AND($B745=" ",$K745=AS$3),$O745,0)</f>
        <v>0</v>
      </c>
      <c r="AT745" s="198">
        <f>IF(AND($B745=" ",$K745=AT$3),$O745,0)</f>
        <v>0</v>
      </c>
      <c r="AU745" s="198">
        <f>IF(AND($B745=" ",$K745=AU$3),$O745,0)</f>
        <v>0</v>
      </c>
      <c r="AV745" s="198">
        <f>IF(AND($B745=" ",$K745=AV$3),$O745,0)</f>
        <v>0</v>
      </c>
      <c r="AW745" s="198">
        <f>IF(AND($B745=" ",$K745=AW$3),$O745,0)</f>
        <v>0</v>
      </c>
      <c r="AX745" s="198">
        <f>IF(AND($B745=" ",$K745=AX$3),$O745,0)</f>
        <v>0</v>
      </c>
      <c r="AY745" s="200">
        <f>IF(AND($B745=" ",$K745=AY$3),$O745,0)</f>
        <v>0</v>
      </c>
      <c r="AZ745" s="201">
        <f>IF(AND($B745=" ",$K745=AZ$3),$O745,0)</f>
        <v>0</v>
      </c>
      <c r="BA745" s="201">
        <f>IF(AND($B745=" ",$K745=BA$3),$O745,0)</f>
        <v>0</v>
      </c>
      <c r="BB745" s="201">
        <f>IF(AND($B745=" ",$K745=BB$3),$O745,0)</f>
        <v>0</v>
      </c>
      <c r="BC745" s="202">
        <f>IF(AND($B745=" ",$K745=BC$3),$O745,0)</f>
        <v>0</v>
      </c>
      <c r="BD745" s="198">
        <f>IF(AND($B745=" ",$K745=BD$3),$O745,0)</f>
        <v>0</v>
      </c>
      <c r="BE745" s="199">
        <f>IF(AND($B745=" ",$K745=BE$3),$O745,0)</f>
        <v>0</v>
      </c>
      <c r="BF745" s="203">
        <f>IF($K745=BF$3,IF($C745="X",0,$O745),0)</f>
        <v>12.15</v>
      </c>
      <c r="BG745" s="198">
        <f>IF($K745=BG$3,IF($C745="X",0,$O745),0)</f>
        <v>0</v>
      </c>
      <c r="BH745" s="198">
        <f>IF($K745=BH$3,IF($C745="X",0,$O745),0)</f>
        <v>0</v>
      </c>
      <c r="BI745" s="198">
        <f>IF($K745=BI$3,IF($C745="X",0,$O745),0)</f>
        <v>0</v>
      </c>
      <c r="BJ745" s="198">
        <f>IF($K745=BJ$3,IF($C745="X",0,$O745),0)</f>
        <v>0</v>
      </c>
      <c r="BK745" s="198">
        <f>IF($K745=BK$3,IF($C745="X",0,$O745),0)</f>
        <v>0</v>
      </c>
      <c r="BL745" s="198">
        <f>IF($K745=BL$3,IF($C745="X",0,$O745),0)</f>
        <v>0</v>
      </c>
      <c r="BM745" s="200">
        <f>IF($K745=BM$3,IF($C745="X",0,$O745),0)</f>
        <v>0</v>
      </c>
      <c r="BN745" s="201">
        <f>IF($K745=BN$3,IF($C745="X",0,$O745),0)</f>
        <v>0</v>
      </c>
      <c r="BO745" s="201">
        <f>IF($K745=BO$3,IF($C745="X",0,$O745),0)</f>
        <v>0</v>
      </c>
      <c r="BP745" s="201">
        <f>IF($K745=BP$3,IF($C745="X",0,$O745),0)</f>
        <v>0</v>
      </c>
      <c r="BQ745" s="202">
        <f>IF($K745=BQ$3,IF($C745="X",0,$O745),0)</f>
        <v>0</v>
      </c>
      <c r="BR745" s="199">
        <f>IF($K745=BR$3,IF($C745="X",0,$O745),0)</f>
        <v>0</v>
      </c>
      <c r="BS745" s="204">
        <f>IF($B745="LOSS",IF(AND($K745=BS$3,$C745="L"),-$O745,0)+IF(AND($K746=BS$3,$C746="L"),-$O746,0)+IF(AND($K747=BS$3,$C747="L"),-$O747,0),IF(OR(AND($K745=BS$3,OR($C745="W",$C745="1/2W")),AND($K746=BS$3,OR($C746="W",$C746="1/2W")),AND($K747=BS$3,OR($C747="W",$C747="1/2W"))),$S745,0))</f>
        <v>1.07</v>
      </c>
      <c r="BT745" s="201">
        <f>IF($B745="LOSS",IF(AND($K745=BT$3,$C745="L"),-$O745,0)+IF(AND($K746=BT$3,$C746="L"),-$O746,0)+IF(AND($K746=BT$3,$C747="L"),-$O747,0),IF(OR(AND($K746=BT$3,OR($C745="W",$C745="1/2W")),AND($K746=BT$3,OR($C746="W",$C746="1/2W")),AND($K746=BT$3,OR($C747="W",$C747="1/2W"))),$S745,0))</f>
        <v>0</v>
      </c>
      <c r="BU745" s="201">
        <f>IF($B745="LOSS",IF(AND($K745=BU$3,$C745="L"),-$O745,0)+IF(AND($K746=BU$3,$C746="L"),-$O746,0)+IF(AND($K746=BU$3,$C747="L"),-$O747,0),IF(OR(AND($K746=BU$3,OR($C745="W",$C745="1/2W")),AND($K746=BU$3,OR($C746="W",$C746="1/2W")),AND($K746=BU$3,OR($C747="W",$C747="1/2W"))),$S745,0))</f>
        <v>0</v>
      </c>
      <c r="BV745" s="201">
        <f>IF($B745="LOSS",IF(AND($K745=BV$3,$C745="L"),-$O745,0)+IF(AND($K746=BV$3,$C746="L"),-$O746,0)+IF(AND($K747=BV$3,$C747="L"),-$O747,0),IF(OR(AND($K745=BV$3,OR($C745="W",$C745="1/2W")),AND($K746=BV$3,OR($C746="W",$C746="1/2W")),AND($K747=BV$3,OR($C747="W",$C747="1/2W"))),$S745,0))</f>
        <v>0</v>
      </c>
      <c r="BW745" s="201">
        <f>IF($B745="LOSS",IF(AND($K745=BW$3,$C745="L"),-$O745,0)+IF(AND($K746=BW$3,$C746="L"),-$O746,0)+IF(AND($K747=BW$3,$C747="L"),-$O747,0),IF(OR(AND($K745=BW$3,OR($C745="W",$C745="1/2W")),AND($K746=BW$3,OR($C746="W",$C746="1/2W")),AND($K747=BW$3,OR($C747="W",$C747="1/2W"))),$S745,0))</f>
        <v>0</v>
      </c>
      <c r="BX745" s="201">
        <f>IF($B745="LOSS",IF(AND($K745=BX$3,$C745="L"),-$O745,0)+IF(AND($K746=BX$3,$C746="L"),-$O746,0)+IF(AND($K747=BX$3,$C747="L"),-$O747,0),IF(OR(AND($K745=BX$3,OR($C745="W",$C745="1/2W")),AND($K746=BX$3,OR($C746="W",$C746="1/2W")),AND($K747=BX$3,OR($C747="W",$C747="1/2W"))),$S745,0))</f>
        <v>0</v>
      </c>
      <c r="BY745" s="201">
        <f>IF($B745="LOSS",IF(AND($K745=BY$3,$C745="L"),-$O745,0)+IF(AND($K746=BY$3,$C746="L"),-$O746,0)+IF(AND($K747=BY$3,$C747="L"),-$O747,0),IF(OR(AND($K745=BY$3,OR($C745="W",$C745="1/2W")),AND($K746=BY$3,OR($C746="W",$C746="1/2W")),AND($K747=BY$3,OR($C747="W",$C747="1/2W"))),$S745,0))</f>
        <v>0</v>
      </c>
      <c r="BZ745" s="205">
        <f>IF($B745="LOSS",IF(AND($K745=BZ$3,$C745="L"),-$O745,0)+IF(AND($K746=BZ$3,$C746="L"),-$O746,0)+IF(AND($K747=BZ$3,$C747="L"),-$O747,0),IF(OR(AND($K745=BZ$3,OR($C745="W",$C745="1/2W")),AND($K746=BZ$3,OR($C746="W",$C746="1/2W")),AND($K747=BZ$3,OR($C747="W",$C747="1/2W"))),$S745,0))</f>
        <v>0</v>
      </c>
      <c r="CA745" s="205">
        <f>IF($B745="LOSS",IF(AND($K745=CA$3,$C745="L"),-$O745,0)+IF(AND($K746=CA$3,$C746="L"),-$O746,0)+IF(AND($K747=CA$3,$C747="L"),-$O747,0),IF(OR(AND($K745=CA$3,OR($C745="W",$C745="1/2W")),AND($K746=CA$3,OR($C746="W",$C746="1/2W")),AND($K747=CA$3,OR($C747="W",$C747="1/2W"))),$S745,0))</f>
        <v>0</v>
      </c>
      <c r="CB745" s="205">
        <f>IF($B745="LOSS",IF(AND($K745=CB$3,$C745="L"),-$O745,0)+IF(AND($K746=CB$3,$C746="L"),-$O746,0)+IF(AND($K747=CB$3,$C747="L"),-$O747,0),IF(OR(AND($K745=CB$3,OR($C745="W",$C745="1/2W")),AND($K746=CB$3,OR($C746="W",$C746="1/2W")),AND($K747=CB$3,OR($C747="W",$C747="1/2W"))),$S745,0))</f>
        <v>0</v>
      </c>
      <c r="CC745" s="205">
        <f>IF($B745="LOSS",IF(AND($K745=CC$3,$C745="L"),-$O745,0)+IF(AND($K746=CC$3,$C746="L"),-$O746,0)+IF(AND($K747=CC$3,$C747="L"),-$O747,0),IF(OR(AND($K745=CC$3,OR($C745="W",$C745="1/2W")),AND($K746=CC$3,OR($C746="W",$C746="1/2W")),AND($K747=CC$3,OR($C747="W",$C747="1/2W"))),$S745,0))</f>
        <v>0</v>
      </c>
      <c r="CD745" s="202">
        <f>IF($B745="LOSS",IF(AND($K745=CD$3,$C745="L"),-$O745,0)+IF(AND($K746=CD$3,$C746="L"),-$O746,0)+IF(AND($K747=CD$3,$C747="L"),-$O747,0),IF(OR(AND($K745=CD$3,OR($C745="W",$C745="1/2W")),AND($K746=CD$3,OR($C746="W",$C746="1/2W")),AND($K747=CD$3,OR($C747="W",$C747="1/2W"))),$S745,0))</f>
        <v>0</v>
      </c>
      <c r="CE745" s="199">
        <f>IF($B745="LOSS",IF(AND($K745=CE$3,$C745="L"),-$O745,0)+IF(AND($K746=CE$3,$C746="L"),-$O746,0)+IF(AND($K747=CE$3,$C747="L"),-$O747,0),IF(OR(AND($K745=CE$3,OR($C745="W",$C745="1/2W")),AND($K746=CE$3,OR($C746="W",$C746="1/2W")),AND($K747=CE$3,OR($C747="W",$C747="1/2W"))),$S745,0))</f>
        <v>0</v>
      </c>
      <c r="CF745" s="206">
        <f>IF(CF$3=$K745,IF($C745="W",1,IF($C745="1/2W",0.5,0)),0)</f>
        <v>1</v>
      </c>
      <c r="CG745" s="207">
        <f>IF(CF$3=$K745,IF($C745="L",1,IF($C745="1/2L",0.5,0)),0)</f>
        <v>0</v>
      </c>
      <c r="CH745" s="207">
        <f>IF(CH$3=$K745,IF($C745="W",1,IF($C745="1/2W",0.5,0)),0)</f>
        <v>0</v>
      </c>
      <c r="CI745" s="207">
        <f>IF(CH$3=$K745,IF($C745="L",1,IF($C745="1/2L",0.5,0)),0)</f>
        <v>0</v>
      </c>
      <c r="CJ745" s="207">
        <f>IF(CJ$3=$K745,IF($C745="W",1,IF($C745="1/2W",0.5,0)),0)</f>
        <v>0</v>
      </c>
      <c r="CK745" s="207">
        <f>IF(CJ$3=$K745,IF($C745="L",1,IF($C745="1/2L",0.5,0)),0)</f>
        <v>0</v>
      </c>
      <c r="CL745" s="207">
        <f>IF(CL$3=$K745,IF($C745="W",1,IF($C745="1/2W",0.5,0)),0)</f>
        <v>0</v>
      </c>
      <c r="CM745" s="207">
        <f>IF(CL$3=$K745,IF($C745="L",1,IF($C745="1/2L",0.5,0)),0)</f>
        <v>0</v>
      </c>
      <c r="CN745" s="207">
        <f>IF(CN$3=$K745,IF($C745="W",1,IF($C745="1/2W",0.5,0)),0)</f>
        <v>0</v>
      </c>
      <c r="CO745" s="207">
        <f>IF(CN$3=$K745,IF($C745="L",1,IF($C745="1/2L",0.5,0)),0)</f>
        <v>0</v>
      </c>
      <c r="CP745" s="207">
        <f>IF(CP$3=$K745,IF($C745="W",1,IF($C745="1/2W",0.5,0)),0)</f>
        <v>0</v>
      </c>
      <c r="CQ745" s="207">
        <f>IF(CP$3=$K745,IF($C745="L",1,IF($C745="1/2L",0.5,0)),0)</f>
        <v>0</v>
      </c>
      <c r="CR745" s="207">
        <f>IF(CR$3=$K745,IF($C745="W",1,IF($C745="1/2W",0.5,0)),0)</f>
        <v>0</v>
      </c>
      <c r="CS745" s="207">
        <f>IF(CR$3=$K745,IF($C745="L",1,IF($C745="1/2L",0.5,0)),0)</f>
        <v>0</v>
      </c>
      <c r="CT745" s="208">
        <f>IF(CT$3=$K745,IF($C745="W",1,IF($C745="1/2W",0.5,0)),0)</f>
        <v>0</v>
      </c>
      <c r="CU745" s="209">
        <f>IF(CT$3=$K745,IF($C745="L",1,IF($C745="1/2L",0.5,0)),0)</f>
        <v>0</v>
      </c>
      <c r="CV745" s="209">
        <f>IF(CV$3=$K745,IF($C745="W",1,IF($C745="1/2W",0.5,0)),0)</f>
        <v>0</v>
      </c>
      <c r="CW745" s="209">
        <f>IF(CV$3=$K745,IF($C745="L",1,IF($C745="1/2L",0.5,0)),0)</f>
        <v>0</v>
      </c>
      <c r="CX745" s="209">
        <f>IF(CX$3=$K745,IF($C745="W",1,IF($C745="1/2W",0.5,0)),0)</f>
        <v>0</v>
      </c>
      <c r="CY745" s="209">
        <f>IF(CX$3=$K745,IF($C745="L",1,IF($C745="1/2L",0.5,0)),0)</f>
        <v>0</v>
      </c>
      <c r="CZ745" s="209">
        <f>IF(CZ$3=$K745,IF($C745="W",1,IF($C745="1/2W",0.5,0)),0)</f>
        <v>0</v>
      </c>
      <c r="DA745" s="209">
        <f>IF(CZ$3=$K745,IF($C745="L",1,IF($C745="1/2L",0.5,0)),0)</f>
        <v>0</v>
      </c>
      <c r="DB745" s="209">
        <f>IF(DB$3=$K745,IF($C745="W",1,IF($C745="1/2W",0.5,0)),0)</f>
        <v>0</v>
      </c>
      <c r="DC745" s="209">
        <f>IF(DB$3=$K745,IF($C745="L",1,IF($C745="1/2L",0.5,0)),0)</f>
        <v>0</v>
      </c>
      <c r="DD745" s="209">
        <f>IF(DD$3=$K745,IF($C745="W",1,IF($C745="1/2W",0.5,0)),0)</f>
        <v>0</v>
      </c>
      <c r="DE745" s="210">
        <f>IF(DD$3=$K745,IF($C745="L",1,IF($C745="1/2L",0.5,0)),0)</f>
        <v>0</v>
      </c>
      <c r="DF745" s="211">
        <f>IF(AND(L745&lt;DF$3,$C745="W"),1+DF744,DF744)</f>
        <v>22</v>
      </c>
      <c r="DG745" s="198">
        <f>IF(DF745&gt;DF744,L745+DG744,DG744)</f>
        <v>29.404</v>
      </c>
      <c r="DH745" s="209">
        <f>IF(AND(L745&gt;DH$3,$C745="W"),1+DH744,0+DH744)</f>
        <v>18</v>
      </c>
      <c r="DI745" s="198">
        <f>IF(DH745&gt;DH744,L745+DI744,DI744)</f>
        <v>93.66</v>
      </c>
      <c r="DJ745" t="s" s="306">
        <f>IF($D745="","",$D745)</f>
        <v>481</v>
      </c>
      <c r="DK745" s="209">
        <f>IF(AND($B745=" ",$D745&lt;&gt;""),1,0)</f>
        <v>0</v>
      </c>
    </row>
    <row r="746" ht="14.55" customHeight="1">
      <c r="A746" s="107"/>
      <c r="B746" s="108"/>
      <c r="C746" t="s" s="213">
        <v>51</v>
      </c>
      <c r="D746" s="110"/>
      <c r="E746" s="111"/>
      <c r="F746" s="113"/>
      <c r="G746" s="214"/>
      <c r="H746" s="114"/>
      <c r="I746" s="299">
        <v>1</v>
      </c>
      <c r="J746" t="s" s="216">
        <f>IF(OR(I745="TO",I745="TU",I745="TO1",I745="TU1",I745="TO2",I745="TU2"),J745,IF(OR(I745="AH1",I745="AH2"),IF(OR(I746="AH1",I746="AH2"),-J745,IF(OR(I746="EH1",I746="EH2"),-J745+0.5,"")),IF(OR(I745="EH1",I745="EH2"),IF(OR(I746="AH1",I746="AH2"),-J745+0.5,IF(OR(I746="EH1",I746="EH2"),-J745+1,"")),IF(AND(OR(I745="DNB1",I745="DNB2"),OR(I746="AH1",I746="AH2")),0,IF(AND(I745="Not ScoreBoth",OR(I746="TO1",I746="TO2")),0.5,"")))))</f>
      </c>
      <c r="K746" t="s" s="217">
        <v>48</v>
      </c>
      <c r="L746" s="218">
        <v>2.13</v>
      </c>
      <c r="M746" s="219">
        <v>11.69</v>
      </c>
      <c r="N746" s="120"/>
      <c r="O746" s="220">
        <f>IF(OR(AE745="",AE746=""),"",ROUND(IF(L747&gt;0,IF(M746&gt;0,M746,IF(M745&gt;0,IF(N745=TRUE,ROUND((M745*AE746)/AE745,0),(M745*AE746)/AE745),IF(M746&gt;0,ROUND(M746,IF(N745=0,2,IF(N745=0.1,1,0))),IF(M747&gt;0,ROUND(O747*AE746/AE747,IF(N745=0,2,IF(N745=0.1,1,0))),0)))),IF(M746&gt;0,M746,ROUND((M745*AE746)/AE745,IF(N745=0,2,IF(N745=0.1,1,0))))),2))</f>
        <v>11.69</v>
      </c>
      <c r="P746" s="221">
        <f>IF(OR(L746="",O746=""),"",IF($C746="1/2W",O746/2+O746/2*L746,IF($C746="1/2L",O746/2,IF(I746="Lay",((O746*(L746/(L746-1)))-O746)*(1-_xlfn.XLOOKUP(K746,'Janeiro 2023 - Valor Real'!A3:A15,'Janeiro 2023 - Valor Real'!C3:C15,0))+O746,(O746*L746-O746)*(1-_xlfn.XLOOKUP(K746,'Janeiro 2023 - Valor Real'!A3:A15,'Janeiro 2023 - Valor Real'!C3:C15,0))+O746))))</f>
        <v>24.8997</v>
      </c>
      <c r="Q746" s="222">
        <f>IF(K746="","",IF(_xlfn.XLOOKUP(K746,K$123:K519,DJ$123:DJ519,0,,-1)=DJ746,_xlfn.XLOOKUP(K746,K$123:K519,Q$123:Q519,1,,-1)+1,1))</f>
        <v>1</v>
      </c>
      <c r="R746" s="223">
        <f>IF(K746="","",_xlfn.XLOOKUP(K746,K$123:K519,R$123:R519,0,,-1)+IF($C746=" ",1,0))</f>
        <v>0</v>
      </c>
      <c r="S746" s="125"/>
      <c r="T746" s="126"/>
      <c r="U746" s="126"/>
      <c r="V746" s="224"/>
      <c r="W746" s="126"/>
      <c r="X746" s="127"/>
      <c r="Y746" s="128"/>
      <c r="Z746" s="129"/>
      <c r="AA746" s="129"/>
      <c r="AB746" s="129"/>
      <c r="AC746" s="129"/>
      <c r="AD746" s="225">
        <f>(((L746/(L746-1)-1)*(1-_xlfn.XLOOKUP(K746,'Janeiro 2023 - Valor Real'!A3:A15,'Janeiro 2023 - Valor Real'!C3:C15,0))+1))</f>
        <v>1.88495575221239</v>
      </c>
      <c r="AE746" s="226">
        <f>IF(L746="","",IF(L747&gt;0,(SUM(((L745-1)*(1-_xlfn.XLOOKUP(K745,'Janeiro 2023 - Valor Real'!A3:A15,'Janeiro 2023 - Valor Real'!C3:C15,0))+1),((L746-1)*(1-_xlfn.XLOOKUP(K746,'Janeiro 2023 - Valor Real'!A3:A15,'Janeiro 2023 - Valor Real'!C3:C15,0))+1),((L747-1)*(1-_xlfn.XLOOKUP(K747,'Janeiro 2023 - Valor Real'!A3:A15,'Janeiro 2023 - Valor Real'!C3:C15,0))+1))/((L746-1)*(1-_xlfn.XLOOKUP(K746,'Janeiro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Real'!C3:C15,0))+1))/((L745-1)*(1-_xlfn.XLOOKUP(K745,'Janeiro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Real'!C3:C15,0))+1))/((L746-1)*(1-_xlfn.XLOOKUP(K746,'Janeiro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Real'!C3:C15,0))+1))/((L747-1)*(1-_xlfn.XLOOKUP(K747,'Janeiro 2023 - Valor Real'!A3:A15,'Janeiro 2023 - Valor Real'!C3:C15,0))+1)),IF(I746="Lay",IF(I745="Lay",((L745/(L745-1)-1)*(1-_xlfn.XLOOKUP(K745,'Janeiro 2023 - Valor Real'!A3:A15,'Janeiro 2023 - Valor Real'!C3:C15,0))+1)/(((L745/(L745-1)-1)*(1-_xlfn.XLOOKUP(K745,'Janeiro 2023 - Valor Real'!A3:A15,'Janeiro 2023 - Valor Real'!C3:C15,0))+1)+((L746/(L746-1)-1)*(1-_xlfn.XLOOKUP(K746,'Janeiro 2023 - Valor Real'!A3:A15,'Janeiro 2023 - Valor Real'!C3:C15,0))+1)),((L745-1)*(1-_xlfn.XLOOKUP(K745,'Janeiro 2023 - Valor Real'!A3:A15,'Janeiro 2023 - Valor Real'!C3:C15,0))+1)/(((L745-1)*(1-_xlfn.XLOOKUP(K745,'Janeiro 2023 - Valor Real'!A3:A15,'Janeiro 2023 - Valor Real'!C3:C15,0))+1)+((L746/(L746-1)-1)*(1-_xlfn.XLOOKUP(K746,'Janeiro 2023 - Valor Real'!A3:A15,'Janeiro 2023 - Valor Real'!C3:C15,0))+1))),IF(I745="Lay",((L745/(L745-1)-1)*(1-_xlfn.XLOOKUP(K745,'Janeiro 2023 - Valor Real'!A3:A15,'Janeiro 2023 - Valor Real'!C3:C15,0))+1)/((((L745/(L745-1)-1)*(1-_xlfn.XLOOKUP(K745,'Janeiro 2023 - Valor Real'!A3:A15,'Janeiro 2023 - Valor Real'!C3:C15,0))+1))+((L746-1)*(1-_xlfn.XLOOKUP(K746,'Janeiro 2023 - Valor Real'!A3:A15,'Janeiro 2023 - Valor Real'!C3:C15,0))+1)),((L745-1)*(1-_xlfn.XLOOKUP(K745,'Janeiro 2023 - Valor Real'!A3:A15,'Janeiro 2023 - Valor Real'!C3:C15,0))+1)/(((L745-1)*(1-_xlfn.XLOOKUP(K745,'Janeiro 2023 - Valor Real'!A3:A15,'Janeiro 2023 - Valor Real'!C3:C15,0))+1)+((L746-1)*(1-_xlfn.XLOOKUP(K746,'Janeiro 2023 - Valor Real'!A3:A15,'Janeiro 2023 - Valor Real'!C3:C15,0))+1))))))</f>
        <v>0.490430622009569</v>
      </c>
      <c r="AF746" s="197">
        <f>IF($K746=AF$3,ROUND(IF(OR($C746="W",$C746="1/2W",$C746="1/2L"),$P746-$O746,IF($C746="X",0,-$O746)),2),0)</f>
        <v>0</v>
      </c>
      <c r="AG746" s="198">
        <f>IF($K746=AG$3,ROUND(IF(OR($C746="W",$C746="1/2W",$C746="1/2L"),$P746-$O746,IF($C746="X",0,-$O746)),2),0)</f>
        <v>0</v>
      </c>
      <c r="AH746" s="198">
        <f>IF($K746=AH$3,ROUND(IF(OR($C746="W",$C746="1/2W",$C746="1/2L"),$P746-$O746,IF($C746="X",0,-$O746)),2),0)</f>
        <v>0</v>
      </c>
      <c r="AI746" s="198">
        <f>IF($K746=AI$3,ROUND(IF(OR($C746="W",$C746="1/2W",$C746="1/2L"),$P746-$O746,IF($C746="X",0,-$O746)),2),0)</f>
        <v>0</v>
      </c>
      <c r="AJ746" s="198">
        <f>IF($K746=AJ$3,ROUND(IF(OR($C746="W",$C746="1/2W",$C746="1/2L"),$P746-$O746,IF($C746="X",0,-$O746)),2),0)</f>
        <v>0</v>
      </c>
      <c r="AK746" s="198">
        <f>IF($K746=AK$3,ROUND(IF(OR($C746="W",$C746="1/2W",$C746="1/2L"),$P746-$O746,IF($C746="X",0,-$O746)),2),0)</f>
        <v>0</v>
      </c>
      <c r="AL746" s="198">
        <f>IF($K746=AL$3,ROUND(IF(OR($C746="W",$C746="1/2W",$C746="1/2L"),$P746-$O746,IF($C746="X",0,-$O746)),2),0)</f>
        <v>0</v>
      </c>
      <c r="AM746" s="198">
        <f>IF($K746=AM$3,ROUND(IF(OR($C746="W",$C746="1/2W",$C746="1/2L"),$P746-$O746,IF($C746="X",0,-$O746)),2),0)</f>
        <v>0</v>
      </c>
      <c r="AN746" s="198">
        <f>IF($K746=AN$3,ROUND(IF(OR($C746="W",$C746="1/2W",$C746="1/2L"),$P746-$O746,IF($C746="X",0,-$O746)),2),0)</f>
        <v>0</v>
      </c>
      <c r="AO746" s="198">
        <f>IF($K746=AO$3,ROUND(IF(OR($C746="W",$C746="1/2W",$C746="1/2L"),$P746-$O746,IF($C746="X",0,-$O746)),2),0)</f>
        <v>0</v>
      </c>
      <c r="AP746" s="198">
        <f>IF($K746=AP$3,ROUND(IF(OR($C746="W",$C746="1/2W",$C746="1/2L"),$P746-$O746,IF($C746="X",0,-$O746)),2),0)</f>
        <v>0</v>
      </c>
      <c r="AQ746" s="198">
        <f>IF($K746=AQ$3,ROUND(IF(OR($C746="W",$C746="1/2W",$C746="1/2L"),$P746-$O746,IF($C746="X",0,-$O746)),2),0)</f>
        <v>-11.69</v>
      </c>
      <c r="AR746" s="199">
        <f>IF($K746=AR$3,ROUND(IF(OR($C746="W",$C746="1/2W",$C746="1/2L"),$P746-$O746,IF($C746="X",0,-$O746)),2),0)</f>
        <v>0</v>
      </c>
      <c r="AS746" s="197">
        <f>IF(AND($B745=" ",$K746=AS$3),$O746,0)</f>
        <v>0</v>
      </c>
      <c r="AT746" s="198">
        <f>IF(AND($B745=" ",K746=AT$3),$O746,0)</f>
        <v>0</v>
      </c>
      <c r="AU746" s="198">
        <f>IF(AND($B745=" ",$K746=AU$3),$O746,0)</f>
        <v>0</v>
      </c>
      <c r="AV746" s="198">
        <f>IF(AND($B745=" ",$K746=AV$3),$O746,0)</f>
        <v>0</v>
      </c>
      <c r="AW746" s="198">
        <f>IF(AND($B745=" ",$K746=AW$3),$O746,0)</f>
        <v>0</v>
      </c>
      <c r="AX746" s="198">
        <f>IF(AND($B745=" ",$K746=AX$3),$O746,0)</f>
        <v>0</v>
      </c>
      <c r="AY746" s="200">
        <f>IF(AND($B745=" ",$K746=AY$3),$O746,0)</f>
        <v>0</v>
      </c>
      <c r="AZ746" s="201">
        <f>IF(AND($B745=" ",$K746=AZ$3),$O746,0)</f>
        <v>0</v>
      </c>
      <c r="BA746" s="201">
        <f>IF(AND($B745=" ",$K746=BA$3),$O746,0)</f>
        <v>0</v>
      </c>
      <c r="BB746" s="201">
        <f>IF(AND($B745=" ",$K746=BB$3),$O746,0)</f>
        <v>0</v>
      </c>
      <c r="BC746" s="202">
        <f>IF(AND($B745=" ",$K746=BC$3),$O746,0)</f>
        <v>0</v>
      </c>
      <c r="BD746" s="198">
        <f>IF(AND($B745=" ",$K746=BD$3),$O746,0)</f>
        <v>0</v>
      </c>
      <c r="BE746" s="199">
        <f>IF(AND($B745=" ",$K746=BE$3),$O746,0)</f>
        <v>0</v>
      </c>
      <c r="BF746" s="197">
        <f>IF($K746=BF$3,IF($C746="X",0,$O746),0)</f>
        <v>0</v>
      </c>
      <c r="BG746" s="198">
        <f>IF($K746=BG$3,IF($C746="X",0,$O746),0)</f>
        <v>0</v>
      </c>
      <c r="BH746" s="198">
        <f>IF($K746=BH$3,IF($C746="X",0,$O746),0)</f>
        <v>0</v>
      </c>
      <c r="BI746" s="198">
        <f>IF($K746=BI$3,IF($C746="X",0,$O746),0)</f>
        <v>0</v>
      </c>
      <c r="BJ746" s="198">
        <f>IF($K746=BJ$3,IF($C746="X",0,$O746),0)</f>
        <v>0</v>
      </c>
      <c r="BK746" s="198">
        <f>IF($K746=BK$3,IF($C746="X",0,$O746),0)</f>
        <v>0</v>
      </c>
      <c r="BL746" s="198">
        <f>IF($K746=BL$3,IF($C746="X",0,$O746),0)</f>
        <v>0</v>
      </c>
      <c r="BM746" s="227">
        <f>IF($K746=BM$3,IF($C746="X",0,$O746),0)</f>
        <v>0</v>
      </c>
      <c r="BN746" s="205">
        <f>IF($K746=BN$3,IF($C746="X",0,$O746),0)</f>
        <v>0</v>
      </c>
      <c r="BO746" s="205">
        <f>IF($K746=BO$3,IF($C746="X",0,$O746),0)</f>
        <v>0</v>
      </c>
      <c r="BP746" s="205">
        <f>IF($K746=BP$3,IF($C746="X",0,$O746),0)</f>
        <v>0</v>
      </c>
      <c r="BQ746" s="202">
        <f>IF($K746=BQ$3,IF($C746="X",0,$O746),0)</f>
        <v>11.69</v>
      </c>
      <c r="BR746" s="199">
        <f>IF($K746=BR$3,IF($C746="X",0,$O746),0)</f>
        <v>0</v>
      </c>
      <c r="BS746" s="228"/>
      <c r="BT746" s="229"/>
      <c r="BU746" s="140"/>
      <c r="BV746" s="229"/>
      <c r="BW746" s="140"/>
      <c r="BX746" s="140"/>
      <c r="BY746" s="140"/>
      <c r="BZ746" s="229"/>
      <c r="CA746" s="140"/>
      <c r="CB746" s="140"/>
      <c r="CC746" s="140"/>
      <c r="CD746" s="141"/>
      <c r="CE746" s="142"/>
      <c r="CF746" s="230">
        <f>IF(CF$3=$K746,IF($C746="W",1,IF($C746="1/2W",0.5,0)),0)</f>
        <v>0</v>
      </c>
      <c r="CG746" s="231">
        <f>IF(CF$3=$K746,IF($C746="L",1,IF($C746="1/2L",0.5,0)),0)</f>
        <v>0</v>
      </c>
      <c r="CH746" s="231">
        <f>IF(CH$3=$K746,IF($C746="W",1,IF($C746="1/2W",0.5,0)),0)</f>
        <v>0</v>
      </c>
      <c r="CI746" s="231">
        <f>IF(CH$3=$K746,IF($C746="L",1,IF($C746="1/2L",0.5,0)),0)</f>
        <v>0</v>
      </c>
      <c r="CJ746" s="231">
        <f>IF(CJ$3=$K746,IF($C746="W",1,IF($C746="1/2W",0.5,0)),0)</f>
        <v>0</v>
      </c>
      <c r="CK746" s="231">
        <f>IF(CJ$3=$K746,IF($C746="L",1,IF($C746="1/2L",0.5,0)),0)</f>
        <v>0</v>
      </c>
      <c r="CL746" s="231">
        <f>IF(CL$3=$K746,IF($C746="W",1,IF($C746="1/2W",0.5,0)),0)</f>
        <v>0</v>
      </c>
      <c r="CM746" s="231">
        <f>IF(CL$3=$K746,IF($C746="L",1,IF($C746="1/2L",0.5,0)),0)</f>
        <v>0</v>
      </c>
      <c r="CN746" s="231">
        <f>IF(CN$3=$K746,IF($C746="W",1,IF($C746="1/2W",0.5,0)),0)</f>
        <v>0</v>
      </c>
      <c r="CO746" s="231">
        <f>IF(CN$3=$K746,IF($C746="L",1,IF($C746="1/2L",0.5,0)),0)</f>
        <v>0</v>
      </c>
      <c r="CP746" s="231">
        <f>IF(CP$3=$K746,IF($C746="W",1,IF($C746="1/2W",0.5,0)),0)</f>
        <v>0</v>
      </c>
      <c r="CQ746" s="231">
        <f>IF(CP$3=$K746,IF($C746="L",1,IF($C746="1/2L",0.5,0)),0)</f>
        <v>0</v>
      </c>
      <c r="CR746" s="231">
        <f>IF(CR$3=$K746,IF($C746="W",1,IF($C746="1/2W",0.5,0)),0)</f>
        <v>0</v>
      </c>
      <c r="CS746" s="231">
        <f>IF(CR$3=$K746,IF($C746="L",1,IF($C746="1/2L",0.5,0)),0)</f>
        <v>0</v>
      </c>
      <c r="CT746" s="208">
        <f>IF(CT$3=$K746,IF($C746="W",1,IF($C746="1/2W",0.5,0)),0)</f>
        <v>0</v>
      </c>
      <c r="CU746" s="209">
        <f>IF(CT$3=$K746,IF($C746="L",1,IF($C746="1/2L",0.5,0)),0)</f>
        <v>0</v>
      </c>
      <c r="CV746" s="209">
        <f>IF(CV$3=$K746,IF($C746="W",1,IF($C746="1/2W",0.5,0)),0)</f>
        <v>0</v>
      </c>
      <c r="CW746" s="209">
        <f>IF(CV$3=$K746,IF($C746="L",1,IF($C746="1/2L",0.5,0)),0)</f>
        <v>0</v>
      </c>
      <c r="CX746" s="209">
        <f>IF(CX$3=$K746,IF($C746="W",1,IF($C746="1/2W",0.5,0)),0)</f>
        <v>0</v>
      </c>
      <c r="CY746" s="209">
        <f>IF(CX$3=$K746,IF($C746="L",1,IF($C746="1/2L",0.5,0)),0)</f>
        <v>0</v>
      </c>
      <c r="CZ746" s="209">
        <f>IF(CZ$3=$K746,IF($C746="W",1,IF($C746="1/2W",0.5,0)),0)</f>
        <v>0</v>
      </c>
      <c r="DA746" s="209">
        <f>IF(CZ$3=$K746,IF($C746="L",1,IF($C746="1/2L",0.5,0)),0)</f>
        <v>0</v>
      </c>
      <c r="DB746" s="209">
        <f>IF(DB$3=$K746,IF($C746="W",1,IF($C746="1/2W",0.5,0)),0)</f>
        <v>0</v>
      </c>
      <c r="DC746" s="209">
        <f>IF(DB$3=$K746,IF($C746="L",1,IF($C746="1/2L",0.5,0)),0)</f>
        <v>1</v>
      </c>
      <c r="DD746" s="209">
        <f>IF(DD$3=$K746,IF($C746="W",1,IF($C746="1/2W",0.5,0)),0)</f>
        <v>0</v>
      </c>
      <c r="DE746" s="210">
        <f>IF(DD$3=$K746,IF($C746="L",1,IF($C746="1/2L",0.5,0)),0)</f>
        <v>0</v>
      </c>
      <c r="DF746" s="211">
        <f>IF(AND(L746&lt;DF$3,$C746="W"),1+DF745,DF745)</f>
        <v>22</v>
      </c>
      <c r="DG746" s="198">
        <f>IF(DF746&gt;DF745,L746+DG745,DG745)</f>
        <v>29.404</v>
      </c>
      <c r="DH746" s="209">
        <f>IF(AND(L746&gt;DH$3,$C746="W"),1+DH745,0+DH745)</f>
        <v>18</v>
      </c>
      <c r="DI746" s="198">
        <f>IF(DH746&gt;DH745,L746+DI745,DI745)</f>
        <v>93.66</v>
      </c>
      <c r="DJ746" t="s" s="306">
        <f>IF($D745="","",$D745)</f>
        <v>481</v>
      </c>
      <c r="DK746" s="232"/>
    </row>
    <row r="747" ht="14.55" customHeight="1">
      <c r="A747" s="149"/>
      <c r="B747" s="150"/>
      <c r="C747" t="s" s="233">
        <v>58</v>
      </c>
      <c r="D747" s="152"/>
      <c r="E747" s="153"/>
      <c r="F747" s="155"/>
      <c r="G747" s="234"/>
      <c r="H747" s="156"/>
      <c r="I747" s="235"/>
      <c r="J747" s="236"/>
      <c r="K747" s="237"/>
      <c r="L747" s="238"/>
      <c r="M747" s="239"/>
      <c r="N747" s="161"/>
      <c r="O747" t="s" s="240">
        <f>IF(OR(AE745="",AE746=""),"",IF(L747&gt;0,ROUND(IF(M747&gt;0,M747,IF(M745&gt;0,ROUND((M745*AE747)/AE745,IF(N745=0,2,IF(N745=0.1,1,0))),IF(M746&gt;0,ROUND((M746*AE747)/AE746,IF(N745=0,2,IF(N745=0.1,1,0))),IF(M747&gt;0,M747,0)))),2),""))</f>
      </c>
      <c r="P747" t="s" s="241">
        <f>IF(I746="Lay",O746*(L746/(L746-1))-O746,IF(I745="Lay",O745*(L745/(L745-1))-O745,IF(OR(L747="",O747=""),"",IF($C747="1/2W",O747/2+O747/2*L747,IF($C747="1/2L",O747/2,(O747*L747-O747)*(1-_xlfn.XLOOKUP(K747,'Janeiro 2023 - Valor Real'!A3:A15,'Janeiro 2023 - Valor Real'!C3:C15,0))+O747)))))</f>
      </c>
      <c r="Q747" t="s" s="242">
        <f>IF(K747="","",IF(_xlfn.XLOOKUP(K747,K$124:K520,DJ$124:DJ520,0,,-1)=DJ747,_xlfn.XLOOKUP(K747,K$124:K520,Q$124:Q520,1,,-1)+1,1))</f>
      </c>
      <c r="R747" t="s" s="243">
        <f>IF(K747="","",_xlfn.XLOOKUP(K747,K$124:K520,R$124:R520,0,,-1)+IF($C747=" ",1,0))</f>
      </c>
      <c r="S747" s="166"/>
      <c r="T747" s="155"/>
      <c r="U747" s="155"/>
      <c r="V747" s="166"/>
      <c r="W747" s="155"/>
      <c r="X747" s="167"/>
      <c r="Y747" s="128"/>
      <c r="Z747" s="129"/>
      <c r="AA747" s="129"/>
      <c r="AB747" s="129"/>
      <c r="AC747" s="129"/>
      <c r="AD747" s="244">
        <f>((L746/(L746-1)-1))</f>
        <v>0.884955752212389</v>
      </c>
      <c r="AE747" t="s" s="245">
        <f>IF(L747="","",(SUM(((L745-1)*(1-_xlfn.XLOOKUP(K745,'Janeiro 2023 - Valor Real'!A3:A15,'Janeiro 2023 - Valor Real'!C3:C15,0))+1),((L746-1)*(1-_xlfn.XLOOKUP(K746,'Janeiro 2023 - Valor Real'!A3:A15,'Janeiro 2023 - Valor Real'!C3:C15,0))+1),((L747-1)*(1-_xlfn.XLOOKUP(K747,'Janeiro 2023 - Valor Real'!A3:A15,'Janeiro 2023 - Valor Real'!C3:C15,0))+1))/((L747-1)*(1-_xlfn.XLOOKUP(K747,'Janeiro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Real'!C3:C15,0))+1))/((L745-1)*(1-_xlfn.XLOOKUP(K745,'Janeiro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Real'!C3:C15,0))+1))/((L746-1)*(1-_xlfn.XLOOKUP(K746,'Janeiro 2023 - Valor Real'!A3:A15,'Janeiro 2023 - Valor Real'!C3:C15,0))+1)+SUM(((L745-1)*(1-_xlfn.XLOOKUP(K745,'Janeiro 2023 - Valor Real'!A3:A15,'Janeiro 2023 - Valor Real'!C3:C15,0))+1),((L746-1)*(1-_xlfn.XLOOKUP(K746,'Janeiro 2023 - Valor Real'!A3:A15,'Janeiro 2023 - Valor Real'!C3:C15,0))+1),((L747-1)*(1-_xlfn.XLOOKUP(K747,'Janeiro 2023 - Valor Real'!A3:A15,'Janeiro 2023 - Valor Real'!C3:C15,0))+1))/((L747-1)*(1-_xlfn.XLOOKUP(K747,'Janeiro 2023 - Valor Real'!A3:A15,'Janeiro 2023 - Valor Real'!C3:C15,0))+1)))</f>
      </c>
      <c r="AF747" s="197">
        <f>IF($K747=AF$3,ROUND(IF(OR($C747="W",$C747="1/2W",$C747="1/2L"),$P747-$O747,IF($C747="X",0,-$O747)),2),0)</f>
        <v>0</v>
      </c>
      <c r="AG747" s="198">
        <f>IF($K747=AG$3,ROUND(IF(OR($C747="W",$C747="1/2W",$C747="1/2L"),$P747-$O747,IF($C747="X",0,-$O747)),2),0)</f>
        <v>0</v>
      </c>
      <c r="AH747" s="198">
        <f>IF($K747=AH$3,ROUND(IF(OR($C747="W",$C747="1/2W",$C747="1/2L"),$P747-$O747,IF($C747="X",0,-$O747)),2),0)</f>
        <v>0</v>
      </c>
      <c r="AI747" s="198">
        <f>IF($K747=AI$3,ROUND(IF(OR($C747="W",$C747="1/2W",$C747="1/2L"),$P747-$O747,IF($C747="X",0,-$O747)),2),0)</f>
        <v>0</v>
      </c>
      <c r="AJ747" s="198">
        <f>IF($K747=AJ$3,ROUND(IF(OR($C747="W",$C747="1/2W",$C747="1/2L"),$P747-$O747,IF($C747="X",0,-$O747)),2),0)</f>
        <v>0</v>
      </c>
      <c r="AK747" s="198">
        <f>IF($K747=AK$3,ROUND(IF(OR($C747="W",$C747="1/2W",$C747="1/2L"),$P747-$O747,IF($C747="X",0,-$O747)),2),0)</f>
        <v>0</v>
      </c>
      <c r="AL747" s="198">
        <f>IF($K747=AL$3,ROUND(IF(OR($C747="W",$C747="1/2W",$C747="1/2L"),$P747-$O747,IF($C747="X",0,-$O747)),2),0)</f>
        <v>0</v>
      </c>
      <c r="AM747" s="198">
        <f>IF($K747=AM$3,ROUND(IF(OR($C747="W",$C747="1/2W",$C747="1/2L"),$P747-$O747,IF($C747="X",0,-$O747)),2),0)</f>
        <v>0</v>
      </c>
      <c r="AN747" s="198">
        <f>IF($K747=AN$3,ROUND(IF(OR($C747="W",$C747="1/2W",$C747="1/2L"),$P747-$O747,IF($C747="X",0,-$O747)),2),0)</f>
        <v>0</v>
      </c>
      <c r="AO747" s="198">
        <f>IF($K747=AO$3,ROUND(IF(OR($C747="W",$C747="1/2W",$C747="1/2L"),$P747-$O747,IF($C747="X",0,-$O747)),2),0)</f>
        <v>0</v>
      </c>
      <c r="AP747" s="198">
        <f>IF($K747=AP$3,ROUND(IF(OR($C747="W",$C747="1/2W",$C747="1/2L"),$P747-$O747,IF($C747="X",0,-$O747)),2),0)</f>
        <v>0</v>
      </c>
      <c r="AQ747" s="198">
        <f>IF($K747=AQ$3,ROUND(IF(OR($C747="W",$C747="1/2W",$C747="1/2L"),$P747-$O747,IF($C747="X",0,-$O747)),2),0)</f>
        <v>0</v>
      </c>
      <c r="AR747" s="199">
        <f>IF($K747=AR$3,ROUND(IF(OR($C747="W",$C747="1/2W",$C747="1/2L"),$P747-$O747,IF($C747="X",0,-$O747)),2),0)</f>
        <v>0</v>
      </c>
      <c r="AS747" s="197">
        <f>IF(AND($B745=" ",$K747=AS$3),$O747,0)</f>
        <v>0</v>
      </c>
      <c r="AT747" s="198">
        <f>IF(AND($B745=" ",K747=AT$3),$O747,0)</f>
        <v>0</v>
      </c>
      <c r="AU747" s="198">
        <f>IF(AND($B745=" ",$K747=AU$3),$O747,0)</f>
        <v>0</v>
      </c>
      <c r="AV747" s="198">
        <f>IF(AND($B745=" ",$K747=AV$3),$O747,0)</f>
        <v>0</v>
      </c>
      <c r="AW747" s="198">
        <f>IF(AND($B745=" ",$K747=AW$3),$O747,0)</f>
        <v>0</v>
      </c>
      <c r="AX747" s="198">
        <f>IF(AND($B745=" ",$K747=AX$3),$O747,0)</f>
        <v>0</v>
      </c>
      <c r="AY747" s="200">
        <f>IF(AND($B745=" ",$K747=AY$3),$O747,0)</f>
        <v>0</v>
      </c>
      <c r="AZ747" s="201">
        <f>IF(AND($B745=" ",$K747=AZ$3),$O747,0)</f>
        <v>0</v>
      </c>
      <c r="BA747" s="201">
        <f>IF(AND($B745=" ",$K747=BA$3),$O747,0)</f>
        <v>0</v>
      </c>
      <c r="BB747" s="201">
        <f>IF(AND($B745=" ",$K747=BB$3),$O747,0)</f>
        <v>0</v>
      </c>
      <c r="BC747" s="202">
        <f>IF(AND($B745=" ",$K747=BC$3),$O747,0)</f>
        <v>0</v>
      </c>
      <c r="BD747" s="198">
        <f>IF(AND($B745=" ",$K747=BD$3),$O747,0)</f>
        <v>0</v>
      </c>
      <c r="BE747" s="199">
        <f>IF(AND($B745=" ",$K747=BE$3),$O747,0)</f>
        <v>0</v>
      </c>
      <c r="BF747" s="197">
        <f>IF($K747=BF$3,IF($C747="X",0,$O747),0)</f>
        <v>0</v>
      </c>
      <c r="BG747" s="198">
        <f>IF($K747=BG$3,IF($C747="X",0,$O747),0)</f>
        <v>0</v>
      </c>
      <c r="BH747" s="198">
        <f>IF($K747=BH$3,IF($C747="X",0,$O747),0)</f>
        <v>0</v>
      </c>
      <c r="BI747" s="198">
        <f>IF($K747=BI$3,IF($C747="X",0,$O747),0)</f>
        <v>0</v>
      </c>
      <c r="BJ747" s="198">
        <f>IF($K747=BJ$3,IF($C747="X",0,$O747),0)</f>
        <v>0</v>
      </c>
      <c r="BK747" s="198">
        <f>IF($K747=BK$3,IF($C747="X",0,$O747),0)</f>
        <v>0</v>
      </c>
      <c r="BL747" s="198">
        <f>IF($K747=BL$3,IF($C747="X",0,$O747),0)</f>
        <v>0</v>
      </c>
      <c r="BM747" s="200">
        <f>IF($K747=BM$3,IF($C747="X",0,$O747),0)</f>
        <v>0</v>
      </c>
      <c r="BN747" s="201">
        <f>IF($K747=BN$3,IF($C747="X",0,$O747),0)</f>
        <v>0</v>
      </c>
      <c r="BO747" s="201">
        <f>IF($K747=BO$3,IF($C747="X",0,$O747),0)</f>
        <v>0</v>
      </c>
      <c r="BP747" s="201">
        <f>IF($K747=BP$3,IF($C747="X",0,$O747),0)</f>
        <v>0</v>
      </c>
      <c r="BQ747" s="202">
        <f>IF($K747=BQ$3,IF($C747="X",0,$O747),0)</f>
        <v>0</v>
      </c>
      <c r="BR747" s="199">
        <f>IF($K747=BR$3,IF($C747="X",0,$O747),0)</f>
        <v>0</v>
      </c>
      <c r="BS747" s="228"/>
      <c r="BT747" s="229"/>
      <c r="BU747" s="140"/>
      <c r="BV747" s="229"/>
      <c r="BW747" s="140"/>
      <c r="BX747" s="140"/>
      <c r="BY747" s="140"/>
      <c r="BZ747" s="229"/>
      <c r="CA747" s="140"/>
      <c r="CB747" s="140"/>
      <c r="CC747" s="140"/>
      <c r="CD747" s="141"/>
      <c r="CE747" s="142"/>
      <c r="CF747" s="230">
        <f>IF(CF$3=$K747,IF($C747="W",1,IF($C747="1/2W",0.5,0)),0)</f>
        <v>0</v>
      </c>
      <c r="CG747" s="231">
        <f>IF(CF$3=$K747,IF($C747="L",1,IF($C747="1/2L",0.5,0)),0)</f>
        <v>0</v>
      </c>
      <c r="CH747" s="231">
        <f>IF(CH$3=$K747,IF($C747="W",1,IF($C747="1/2W",0.5,0)),0)</f>
        <v>0</v>
      </c>
      <c r="CI747" s="231">
        <f>IF(CH$3=$K747,IF($C747="L",1,IF($C747="1/2L",0.5,0)),0)</f>
        <v>0</v>
      </c>
      <c r="CJ747" s="231">
        <f>IF(CJ$3=$K747,IF($C747="W",1,IF($C747="1/2W",0.5,0)),0)</f>
        <v>0</v>
      </c>
      <c r="CK747" s="231">
        <f>IF(CJ$3=$K747,IF($C747="L",1,IF($C747="1/2L",0.5,0)),0)</f>
        <v>0</v>
      </c>
      <c r="CL747" s="231">
        <f>IF(CL$3=$K747,IF($C747="W",1,IF($C747="1/2W",0.5,0)),0)</f>
        <v>0</v>
      </c>
      <c r="CM747" s="231">
        <f>IF(CL$3=$K747,IF($C747="L",1,IF($C747="1/2L",0.5,0)),0)</f>
        <v>0</v>
      </c>
      <c r="CN747" s="231">
        <f>IF(CN$3=$K747,IF($C747="W",1,IF($C747="1/2W",0.5,0)),0)</f>
        <v>0</v>
      </c>
      <c r="CO747" s="231">
        <f>IF(CN$3=$K747,IF($C747="L",1,IF($C747="1/2L",0.5,0)),0)</f>
        <v>0</v>
      </c>
      <c r="CP747" s="231">
        <f>IF(CP$3=$K747,IF($C747="W",1,IF($C747="1/2W",0.5,0)),0)</f>
        <v>0</v>
      </c>
      <c r="CQ747" s="231">
        <f>IF(CP$3=$K747,IF($C747="L",1,IF($C747="1/2L",0.5,0)),0)</f>
        <v>0</v>
      </c>
      <c r="CR747" s="231">
        <f>IF(CR$3=$K747,IF($C747="W",1,IF($C747="1/2W",0.5,0)),0)</f>
        <v>0</v>
      </c>
      <c r="CS747" s="231">
        <f>IF(CR$3=$K747,IF($C747="L",1,IF($C747="1/2L",0.5,0)),0)</f>
        <v>0</v>
      </c>
      <c r="CT747" s="208">
        <f>IF(CT$3=$K747,IF($C747="W",1,IF($C747="1/2W",0.5,0)),0)</f>
        <v>0</v>
      </c>
      <c r="CU747" s="209">
        <f>IF(CT$3=$K747,IF($C747="L",1,IF($C747="1/2L",0.5,0)),0)</f>
        <v>0</v>
      </c>
      <c r="CV747" s="209">
        <f>IF(CV$3=$K747,IF($C747="W",1,IF($C747="1/2W",0.5,0)),0)</f>
        <v>0</v>
      </c>
      <c r="CW747" s="209">
        <f>IF(CV$3=$K747,IF($C747="L",1,IF($C747="1/2L",0.5,0)),0)</f>
        <v>0</v>
      </c>
      <c r="CX747" s="209">
        <f>IF(CX$3=$K747,IF($C747="W",1,IF($C747="1/2W",0.5,0)),0)</f>
        <v>0</v>
      </c>
      <c r="CY747" s="209">
        <f>IF(CX$3=$K747,IF($C747="L",1,IF($C747="1/2L",0.5,0)),0)</f>
        <v>0</v>
      </c>
      <c r="CZ747" s="209">
        <f>IF(CZ$3=$K747,IF($C747="W",1,IF($C747="1/2W",0.5,0)),0)</f>
        <v>0</v>
      </c>
      <c r="DA747" s="209">
        <f>IF(CZ$3=$K747,IF($C747="L",1,IF($C747="1/2L",0.5,0)),0)</f>
        <v>0</v>
      </c>
      <c r="DB747" s="209">
        <f>IF(DB$3=$K747,IF($C747="W",1,IF($C747="1/2W",0.5,0)),0)</f>
        <v>0</v>
      </c>
      <c r="DC747" s="209">
        <f>IF(DB$3=$K747,IF($C747="L",1,IF($C747="1/2L",0.5,0)),0)</f>
        <v>0</v>
      </c>
      <c r="DD747" s="209">
        <f>IF(DD$3=$K747,IF($C747="W",1,IF($C747="1/2W",0.5,0)),0)</f>
        <v>0</v>
      </c>
      <c r="DE747" s="210">
        <f>IF(DD$3=$K747,IF($C747="L",1,IF($C747="1/2L",0.5,0)),0)</f>
        <v>0</v>
      </c>
      <c r="DF747" s="211">
        <f>IF(AND(L747&lt;DF$3,$C747="W"),1+DF746,DF746)</f>
        <v>22</v>
      </c>
      <c r="DG747" s="198">
        <f>IF(DF747&gt;DF746,L747+DG746,DG746)</f>
        <v>29.404</v>
      </c>
      <c r="DH747" s="209">
        <f>IF(AND(L747&gt;DH$3,$C747="W"),1+DH746,0+DH746)</f>
        <v>18</v>
      </c>
      <c r="DI747" s="198">
        <f>IF(DH747&gt;DH746,L747+DI746,DI746)</f>
        <v>93.66</v>
      </c>
      <c r="DJ747" t="s" s="306">
        <f>IF($D745="","",$D745)</f>
        <v>481</v>
      </c>
      <c r="DK747" s="232"/>
    </row>
    <row r="748" ht="14.55" customHeight="1">
      <c r="A748" s="246">
        <f>$A745+1</f>
        <v>249</v>
      </c>
      <c r="B748" t="s" s="247">
        <f>IF(AND(_xlfn.XLOOKUP(H748,H$107:H527,G$107:G527,0)=G748,_xlfn.XLOOKUP("TempoBet",K748:K750,L748:L750,0)&gt;0),"X",IF(OR(C748="W",C749="W",C750="W",C748="1/2W",C749="1/2W",C750="1/2W",C748="1/2L",C749="1/2L",C750="1/2L"),"OK",IF(OR(C748="L",C749="L",C750="L"),"LOSS",IF(OR(C748="X",C749="X",C750="X"),"Anulado"," "))))</f>
        <v>50</v>
      </c>
      <c r="C748" t="s" s="248">
        <v>114</v>
      </c>
      <c r="D748" t="s" s="303">
        <f>IF(G748="","",$D745)</f>
        <v>481</v>
      </c>
      <c r="E748" t="s" s="250">
        <v>163</v>
      </c>
      <c r="F748" t="s" s="251">
        <f>IF(G748="","",IF(OR(AND($C748&lt;&gt;" ",$C749=" "),AND($C749&lt;&gt;" ",$C748=" "),AND(L750&gt;0,OR(AND($C750&lt;&gt;" ",OR($C748=" ",$C749=" ")),AND($C750=" ",OR($C748&lt;&gt;" ",$C749&lt;&gt;" "))))),IF(SUM(F$4:F747)=0,1,LARGE(F$4:F747,1)+1),IF(MONTH(G748)=MONTH(TODAY()),IF(AND(DAY(G748)&lt;DAY(TODAY()),$B748=" "),IF(SUM(F$4:F747)=0,1,LARGE(F$4:F747,1)+1),IF($B748=" ",IF(AND(DAY(G748)=DAY(TODAY()),HOUR(G748)&lt;=HOUR(NOW())+1),IF(AND(HOUR(G748)+2&lt;=HOUR(NOW()),DAY(G748)&lt;=DAY(TODAY()),MINUTE(G748)&lt;=MINUTE(NOW())),IF(SUM(F$4:F747)=0,1,LARGE(F$4:F747,1)+1),IF(OR(MINUTE(G748)&lt;=MINUTE(NOW()),HOUR(G748)&lt;=HOUR(NOW())),"!!!","")),""),"")),"")))</f>
      </c>
      <c r="G748" s="252">
        <v>44958.708333333336</v>
      </c>
      <c r="H748" t="s" s="253">
        <v>517</v>
      </c>
      <c r="I748" t="s" s="254">
        <v>54</v>
      </c>
      <c r="J748" s="255">
        <v>0</v>
      </c>
      <c r="K748" t="s" s="256">
        <v>41</v>
      </c>
      <c r="L748" s="257">
        <v>1.73</v>
      </c>
      <c r="M748" s="258">
        <v>9.25</v>
      </c>
      <c r="N748" s="259">
        <v>0</v>
      </c>
      <c r="O748" s="260">
        <f>IF(OR(AE748="",AE749=""),"",ROUND(IF(L750&gt;0,IF(M748&gt;0,M748,IF(M749&gt;0,ROUND((M749*AE748)/AE749,IF(N748=0,2,IF(N748=0.1,1,0))),ROUND((M750*AE748)/AE750,IF(N748=0,2,IF(N748=0.1,1,0))))),IF(M748&gt;0,M748,ROUND((M749*AE748)/AE749,IF(N748=0,2,IF(N748=0.1,1,0))))),2))</f>
        <v>9.25</v>
      </c>
      <c r="P748" s="261">
        <f>IF(OR(L748="",O748=""),"",IF($C748="1/2W",O748/2+O748/2*L748,IF($C748="1/2L",O748/2,IF(I748="Lay",(O748*(L748/(L748-1))-O748)*(1-_xlfn.XLOOKUP(K748,'Janeiro 2023 - Valor Real'!A3:A15,'Janeiro 2023 - Valor Real'!C3:C15,0))+O748,(O748*L748-O748)*(1-_xlfn.XLOOKUP(K748,'Janeiro 2023 - Valor Real'!A3:A15,'Janeiro 2023 - Valor Real'!C3:C15,0))+O748))))</f>
        <v>16.0025</v>
      </c>
      <c r="Q748" s="262">
        <f>IF(K748="","",IF(_xlfn.XLOOKUP(K748,K$107:K527,DJ$107:DJ527,0,,-1)=DJ748,_xlfn.XLOOKUP(K748,K$107:K527,Q$107:Q527,1,,-1)+1,1))</f>
        <v>1</v>
      </c>
      <c r="R748" s="263">
        <f>IF(K748="","",_xlfn.XLOOKUP(K748,K$107:K527,R$107:R527,0,,-1)+IF($C748=" ",1,0))</f>
        <v>0</v>
      </c>
      <c r="S748" s="264">
        <f>IF($B748="Anulado",0,ROUND(IF(OR($B748="LOSS",$B748="OK"),IF(OR($C748="W",$C748="1/2W",$C748="1/2L"),P748-O748,IF($C748="L",-O748,0))+IF(OR($C749="W",$C749="1/2W",$C749="1/2L"),P749-O749,IF($C749="L",-O749,0))+IF(OR($C750="W",$C750="1/2W",$C750="1/2L"),P750-O750,IF($C750="L",-O750,0)),IF(AND(OR($C748="W",$C748="1/2W",$C748="1/2L"),C749="W"),P748+P749-SUM(O748:O750)+_xlfn.XLOOKUP("X",C748:C750,O748:O750,0),IF(AND(C748=TRUE,C750="W"),P748+P750-SUM(O748:O750),IF(AND(C749="W",C750="W"),P749+P750-SUM(O748:O750)+_xlfn.XLOOKUP("X",C748:C750,O748:O750,0),IF(L750&gt;0,IF(OR($C748="W",$C748="1/2W",$C748="1/2L"),P748-SUM(O748:O750)+_xlfn.XLOOKUP("X",C748:C750,O748:O750,0),IF(OR($C748="W",$C748="1/2W",$C748="1/2L"),P749-SUM(O748:O750)+_xlfn.XLOOKUP("X",C748:C750,O748:O750,0),IF(OR($C748="W",$C748="1/2W",$C748="1/2L"),P750-SUM(O748:O750)+_xlfn.XLOOKUP("X",C748:C750,O748:O750,0),IF(SUM(P748:P750)/3-SUM(O748:O750)+_xlfn.XLOOKUP("X",C748:C750,O748:O750,0)&gt;0,SUM(P748:P750)/3-SUM(O748:O750)+_xlfn.XLOOKUP("X",C748:C750,O748:O750,0),LARGE(P748:P750,1)-SUM(O748:O750))))),IF(OR($C748="W",$C748="1/2W",$C748="1/2L"),P748-SUM(O748:O749)+_xlfn.XLOOKUP("X",C748:C750,O748:O750,0),IF(OR($C748="W",$C748="1/2W",$C748="1/2L"),P749-SUM(O748:O749)+_xlfn.XLOOKUP("X",C748:C750,O748:O750,0),SUM(P748:P749)/2-SUM(O748:O749)+_xlfn.XLOOKUP("X",C748:C750,O748:O750,0)))))))),2))</f>
        <v>0.97</v>
      </c>
      <c r="T748" s="265">
        <f>IF(S748=0,0,S748/SUM(O748:O750))</f>
        <v>0.0644946808510638</v>
      </c>
      <c r="U748" s="266">
        <f>IF($D748=$D745,IF(OR($B748="LOSS",$B748="OK",$B748="Anulada"),S748,0)+U745,IF(OR($B748="LOSS",$B748="OK",$B748="Anulada"),S748,0))</f>
        <v>31.04</v>
      </c>
      <c r="V748" s="266">
        <f>IF($D748="",0,IF($D748=$D745,IF($B748=" ",IF(I750="",IF(OR(AND(I748="DNB1",I749="DNB2"),AND(OR(I748="DNB1",I748="DNB2"),J749=0),AND(OR(I749="DNB1",I749="DNB2"),J748=0),AND(I748="DNB2",I749="DNB1"),AND(IF(J748=0,(J748+1)/ROUND(J748+1,0),J748/ROUND(J748,0))=1,IF(J749=0,(J749+1)/ROUND(IF(J749="",0,J749)+1,0),IF(J749="",0,J749)/ROUND(IF(J749="",1,J749),0))=1,OR(J748&lt;&gt;""),J749&lt;&gt;"")),0,IF(S748&lt;0,IF(I750="",SMALL(P748:P749,1)-SUM(O748:O749),0),SMALL(P748:P749,1)-SUM(O748:O749))),IF(S748&lt;0,IF(I750="",SMALL(P748:P750,1)-SUM(O748:O750),0),LARGE(P748:P750,1)-SUM(O748:O750))),S748)+V745,IF(I750="",IF(OR(AND(I748="DNB1",I749="DNB2"),AND(OR(I748="DNB1",I748="DNB2"),J749=0),AND(OR(I749="DNB1",I749="DNB2"),J748=0),AND(I748="DNB2",I749="DNB1"),AND(IF(J748=0,(J748+1)/ROUND(J748+1,0),J748/ROUND(J748,0))=1,IF(J749=0,(IF(J749="",0,J749)+1)/ROUND(IF(J749="",0,J749)+1,0),IF(J749="",0,J749)/ROUND(IF(J749="",0,J749)+1,0))=1,OR(J748&lt;&gt;""),J749&lt;&gt;"")),0,IF(S748&lt;0,IF(I750="",SMALL(P748:P749,1)-SUM(O748:O749),0),SMALL(P748:P750,1)-SUM(O748:O750))),IF(S748&lt;0,IF(I750="",SMALL(P748:P750,1)-SUM(O748:O750),0),LARGE(P748:P750,1)-SUM(O748:O750)))))</f>
        <v>31.0376</v>
      </c>
      <c r="W748" s="266">
        <f>IF($D748=$D745,IF(S748&lt;0,IF(I750="",S748,0),S748)+W745,S748)</f>
        <v>31.04</v>
      </c>
      <c r="X748" t="s" s="267">
        <f>IF(OR(SUM(R748:R750)=0,V748=W748),ROUND(IF(W748=0,0,W748/Y748)*100,2)&amp;"%",ROUND(IF(V748=0,0,V748/Y748)*100,2)&amp;"% a "&amp;ROUND(IF(W748=0,0,W748/Y748)*100,2)&amp;"%")</f>
        <v>518</v>
      </c>
      <c r="Y748" s="268">
        <f>IF($D748=$D745,Y745+SUM(O748:O750),SUM(O748:O750))</f>
        <v>605.15</v>
      </c>
      <c r="Z748" s="266">
        <f>IF($B748=" ",SUM(O748:O750),0)+Z745</f>
        <v>0</v>
      </c>
      <c r="AA748" s="266">
        <f>IF(G748="","",IF($B748="Anulado",LARGE(P748:P750,1)-SUM(O748:O750)+AA745,AA745))</f>
        <v>29.9145076923077</v>
      </c>
      <c r="AB748" s="266">
        <f>IF($D748="","",AB745+S748)</f>
        <v>502.22</v>
      </c>
      <c r="AC748" s="269">
        <f>IF($D748="","",IF($B748=" ",IF(DAY(G748)=DAY(TODAY()),1+AC745,0+AC745),0+AC745))</f>
        <v>0</v>
      </c>
      <c r="AD748" s="270">
        <f>(1-_xlfn.XLOOKUP(K746,'Janeiro 2023 - Valor Real'!A3:A15,'Janeiro 2023 - Valor Real'!C3:C15,0))+1</f>
        <v>2</v>
      </c>
      <c r="AE748" s="271">
        <f>IF(L748="","",IF(L750&gt;0,(SUM(((L748-1)*(1-_xlfn.XLOOKUP(K748,'Janeiro 2023 - Valor Real'!A3:A15,'Janeiro 2023 - Valor Real'!C3:C15,0))+1),((L749-1)*(1-_xlfn.XLOOKUP(K749,'Janeiro 2023 - Valor Real'!A3:A15,'Janeiro 2023 - Valor Real'!C3:C15,0))+1),((L750-1)*(1-_xlfn.XLOOKUP(K750,'Janeiro 2023 - Valor Real'!A3:A15,'Janeiro 2023 - Valor Real'!C3:C15,0))+1))/((L748-1)*(1-_xlfn.XLOOKUP(K748,'Janeiro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Real'!C3:C15,0))+1))/((L748-1)*(1-_xlfn.XLOOKUP(K748,'Janeiro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Real'!C3:C15,0))+1))/((L749-1)*(1-_xlfn.XLOOKUP(K749,'Janeiro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Real'!C3:C15,0))+1))/((L750-1)*(1-_xlfn.XLOOKUP(K750,'Janeiro 2023 - Valor Real'!A3:A15,'Janeiro 2023 - Valor Real'!C3:C15,0))+1)),IF(I748="Lay",IF(I749="Lay",((L749/(L749-1)-1)*(1-_xlfn.XLOOKUP(K749,'Janeiro 2023 - Valor Real'!A3:A15,'Janeiro 2023 - Valor Real'!C3:C15,0))+1)/(((L749/(L749-1)-1)*(1-_xlfn.XLOOKUP(K749,'Janeiro 2023 - Valor Real'!A3:A15,'Janeiro 2023 - Valor Real'!C3:C15,0))+1)+((L748/(L748-1)-1)*(1-_xlfn.XLOOKUP(K748,'Janeiro 2023 - Valor Real'!A3:A15,'Janeiro 2023 - Valor Real'!C3:C15,0))+1)),((L749-1)*(1-_xlfn.XLOOKUP(K749,'Janeiro 2023 - Valor Real'!A3:A15,'Janeiro 2023 - Valor Real'!C3:C15,0))+1)/(((L749-1)*(1-_xlfn.XLOOKUP(K749,'Janeiro 2023 - Valor Real'!A3:A15,'Janeiro 2023 - Valor Real'!C3:C15,0))+1)+((L748/(L748-1)-1)*(1-_xlfn.XLOOKUP(K748,'Janeiro 2023 - Valor Real'!A3:A15,'Janeiro 2023 - Valor Real'!C3:C15,0))+1))),IF(I749="Lay",(((L749/(L749-1)-1)*(1-_xlfn.XLOOKUP(K749,'Janeiro 2023 - Valor Real'!A3:A15,'Janeiro 2023 - Valor Real'!C3:C15,0))+1))/(((L748-1)*(1-_xlfn.XLOOKUP(K748,'Janeiro 2023 - Valor Real'!A3:A15,'Janeiro 2023 - Valor Real'!C3:C15,0))+1)+((L749/(L749-1)-1)*(1-_xlfn.XLOOKUP(K749,'Janeiro 2023 - Valor Real'!A3:A15,'Janeiro 2023 - Valor Real'!C3:C15,0))+1)),((L749-1)*(1-_xlfn.XLOOKUP(K749,'Janeiro 2023 - Valor Real'!A3:A15,'Janeiro 2023 - Valor Real'!C3:C15,0))+1)/(((L749-1)*(1-_xlfn.XLOOKUP(K749,'Janeiro 2023 - Valor Real'!A3:A15,'Janeiro 2023 - Valor Real'!C3:C15,0))+1)+((L748-1)*(1-_xlfn.XLOOKUP(K748,'Janeiro 2023 - Valor Real'!A3:A15,'Janeiro 2023 - Valor Real'!C3:C15,0))+1))))))</f>
        <v>0.540512089656178</v>
      </c>
      <c r="AF748" s="132">
        <f>IF($K748=AF$3,ROUND(IF(OR($C748="W",$C748="1/2W",$C748="1/2L"),$P748-$O748,IF($C748="X",0,-$O748)),2),0)</f>
        <v>0</v>
      </c>
      <c r="AG748" s="133">
        <f>IF($K748=AG$3,ROUND(IF(OR($C748="W",$C748="1/2W",$C748="1/2L"),$P748-$O748,IF($C748="X",0,-$O748)),2),0)</f>
        <v>0</v>
      </c>
      <c r="AH748" s="133">
        <f>IF($K748=AH$3,ROUND(IF(OR($C748="W",$C748="1/2W",$C748="1/2L"),$P748-$O748,IF($C748="X",0,-$O748)),2),0)</f>
        <v>0</v>
      </c>
      <c r="AI748" s="133">
        <f>IF($K748=AI$3,ROUND(IF(OR($C748="W",$C748="1/2W",$C748="1/2L"),$P748-$O748,IF($C748="X",0,-$O748)),2),0)</f>
        <v>0</v>
      </c>
      <c r="AJ748" s="133">
        <f>IF($K748=AJ$3,ROUND(IF(OR($C748="W",$C748="1/2W",$C748="1/2L"),$P748-$O748,IF($C748="X",0,-$O748)),2),0)</f>
        <v>0</v>
      </c>
      <c r="AK748" s="133">
        <f>IF($K748=AK$3,ROUND(IF(OR($C748="W",$C748="1/2W",$C748="1/2L"),$P748-$O748,IF($C748="X",0,-$O748)),2),0)</f>
        <v>0</v>
      </c>
      <c r="AL748" s="133">
        <f>IF($K748=AL$3,ROUND(IF(OR($C748="W",$C748="1/2W",$C748="1/2L"),$P748-$O748,IF($C748="X",0,-$O748)),2),0)</f>
        <v>0</v>
      </c>
      <c r="AM748" s="133">
        <f>IF($K748=AM$3,ROUND(IF(OR($C748="W",$C748="1/2W",$C748="1/2L"),$P748-$O748,IF($C748="X",0,-$O748)),2),0)</f>
        <v>0</v>
      </c>
      <c r="AN748" s="133">
        <f>IF($K748=AN$3,ROUND(IF(OR($C748="W",$C748="1/2W",$C748="1/2L"),$P748-$O748,IF($C748="X",0,-$O748)),2),0)</f>
        <v>0</v>
      </c>
      <c r="AO748" s="133">
        <f>IF($K748=AO$3,ROUND(IF(OR($C748="W",$C748="1/2W",$C748="1/2L"),$P748-$O748,IF($C748="X",0,-$O748)),2),0)</f>
        <v>0</v>
      </c>
      <c r="AP748" s="133">
        <f>IF($K748=AP$3,ROUND(IF(OR($C748="W",$C748="1/2W",$C748="1/2L"),$P748-$O748,IF($C748="X",0,-$O748)),2),0)</f>
        <v>0</v>
      </c>
      <c r="AQ748" s="133">
        <f>IF($K748=AQ$3,ROUND(IF(OR($C748="W",$C748="1/2W",$C748="1/2L"),$P748-$O748,IF($C748="X",0,-$O748)),2),0)</f>
        <v>0</v>
      </c>
      <c r="AR748" s="134">
        <f>IF($K748=AR$3,ROUND(IF(OR($C748="W",$C748="1/2W",$C748="1/2L"),$P748-$O748,IF($C748="X",0,-$O748)),2),0)</f>
        <v>0</v>
      </c>
      <c r="AS748" s="132">
        <f>IF(AND($B748=" ",$K748=AS$3),$O748,0)</f>
        <v>0</v>
      </c>
      <c r="AT748" s="133">
        <f>IF(AND($B748=" ",$K748=AT$3),$O748,0)</f>
        <v>0</v>
      </c>
      <c r="AU748" s="133">
        <f>IF(AND($B748=" ",$K748=AU$3),$O748,0)</f>
        <v>0</v>
      </c>
      <c r="AV748" s="133">
        <f>IF(AND($B748=" ",$K748=AV$3),$O748,0)</f>
        <v>0</v>
      </c>
      <c r="AW748" s="133">
        <f>IF(AND($B748=" ",$K748=AW$3),$O748,0)</f>
        <v>0</v>
      </c>
      <c r="AX748" s="133">
        <f>IF(AND($B748=" ",$K748=AX$3),$O748,0)</f>
        <v>0</v>
      </c>
      <c r="AY748" s="135">
        <f>IF(AND($B748=" ",$K748=AY$3),$O748,0)</f>
        <v>0</v>
      </c>
      <c r="AZ748" s="136">
        <f>IF(AND($B748=" ",$K748=AZ$3),$O748,0)</f>
        <v>0</v>
      </c>
      <c r="BA748" s="136">
        <f>IF(AND($B748=" ",$K748=BA$3),$O748,0)</f>
        <v>0</v>
      </c>
      <c r="BB748" s="136">
        <f>IF(AND($B748=" ",$K748=BB$3),$O748,0)</f>
        <v>0</v>
      </c>
      <c r="BC748" s="137">
        <f>IF(AND($B748=" ",$K748=BC$3),$O748,0)</f>
        <v>0</v>
      </c>
      <c r="BD748" s="133">
        <f>IF(AND($B748=" ",$K748=BD$3),$O748,0)</f>
        <v>0</v>
      </c>
      <c r="BE748" s="134">
        <f>IF(AND($B748=" ",$K748=BE$3),$O748,0)</f>
        <v>0</v>
      </c>
      <c r="BF748" s="132">
        <f>IF($K748=BF$3,IF($C748="X",0,$O748),0)</f>
        <v>0</v>
      </c>
      <c r="BG748" s="133">
        <f>IF($K748=BG$3,IF($C748="X",0,$O748),0)</f>
        <v>0</v>
      </c>
      <c r="BH748" s="133">
        <f>IF($K748=BH$3,IF($C748="X",0,$O748),0)</f>
        <v>0</v>
      </c>
      <c r="BI748" s="133">
        <f>IF($K748=BI$3,IF($C748="X",0,$O748),0)</f>
        <v>0</v>
      </c>
      <c r="BJ748" s="133">
        <f>IF($K748=BJ$3,IF($C748="X",0,$O748),0)</f>
        <v>0</v>
      </c>
      <c r="BK748" s="133">
        <f>IF($K748=BK$3,IF($C748="X",0,$O748),0)</f>
        <v>0</v>
      </c>
      <c r="BL748" s="133">
        <f>IF($K748=BL$3,IF($C748="X",0,$O748),0)</f>
        <v>0</v>
      </c>
      <c r="BM748" s="135">
        <f>IF($K748=BM$3,IF($C748="X",0,$O748),0)</f>
        <v>0</v>
      </c>
      <c r="BN748" s="136">
        <f>IF($K748=BN$3,IF($C748="X",0,$O748),0)</f>
        <v>0</v>
      </c>
      <c r="BO748" s="136">
        <f>IF($K748=BO$3,IF($C748="X",0,$O748),0)</f>
        <v>0</v>
      </c>
      <c r="BP748" s="136">
        <f>IF($K748=BP$3,IF($C748="X",0,$O748),0)</f>
        <v>0</v>
      </c>
      <c r="BQ748" s="137">
        <f>IF($K748=BQ$3,IF($C748="X",0,$O748),0)</f>
        <v>0</v>
      </c>
      <c r="BR748" s="134">
        <f>IF($K748=BR$3,IF($C748="X",0,$O748),0)</f>
        <v>0</v>
      </c>
      <c r="BS748" s="170">
        <f>IF($B748="LOSS",IF(AND($K748=BS$3,$C748="L"),-$O748,0)+IF(AND($K749=BS$3,$C749="L"),-$O749,0)+IF(AND($K750=BS$3,$C750="L"),-$O750,0),IF(OR(AND($K748=BS$3,OR($C748="W",$C748="1/2W")),AND($K749=BS$3,OR($C749="W",$C749="1/2W")),AND($K750=BS$3,OR($C750="W",$C750="1/2W"))),$S748,0))</f>
        <v>0</v>
      </c>
      <c r="BT748" s="272">
        <f>IF($B748="LOSS",IF(AND($K748=BT$3,$C748="L"),-$O748,0)+IF(AND($K749=BT$3,$C749="L"),-$O749,0)+IF(AND($K749=BT$3,$C750="L"),-$O750,0),IF(OR(AND($K749=BT$3,OR($C748="W",$C748="1/2W")),AND($K749=BT$3,OR($C749="W",$C749="1/2W")),AND($K749=BT$3,OR($C750="W",$C750="1/2W"))),$S748,0))</f>
        <v>0</v>
      </c>
      <c r="BU748" s="136">
        <f>IF($B748="LOSS",IF(AND($K748=BU$3,$C748="L"),-$O748,0)+IF(AND($K749=BU$3,$C749="L"),-$O749,0)+IF(AND($K749=BU$3,$C750="L"),-$O750,0),IF(OR(AND($K749=BU$3,OR($C748="W",$C748="1/2W")),AND($K749=BU$3,OR($C749="W",$C749="1/2W")),AND($K749=BU$3,OR($C750="W",$C750="1/2W"))),$S748,0))</f>
        <v>0</v>
      </c>
      <c r="BV748" s="136">
        <f>IF($B748="LOSS",IF(AND($K748=BV$3,$C748="L"),-$O748,0)+IF(AND($K749=BV$3,$C749="L"),-$O749,0)+IF(AND($K750=BV$3,$C750="L"),-$O750,0),IF(OR(AND($K748=BV$3,OR($C748="W",$C748="1/2W")),AND($K749=BV$3,OR($C749="W",$C749="1/2W")),AND($K750=BV$3,OR($C750="W",$C750="1/2W"))),$S748,0))</f>
        <v>0</v>
      </c>
      <c r="BW748" s="136">
        <f>IF($B748="LOSS",IF(AND($K748=BW$3,$C748="L"),-$O748,0)+IF(AND($K749=BW$3,$C749="L"),-$O749,0)+IF(AND($K750=BW$3,$C750="L"),-$O750,0),IF(OR(AND($K748=BW$3,OR($C748="W",$C748="1/2W")),AND($K749=BW$3,OR($C749="W",$C749="1/2W")),AND($K750=BW$3,OR($C750="W",$C750="1/2W"))),$S748,0))</f>
        <v>0.97</v>
      </c>
      <c r="BX748" s="136">
        <f>IF($B748="LOSS",IF(AND($K748=BX$3,$C748="L"),-$O748,0)+IF(AND($K749=BX$3,$C749="L"),-$O749,0)+IF(AND($K750=BX$3,$C750="L"),-$O750,0),IF(OR(AND($K748=BX$3,OR($C748="W",$C748="1/2W")),AND($K749=BX$3,OR($C749="W",$C749="1/2W")),AND($K750=BX$3,OR($C750="W",$C750="1/2W"))),$S748,0))</f>
        <v>0</v>
      </c>
      <c r="BY748" s="136">
        <f>IF($B748="LOSS",IF(AND($K748=BY$3,$C748="L"),-$O748,0)+IF(AND($K749=BY$3,$C749="L"),-$O749,0)+IF(AND($K750=BY$3,$C750="L"),-$O750,0),IF(OR(AND($K748=BY$3,OR($C748="W",$C748="1/2W")),AND($K749=BY$3,OR($C749="W",$C749="1/2W")),AND($K750=BY$3,OR($C750="W",$C750="1/2W"))),$S748,0))</f>
        <v>0</v>
      </c>
      <c r="BZ748" s="136">
        <f>IF($B748="LOSS",IF(AND($K748=BZ$3,$C748="L"),-$O748,0)+IF(AND($K749=BZ$3,$C749="L"),-$O749,0)+IF(AND($K750=BZ$3,$C750="L"),-$O750,0),IF(OR(AND($K748=BZ$3,OR($C748="W",$C748="1/2W")),AND($K749=BZ$3,OR($C749="W",$C749="1/2W")),AND($K750=BZ$3,OR($C750="W",$C750="1/2W"))),$S748,0))</f>
        <v>0</v>
      </c>
      <c r="CA748" s="136">
        <f>IF($B748="LOSS",IF(AND($K748=CA$3,$C748="L"),-$O748,0)+IF(AND($K749=CA$3,$C749="L"),-$O749,0)+IF(AND($K750=CA$3,$C750="L"),-$O750,0),IF(OR(AND($K748=CA$3,OR($C748="W",$C748="1/2W")),AND($K749=CA$3,OR($C749="W",$C749="1/2W")),AND($K750=CA$3,OR($C750="W",$C750="1/2W"))),$S748,0))</f>
        <v>0</v>
      </c>
      <c r="CB748" s="136">
        <f>IF($B748="LOSS",IF(AND($K748=CB$3,$C748="L"),-$O748,0)+IF(AND($K749=CB$3,$C749="L"),-$O749,0)+IF(AND($K750=CB$3,$C750="L"),-$O750,0),IF(OR(AND($K748=CB$3,OR($C748="W",$C748="1/2W")),AND($K749=CB$3,OR($C749="W",$C749="1/2W")),AND($K750=CB$3,OR($C750="W",$C750="1/2W"))),$S748,0))</f>
        <v>0</v>
      </c>
      <c r="CC748" s="136">
        <f>IF($B748="LOSS",IF(AND($K748=CC$3,$C748="L"),-$O748,0)+IF(AND($K749=CC$3,$C749="L"),-$O749,0)+IF(AND($K750=CC$3,$C750="L"),-$O750,0),IF(OR(AND($K748=CC$3,OR($C748="W",$C748="1/2W")),AND($K749=CC$3,OR($C749="W",$C749="1/2W")),AND($K750=CC$3,OR($C750="W",$C750="1/2W"))),$S748,0))</f>
        <v>0</v>
      </c>
      <c r="CD748" s="137">
        <f>IF($B748="LOSS",IF(AND($K748=CD$3,$C748="L"),-$O748,0)+IF(AND($K749=CD$3,$C749="L"),-$O749,0)+IF(AND($K750=CD$3,$C750="L"),-$O750,0),IF(OR(AND($K748=CD$3,OR($C748="W",$C748="1/2W")),AND($K749=CD$3,OR($C749="W",$C749="1/2W")),AND($K750=CD$3,OR($C750="W",$C750="1/2W"))),$S748,0))</f>
        <v>0</v>
      </c>
      <c r="CE748" s="134">
        <f>IF($B748="LOSS",IF(AND($K748=CE$3,$C748="L"),-$O748,0)+IF(AND($K749=CE$3,$C749="L"),-$O749,0)+IF(AND($K750=CE$3,$C750="L"),-$O750,0),IF(OR(AND($K748=CE$3,OR($C748="W",$C748="1/2W")),AND($K749=CE$3,OR($C749="W",$C749="1/2W")),AND($K750=CE$3,OR($C750="W",$C750="1/2W"))),$S748,0))</f>
        <v>0</v>
      </c>
      <c r="CF748" s="273">
        <f>IF(CF$3=$K748,IF($C748="W",1,IF($C748="1/2W",0.5,0)),0)</f>
        <v>0</v>
      </c>
      <c r="CG748" s="274">
        <f>IF(CF$3=$K748,IF($C748="L",1,IF($C748="1/2L",0.5,0)),0)</f>
        <v>0</v>
      </c>
      <c r="CH748" s="274">
        <f>IF(CH$3=$K748,IF($C748="W",1,IF($C748="1/2W",0.5,0)),0)</f>
        <v>0</v>
      </c>
      <c r="CI748" s="274">
        <f>IF(CH$3=$K748,IF($C748="L",1,IF($C748="1/2L",0.5,0)),0)</f>
        <v>0</v>
      </c>
      <c r="CJ748" s="274">
        <f>IF(CJ$3=$K748,IF($C748="W",1,IF($C748="1/2W",0.5,0)),0)</f>
        <v>0</v>
      </c>
      <c r="CK748" s="274">
        <f>IF(CJ$3=$K748,IF($C748="L",1,IF($C748="1/2L",0.5,0)),0)</f>
        <v>0</v>
      </c>
      <c r="CL748" s="274">
        <f>IF(CL$3=$K748,IF($C748="W",1,IF($C748="1/2W",0.5,0)),0)</f>
        <v>0</v>
      </c>
      <c r="CM748" s="274">
        <f>IF(CL$3=$K748,IF($C748="L",1,IF($C748="1/2L",0.5,0)),0)</f>
        <v>0</v>
      </c>
      <c r="CN748" s="274">
        <f>IF(CN$3=$K748,IF($C748="W",1,IF($C748="1/2W",0.5,0)),0)</f>
        <v>0</v>
      </c>
      <c r="CO748" s="274">
        <f>IF(CN$3=$K748,IF($C748="L",1,IF($C748="1/2L",0.5,0)),0)</f>
        <v>0</v>
      </c>
      <c r="CP748" s="274">
        <f>IF(CP$3=$K748,IF($C748="W",1,IF($C748="1/2W",0.5,0)),0)</f>
        <v>0</v>
      </c>
      <c r="CQ748" s="274">
        <f>IF(CP$3=$K748,IF($C748="L",1,IF($C748="1/2L",0.5,0)),0)</f>
        <v>0</v>
      </c>
      <c r="CR748" s="274">
        <f>IF(CR$3=$K748,IF($C748="W",1,IF($C748="1/2W",0.5,0)),0)</f>
        <v>0</v>
      </c>
      <c r="CS748" s="274">
        <f>IF(CR$3=$K748,IF($C748="L",1,IF($C748="1/2L",0.5,0)),0)</f>
        <v>0</v>
      </c>
      <c r="CT748" s="145">
        <f>IF(CT$3=$K748,IF($C748="W",1,IF($C748="1/2W",0.5,0)),0)</f>
        <v>0</v>
      </c>
      <c r="CU748" s="146">
        <f>IF(CT$3=$K748,IF($C748="L",1,IF($C748="1/2L",0.5,0)),0)</f>
        <v>0</v>
      </c>
      <c r="CV748" s="146">
        <f>IF(CV$3=$K748,IF($C748="W",1,IF($C748="1/2W",0.5,0)),0)</f>
        <v>0</v>
      </c>
      <c r="CW748" s="146">
        <f>IF(CV$3=$K748,IF($C748="L",1,IF($C748="1/2L",0.5,0)),0)</f>
        <v>0</v>
      </c>
      <c r="CX748" s="146">
        <f>IF(CX$3=$K748,IF($C748="W",1,IF($C748="1/2W",0.5,0)),0)</f>
        <v>0</v>
      </c>
      <c r="CY748" s="146">
        <f>IF(CX$3=$K748,IF($C748="L",1,IF($C748="1/2L",0.5,0)),0)</f>
        <v>0</v>
      </c>
      <c r="CZ748" s="146">
        <f>IF(CZ$3=$K748,IF($C748="W",1,IF($C748="1/2W",0.5,0)),0)</f>
        <v>0</v>
      </c>
      <c r="DA748" s="146">
        <f>IF(CZ$3=$K748,IF($C748="L",1,IF($C748="1/2L",0.5,0)),0)</f>
        <v>0</v>
      </c>
      <c r="DB748" s="146">
        <f>IF(DB$3=$K748,IF($C748="W",1,IF($C748="1/2W",0.5,0)),0)</f>
        <v>0</v>
      </c>
      <c r="DC748" s="146">
        <f>IF(DB$3=$K748,IF($C748="L",1,IF($C748="1/2L",0.5,0)),0)</f>
        <v>0</v>
      </c>
      <c r="DD748" s="146">
        <f>IF(DD$3=$K748,IF($C748="W",1,IF($C748="1/2W",0.5,0)),0)</f>
        <v>0</v>
      </c>
      <c r="DE748" s="147">
        <f>IF(DD$3=$K748,IF($C748="L",1,IF($C748="1/2L",0.5,0)),0)</f>
        <v>0</v>
      </c>
      <c r="DF748" s="143">
        <f>IF(AND(L748&lt;DF$3,$C748="W"),1+DF747,DF747)</f>
        <v>22</v>
      </c>
      <c r="DG748" s="133">
        <f>IF(DF748&gt;DF747,L748+DG747,DG747)</f>
        <v>29.404</v>
      </c>
      <c r="DH748" s="146">
        <f>IF(AND(L748&gt;DH$3,$C748="W"),1+DH747,0+DH747)</f>
        <v>18</v>
      </c>
      <c r="DI748" s="133">
        <f>IF(DH748&gt;DH747,L748+DI747,DI747)</f>
        <v>93.66</v>
      </c>
      <c r="DJ748" t="s" s="304">
        <f>IF($D748="","",$D748)</f>
        <v>481</v>
      </c>
      <c r="DK748" s="146">
        <f>IF(AND($B748=" ",$D748&lt;&gt;""),1,0)</f>
        <v>0</v>
      </c>
    </row>
    <row r="749" ht="14.55" customHeight="1">
      <c r="A749" s="107"/>
      <c r="B749" s="108"/>
      <c r="C749" t="s" s="109">
        <v>56</v>
      </c>
      <c r="D749" s="110"/>
      <c r="E749" s="111"/>
      <c r="F749" s="113"/>
      <c r="G749" s="252"/>
      <c r="H749" s="114"/>
      <c r="I749" t="s" s="275">
        <v>114</v>
      </c>
      <c r="J749" t="s" s="295">
        <f>IF(OR(I748="TO",I748="TU",I748="TO1",I748="TU1",I748="TO2",I748="TU2"),J748,IF(OR(I748="AH1",I748="AH2"),IF(OR(I749="AH1",I749="AH2"),-J748,IF(OR(I749="EH1",I749="EH2"),-J748+0.5,"")),IF(OR(I748="EH1",I748="EH2"),IF(OR(I749="AH1",I749="AH2"),-J748+0.5,IF(OR(I749="EH1",I749="EH2"),-J748+1,"")),IF(AND(OR(I748="DNB1",I748="DNB2"),OR(I749="AH1",I749="AH2")),0,IF(AND(I748="Not ScoreBoth",OR(I749="TO1",I749="TO2")),0.5,"")))))</f>
      </c>
      <c r="K749" t="s" s="117">
        <v>41</v>
      </c>
      <c r="L749" s="277">
        <v>4.45</v>
      </c>
      <c r="M749" s="278">
        <v>1.52</v>
      </c>
      <c r="N749" s="120"/>
      <c r="O749" s="121">
        <f>IF(OR(AE748="",AE749=""),"",ROUND(IF(L750&gt;0,IF(M749&gt;0,M749,IF(M748&gt;0,IF(N748=TRUE,ROUND((M748*AE749)/AE748,0),(M748*AE749)/AE748),IF(M749&gt;0,ROUND(M749,IF(N748=0,2,IF(N748=0.1,1,0))),IF(M750&gt;0,ROUND(O750*AE749/AE750,IF(N748=0,2,IF(N748=0.1,1,0))),0)))),IF(M749&gt;0,M749,ROUND((M748*AE749)/AE748,IF(N748=0,2,IF(N748=0.1,1,0))))),2))</f>
        <v>1.52</v>
      </c>
      <c r="P749" s="122">
        <f>IF(OR(L749="",O749=""),"",IF($C749="1/2W",O749/2+O749/2*L749,IF($C749="1/2L",O749/2,IF(I749="Lay",((O749*(L749/(L749-1)))-O749)*(1-_xlfn.XLOOKUP(K749,'Janeiro 2023 - Valor Real'!A3:A15,'Janeiro 2023 - Valor Real'!C3:C15,0))+O749,(O749*L749-O749)*(1-_xlfn.XLOOKUP(K749,'Janeiro 2023 - Valor Real'!A3:A15,'Janeiro 2023 - Valor Real'!C3:C15,0))+O749))))</f>
        <v>6.764</v>
      </c>
      <c r="Q749" s="279">
        <f>IF(K749="","",IF(_xlfn.XLOOKUP(K749,K$120:K528,DJ$120:DJ528,0,,-1)=DJ749,_xlfn.XLOOKUP(K749,K$120:K528,Q$120:Q528,1,,-1)+1,1))</f>
        <v>1</v>
      </c>
      <c r="R749" s="280">
        <f>IF(K749="","",_xlfn.XLOOKUP(K749,K$120:K528,R$120:R528,0,,-1)+IF($C749=" ",1,0))</f>
        <v>0</v>
      </c>
      <c r="S749" s="125"/>
      <c r="T749" s="126"/>
      <c r="U749" s="126"/>
      <c r="V749" s="224"/>
      <c r="W749" s="126"/>
      <c r="X749" s="127"/>
      <c r="Y749" s="128"/>
      <c r="Z749" s="129"/>
      <c r="AA749" s="129"/>
      <c r="AB749" s="129"/>
      <c r="AC749" s="129"/>
      <c r="AD749" s="130"/>
      <c r="AE749" s="131">
        <f>IF(L749="","",IF(L750&gt;0,(SUM(((L748-1)*(1-_xlfn.XLOOKUP(K748,'Janeiro 2023 - Valor Real'!A3:A15,'Janeiro 2023 - Valor Real'!C3:C15,0))+1),((L749-1)*(1-_xlfn.XLOOKUP(K749,'Janeiro 2023 - Valor Real'!A3:A15,'Janeiro 2023 - Valor Real'!C3:C15,0))+1),((L750-1)*(1-_xlfn.XLOOKUP(K750,'Janeiro 2023 - Valor Real'!A3:A15,'Janeiro 2023 - Valor Real'!C3:C15,0))+1))/((L749-1)*(1-_xlfn.XLOOKUP(K749,'Janeiro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Real'!C3:C15,0))+1))/((L748-1)*(1-_xlfn.XLOOKUP(K748,'Janeiro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Real'!C3:C15,0))+1))/((L749-1)*(1-_xlfn.XLOOKUP(K749,'Janeiro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Real'!C3:C15,0))+1))/((L750-1)*(1-_xlfn.XLOOKUP(K750,'Janeiro 2023 - Valor Real'!A3:A15,'Janeiro 2023 - Valor Real'!C3:C15,0))+1)),IF(I749="Lay",IF(I748="Lay",((L748/(L748-1)-1)*(1-_xlfn.XLOOKUP(K748,'Janeiro 2023 - Valor Real'!A3:A15,'Janeiro 2023 - Valor Real'!C3:C15,0))+1)/(((L748/(L748-1)-1)*(1-_xlfn.XLOOKUP(K748,'Janeiro 2023 - Valor Real'!A3:A15,'Janeiro 2023 - Valor Real'!C3:C15,0))+1)+((L749/(L749-1)-1)*(1-_xlfn.XLOOKUP(K749,'Janeiro 2023 - Valor Real'!A3:A15,'Janeiro 2023 - Valor Real'!C3:C15,0))+1)),((L748-1)*(1-_xlfn.XLOOKUP(K748,'Janeiro 2023 - Valor Real'!A3:A15,'Janeiro 2023 - Valor Real'!C3:C15,0))+1)/(((L748-1)*(1-_xlfn.XLOOKUP(K748,'Janeiro 2023 - Valor Real'!A3:A15,'Janeiro 2023 - Valor Real'!C3:C15,0))+1)+((L749/(L749-1)-1)*(1-_xlfn.XLOOKUP(K749,'Janeiro 2023 - Valor Real'!A3:A15,'Janeiro 2023 - Valor Real'!C3:C15,0))+1))),IF(I748="Lay",((L748/(L748-1)-1)*(1-_xlfn.XLOOKUP(K748,'Janeiro 2023 - Valor Real'!A3:A15,'Janeiro 2023 - Valor Real'!C3:C15,0))+1)/((((L748/(L748-1)-1)*(1-_xlfn.XLOOKUP(K748,'Janeiro 2023 - Valor Real'!A3:A15,'Janeiro 2023 - Valor Real'!C3:C15,0))+1))+((L749-1)*(1-_xlfn.XLOOKUP(K749,'Janeiro 2023 - Valor Real'!A3:A15,'Janeiro 2023 - Valor Real'!C3:C15,0))+1)),((L748-1)*(1-_xlfn.XLOOKUP(K748,'Janeiro 2023 - Valor Real'!A3:A15,'Janeiro 2023 - Valor Real'!C3:C15,0))+1)/(((L748-1)*(1-_xlfn.XLOOKUP(K748,'Janeiro 2023 - Valor Real'!A3:A15,'Janeiro 2023 - Valor Real'!C3:C15,0))+1)+((L749-1)*(1-_xlfn.XLOOKUP(K749,'Janeiro 2023 - Valor Real'!A3:A15,'Janeiro 2023 - Valor Real'!C3:C15,0))+1))))))</f>
        <v>0.210131666315772</v>
      </c>
      <c r="AF749" s="132">
        <f>IF($K749=AF$3,ROUND(IF(OR($C749="W",$C749="1/2W",$C749="1/2L"),$P749-$O749,IF($C749="X",0,-$O749)),2),0)</f>
        <v>0</v>
      </c>
      <c r="AG749" s="133">
        <f>IF($K749=AG$3,ROUND(IF(OR($C749="W",$C749="1/2W",$C749="1/2L"),$P749-$O749,IF($C749="X",0,-$O749)),2),0)</f>
        <v>0</v>
      </c>
      <c r="AH749" s="133">
        <f>IF($K749=AH$3,ROUND(IF(OR($C749="W",$C749="1/2W",$C749="1/2L"),$P749-$O749,IF($C749="X",0,-$O749)),2),0)</f>
        <v>0</v>
      </c>
      <c r="AI749" s="133">
        <f>IF($K749=AI$3,ROUND(IF(OR($C749="W",$C749="1/2W",$C749="1/2L"),$P749-$O749,IF($C749="X",0,-$O749)),2),0)</f>
        <v>0</v>
      </c>
      <c r="AJ749" s="133">
        <f>IF($K749=AJ$3,ROUND(IF(OR($C749="W",$C749="1/2W",$C749="1/2L"),$P749-$O749,IF($C749="X",0,-$O749)),2),0)</f>
        <v>5.24</v>
      </c>
      <c r="AK749" s="133">
        <f>IF($K749=AK$3,ROUND(IF(OR($C749="W",$C749="1/2W",$C749="1/2L"),$P749-$O749,IF($C749="X",0,-$O749)),2),0)</f>
        <v>0</v>
      </c>
      <c r="AL749" s="133">
        <f>IF($K749=AL$3,ROUND(IF(OR($C749="W",$C749="1/2W",$C749="1/2L"),$P749-$O749,IF($C749="X",0,-$O749)),2),0)</f>
        <v>0</v>
      </c>
      <c r="AM749" s="133">
        <f>IF($K749=AM$3,ROUND(IF(OR($C749="W",$C749="1/2W",$C749="1/2L"),$P749-$O749,IF($C749="X",0,-$O749)),2),0)</f>
        <v>0</v>
      </c>
      <c r="AN749" s="133">
        <f>IF($K749=AN$3,ROUND(IF(OR($C749="W",$C749="1/2W",$C749="1/2L"),$P749-$O749,IF($C749="X",0,-$O749)),2),0)</f>
        <v>0</v>
      </c>
      <c r="AO749" s="133">
        <f>IF($K749=AO$3,ROUND(IF(OR($C749="W",$C749="1/2W",$C749="1/2L"),$P749-$O749,IF($C749="X",0,-$O749)),2),0)</f>
        <v>0</v>
      </c>
      <c r="AP749" s="133">
        <f>IF($K749=AP$3,ROUND(IF(OR($C749="W",$C749="1/2W",$C749="1/2L"),$P749-$O749,IF($C749="X",0,-$O749)),2),0)</f>
        <v>0</v>
      </c>
      <c r="AQ749" s="133">
        <f>IF($K749=AQ$3,ROUND(IF(OR($C749="W",$C749="1/2W",$C749="1/2L"),$P749-$O749,IF($C749="X",0,-$O749)),2),0)</f>
        <v>0</v>
      </c>
      <c r="AR749" s="134">
        <f>IF($K749=AR$3,ROUND(IF(OR($C749="W",$C749="1/2W",$C749="1/2L"),$P749-$O749,IF($C749="X",0,-$O749)),2),0)</f>
        <v>0</v>
      </c>
      <c r="AS749" s="132">
        <f>IF(AND($B748=" ",$K749=AS$3),$O749,0)</f>
        <v>0</v>
      </c>
      <c r="AT749" s="133">
        <f>IF(AND($B748=" ",K749=AT$3),$O749,0)</f>
        <v>0</v>
      </c>
      <c r="AU749" s="133">
        <f>IF(AND($B748=" ",$K749=AU$3),$O749,0)</f>
        <v>0</v>
      </c>
      <c r="AV749" s="133">
        <f>IF(AND($B748=" ",$K749=AV$3),$O749,0)</f>
        <v>0</v>
      </c>
      <c r="AW749" s="133">
        <f>IF(AND($B748=" ",$K749=AW$3),$O749,0)</f>
        <v>0</v>
      </c>
      <c r="AX749" s="133">
        <f>IF(AND($B748=" ",$K749=AX$3),$O749,0)</f>
        <v>0</v>
      </c>
      <c r="AY749" s="135">
        <f>IF(AND($B748=" ",$K749=AY$3),$O749,0)</f>
        <v>0</v>
      </c>
      <c r="AZ749" s="136">
        <f>IF(AND($B748=" ",$K749=AZ$3),$O749,0)</f>
        <v>0</v>
      </c>
      <c r="BA749" s="136">
        <f>IF(AND($B748=" ",$K749=BA$3),$O749,0)</f>
        <v>0</v>
      </c>
      <c r="BB749" s="136">
        <f>IF(AND($B748=" ",$K749=BB$3),$O749,0)</f>
        <v>0</v>
      </c>
      <c r="BC749" s="137">
        <f>IF(AND($B748=" ",$K749=BC$3),$O749,0)</f>
        <v>0</v>
      </c>
      <c r="BD749" s="133">
        <f>IF(AND($B748=" ",$K749=BD$3),$O749,0)</f>
        <v>0</v>
      </c>
      <c r="BE749" s="134">
        <f>IF(AND($B748=" ",$K749=BE$3),$O749,0)</f>
        <v>0</v>
      </c>
      <c r="BF749" s="132">
        <f>IF($K749=BF$3,IF($C749="X",0,$O749),0)</f>
        <v>0</v>
      </c>
      <c r="BG749" s="281">
        <f>IF($K749=BG$3,IF($C749="X",0,$O749),0)</f>
        <v>0</v>
      </c>
      <c r="BH749" s="133">
        <f>IF($K749=BH$3,IF($C749="X",0,$O749),0)</f>
        <v>0</v>
      </c>
      <c r="BI749" s="133">
        <f>IF($K749=BI$3,IF($C749="X",0,$O749),0)</f>
        <v>0</v>
      </c>
      <c r="BJ749" s="133">
        <f>IF($K749=BJ$3,IF($C749="X",0,$O749),0)</f>
        <v>1.52</v>
      </c>
      <c r="BK749" s="133">
        <f>IF($K749=BK$3,IF($C749="X",0,$O749),0)</f>
        <v>0</v>
      </c>
      <c r="BL749" s="133">
        <f>IF($K749=BL$3,IF($C749="X",0,$O749),0)</f>
        <v>0</v>
      </c>
      <c r="BM749" s="135">
        <f>IF($K749=BM$3,IF($C749="X",0,$O749),0)</f>
        <v>0</v>
      </c>
      <c r="BN749" s="136">
        <f>IF($K749=BN$3,IF($C749="X",0,$O749),0)</f>
        <v>0</v>
      </c>
      <c r="BO749" s="136">
        <f>IF($K749=BO$3,IF($C749="X",0,$O749),0)</f>
        <v>0</v>
      </c>
      <c r="BP749" s="136">
        <f>IF($K749=BP$3,IF($C749="X",0,$O749),0)</f>
        <v>0</v>
      </c>
      <c r="BQ749" s="137">
        <f>IF($K749=BQ$3,IF($C749="X",0,$O749),0)</f>
        <v>0</v>
      </c>
      <c r="BR749" s="134">
        <f>IF($K749=BR$3,IF($C749="X",0,$O749),0)</f>
        <v>0</v>
      </c>
      <c r="BS749" s="282"/>
      <c r="BT749" s="283"/>
      <c r="BU749" s="140"/>
      <c r="BV749" s="283"/>
      <c r="BW749" s="140"/>
      <c r="BX749" s="140"/>
      <c r="BY749" s="140"/>
      <c r="BZ749" s="283"/>
      <c r="CA749" s="140"/>
      <c r="CB749" s="140"/>
      <c r="CC749" s="140"/>
      <c r="CD749" s="141"/>
      <c r="CE749" s="142"/>
      <c r="CF749" s="284">
        <f>IF(CF$3=$K749,IF($C749="W",1,IF($C749="1/2W",0.5,0)),0)</f>
        <v>0</v>
      </c>
      <c r="CG749" s="285">
        <f>IF(CF$3=$K749,IF($C749="L",1,IF($C749="1/2L",0.5,0)),0)</f>
        <v>0</v>
      </c>
      <c r="CH749" s="285">
        <f>IF(CH$3=$K749,IF($C749="W",1,IF($C749="1/2W",0.5,0)),0)</f>
        <v>0</v>
      </c>
      <c r="CI749" s="285">
        <f>IF(CH$3=$K749,IF($C749="L",1,IF($C749="1/2L",0.5,0)),0)</f>
        <v>0</v>
      </c>
      <c r="CJ749" s="285">
        <f>IF(CJ$3=$K749,IF($C749="W",1,IF($C749="1/2W",0.5,0)),0)</f>
        <v>0</v>
      </c>
      <c r="CK749" s="285">
        <f>IF(CJ$3=$K749,IF($C749="L",1,IF($C749="1/2L",0.5,0)),0)</f>
        <v>0</v>
      </c>
      <c r="CL749" s="285">
        <f>IF(CL$3=$K749,IF($C749="W",1,IF($C749="1/2W",0.5,0)),0)</f>
        <v>0</v>
      </c>
      <c r="CM749" s="285">
        <f>IF(CL$3=$K749,IF($C749="L",1,IF($C749="1/2L",0.5,0)),0)</f>
        <v>0</v>
      </c>
      <c r="CN749" s="285">
        <f>IF(CN$3=$K749,IF($C749="W",1,IF($C749="1/2W",0.5,0)),0)</f>
        <v>1</v>
      </c>
      <c r="CO749" s="285">
        <f>IF(CN$3=$K749,IF($C749="L",1,IF($C749="1/2L",0.5,0)),0)</f>
        <v>0</v>
      </c>
      <c r="CP749" s="285">
        <f>IF(CP$3=$K749,IF($C749="W",1,IF($C749="1/2W",0.5,0)),0)</f>
        <v>0</v>
      </c>
      <c r="CQ749" s="285">
        <f>IF(CP$3=$K749,IF($C749="L",1,IF($C749="1/2L",0.5,0)),0)</f>
        <v>0</v>
      </c>
      <c r="CR749" s="285">
        <f>IF(CR$3=$K749,IF($C749="W",1,IF($C749="1/2W",0.5,0)),0)</f>
        <v>0</v>
      </c>
      <c r="CS749" s="285">
        <f>IF(CR$3=$K749,IF($C749="L",1,IF($C749="1/2L",0.5,0)),0)</f>
        <v>0</v>
      </c>
      <c r="CT749" s="145">
        <f>IF(CT$3=$K749,IF($C749="W",1,IF($C749="1/2W",0.5,0)),0)</f>
        <v>0</v>
      </c>
      <c r="CU749" s="146">
        <f>IF(CT$3=$K749,IF($C749="L",1,IF($C749="1/2L",0.5,0)),0)</f>
        <v>0</v>
      </c>
      <c r="CV749" s="146">
        <f>IF(CV$3=$K749,IF($C749="W",1,IF($C749="1/2W",0.5,0)),0)</f>
        <v>0</v>
      </c>
      <c r="CW749" s="146">
        <f>IF(CV$3=$K749,IF($C749="L",1,IF($C749="1/2L",0.5,0)),0)</f>
        <v>0</v>
      </c>
      <c r="CX749" s="146">
        <f>IF(CX$3=$K749,IF($C749="W",1,IF($C749="1/2W",0.5,0)),0)</f>
        <v>0</v>
      </c>
      <c r="CY749" s="146">
        <f>IF(CX$3=$K749,IF($C749="L",1,IF($C749="1/2L",0.5,0)),0)</f>
        <v>0</v>
      </c>
      <c r="CZ749" s="146">
        <f>IF(CZ$3=$K749,IF($C749="W",1,IF($C749="1/2W",0.5,0)),0)</f>
        <v>0</v>
      </c>
      <c r="DA749" s="146">
        <f>IF(CZ$3=$K749,IF($C749="L",1,IF($C749="1/2L",0.5,0)),0)</f>
        <v>0</v>
      </c>
      <c r="DB749" s="146">
        <f>IF(DB$3=$K749,IF($C749="W",1,IF($C749="1/2W",0.5,0)),0)</f>
        <v>0</v>
      </c>
      <c r="DC749" s="146">
        <f>IF(DB$3=$K749,IF($C749="L",1,IF($C749="1/2L",0.5,0)),0)</f>
        <v>0</v>
      </c>
      <c r="DD749" s="146">
        <f>IF(DD$3=$K749,IF($C749="W",1,IF($C749="1/2W",0.5,0)),0)</f>
        <v>0</v>
      </c>
      <c r="DE749" s="147">
        <f>IF(DD$3=$K749,IF($C749="L",1,IF($C749="1/2L",0.5,0)),0)</f>
        <v>0</v>
      </c>
      <c r="DF749" s="143">
        <f>IF(AND(L749&lt;DF$3,$C749="W"),1+DF748,DF748)</f>
        <v>22</v>
      </c>
      <c r="DG749" s="133">
        <f>IF(DF749&gt;DF748,L749+DG748,DG748)</f>
        <v>29.404</v>
      </c>
      <c r="DH749" s="146">
        <f>IF(AND(L749&gt;DH$3,$C749="W"),1+DH748,0+DH748)</f>
        <v>19</v>
      </c>
      <c r="DI749" s="133">
        <f>IF(DH749&gt;DH748,L749+DI748,DI748)</f>
        <v>98.11</v>
      </c>
      <c r="DJ749" t="s" s="304">
        <f>IF($D748="","",$D748)</f>
        <v>481</v>
      </c>
      <c r="DK749" s="286"/>
    </row>
    <row r="750" ht="14.55" customHeight="1">
      <c r="A750" s="149"/>
      <c r="B750" s="150"/>
      <c r="C750" t="s" s="151">
        <v>51</v>
      </c>
      <c r="D750" s="152"/>
      <c r="E750" s="153"/>
      <c r="F750" s="155"/>
      <c r="G750" s="252"/>
      <c r="H750" s="156"/>
      <c r="I750" s="353">
        <v>2</v>
      </c>
      <c r="J750" s="288"/>
      <c r="K750" t="s" s="341">
        <v>40</v>
      </c>
      <c r="L750" s="342">
        <v>3.75</v>
      </c>
      <c r="M750" s="290">
        <v>4.27</v>
      </c>
      <c r="N750" s="161"/>
      <c r="O750" s="343">
        <f>IF(OR(AE748="",AE749=""),"",IF(L750&gt;0,ROUND(IF(M750&gt;0,M750,IF(M748&gt;0,ROUND((M748*AE750)/AE748,IF(N748=0,2,IF(N748=0.1,1,0))),IF(M749&gt;0,ROUND((M749*AE750)/AE749,IF(N748=0,2,IF(N748=0.1,1,0))),IF(M750&gt;0,M750,0)))),2),""))</f>
        <v>4.27</v>
      </c>
      <c r="P750" s="297">
        <f>IF(I749="Lay",O749*(L749/(L749-1))-O749,IF(I748="Lay",O748*(L748/(L748-1))-O748,IF(OR(L750="",O750=""),"",IF($C750="1/2W",O750/2+O750/2*L750,IF($C750="1/2L",O750/2,(O750*L750-O750)*(1-_xlfn.XLOOKUP(K750,'Janeiro 2023 - Valor Real'!A3:A15,'Janeiro 2023 - Valor Real'!C3:C15,0))+O750)))))</f>
        <v>16.0125</v>
      </c>
      <c r="Q750" s="344">
        <f>IF(K750="","",IF(_xlfn.XLOOKUP(K750,K$121:K529,DJ$121:DJ529,0,,-1)=DJ750,_xlfn.XLOOKUP(K750,K$121:K529,Q$121:Q529,1,,-1)+1,1))</f>
        <v>1</v>
      </c>
      <c r="R750" s="345">
        <f>IF(K750="","",_xlfn.XLOOKUP(K750,K$121:K529,R$121:R529,0,,-1)+IF($C750=" ",1,0))</f>
        <v>0</v>
      </c>
      <c r="S750" s="166"/>
      <c r="T750" s="155"/>
      <c r="U750" s="155"/>
      <c r="V750" s="166"/>
      <c r="W750" s="155"/>
      <c r="X750" s="167"/>
      <c r="Y750" s="128"/>
      <c r="Z750" s="129"/>
      <c r="AA750" s="129"/>
      <c r="AB750" s="129"/>
      <c r="AC750" s="129"/>
      <c r="AD750" s="168"/>
      <c r="AE750" s="346">
        <f>IF(L750="","",(SUM(((L748-1)*(1-_xlfn.XLOOKUP(K748,'Janeiro 2023 - Valor Real'!A3:A15,'Janeiro 2023 - Valor Real'!C3:C15,0))+1),((L749-1)*(1-_xlfn.XLOOKUP(K749,'Janeiro 2023 - Valor Real'!A3:A15,'Janeiro 2023 - Valor Real'!C3:C15,0))+1),((L750-1)*(1-_xlfn.XLOOKUP(K750,'Janeiro 2023 - Valor Real'!A3:A15,'Janeiro 2023 - Valor Real'!C3:C15,0))+1))/((L750-1)*(1-_xlfn.XLOOKUP(K750,'Janeiro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Real'!C3:C15,0))+1))/((L748-1)*(1-_xlfn.XLOOKUP(K748,'Janeiro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Real'!C3:C15,0))+1))/((L749-1)*(1-_xlfn.XLOOKUP(K749,'Janeiro 2023 - Valor Real'!A3:A15,'Janeiro 2023 - Valor Real'!C3:C15,0))+1)+SUM(((L748-1)*(1-_xlfn.XLOOKUP(K748,'Janeiro 2023 - Valor Real'!A3:A15,'Janeiro 2023 - Valor Real'!C3:C15,0))+1),((L749-1)*(1-_xlfn.XLOOKUP(K749,'Janeiro 2023 - Valor Real'!A3:A15,'Janeiro 2023 - Valor Real'!C3:C15,0))+1),((L750-1)*(1-_xlfn.XLOOKUP(K750,'Janeiro 2023 - Valor Real'!A3:A15,'Janeiro 2023 - Valor Real'!C3:C15,0))+1))/((L750-1)*(1-_xlfn.XLOOKUP(K750,'Janeiro 2023 - Valor Real'!A3:A15,'Janeiro 2023 - Valor Real'!C3:C15,0))+1)))</f>
        <v>0.24935624402805</v>
      </c>
      <c r="AF750" s="132">
        <f>IF($K750=AF$3,ROUND(IF(OR($C750="W",$C750="1/2W",$C750="1/2L"),$P750-$O750,IF($C750="X",0,-$O750)),2),0)</f>
        <v>0</v>
      </c>
      <c r="AG750" s="133">
        <f>IF($K750=AG$3,ROUND(IF(OR($C750="W",$C750="1/2W",$C750="1/2L"),$P750-$O750,IF($C750="X",0,-$O750)),2),0)</f>
        <v>0</v>
      </c>
      <c r="AH750" s="133">
        <f>IF($K750=AH$3,ROUND(IF(OR($C750="W",$C750="1/2W",$C750="1/2L"),$P750-$O750,IF($C750="X",0,-$O750)),2),0)</f>
        <v>0</v>
      </c>
      <c r="AI750" s="133">
        <f>IF($K750=AI$3,ROUND(IF(OR($C750="W",$C750="1/2W",$C750="1/2L"),$P750-$O750,IF($C750="X",0,-$O750)),2),0)</f>
        <v>-4.27</v>
      </c>
      <c r="AJ750" s="133">
        <f>IF($K750=AJ$3,ROUND(IF(OR($C750="W",$C750="1/2W",$C750="1/2L"),$P750-$O750,IF($C750="X",0,-$O750)),2),0)</f>
        <v>0</v>
      </c>
      <c r="AK750" s="133">
        <f>IF($K750=AK$3,ROUND(IF(OR($C750="W",$C750="1/2W",$C750="1/2L"),$P750-$O750,IF($C750="X",0,-$O750)),2),0)</f>
        <v>0</v>
      </c>
      <c r="AL750" s="133">
        <f>IF($K750=AL$3,ROUND(IF(OR($C750="W",$C750="1/2W",$C750="1/2L"),$P750-$O750,IF($C750="X",0,-$O750)),2),0)</f>
        <v>0</v>
      </c>
      <c r="AM750" s="133">
        <f>IF($K750=AM$3,ROUND(IF(OR($C750="W",$C750="1/2W",$C750="1/2L"),$P750-$O750,IF($C750="X",0,-$O750)),2),0)</f>
        <v>0</v>
      </c>
      <c r="AN750" s="133">
        <f>IF($K750=AN$3,ROUND(IF(OR($C750="W",$C750="1/2W",$C750="1/2L"),$P750-$O750,IF($C750="X",0,-$O750)),2),0)</f>
        <v>0</v>
      </c>
      <c r="AO750" s="133">
        <f>IF($K750=AO$3,ROUND(IF(OR($C750="W",$C750="1/2W",$C750="1/2L"),$P750-$O750,IF($C750="X",0,-$O750)),2),0)</f>
        <v>0</v>
      </c>
      <c r="AP750" s="133">
        <f>IF($K750=AP$3,ROUND(IF(OR($C750="W",$C750="1/2W",$C750="1/2L"),$P750-$O750,IF($C750="X",0,-$O750)),2),0)</f>
        <v>0</v>
      </c>
      <c r="AQ750" s="133">
        <f>IF($K750=AQ$3,ROUND(IF(OR($C750="W",$C750="1/2W",$C750="1/2L"),$P750-$O750,IF($C750="X",0,-$O750)),2),0)</f>
        <v>0</v>
      </c>
      <c r="AR750" s="134">
        <f>IF($K750=AR$3,ROUND(IF(OR($C750="W",$C750="1/2W",$C750="1/2L"),$P750-$O750,IF($C750="X",0,-$O750)),2),0)</f>
        <v>0</v>
      </c>
      <c r="AS750" s="132">
        <f>IF(AND($B748=" ",$K750=AS$3),$O750,0)</f>
        <v>0</v>
      </c>
      <c r="AT750" s="133">
        <f>IF(AND($B748=" ",K750=AT$3),$O750,0)</f>
        <v>0</v>
      </c>
      <c r="AU750" s="133">
        <f>IF(AND($B748=" ",$K750=AU$3),$O750,0)</f>
        <v>0</v>
      </c>
      <c r="AV750" s="133">
        <f>IF(AND($B748=" ",$K750=AV$3),$O750,0)</f>
        <v>0</v>
      </c>
      <c r="AW750" s="133">
        <f>IF(AND($B748=" ",$K750=AW$3),$O750,0)</f>
        <v>0</v>
      </c>
      <c r="AX750" s="133">
        <f>IF(AND($B748=" ",$K750=AX$3),$O750,0)</f>
        <v>0</v>
      </c>
      <c r="AY750" s="135">
        <f>IF(AND($B748=" ",$K750=AY$3),$O750,0)</f>
        <v>0</v>
      </c>
      <c r="AZ750" s="136">
        <f>IF(AND($B748=" ",$K750=AZ$3),$O750,0)</f>
        <v>0</v>
      </c>
      <c r="BA750" s="136">
        <f>IF(AND($B748=" ",$K750=BA$3),$O750,0)</f>
        <v>0</v>
      </c>
      <c r="BB750" s="136">
        <f>IF(AND($B748=" ",$K750=BB$3),$O750,0)</f>
        <v>0</v>
      </c>
      <c r="BC750" s="137">
        <f>IF(AND($B748=" ",$K750=BC$3),$O750,0)</f>
        <v>0</v>
      </c>
      <c r="BD750" s="133">
        <f>IF(AND($B748=" ",$K750=BD$3),$O750,0)</f>
        <v>0</v>
      </c>
      <c r="BE750" s="134">
        <f>IF(AND($B748=" ",$K750=BE$3),$O750,0)</f>
        <v>0</v>
      </c>
      <c r="BF750" s="132">
        <f>IF($K750=BF$3,IF($C750="X",0,$O750),0)</f>
        <v>0</v>
      </c>
      <c r="BG750" s="281">
        <f>IF($K750=BG$3,IF($C750="X",0,$O750),0)</f>
        <v>0</v>
      </c>
      <c r="BH750" s="133">
        <f>IF($K750=BH$3,IF($C750="X",0,$O750),0)</f>
        <v>0</v>
      </c>
      <c r="BI750" s="133">
        <f>IF($K750=BI$3,IF($C750="X",0,$O750),0)</f>
        <v>4.27</v>
      </c>
      <c r="BJ750" s="133">
        <f>IF($K750=BJ$3,IF($C750="X",0,$O750),0)</f>
        <v>0</v>
      </c>
      <c r="BK750" s="133">
        <f>IF($K750=BK$3,IF($C750="X",0,$O750),0)</f>
        <v>0</v>
      </c>
      <c r="BL750" s="133">
        <f>IF($K750=BL$3,IF($C750="X",0,$O750),0)</f>
        <v>0</v>
      </c>
      <c r="BM750" s="135">
        <f>IF($K750=BM$3,IF($C750="X",0,$O750),0)</f>
        <v>0</v>
      </c>
      <c r="BN750" s="136">
        <f>IF($K750=BN$3,IF($C750="X",0,$O750),0)</f>
        <v>0</v>
      </c>
      <c r="BO750" s="136">
        <f>IF($K750=BO$3,IF($C750="X",0,$O750),0)</f>
        <v>0</v>
      </c>
      <c r="BP750" s="136">
        <f>IF($K750=BP$3,IF($C750="X",0,$O750),0)</f>
        <v>0</v>
      </c>
      <c r="BQ750" s="137">
        <f>IF($K750=BQ$3,IF($C750="X",0,$O750),0)</f>
        <v>0</v>
      </c>
      <c r="BR750" s="134">
        <f>IF($K750=BR$3,IF($C750="X",0,$O750),0)</f>
        <v>0</v>
      </c>
      <c r="BS750" s="282"/>
      <c r="BT750" s="283"/>
      <c r="BU750" s="140"/>
      <c r="BV750" s="283"/>
      <c r="BW750" s="140"/>
      <c r="BX750" s="140"/>
      <c r="BY750" s="140"/>
      <c r="BZ750" s="283"/>
      <c r="CA750" s="140"/>
      <c r="CB750" s="140"/>
      <c r="CC750" s="140"/>
      <c r="CD750" s="141"/>
      <c r="CE750" s="142"/>
      <c r="CF750" s="284">
        <f>IF(CF$3=$K750,IF($C750="W",1,IF($C750="1/2W",0.5,0)),0)</f>
        <v>0</v>
      </c>
      <c r="CG750" s="285">
        <f>IF(CF$3=$K750,IF($C750="L",1,IF($C750="1/2L",0.5,0)),0)</f>
        <v>0</v>
      </c>
      <c r="CH750" s="285">
        <f>IF(CH$3=$K750,IF($C750="W",1,IF($C750="1/2W",0.5,0)),0)</f>
        <v>0</v>
      </c>
      <c r="CI750" s="285">
        <f>IF(CH$3=$K750,IF($C750="L",1,IF($C750="1/2L",0.5,0)),0)</f>
        <v>0</v>
      </c>
      <c r="CJ750" s="285">
        <f>IF(CJ$3=$K750,IF($C750="W",1,IF($C750="1/2W",0.5,0)),0)</f>
        <v>0</v>
      </c>
      <c r="CK750" s="285">
        <f>IF(CJ$3=$K750,IF($C750="L",1,IF($C750="1/2L",0.5,0)),0)</f>
        <v>0</v>
      </c>
      <c r="CL750" s="285">
        <f>IF(CL$3=$K750,IF($C750="W",1,IF($C750="1/2W",0.5,0)),0)</f>
        <v>0</v>
      </c>
      <c r="CM750" s="285">
        <f>IF(CL$3=$K750,IF($C750="L",1,IF($C750="1/2L",0.5,0)),0)</f>
        <v>1</v>
      </c>
      <c r="CN750" s="285">
        <f>IF(CN$3=$K750,IF($C750="W",1,IF($C750="1/2W",0.5,0)),0)</f>
        <v>0</v>
      </c>
      <c r="CO750" s="285">
        <f>IF(CN$3=$K750,IF($C750="L",1,IF($C750="1/2L",0.5,0)),0)</f>
        <v>0</v>
      </c>
      <c r="CP750" s="285">
        <f>IF(CP$3=$K750,IF($C750="W",1,IF($C750="1/2W",0.5,0)),0)</f>
        <v>0</v>
      </c>
      <c r="CQ750" s="285">
        <f>IF(CP$3=$K750,IF($C750="L",1,IF($C750="1/2L",0.5,0)),0)</f>
        <v>0</v>
      </c>
      <c r="CR750" s="285">
        <f>IF(CR$3=$K750,IF($C750="W",1,IF($C750="1/2W",0.5,0)),0)</f>
        <v>0</v>
      </c>
      <c r="CS750" s="285">
        <f>IF(CR$3=$K750,IF($C750="L",1,IF($C750="1/2L",0.5,0)),0)</f>
        <v>0</v>
      </c>
      <c r="CT750" s="145">
        <f>IF(CT$3=$K750,IF($C750="W",1,IF($C750="1/2W",0.5,0)),0)</f>
        <v>0</v>
      </c>
      <c r="CU750" s="146">
        <f>IF(CT$3=$K750,IF($C750="L",1,IF($C750="1/2L",0.5,0)),0)</f>
        <v>0</v>
      </c>
      <c r="CV750" s="146">
        <f>IF(CV$3=$K750,IF($C750="W",1,IF($C750="1/2W",0.5,0)),0)</f>
        <v>0</v>
      </c>
      <c r="CW750" s="146">
        <f>IF(CV$3=$K750,IF($C750="L",1,IF($C750="1/2L",0.5,0)),0)</f>
        <v>0</v>
      </c>
      <c r="CX750" s="146">
        <f>IF(CX$3=$K750,IF($C750="W",1,IF($C750="1/2W",0.5,0)),0)</f>
        <v>0</v>
      </c>
      <c r="CY750" s="146">
        <f>IF(CX$3=$K750,IF($C750="L",1,IF($C750="1/2L",0.5,0)),0)</f>
        <v>0</v>
      </c>
      <c r="CZ750" s="146">
        <f>IF(CZ$3=$K750,IF($C750="W",1,IF($C750="1/2W",0.5,0)),0)</f>
        <v>0</v>
      </c>
      <c r="DA750" s="146">
        <f>IF(CZ$3=$K750,IF($C750="L",1,IF($C750="1/2L",0.5,0)),0)</f>
        <v>0</v>
      </c>
      <c r="DB750" s="146">
        <f>IF(DB$3=$K750,IF($C750="W",1,IF($C750="1/2W",0.5,0)),0)</f>
        <v>0</v>
      </c>
      <c r="DC750" s="146">
        <f>IF(DB$3=$K750,IF($C750="L",1,IF($C750="1/2L",0.5,0)),0)</f>
        <v>0</v>
      </c>
      <c r="DD750" s="146">
        <f>IF(DD$3=$K750,IF($C750="W",1,IF($C750="1/2W",0.5,0)),0)</f>
        <v>0</v>
      </c>
      <c r="DE750" s="147">
        <f>IF(DD$3=$K750,IF($C750="L",1,IF($C750="1/2L",0.5,0)),0)</f>
        <v>0</v>
      </c>
      <c r="DF750" s="143">
        <f>IF(AND(L750&lt;DF$3,$C750="W"),1+DF749,DF749)</f>
        <v>22</v>
      </c>
      <c r="DG750" s="133">
        <f>IF(DF750&gt;DF749,L750+DG749,DG749)</f>
        <v>29.404</v>
      </c>
      <c r="DH750" s="146">
        <f>IF(AND(L750&gt;DH$3,$C750="W"),1+DH749,0+DH749)</f>
        <v>19</v>
      </c>
      <c r="DI750" s="133">
        <f>IF(DH750&gt;DH749,L750+DI749,DI749)</f>
        <v>98.11</v>
      </c>
      <c r="DJ750" t="s" s="304">
        <f>IF($D748="","",$D748)</f>
        <v>481</v>
      </c>
      <c r="DK750" s="286"/>
    </row>
    <row r="751" ht="14.55" customHeight="1">
      <c r="A751" s="171">
        <f>$A748+1</f>
        <v>250</v>
      </c>
      <c r="B751" t="s" s="172">
        <f>IF(AND(_xlfn.XLOOKUP(H751,H$122:H524,G$122:G524,0)=G751,_xlfn.XLOOKUP("TempoBet",K751:K753,L751:L753,0)&gt;0),"X",IF(OR(C751="W",C752="W",C753="W",C751="1/2W",C752="1/2W",C753="1/2W",C751="1/2L",C752="1/2L",C753="1/2L"),"OK",IF(OR(C751="L",C752="L",C753="L"),"LOSS",IF(OR(C751="X",C752="X",C753="X"),"Anulado"," "))))</f>
        <v>50</v>
      </c>
      <c r="C751" t="s" s="173">
        <v>51</v>
      </c>
      <c r="D751" t="s" s="305">
        <f>IF(G751="","",$D748)</f>
        <v>481</v>
      </c>
      <c r="E751" t="s" s="175">
        <f>IF(G751=""," ","– "&amp;COUNTIF(D$4:D753,$D751))</f>
        <v>166</v>
      </c>
      <c r="F751" t="s" s="176">
        <f>IF(G751="","",IF(OR(AND($C751&lt;&gt;" ",$C752=" "),AND($C752&lt;&gt;" ",$C751=" "),AND(L753&gt;0,OR(AND($C753&lt;&gt;" ",OR($C751=" ",$C752=" ")),AND($C753=" ",OR($C751&lt;&gt;" ",$C752&lt;&gt;" "))))),IF(SUM(F$4:F750)=0,1,LARGE(F$4:F750,1)+1),IF(MONTH(G751)=MONTH(TODAY()),IF(AND(DAY(G751)&lt;DAY(TODAY()),$B751=" "),IF(SUM(F$4:F750)=0,1,LARGE(F$4:F750,1)+1),IF($B751=" ",IF(AND(DAY(G751)=DAY(TODAY()),HOUR(G751)&lt;=HOUR(NOW())+1),IF(AND(HOUR(G751)+2&lt;=HOUR(NOW()),DAY(G751)&lt;=DAY(TODAY()),MINUTE(G751)&lt;=MINUTE(NOW())),IF(SUM(F$4:F750)=0,1,LARGE(F$4:F750,1)+1),IF(OR(MINUTE(G751)&lt;=MINUTE(NOW()),HOUR(G751)&lt;=HOUR(NOW())),"!!!","")),""),"")),"")))</f>
      </c>
      <c r="G751" s="177">
        <v>44957.697916666664</v>
      </c>
      <c r="H751" t="s" s="178">
        <v>519</v>
      </c>
      <c r="I751" t="s" s="179">
        <v>65</v>
      </c>
      <c r="J751" s="291">
        <v>2.5</v>
      </c>
      <c r="K751" t="s" s="181">
        <v>38</v>
      </c>
      <c r="L751" s="182">
        <v>2</v>
      </c>
      <c r="M751" s="183">
        <v>14.36</v>
      </c>
      <c r="N751" s="184">
        <v>0</v>
      </c>
      <c r="O751" s="185">
        <f>IF(OR(AE751="",AE752=""),"",ROUND(IF(L753&gt;0,IF(M751&gt;0,M751,IF(M752&gt;0,ROUND((M752*AE751)/AE752,IF(N751=0,2,IF(N751=0.1,1,0))),ROUND((M753*AE751)/AE753,IF(N751=0,2,IF(N751=0.1,1,0))))),IF(M751&gt;0,M751,ROUND((M752*AE751)/AE752,IF(N751=0,2,IF(N751=0.1,1,0))))),2))</f>
        <v>14.36</v>
      </c>
      <c r="P751" s="186">
        <f>IF(OR(L751="",O751=""),"",IF($C751="1/2W",O751/2+O751/2*L751,IF($C751="1/2L",O751/2,IF(I751="Lay",(O751*(L751/(L751-1))-O751)*(1-_xlfn.XLOOKUP(K751,'Janeiro 2023 - Valor Real'!A3:A15,'Janeiro 2023 - Valor Real'!C3:C15,0))+O751,(O751*L751-O751)*(1-_xlfn.XLOOKUP(K751,'Janeiro 2023 - Valor Real'!A3:A15,'Janeiro 2023 - Valor Real'!C3:C15,0))+O751))))</f>
        <v>28.72</v>
      </c>
      <c r="Q751" s="187">
        <f>IF(K751="","",IF(_xlfn.XLOOKUP(K751,K$122:K524,DJ$122:DJ524,0,,-1)=DJ751,_xlfn.XLOOKUP(K751,K$122:K524,Q$122:Q524,1,,-1)+1,1))</f>
        <v>1</v>
      </c>
      <c r="R751" s="188">
        <f>IF(K751="","",_xlfn.XLOOKUP(K751,K$122:K524,R$122:R524,0,,-1)+IF($C751=" ",1,0))</f>
        <v>0</v>
      </c>
      <c r="S751" s="189">
        <f>IF($B751="Anulado",0,ROUND(IF(OR($B751="LOSS",$B751="OK"),IF(OR($C751="W",$C751="1/2W",$C751="1/2L"),P751-O751,IF($C751="L",-O751,0))+IF(OR($C752="W",$C752="1/2W",$C752="1/2L"),P752-O752,IF($C752="L",-O752,0))+IF(OR($C753="W",$C753="1/2W",$C753="1/2L"),P753-O753,IF($C753="L",-O753,0)),IF(AND(OR($C751="W",$C751="1/2W",$C751="1/2L"),C752="W"),P751+P752-SUM(O751:O753)+_xlfn.XLOOKUP("X",C751:C753,O751:O753,0),IF(AND(C751=TRUE,C753="W"),P751+P753-SUM(O751:O753),IF(AND(C752="W",C753="W"),P752+P753-SUM(O751:O753)+_xlfn.XLOOKUP("X",C751:C753,O751:O753,0),IF(L753&gt;0,IF(OR($C751="W",$C751="1/2W",$C751="1/2L"),P751-SUM(O751:O753)+_xlfn.XLOOKUP("X",C751:C753,O751:O753,0),IF(OR($C751="W",$C751="1/2W",$C751="1/2L"),P752-SUM(O751:O753)+_xlfn.XLOOKUP("X",C751:C753,O751:O753,0),IF(OR($C751="W",$C751="1/2W",$C751="1/2L"),P753-SUM(O751:O753)+_xlfn.XLOOKUP("X",C751:C753,O751:O753,0),IF(SUM(P751:P753)/3-SUM(O751:O753)+_xlfn.XLOOKUP("X",C751:C753,O751:O753,0)&gt;0,SUM(P751:P753)/3-SUM(O751:O753)+_xlfn.XLOOKUP("X",C751:C753,O751:O753,0),LARGE(P751:P753,1)-SUM(O751:O753))))),IF(OR($C751="W",$C751="1/2W",$C751="1/2L"),P751-SUM(O751:O752)+_xlfn.XLOOKUP("X",C751:C753,O751:O753,0),IF(OR($C751="W",$C751="1/2W",$C751="1/2L"),P752-SUM(O751:O752)+_xlfn.XLOOKUP("X",C751:C753,O751:O753,0),SUM(P751:P752)/2-SUM(O751:O752)+_xlfn.XLOOKUP("X",C751:C753,O751:O753,0)))))))),2))</f>
        <v>1.48</v>
      </c>
      <c r="T751" s="190">
        <f>IF(S751=0,0,S751/SUM(O751:O753))</f>
        <v>0.0543318649045521</v>
      </c>
      <c r="U751" s="191">
        <f>IF($D751=$D748,IF(OR($B751="LOSS",$B751="OK",$B751="Anulada"),S751,0)+U748,IF(OR($B751="LOSS",$B751="OK",$B751="Anulada"),S751,0))</f>
        <v>32.52</v>
      </c>
      <c r="V751" s="191">
        <f>IF($D751="",0,IF($D751=$D748,IF($B751=" ",IF(I753="",IF(OR(AND(I751="DNB1",I752="DNB2"),AND(OR(I751="DNB1",I751="DNB2"),J752=0),AND(OR(I752="DNB1",I752="DNB2"),J751=0),AND(I751="DNB2",I752="DNB1"),AND(IF(J751=0,(J751+1)/ROUND(J751+1,0),J751/ROUND(J751,0))=1,IF(J752=0,(J752+1)/ROUND(IF(J752="",0,J752)+1,0),IF(J752="",0,J752)/ROUND(IF(J752="",1,J752),0))=1,OR(J751&lt;&gt;""),J752&lt;&gt;"")),0,IF(S751&lt;0,IF(I753="",SMALL(P751:P752,1)-SUM(O751:O752),0),SMALL(P751:P752,1)-SUM(O751:O752))),IF(S751&lt;0,IF(I753="",SMALL(P751:P753,1)-SUM(O751:O753),0),LARGE(P751:P753,1)-SUM(O751:O753))),S751)+V748,IF(I753="",IF(OR(AND(I751="DNB1",I752="DNB2"),AND(OR(I751="DNB1",I751="DNB2"),J752=0),AND(OR(I752="DNB1",I752="DNB2"),J751=0),AND(I751="DNB2",I752="DNB1"),AND(IF(J751=0,(J751+1)/ROUND(J751+1,0),J751/ROUND(J751,0))=1,IF(J752=0,(IF(J752="",0,J752)+1)/ROUND(IF(J752="",0,J752)+1,0),IF(J752="",0,J752)/ROUND(IF(J752="",0,J752)+1,0))=1,OR(J751&lt;&gt;""),J752&lt;&gt;"")),0,IF(S751&lt;0,IF(I753="",SMALL(P751:P752,1)-SUM(O751:O752),0),SMALL(P751:P753,1)-SUM(O751:O753))),IF(S751&lt;0,IF(I753="",SMALL(P751:P753,1)-SUM(O751:O753),0),LARGE(P751:P753,1)-SUM(O751:O753)))))</f>
        <v>32.5176</v>
      </c>
      <c r="W751" s="191">
        <f>IF($D751=$D748,IF(S751&lt;0,IF(I753="",S751,0),S751)+W748,S751)</f>
        <v>32.52</v>
      </c>
      <c r="X751" t="s" s="192">
        <f>IF(OR(SUM(R751:R753)=0,V751=W751),ROUND(IF(W751=0,0,W751/Y751)*100,2)&amp;"%",ROUND(IF(V751=0,0,V751/Y751)*100,2)&amp;"% a "&amp;ROUND(IF(W751=0,0,W751/Y751)*100,2)&amp;"%")</f>
        <v>520</v>
      </c>
      <c r="Y751" s="193">
        <f>IF($D751=$D748,Y748+SUM(O751:O753),SUM(O751:O753))</f>
        <v>632.39</v>
      </c>
      <c r="Z751" s="191">
        <f>IF($B751=" ",SUM(O751:O753),0)+Z748</f>
        <v>0</v>
      </c>
      <c r="AA751" s="191">
        <f>IF(G751="","",IF($B751="Anulado",LARGE(P751:P753,1)-SUM(O751:O753)+AA748,AA748))</f>
        <v>29.9145076923077</v>
      </c>
      <c r="AB751" s="191">
        <f>IF($D751="","",AB748+S751)</f>
        <v>503.7</v>
      </c>
      <c r="AC751" s="194">
        <f>IF($D751="","",IF($B751=" ",IF(DAY(G751)=DAY(TODAY()),1+AC748,0+AC748),0+AC748))</f>
        <v>0</v>
      </c>
      <c r="AD751" s="195">
        <f>(((L752/(L752-1)-1)*(1-_xlfn.XLOOKUP(K752,'Janeiro 2023 - Valor Real'!A3:A15,'Janeiro 2023 - Valor Real'!C3:C15,0))+1))/(((L751-1)*(1-_xlfn.XLOOKUP(K751,'Janeiro 2023 - Valor Real'!A3:A15,'Janeiro 2023 - Valor Real'!C3:C15,0))+1)+((L752/(L752-1)-1)*(1-_xlfn.XLOOKUP(K752,'Janeiro 2023 - Valor Real'!A3:A15,'Janeiro 2023 - Valor Real'!C3:C15,0))+1))</f>
        <v>0.475479744136461</v>
      </c>
      <c r="AE751" s="196">
        <f>IF(L751="","",IF(L753&gt;0,(SUM(((L751-1)*(1-_xlfn.XLOOKUP(K751,'Janeiro 2023 - Valor Real'!A3:A15,'Janeiro 2023 - Valor Real'!C3:C15,0))+1),((L752-1)*(1-_xlfn.XLOOKUP(K752,'Janeiro 2023 - Valor Real'!A3:A15,'Janeiro 2023 - Valor Real'!C3:C15,0))+1),((L753-1)*(1-_xlfn.XLOOKUP(K753,'Janeiro 2023 - Valor Real'!A3:A15,'Janeiro 2023 - Valor Real'!C3:C15,0))+1))/((L751-1)*(1-_xlfn.XLOOKUP(K751,'Janeiro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Real'!C3:C15,0))+1))/((L751-1)*(1-_xlfn.XLOOKUP(K751,'Janeiro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Real'!C3:C15,0))+1))/((L752-1)*(1-_xlfn.XLOOKUP(K752,'Janeiro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Real'!C3:C15,0))+1))/((L753-1)*(1-_xlfn.XLOOKUP(K753,'Janeiro 2023 - Valor Real'!A3:A15,'Janeiro 2023 - Valor Real'!C3:C15,0))+1)),IF(I751="Lay",IF(I752="Lay",((L752/(L752-1)-1)*(1-_xlfn.XLOOKUP(K752,'Janeiro 2023 - Valor Real'!A3:A15,'Janeiro 2023 - Valor Real'!C3:C15,0))+1)/(((L752/(L752-1)-1)*(1-_xlfn.XLOOKUP(K752,'Janeiro 2023 - Valor Real'!A3:A15,'Janeiro 2023 - Valor Real'!C3:C15,0))+1)+((L751/(L751-1)-1)*(1-_xlfn.XLOOKUP(K751,'Janeiro 2023 - Valor Real'!A3:A15,'Janeiro 2023 - Valor Real'!C3:C15,0))+1)),((L752-1)*(1-_xlfn.XLOOKUP(K752,'Janeiro 2023 - Valor Real'!A3:A15,'Janeiro 2023 - Valor Real'!C3:C15,0))+1)/(((L752-1)*(1-_xlfn.XLOOKUP(K752,'Janeiro 2023 - Valor Real'!A3:A15,'Janeiro 2023 - Valor Real'!C3:C15,0))+1)+((L751/(L751-1)-1)*(1-_xlfn.XLOOKUP(K751,'Janeiro 2023 - Valor Real'!A3:A15,'Janeiro 2023 - Valor Real'!C3:C15,0))+1))),IF(I752="Lay",(((L752/(L752-1)-1)*(1-_xlfn.XLOOKUP(K752,'Janeiro 2023 - Valor Real'!A3:A15,'Janeiro 2023 - Valor Real'!C3:C15,0))+1))/(((L751-1)*(1-_xlfn.XLOOKUP(K751,'Janeiro 2023 - Valor Real'!A3:A15,'Janeiro 2023 - Valor Real'!C3:C15,0))+1)+((L752/(L752-1)-1)*(1-_xlfn.XLOOKUP(K752,'Janeiro 2023 - Valor Real'!A3:A15,'Janeiro 2023 - Valor Real'!C3:C15,0))+1)),((L752-1)*(1-_xlfn.XLOOKUP(K752,'Janeiro 2023 - Valor Real'!A3:A15,'Janeiro 2023 - Valor Real'!C3:C15,0))+1)/(((L752-1)*(1-_xlfn.XLOOKUP(K752,'Janeiro 2023 - Valor Real'!A3:A15,'Janeiro 2023 - Valor Real'!C3:C15,0))+1)+((L751-1)*(1-_xlfn.XLOOKUP(K751,'Janeiro 2023 - Valor Real'!A3:A15,'Janeiro 2023 - Valor Real'!C3:C15,0))+1))))))</f>
        <v>0.527186761229314</v>
      </c>
      <c r="AF751" s="197">
        <f>IF($K751=AF$3,ROUND(IF(OR($C751="W",$C751="1/2W",$C751="1/2L"),$P751-$O751,IF($C751="X",0,-$O751)),2),0)</f>
        <v>0</v>
      </c>
      <c r="AG751" s="198">
        <f>IF($K751=AG$3,ROUND(IF(OR($C751="W",$C751="1/2W",$C751="1/2L"),$P751-$O751,IF($C751="X",0,-$O751)),2),0)</f>
        <v>-14.36</v>
      </c>
      <c r="AH751" s="198">
        <f>IF($K751=AH$3,ROUND(IF(OR($C751="W",$C751="1/2W",$C751="1/2L"),$P751-$O751,IF($C751="X",0,-$O751)),2),0)</f>
        <v>0</v>
      </c>
      <c r="AI751" s="198">
        <f>IF($K751=AI$3,ROUND(IF(OR($C751="W",$C751="1/2W",$C751="1/2L"),$P751-$O751,IF($C751="X",0,-$O751)),2),0)</f>
        <v>0</v>
      </c>
      <c r="AJ751" s="198">
        <f>IF($K751=AJ$3,ROUND(IF(OR($C751="W",$C751="1/2W",$C751="1/2L"),$P751-$O751,IF($C751="X",0,-$O751)),2),0)</f>
        <v>0</v>
      </c>
      <c r="AK751" s="198">
        <f>IF($K751=AK$3,ROUND(IF(OR($C751="W",$C751="1/2W",$C751="1/2L"),$P751-$O751,IF($C751="X",0,-$O751)),2),0)</f>
        <v>0</v>
      </c>
      <c r="AL751" s="198">
        <f>IF($K751=AL$3,ROUND(IF(OR($C751="W",$C751="1/2W",$C751="1/2L"),$P751-$O751,IF($C751="X",0,-$O751)),2),0)</f>
        <v>0</v>
      </c>
      <c r="AM751" s="198">
        <f>IF($K751=AM$3,ROUND(IF(OR($C751="W",$C751="1/2W",$C751="1/2L"),$P751-$O751,IF($C751="X",0,-$O751)),2),0)</f>
        <v>0</v>
      </c>
      <c r="AN751" s="198">
        <f>IF($K751=AN$3,ROUND(IF(OR($C751="W",$C751="1/2W",$C751="1/2L"),$P751-$O751,IF($C751="X",0,-$O751)),2),0)</f>
        <v>0</v>
      </c>
      <c r="AO751" s="198">
        <f>IF($K751=AO$3,ROUND(IF(OR($C751="W",$C751="1/2W",$C751="1/2L"),$P751-$O751,IF($C751="X",0,-$O751)),2),0)</f>
        <v>0</v>
      </c>
      <c r="AP751" s="198">
        <f>IF($K751=AP$3,ROUND(IF(OR($C751="W",$C751="1/2W",$C751="1/2L"),$P751-$O751,IF($C751="X",0,-$O751)),2),0)</f>
        <v>0</v>
      </c>
      <c r="AQ751" s="198">
        <f>IF($K751=AQ$3,ROUND(IF(OR($C751="W",$C751="1/2W",$C751="1/2L"),$P751-$O751,IF($C751="X",0,-$O751)),2),0)</f>
        <v>0</v>
      </c>
      <c r="AR751" s="199">
        <f>IF($K751=AR$3,ROUND(IF(OR($C751="W",$C751="1/2W",$C751="1/2L"),$P751-$O751,IF($C751="X",0,-$O751)),2),0)</f>
        <v>0</v>
      </c>
      <c r="AS751" s="197">
        <f>IF(AND($B751=" ",$K751=AS$3),$O751,0)</f>
        <v>0</v>
      </c>
      <c r="AT751" s="198">
        <f>IF(AND($B751=" ",$K751=AT$3),$O751,0)</f>
        <v>0</v>
      </c>
      <c r="AU751" s="198">
        <f>IF(AND($B751=" ",$K751=AU$3),$O751,0)</f>
        <v>0</v>
      </c>
      <c r="AV751" s="198">
        <f>IF(AND($B751=" ",$K751=AV$3),$O751,0)</f>
        <v>0</v>
      </c>
      <c r="AW751" s="198">
        <f>IF(AND($B751=" ",$K751=AW$3),$O751,0)</f>
        <v>0</v>
      </c>
      <c r="AX751" s="198">
        <f>IF(AND($B751=" ",$K751=AX$3),$O751,0)</f>
        <v>0</v>
      </c>
      <c r="AY751" s="200">
        <f>IF(AND($B751=" ",$K751=AY$3),$O751,0)</f>
        <v>0</v>
      </c>
      <c r="AZ751" s="201">
        <f>IF(AND($B751=" ",$K751=AZ$3),$O751,0)</f>
        <v>0</v>
      </c>
      <c r="BA751" s="201">
        <f>IF(AND($B751=" ",$K751=BA$3),$O751,0)</f>
        <v>0</v>
      </c>
      <c r="BB751" s="201">
        <f>IF(AND($B751=" ",$K751=BB$3),$O751,0)</f>
        <v>0</v>
      </c>
      <c r="BC751" s="202">
        <f>IF(AND($B751=" ",$K751=BC$3),$O751,0)</f>
        <v>0</v>
      </c>
      <c r="BD751" s="198">
        <f>IF(AND($B751=" ",$K751=BD$3),$O751,0)</f>
        <v>0</v>
      </c>
      <c r="BE751" s="199">
        <f>IF(AND($B751=" ",$K751=BE$3),$O751,0)</f>
        <v>0</v>
      </c>
      <c r="BF751" s="203">
        <f>IF($K751=BF$3,IF($C751="X",0,$O751),0)</f>
        <v>0</v>
      </c>
      <c r="BG751" s="198">
        <f>IF($K751=BG$3,IF($C751="X",0,$O751),0)</f>
        <v>14.36</v>
      </c>
      <c r="BH751" s="198">
        <f>IF($K751=BH$3,IF($C751="X",0,$O751),0)</f>
        <v>0</v>
      </c>
      <c r="BI751" s="198">
        <f>IF($K751=BI$3,IF($C751="X",0,$O751),0)</f>
        <v>0</v>
      </c>
      <c r="BJ751" s="198">
        <f>IF($K751=BJ$3,IF($C751="X",0,$O751),0)</f>
        <v>0</v>
      </c>
      <c r="BK751" s="198">
        <f>IF($K751=BK$3,IF($C751="X",0,$O751),0)</f>
        <v>0</v>
      </c>
      <c r="BL751" s="198">
        <f>IF($K751=BL$3,IF($C751="X",0,$O751),0)</f>
        <v>0</v>
      </c>
      <c r="BM751" s="200">
        <f>IF($K751=BM$3,IF($C751="X",0,$O751),0)</f>
        <v>0</v>
      </c>
      <c r="BN751" s="201">
        <f>IF($K751=BN$3,IF($C751="X",0,$O751),0)</f>
        <v>0</v>
      </c>
      <c r="BO751" s="201">
        <f>IF($K751=BO$3,IF($C751="X",0,$O751),0)</f>
        <v>0</v>
      </c>
      <c r="BP751" s="201">
        <f>IF($K751=BP$3,IF($C751="X",0,$O751),0)</f>
        <v>0</v>
      </c>
      <c r="BQ751" s="202">
        <f>IF($K751=BQ$3,IF($C751="X",0,$O751),0)</f>
        <v>0</v>
      </c>
      <c r="BR751" s="199">
        <f>IF($K751=BR$3,IF($C751="X",0,$O751),0)</f>
        <v>0</v>
      </c>
      <c r="BS751" s="204">
        <f>IF($B751="LOSS",IF(AND($K751=BS$3,$C751="L"),-$O751,0)+IF(AND($K752=BS$3,$C752="L"),-$O752,0)+IF(AND($K753=BS$3,$C753="L"),-$O753,0),IF(OR(AND($K751=BS$3,OR($C751="W",$C751="1/2W")),AND($K752=BS$3,OR($C752="W",$C752="1/2W")),AND($K753=BS$3,OR($C753="W",$C753="1/2W"))),$S751,0))</f>
        <v>0</v>
      </c>
      <c r="BT751" s="201">
        <f>IF($B751="LOSS",IF(AND($K751=BT$3,$C751="L"),-$O751,0)+IF(AND($K752=BT$3,$C752="L"),-$O752,0)+IF(AND($K752=BT$3,$C753="L"),-$O753,0),IF(OR(AND($K752=BT$3,OR($C751="W",$C751="1/2W")),AND($K752=BT$3,OR($C752="W",$C752="1/2W")),AND($K752=BT$3,OR($C753="W",$C753="1/2W"))),$S751,0))</f>
        <v>0</v>
      </c>
      <c r="BU751" s="201">
        <f>IF($B751="LOSS",IF(AND($K751=BU$3,$C751="L"),-$O751,0)+IF(AND($K752=BU$3,$C752="L"),-$O752,0)+IF(AND($K752=BU$3,$C753="L"),-$O753,0),IF(OR(AND($K752=BU$3,OR($C751="W",$C751="1/2W")),AND($K752=BU$3,OR($C752="W",$C752="1/2W")),AND($K752=BU$3,OR($C753="W",$C753="1/2W"))),$S751,0))</f>
        <v>0</v>
      </c>
      <c r="BV751" s="201">
        <f>IF($B751="LOSS",IF(AND($K751=BV$3,$C751="L"),-$O751,0)+IF(AND($K752=BV$3,$C752="L"),-$O752,0)+IF(AND($K753=BV$3,$C753="L"),-$O753,0),IF(OR(AND($K751=BV$3,OR($C751="W",$C751="1/2W")),AND($K752=BV$3,OR($C752="W",$C752="1/2W")),AND($K753=BV$3,OR($C753="W",$C753="1/2W"))),$S751,0))</f>
        <v>0</v>
      </c>
      <c r="BW751" s="201">
        <f>IF($B751="LOSS",IF(AND($K751=BW$3,$C751="L"),-$O751,0)+IF(AND($K752=BW$3,$C752="L"),-$O752,0)+IF(AND($K753=BW$3,$C753="L"),-$O753,0),IF(OR(AND($K751=BW$3,OR($C751="W",$C751="1/2W")),AND($K752=BW$3,OR($C752="W",$C752="1/2W")),AND($K753=BW$3,OR($C753="W",$C753="1/2W"))),$S751,0))</f>
        <v>0</v>
      </c>
      <c r="BX751" s="201">
        <f>IF($B751="LOSS",IF(AND($K751=BX$3,$C751="L"),-$O751,0)+IF(AND($K752=BX$3,$C752="L"),-$O752,0)+IF(AND($K753=BX$3,$C753="L"),-$O753,0),IF(OR(AND($K751=BX$3,OR($C751="W",$C751="1/2W")),AND($K752=BX$3,OR($C752="W",$C752="1/2W")),AND($K753=BX$3,OR($C753="W",$C753="1/2W"))),$S751,0))</f>
        <v>0</v>
      </c>
      <c r="BY751" s="201">
        <f>IF($B751="LOSS",IF(AND($K751=BY$3,$C751="L"),-$O751,0)+IF(AND($K752=BY$3,$C752="L"),-$O752,0)+IF(AND($K753=BY$3,$C753="L"),-$O753,0),IF(OR(AND($K751=BY$3,OR($C751="W",$C751="1/2W")),AND($K752=BY$3,OR($C752="W",$C752="1/2W")),AND($K753=BY$3,OR($C753="W",$C753="1/2W"))),$S751,0))</f>
        <v>0</v>
      </c>
      <c r="BZ751" s="205">
        <f>IF($B751="LOSS",IF(AND($K751=BZ$3,$C751="L"),-$O751,0)+IF(AND($K752=BZ$3,$C752="L"),-$O752,0)+IF(AND($K753=BZ$3,$C753="L"),-$O753,0),IF(OR(AND($K751=BZ$3,OR($C751="W",$C751="1/2W")),AND($K752=BZ$3,OR($C752="W",$C752="1/2W")),AND($K753=BZ$3,OR($C753="W",$C753="1/2W"))),$S751,0))</f>
        <v>1.48</v>
      </c>
      <c r="CA751" s="205">
        <f>IF($B751="LOSS",IF(AND($K751=CA$3,$C751="L"),-$O751,0)+IF(AND($K752=CA$3,$C752="L"),-$O752,0)+IF(AND($K753=CA$3,$C753="L"),-$O753,0),IF(OR(AND($K751=CA$3,OR($C751="W",$C751="1/2W")),AND($K752=CA$3,OR($C752="W",$C752="1/2W")),AND($K753=CA$3,OR($C753="W",$C753="1/2W"))),$S751,0))</f>
        <v>0</v>
      </c>
      <c r="CB751" s="205">
        <f>IF($B751="LOSS",IF(AND($K751=CB$3,$C751="L"),-$O751,0)+IF(AND($K752=CB$3,$C752="L"),-$O752,0)+IF(AND($K753=CB$3,$C753="L"),-$O753,0),IF(OR(AND($K751=CB$3,OR($C751="W",$C751="1/2W")),AND($K752=CB$3,OR($C752="W",$C752="1/2W")),AND($K753=CB$3,OR($C753="W",$C753="1/2W"))),$S751,0))</f>
        <v>0</v>
      </c>
      <c r="CC751" s="205">
        <f>IF($B751="LOSS",IF(AND($K751=CC$3,$C751="L"),-$O751,0)+IF(AND($K752=CC$3,$C752="L"),-$O752,0)+IF(AND($K753=CC$3,$C753="L"),-$O753,0),IF(OR(AND($K751=CC$3,OR($C751="W",$C751="1/2W")),AND($K752=CC$3,OR($C752="W",$C752="1/2W")),AND($K753=CC$3,OR($C753="W",$C753="1/2W"))),$S751,0))</f>
        <v>0</v>
      </c>
      <c r="CD751" s="202">
        <f>IF($B751="LOSS",IF(AND($K751=CD$3,$C751="L"),-$O751,0)+IF(AND($K752=CD$3,$C752="L"),-$O752,0)+IF(AND($K753=CD$3,$C753="L"),-$O753,0),IF(OR(AND($K751=CD$3,OR($C751="W",$C751="1/2W")),AND($K752=CD$3,OR($C752="W",$C752="1/2W")),AND($K753=CD$3,OR($C753="W",$C753="1/2W"))),$S751,0))</f>
        <v>0</v>
      </c>
      <c r="CE751" s="199">
        <f>IF($B751="LOSS",IF(AND($K751=CE$3,$C751="L"),-$O751,0)+IF(AND($K752=CE$3,$C752="L"),-$O752,0)+IF(AND($K753=CE$3,$C753="L"),-$O753,0),IF(OR(AND($K751=CE$3,OR($C751="W",$C751="1/2W")),AND($K752=CE$3,OR($C752="W",$C752="1/2W")),AND($K753=CE$3,OR($C753="W",$C753="1/2W"))),$S751,0))</f>
        <v>0</v>
      </c>
      <c r="CF751" s="206">
        <f>IF(CF$3=$K751,IF($C751="W",1,IF($C751="1/2W",0.5,0)),0)</f>
        <v>0</v>
      </c>
      <c r="CG751" s="207">
        <f>IF(CF$3=$K751,IF($C751="L",1,IF($C751="1/2L",0.5,0)),0)</f>
        <v>0</v>
      </c>
      <c r="CH751" s="207">
        <f>IF(CH$3=$K751,IF($C751="W",1,IF($C751="1/2W",0.5,0)),0)</f>
        <v>0</v>
      </c>
      <c r="CI751" s="207">
        <f>IF(CH$3=$K751,IF($C751="L",1,IF($C751="1/2L",0.5,0)),0)</f>
        <v>1</v>
      </c>
      <c r="CJ751" s="207">
        <f>IF(CJ$3=$K751,IF($C751="W",1,IF($C751="1/2W",0.5,0)),0)</f>
        <v>0</v>
      </c>
      <c r="CK751" s="207">
        <f>IF(CJ$3=$K751,IF($C751="L",1,IF($C751="1/2L",0.5,0)),0)</f>
        <v>0</v>
      </c>
      <c r="CL751" s="207">
        <f>IF(CL$3=$K751,IF($C751="W",1,IF($C751="1/2W",0.5,0)),0)</f>
        <v>0</v>
      </c>
      <c r="CM751" s="207">
        <f>IF(CL$3=$K751,IF($C751="L",1,IF($C751="1/2L",0.5,0)),0)</f>
        <v>0</v>
      </c>
      <c r="CN751" s="207">
        <f>IF(CN$3=$K751,IF($C751="W",1,IF($C751="1/2W",0.5,0)),0)</f>
        <v>0</v>
      </c>
      <c r="CO751" s="207">
        <f>IF(CN$3=$K751,IF($C751="L",1,IF($C751="1/2L",0.5,0)),0)</f>
        <v>0</v>
      </c>
      <c r="CP751" s="207">
        <f>IF(CP$3=$K751,IF($C751="W",1,IF($C751="1/2W",0.5,0)),0)</f>
        <v>0</v>
      </c>
      <c r="CQ751" s="207">
        <f>IF(CP$3=$K751,IF($C751="L",1,IF($C751="1/2L",0.5,0)),0)</f>
        <v>0</v>
      </c>
      <c r="CR751" s="207">
        <f>IF(CR$3=$K751,IF($C751="W",1,IF($C751="1/2W",0.5,0)),0)</f>
        <v>0</v>
      </c>
      <c r="CS751" s="207">
        <f>IF(CR$3=$K751,IF($C751="L",1,IF($C751="1/2L",0.5,0)),0)</f>
        <v>0</v>
      </c>
      <c r="CT751" s="208">
        <f>IF(CT$3=$K751,IF($C751="W",1,IF($C751="1/2W",0.5,0)),0)</f>
        <v>0</v>
      </c>
      <c r="CU751" s="209">
        <f>IF(CT$3=$K751,IF($C751="L",1,IF($C751="1/2L",0.5,0)),0)</f>
        <v>0</v>
      </c>
      <c r="CV751" s="209">
        <f>IF(CV$3=$K751,IF($C751="W",1,IF($C751="1/2W",0.5,0)),0)</f>
        <v>0</v>
      </c>
      <c r="CW751" s="209">
        <f>IF(CV$3=$K751,IF($C751="L",1,IF($C751="1/2L",0.5,0)),0)</f>
        <v>0</v>
      </c>
      <c r="CX751" s="209">
        <f>IF(CX$3=$K751,IF($C751="W",1,IF($C751="1/2W",0.5,0)),0)</f>
        <v>0</v>
      </c>
      <c r="CY751" s="209">
        <f>IF(CX$3=$K751,IF($C751="L",1,IF($C751="1/2L",0.5,0)),0)</f>
        <v>0</v>
      </c>
      <c r="CZ751" s="209">
        <f>IF(CZ$3=$K751,IF($C751="W",1,IF($C751="1/2W",0.5,0)),0)</f>
        <v>0</v>
      </c>
      <c r="DA751" s="209">
        <f>IF(CZ$3=$K751,IF($C751="L",1,IF($C751="1/2L",0.5,0)),0)</f>
        <v>0</v>
      </c>
      <c r="DB751" s="209">
        <f>IF(DB$3=$K751,IF($C751="W",1,IF($C751="1/2W",0.5,0)),0)</f>
        <v>0</v>
      </c>
      <c r="DC751" s="209">
        <f>IF(DB$3=$K751,IF($C751="L",1,IF($C751="1/2L",0.5,0)),0)</f>
        <v>0</v>
      </c>
      <c r="DD751" s="209">
        <f>IF(DD$3=$K751,IF($C751="W",1,IF($C751="1/2W",0.5,0)),0)</f>
        <v>0</v>
      </c>
      <c r="DE751" s="210">
        <f>IF(DD$3=$K751,IF($C751="L",1,IF($C751="1/2L",0.5,0)),0)</f>
        <v>0</v>
      </c>
      <c r="DF751" s="211">
        <f>IF(AND(L751&lt;DF$3,$C751="W"),1+DF750,DF750)</f>
        <v>22</v>
      </c>
      <c r="DG751" s="198">
        <f>IF(DF751&gt;DF750,L751+DG750,DG750)</f>
        <v>29.404</v>
      </c>
      <c r="DH751" s="209">
        <f>IF(AND(L751&gt;DH$3,$C751="W"),1+DH750,0+DH750)</f>
        <v>19</v>
      </c>
      <c r="DI751" s="198">
        <f>IF(DH751&gt;DH750,L751+DI750,DI750)</f>
        <v>98.11</v>
      </c>
      <c r="DJ751" t="s" s="306">
        <f>IF($D751="","",$D751)</f>
        <v>481</v>
      </c>
      <c r="DK751" s="209">
        <f>IF(AND($B751=" ",$D751&lt;&gt;""),1,0)</f>
        <v>0</v>
      </c>
    </row>
    <row r="752" ht="14.55" customHeight="1">
      <c r="A752" s="107"/>
      <c r="B752" s="108"/>
      <c r="C752" t="s" s="213">
        <v>56</v>
      </c>
      <c r="D752" s="110"/>
      <c r="E752" s="111"/>
      <c r="F752" s="113"/>
      <c r="G752" s="214"/>
      <c r="H752" s="114"/>
      <c r="I752" t="s" s="215">
        <v>67</v>
      </c>
      <c r="J752" s="296">
        <f>IF(OR(I751="TO",I751="TU",I751="TO1",I751="TU1",I751="TO2",I751="TU2"),J751,IF(OR(I751="AH1",I751="AH2"),IF(OR(I752="AH1",I752="AH2"),-J751,IF(OR(I752="EH1",I752="EH2"),-J751+0.5,"")),IF(OR(I751="EH1",I751="EH2"),IF(OR(I752="AH1",I752="AH2"),-J751+0.5,IF(OR(I752="EH1",I752="EH2"),-J751+1,"")),IF(AND(OR(I751="DNB1",I751="DNB2"),OR(I752="AH1",I752="AH2")),0,IF(AND(I751="Not ScoreBoth",OR(I752="TO1",I752="TO2")),0.5,"")))))</f>
        <v>2.5</v>
      </c>
      <c r="K752" t="s" s="217">
        <v>44</v>
      </c>
      <c r="L752" s="218">
        <v>2.23</v>
      </c>
      <c r="M752" s="219"/>
      <c r="N752" s="120"/>
      <c r="O752" s="220">
        <f>IF(OR(AE751="",AE752=""),"",ROUND(IF(L753&gt;0,IF(M752&gt;0,M752,IF(M751&gt;0,IF(N751=TRUE,ROUND((M751*AE752)/AE751,0),(M751*AE752)/AE751),IF(M752&gt;0,ROUND(M752,IF(N751=0,2,IF(N751=0.1,1,0))),IF(M753&gt;0,ROUND(O753*AE752/AE753,IF(N751=0,2,IF(N751=0.1,1,0))),0)))),IF(M752&gt;0,M752,ROUND((M751*AE752)/AE751,IF(N751=0,2,IF(N751=0.1,1,0))))),2))</f>
        <v>12.88</v>
      </c>
      <c r="P752" s="221">
        <f>IF(OR(L752="",O752=""),"",IF($C752="1/2W",O752/2+O752/2*L752,IF($C752="1/2L",O752/2,IF(I752="Lay",((O752*(L752/(L752-1)))-O752)*(1-_xlfn.XLOOKUP(K752,'Janeiro 2023 - Valor Real'!A3:A15,'Janeiro 2023 - Valor Real'!C3:C15,0))+O752,(O752*L752-O752)*(1-_xlfn.XLOOKUP(K752,'Janeiro 2023 - Valor Real'!A3:A15,'Janeiro 2023 - Valor Real'!C3:C15,0))+O752))))</f>
        <v>28.7224</v>
      </c>
      <c r="Q752" s="222">
        <f>IF(K752="","",IF(_xlfn.XLOOKUP(K752,K$123:K525,DJ$123:DJ525,0,,-1)=DJ752,_xlfn.XLOOKUP(K752,K$123:K525,Q$123:Q525,1,,-1)+1,1))</f>
        <v>1</v>
      </c>
      <c r="R752" s="223">
        <f>IF(K752="","",_xlfn.XLOOKUP(K752,K$123:K525,R$123:R525,0,,-1)+IF($C752=" ",1,0))</f>
        <v>0</v>
      </c>
      <c r="S752" s="125"/>
      <c r="T752" s="126"/>
      <c r="U752" s="126"/>
      <c r="V752" s="224"/>
      <c r="W752" s="126"/>
      <c r="X752" s="127"/>
      <c r="Y752" s="128"/>
      <c r="Z752" s="129"/>
      <c r="AA752" s="129"/>
      <c r="AB752" s="129"/>
      <c r="AC752" s="129"/>
      <c r="AD752" s="225">
        <f>(((L752/(L752-1)-1)*(1-_xlfn.XLOOKUP(K752,'Janeiro 2023 - Valor Real'!A3:A15,'Janeiro 2023 - Valor Real'!C3:C15,0))+1))</f>
        <v>1.8130081300813</v>
      </c>
      <c r="AE752" s="226">
        <f>IF(L752="","",IF(L753&gt;0,(SUM(((L751-1)*(1-_xlfn.XLOOKUP(K751,'Janeiro 2023 - Valor Real'!A3:A15,'Janeiro 2023 - Valor Real'!C3:C15,0))+1),((L752-1)*(1-_xlfn.XLOOKUP(K752,'Janeiro 2023 - Valor Real'!A3:A15,'Janeiro 2023 - Valor Real'!C3:C15,0))+1),((L753-1)*(1-_xlfn.XLOOKUP(K753,'Janeiro 2023 - Valor Real'!A3:A15,'Janeiro 2023 - Valor Real'!C3:C15,0))+1))/((L752-1)*(1-_xlfn.XLOOKUP(K752,'Janeiro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Real'!C3:C15,0))+1))/((L751-1)*(1-_xlfn.XLOOKUP(K751,'Janeiro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Real'!C3:C15,0))+1))/((L752-1)*(1-_xlfn.XLOOKUP(K752,'Janeiro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Real'!C3:C15,0))+1))/((L753-1)*(1-_xlfn.XLOOKUP(K753,'Janeiro 2023 - Valor Real'!A3:A15,'Janeiro 2023 - Valor Real'!C3:C15,0))+1)),IF(I752="Lay",IF(I751="Lay",((L751/(L751-1)-1)*(1-_xlfn.XLOOKUP(K751,'Janeiro 2023 - Valor Real'!A3:A15,'Janeiro 2023 - Valor Real'!C3:C15,0))+1)/(((L751/(L751-1)-1)*(1-_xlfn.XLOOKUP(K751,'Janeiro 2023 - Valor Real'!A3:A15,'Janeiro 2023 - Valor Real'!C3:C15,0))+1)+((L752/(L752-1)-1)*(1-_xlfn.XLOOKUP(K752,'Janeiro 2023 - Valor Real'!A3:A15,'Janeiro 2023 - Valor Real'!C3:C15,0))+1)),((L751-1)*(1-_xlfn.XLOOKUP(K751,'Janeiro 2023 - Valor Real'!A3:A15,'Janeiro 2023 - Valor Real'!C3:C15,0))+1)/(((L751-1)*(1-_xlfn.XLOOKUP(K751,'Janeiro 2023 - Valor Real'!A3:A15,'Janeiro 2023 - Valor Real'!C3:C15,0))+1)+((L752/(L752-1)-1)*(1-_xlfn.XLOOKUP(K752,'Janeiro 2023 - Valor Real'!A3:A15,'Janeiro 2023 - Valor Real'!C3:C15,0))+1))),IF(I751="Lay",((L751/(L751-1)-1)*(1-_xlfn.XLOOKUP(K751,'Janeiro 2023 - Valor Real'!A3:A15,'Janeiro 2023 - Valor Real'!C3:C15,0))+1)/((((L751/(L751-1)-1)*(1-_xlfn.XLOOKUP(K751,'Janeiro 2023 - Valor Real'!A3:A15,'Janeiro 2023 - Valor Real'!C3:C15,0))+1))+((L752-1)*(1-_xlfn.XLOOKUP(K752,'Janeiro 2023 - Valor Real'!A3:A15,'Janeiro 2023 - Valor Real'!C3:C15,0))+1)),((L751-1)*(1-_xlfn.XLOOKUP(K751,'Janeiro 2023 - Valor Real'!A3:A15,'Janeiro 2023 - Valor Real'!C3:C15,0))+1)/(((L751-1)*(1-_xlfn.XLOOKUP(K751,'Janeiro 2023 - Valor Real'!A3:A15,'Janeiro 2023 - Valor Real'!C3:C15,0))+1)+((L752-1)*(1-_xlfn.XLOOKUP(K752,'Janeiro 2023 - Valor Real'!A3:A15,'Janeiro 2023 - Valor Real'!C3:C15,0))+1))))))</f>
        <v>0.472813238770686</v>
      </c>
      <c r="AF752" s="197">
        <f>IF($K752=AF$3,ROUND(IF(OR($C752="W",$C752="1/2W",$C752="1/2L"),$P752-$O752,IF($C752="X",0,-$O752)),2),0)</f>
        <v>0</v>
      </c>
      <c r="AG752" s="198">
        <f>IF($K752=AG$3,ROUND(IF(OR($C752="W",$C752="1/2W",$C752="1/2L"),$P752-$O752,IF($C752="X",0,-$O752)),2),0)</f>
        <v>0</v>
      </c>
      <c r="AH752" s="198">
        <f>IF($K752=AH$3,ROUND(IF(OR($C752="W",$C752="1/2W",$C752="1/2L"),$P752-$O752,IF($C752="X",0,-$O752)),2),0)</f>
        <v>0</v>
      </c>
      <c r="AI752" s="198">
        <f>IF($K752=AI$3,ROUND(IF(OR($C752="W",$C752="1/2W",$C752="1/2L"),$P752-$O752,IF($C752="X",0,-$O752)),2),0)</f>
        <v>0</v>
      </c>
      <c r="AJ752" s="198">
        <f>IF($K752=AJ$3,ROUND(IF(OR($C752="W",$C752="1/2W",$C752="1/2L"),$P752-$O752,IF($C752="X",0,-$O752)),2),0)</f>
        <v>0</v>
      </c>
      <c r="AK752" s="198">
        <f>IF($K752=AK$3,ROUND(IF(OR($C752="W",$C752="1/2W",$C752="1/2L"),$P752-$O752,IF($C752="X",0,-$O752)),2),0)</f>
        <v>0</v>
      </c>
      <c r="AL752" s="198">
        <f>IF($K752=AL$3,ROUND(IF(OR($C752="W",$C752="1/2W",$C752="1/2L"),$P752-$O752,IF($C752="X",0,-$O752)),2),0)</f>
        <v>0</v>
      </c>
      <c r="AM752" s="198">
        <f>IF($K752=AM$3,ROUND(IF(OR($C752="W",$C752="1/2W",$C752="1/2L"),$P752-$O752,IF($C752="X",0,-$O752)),2),0)</f>
        <v>15.84</v>
      </c>
      <c r="AN752" s="198">
        <f>IF($K752=AN$3,ROUND(IF(OR($C752="W",$C752="1/2W",$C752="1/2L"),$P752-$O752,IF($C752="X",0,-$O752)),2),0)</f>
        <v>0</v>
      </c>
      <c r="AO752" s="198">
        <f>IF($K752=AO$3,ROUND(IF(OR($C752="W",$C752="1/2W",$C752="1/2L"),$P752-$O752,IF($C752="X",0,-$O752)),2),0)</f>
        <v>0</v>
      </c>
      <c r="AP752" s="198">
        <f>IF($K752=AP$3,ROUND(IF(OR($C752="W",$C752="1/2W",$C752="1/2L"),$P752-$O752,IF($C752="X",0,-$O752)),2),0)</f>
        <v>0</v>
      </c>
      <c r="AQ752" s="198">
        <f>IF($K752=AQ$3,ROUND(IF(OR($C752="W",$C752="1/2W",$C752="1/2L"),$P752-$O752,IF($C752="X",0,-$O752)),2),0)</f>
        <v>0</v>
      </c>
      <c r="AR752" s="199">
        <f>IF($K752=AR$3,ROUND(IF(OR($C752="W",$C752="1/2W",$C752="1/2L"),$P752-$O752,IF($C752="X",0,-$O752)),2),0)</f>
        <v>0</v>
      </c>
      <c r="AS752" s="197">
        <f>IF(AND($B751=" ",$K752=AS$3),$O752,0)</f>
        <v>0</v>
      </c>
      <c r="AT752" s="198">
        <f>IF(AND($B751=" ",K752=AT$3),$O752,0)</f>
        <v>0</v>
      </c>
      <c r="AU752" s="198">
        <f>IF(AND($B751=" ",$K752=AU$3),$O752,0)</f>
        <v>0</v>
      </c>
      <c r="AV752" s="198">
        <f>IF(AND($B751=" ",$K752=AV$3),$O752,0)</f>
        <v>0</v>
      </c>
      <c r="AW752" s="198">
        <f>IF(AND($B751=" ",$K752=AW$3),$O752,0)</f>
        <v>0</v>
      </c>
      <c r="AX752" s="198">
        <f>IF(AND($B751=" ",$K752=AX$3),$O752,0)</f>
        <v>0</v>
      </c>
      <c r="AY752" s="200">
        <f>IF(AND($B751=" ",$K752=AY$3),$O752,0)</f>
        <v>0</v>
      </c>
      <c r="AZ752" s="201">
        <f>IF(AND($B751=" ",$K752=AZ$3),$O752,0)</f>
        <v>0</v>
      </c>
      <c r="BA752" s="201">
        <f>IF(AND($B751=" ",$K752=BA$3),$O752,0)</f>
        <v>0</v>
      </c>
      <c r="BB752" s="201">
        <f>IF(AND($B751=" ",$K752=BB$3),$O752,0)</f>
        <v>0</v>
      </c>
      <c r="BC752" s="202">
        <f>IF(AND($B751=" ",$K752=BC$3),$O752,0)</f>
        <v>0</v>
      </c>
      <c r="BD752" s="198">
        <f>IF(AND($B751=" ",$K752=BD$3),$O752,0)</f>
        <v>0</v>
      </c>
      <c r="BE752" s="199">
        <f>IF(AND($B751=" ",$K752=BE$3),$O752,0)</f>
        <v>0</v>
      </c>
      <c r="BF752" s="197">
        <f>IF($K752=BF$3,IF($C752="X",0,$O752),0)</f>
        <v>0</v>
      </c>
      <c r="BG752" s="198">
        <f>IF($K752=BG$3,IF($C752="X",0,$O752),0)</f>
        <v>0</v>
      </c>
      <c r="BH752" s="198">
        <f>IF($K752=BH$3,IF($C752="X",0,$O752),0)</f>
        <v>0</v>
      </c>
      <c r="BI752" s="198">
        <f>IF($K752=BI$3,IF($C752="X",0,$O752),0)</f>
        <v>0</v>
      </c>
      <c r="BJ752" s="198">
        <f>IF($K752=BJ$3,IF($C752="X",0,$O752),0)</f>
        <v>0</v>
      </c>
      <c r="BK752" s="198">
        <f>IF($K752=BK$3,IF($C752="X",0,$O752),0)</f>
        <v>0</v>
      </c>
      <c r="BL752" s="198">
        <f>IF($K752=BL$3,IF($C752="X",0,$O752),0)</f>
        <v>0</v>
      </c>
      <c r="BM752" s="227">
        <f>IF($K752=BM$3,IF($C752="X",0,$O752),0)</f>
        <v>12.88</v>
      </c>
      <c r="BN752" s="205">
        <f>IF($K752=BN$3,IF($C752="X",0,$O752),0)</f>
        <v>0</v>
      </c>
      <c r="BO752" s="205">
        <f>IF($K752=BO$3,IF($C752="X",0,$O752),0)</f>
        <v>0</v>
      </c>
      <c r="BP752" s="205">
        <f>IF($K752=BP$3,IF($C752="X",0,$O752),0)</f>
        <v>0</v>
      </c>
      <c r="BQ752" s="202">
        <f>IF($K752=BQ$3,IF($C752="X",0,$O752),0)</f>
        <v>0</v>
      </c>
      <c r="BR752" s="199">
        <f>IF($K752=BR$3,IF($C752="X",0,$O752),0)</f>
        <v>0</v>
      </c>
      <c r="BS752" s="228"/>
      <c r="BT752" s="229"/>
      <c r="BU752" s="140"/>
      <c r="BV752" s="229"/>
      <c r="BW752" s="140"/>
      <c r="BX752" s="140"/>
      <c r="BY752" s="140"/>
      <c r="BZ752" s="229"/>
      <c r="CA752" s="140"/>
      <c r="CB752" s="140"/>
      <c r="CC752" s="140"/>
      <c r="CD752" s="141"/>
      <c r="CE752" s="142"/>
      <c r="CF752" s="230">
        <f>IF(CF$3=$K752,IF($C752="W",1,IF($C752="1/2W",0.5,0)),0)</f>
        <v>0</v>
      </c>
      <c r="CG752" s="231">
        <f>IF(CF$3=$K752,IF($C752="L",1,IF($C752="1/2L",0.5,0)),0)</f>
        <v>0</v>
      </c>
      <c r="CH752" s="231">
        <f>IF(CH$3=$K752,IF($C752="W",1,IF($C752="1/2W",0.5,0)),0)</f>
        <v>0</v>
      </c>
      <c r="CI752" s="231">
        <f>IF(CH$3=$K752,IF($C752="L",1,IF($C752="1/2L",0.5,0)),0)</f>
        <v>0</v>
      </c>
      <c r="CJ752" s="231">
        <f>IF(CJ$3=$K752,IF($C752="W",1,IF($C752="1/2W",0.5,0)),0)</f>
        <v>0</v>
      </c>
      <c r="CK752" s="231">
        <f>IF(CJ$3=$K752,IF($C752="L",1,IF($C752="1/2L",0.5,0)),0)</f>
        <v>0</v>
      </c>
      <c r="CL752" s="231">
        <f>IF(CL$3=$K752,IF($C752="W",1,IF($C752="1/2W",0.5,0)),0)</f>
        <v>0</v>
      </c>
      <c r="CM752" s="231">
        <f>IF(CL$3=$K752,IF($C752="L",1,IF($C752="1/2L",0.5,0)),0)</f>
        <v>0</v>
      </c>
      <c r="CN752" s="231">
        <f>IF(CN$3=$K752,IF($C752="W",1,IF($C752="1/2W",0.5,0)),0)</f>
        <v>0</v>
      </c>
      <c r="CO752" s="231">
        <f>IF(CN$3=$K752,IF($C752="L",1,IF($C752="1/2L",0.5,0)),0)</f>
        <v>0</v>
      </c>
      <c r="CP752" s="231">
        <f>IF(CP$3=$K752,IF($C752="W",1,IF($C752="1/2W",0.5,0)),0)</f>
        <v>0</v>
      </c>
      <c r="CQ752" s="231">
        <f>IF(CP$3=$K752,IF($C752="L",1,IF($C752="1/2L",0.5,0)),0)</f>
        <v>0</v>
      </c>
      <c r="CR752" s="231">
        <f>IF(CR$3=$K752,IF($C752="W",1,IF($C752="1/2W",0.5,0)),0)</f>
        <v>0</v>
      </c>
      <c r="CS752" s="231">
        <f>IF(CR$3=$K752,IF($C752="L",1,IF($C752="1/2L",0.5,0)),0)</f>
        <v>0</v>
      </c>
      <c r="CT752" s="208">
        <f>IF(CT$3=$K752,IF($C752="W",1,IF($C752="1/2W",0.5,0)),0)</f>
        <v>1</v>
      </c>
      <c r="CU752" s="209">
        <f>IF(CT$3=$K752,IF($C752="L",1,IF($C752="1/2L",0.5,0)),0)</f>
        <v>0</v>
      </c>
      <c r="CV752" s="209">
        <f>IF(CV$3=$K752,IF($C752="W",1,IF($C752="1/2W",0.5,0)),0)</f>
        <v>0</v>
      </c>
      <c r="CW752" s="209">
        <f>IF(CV$3=$K752,IF($C752="L",1,IF($C752="1/2L",0.5,0)),0)</f>
        <v>0</v>
      </c>
      <c r="CX752" s="209">
        <f>IF(CX$3=$K752,IF($C752="W",1,IF($C752="1/2W",0.5,0)),0)</f>
        <v>0</v>
      </c>
      <c r="CY752" s="209">
        <f>IF(CX$3=$K752,IF($C752="L",1,IF($C752="1/2L",0.5,0)),0)</f>
        <v>0</v>
      </c>
      <c r="CZ752" s="209">
        <f>IF(CZ$3=$K752,IF($C752="W",1,IF($C752="1/2W",0.5,0)),0)</f>
        <v>0</v>
      </c>
      <c r="DA752" s="209">
        <f>IF(CZ$3=$K752,IF($C752="L",1,IF($C752="1/2L",0.5,0)),0)</f>
        <v>0</v>
      </c>
      <c r="DB752" s="209">
        <f>IF(DB$3=$K752,IF($C752="W",1,IF($C752="1/2W",0.5,0)),0)</f>
        <v>0</v>
      </c>
      <c r="DC752" s="209">
        <f>IF(DB$3=$K752,IF($C752="L",1,IF($C752="1/2L",0.5,0)),0)</f>
        <v>0</v>
      </c>
      <c r="DD752" s="209">
        <f>IF(DD$3=$K752,IF($C752="W",1,IF($C752="1/2W",0.5,0)),0)</f>
        <v>0</v>
      </c>
      <c r="DE752" s="210">
        <f>IF(DD$3=$K752,IF($C752="L",1,IF($C752="1/2L",0.5,0)),0)</f>
        <v>0</v>
      </c>
      <c r="DF752" s="211">
        <f>IF(AND(L752&lt;DF$3,$C752="W"),1+DF751,DF751)</f>
        <v>22</v>
      </c>
      <c r="DG752" s="198">
        <f>IF(DF752&gt;DF751,L752+DG751,DG751)</f>
        <v>29.404</v>
      </c>
      <c r="DH752" s="209">
        <f>IF(AND(L752&gt;DH$3,$C752="W"),1+DH751,0+DH751)</f>
        <v>19</v>
      </c>
      <c r="DI752" s="198">
        <f>IF(DH752&gt;DH751,L752+DI751,DI751)</f>
        <v>98.11</v>
      </c>
      <c r="DJ752" t="s" s="306">
        <f>IF($D751="","",$D751)</f>
        <v>481</v>
      </c>
      <c r="DK752" s="232"/>
    </row>
    <row r="753" ht="14.55" customHeight="1">
      <c r="A753" s="149"/>
      <c r="B753" s="150"/>
      <c r="C753" t="s" s="233">
        <v>58</v>
      </c>
      <c r="D753" s="152"/>
      <c r="E753" s="153"/>
      <c r="F753" s="155"/>
      <c r="G753" s="234"/>
      <c r="H753" s="156"/>
      <c r="I753" s="235"/>
      <c r="J753" s="236"/>
      <c r="K753" s="237"/>
      <c r="L753" s="238"/>
      <c r="M753" s="239"/>
      <c r="N753" s="161"/>
      <c r="O753" t="s" s="240">
        <f>IF(OR(AE751="",AE752=""),"",IF(L753&gt;0,ROUND(IF(M753&gt;0,M753,IF(M751&gt;0,ROUND((M751*AE753)/AE751,IF(N751=0,2,IF(N751=0.1,1,0))),IF(M752&gt;0,ROUND((M752*AE753)/AE752,IF(N751=0,2,IF(N751=0.1,1,0))),IF(M753&gt;0,M753,0)))),2),""))</f>
      </c>
      <c r="P753" t="s" s="241">
        <f>IF(I752="Lay",O752*(L752/(L752-1))-O752,IF(I751="Lay",O751*(L751/(L751-1))-O751,IF(OR(L753="",O753=""),"",IF($C753="1/2W",O753/2+O753/2*L753,IF($C753="1/2L",O753/2,(O753*L753-O753)*(1-_xlfn.XLOOKUP(K753,'Janeiro 2023 - Valor Real'!A3:A15,'Janeiro 2023 - Valor Real'!C3:C15,0))+O753)))))</f>
      </c>
      <c r="Q753" t="s" s="242">
        <f>IF(K753="","",IF(_xlfn.XLOOKUP(K753,K$124:K526,DJ$124:DJ526,0,,-1)=DJ753,_xlfn.XLOOKUP(K753,K$124:K526,Q$124:Q526,1,,-1)+1,1))</f>
      </c>
      <c r="R753" t="s" s="243">
        <f>IF(K753="","",_xlfn.XLOOKUP(K753,K$124:K526,R$124:R526,0,,-1)+IF($C753=" ",1,0))</f>
      </c>
      <c r="S753" s="166"/>
      <c r="T753" s="155"/>
      <c r="U753" s="155"/>
      <c r="V753" s="166"/>
      <c r="W753" s="155"/>
      <c r="X753" s="167"/>
      <c r="Y753" s="128"/>
      <c r="Z753" s="129"/>
      <c r="AA753" s="129"/>
      <c r="AB753" s="129"/>
      <c r="AC753" s="129"/>
      <c r="AD753" s="244">
        <f>((L752/(L752-1)-1))</f>
        <v>0.813008130081301</v>
      </c>
      <c r="AE753" t="s" s="245">
        <f>IF(L753="","",(SUM(((L751-1)*(1-_xlfn.XLOOKUP(K751,'Janeiro 2023 - Valor Real'!A3:A15,'Janeiro 2023 - Valor Real'!C3:C15,0))+1),((L752-1)*(1-_xlfn.XLOOKUP(K752,'Janeiro 2023 - Valor Real'!A3:A15,'Janeiro 2023 - Valor Real'!C3:C15,0))+1),((L753-1)*(1-_xlfn.XLOOKUP(K753,'Janeiro 2023 - Valor Real'!A3:A15,'Janeiro 2023 - Valor Real'!C3:C15,0))+1))/((L753-1)*(1-_xlfn.XLOOKUP(K753,'Janeiro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Real'!C3:C15,0))+1))/((L751-1)*(1-_xlfn.XLOOKUP(K751,'Janeiro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Real'!C3:C15,0))+1))/((L752-1)*(1-_xlfn.XLOOKUP(K752,'Janeiro 2023 - Valor Real'!A3:A15,'Janeiro 2023 - Valor Real'!C3:C15,0))+1)+SUM(((L751-1)*(1-_xlfn.XLOOKUP(K751,'Janeiro 2023 - Valor Real'!A3:A15,'Janeiro 2023 - Valor Real'!C3:C15,0))+1),((L752-1)*(1-_xlfn.XLOOKUP(K752,'Janeiro 2023 - Valor Real'!A3:A15,'Janeiro 2023 - Valor Real'!C3:C15,0))+1),((L753-1)*(1-_xlfn.XLOOKUP(K753,'Janeiro 2023 - Valor Real'!A3:A15,'Janeiro 2023 - Valor Real'!C3:C15,0))+1))/((L753-1)*(1-_xlfn.XLOOKUP(K753,'Janeiro 2023 - Valor Real'!A3:A15,'Janeiro 2023 - Valor Real'!C3:C15,0))+1)))</f>
      </c>
      <c r="AF753" s="197">
        <f>IF($K753=AF$3,ROUND(IF(OR($C753="W",$C753="1/2W",$C753="1/2L"),$P753-$O753,IF($C753="X",0,-$O753)),2),0)</f>
        <v>0</v>
      </c>
      <c r="AG753" s="198">
        <f>IF($K753=AG$3,ROUND(IF(OR($C753="W",$C753="1/2W",$C753="1/2L"),$P753-$O753,IF($C753="X",0,-$O753)),2),0)</f>
        <v>0</v>
      </c>
      <c r="AH753" s="198">
        <f>IF($K753=AH$3,ROUND(IF(OR($C753="W",$C753="1/2W",$C753="1/2L"),$P753-$O753,IF($C753="X",0,-$O753)),2),0)</f>
        <v>0</v>
      </c>
      <c r="AI753" s="198">
        <f>IF($K753=AI$3,ROUND(IF(OR($C753="W",$C753="1/2W",$C753="1/2L"),$P753-$O753,IF($C753="X",0,-$O753)),2),0)</f>
        <v>0</v>
      </c>
      <c r="AJ753" s="198">
        <f>IF($K753=AJ$3,ROUND(IF(OR($C753="W",$C753="1/2W",$C753="1/2L"),$P753-$O753,IF($C753="X",0,-$O753)),2),0)</f>
        <v>0</v>
      </c>
      <c r="AK753" s="198">
        <f>IF($K753=AK$3,ROUND(IF(OR($C753="W",$C753="1/2W",$C753="1/2L"),$P753-$O753,IF($C753="X",0,-$O753)),2),0)</f>
        <v>0</v>
      </c>
      <c r="AL753" s="198">
        <f>IF($K753=AL$3,ROUND(IF(OR($C753="W",$C753="1/2W",$C753="1/2L"),$P753-$O753,IF($C753="X",0,-$O753)),2),0)</f>
        <v>0</v>
      </c>
      <c r="AM753" s="198">
        <f>IF($K753=AM$3,ROUND(IF(OR($C753="W",$C753="1/2W",$C753="1/2L"),$P753-$O753,IF($C753="X",0,-$O753)),2),0)</f>
        <v>0</v>
      </c>
      <c r="AN753" s="198">
        <f>IF($K753=AN$3,ROUND(IF(OR($C753="W",$C753="1/2W",$C753="1/2L"),$P753-$O753,IF($C753="X",0,-$O753)),2),0)</f>
        <v>0</v>
      </c>
      <c r="AO753" s="198">
        <f>IF($K753=AO$3,ROUND(IF(OR($C753="W",$C753="1/2W",$C753="1/2L"),$P753-$O753,IF($C753="X",0,-$O753)),2),0)</f>
        <v>0</v>
      </c>
      <c r="AP753" s="198">
        <f>IF($K753=AP$3,ROUND(IF(OR($C753="W",$C753="1/2W",$C753="1/2L"),$P753-$O753,IF($C753="X",0,-$O753)),2),0)</f>
        <v>0</v>
      </c>
      <c r="AQ753" s="198">
        <f>IF($K753=AQ$3,ROUND(IF(OR($C753="W",$C753="1/2W",$C753="1/2L"),$P753-$O753,IF($C753="X",0,-$O753)),2),0)</f>
        <v>0</v>
      </c>
      <c r="AR753" s="199">
        <f>IF($K753=AR$3,ROUND(IF(OR($C753="W",$C753="1/2W",$C753="1/2L"),$P753-$O753,IF($C753="X",0,-$O753)),2),0)</f>
        <v>0</v>
      </c>
      <c r="AS753" s="197">
        <f>IF(AND($B751=" ",$K753=AS$3),$O753,0)</f>
        <v>0</v>
      </c>
      <c r="AT753" s="198">
        <f>IF(AND($B751=" ",K753=AT$3),$O753,0)</f>
        <v>0</v>
      </c>
      <c r="AU753" s="198">
        <f>IF(AND($B751=" ",$K753=AU$3),$O753,0)</f>
        <v>0</v>
      </c>
      <c r="AV753" s="198">
        <f>IF(AND($B751=" ",$K753=AV$3),$O753,0)</f>
        <v>0</v>
      </c>
      <c r="AW753" s="198">
        <f>IF(AND($B751=" ",$K753=AW$3),$O753,0)</f>
        <v>0</v>
      </c>
      <c r="AX753" s="198">
        <f>IF(AND($B751=" ",$K753=AX$3),$O753,0)</f>
        <v>0</v>
      </c>
      <c r="AY753" s="200">
        <f>IF(AND($B751=" ",$K753=AY$3),$O753,0)</f>
        <v>0</v>
      </c>
      <c r="AZ753" s="201">
        <f>IF(AND($B751=" ",$K753=AZ$3),$O753,0)</f>
        <v>0</v>
      </c>
      <c r="BA753" s="201">
        <f>IF(AND($B751=" ",$K753=BA$3),$O753,0)</f>
        <v>0</v>
      </c>
      <c r="BB753" s="201">
        <f>IF(AND($B751=" ",$K753=BB$3),$O753,0)</f>
        <v>0</v>
      </c>
      <c r="BC753" s="202">
        <f>IF(AND($B751=" ",$K753=BC$3),$O753,0)</f>
        <v>0</v>
      </c>
      <c r="BD753" s="198">
        <f>IF(AND($B751=" ",$K753=BD$3),$O753,0)</f>
        <v>0</v>
      </c>
      <c r="BE753" s="199">
        <f>IF(AND($B751=" ",$K753=BE$3),$O753,0)</f>
        <v>0</v>
      </c>
      <c r="BF753" s="197">
        <f>IF($K753=BF$3,IF($C753="X",0,$O753),0)</f>
        <v>0</v>
      </c>
      <c r="BG753" s="198">
        <f>IF($K753=BG$3,IF($C753="X",0,$O753),0)</f>
        <v>0</v>
      </c>
      <c r="BH753" s="198">
        <f>IF($K753=BH$3,IF($C753="X",0,$O753),0)</f>
        <v>0</v>
      </c>
      <c r="BI753" s="198">
        <f>IF($K753=BI$3,IF($C753="X",0,$O753),0)</f>
        <v>0</v>
      </c>
      <c r="BJ753" s="198">
        <f>IF($K753=BJ$3,IF($C753="X",0,$O753),0)</f>
        <v>0</v>
      </c>
      <c r="BK753" s="198">
        <f>IF($K753=BK$3,IF($C753="X",0,$O753),0)</f>
        <v>0</v>
      </c>
      <c r="BL753" s="198">
        <f>IF($K753=BL$3,IF($C753="X",0,$O753),0)</f>
        <v>0</v>
      </c>
      <c r="BM753" s="200">
        <f>IF($K753=BM$3,IF($C753="X",0,$O753),0)</f>
        <v>0</v>
      </c>
      <c r="BN753" s="201">
        <f>IF($K753=BN$3,IF($C753="X",0,$O753),0)</f>
        <v>0</v>
      </c>
      <c r="BO753" s="201">
        <f>IF($K753=BO$3,IF($C753="X",0,$O753),0)</f>
        <v>0</v>
      </c>
      <c r="BP753" s="201">
        <f>IF($K753=BP$3,IF($C753="X",0,$O753),0)</f>
        <v>0</v>
      </c>
      <c r="BQ753" s="202">
        <f>IF($K753=BQ$3,IF($C753="X",0,$O753),0)</f>
        <v>0</v>
      </c>
      <c r="BR753" s="199">
        <f>IF($K753=BR$3,IF($C753="X",0,$O753),0)</f>
        <v>0</v>
      </c>
      <c r="BS753" s="228"/>
      <c r="BT753" s="229"/>
      <c r="BU753" s="140"/>
      <c r="BV753" s="229"/>
      <c r="BW753" s="140"/>
      <c r="BX753" s="140"/>
      <c r="BY753" s="140"/>
      <c r="BZ753" s="229"/>
      <c r="CA753" s="140"/>
      <c r="CB753" s="140"/>
      <c r="CC753" s="140"/>
      <c r="CD753" s="141"/>
      <c r="CE753" s="142"/>
      <c r="CF753" s="230">
        <f>IF(CF$3=$K753,IF($C753="W",1,IF($C753="1/2W",0.5,0)),0)</f>
        <v>0</v>
      </c>
      <c r="CG753" s="231">
        <f>IF(CF$3=$K753,IF($C753="L",1,IF($C753="1/2L",0.5,0)),0)</f>
        <v>0</v>
      </c>
      <c r="CH753" s="231">
        <f>IF(CH$3=$K753,IF($C753="W",1,IF($C753="1/2W",0.5,0)),0)</f>
        <v>0</v>
      </c>
      <c r="CI753" s="231">
        <f>IF(CH$3=$K753,IF($C753="L",1,IF($C753="1/2L",0.5,0)),0)</f>
        <v>0</v>
      </c>
      <c r="CJ753" s="231">
        <f>IF(CJ$3=$K753,IF($C753="W",1,IF($C753="1/2W",0.5,0)),0)</f>
        <v>0</v>
      </c>
      <c r="CK753" s="231">
        <f>IF(CJ$3=$K753,IF($C753="L",1,IF($C753="1/2L",0.5,0)),0)</f>
        <v>0</v>
      </c>
      <c r="CL753" s="231">
        <f>IF(CL$3=$K753,IF($C753="W",1,IF($C753="1/2W",0.5,0)),0)</f>
        <v>0</v>
      </c>
      <c r="CM753" s="231">
        <f>IF(CL$3=$K753,IF($C753="L",1,IF($C753="1/2L",0.5,0)),0)</f>
        <v>0</v>
      </c>
      <c r="CN753" s="231">
        <f>IF(CN$3=$K753,IF($C753="W",1,IF($C753="1/2W",0.5,0)),0)</f>
        <v>0</v>
      </c>
      <c r="CO753" s="231">
        <f>IF(CN$3=$K753,IF($C753="L",1,IF($C753="1/2L",0.5,0)),0)</f>
        <v>0</v>
      </c>
      <c r="CP753" s="231">
        <f>IF(CP$3=$K753,IF($C753="W",1,IF($C753="1/2W",0.5,0)),0)</f>
        <v>0</v>
      </c>
      <c r="CQ753" s="231">
        <f>IF(CP$3=$K753,IF($C753="L",1,IF($C753="1/2L",0.5,0)),0)</f>
        <v>0</v>
      </c>
      <c r="CR753" s="231">
        <f>IF(CR$3=$K753,IF($C753="W",1,IF($C753="1/2W",0.5,0)),0)</f>
        <v>0</v>
      </c>
      <c r="CS753" s="231">
        <f>IF(CR$3=$K753,IF($C753="L",1,IF($C753="1/2L",0.5,0)),0)</f>
        <v>0</v>
      </c>
      <c r="CT753" s="208">
        <f>IF(CT$3=$K753,IF($C753="W",1,IF($C753="1/2W",0.5,0)),0)</f>
        <v>0</v>
      </c>
      <c r="CU753" s="209">
        <f>IF(CT$3=$K753,IF($C753="L",1,IF($C753="1/2L",0.5,0)),0)</f>
        <v>0</v>
      </c>
      <c r="CV753" s="209">
        <f>IF(CV$3=$K753,IF($C753="W",1,IF($C753="1/2W",0.5,0)),0)</f>
        <v>0</v>
      </c>
      <c r="CW753" s="209">
        <f>IF(CV$3=$K753,IF($C753="L",1,IF($C753="1/2L",0.5,0)),0)</f>
        <v>0</v>
      </c>
      <c r="CX753" s="209">
        <f>IF(CX$3=$K753,IF($C753="W",1,IF($C753="1/2W",0.5,0)),0)</f>
        <v>0</v>
      </c>
      <c r="CY753" s="209">
        <f>IF(CX$3=$K753,IF($C753="L",1,IF($C753="1/2L",0.5,0)),0)</f>
        <v>0</v>
      </c>
      <c r="CZ753" s="209">
        <f>IF(CZ$3=$K753,IF($C753="W",1,IF($C753="1/2W",0.5,0)),0)</f>
        <v>0</v>
      </c>
      <c r="DA753" s="209">
        <f>IF(CZ$3=$K753,IF($C753="L",1,IF($C753="1/2L",0.5,0)),0)</f>
        <v>0</v>
      </c>
      <c r="DB753" s="209">
        <f>IF(DB$3=$K753,IF($C753="W",1,IF($C753="1/2W",0.5,0)),0)</f>
        <v>0</v>
      </c>
      <c r="DC753" s="209">
        <f>IF(DB$3=$K753,IF($C753="L",1,IF($C753="1/2L",0.5,0)),0)</f>
        <v>0</v>
      </c>
      <c r="DD753" s="209">
        <f>IF(DD$3=$K753,IF($C753="W",1,IF($C753="1/2W",0.5,0)),0)</f>
        <v>0</v>
      </c>
      <c r="DE753" s="210">
        <f>IF(DD$3=$K753,IF($C753="L",1,IF($C753="1/2L",0.5,0)),0)</f>
        <v>0</v>
      </c>
      <c r="DF753" s="211">
        <f>IF(AND(L753&lt;DF$3,$C753="W"),1+DF752,DF752)</f>
        <v>22</v>
      </c>
      <c r="DG753" s="198">
        <f>IF(DF753&gt;DF752,L753+DG752,DG752)</f>
        <v>29.404</v>
      </c>
      <c r="DH753" s="209">
        <f>IF(AND(L753&gt;DH$3,$C753="W"),1+DH752,0+DH752)</f>
        <v>19</v>
      </c>
      <c r="DI753" s="198">
        <f>IF(DH753&gt;DH752,L753+DI752,DI752)</f>
        <v>98.11</v>
      </c>
      <c r="DJ753" t="s" s="306">
        <f>IF($D751="","",$D751)</f>
        <v>481</v>
      </c>
      <c r="DK753" s="232"/>
    </row>
    <row r="754" ht="14.55" customHeight="1">
      <c r="A754" s="246">
        <f>$A751+1</f>
        <v>251</v>
      </c>
      <c r="B754" t="s" s="247">
        <f>IF(AND(_xlfn.XLOOKUP(H754,H$107:H533,G$107:G533,0)=G754,_xlfn.XLOOKUP("TempoBet",K754:K756,L754:L756,0)&gt;0),"X",IF(OR(C754="W",C755="W",C756="W",C754="1/2W",C755="1/2W",C756="1/2W",C754="1/2L",C755="1/2L",C756="1/2L"),"OK",IF(OR(C754="L",C755="L",C756="L"),"LOSS",IF(OR(C754="X",C755="X",C756="X"),"Anulado"," "))))</f>
        <v>50</v>
      </c>
      <c r="C754" t="s" s="248">
        <v>56</v>
      </c>
      <c r="D754" t="s" s="303">
        <f>IF(G754="","",$D751)</f>
        <v>481</v>
      </c>
      <c r="E754" t="s" s="250">
        <v>169</v>
      </c>
      <c r="F754" t="s" s="251">
        <f>IF(G754="","",IF(OR(AND($C754&lt;&gt;" ",$C755=" "),AND($C755&lt;&gt;" ",$C754=" "),AND(L756&gt;0,OR(AND($C756&lt;&gt;" ",OR($C754=" ",$C755=" ")),AND($C756=" ",OR($C754&lt;&gt;" ",$C755&lt;&gt;" "))))),IF(SUM(F$4:F753)=0,1,LARGE(F$4:F753,1)+1),IF(MONTH(G754)=MONTH(TODAY()),IF(AND(DAY(G754)&lt;DAY(TODAY()),$B754=" "),IF(SUM(F$4:F753)=0,1,LARGE(F$4:F753,1)+1),IF($B754=" ",IF(AND(DAY(G754)=DAY(TODAY()),HOUR(G754)&lt;=HOUR(NOW())+1),IF(AND(HOUR(G754)+2&lt;=HOUR(NOW()),DAY(G754)&lt;=DAY(TODAY()),MINUTE(G754)&lt;=MINUTE(NOW())),IF(SUM(F$4:F753)=0,1,LARGE(F$4:F753,1)+1),IF(OR(MINUTE(G754)&lt;=MINUTE(NOW()),HOUR(G754)&lt;=HOUR(NOW())),"!!!","")),""),"")),"")))</f>
      </c>
      <c r="G754" s="252">
        <v>44957.697916666664</v>
      </c>
      <c r="H754" t="s" s="253">
        <v>519</v>
      </c>
      <c r="I754" t="s" s="254">
        <v>57</v>
      </c>
      <c r="J754" s="255">
        <v>2.5</v>
      </c>
      <c r="K754" t="s" s="256">
        <v>44</v>
      </c>
      <c r="L754" s="257">
        <v>1.735</v>
      </c>
      <c r="M754" s="258"/>
      <c r="N754" s="259">
        <v>0</v>
      </c>
      <c r="O754" s="260">
        <f>IF(OR(AE754="",AE755=""),"",ROUND(IF(L756&gt;0,IF(M754&gt;0,M754,IF(M755&gt;0,ROUND((M755*AE754)/AE755,IF(N754=0,2,IF(N754=0.1,1,0))),ROUND((M756*AE754)/AE756,IF(N754=0,2,IF(N754=0.1,1,0))))),IF(M754&gt;0,M754,ROUND((M755*AE754)/AE755,IF(N754=0,2,IF(N754=0.1,1,0))))),2))</f>
        <v>12.59</v>
      </c>
      <c r="P754" s="261">
        <f>IF(OR(L754="",O754=""),"",IF($C754="1/2W",O754/2+O754/2*L754,IF($C754="1/2L",O754/2,IF(I754="Lay",(O754*(L754/(L754-1))-O754)*(1-_xlfn.XLOOKUP(K754,'Janeiro 2023 - Valor Real'!A3:A15,'Janeiro 2023 - Valor Real'!C3:C15,0))+O754,(O754*L754-O754)*(1-_xlfn.XLOOKUP(K754,'Janeiro 2023 - Valor Real'!A3:A15,'Janeiro 2023 - Valor Real'!C3:C15,0))+O754))))</f>
        <v>21.84365</v>
      </c>
      <c r="Q754" s="262">
        <f>IF(K754="","",IF(_xlfn.XLOOKUP(K754,K$107:K533,DJ$107:DJ533,0,,-1)=DJ754,_xlfn.XLOOKUP(K754,K$107:K533,Q$107:Q533,1,,-1)+1,1))</f>
        <v>1</v>
      </c>
      <c r="R754" s="263">
        <f>IF(K754="","",_xlfn.XLOOKUP(K754,K$107:K533,R$107:R533,0,,-1)+IF($C754=" ",1,0))</f>
        <v>0</v>
      </c>
      <c r="S754" s="264">
        <f>IF($B754="Anulado",0,ROUND(IF(OR($B754="LOSS",$B754="OK"),IF(OR($C754="W",$C754="1/2W",$C754="1/2L"),P754-O754,IF($C754="L",-O754,0))+IF(OR($C755="W",$C755="1/2W",$C755="1/2L"),P755-O755,IF($C755="L",-O755,0))+IF(OR($C756="W",$C756="1/2W",$C756="1/2L"),P756-O756,IF($C756="L",-O756,0)),IF(AND(OR($C754="W",$C754="1/2W",$C754="1/2L"),C755="W"),P754+P755-SUM(O754:O756)+_xlfn.XLOOKUP("X",C754:C756,O754:O756,0),IF(AND(C754=TRUE,C756="W"),P754+P756-SUM(O754:O756),IF(AND(C755="W",C756="W"),P755+P756-SUM(O754:O756)+_xlfn.XLOOKUP("X",C754:C756,O754:O756,0),IF(L756&gt;0,IF(OR($C754="W",$C754="1/2W",$C754="1/2L"),P754-SUM(O754:O756)+_xlfn.XLOOKUP("X",C754:C756,O754:O756,0),IF(OR($C754="W",$C754="1/2W",$C754="1/2L"),P755-SUM(O754:O756)+_xlfn.XLOOKUP("X",C754:C756,O754:O756,0),IF(OR($C754="W",$C754="1/2W",$C754="1/2L"),P756-SUM(O754:O756)+_xlfn.XLOOKUP("X",C754:C756,O754:O756,0),IF(SUM(P754:P756)/3-SUM(O754:O756)+_xlfn.XLOOKUP("X",C754:C756,O754:O756,0)&gt;0,SUM(P754:P756)/3-SUM(O754:O756)+_xlfn.XLOOKUP("X",C754:C756,O754:O756,0),LARGE(P754:P756,1)-SUM(O754:O756))))),IF(OR($C754="W",$C754="1/2W",$C754="1/2L"),P754-SUM(O754:O755)+_xlfn.XLOOKUP("X",C754:C756,O754:O756,0),IF(OR($C754="W",$C754="1/2W",$C754="1/2L"),P755-SUM(O754:O755)+_xlfn.XLOOKUP("X",C754:C756,O754:O756,0),SUM(P754:P755)/2-SUM(O754:O755)+_xlfn.XLOOKUP("X",C754:C756,O754:O756,0)))))))),2))</f>
        <v>1.72</v>
      </c>
      <c r="T754" s="265">
        <f>IF(S754=0,0,S754/SUM(O754:O756))</f>
        <v>0.0854870775347913</v>
      </c>
      <c r="U754" s="266">
        <f>IF($D754=$D751,IF(OR($B754="LOSS",$B754="OK",$B754="Anulada"),S754,0)+U751,IF(OR($B754="LOSS",$B754="OK",$B754="Anulada"),S754,0))</f>
        <v>34.24</v>
      </c>
      <c r="V754" s="266">
        <f>IF($D754="",0,IF($D754=$D751,IF($B754=" ",IF(I756="",IF(OR(AND(I754="DNB1",I755="DNB2"),AND(OR(I754="DNB1",I754="DNB2"),J755=0),AND(OR(I755="DNB1",I755="DNB2"),J754=0),AND(I754="DNB2",I755="DNB1"),AND(IF(J754=0,(J754+1)/ROUND(J754+1,0),J754/ROUND(J754,0))=1,IF(J755=0,(J755+1)/ROUND(IF(J755="",0,J755)+1,0),IF(J755="",0,J755)/ROUND(IF(J755="",1,J755),0))=1,OR(J754&lt;&gt;""),J755&lt;&gt;"")),0,IF(S754&lt;0,IF(I756="",SMALL(P754:P755,1)-SUM(O754:O755),0),SMALL(P754:P755,1)-SUM(O754:O755))),IF(S754&lt;0,IF(I756="",SMALL(P754:P756,1)-SUM(O754:O756),0),LARGE(P754:P756,1)-SUM(O754:O756))),S754)+V751,IF(I756="",IF(OR(AND(I754="DNB1",I755="DNB2"),AND(OR(I754="DNB1",I754="DNB2"),J755=0),AND(OR(I755="DNB1",I755="DNB2"),J754=0),AND(I754="DNB2",I755="DNB1"),AND(IF(J754=0,(J754+1)/ROUND(J754+1,0),J754/ROUND(J754,0))=1,IF(J755=0,(IF(J755="",0,J755)+1)/ROUND(IF(J755="",0,J755)+1,0),IF(J755="",0,J755)/ROUND(IF(J755="",0,J755)+1,0))=1,OR(J754&lt;&gt;""),J755&lt;&gt;"")),0,IF(S754&lt;0,IF(I756="",SMALL(P754:P755,1)-SUM(O754:O755),0),SMALL(P754:P756,1)-SUM(O754:O756))),IF(S754&lt;0,IF(I756="",SMALL(P754:P756,1)-SUM(O754:O756),0),LARGE(P754:P756,1)-SUM(O754:O756)))))</f>
        <v>34.2376</v>
      </c>
      <c r="W754" s="266">
        <f>IF($D754=$D751,IF(S754&lt;0,IF(I756="",S754,0),S754)+W751,S754)</f>
        <v>34.24</v>
      </c>
      <c r="X754" t="s" s="267">
        <f>IF(OR(SUM(R754:R756)=0,V754=W754),ROUND(IF(W754=0,0,W754/Y754)*100,2)&amp;"%",ROUND(IF(V754=0,0,V754/Y754)*100,2)&amp;"% a "&amp;ROUND(IF(W754=0,0,W754/Y754)*100,2)&amp;"%")</f>
        <v>521</v>
      </c>
      <c r="Y754" s="268">
        <f>IF($D754=$D751,Y751+SUM(O754:O756),SUM(O754:O756))</f>
        <v>652.51</v>
      </c>
      <c r="Z754" s="266">
        <f>IF($B754=" ",SUM(O754:O756),0)+Z751</f>
        <v>0</v>
      </c>
      <c r="AA754" s="266">
        <f>IF(G754="","",IF($B754="Anulado",LARGE(P754:P756,1)-SUM(O754:O756)+AA751,AA751))</f>
        <v>29.9145076923077</v>
      </c>
      <c r="AB754" s="266">
        <f>IF($D754="","",AB751+S754)</f>
        <v>505.42</v>
      </c>
      <c r="AC754" s="269">
        <f>IF($D754="","",IF($B754=" ",IF(DAY(G754)=DAY(TODAY()),1+AC751,0+AC751),0+AC751))</f>
        <v>0</v>
      </c>
      <c r="AD754" s="270">
        <f>(1-_xlfn.XLOOKUP(K752,'Janeiro 2023 - Valor Real'!A3:A15,'Janeiro 2023 - Valor Real'!C3:C15,0))+1</f>
        <v>2</v>
      </c>
      <c r="AE754" s="271">
        <f>IF(L754="","",IF(L756&gt;0,(SUM(((L754-1)*(1-_xlfn.XLOOKUP(K754,'Janeiro 2023 - Valor Real'!A3:A15,'Janeiro 2023 - Valor Real'!C3:C15,0))+1),((L755-1)*(1-_xlfn.XLOOKUP(K755,'Janeiro 2023 - Valor Real'!A3:A15,'Janeiro 2023 - Valor Real'!C3:C15,0))+1),((L756-1)*(1-_xlfn.XLOOKUP(K756,'Janeiro 2023 - Valor Real'!A3:A15,'Janeiro 2023 - Valor Real'!C3:C15,0))+1))/((L754-1)*(1-_xlfn.XLOOKUP(K754,'Janeiro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Real'!C3:C15,0))+1))/((L754-1)*(1-_xlfn.XLOOKUP(K754,'Janeiro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Real'!C3:C15,0))+1))/((L755-1)*(1-_xlfn.XLOOKUP(K755,'Janeiro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Real'!C3:C15,0))+1))/((L756-1)*(1-_xlfn.XLOOKUP(K756,'Janeiro 2023 - Valor Real'!A3:A15,'Janeiro 2023 - Valor Real'!C3:C15,0))+1)),IF(I754="Lay",IF(I755="Lay",((L755/(L755-1)-1)*(1-_xlfn.XLOOKUP(K755,'Janeiro 2023 - Valor Real'!A3:A15,'Janeiro 2023 - Valor Real'!C3:C15,0))+1)/(((L755/(L755-1)-1)*(1-_xlfn.XLOOKUP(K755,'Janeiro 2023 - Valor Real'!A3:A15,'Janeiro 2023 - Valor Real'!C3:C15,0))+1)+((L754/(L754-1)-1)*(1-_xlfn.XLOOKUP(K754,'Janeiro 2023 - Valor Real'!A3:A15,'Janeiro 2023 - Valor Real'!C3:C15,0))+1)),((L755-1)*(1-_xlfn.XLOOKUP(K755,'Janeiro 2023 - Valor Real'!A3:A15,'Janeiro 2023 - Valor Real'!C3:C15,0))+1)/(((L755-1)*(1-_xlfn.XLOOKUP(K755,'Janeiro 2023 - Valor Real'!A3:A15,'Janeiro 2023 - Valor Real'!C3:C15,0))+1)+((L754/(L754-1)-1)*(1-_xlfn.XLOOKUP(K754,'Janeiro 2023 - Valor Real'!A3:A15,'Janeiro 2023 - Valor Real'!C3:C15,0))+1))),IF(I755="Lay",(((L755/(L755-1)-1)*(1-_xlfn.XLOOKUP(K755,'Janeiro 2023 - Valor Real'!A3:A15,'Janeiro 2023 - Valor Real'!C3:C15,0))+1))/(((L754-1)*(1-_xlfn.XLOOKUP(K754,'Janeiro 2023 - Valor Real'!A3:A15,'Janeiro 2023 - Valor Real'!C3:C15,0))+1)+((L755/(L755-1)-1)*(1-_xlfn.XLOOKUP(K755,'Janeiro 2023 - Valor Real'!A3:A15,'Janeiro 2023 - Valor Real'!C3:C15,0))+1)),((L755-1)*(1-_xlfn.XLOOKUP(K755,'Janeiro 2023 - Valor Real'!A3:A15,'Janeiro 2023 - Valor Real'!C3:C15,0))+1)/(((L755-1)*(1-_xlfn.XLOOKUP(K755,'Janeiro 2023 - Valor Real'!A3:A15,'Janeiro 2023 - Valor Real'!C3:C15,0))+1)+((L754-1)*(1-_xlfn.XLOOKUP(K754,'Janeiro 2023 - Valor Real'!A3:A15,'Janeiro 2023 - Valor Real'!C3:C15,0))+1))))))</f>
        <v>0.625674217907228</v>
      </c>
      <c r="AF754" s="132">
        <f>IF($K754=AF$3,ROUND(IF(OR($C754="W",$C754="1/2W",$C754="1/2L"),$P754-$O754,IF($C754="X",0,-$O754)),2),0)</f>
        <v>0</v>
      </c>
      <c r="AG754" s="133">
        <f>IF($K754=AG$3,ROUND(IF(OR($C754="W",$C754="1/2W",$C754="1/2L"),$P754-$O754,IF($C754="X",0,-$O754)),2),0)</f>
        <v>0</v>
      </c>
      <c r="AH754" s="133">
        <f>IF($K754=AH$3,ROUND(IF(OR($C754="W",$C754="1/2W",$C754="1/2L"),$P754-$O754,IF($C754="X",0,-$O754)),2),0)</f>
        <v>0</v>
      </c>
      <c r="AI754" s="133">
        <f>IF($K754=AI$3,ROUND(IF(OR($C754="W",$C754="1/2W",$C754="1/2L"),$P754-$O754,IF($C754="X",0,-$O754)),2),0)</f>
        <v>0</v>
      </c>
      <c r="AJ754" s="133">
        <f>IF($K754=AJ$3,ROUND(IF(OR($C754="W",$C754="1/2W",$C754="1/2L"),$P754-$O754,IF($C754="X",0,-$O754)),2),0)</f>
        <v>0</v>
      </c>
      <c r="AK754" s="133">
        <f>IF($K754=AK$3,ROUND(IF(OR($C754="W",$C754="1/2W",$C754="1/2L"),$P754-$O754,IF($C754="X",0,-$O754)),2),0)</f>
        <v>0</v>
      </c>
      <c r="AL754" s="133">
        <f>IF($K754=AL$3,ROUND(IF(OR($C754="W",$C754="1/2W",$C754="1/2L"),$P754-$O754,IF($C754="X",0,-$O754)),2),0)</f>
        <v>0</v>
      </c>
      <c r="AM754" s="133">
        <f>IF($K754=AM$3,ROUND(IF(OR($C754="W",$C754="1/2W",$C754="1/2L"),$P754-$O754,IF($C754="X",0,-$O754)),2),0)</f>
        <v>9.25</v>
      </c>
      <c r="AN754" s="133">
        <f>IF($K754=AN$3,ROUND(IF(OR($C754="W",$C754="1/2W",$C754="1/2L"),$P754-$O754,IF($C754="X",0,-$O754)),2),0)</f>
        <v>0</v>
      </c>
      <c r="AO754" s="133">
        <f>IF($K754=AO$3,ROUND(IF(OR($C754="W",$C754="1/2W",$C754="1/2L"),$P754-$O754,IF($C754="X",0,-$O754)),2),0)</f>
        <v>0</v>
      </c>
      <c r="AP754" s="133">
        <f>IF($K754=AP$3,ROUND(IF(OR($C754="W",$C754="1/2W",$C754="1/2L"),$P754-$O754,IF($C754="X",0,-$O754)),2),0)</f>
        <v>0</v>
      </c>
      <c r="AQ754" s="133">
        <f>IF($K754=AQ$3,ROUND(IF(OR($C754="W",$C754="1/2W",$C754="1/2L"),$P754-$O754,IF($C754="X",0,-$O754)),2),0)</f>
        <v>0</v>
      </c>
      <c r="AR754" s="134">
        <f>IF($K754=AR$3,ROUND(IF(OR($C754="W",$C754="1/2W",$C754="1/2L"),$P754-$O754,IF($C754="X",0,-$O754)),2),0)</f>
        <v>0</v>
      </c>
      <c r="AS754" s="132">
        <f>IF(AND($B754=" ",$K754=AS$3),$O754,0)</f>
        <v>0</v>
      </c>
      <c r="AT754" s="133">
        <f>IF(AND($B754=" ",$K754=AT$3),$O754,0)</f>
        <v>0</v>
      </c>
      <c r="AU754" s="133">
        <f>IF(AND($B754=" ",$K754=AU$3),$O754,0)</f>
        <v>0</v>
      </c>
      <c r="AV754" s="133">
        <f>IF(AND($B754=" ",$K754=AV$3),$O754,0)</f>
        <v>0</v>
      </c>
      <c r="AW754" s="133">
        <f>IF(AND($B754=" ",$K754=AW$3),$O754,0)</f>
        <v>0</v>
      </c>
      <c r="AX754" s="133">
        <f>IF(AND($B754=" ",$K754=AX$3),$O754,0)</f>
        <v>0</v>
      </c>
      <c r="AY754" s="135">
        <f>IF(AND($B754=" ",$K754=AY$3),$O754,0)</f>
        <v>0</v>
      </c>
      <c r="AZ754" s="136">
        <f>IF(AND($B754=" ",$K754=AZ$3),$O754,0)</f>
        <v>0</v>
      </c>
      <c r="BA754" s="136">
        <f>IF(AND($B754=" ",$K754=BA$3),$O754,0)</f>
        <v>0</v>
      </c>
      <c r="BB754" s="136">
        <f>IF(AND($B754=" ",$K754=BB$3),$O754,0)</f>
        <v>0</v>
      </c>
      <c r="BC754" s="137">
        <f>IF(AND($B754=" ",$K754=BC$3),$O754,0)</f>
        <v>0</v>
      </c>
      <c r="BD754" s="133">
        <f>IF(AND($B754=" ",$K754=BD$3),$O754,0)</f>
        <v>0</v>
      </c>
      <c r="BE754" s="134">
        <f>IF(AND($B754=" ",$K754=BE$3),$O754,0)</f>
        <v>0</v>
      </c>
      <c r="BF754" s="132">
        <f>IF($K754=BF$3,IF($C754="X",0,$O754),0)</f>
        <v>0</v>
      </c>
      <c r="BG754" s="133">
        <f>IF($K754=BG$3,IF($C754="X",0,$O754),0)</f>
        <v>0</v>
      </c>
      <c r="BH754" s="133">
        <f>IF($K754=BH$3,IF($C754="X",0,$O754),0)</f>
        <v>0</v>
      </c>
      <c r="BI754" s="133">
        <f>IF($K754=BI$3,IF($C754="X",0,$O754),0)</f>
        <v>0</v>
      </c>
      <c r="BJ754" s="133">
        <f>IF($K754=BJ$3,IF($C754="X",0,$O754),0)</f>
        <v>0</v>
      </c>
      <c r="BK754" s="133">
        <f>IF($K754=BK$3,IF($C754="X",0,$O754),0)</f>
        <v>0</v>
      </c>
      <c r="BL754" s="133">
        <f>IF($K754=BL$3,IF($C754="X",0,$O754),0)</f>
        <v>0</v>
      </c>
      <c r="BM754" s="135">
        <f>IF($K754=BM$3,IF($C754="X",0,$O754),0)</f>
        <v>12.59</v>
      </c>
      <c r="BN754" s="136">
        <f>IF($K754=BN$3,IF($C754="X",0,$O754),0)</f>
        <v>0</v>
      </c>
      <c r="BO754" s="136">
        <f>IF($K754=BO$3,IF($C754="X",0,$O754),0)</f>
        <v>0</v>
      </c>
      <c r="BP754" s="136">
        <f>IF($K754=BP$3,IF($C754="X",0,$O754),0)</f>
        <v>0</v>
      </c>
      <c r="BQ754" s="137">
        <f>IF($K754=BQ$3,IF($C754="X",0,$O754),0)</f>
        <v>0</v>
      </c>
      <c r="BR754" s="134">
        <f>IF($K754=BR$3,IF($C754="X",0,$O754),0)</f>
        <v>0</v>
      </c>
      <c r="BS754" s="170">
        <f>IF($B754="LOSS",IF(AND($K754=BS$3,$C754="L"),-$O754,0)+IF(AND($K755=BS$3,$C755="L"),-$O755,0)+IF(AND($K756=BS$3,$C756="L"),-$O756,0),IF(OR(AND($K754=BS$3,OR($C754="W",$C754="1/2W")),AND($K755=BS$3,OR($C755="W",$C755="1/2W")),AND($K756=BS$3,OR($C756="W",$C756="1/2W"))),$S754,0))</f>
        <v>0</v>
      </c>
      <c r="BT754" s="272">
        <f>IF($B754="LOSS",IF(AND($K754=BT$3,$C754="L"),-$O754,0)+IF(AND($K755=BT$3,$C755="L"),-$O755,0)+IF(AND($K755=BT$3,$C756="L"),-$O756,0),IF(OR(AND($K755=BT$3,OR($C754="W",$C754="1/2W")),AND($K755=BT$3,OR($C755="W",$C755="1/2W")),AND($K755=BT$3,OR($C756="W",$C756="1/2W"))),$S754,0))</f>
        <v>1.72</v>
      </c>
      <c r="BU754" s="136">
        <f>IF($B754="LOSS",IF(AND($K754=BU$3,$C754="L"),-$O754,0)+IF(AND($K755=BU$3,$C755="L"),-$O755,0)+IF(AND($K755=BU$3,$C756="L"),-$O756,0),IF(OR(AND($K755=BU$3,OR($C754="W",$C754="1/2W")),AND($K755=BU$3,OR($C755="W",$C755="1/2W")),AND($K755=BU$3,OR($C756="W",$C756="1/2W"))),$S754,0))</f>
        <v>0</v>
      </c>
      <c r="BV754" s="136">
        <f>IF($B754="LOSS",IF(AND($K754=BV$3,$C754="L"),-$O754,0)+IF(AND($K755=BV$3,$C755="L"),-$O755,0)+IF(AND($K756=BV$3,$C756="L"),-$O756,0),IF(OR(AND($K754=BV$3,OR($C754="W",$C754="1/2W")),AND($K755=BV$3,OR($C755="W",$C755="1/2W")),AND($K756=BV$3,OR($C756="W",$C756="1/2W"))),$S754,0))</f>
        <v>0</v>
      </c>
      <c r="BW754" s="136">
        <f>IF($B754="LOSS",IF(AND($K754=BW$3,$C754="L"),-$O754,0)+IF(AND($K755=BW$3,$C755="L"),-$O755,0)+IF(AND($K756=BW$3,$C756="L"),-$O756,0),IF(OR(AND($K754=BW$3,OR($C754="W",$C754="1/2W")),AND($K755=BW$3,OR($C755="W",$C755="1/2W")),AND($K756=BW$3,OR($C756="W",$C756="1/2W"))),$S754,0))</f>
        <v>0</v>
      </c>
      <c r="BX754" s="136">
        <f>IF($B754="LOSS",IF(AND($K754=BX$3,$C754="L"),-$O754,0)+IF(AND($K755=BX$3,$C755="L"),-$O755,0)+IF(AND($K756=BX$3,$C756="L"),-$O756,0),IF(OR(AND($K754=BX$3,OR($C754="W",$C754="1/2W")),AND($K755=BX$3,OR($C755="W",$C755="1/2W")),AND($K756=BX$3,OR($C756="W",$C756="1/2W"))),$S754,0))</f>
        <v>0</v>
      </c>
      <c r="BY754" s="136">
        <f>IF($B754="LOSS",IF(AND($K754=BY$3,$C754="L"),-$O754,0)+IF(AND($K755=BY$3,$C755="L"),-$O755,0)+IF(AND($K756=BY$3,$C756="L"),-$O756,0),IF(OR(AND($K754=BY$3,OR($C754="W",$C754="1/2W")),AND($K755=BY$3,OR($C755="W",$C755="1/2W")),AND($K756=BY$3,OR($C756="W",$C756="1/2W"))),$S754,0))</f>
        <v>0</v>
      </c>
      <c r="BZ754" s="136">
        <f>IF($B754="LOSS",IF(AND($K754=BZ$3,$C754="L"),-$O754,0)+IF(AND($K755=BZ$3,$C755="L"),-$O755,0)+IF(AND($K756=BZ$3,$C756="L"),-$O756,0),IF(OR(AND($K754=BZ$3,OR($C754="W",$C754="1/2W")),AND($K755=BZ$3,OR($C755="W",$C755="1/2W")),AND($K756=BZ$3,OR($C756="W",$C756="1/2W"))),$S754,0))</f>
        <v>1.72</v>
      </c>
      <c r="CA754" s="136">
        <f>IF($B754="LOSS",IF(AND($K754=CA$3,$C754="L"),-$O754,0)+IF(AND($K755=CA$3,$C755="L"),-$O755,0)+IF(AND($K756=CA$3,$C756="L"),-$O756,0),IF(OR(AND($K754=CA$3,OR($C754="W",$C754="1/2W")),AND($K755=CA$3,OR($C755="W",$C755="1/2W")),AND($K756=CA$3,OR($C756="W",$C756="1/2W"))),$S754,0))</f>
        <v>0</v>
      </c>
      <c r="CB754" s="136">
        <f>IF($B754="LOSS",IF(AND($K754=CB$3,$C754="L"),-$O754,0)+IF(AND($K755=CB$3,$C755="L"),-$O755,0)+IF(AND($K756=CB$3,$C756="L"),-$O756,0),IF(OR(AND($K754=CB$3,OR($C754="W",$C754="1/2W")),AND($K755=CB$3,OR($C755="W",$C755="1/2W")),AND($K756=CB$3,OR($C756="W",$C756="1/2W"))),$S754,0))</f>
        <v>0</v>
      </c>
      <c r="CC754" s="136">
        <f>IF($B754="LOSS",IF(AND($K754=CC$3,$C754="L"),-$O754,0)+IF(AND($K755=CC$3,$C755="L"),-$O755,0)+IF(AND($K756=CC$3,$C756="L"),-$O756,0),IF(OR(AND($K754=CC$3,OR($C754="W",$C754="1/2W")),AND($K755=CC$3,OR($C755="W",$C755="1/2W")),AND($K756=CC$3,OR($C756="W",$C756="1/2W"))),$S754,0))</f>
        <v>0</v>
      </c>
      <c r="CD754" s="137">
        <f>IF($B754="LOSS",IF(AND($K754=CD$3,$C754="L"),-$O754,0)+IF(AND($K755=CD$3,$C755="L"),-$O755,0)+IF(AND($K756=CD$3,$C756="L"),-$O756,0),IF(OR(AND($K754=CD$3,OR($C754="W",$C754="1/2W")),AND($K755=CD$3,OR($C755="W",$C755="1/2W")),AND($K756=CD$3,OR($C756="W",$C756="1/2W"))),$S754,0))</f>
        <v>0</v>
      </c>
      <c r="CE754" s="134">
        <f>IF($B754="LOSS",IF(AND($K754=CE$3,$C754="L"),-$O754,0)+IF(AND($K755=CE$3,$C755="L"),-$O755,0)+IF(AND($K756=CE$3,$C756="L"),-$O756,0),IF(OR(AND($K754=CE$3,OR($C754="W",$C754="1/2W")),AND($K755=CE$3,OR($C755="W",$C755="1/2W")),AND($K756=CE$3,OR($C756="W",$C756="1/2W"))),$S754,0))</f>
        <v>0</v>
      </c>
      <c r="CF754" s="273">
        <f>IF(CF$3=$K754,IF($C754="W",1,IF($C754="1/2W",0.5,0)),0)</f>
        <v>0</v>
      </c>
      <c r="CG754" s="274">
        <f>IF(CF$3=$K754,IF($C754="L",1,IF($C754="1/2L",0.5,0)),0)</f>
        <v>0</v>
      </c>
      <c r="CH754" s="274">
        <f>IF(CH$3=$K754,IF($C754="W",1,IF($C754="1/2W",0.5,0)),0)</f>
        <v>0</v>
      </c>
      <c r="CI754" s="274">
        <f>IF(CH$3=$K754,IF($C754="L",1,IF($C754="1/2L",0.5,0)),0)</f>
        <v>0</v>
      </c>
      <c r="CJ754" s="274">
        <f>IF(CJ$3=$K754,IF($C754="W",1,IF($C754="1/2W",0.5,0)),0)</f>
        <v>0</v>
      </c>
      <c r="CK754" s="274">
        <f>IF(CJ$3=$K754,IF($C754="L",1,IF($C754="1/2L",0.5,0)),0)</f>
        <v>0</v>
      </c>
      <c r="CL754" s="274">
        <f>IF(CL$3=$K754,IF($C754="W",1,IF($C754="1/2W",0.5,0)),0)</f>
        <v>0</v>
      </c>
      <c r="CM754" s="274">
        <f>IF(CL$3=$K754,IF($C754="L",1,IF($C754="1/2L",0.5,0)),0)</f>
        <v>0</v>
      </c>
      <c r="CN754" s="274">
        <f>IF(CN$3=$K754,IF($C754="W",1,IF($C754="1/2W",0.5,0)),0)</f>
        <v>0</v>
      </c>
      <c r="CO754" s="274">
        <f>IF(CN$3=$K754,IF($C754="L",1,IF($C754="1/2L",0.5,0)),0)</f>
        <v>0</v>
      </c>
      <c r="CP754" s="274">
        <f>IF(CP$3=$K754,IF($C754="W",1,IF($C754="1/2W",0.5,0)),0)</f>
        <v>0</v>
      </c>
      <c r="CQ754" s="274">
        <f>IF(CP$3=$K754,IF($C754="L",1,IF($C754="1/2L",0.5,0)),0)</f>
        <v>0</v>
      </c>
      <c r="CR754" s="274">
        <f>IF(CR$3=$K754,IF($C754="W",1,IF($C754="1/2W",0.5,0)),0)</f>
        <v>0</v>
      </c>
      <c r="CS754" s="274">
        <f>IF(CR$3=$K754,IF($C754="L",1,IF($C754="1/2L",0.5,0)),0)</f>
        <v>0</v>
      </c>
      <c r="CT754" s="145">
        <f>IF(CT$3=$K754,IF($C754="W",1,IF($C754="1/2W",0.5,0)),0)</f>
        <v>1</v>
      </c>
      <c r="CU754" s="146">
        <f>IF(CT$3=$K754,IF($C754="L",1,IF($C754="1/2L",0.5,0)),0)</f>
        <v>0</v>
      </c>
      <c r="CV754" s="146">
        <f>IF(CV$3=$K754,IF($C754="W",1,IF($C754="1/2W",0.5,0)),0)</f>
        <v>0</v>
      </c>
      <c r="CW754" s="146">
        <f>IF(CV$3=$K754,IF($C754="L",1,IF($C754="1/2L",0.5,0)),0)</f>
        <v>0</v>
      </c>
      <c r="CX754" s="146">
        <f>IF(CX$3=$K754,IF($C754="W",1,IF($C754="1/2W",0.5,0)),0)</f>
        <v>0</v>
      </c>
      <c r="CY754" s="146">
        <f>IF(CX$3=$K754,IF($C754="L",1,IF($C754="1/2L",0.5,0)),0)</f>
        <v>0</v>
      </c>
      <c r="CZ754" s="146">
        <f>IF(CZ$3=$K754,IF($C754="W",1,IF($C754="1/2W",0.5,0)),0)</f>
        <v>0</v>
      </c>
      <c r="DA754" s="146">
        <f>IF(CZ$3=$K754,IF($C754="L",1,IF($C754="1/2L",0.5,0)),0)</f>
        <v>0</v>
      </c>
      <c r="DB754" s="146">
        <f>IF(DB$3=$K754,IF($C754="W",1,IF($C754="1/2W",0.5,0)),0)</f>
        <v>0</v>
      </c>
      <c r="DC754" s="146">
        <f>IF(DB$3=$K754,IF($C754="L",1,IF($C754="1/2L",0.5,0)),0)</f>
        <v>0</v>
      </c>
      <c r="DD754" s="146">
        <f>IF(DD$3=$K754,IF($C754="W",1,IF($C754="1/2W",0.5,0)),0)</f>
        <v>0</v>
      </c>
      <c r="DE754" s="147">
        <f>IF(DD$3=$K754,IF($C754="L",1,IF($C754="1/2L",0.5,0)),0)</f>
        <v>0</v>
      </c>
      <c r="DF754" s="143">
        <f>IF(AND(L754&lt;DF$3,$C754="W"),1+DF753,DF753)</f>
        <v>22</v>
      </c>
      <c r="DG754" s="133">
        <f>IF(DF754&gt;DF753,L754+DG753,DG753)</f>
        <v>29.404</v>
      </c>
      <c r="DH754" s="146">
        <f>IF(AND(L754&gt;DH$3,$C754="W"),1+DH753,0+DH753)</f>
        <v>19</v>
      </c>
      <c r="DI754" s="133">
        <f>IF(DH754&gt;DH753,L754+DI753,DI753)</f>
        <v>98.11</v>
      </c>
      <c r="DJ754" t="s" s="304">
        <f>IF($D754="","",$D754)</f>
        <v>481</v>
      </c>
      <c r="DK754" s="146">
        <f>IF(AND($B754=" ",$D754&lt;&gt;""),1,0)</f>
        <v>0</v>
      </c>
    </row>
    <row r="755" ht="14.55" customHeight="1">
      <c r="A755" s="107"/>
      <c r="B755" s="108"/>
      <c r="C755" t="s" s="109">
        <v>51</v>
      </c>
      <c r="D755" s="110"/>
      <c r="E755" s="111"/>
      <c r="F755" s="113"/>
      <c r="G755" s="252"/>
      <c r="H755" s="114"/>
      <c r="I755" t="s" s="275">
        <v>140</v>
      </c>
      <c r="J755" s="276">
        <f>IF(OR(I754="TO",I754="TU",I754="TO1",I754="TU1",I754="TO2",I754="TU2"),J754,IF(OR(I754="AH1",I754="AH2"),IF(OR(I755="AH1",I755="AH2"),-J754,IF(OR(I755="EH1",I755="EH2"),-J754+0.5,"")),IF(OR(I754="EH1",I754="EH2"),IF(OR(I755="AH1",I755="AH2"),-J754+0.5,IF(OR(I755="EH1",I755="EH2"),-J754+1,"")),IF(AND(OR(I754="DNB1",I754="DNB2"),OR(I755="AH1",I755="AH2")),0,IF(AND(I754="Not ScoreBoth",OR(I755="TO1",I755="TO2")),0.5,"")))))</f>
        <v>-2</v>
      </c>
      <c r="K755" t="s" s="117">
        <v>38</v>
      </c>
      <c r="L755" s="277">
        <v>2.9</v>
      </c>
      <c r="M755" s="278">
        <v>7.53</v>
      </c>
      <c r="N755" s="120"/>
      <c r="O755" s="121">
        <f>IF(OR(AE754="",AE755=""),"",ROUND(IF(L756&gt;0,IF(M755&gt;0,M755,IF(M754&gt;0,IF(N754=TRUE,ROUND((M754*AE755)/AE754,0),(M754*AE755)/AE754),IF(M755&gt;0,ROUND(M755,IF(N754=0,2,IF(N754=0.1,1,0))),IF(M756&gt;0,ROUND(O756*AE755/AE756,IF(N754=0,2,IF(N754=0.1,1,0))),0)))),IF(M755&gt;0,M755,ROUND((M754*AE755)/AE754,IF(N754=0,2,IF(N754=0.1,1,0))))),2))</f>
        <v>7.53</v>
      </c>
      <c r="P755" s="122">
        <f>IF(OR(L755="",O755=""),"",IF($C755="1/2W",O755/2+O755/2*L755,IF($C755="1/2L",O755/2,IF(I755="Lay",((O755*(L755/(L755-1)))-O755)*(1-_xlfn.XLOOKUP(K755,'Janeiro 2023 - Valor Real'!A3:A15,'Janeiro 2023 - Valor Real'!C3:C15,0))+O755,(O755*L755-O755)*(1-_xlfn.XLOOKUP(K755,'Janeiro 2023 - Valor Real'!A3:A15,'Janeiro 2023 - Valor Real'!C3:C15,0))+O755))))</f>
        <v>21.837</v>
      </c>
      <c r="Q755" s="279">
        <f>IF(K755="","",IF(_xlfn.XLOOKUP(K755,K$120:K534,DJ$120:DJ534,0,,-1)=DJ755,_xlfn.XLOOKUP(K755,K$120:K534,Q$120:Q534,1,,-1)+1,1))</f>
        <v>1</v>
      </c>
      <c r="R755" s="280">
        <f>IF(K755="","",_xlfn.XLOOKUP(K755,K$120:K534,R$120:R534,0,,-1)+IF($C755=" ",1,0))</f>
        <v>0</v>
      </c>
      <c r="S755" s="125"/>
      <c r="T755" s="126"/>
      <c r="U755" s="126"/>
      <c r="V755" s="224"/>
      <c r="W755" s="126"/>
      <c r="X755" s="127"/>
      <c r="Y755" s="128"/>
      <c r="Z755" s="129"/>
      <c r="AA755" s="129"/>
      <c r="AB755" s="129"/>
      <c r="AC755" s="129"/>
      <c r="AD755" s="130"/>
      <c r="AE755" s="131">
        <f>IF(L755="","",IF(L756&gt;0,(SUM(((L754-1)*(1-_xlfn.XLOOKUP(K754,'Janeiro 2023 - Valor Real'!A3:A15,'Janeiro 2023 - Valor Real'!C3:C15,0))+1),((L755-1)*(1-_xlfn.XLOOKUP(K755,'Janeiro 2023 - Valor Real'!A3:A15,'Janeiro 2023 - Valor Real'!C3:C15,0))+1),((L756-1)*(1-_xlfn.XLOOKUP(K756,'Janeiro 2023 - Valor Real'!A3:A15,'Janeiro 2023 - Valor Real'!C3:C15,0))+1))/((L755-1)*(1-_xlfn.XLOOKUP(K755,'Janeiro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Real'!C3:C15,0))+1))/((L754-1)*(1-_xlfn.XLOOKUP(K754,'Janeiro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Real'!C3:C15,0))+1))/((L755-1)*(1-_xlfn.XLOOKUP(K755,'Janeiro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Real'!C3:C15,0))+1))/((L756-1)*(1-_xlfn.XLOOKUP(K756,'Janeiro 2023 - Valor Real'!A3:A15,'Janeiro 2023 - Valor Real'!C3:C15,0))+1)),IF(I755="Lay",IF(I754="Lay",((L754/(L754-1)-1)*(1-_xlfn.XLOOKUP(K754,'Janeiro 2023 - Valor Real'!A3:A15,'Janeiro 2023 - Valor Real'!C3:C15,0))+1)/(((L754/(L754-1)-1)*(1-_xlfn.XLOOKUP(K754,'Janeiro 2023 - Valor Real'!A3:A15,'Janeiro 2023 - Valor Real'!C3:C15,0))+1)+((L755/(L755-1)-1)*(1-_xlfn.XLOOKUP(K755,'Janeiro 2023 - Valor Real'!A3:A15,'Janeiro 2023 - Valor Real'!C3:C15,0))+1)),((L754-1)*(1-_xlfn.XLOOKUP(K754,'Janeiro 2023 - Valor Real'!A3:A15,'Janeiro 2023 - Valor Real'!C3:C15,0))+1)/(((L754-1)*(1-_xlfn.XLOOKUP(K754,'Janeiro 2023 - Valor Real'!A3:A15,'Janeiro 2023 - Valor Real'!C3:C15,0))+1)+((L755/(L755-1)-1)*(1-_xlfn.XLOOKUP(K755,'Janeiro 2023 - Valor Real'!A3:A15,'Janeiro 2023 - Valor Real'!C3:C15,0))+1))),IF(I754="Lay",((L754/(L754-1)-1)*(1-_xlfn.XLOOKUP(K754,'Janeiro 2023 - Valor Real'!A3:A15,'Janeiro 2023 - Valor Real'!C3:C15,0))+1)/((((L754/(L754-1)-1)*(1-_xlfn.XLOOKUP(K754,'Janeiro 2023 - Valor Real'!A3:A15,'Janeiro 2023 - Valor Real'!C3:C15,0))+1))+((L755-1)*(1-_xlfn.XLOOKUP(K755,'Janeiro 2023 - Valor Real'!A3:A15,'Janeiro 2023 - Valor Real'!C3:C15,0))+1)),((L754-1)*(1-_xlfn.XLOOKUP(K754,'Janeiro 2023 - Valor Real'!A3:A15,'Janeiro 2023 - Valor Real'!C3:C15,0))+1)/(((L754-1)*(1-_xlfn.XLOOKUP(K754,'Janeiro 2023 - Valor Real'!A3:A15,'Janeiro 2023 - Valor Real'!C3:C15,0))+1)+((L755-1)*(1-_xlfn.XLOOKUP(K755,'Janeiro 2023 - Valor Real'!A3:A15,'Janeiro 2023 - Valor Real'!C3:C15,0))+1))))))</f>
        <v>0.374325782092772</v>
      </c>
      <c r="AF755" s="132">
        <f>IF($K755=AF$3,ROUND(IF(OR($C755="W",$C755="1/2W",$C755="1/2L"),$P755-$O755,IF($C755="X",0,-$O755)),2),0)</f>
        <v>0</v>
      </c>
      <c r="AG755" s="133">
        <f>IF($K755=AG$3,ROUND(IF(OR($C755="W",$C755="1/2W",$C755="1/2L"),$P755-$O755,IF($C755="X",0,-$O755)),2),0)</f>
        <v>-7.53</v>
      </c>
      <c r="AH755" s="133">
        <f>IF($K755=AH$3,ROUND(IF(OR($C755="W",$C755="1/2W",$C755="1/2L"),$P755-$O755,IF($C755="X",0,-$O755)),2),0)</f>
        <v>0</v>
      </c>
      <c r="AI755" s="133">
        <f>IF($K755=AI$3,ROUND(IF(OR($C755="W",$C755="1/2W",$C755="1/2L"),$P755-$O755,IF($C755="X",0,-$O755)),2),0)</f>
        <v>0</v>
      </c>
      <c r="AJ755" s="133">
        <f>IF($K755=AJ$3,ROUND(IF(OR($C755="W",$C755="1/2W",$C755="1/2L"),$P755-$O755,IF($C755="X",0,-$O755)),2),0)</f>
        <v>0</v>
      </c>
      <c r="AK755" s="133">
        <f>IF($K755=AK$3,ROUND(IF(OR($C755="W",$C755="1/2W",$C755="1/2L"),$P755-$O755,IF($C755="X",0,-$O755)),2),0)</f>
        <v>0</v>
      </c>
      <c r="AL755" s="133">
        <f>IF($K755=AL$3,ROUND(IF(OR($C755="W",$C755="1/2W",$C755="1/2L"),$P755-$O755,IF($C755="X",0,-$O755)),2),0)</f>
        <v>0</v>
      </c>
      <c r="AM755" s="133">
        <f>IF($K755=AM$3,ROUND(IF(OR($C755="W",$C755="1/2W",$C755="1/2L"),$P755-$O755,IF($C755="X",0,-$O755)),2),0)</f>
        <v>0</v>
      </c>
      <c r="AN755" s="133">
        <f>IF($K755=AN$3,ROUND(IF(OR($C755="W",$C755="1/2W",$C755="1/2L"),$P755-$O755,IF($C755="X",0,-$O755)),2),0)</f>
        <v>0</v>
      </c>
      <c r="AO755" s="133">
        <f>IF($K755=AO$3,ROUND(IF(OR($C755="W",$C755="1/2W",$C755="1/2L"),$P755-$O755,IF($C755="X",0,-$O755)),2),0)</f>
        <v>0</v>
      </c>
      <c r="AP755" s="133">
        <f>IF($K755=AP$3,ROUND(IF(OR($C755="W",$C755="1/2W",$C755="1/2L"),$P755-$O755,IF($C755="X",0,-$O755)),2),0)</f>
        <v>0</v>
      </c>
      <c r="AQ755" s="133">
        <f>IF($K755=AQ$3,ROUND(IF(OR($C755="W",$C755="1/2W",$C755="1/2L"),$P755-$O755,IF($C755="X",0,-$O755)),2),0)</f>
        <v>0</v>
      </c>
      <c r="AR755" s="134">
        <f>IF($K755=AR$3,ROUND(IF(OR($C755="W",$C755="1/2W",$C755="1/2L"),$P755-$O755,IF($C755="X",0,-$O755)),2),0)</f>
        <v>0</v>
      </c>
      <c r="AS755" s="132">
        <f>IF(AND($B754=" ",$K755=AS$3),$O755,0)</f>
        <v>0</v>
      </c>
      <c r="AT755" s="133">
        <f>IF(AND($B754=" ",K755=AT$3),$O755,0)</f>
        <v>0</v>
      </c>
      <c r="AU755" s="133">
        <f>IF(AND($B754=" ",$K755=AU$3),$O755,0)</f>
        <v>0</v>
      </c>
      <c r="AV755" s="133">
        <f>IF(AND($B754=" ",$K755=AV$3),$O755,0)</f>
        <v>0</v>
      </c>
      <c r="AW755" s="133">
        <f>IF(AND($B754=" ",$K755=AW$3),$O755,0)</f>
        <v>0</v>
      </c>
      <c r="AX755" s="133">
        <f>IF(AND($B754=" ",$K755=AX$3),$O755,0)</f>
        <v>0</v>
      </c>
      <c r="AY755" s="135">
        <f>IF(AND($B754=" ",$K755=AY$3),$O755,0)</f>
        <v>0</v>
      </c>
      <c r="AZ755" s="136">
        <f>IF(AND($B754=" ",$K755=AZ$3),$O755,0)</f>
        <v>0</v>
      </c>
      <c r="BA755" s="136">
        <f>IF(AND($B754=" ",$K755=BA$3),$O755,0)</f>
        <v>0</v>
      </c>
      <c r="BB755" s="136">
        <f>IF(AND($B754=" ",$K755=BB$3),$O755,0)</f>
        <v>0</v>
      </c>
      <c r="BC755" s="137">
        <f>IF(AND($B754=" ",$K755=BC$3),$O755,0)</f>
        <v>0</v>
      </c>
      <c r="BD755" s="133">
        <f>IF(AND($B754=" ",$K755=BD$3),$O755,0)</f>
        <v>0</v>
      </c>
      <c r="BE755" s="134">
        <f>IF(AND($B754=" ",$K755=BE$3),$O755,0)</f>
        <v>0</v>
      </c>
      <c r="BF755" s="132">
        <f>IF($K755=BF$3,IF($C755="X",0,$O755),0)</f>
        <v>0</v>
      </c>
      <c r="BG755" s="281">
        <f>IF($K755=BG$3,IF($C755="X",0,$O755),0)</f>
        <v>7.53</v>
      </c>
      <c r="BH755" s="133">
        <f>IF($K755=BH$3,IF($C755="X",0,$O755),0)</f>
        <v>0</v>
      </c>
      <c r="BI755" s="133">
        <f>IF($K755=BI$3,IF($C755="X",0,$O755),0)</f>
        <v>0</v>
      </c>
      <c r="BJ755" s="133">
        <f>IF($K755=BJ$3,IF($C755="X",0,$O755),0)</f>
        <v>0</v>
      </c>
      <c r="BK755" s="133">
        <f>IF($K755=BK$3,IF($C755="X",0,$O755),0)</f>
        <v>0</v>
      </c>
      <c r="BL755" s="133">
        <f>IF($K755=BL$3,IF($C755="X",0,$O755),0)</f>
        <v>0</v>
      </c>
      <c r="BM755" s="135">
        <f>IF($K755=BM$3,IF($C755="X",0,$O755),0)</f>
        <v>0</v>
      </c>
      <c r="BN755" s="136">
        <f>IF($K755=BN$3,IF($C755="X",0,$O755),0)</f>
        <v>0</v>
      </c>
      <c r="BO755" s="136">
        <f>IF($K755=BO$3,IF($C755="X",0,$O755),0)</f>
        <v>0</v>
      </c>
      <c r="BP755" s="136">
        <f>IF($K755=BP$3,IF($C755="X",0,$O755),0)</f>
        <v>0</v>
      </c>
      <c r="BQ755" s="137">
        <f>IF($K755=BQ$3,IF($C755="X",0,$O755),0)</f>
        <v>0</v>
      </c>
      <c r="BR755" s="134">
        <f>IF($K755=BR$3,IF($C755="X",0,$O755),0)</f>
        <v>0</v>
      </c>
      <c r="BS755" s="282"/>
      <c r="BT755" s="283"/>
      <c r="BU755" s="140"/>
      <c r="BV755" s="283"/>
      <c r="BW755" s="140"/>
      <c r="BX755" s="140"/>
      <c r="BY755" s="140"/>
      <c r="BZ755" s="283"/>
      <c r="CA755" s="140"/>
      <c r="CB755" s="140"/>
      <c r="CC755" s="140"/>
      <c r="CD755" s="141"/>
      <c r="CE755" s="142"/>
      <c r="CF755" s="284">
        <f>IF(CF$3=$K755,IF($C755="W",1,IF($C755="1/2W",0.5,0)),0)</f>
        <v>0</v>
      </c>
      <c r="CG755" s="285">
        <f>IF(CF$3=$K755,IF($C755="L",1,IF($C755="1/2L",0.5,0)),0)</f>
        <v>0</v>
      </c>
      <c r="CH755" s="285">
        <f>IF(CH$3=$K755,IF($C755="W",1,IF($C755="1/2W",0.5,0)),0)</f>
        <v>0</v>
      </c>
      <c r="CI755" s="285">
        <f>IF(CH$3=$K755,IF($C755="L",1,IF($C755="1/2L",0.5,0)),0)</f>
        <v>1</v>
      </c>
      <c r="CJ755" s="285">
        <f>IF(CJ$3=$K755,IF($C755="W",1,IF($C755="1/2W",0.5,0)),0)</f>
        <v>0</v>
      </c>
      <c r="CK755" s="285">
        <f>IF(CJ$3=$K755,IF($C755="L",1,IF($C755="1/2L",0.5,0)),0)</f>
        <v>0</v>
      </c>
      <c r="CL755" s="285">
        <f>IF(CL$3=$K755,IF($C755="W",1,IF($C755="1/2W",0.5,0)),0)</f>
        <v>0</v>
      </c>
      <c r="CM755" s="285">
        <f>IF(CL$3=$K755,IF($C755="L",1,IF($C755="1/2L",0.5,0)),0)</f>
        <v>0</v>
      </c>
      <c r="CN755" s="285">
        <f>IF(CN$3=$K755,IF($C755="W",1,IF($C755="1/2W",0.5,0)),0)</f>
        <v>0</v>
      </c>
      <c r="CO755" s="285">
        <f>IF(CN$3=$K755,IF($C755="L",1,IF($C755="1/2L",0.5,0)),0)</f>
        <v>0</v>
      </c>
      <c r="CP755" s="285">
        <f>IF(CP$3=$K755,IF($C755="W",1,IF($C755="1/2W",0.5,0)),0)</f>
        <v>0</v>
      </c>
      <c r="CQ755" s="285">
        <f>IF(CP$3=$K755,IF($C755="L",1,IF($C755="1/2L",0.5,0)),0)</f>
        <v>0</v>
      </c>
      <c r="CR755" s="285">
        <f>IF(CR$3=$K755,IF($C755="W",1,IF($C755="1/2W",0.5,0)),0)</f>
        <v>0</v>
      </c>
      <c r="CS755" s="285">
        <f>IF(CR$3=$K755,IF($C755="L",1,IF($C755="1/2L",0.5,0)),0)</f>
        <v>0</v>
      </c>
      <c r="CT755" s="145">
        <f>IF(CT$3=$K755,IF($C755="W",1,IF($C755="1/2W",0.5,0)),0)</f>
        <v>0</v>
      </c>
      <c r="CU755" s="146">
        <f>IF(CT$3=$K755,IF($C755="L",1,IF($C755="1/2L",0.5,0)),0)</f>
        <v>0</v>
      </c>
      <c r="CV755" s="146">
        <f>IF(CV$3=$K755,IF($C755="W",1,IF($C755="1/2W",0.5,0)),0)</f>
        <v>0</v>
      </c>
      <c r="CW755" s="146">
        <f>IF(CV$3=$K755,IF($C755="L",1,IF($C755="1/2L",0.5,0)),0)</f>
        <v>0</v>
      </c>
      <c r="CX755" s="146">
        <f>IF(CX$3=$K755,IF($C755="W",1,IF($C755="1/2W",0.5,0)),0)</f>
        <v>0</v>
      </c>
      <c r="CY755" s="146">
        <f>IF(CX$3=$K755,IF($C755="L",1,IF($C755="1/2L",0.5,0)),0)</f>
        <v>0</v>
      </c>
      <c r="CZ755" s="146">
        <f>IF(CZ$3=$K755,IF($C755="W",1,IF($C755="1/2W",0.5,0)),0)</f>
        <v>0</v>
      </c>
      <c r="DA755" s="146">
        <f>IF(CZ$3=$K755,IF($C755="L",1,IF($C755="1/2L",0.5,0)),0)</f>
        <v>0</v>
      </c>
      <c r="DB755" s="146">
        <f>IF(DB$3=$K755,IF($C755="W",1,IF($C755="1/2W",0.5,0)),0)</f>
        <v>0</v>
      </c>
      <c r="DC755" s="146">
        <f>IF(DB$3=$K755,IF($C755="L",1,IF($C755="1/2L",0.5,0)),0)</f>
        <v>0</v>
      </c>
      <c r="DD755" s="146">
        <f>IF(DD$3=$K755,IF($C755="W",1,IF($C755="1/2W",0.5,0)),0)</f>
        <v>0</v>
      </c>
      <c r="DE755" s="147">
        <f>IF(DD$3=$K755,IF($C755="L",1,IF($C755="1/2L",0.5,0)),0)</f>
        <v>0</v>
      </c>
      <c r="DF755" s="143">
        <f>IF(AND(L755&lt;DF$3,$C755="W"),1+DF754,DF754)</f>
        <v>22</v>
      </c>
      <c r="DG755" s="133">
        <f>IF(DF755&gt;DF754,L755+DG754,DG754)</f>
        <v>29.404</v>
      </c>
      <c r="DH755" s="146">
        <f>IF(AND(L755&gt;DH$3,$C755="W"),1+DH754,0+DH754)</f>
        <v>19</v>
      </c>
      <c r="DI755" s="133">
        <f>IF(DH755&gt;DH754,L755+DI754,DI754)</f>
        <v>98.11</v>
      </c>
      <c r="DJ755" t="s" s="304">
        <f>IF($D754="","",$D754)</f>
        <v>481</v>
      </c>
      <c r="DK755" s="286"/>
    </row>
    <row r="756" ht="14.55" customHeight="1">
      <c r="A756" s="149"/>
      <c r="B756" s="150"/>
      <c r="C756" t="s" s="151">
        <v>58</v>
      </c>
      <c r="D756" s="152"/>
      <c r="E756" s="153"/>
      <c r="F756" s="155"/>
      <c r="G756" s="252"/>
      <c r="H756" s="156"/>
      <c r="I756" s="287"/>
      <c r="J756" s="288"/>
      <c r="K756" s="156"/>
      <c r="L756" s="289"/>
      <c r="M756" s="290"/>
      <c r="N756" s="161"/>
      <c r="O756" t="s" s="162">
        <f>IF(OR(AE754="",AE755=""),"",IF(L756&gt;0,ROUND(IF(M756&gt;0,M756,IF(M754&gt;0,ROUND((M754*AE756)/AE754,IF(N754=0,2,IF(N754=0.1,1,0))),IF(M755&gt;0,ROUND((M755*AE756)/AE755,IF(N754=0,2,IF(N754=0.1,1,0))),IF(M756&gt;0,M756,0)))),2),""))</f>
      </c>
      <c r="P756" t="s" s="163">
        <f>IF(I755="Lay",O755*(L755/(L755-1))-O755,IF(I754="Lay",O754*(L754/(L754-1))-O754,IF(OR(L756="",O756=""),"",IF($C756="1/2W",O756/2+O756/2*L756,IF($C756="1/2L",O756/2,(O756*L756-O756)*(1-_xlfn.XLOOKUP(K756,'Janeiro 2023 - Valor Real'!A3:A15,'Janeiro 2023 - Valor Real'!C3:C15,0))+O756)))))</f>
      </c>
      <c r="Q756" t="s" s="154">
        <f>IF(K756="","",IF(_xlfn.XLOOKUP(K756,K$121:K535,DJ$121:DJ535,0,,-1)=DJ756,_xlfn.XLOOKUP(K756,K$121:K535,Q$121:Q535,1,,-1)+1,1))</f>
      </c>
      <c r="R756" t="s" s="163">
        <f>IF(K756="","",_xlfn.XLOOKUP(K756,K$121:K535,R$121:R535,0,,-1)+IF($C756=" ",1,0))</f>
      </c>
      <c r="S756" s="166"/>
      <c r="T756" s="155"/>
      <c r="U756" s="155"/>
      <c r="V756" s="166"/>
      <c r="W756" s="155"/>
      <c r="X756" s="167"/>
      <c r="Y756" s="128"/>
      <c r="Z756" s="129"/>
      <c r="AA756" s="129"/>
      <c r="AB756" s="129"/>
      <c r="AC756" s="129"/>
      <c r="AD756" s="168"/>
      <c r="AE756" t="s" s="169">
        <f>IF(L756="","",(SUM(((L754-1)*(1-_xlfn.XLOOKUP(K754,'Janeiro 2023 - Valor Real'!A3:A15,'Janeiro 2023 - Valor Real'!C3:C15,0))+1),((L755-1)*(1-_xlfn.XLOOKUP(K755,'Janeiro 2023 - Valor Real'!A3:A15,'Janeiro 2023 - Valor Real'!C3:C15,0))+1),((L756-1)*(1-_xlfn.XLOOKUP(K756,'Janeiro 2023 - Valor Real'!A3:A15,'Janeiro 2023 - Valor Real'!C3:C15,0))+1))/((L756-1)*(1-_xlfn.XLOOKUP(K756,'Janeiro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Real'!C3:C15,0))+1))/((L754-1)*(1-_xlfn.XLOOKUP(K754,'Janeiro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Real'!C3:C15,0))+1))/((L755-1)*(1-_xlfn.XLOOKUP(K755,'Janeiro 2023 - Valor Real'!A3:A15,'Janeiro 2023 - Valor Real'!C3:C15,0))+1)+SUM(((L754-1)*(1-_xlfn.XLOOKUP(K754,'Janeiro 2023 - Valor Real'!A3:A15,'Janeiro 2023 - Valor Real'!C3:C15,0))+1),((L755-1)*(1-_xlfn.XLOOKUP(K755,'Janeiro 2023 - Valor Real'!A3:A15,'Janeiro 2023 - Valor Real'!C3:C15,0))+1),((L756-1)*(1-_xlfn.XLOOKUP(K756,'Janeiro 2023 - Valor Real'!A3:A15,'Janeiro 2023 - Valor Real'!C3:C15,0))+1))/((L756-1)*(1-_xlfn.XLOOKUP(K756,'Janeiro 2023 - Valor Real'!A3:A15,'Janeiro 2023 - Valor Real'!C3:C15,0))+1)))</f>
      </c>
      <c r="AF756" s="132">
        <f>IF($K756=AF$3,ROUND(IF(OR($C756="W",$C756="1/2W",$C756="1/2L"),$P756-$O756,IF($C756="X",0,-$O756)),2),0)</f>
        <v>0</v>
      </c>
      <c r="AG756" s="133">
        <f>IF($K756=AG$3,ROUND(IF(OR($C756="W",$C756="1/2W",$C756="1/2L"),$P756-$O756,IF($C756="X",0,-$O756)),2),0)</f>
        <v>0</v>
      </c>
      <c r="AH756" s="133">
        <f>IF($K756=AH$3,ROUND(IF(OR($C756="W",$C756="1/2W",$C756="1/2L"),$P756-$O756,IF($C756="X",0,-$O756)),2),0)</f>
        <v>0</v>
      </c>
      <c r="AI756" s="133">
        <f>IF($K756=AI$3,ROUND(IF(OR($C756="W",$C756="1/2W",$C756="1/2L"),$P756-$O756,IF($C756="X",0,-$O756)),2),0)</f>
        <v>0</v>
      </c>
      <c r="AJ756" s="133">
        <f>IF($K756=AJ$3,ROUND(IF(OR($C756="W",$C756="1/2W",$C756="1/2L"),$P756-$O756,IF($C756="X",0,-$O756)),2),0)</f>
        <v>0</v>
      </c>
      <c r="AK756" s="133">
        <f>IF($K756=AK$3,ROUND(IF(OR($C756="W",$C756="1/2W",$C756="1/2L"),$P756-$O756,IF($C756="X",0,-$O756)),2),0)</f>
        <v>0</v>
      </c>
      <c r="AL756" s="133">
        <f>IF($K756=AL$3,ROUND(IF(OR($C756="W",$C756="1/2W",$C756="1/2L"),$P756-$O756,IF($C756="X",0,-$O756)),2),0)</f>
        <v>0</v>
      </c>
      <c r="AM756" s="133">
        <f>IF($K756=AM$3,ROUND(IF(OR($C756="W",$C756="1/2W",$C756="1/2L"),$P756-$O756,IF($C756="X",0,-$O756)),2),0)</f>
        <v>0</v>
      </c>
      <c r="AN756" s="133">
        <f>IF($K756=AN$3,ROUND(IF(OR($C756="W",$C756="1/2W",$C756="1/2L"),$P756-$O756,IF($C756="X",0,-$O756)),2),0)</f>
        <v>0</v>
      </c>
      <c r="AO756" s="133">
        <f>IF($K756=AO$3,ROUND(IF(OR($C756="W",$C756="1/2W",$C756="1/2L"),$P756-$O756,IF($C756="X",0,-$O756)),2),0)</f>
        <v>0</v>
      </c>
      <c r="AP756" s="133">
        <f>IF($K756=AP$3,ROUND(IF(OR($C756="W",$C756="1/2W",$C756="1/2L"),$P756-$O756,IF($C756="X",0,-$O756)),2),0)</f>
        <v>0</v>
      </c>
      <c r="AQ756" s="133">
        <f>IF($K756=AQ$3,ROUND(IF(OR($C756="W",$C756="1/2W",$C756="1/2L"),$P756-$O756,IF($C756="X",0,-$O756)),2),0)</f>
        <v>0</v>
      </c>
      <c r="AR756" s="134">
        <f>IF($K756=AR$3,ROUND(IF(OR($C756="W",$C756="1/2W",$C756="1/2L"),$P756-$O756,IF($C756="X",0,-$O756)),2),0)</f>
        <v>0</v>
      </c>
      <c r="AS756" s="132">
        <f>IF(AND($B754=" ",$K756=AS$3),$O756,0)</f>
        <v>0</v>
      </c>
      <c r="AT756" s="133">
        <f>IF(AND($B754=" ",K756=AT$3),$O756,0)</f>
        <v>0</v>
      </c>
      <c r="AU756" s="133">
        <f>IF(AND($B754=" ",$K756=AU$3),$O756,0)</f>
        <v>0</v>
      </c>
      <c r="AV756" s="133">
        <f>IF(AND($B754=" ",$K756=AV$3),$O756,0)</f>
        <v>0</v>
      </c>
      <c r="AW756" s="133">
        <f>IF(AND($B754=" ",$K756=AW$3),$O756,0)</f>
        <v>0</v>
      </c>
      <c r="AX756" s="133">
        <f>IF(AND($B754=" ",$K756=AX$3),$O756,0)</f>
        <v>0</v>
      </c>
      <c r="AY756" s="135">
        <f>IF(AND($B754=" ",$K756=AY$3),$O756,0)</f>
        <v>0</v>
      </c>
      <c r="AZ756" s="136">
        <f>IF(AND($B754=" ",$K756=AZ$3),$O756,0)</f>
        <v>0</v>
      </c>
      <c r="BA756" s="136">
        <f>IF(AND($B754=" ",$K756=BA$3),$O756,0)</f>
        <v>0</v>
      </c>
      <c r="BB756" s="136">
        <f>IF(AND($B754=" ",$K756=BB$3),$O756,0)</f>
        <v>0</v>
      </c>
      <c r="BC756" s="137">
        <f>IF(AND($B754=" ",$K756=BC$3),$O756,0)</f>
        <v>0</v>
      </c>
      <c r="BD756" s="133">
        <f>IF(AND($B754=" ",$K756=BD$3),$O756,0)</f>
        <v>0</v>
      </c>
      <c r="BE756" s="134">
        <f>IF(AND($B754=" ",$K756=BE$3),$O756,0)</f>
        <v>0</v>
      </c>
      <c r="BF756" s="132">
        <f>IF($K756=BF$3,IF($C756="X",0,$O756),0)</f>
        <v>0</v>
      </c>
      <c r="BG756" s="281">
        <f>IF($K756=BG$3,IF($C756="X",0,$O756),0)</f>
        <v>0</v>
      </c>
      <c r="BH756" s="133">
        <f>IF($K756=BH$3,IF($C756="X",0,$O756),0)</f>
        <v>0</v>
      </c>
      <c r="BI756" s="133">
        <f>IF($K756=BI$3,IF($C756="X",0,$O756),0)</f>
        <v>0</v>
      </c>
      <c r="BJ756" s="133">
        <f>IF($K756=BJ$3,IF($C756="X",0,$O756),0)</f>
        <v>0</v>
      </c>
      <c r="BK756" s="133">
        <f>IF($K756=BK$3,IF($C756="X",0,$O756),0)</f>
        <v>0</v>
      </c>
      <c r="BL756" s="133">
        <f>IF($K756=BL$3,IF($C756="X",0,$O756),0)</f>
        <v>0</v>
      </c>
      <c r="BM756" s="135">
        <f>IF($K756=BM$3,IF($C756="X",0,$O756),0)</f>
        <v>0</v>
      </c>
      <c r="BN756" s="136">
        <f>IF($K756=BN$3,IF($C756="X",0,$O756),0)</f>
        <v>0</v>
      </c>
      <c r="BO756" s="136">
        <f>IF($K756=BO$3,IF($C756="X",0,$O756),0)</f>
        <v>0</v>
      </c>
      <c r="BP756" s="136">
        <f>IF($K756=BP$3,IF($C756="X",0,$O756),0)</f>
        <v>0</v>
      </c>
      <c r="BQ756" s="137">
        <f>IF($K756=BQ$3,IF($C756="X",0,$O756),0)</f>
        <v>0</v>
      </c>
      <c r="BR756" s="134">
        <f>IF($K756=BR$3,IF($C756="X",0,$O756),0)</f>
        <v>0</v>
      </c>
      <c r="BS756" s="282"/>
      <c r="BT756" s="283"/>
      <c r="BU756" s="140"/>
      <c r="BV756" s="283"/>
      <c r="BW756" s="140"/>
      <c r="BX756" s="140"/>
      <c r="BY756" s="140"/>
      <c r="BZ756" s="283"/>
      <c r="CA756" s="140"/>
      <c r="CB756" s="140"/>
      <c r="CC756" s="140"/>
      <c r="CD756" s="141"/>
      <c r="CE756" s="142"/>
      <c r="CF756" s="284">
        <f>IF(CF$3=$K756,IF($C756="W",1,IF($C756="1/2W",0.5,0)),0)</f>
        <v>0</v>
      </c>
      <c r="CG756" s="285">
        <f>IF(CF$3=$K756,IF($C756="L",1,IF($C756="1/2L",0.5,0)),0)</f>
        <v>0</v>
      </c>
      <c r="CH756" s="285">
        <f>IF(CH$3=$K756,IF($C756="W",1,IF($C756="1/2W",0.5,0)),0)</f>
        <v>0</v>
      </c>
      <c r="CI756" s="285">
        <f>IF(CH$3=$K756,IF($C756="L",1,IF($C756="1/2L",0.5,0)),0)</f>
        <v>0</v>
      </c>
      <c r="CJ756" s="285">
        <f>IF(CJ$3=$K756,IF($C756="W",1,IF($C756="1/2W",0.5,0)),0)</f>
        <v>0</v>
      </c>
      <c r="CK756" s="285">
        <f>IF(CJ$3=$K756,IF($C756="L",1,IF($C756="1/2L",0.5,0)),0)</f>
        <v>0</v>
      </c>
      <c r="CL756" s="285">
        <f>IF(CL$3=$K756,IF($C756="W",1,IF($C756="1/2W",0.5,0)),0)</f>
        <v>0</v>
      </c>
      <c r="CM756" s="285">
        <f>IF(CL$3=$K756,IF($C756="L",1,IF($C756="1/2L",0.5,0)),0)</f>
        <v>0</v>
      </c>
      <c r="CN756" s="285">
        <f>IF(CN$3=$K756,IF($C756="W",1,IF($C756="1/2W",0.5,0)),0)</f>
        <v>0</v>
      </c>
      <c r="CO756" s="285">
        <f>IF(CN$3=$K756,IF($C756="L",1,IF($C756="1/2L",0.5,0)),0)</f>
        <v>0</v>
      </c>
      <c r="CP756" s="285">
        <f>IF(CP$3=$K756,IF($C756="W",1,IF($C756="1/2W",0.5,0)),0)</f>
        <v>0</v>
      </c>
      <c r="CQ756" s="285">
        <f>IF(CP$3=$K756,IF($C756="L",1,IF($C756="1/2L",0.5,0)),0)</f>
        <v>0</v>
      </c>
      <c r="CR756" s="285">
        <f>IF(CR$3=$K756,IF($C756="W",1,IF($C756="1/2W",0.5,0)),0)</f>
        <v>0</v>
      </c>
      <c r="CS756" s="285">
        <f>IF(CR$3=$K756,IF($C756="L",1,IF($C756="1/2L",0.5,0)),0)</f>
        <v>0</v>
      </c>
      <c r="CT756" s="145">
        <f>IF(CT$3=$K756,IF($C756="W",1,IF($C756="1/2W",0.5,0)),0)</f>
        <v>0</v>
      </c>
      <c r="CU756" s="146">
        <f>IF(CT$3=$K756,IF($C756="L",1,IF($C756="1/2L",0.5,0)),0)</f>
        <v>0</v>
      </c>
      <c r="CV756" s="146">
        <f>IF(CV$3=$K756,IF($C756="W",1,IF($C756="1/2W",0.5,0)),0)</f>
        <v>0</v>
      </c>
      <c r="CW756" s="146">
        <f>IF(CV$3=$K756,IF($C756="L",1,IF($C756="1/2L",0.5,0)),0)</f>
        <v>0</v>
      </c>
      <c r="CX756" s="146">
        <f>IF(CX$3=$K756,IF($C756="W",1,IF($C756="1/2W",0.5,0)),0)</f>
        <v>0</v>
      </c>
      <c r="CY756" s="146">
        <f>IF(CX$3=$K756,IF($C756="L",1,IF($C756="1/2L",0.5,0)),0)</f>
        <v>0</v>
      </c>
      <c r="CZ756" s="146">
        <f>IF(CZ$3=$K756,IF($C756="W",1,IF($C756="1/2W",0.5,0)),0)</f>
        <v>0</v>
      </c>
      <c r="DA756" s="146">
        <f>IF(CZ$3=$K756,IF($C756="L",1,IF($C756="1/2L",0.5,0)),0)</f>
        <v>0</v>
      </c>
      <c r="DB756" s="146">
        <f>IF(DB$3=$K756,IF($C756="W",1,IF($C756="1/2W",0.5,0)),0)</f>
        <v>0</v>
      </c>
      <c r="DC756" s="146">
        <f>IF(DB$3=$K756,IF($C756="L",1,IF($C756="1/2L",0.5,0)),0)</f>
        <v>0</v>
      </c>
      <c r="DD756" s="146">
        <f>IF(DD$3=$K756,IF($C756="W",1,IF($C756="1/2W",0.5,0)),0)</f>
        <v>0</v>
      </c>
      <c r="DE756" s="147">
        <f>IF(DD$3=$K756,IF($C756="L",1,IF($C756="1/2L",0.5,0)),0)</f>
        <v>0</v>
      </c>
      <c r="DF756" s="143">
        <f>IF(AND(L756&lt;DF$3,$C756="W"),1+DF755,DF755)</f>
        <v>22</v>
      </c>
      <c r="DG756" s="133">
        <f>IF(DF756&gt;DF755,L756+DG755,DG755)</f>
        <v>29.404</v>
      </c>
      <c r="DH756" s="146">
        <f>IF(AND(L756&gt;DH$3,$C756="W"),1+DH755,0+DH755)</f>
        <v>19</v>
      </c>
      <c r="DI756" s="133">
        <f>IF(DH756&gt;DH755,L756+DI755,DI755)</f>
        <v>98.11</v>
      </c>
      <c r="DJ756" t="s" s="304">
        <f>IF($D754="","",$D754)</f>
        <v>481</v>
      </c>
      <c r="DK756" s="286"/>
    </row>
    <row r="757" ht="14.55" customHeight="1">
      <c r="A757" s="171">
        <f>$A754+1</f>
        <v>252</v>
      </c>
      <c r="B757" t="s" s="172">
        <f>IF(AND(_xlfn.XLOOKUP(H757,H$122:H530,G$122:G530,0)=G757,_xlfn.XLOOKUP("TempoBet",K757:K759,L757:L759,0)&gt;0),"X",IF(OR(C757="W",C758="W",C759="W",C757="1/2W",C758="1/2W",C759="1/2W",C757="1/2L",C758="1/2L",C759="1/2L"),"OK",IF(OR(C757="L",C758="L",C759="L"),"LOSS",IF(OR(C757="X",C758="X",C759="X"),"Anulado"," "))))</f>
        <v>50</v>
      </c>
      <c r="C757" t="s" s="173">
        <v>51</v>
      </c>
      <c r="D757" t="s" s="305">
        <f>IF(G757="","",$D754)</f>
        <v>481</v>
      </c>
      <c r="E757" t="s" s="175">
        <f>IF(G757=""," ","– "&amp;COUNTIF(D$4:D759,$D757))</f>
        <v>173</v>
      </c>
      <c r="F757" t="s" s="176">
        <f>IF(G757="","",IF(OR(AND($C757&lt;&gt;" ",$C758=" "),AND($C758&lt;&gt;" ",$C757=" "),AND(L759&gt;0,OR(AND($C759&lt;&gt;" ",OR($C757=" ",$C758=" ")),AND($C759=" ",OR($C757&lt;&gt;" ",$C758&lt;&gt;" "))))),IF(SUM(F$4:F756)=0,1,LARGE(F$4:F756,1)+1),IF(MONTH(G757)=MONTH(TODAY()),IF(AND(DAY(G757)&lt;DAY(TODAY()),$B757=" "),IF(SUM(F$4:F756)=0,1,LARGE(F$4:F756,1)+1),IF($B757=" ",IF(AND(DAY(G757)=DAY(TODAY()),HOUR(G757)&lt;=HOUR(NOW())+1),IF(AND(HOUR(G757)+2&lt;=HOUR(NOW()),DAY(G757)&lt;=DAY(TODAY()),MINUTE(G757)&lt;=MINUTE(NOW())),IF(SUM(F$4:F756)=0,1,LARGE(F$4:F756,1)+1),IF(OR(MINUTE(G757)&lt;=MINUTE(NOW()),HOUR(G757)&lt;=HOUR(NOW())),"!!!","")),""),"")),"")))</f>
      </c>
      <c r="G757" s="177">
        <v>44961.833333333336</v>
      </c>
      <c r="H757" t="s" s="178">
        <v>522</v>
      </c>
      <c r="I757" s="298">
        <v>2</v>
      </c>
      <c r="J757" s="180"/>
      <c r="K757" t="s" s="181">
        <v>44</v>
      </c>
      <c r="L757" s="182">
        <v>2.22</v>
      </c>
      <c r="M757" s="183"/>
      <c r="N757" s="184">
        <v>0</v>
      </c>
      <c r="O757" s="185">
        <f>IF(OR(AE757="",AE758=""),"",ROUND(IF(L759&gt;0,IF(M757&gt;0,M757,IF(M758&gt;0,ROUND((M758*AE757)/AE758,IF(N757=0,2,IF(N757=0.1,1,0))),ROUND((M759*AE757)/AE759,IF(N757=0,2,IF(N757=0.1,1,0))))),IF(M757&gt;0,M757,ROUND((M758*AE757)/AE758,IF(N757=0,2,IF(N757=0.1,1,0))))),2))</f>
        <v>16.89</v>
      </c>
      <c r="P757" s="186">
        <f>IF(OR(L757="",O757=""),"",IF($C757="1/2W",O757/2+O757/2*L757,IF($C757="1/2L",O757/2,IF(I757="Lay",(O757*(L757/(L757-1))-O757)*(1-_xlfn.XLOOKUP(K757,'Janeiro 2023 - Valor Real'!A3:A15,'Janeiro 2023 - Valor Real'!C3:C15,0))+O757,(O757*L757-O757)*(1-_xlfn.XLOOKUP(K757,'Janeiro 2023 - Valor Real'!A3:A15,'Janeiro 2023 - Valor Real'!C3:C15,0))+O757))))</f>
        <v>37.4958</v>
      </c>
      <c r="Q757" s="187">
        <f>IF(K757="","",IF(_xlfn.XLOOKUP(K757,K$122:K530,DJ$122:DJ530,0,,-1)=DJ757,_xlfn.XLOOKUP(K757,K$122:K530,Q$122:Q530,1,,-1)+1,1))</f>
        <v>1</v>
      </c>
      <c r="R757" s="188">
        <f>IF(K757="","",_xlfn.XLOOKUP(K757,K$122:K530,R$122:R530,0,,-1)+IF($C757=" ",1,0))</f>
        <v>0</v>
      </c>
      <c r="S757" s="189">
        <f>IF($B757="Anulado",0,ROUND(IF(OR($B757="LOSS",$B757="OK"),IF(OR($C757="W",$C757="1/2W",$C757="1/2L"),P757-O757,IF($C757="L",-O757,0))+IF(OR($C758="W",$C758="1/2W",$C758="1/2L"),P758-O758,IF($C758="L",-O758,0))+IF(OR($C759="W",$C759="1/2W",$C759="1/2L"),P759-O759,IF($C759="L",-O759,0)),IF(AND(OR($C757="W",$C757="1/2W",$C757="1/2L"),C758="W"),P757+P758-SUM(O757:O759)+_xlfn.XLOOKUP("X",C757:C759,O757:O759,0),IF(AND(C757=TRUE,C759="W"),P757+P759-SUM(O757:O759),IF(AND(C758="W",C759="W"),P758+P759-SUM(O757:O759)+_xlfn.XLOOKUP("X",C757:C759,O757:O759,0),IF(L759&gt;0,IF(OR($C757="W",$C757="1/2W",$C757="1/2L"),P757-SUM(O757:O759)+_xlfn.XLOOKUP("X",C757:C759,O757:O759,0),IF(OR($C757="W",$C757="1/2W",$C757="1/2L"),P758-SUM(O757:O759)+_xlfn.XLOOKUP("X",C757:C759,O757:O759,0),IF(OR($C757="W",$C757="1/2W",$C757="1/2L"),P759-SUM(O757:O759)+_xlfn.XLOOKUP("X",C757:C759,O757:O759,0),IF(SUM(P757:P759)/3-SUM(O757:O759)+_xlfn.XLOOKUP("X",C757:C759,O757:O759,0)&gt;0,SUM(P757:P759)/3-SUM(O757:O759)+_xlfn.XLOOKUP("X",C757:C759,O757:O759,0),LARGE(P757:P759,1)-SUM(O757:O759))))),IF(OR($C757="W",$C757="1/2W",$C757="1/2L"),P757-SUM(O757:O758)+_xlfn.XLOOKUP("X",C757:C759,O757:O759,0),IF(OR($C757="W",$C757="1/2W",$C757="1/2L"),P758-SUM(O757:O758)+_xlfn.XLOOKUP("X",C757:C759,O757:O759,0),SUM(P757:P758)/2-SUM(O757:O758)+_xlfn.XLOOKUP("X",C757:C759,O757:O759,0)))))))),2))</f>
        <v>5.61</v>
      </c>
      <c r="T757" s="190">
        <f>IF(S757=0,0,S757/SUM(O757:O759))</f>
        <v>0.175917215428034</v>
      </c>
      <c r="U757" s="191">
        <f>IF($D757=$D754,IF(OR($B757="LOSS",$B757="OK",$B757="Anulada"),S757,0)+U754,IF(OR($B757="LOSS",$B757="OK",$B757="Anulada"),S757,0))</f>
        <v>39.85</v>
      </c>
      <c r="V757" s="191">
        <f>IF($D757="",0,IF($D757=$D754,IF($B757=" ",IF(I759="",IF(OR(AND(I757="DNB1",I758="DNB2"),AND(OR(I757="DNB1",I757="DNB2"),J758=0),AND(OR(I758="DNB1",I758="DNB2"),J757=0),AND(I757="DNB2",I758="DNB1"),AND(IF(J757=0,(J757+1)/ROUND(J757+1,0),J757/ROUND(J757,0))=1,IF(J758=0,(J758+1)/ROUND(IF(J758="",0,J758)+1,0),IF(J758="",0,J758)/ROUND(IF(J758="",1,J758),0))=1,OR(J757&lt;&gt;""),J758&lt;&gt;"")),0,IF(S757&lt;0,IF(I759="",SMALL(P757:P758,1)-SUM(O757:O758),0),SMALL(P757:P758,1)-SUM(O757:O758))),IF(S757&lt;0,IF(I759="",SMALL(P757:P759,1)-SUM(O757:O759),0),LARGE(P757:P759,1)-SUM(O757:O759))),S757)+V754,IF(I759="",IF(OR(AND(I757="DNB1",I758="DNB2"),AND(OR(I757="DNB1",I757="DNB2"),J758=0),AND(OR(I758="DNB1",I758="DNB2"),J757=0),AND(I757="DNB2",I758="DNB1"),AND(IF(J757=0,(J757+1)/ROUND(J757+1,0),J757/ROUND(J757,0))=1,IF(J758=0,(IF(J758="",0,J758)+1)/ROUND(IF(J758="",0,J758)+1,0),IF(J758="",0,J758)/ROUND(IF(J758="",0,J758)+1,0))=1,OR(J757&lt;&gt;""),J758&lt;&gt;"")),0,IF(S757&lt;0,IF(I759="",SMALL(P757:P758,1)-SUM(O757:O758),0),SMALL(P757:P759,1)-SUM(O757:O759))),IF(S757&lt;0,IF(I759="",SMALL(P757:P759,1)-SUM(O757:O759),0),LARGE(P757:P759,1)-SUM(O757:O759)))))</f>
        <v>39.8476</v>
      </c>
      <c r="W757" s="191">
        <f>IF($D757=$D754,IF(S757&lt;0,IF(I759="",S757,0),S757)+W754,S757)</f>
        <v>39.85</v>
      </c>
      <c r="X757" t="s" s="192">
        <f>IF(OR(SUM(R757:R759)=0,V757=W757),ROUND(IF(W757=0,0,W757/Y757)*100,2)&amp;"%",ROUND(IF(V757=0,0,V757/Y757)*100,2)&amp;"% a "&amp;ROUND(IF(W757=0,0,W757/Y757)*100,2)&amp;"%")</f>
        <v>303</v>
      </c>
      <c r="Y757" s="193">
        <f>IF($D757=$D754,Y754+SUM(O757:O759),SUM(O757:O759))</f>
        <v>684.4</v>
      </c>
      <c r="Z757" s="191">
        <f>IF($B757=" ",SUM(O757:O759),0)+Z754</f>
        <v>0</v>
      </c>
      <c r="AA757" s="191">
        <f>IF(G757="","",IF($B757="Anulado",LARGE(P757:P759,1)-SUM(O757:O759)+AA754,AA754))</f>
        <v>29.9145076923077</v>
      </c>
      <c r="AB757" s="191">
        <f>IF($D757="","",AB754+S757)</f>
        <v>511.03</v>
      </c>
      <c r="AC757" s="194">
        <f>IF($D757="","",IF($B757=" ",IF(DAY(G757)=DAY(TODAY()),1+AC754,0+AC754),0+AC754))</f>
        <v>0</v>
      </c>
      <c r="AD757" s="195">
        <f>(((L758/(L758-1)-1)*(1-_xlfn.XLOOKUP(K758,'Janeiro 2023 - Valor Real'!A3:A15,'Janeiro 2023 - Valor Real'!C3:C15,0))+1))/(((L757-1)*(1-_xlfn.XLOOKUP(K757,'Janeiro 2023 - Valor Real'!A3:A15,'Janeiro 2023 - Valor Real'!C3:C15,0))+1)+((L758/(L758-1)-1)*(1-_xlfn.XLOOKUP(K758,'Janeiro 2023 - Valor Real'!A3:A15,'Janeiro 2023 - Valor Real'!C3:C15,0))+1))</f>
        <v>0.428816466552316</v>
      </c>
      <c r="AE757" s="196">
        <f>IF(L757="","",IF(L759&gt;0,(SUM(((L757-1)*(1-_xlfn.XLOOKUP(K757,'Janeiro 2023 - Valor Real'!A3:A15,'Janeiro 2023 - Valor Real'!C3:C15,0))+1),((L758-1)*(1-_xlfn.XLOOKUP(K758,'Janeiro 2023 - Valor Real'!A3:A15,'Janeiro 2023 - Valor Real'!C3:C15,0))+1),((L759-1)*(1-_xlfn.XLOOKUP(K759,'Janeiro 2023 - Valor Real'!A3:A15,'Janeiro 2023 - Valor Real'!C3:C15,0))+1))/((L757-1)*(1-_xlfn.XLOOKUP(K757,'Janeiro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Real'!C3:C15,0))+1))/((L757-1)*(1-_xlfn.XLOOKUP(K757,'Janeiro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Real'!C3:C15,0))+1))/((L758-1)*(1-_xlfn.XLOOKUP(K758,'Janeiro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Real'!C3:C15,0))+1))/((L759-1)*(1-_xlfn.XLOOKUP(K759,'Janeiro 2023 - Valor Real'!A3:A15,'Janeiro 2023 - Valor Real'!C3:C15,0))+1)),IF(I757="Lay",IF(I758="Lay",((L758/(L758-1)-1)*(1-_xlfn.XLOOKUP(K758,'Janeiro 2023 - Valor Real'!A3:A15,'Janeiro 2023 - Valor Real'!C3:C15,0))+1)/(((L758/(L758-1)-1)*(1-_xlfn.XLOOKUP(K758,'Janeiro 2023 - Valor Real'!A3:A15,'Janeiro 2023 - Valor Real'!C3:C15,0))+1)+((L757/(L757-1)-1)*(1-_xlfn.XLOOKUP(K757,'Janeiro 2023 - Valor Real'!A3:A15,'Janeiro 2023 - Valor Real'!C3:C15,0))+1)),((L758-1)*(1-_xlfn.XLOOKUP(K758,'Janeiro 2023 - Valor Real'!A3:A15,'Janeiro 2023 - Valor Real'!C3:C15,0))+1)/(((L758-1)*(1-_xlfn.XLOOKUP(K758,'Janeiro 2023 - Valor Real'!A3:A15,'Janeiro 2023 - Valor Real'!C3:C15,0))+1)+((L757/(L757-1)-1)*(1-_xlfn.XLOOKUP(K757,'Janeiro 2023 - Valor Real'!A3:A15,'Janeiro 2023 - Valor Real'!C3:C15,0))+1))),IF(I758="Lay",(((L758/(L758-1)-1)*(1-_xlfn.XLOOKUP(K758,'Janeiro 2023 - Valor Real'!A3:A15,'Janeiro 2023 - Valor Real'!C3:C15,0))+1))/(((L757-1)*(1-_xlfn.XLOOKUP(K757,'Janeiro 2023 - Valor Real'!A3:A15,'Janeiro 2023 - Valor Real'!C3:C15,0))+1)+((L758/(L758-1)-1)*(1-_xlfn.XLOOKUP(K758,'Janeiro 2023 - Valor Real'!A3:A15,'Janeiro 2023 - Valor Real'!C3:C15,0))+1)),((L758-1)*(1-_xlfn.XLOOKUP(K758,'Janeiro 2023 - Valor Real'!A3:A15,'Janeiro 2023 - Valor Real'!C3:C15,0))+1)/(((L758-1)*(1-_xlfn.XLOOKUP(K758,'Janeiro 2023 - Valor Real'!A3:A15,'Janeiro 2023 - Valor Real'!C3:C15,0))+1)+((L757-1)*(1-_xlfn.XLOOKUP(K757,'Janeiro 2023 - Valor Real'!A3:A15,'Janeiro 2023 - Valor Real'!C3:C15,0))+1))))))</f>
        <v>0.529661016949153</v>
      </c>
      <c r="AF757" s="197">
        <f>IF($K757=AF$3,ROUND(IF(OR($C757="W",$C757="1/2W",$C757="1/2L"),$P757-$O757,IF($C757="X",0,-$O757)),2),0)</f>
        <v>0</v>
      </c>
      <c r="AG757" s="198">
        <f>IF($K757=AG$3,ROUND(IF(OR($C757="W",$C757="1/2W",$C757="1/2L"),$P757-$O757,IF($C757="X",0,-$O757)),2),0)</f>
        <v>0</v>
      </c>
      <c r="AH757" s="198">
        <f>IF($K757=AH$3,ROUND(IF(OR($C757="W",$C757="1/2W",$C757="1/2L"),$P757-$O757,IF($C757="X",0,-$O757)),2),0)</f>
        <v>0</v>
      </c>
      <c r="AI757" s="198">
        <f>IF($K757=AI$3,ROUND(IF(OR($C757="W",$C757="1/2W",$C757="1/2L"),$P757-$O757,IF($C757="X",0,-$O757)),2),0)</f>
        <v>0</v>
      </c>
      <c r="AJ757" s="198">
        <f>IF($K757=AJ$3,ROUND(IF(OR($C757="W",$C757="1/2W",$C757="1/2L"),$P757-$O757,IF($C757="X",0,-$O757)),2),0)</f>
        <v>0</v>
      </c>
      <c r="AK757" s="198">
        <f>IF($K757=AK$3,ROUND(IF(OR($C757="W",$C757="1/2W",$C757="1/2L"),$P757-$O757,IF($C757="X",0,-$O757)),2),0)</f>
        <v>0</v>
      </c>
      <c r="AL757" s="198">
        <f>IF($K757=AL$3,ROUND(IF(OR($C757="W",$C757="1/2W",$C757="1/2L"),$P757-$O757,IF($C757="X",0,-$O757)),2),0)</f>
        <v>0</v>
      </c>
      <c r="AM757" s="198">
        <f>IF($K757=AM$3,ROUND(IF(OR($C757="W",$C757="1/2W",$C757="1/2L"),$P757-$O757,IF($C757="X",0,-$O757)),2),0)</f>
        <v>-16.89</v>
      </c>
      <c r="AN757" s="198">
        <f>IF($K757=AN$3,ROUND(IF(OR($C757="W",$C757="1/2W",$C757="1/2L"),$P757-$O757,IF($C757="X",0,-$O757)),2),0)</f>
        <v>0</v>
      </c>
      <c r="AO757" s="198">
        <f>IF($K757=AO$3,ROUND(IF(OR($C757="W",$C757="1/2W",$C757="1/2L"),$P757-$O757,IF($C757="X",0,-$O757)),2),0)</f>
        <v>0</v>
      </c>
      <c r="AP757" s="198">
        <f>IF($K757=AP$3,ROUND(IF(OR($C757="W",$C757="1/2W",$C757="1/2L"),$P757-$O757,IF($C757="X",0,-$O757)),2),0)</f>
        <v>0</v>
      </c>
      <c r="AQ757" s="198">
        <f>IF($K757=AQ$3,ROUND(IF(OR($C757="W",$C757="1/2W",$C757="1/2L"),$P757-$O757,IF($C757="X",0,-$O757)),2),0)</f>
        <v>0</v>
      </c>
      <c r="AR757" s="199">
        <f>IF($K757=AR$3,ROUND(IF(OR($C757="W",$C757="1/2W",$C757="1/2L"),$P757-$O757,IF($C757="X",0,-$O757)),2),0)</f>
        <v>0</v>
      </c>
      <c r="AS757" s="197">
        <f>IF(AND($B757=" ",$K757=AS$3),$O757,0)</f>
        <v>0</v>
      </c>
      <c r="AT757" s="198">
        <f>IF(AND($B757=" ",$K757=AT$3),$O757,0)</f>
        <v>0</v>
      </c>
      <c r="AU757" s="198">
        <f>IF(AND($B757=" ",$K757=AU$3),$O757,0)</f>
        <v>0</v>
      </c>
      <c r="AV757" s="198">
        <f>IF(AND($B757=" ",$K757=AV$3),$O757,0)</f>
        <v>0</v>
      </c>
      <c r="AW757" s="198">
        <f>IF(AND($B757=" ",$K757=AW$3),$O757,0)</f>
        <v>0</v>
      </c>
      <c r="AX757" s="198">
        <f>IF(AND($B757=" ",$K757=AX$3),$O757,0)</f>
        <v>0</v>
      </c>
      <c r="AY757" s="200">
        <f>IF(AND($B757=" ",$K757=AY$3),$O757,0)</f>
        <v>0</v>
      </c>
      <c r="AZ757" s="201">
        <f>IF(AND($B757=" ",$K757=AZ$3),$O757,0)</f>
        <v>0</v>
      </c>
      <c r="BA757" s="201">
        <f>IF(AND($B757=" ",$K757=BA$3),$O757,0)</f>
        <v>0</v>
      </c>
      <c r="BB757" s="201">
        <f>IF(AND($B757=" ",$K757=BB$3),$O757,0)</f>
        <v>0</v>
      </c>
      <c r="BC757" s="202">
        <f>IF(AND($B757=" ",$K757=BC$3),$O757,0)</f>
        <v>0</v>
      </c>
      <c r="BD757" s="198">
        <f>IF(AND($B757=" ",$K757=BD$3),$O757,0)</f>
        <v>0</v>
      </c>
      <c r="BE757" s="199">
        <f>IF(AND($B757=" ",$K757=BE$3),$O757,0)</f>
        <v>0</v>
      </c>
      <c r="BF757" s="203">
        <f>IF($K757=BF$3,IF($C757="X",0,$O757),0)</f>
        <v>0</v>
      </c>
      <c r="BG757" s="198">
        <f>IF($K757=BG$3,IF($C757="X",0,$O757),0)</f>
        <v>0</v>
      </c>
      <c r="BH757" s="198">
        <f>IF($K757=BH$3,IF($C757="X",0,$O757),0)</f>
        <v>0</v>
      </c>
      <c r="BI757" s="198">
        <f>IF($K757=BI$3,IF($C757="X",0,$O757),0)</f>
        <v>0</v>
      </c>
      <c r="BJ757" s="198">
        <f>IF($K757=BJ$3,IF($C757="X",0,$O757),0)</f>
        <v>0</v>
      </c>
      <c r="BK757" s="198">
        <f>IF($K757=BK$3,IF($C757="X",0,$O757),0)</f>
        <v>0</v>
      </c>
      <c r="BL757" s="198">
        <f>IF($K757=BL$3,IF($C757="X",0,$O757),0)</f>
        <v>0</v>
      </c>
      <c r="BM757" s="200">
        <f>IF($K757=BM$3,IF($C757="X",0,$O757),0)</f>
        <v>16.89</v>
      </c>
      <c r="BN757" s="201">
        <f>IF($K757=BN$3,IF($C757="X",0,$O757),0)</f>
        <v>0</v>
      </c>
      <c r="BO757" s="201">
        <f>IF($K757=BO$3,IF($C757="X",0,$O757),0)</f>
        <v>0</v>
      </c>
      <c r="BP757" s="201">
        <f>IF($K757=BP$3,IF($C757="X",0,$O757),0)</f>
        <v>0</v>
      </c>
      <c r="BQ757" s="202">
        <f>IF($K757=BQ$3,IF($C757="X",0,$O757),0)</f>
        <v>0</v>
      </c>
      <c r="BR757" s="199">
        <f>IF($K757=BR$3,IF($C757="X",0,$O757),0)</f>
        <v>0</v>
      </c>
      <c r="BS757" s="204">
        <f>IF($B757="LOSS",IF(AND($K757=BS$3,$C757="L"),-$O757,0)+IF(AND($K758=BS$3,$C758="L"),-$O758,0)+IF(AND($K759=BS$3,$C759="L"),-$O759,0),IF(OR(AND($K757=BS$3,OR($C757="W",$C757="1/2W")),AND($K758=BS$3,OR($C758="W",$C758="1/2W")),AND($K759=BS$3,OR($C759="W",$C759="1/2W"))),$S757,0))</f>
        <v>0</v>
      </c>
      <c r="BT757" s="201">
        <f>IF($B757="LOSS",IF(AND($K757=BT$3,$C757="L"),-$O757,0)+IF(AND($K758=BT$3,$C758="L"),-$O758,0)+IF(AND($K758=BT$3,$C759="L"),-$O759,0),IF(OR(AND($K758=BT$3,OR($C757="W",$C757="1/2W")),AND($K758=BT$3,OR($C758="W",$C758="1/2W")),AND($K758=BT$3,OR($C759="W",$C759="1/2W"))),$S757,0))</f>
        <v>0</v>
      </c>
      <c r="BU757" s="201">
        <f>IF($B757="LOSS",IF(AND($K757=BU$3,$C757="L"),-$O757,0)+IF(AND($K758=BU$3,$C758="L"),-$O758,0)+IF(AND($K758=BU$3,$C759="L"),-$O759,0),IF(OR(AND($K758=BU$3,OR($C757="W",$C757="1/2W")),AND($K758=BU$3,OR($C758="W",$C758="1/2W")),AND($K758=BU$3,OR($C759="W",$C759="1/2W"))),$S757,0))</f>
        <v>0</v>
      </c>
      <c r="BV757" s="201">
        <f>IF($B757="LOSS",IF(AND($K757=BV$3,$C757="L"),-$O757,0)+IF(AND($K758=BV$3,$C758="L"),-$O758,0)+IF(AND($K759=BV$3,$C759="L"),-$O759,0),IF(OR(AND($K757=BV$3,OR($C757="W",$C757="1/2W")),AND($K758=BV$3,OR($C758="W",$C758="1/2W")),AND($K759=BV$3,OR($C759="W",$C759="1/2W"))),$S757,0))</f>
        <v>0</v>
      </c>
      <c r="BW757" s="201">
        <f>IF($B757="LOSS",IF(AND($K757=BW$3,$C757="L"),-$O757,0)+IF(AND($K758=BW$3,$C758="L"),-$O758,0)+IF(AND($K759=BW$3,$C759="L"),-$O759,0),IF(OR(AND($K757=BW$3,OR($C757="W",$C757="1/2W")),AND($K758=BW$3,OR($C758="W",$C758="1/2W")),AND($K759=BW$3,OR($C759="W",$C759="1/2W"))),$S757,0))</f>
        <v>5.61</v>
      </c>
      <c r="BX757" s="201">
        <f>IF($B757="LOSS",IF(AND($K757=BX$3,$C757="L"),-$O757,0)+IF(AND($K758=BX$3,$C758="L"),-$O758,0)+IF(AND($K759=BX$3,$C759="L"),-$O759,0),IF(OR(AND($K757=BX$3,OR($C757="W",$C757="1/2W")),AND($K758=BX$3,OR($C758="W",$C758="1/2W")),AND($K759=BX$3,OR($C759="W",$C759="1/2W"))),$S757,0))</f>
        <v>0</v>
      </c>
      <c r="BY757" s="201">
        <f>IF($B757="LOSS",IF(AND($K757=BY$3,$C757="L"),-$O757,0)+IF(AND($K758=BY$3,$C758="L"),-$O758,0)+IF(AND($K759=BY$3,$C759="L"),-$O759,0),IF(OR(AND($K757=BY$3,OR($C757="W",$C757="1/2W")),AND($K758=BY$3,OR($C758="W",$C758="1/2W")),AND($K759=BY$3,OR($C759="W",$C759="1/2W"))),$S757,0))</f>
        <v>0</v>
      </c>
      <c r="BZ757" s="205">
        <f>IF($B757="LOSS",IF(AND($K757=BZ$3,$C757="L"),-$O757,0)+IF(AND($K758=BZ$3,$C758="L"),-$O758,0)+IF(AND($K759=BZ$3,$C759="L"),-$O759,0),IF(OR(AND($K757=BZ$3,OR($C757="W",$C757="1/2W")),AND($K758=BZ$3,OR($C758="W",$C758="1/2W")),AND($K759=BZ$3,OR($C759="W",$C759="1/2W"))),$S757,0))</f>
        <v>0</v>
      </c>
      <c r="CA757" s="205">
        <f>IF($B757="LOSS",IF(AND($K757=CA$3,$C757="L"),-$O757,0)+IF(AND($K758=CA$3,$C758="L"),-$O758,0)+IF(AND($K759=CA$3,$C759="L"),-$O759,0),IF(OR(AND($K757=CA$3,OR($C757="W",$C757="1/2W")),AND($K758=CA$3,OR($C758="W",$C758="1/2W")),AND($K759=CA$3,OR($C759="W",$C759="1/2W"))),$S757,0))</f>
        <v>0</v>
      </c>
      <c r="CB757" s="205">
        <f>IF($B757="LOSS",IF(AND($K757=CB$3,$C757="L"),-$O757,0)+IF(AND($K758=CB$3,$C758="L"),-$O758,0)+IF(AND($K759=CB$3,$C759="L"),-$O759,0),IF(OR(AND($K757=CB$3,OR($C757="W",$C757="1/2W")),AND($K758=CB$3,OR($C758="W",$C758="1/2W")),AND($K759=CB$3,OR($C759="W",$C759="1/2W"))),$S757,0))</f>
        <v>0</v>
      </c>
      <c r="CC757" s="205">
        <f>IF($B757="LOSS",IF(AND($K757=CC$3,$C757="L"),-$O757,0)+IF(AND($K758=CC$3,$C758="L"),-$O758,0)+IF(AND($K759=CC$3,$C759="L"),-$O759,0),IF(OR(AND($K757=CC$3,OR($C757="W",$C757="1/2W")),AND($K758=CC$3,OR($C758="W",$C758="1/2W")),AND($K759=CC$3,OR($C759="W",$C759="1/2W"))),$S757,0))</f>
        <v>0</v>
      </c>
      <c r="CD757" s="202">
        <f>IF($B757="LOSS",IF(AND($K757=CD$3,$C757="L"),-$O757,0)+IF(AND($K758=CD$3,$C758="L"),-$O758,0)+IF(AND($K759=CD$3,$C759="L"),-$O759,0),IF(OR(AND($K757=CD$3,OR($C757="W",$C757="1/2W")),AND($K758=CD$3,OR($C758="W",$C758="1/2W")),AND($K759=CD$3,OR($C759="W",$C759="1/2W"))),$S757,0))</f>
        <v>0</v>
      </c>
      <c r="CE757" s="199">
        <f>IF($B757="LOSS",IF(AND($K757=CE$3,$C757="L"),-$O757,0)+IF(AND($K758=CE$3,$C758="L"),-$O758,0)+IF(AND($K759=CE$3,$C759="L"),-$O759,0),IF(OR(AND($K757=CE$3,OR($C757="W",$C757="1/2W")),AND($K758=CE$3,OR($C758="W",$C758="1/2W")),AND($K759=CE$3,OR($C759="W",$C759="1/2W"))),$S757,0))</f>
        <v>0</v>
      </c>
      <c r="CF757" s="206">
        <f>IF(CF$3=$K757,IF($C757="W",1,IF($C757="1/2W",0.5,0)),0)</f>
        <v>0</v>
      </c>
      <c r="CG757" s="207">
        <f>IF(CF$3=$K757,IF($C757="L",1,IF($C757="1/2L",0.5,0)),0)</f>
        <v>0</v>
      </c>
      <c r="CH757" s="207">
        <f>IF(CH$3=$K757,IF($C757="W",1,IF($C757="1/2W",0.5,0)),0)</f>
        <v>0</v>
      </c>
      <c r="CI757" s="207">
        <f>IF(CH$3=$K757,IF($C757="L",1,IF($C757="1/2L",0.5,0)),0)</f>
        <v>0</v>
      </c>
      <c r="CJ757" s="207">
        <f>IF(CJ$3=$K757,IF($C757="W",1,IF($C757="1/2W",0.5,0)),0)</f>
        <v>0</v>
      </c>
      <c r="CK757" s="207">
        <f>IF(CJ$3=$K757,IF($C757="L",1,IF($C757="1/2L",0.5,0)),0)</f>
        <v>0</v>
      </c>
      <c r="CL757" s="207">
        <f>IF(CL$3=$K757,IF($C757="W",1,IF($C757="1/2W",0.5,0)),0)</f>
        <v>0</v>
      </c>
      <c r="CM757" s="207">
        <f>IF(CL$3=$K757,IF($C757="L",1,IF($C757="1/2L",0.5,0)),0)</f>
        <v>0</v>
      </c>
      <c r="CN757" s="207">
        <f>IF(CN$3=$K757,IF($C757="W",1,IF($C757="1/2W",0.5,0)),0)</f>
        <v>0</v>
      </c>
      <c r="CO757" s="207">
        <f>IF(CN$3=$K757,IF($C757="L",1,IF($C757="1/2L",0.5,0)),0)</f>
        <v>0</v>
      </c>
      <c r="CP757" s="207">
        <f>IF(CP$3=$K757,IF($C757="W",1,IF($C757="1/2W",0.5,0)),0)</f>
        <v>0</v>
      </c>
      <c r="CQ757" s="207">
        <f>IF(CP$3=$K757,IF($C757="L",1,IF($C757="1/2L",0.5,0)),0)</f>
        <v>0</v>
      </c>
      <c r="CR757" s="207">
        <f>IF(CR$3=$K757,IF($C757="W",1,IF($C757="1/2W",0.5,0)),0)</f>
        <v>0</v>
      </c>
      <c r="CS757" s="207">
        <f>IF(CR$3=$K757,IF($C757="L",1,IF($C757="1/2L",0.5,0)),0)</f>
        <v>0</v>
      </c>
      <c r="CT757" s="208">
        <f>IF(CT$3=$K757,IF($C757="W",1,IF($C757="1/2W",0.5,0)),0)</f>
        <v>0</v>
      </c>
      <c r="CU757" s="209">
        <f>IF(CT$3=$K757,IF($C757="L",1,IF($C757="1/2L",0.5,0)),0)</f>
        <v>1</v>
      </c>
      <c r="CV757" s="209">
        <f>IF(CV$3=$K757,IF($C757="W",1,IF($C757="1/2W",0.5,0)),0)</f>
        <v>0</v>
      </c>
      <c r="CW757" s="209">
        <f>IF(CV$3=$K757,IF($C757="L",1,IF($C757="1/2L",0.5,0)),0)</f>
        <v>0</v>
      </c>
      <c r="CX757" s="209">
        <f>IF(CX$3=$K757,IF($C757="W",1,IF($C757="1/2W",0.5,0)),0)</f>
        <v>0</v>
      </c>
      <c r="CY757" s="209">
        <f>IF(CX$3=$K757,IF($C757="L",1,IF($C757="1/2L",0.5,0)),0)</f>
        <v>0</v>
      </c>
      <c r="CZ757" s="209">
        <f>IF(CZ$3=$K757,IF($C757="W",1,IF($C757="1/2W",0.5,0)),0)</f>
        <v>0</v>
      </c>
      <c r="DA757" s="209">
        <f>IF(CZ$3=$K757,IF($C757="L",1,IF($C757="1/2L",0.5,0)),0)</f>
        <v>0</v>
      </c>
      <c r="DB757" s="209">
        <f>IF(DB$3=$K757,IF($C757="W",1,IF($C757="1/2W",0.5,0)),0)</f>
        <v>0</v>
      </c>
      <c r="DC757" s="209">
        <f>IF(DB$3=$K757,IF($C757="L",1,IF($C757="1/2L",0.5,0)),0)</f>
        <v>0</v>
      </c>
      <c r="DD757" s="209">
        <f>IF(DD$3=$K757,IF($C757="W",1,IF($C757="1/2W",0.5,0)),0)</f>
        <v>0</v>
      </c>
      <c r="DE757" s="210">
        <f>IF(DD$3=$K757,IF($C757="L",1,IF($C757="1/2L",0.5,0)),0)</f>
        <v>0</v>
      </c>
      <c r="DF757" s="211">
        <f>IF(AND(L757&lt;DF$3,$C757="W"),1+DF756,DF756)</f>
        <v>22</v>
      </c>
      <c r="DG757" s="198">
        <f>IF(DF757&gt;DF756,L757+DG756,DG756)</f>
        <v>29.404</v>
      </c>
      <c r="DH757" s="209">
        <f>IF(AND(L757&gt;DH$3,$C757="W"),1+DH756,0+DH756)</f>
        <v>19</v>
      </c>
      <c r="DI757" s="198">
        <f>IF(DH757&gt;DH756,L757+DI756,DI756)</f>
        <v>98.11</v>
      </c>
      <c r="DJ757" t="s" s="306">
        <f>IF($D757="","",$D757)</f>
        <v>481</v>
      </c>
      <c r="DK757" s="209">
        <f>IF(AND($B757=" ",$D757&lt;&gt;""),1,0)</f>
        <v>0</v>
      </c>
    </row>
    <row r="758" ht="14.55" customHeight="1">
      <c r="A758" s="107"/>
      <c r="B758" s="108"/>
      <c r="C758" t="s" s="213">
        <v>56</v>
      </c>
      <c r="D758" s="110"/>
      <c r="E758" s="111"/>
      <c r="F758" s="113"/>
      <c r="G758" s="214"/>
      <c r="H758" s="114"/>
      <c r="I758" s="299">
        <v>1</v>
      </c>
      <c r="J758" t="s" s="216">
        <f>IF(OR(I757="TO",I757="TU",I757="TO1",I757="TU1",I757="TO2",I757="TU2"),J757,IF(OR(I757="AH1",I757="AH2"),IF(OR(I758="AH1",I758="AH2"),-J757,IF(OR(I758="EH1",I758="EH2"),-J757+0.5,"")),IF(OR(I757="EH1",I757="EH2"),IF(OR(I758="AH1",I758="AH2"),-J757+0.5,IF(OR(I758="EH1",I758="EH2"),-J757+1,"")),IF(AND(OR(I757="DNB1",I757="DNB2"),OR(I758="AH1",I758="AH2")),0,IF(AND(I757="Not ScoreBoth",OR(I758="TO1",I758="TO2")),0.5,"")))))</f>
      </c>
      <c r="K758" t="s" s="217">
        <v>41</v>
      </c>
      <c r="L758" s="218">
        <v>2.5</v>
      </c>
      <c r="M758" s="219">
        <v>15</v>
      </c>
      <c r="N758" s="120"/>
      <c r="O758" s="220">
        <f>IF(OR(AE757="",AE758=""),"",ROUND(IF(L759&gt;0,IF(M758&gt;0,M758,IF(M757&gt;0,IF(N757=TRUE,ROUND((M757*AE758)/AE757,0),(M757*AE758)/AE757),IF(M758&gt;0,ROUND(M758,IF(N757=0,2,IF(N757=0.1,1,0))),IF(M759&gt;0,ROUND(O759*AE758/AE759,IF(N757=0,2,IF(N757=0.1,1,0))),0)))),IF(M758&gt;0,M758,ROUND((M757*AE758)/AE757,IF(N757=0,2,IF(N757=0.1,1,0))))),2))</f>
        <v>15</v>
      </c>
      <c r="P758" s="221">
        <f>IF(OR(L758="",O758=""),"",IF($C758="1/2W",O758/2+O758/2*L758,IF($C758="1/2L",O758/2,IF(I758="Lay",((O758*(L758/(L758-1)))-O758)*(1-_xlfn.XLOOKUP(K758,'Janeiro 2023 - Valor Real'!A3:A15,'Janeiro 2023 - Valor Real'!C3:C15,0))+O758,(O758*L758-O758)*(1-_xlfn.XLOOKUP(K758,'Janeiro 2023 - Valor Real'!A3:A15,'Janeiro 2023 - Valor Real'!C3:C15,0))+O758))))</f>
        <v>37.5</v>
      </c>
      <c r="Q758" s="222">
        <f>IF(K758="","",IF(_xlfn.XLOOKUP(K758,K$123:K531,DJ$123:DJ531,0,,-1)=DJ758,_xlfn.XLOOKUP(K758,K$123:K531,Q$123:Q531,1,,-1)+1,1))</f>
        <v>1</v>
      </c>
      <c r="R758" s="223">
        <f>IF(K758="","",_xlfn.XLOOKUP(K758,K$123:K531,R$123:R531,0,,-1)+IF($C758=" ",1,0))</f>
        <v>0</v>
      </c>
      <c r="S758" s="125"/>
      <c r="T758" s="126"/>
      <c r="U758" s="126"/>
      <c r="V758" s="224"/>
      <c r="W758" s="126"/>
      <c r="X758" s="127"/>
      <c r="Y758" s="128"/>
      <c r="Z758" s="129"/>
      <c r="AA758" s="129"/>
      <c r="AB758" s="129"/>
      <c r="AC758" s="129"/>
      <c r="AD758" s="225">
        <f>(((L758/(L758-1)-1)*(1-_xlfn.XLOOKUP(K758,'Janeiro 2023 - Valor Real'!A3:A15,'Janeiro 2023 - Valor Real'!C3:C15,0))+1))</f>
        <v>1.66666666666667</v>
      </c>
      <c r="AE758" s="226">
        <f>IF(L758="","",IF(L759&gt;0,(SUM(((L757-1)*(1-_xlfn.XLOOKUP(K757,'Janeiro 2023 - Valor Real'!A3:A15,'Janeiro 2023 - Valor Real'!C3:C15,0))+1),((L758-1)*(1-_xlfn.XLOOKUP(K758,'Janeiro 2023 - Valor Real'!A3:A15,'Janeiro 2023 - Valor Real'!C3:C15,0))+1),((L759-1)*(1-_xlfn.XLOOKUP(K759,'Janeiro 2023 - Valor Real'!A3:A15,'Janeiro 2023 - Valor Real'!C3:C15,0))+1))/((L758-1)*(1-_xlfn.XLOOKUP(K758,'Janeiro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Real'!C3:C15,0))+1))/((L757-1)*(1-_xlfn.XLOOKUP(K757,'Janeiro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Real'!C3:C15,0))+1))/((L758-1)*(1-_xlfn.XLOOKUP(K758,'Janeiro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Real'!C3:C15,0))+1))/((L759-1)*(1-_xlfn.XLOOKUP(K759,'Janeiro 2023 - Valor Real'!A3:A15,'Janeiro 2023 - Valor Real'!C3:C15,0))+1)),IF(I758="Lay",IF(I757="Lay",((L757/(L757-1)-1)*(1-_xlfn.XLOOKUP(K757,'Janeiro 2023 - Valor Real'!A3:A15,'Janeiro 2023 - Valor Real'!C3:C15,0))+1)/(((L757/(L757-1)-1)*(1-_xlfn.XLOOKUP(K757,'Janeiro 2023 - Valor Real'!A3:A15,'Janeiro 2023 - Valor Real'!C3:C15,0))+1)+((L758/(L758-1)-1)*(1-_xlfn.XLOOKUP(K758,'Janeiro 2023 - Valor Real'!A3:A15,'Janeiro 2023 - Valor Real'!C3:C15,0))+1)),((L757-1)*(1-_xlfn.XLOOKUP(K757,'Janeiro 2023 - Valor Real'!A3:A15,'Janeiro 2023 - Valor Real'!C3:C15,0))+1)/(((L757-1)*(1-_xlfn.XLOOKUP(K757,'Janeiro 2023 - Valor Real'!A3:A15,'Janeiro 2023 - Valor Real'!C3:C15,0))+1)+((L758/(L758-1)-1)*(1-_xlfn.XLOOKUP(K758,'Janeiro 2023 - Valor Real'!A3:A15,'Janeiro 2023 - Valor Real'!C3:C15,0))+1))),IF(I757="Lay",((L757/(L757-1)-1)*(1-_xlfn.XLOOKUP(K757,'Janeiro 2023 - Valor Real'!A3:A15,'Janeiro 2023 - Valor Real'!C3:C15,0))+1)/((((L757/(L757-1)-1)*(1-_xlfn.XLOOKUP(K757,'Janeiro 2023 - Valor Real'!A3:A15,'Janeiro 2023 - Valor Real'!C3:C15,0))+1))+((L758-1)*(1-_xlfn.XLOOKUP(K758,'Janeiro 2023 - Valor Real'!A3:A15,'Janeiro 2023 - Valor Real'!C3:C15,0))+1)),((L757-1)*(1-_xlfn.XLOOKUP(K757,'Janeiro 2023 - Valor Real'!A3:A15,'Janeiro 2023 - Valor Real'!C3:C15,0))+1)/(((L757-1)*(1-_xlfn.XLOOKUP(K757,'Janeiro 2023 - Valor Real'!A3:A15,'Janeiro 2023 - Valor Real'!C3:C15,0))+1)+((L758-1)*(1-_xlfn.XLOOKUP(K758,'Janeiro 2023 - Valor Real'!A3:A15,'Janeiro 2023 - Valor Real'!C3:C15,0))+1))))))</f>
        <v>0.470338983050847</v>
      </c>
      <c r="AF758" s="197">
        <f>IF($K758=AF$3,ROUND(IF(OR($C758="W",$C758="1/2W",$C758="1/2L"),$P758-$O758,IF($C758="X",0,-$O758)),2),0)</f>
        <v>0</v>
      </c>
      <c r="AG758" s="198">
        <f>IF($K758=AG$3,ROUND(IF(OR($C758="W",$C758="1/2W",$C758="1/2L"),$P758-$O758,IF($C758="X",0,-$O758)),2),0)</f>
        <v>0</v>
      </c>
      <c r="AH758" s="198">
        <f>IF($K758=AH$3,ROUND(IF(OR($C758="W",$C758="1/2W",$C758="1/2L"),$P758-$O758,IF($C758="X",0,-$O758)),2),0)</f>
        <v>0</v>
      </c>
      <c r="AI758" s="198">
        <f>IF($K758=AI$3,ROUND(IF(OR($C758="W",$C758="1/2W",$C758="1/2L"),$P758-$O758,IF($C758="X",0,-$O758)),2),0)</f>
        <v>0</v>
      </c>
      <c r="AJ758" s="198">
        <f>IF($K758=AJ$3,ROUND(IF(OR($C758="W",$C758="1/2W",$C758="1/2L"),$P758-$O758,IF($C758="X",0,-$O758)),2),0)</f>
        <v>22.5</v>
      </c>
      <c r="AK758" s="198">
        <f>IF($K758=AK$3,ROUND(IF(OR($C758="W",$C758="1/2W",$C758="1/2L"),$P758-$O758,IF($C758="X",0,-$O758)),2),0)</f>
        <v>0</v>
      </c>
      <c r="AL758" s="198">
        <f>IF($K758=AL$3,ROUND(IF(OR($C758="W",$C758="1/2W",$C758="1/2L"),$P758-$O758,IF($C758="X",0,-$O758)),2),0)</f>
        <v>0</v>
      </c>
      <c r="AM758" s="198">
        <f>IF($K758=AM$3,ROUND(IF(OR($C758="W",$C758="1/2W",$C758="1/2L"),$P758-$O758,IF($C758="X",0,-$O758)),2),0)</f>
        <v>0</v>
      </c>
      <c r="AN758" s="198">
        <f>IF($K758=AN$3,ROUND(IF(OR($C758="W",$C758="1/2W",$C758="1/2L"),$P758-$O758,IF($C758="X",0,-$O758)),2),0)</f>
        <v>0</v>
      </c>
      <c r="AO758" s="198">
        <f>IF($K758=AO$3,ROUND(IF(OR($C758="W",$C758="1/2W",$C758="1/2L"),$P758-$O758,IF($C758="X",0,-$O758)),2),0)</f>
        <v>0</v>
      </c>
      <c r="AP758" s="198">
        <f>IF($K758=AP$3,ROUND(IF(OR($C758="W",$C758="1/2W",$C758="1/2L"),$P758-$O758,IF($C758="X",0,-$O758)),2),0)</f>
        <v>0</v>
      </c>
      <c r="AQ758" s="198">
        <f>IF($K758=AQ$3,ROUND(IF(OR($C758="W",$C758="1/2W",$C758="1/2L"),$P758-$O758,IF($C758="X",0,-$O758)),2),0)</f>
        <v>0</v>
      </c>
      <c r="AR758" s="199">
        <f>IF($K758=AR$3,ROUND(IF(OR($C758="W",$C758="1/2W",$C758="1/2L"),$P758-$O758,IF($C758="X",0,-$O758)),2),0)</f>
        <v>0</v>
      </c>
      <c r="AS758" s="197">
        <f>IF(AND($B757=" ",$K758=AS$3),$O758,0)</f>
        <v>0</v>
      </c>
      <c r="AT758" s="198">
        <f>IF(AND($B757=" ",K758=AT$3),$O758,0)</f>
        <v>0</v>
      </c>
      <c r="AU758" s="198">
        <f>IF(AND($B757=" ",$K758=AU$3),$O758,0)</f>
        <v>0</v>
      </c>
      <c r="AV758" s="198">
        <f>IF(AND($B757=" ",$K758=AV$3),$O758,0)</f>
        <v>0</v>
      </c>
      <c r="AW758" s="198">
        <f>IF(AND($B757=" ",$K758=AW$3),$O758,0)</f>
        <v>0</v>
      </c>
      <c r="AX758" s="198">
        <f>IF(AND($B757=" ",$K758=AX$3),$O758,0)</f>
        <v>0</v>
      </c>
      <c r="AY758" s="200">
        <f>IF(AND($B757=" ",$K758=AY$3),$O758,0)</f>
        <v>0</v>
      </c>
      <c r="AZ758" s="201">
        <f>IF(AND($B757=" ",$K758=AZ$3),$O758,0)</f>
        <v>0</v>
      </c>
      <c r="BA758" s="201">
        <f>IF(AND($B757=" ",$K758=BA$3),$O758,0)</f>
        <v>0</v>
      </c>
      <c r="BB758" s="201">
        <f>IF(AND($B757=" ",$K758=BB$3),$O758,0)</f>
        <v>0</v>
      </c>
      <c r="BC758" s="202">
        <f>IF(AND($B757=" ",$K758=BC$3),$O758,0)</f>
        <v>0</v>
      </c>
      <c r="BD758" s="198">
        <f>IF(AND($B757=" ",$K758=BD$3),$O758,0)</f>
        <v>0</v>
      </c>
      <c r="BE758" s="199">
        <f>IF(AND($B757=" ",$K758=BE$3),$O758,0)</f>
        <v>0</v>
      </c>
      <c r="BF758" s="197">
        <f>IF($K758=BF$3,IF($C758="X",0,$O758),0)</f>
        <v>0</v>
      </c>
      <c r="BG758" s="198">
        <f>IF($K758=BG$3,IF($C758="X",0,$O758),0)</f>
        <v>0</v>
      </c>
      <c r="BH758" s="198">
        <f>IF($K758=BH$3,IF($C758="X",0,$O758),0)</f>
        <v>0</v>
      </c>
      <c r="BI758" s="198">
        <f>IF($K758=BI$3,IF($C758="X",0,$O758),0)</f>
        <v>0</v>
      </c>
      <c r="BJ758" s="198">
        <f>IF($K758=BJ$3,IF($C758="X",0,$O758),0)</f>
        <v>15</v>
      </c>
      <c r="BK758" s="198">
        <f>IF($K758=BK$3,IF($C758="X",0,$O758),0)</f>
        <v>0</v>
      </c>
      <c r="BL758" s="198">
        <f>IF($K758=BL$3,IF($C758="X",0,$O758),0)</f>
        <v>0</v>
      </c>
      <c r="BM758" s="227">
        <f>IF($K758=BM$3,IF($C758="X",0,$O758),0)</f>
        <v>0</v>
      </c>
      <c r="BN758" s="205">
        <f>IF($K758=BN$3,IF($C758="X",0,$O758),0)</f>
        <v>0</v>
      </c>
      <c r="BO758" s="205">
        <f>IF($K758=BO$3,IF($C758="X",0,$O758),0)</f>
        <v>0</v>
      </c>
      <c r="BP758" s="205">
        <f>IF($K758=BP$3,IF($C758="X",0,$O758),0)</f>
        <v>0</v>
      </c>
      <c r="BQ758" s="202">
        <f>IF($K758=BQ$3,IF($C758="X",0,$O758),0)</f>
        <v>0</v>
      </c>
      <c r="BR758" s="199">
        <f>IF($K758=BR$3,IF($C758="X",0,$O758),0)</f>
        <v>0</v>
      </c>
      <c r="BS758" s="228"/>
      <c r="BT758" s="229"/>
      <c r="BU758" s="140"/>
      <c r="BV758" s="229"/>
      <c r="BW758" s="140"/>
      <c r="BX758" s="140"/>
      <c r="BY758" s="140"/>
      <c r="BZ758" s="229"/>
      <c r="CA758" s="140"/>
      <c r="CB758" s="140"/>
      <c r="CC758" s="140"/>
      <c r="CD758" s="141"/>
      <c r="CE758" s="142"/>
      <c r="CF758" s="230">
        <f>IF(CF$3=$K758,IF($C758="W",1,IF($C758="1/2W",0.5,0)),0)</f>
        <v>0</v>
      </c>
      <c r="CG758" s="231">
        <f>IF(CF$3=$K758,IF($C758="L",1,IF($C758="1/2L",0.5,0)),0)</f>
        <v>0</v>
      </c>
      <c r="CH758" s="231">
        <f>IF(CH$3=$K758,IF($C758="W",1,IF($C758="1/2W",0.5,0)),0)</f>
        <v>0</v>
      </c>
      <c r="CI758" s="231">
        <f>IF(CH$3=$K758,IF($C758="L",1,IF($C758="1/2L",0.5,0)),0)</f>
        <v>0</v>
      </c>
      <c r="CJ758" s="231">
        <f>IF(CJ$3=$K758,IF($C758="W",1,IF($C758="1/2W",0.5,0)),0)</f>
        <v>0</v>
      </c>
      <c r="CK758" s="231">
        <f>IF(CJ$3=$K758,IF($C758="L",1,IF($C758="1/2L",0.5,0)),0)</f>
        <v>0</v>
      </c>
      <c r="CL758" s="231">
        <f>IF(CL$3=$K758,IF($C758="W",1,IF($C758="1/2W",0.5,0)),0)</f>
        <v>0</v>
      </c>
      <c r="CM758" s="231">
        <f>IF(CL$3=$K758,IF($C758="L",1,IF($C758="1/2L",0.5,0)),0)</f>
        <v>0</v>
      </c>
      <c r="CN758" s="231">
        <f>IF(CN$3=$K758,IF($C758="W",1,IF($C758="1/2W",0.5,0)),0)</f>
        <v>1</v>
      </c>
      <c r="CO758" s="231">
        <f>IF(CN$3=$K758,IF($C758="L",1,IF($C758="1/2L",0.5,0)),0)</f>
        <v>0</v>
      </c>
      <c r="CP758" s="231">
        <f>IF(CP$3=$K758,IF($C758="W",1,IF($C758="1/2W",0.5,0)),0)</f>
        <v>0</v>
      </c>
      <c r="CQ758" s="231">
        <f>IF(CP$3=$K758,IF($C758="L",1,IF($C758="1/2L",0.5,0)),0)</f>
        <v>0</v>
      </c>
      <c r="CR758" s="231">
        <f>IF(CR$3=$K758,IF($C758="W",1,IF($C758="1/2W",0.5,0)),0)</f>
        <v>0</v>
      </c>
      <c r="CS758" s="231">
        <f>IF(CR$3=$K758,IF($C758="L",1,IF($C758="1/2L",0.5,0)),0)</f>
        <v>0</v>
      </c>
      <c r="CT758" s="208">
        <f>IF(CT$3=$K758,IF($C758="W",1,IF($C758="1/2W",0.5,0)),0)</f>
        <v>0</v>
      </c>
      <c r="CU758" s="209">
        <f>IF(CT$3=$K758,IF($C758="L",1,IF($C758="1/2L",0.5,0)),0)</f>
        <v>0</v>
      </c>
      <c r="CV758" s="209">
        <f>IF(CV$3=$K758,IF($C758="W",1,IF($C758="1/2W",0.5,0)),0)</f>
        <v>0</v>
      </c>
      <c r="CW758" s="209">
        <f>IF(CV$3=$K758,IF($C758="L",1,IF($C758="1/2L",0.5,0)),0)</f>
        <v>0</v>
      </c>
      <c r="CX758" s="209">
        <f>IF(CX$3=$K758,IF($C758="W",1,IF($C758="1/2W",0.5,0)),0)</f>
        <v>0</v>
      </c>
      <c r="CY758" s="209">
        <f>IF(CX$3=$K758,IF($C758="L",1,IF($C758="1/2L",0.5,0)),0)</f>
        <v>0</v>
      </c>
      <c r="CZ758" s="209">
        <f>IF(CZ$3=$K758,IF($C758="W",1,IF($C758="1/2W",0.5,0)),0)</f>
        <v>0</v>
      </c>
      <c r="DA758" s="209">
        <f>IF(CZ$3=$K758,IF($C758="L",1,IF($C758="1/2L",0.5,0)),0)</f>
        <v>0</v>
      </c>
      <c r="DB758" s="209">
        <f>IF(DB$3=$K758,IF($C758="W",1,IF($C758="1/2W",0.5,0)),0)</f>
        <v>0</v>
      </c>
      <c r="DC758" s="209">
        <f>IF(DB$3=$K758,IF($C758="L",1,IF($C758="1/2L",0.5,0)),0)</f>
        <v>0</v>
      </c>
      <c r="DD758" s="209">
        <f>IF(DD$3=$K758,IF($C758="W",1,IF($C758="1/2W",0.5,0)),0)</f>
        <v>0</v>
      </c>
      <c r="DE758" s="210">
        <f>IF(DD$3=$K758,IF($C758="L",1,IF($C758="1/2L",0.5,0)),0)</f>
        <v>0</v>
      </c>
      <c r="DF758" s="211">
        <f>IF(AND(L758&lt;DF$3,$C758="W"),1+DF757,DF757)</f>
        <v>22</v>
      </c>
      <c r="DG758" s="198">
        <f>IF(DF758&gt;DF757,L758+DG757,DG757)</f>
        <v>29.404</v>
      </c>
      <c r="DH758" s="209">
        <f>IF(AND(L758&gt;DH$3,$C758="W"),1+DH757,0+DH757)</f>
        <v>19</v>
      </c>
      <c r="DI758" s="198">
        <f>IF(DH758&gt;DH757,L758+DI757,DI757)</f>
        <v>98.11</v>
      </c>
      <c r="DJ758" t="s" s="306">
        <f>IF($D757="","",$D757)</f>
        <v>481</v>
      </c>
      <c r="DK758" s="232"/>
    </row>
    <row r="759" ht="14.55" customHeight="1">
      <c r="A759" s="149"/>
      <c r="B759" s="150"/>
      <c r="C759" t="s" s="233">
        <v>58</v>
      </c>
      <c r="D759" s="152"/>
      <c r="E759" s="153"/>
      <c r="F759" s="155"/>
      <c r="G759" s="234"/>
      <c r="H759" s="156"/>
      <c r="I759" s="235"/>
      <c r="J759" s="236"/>
      <c r="K759" s="237"/>
      <c r="L759" s="238"/>
      <c r="M759" s="239"/>
      <c r="N759" s="161"/>
      <c r="O759" t="s" s="240">
        <f>IF(OR(AE757="",AE758=""),"",IF(L759&gt;0,ROUND(IF(M759&gt;0,M759,IF(M757&gt;0,ROUND((M757*AE759)/AE757,IF(N757=0,2,IF(N757=0.1,1,0))),IF(M758&gt;0,ROUND((M758*AE759)/AE758,IF(N757=0,2,IF(N757=0.1,1,0))),IF(M759&gt;0,M759,0)))),2),""))</f>
      </c>
      <c r="P759" t="s" s="241">
        <f>IF(I758="Lay",O758*(L758/(L758-1))-O758,IF(I757="Lay",O757*(L757/(L757-1))-O757,IF(OR(L759="",O759=""),"",IF($C759="1/2W",O759/2+O759/2*L759,IF($C759="1/2L",O759/2,(O759*L759-O759)*(1-_xlfn.XLOOKUP(K759,'Janeiro 2023 - Valor Real'!A3:A15,'Janeiro 2023 - Valor Real'!C3:C15,0))+O759)))))</f>
      </c>
      <c r="Q759" t="s" s="242">
        <f>IF(K759="","",IF(_xlfn.XLOOKUP(K759,K$124:K532,DJ$124:DJ532,0,,-1)=DJ759,_xlfn.XLOOKUP(K759,K$124:K532,Q$124:Q532,1,,-1)+1,1))</f>
      </c>
      <c r="R759" t="s" s="243">
        <f>IF(K759="","",_xlfn.XLOOKUP(K759,K$124:K532,R$124:R532,0,,-1)+IF($C759=" ",1,0))</f>
      </c>
      <c r="S759" s="166"/>
      <c r="T759" s="155"/>
      <c r="U759" s="155"/>
      <c r="V759" s="166"/>
      <c r="W759" s="155"/>
      <c r="X759" s="167"/>
      <c r="Y759" s="128"/>
      <c r="Z759" s="129"/>
      <c r="AA759" s="129"/>
      <c r="AB759" s="129"/>
      <c r="AC759" s="129"/>
      <c r="AD759" s="244">
        <f>((L758/(L758-1)-1))</f>
        <v>0.666666666666667</v>
      </c>
      <c r="AE759" t="s" s="245">
        <f>IF(L759="","",(SUM(((L757-1)*(1-_xlfn.XLOOKUP(K757,'Janeiro 2023 - Valor Real'!A3:A15,'Janeiro 2023 - Valor Real'!C3:C15,0))+1),((L758-1)*(1-_xlfn.XLOOKUP(K758,'Janeiro 2023 - Valor Real'!A3:A15,'Janeiro 2023 - Valor Real'!C3:C15,0))+1),((L759-1)*(1-_xlfn.XLOOKUP(K759,'Janeiro 2023 - Valor Real'!A3:A15,'Janeiro 2023 - Valor Real'!C3:C15,0))+1))/((L759-1)*(1-_xlfn.XLOOKUP(K759,'Janeiro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Real'!C3:C15,0))+1))/((L757-1)*(1-_xlfn.XLOOKUP(K757,'Janeiro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Real'!C3:C15,0))+1))/((L758-1)*(1-_xlfn.XLOOKUP(K758,'Janeiro 2023 - Valor Real'!A3:A15,'Janeiro 2023 - Valor Real'!C3:C15,0))+1)+SUM(((L757-1)*(1-_xlfn.XLOOKUP(K757,'Janeiro 2023 - Valor Real'!A3:A15,'Janeiro 2023 - Valor Real'!C3:C15,0))+1),((L758-1)*(1-_xlfn.XLOOKUP(K758,'Janeiro 2023 - Valor Real'!A3:A15,'Janeiro 2023 - Valor Real'!C3:C15,0))+1),((L759-1)*(1-_xlfn.XLOOKUP(K759,'Janeiro 2023 - Valor Real'!A3:A15,'Janeiro 2023 - Valor Real'!C3:C15,0))+1))/((L759-1)*(1-_xlfn.XLOOKUP(K759,'Janeiro 2023 - Valor Real'!A3:A15,'Janeiro 2023 - Valor Real'!C3:C15,0))+1)))</f>
      </c>
      <c r="AF759" s="197">
        <f>IF($K759=AF$3,ROUND(IF(OR($C759="W",$C759="1/2W",$C759="1/2L"),$P759-$O759,IF($C759="X",0,-$O759)),2),0)</f>
        <v>0</v>
      </c>
      <c r="AG759" s="198">
        <f>IF($K759=AG$3,ROUND(IF(OR($C759="W",$C759="1/2W",$C759="1/2L"),$P759-$O759,IF($C759="X",0,-$O759)),2),0)</f>
        <v>0</v>
      </c>
      <c r="AH759" s="198">
        <f>IF($K759=AH$3,ROUND(IF(OR($C759="W",$C759="1/2W",$C759="1/2L"),$P759-$O759,IF($C759="X",0,-$O759)),2),0)</f>
        <v>0</v>
      </c>
      <c r="AI759" s="198">
        <f>IF($K759=AI$3,ROUND(IF(OR($C759="W",$C759="1/2W",$C759="1/2L"),$P759-$O759,IF($C759="X",0,-$O759)),2),0)</f>
        <v>0</v>
      </c>
      <c r="AJ759" s="198">
        <f>IF($K759=AJ$3,ROUND(IF(OR($C759="W",$C759="1/2W",$C759="1/2L"),$P759-$O759,IF($C759="X",0,-$O759)),2),0)</f>
        <v>0</v>
      </c>
      <c r="AK759" s="198">
        <f>IF($K759=AK$3,ROUND(IF(OR($C759="W",$C759="1/2W",$C759="1/2L"),$P759-$O759,IF($C759="X",0,-$O759)),2),0)</f>
        <v>0</v>
      </c>
      <c r="AL759" s="198">
        <f>IF($K759=AL$3,ROUND(IF(OR($C759="W",$C759="1/2W",$C759="1/2L"),$P759-$O759,IF($C759="X",0,-$O759)),2),0)</f>
        <v>0</v>
      </c>
      <c r="AM759" s="198">
        <f>IF($K759=AM$3,ROUND(IF(OR($C759="W",$C759="1/2W",$C759="1/2L"),$P759-$O759,IF($C759="X",0,-$O759)),2),0)</f>
        <v>0</v>
      </c>
      <c r="AN759" s="198">
        <f>IF($K759=AN$3,ROUND(IF(OR($C759="W",$C759="1/2W",$C759="1/2L"),$P759-$O759,IF($C759="X",0,-$O759)),2),0)</f>
        <v>0</v>
      </c>
      <c r="AO759" s="198">
        <f>IF($K759=AO$3,ROUND(IF(OR($C759="W",$C759="1/2W",$C759="1/2L"),$P759-$O759,IF($C759="X",0,-$O759)),2),0)</f>
        <v>0</v>
      </c>
      <c r="AP759" s="198">
        <f>IF($K759=AP$3,ROUND(IF(OR($C759="W",$C759="1/2W",$C759="1/2L"),$P759-$O759,IF($C759="X",0,-$O759)),2),0)</f>
        <v>0</v>
      </c>
      <c r="AQ759" s="198">
        <f>IF($K759=AQ$3,ROUND(IF(OR($C759="W",$C759="1/2W",$C759="1/2L"),$P759-$O759,IF($C759="X",0,-$O759)),2),0)</f>
        <v>0</v>
      </c>
      <c r="AR759" s="199">
        <f>IF($K759=AR$3,ROUND(IF(OR($C759="W",$C759="1/2W",$C759="1/2L"),$P759-$O759,IF($C759="X",0,-$O759)),2),0)</f>
        <v>0</v>
      </c>
      <c r="AS759" s="197">
        <f>IF(AND($B757=" ",$K759=AS$3),$O759,0)</f>
        <v>0</v>
      </c>
      <c r="AT759" s="198">
        <f>IF(AND($B757=" ",K759=AT$3),$O759,0)</f>
        <v>0</v>
      </c>
      <c r="AU759" s="198">
        <f>IF(AND($B757=" ",$K759=AU$3),$O759,0)</f>
        <v>0</v>
      </c>
      <c r="AV759" s="198">
        <f>IF(AND($B757=" ",$K759=AV$3),$O759,0)</f>
        <v>0</v>
      </c>
      <c r="AW759" s="198">
        <f>IF(AND($B757=" ",$K759=AW$3),$O759,0)</f>
        <v>0</v>
      </c>
      <c r="AX759" s="198">
        <f>IF(AND($B757=" ",$K759=AX$3),$O759,0)</f>
        <v>0</v>
      </c>
      <c r="AY759" s="200">
        <f>IF(AND($B757=" ",$K759=AY$3),$O759,0)</f>
        <v>0</v>
      </c>
      <c r="AZ759" s="201">
        <f>IF(AND($B757=" ",$K759=AZ$3),$O759,0)</f>
        <v>0</v>
      </c>
      <c r="BA759" s="201">
        <f>IF(AND($B757=" ",$K759=BA$3),$O759,0)</f>
        <v>0</v>
      </c>
      <c r="BB759" s="201">
        <f>IF(AND($B757=" ",$K759=BB$3),$O759,0)</f>
        <v>0</v>
      </c>
      <c r="BC759" s="202">
        <f>IF(AND($B757=" ",$K759=BC$3),$O759,0)</f>
        <v>0</v>
      </c>
      <c r="BD759" s="198">
        <f>IF(AND($B757=" ",$K759=BD$3),$O759,0)</f>
        <v>0</v>
      </c>
      <c r="BE759" s="199">
        <f>IF(AND($B757=" ",$K759=BE$3),$O759,0)</f>
        <v>0</v>
      </c>
      <c r="BF759" s="197">
        <f>IF($K759=BF$3,IF($C759="X",0,$O759),0)</f>
        <v>0</v>
      </c>
      <c r="BG759" s="198">
        <f>IF($K759=BG$3,IF($C759="X",0,$O759),0)</f>
        <v>0</v>
      </c>
      <c r="BH759" s="198">
        <f>IF($K759=BH$3,IF($C759="X",0,$O759),0)</f>
        <v>0</v>
      </c>
      <c r="BI759" s="198">
        <f>IF($K759=BI$3,IF($C759="X",0,$O759),0)</f>
        <v>0</v>
      </c>
      <c r="BJ759" s="198">
        <f>IF($K759=BJ$3,IF($C759="X",0,$O759),0)</f>
        <v>0</v>
      </c>
      <c r="BK759" s="198">
        <f>IF($K759=BK$3,IF($C759="X",0,$O759),0)</f>
        <v>0</v>
      </c>
      <c r="BL759" s="198">
        <f>IF($K759=BL$3,IF($C759="X",0,$O759),0)</f>
        <v>0</v>
      </c>
      <c r="BM759" s="200">
        <f>IF($K759=BM$3,IF($C759="X",0,$O759),0)</f>
        <v>0</v>
      </c>
      <c r="BN759" s="201">
        <f>IF($K759=BN$3,IF($C759="X",0,$O759),0)</f>
        <v>0</v>
      </c>
      <c r="BO759" s="201">
        <f>IF($K759=BO$3,IF($C759="X",0,$O759),0)</f>
        <v>0</v>
      </c>
      <c r="BP759" s="201">
        <f>IF($K759=BP$3,IF($C759="X",0,$O759),0)</f>
        <v>0</v>
      </c>
      <c r="BQ759" s="202">
        <f>IF($K759=BQ$3,IF($C759="X",0,$O759),0)</f>
        <v>0</v>
      </c>
      <c r="BR759" s="199">
        <f>IF($K759=BR$3,IF($C759="X",0,$O759),0)</f>
        <v>0</v>
      </c>
      <c r="BS759" s="228"/>
      <c r="BT759" s="229"/>
      <c r="BU759" s="140"/>
      <c r="BV759" s="229"/>
      <c r="BW759" s="140"/>
      <c r="BX759" s="140"/>
      <c r="BY759" s="140"/>
      <c r="BZ759" s="229"/>
      <c r="CA759" s="140"/>
      <c r="CB759" s="140"/>
      <c r="CC759" s="140"/>
      <c r="CD759" s="141"/>
      <c r="CE759" s="142"/>
      <c r="CF759" s="230">
        <f>IF(CF$3=$K759,IF($C759="W",1,IF($C759="1/2W",0.5,0)),0)</f>
        <v>0</v>
      </c>
      <c r="CG759" s="231">
        <f>IF(CF$3=$K759,IF($C759="L",1,IF($C759="1/2L",0.5,0)),0)</f>
        <v>0</v>
      </c>
      <c r="CH759" s="231">
        <f>IF(CH$3=$K759,IF($C759="W",1,IF($C759="1/2W",0.5,0)),0)</f>
        <v>0</v>
      </c>
      <c r="CI759" s="231">
        <f>IF(CH$3=$K759,IF($C759="L",1,IF($C759="1/2L",0.5,0)),0)</f>
        <v>0</v>
      </c>
      <c r="CJ759" s="231">
        <f>IF(CJ$3=$K759,IF($C759="W",1,IF($C759="1/2W",0.5,0)),0)</f>
        <v>0</v>
      </c>
      <c r="CK759" s="231">
        <f>IF(CJ$3=$K759,IF($C759="L",1,IF($C759="1/2L",0.5,0)),0)</f>
        <v>0</v>
      </c>
      <c r="CL759" s="231">
        <f>IF(CL$3=$K759,IF($C759="W",1,IF($C759="1/2W",0.5,0)),0)</f>
        <v>0</v>
      </c>
      <c r="CM759" s="231">
        <f>IF(CL$3=$K759,IF($C759="L",1,IF($C759="1/2L",0.5,0)),0)</f>
        <v>0</v>
      </c>
      <c r="CN759" s="231">
        <f>IF(CN$3=$K759,IF($C759="W",1,IF($C759="1/2W",0.5,0)),0)</f>
        <v>0</v>
      </c>
      <c r="CO759" s="231">
        <f>IF(CN$3=$K759,IF($C759="L",1,IF($C759="1/2L",0.5,0)),0)</f>
        <v>0</v>
      </c>
      <c r="CP759" s="231">
        <f>IF(CP$3=$K759,IF($C759="W",1,IF($C759="1/2W",0.5,0)),0)</f>
        <v>0</v>
      </c>
      <c r="CQ759" s="231">
        <f>IF(CP$3=$K759,IF($C759="L",1,IF($C759="1/2L",0.5,0)),0)</f>
        <v>0</v>
      </c>
      <c r="CR759" s="231">
        <f>IF(CR$3=$K759,IF($C759="W",1,IF($C759="1/2W",0.5,0)),0)</f>
        <v>0</v>
      </c>
      <c r="CS759" s="231">
        <f>IF(CR$3=$K759,IF($C759="L",1,IF($C759="1/2L",0.5,0)),0)</f>
        <v>0</v>
      </c>
      <c r="CT759" s="208">
        <f>IF(CT$3=$K759,IF($C759="W",1,IF($C759="1/2W",0.5,0)),0)</f>
        <v>0</v>
      </c>
      <c r="CU759" s="209">
        <f>IF(CT$3=$K759,IF($C759="L",1,IF($C759="1/2L",0.5,0)),0)</f>
        <v>0</v>
      </c>
      <c r="CV759" s="209">
        <f>IF(CV$3=$K759,IF($C759="W",1,IF($C759="1/2W",0.5,0)),0)</f>
        <v>0</v>
      </c>
      <c r="CW759" s="209">
        <f>IF(CV$3=$K759,IF($C759="L",1,IF($C759="1/2L",0.5,0)),0)</f>
        <v>0</v>
      </c>
      <c r="CX759" s="209">
        <f>IF(CX$3=$K759,IF($C759="W",1,IF($C759="1/2W",0.5,0)),0)</f>
        <v>0</v>
      </c>
      <c r="CY759" s="209">
        <f>IF(CX$3=$K759,IF($C759="L",1,IF($C759="1/2L",0.5,0)),0)</f>
        <v>0</v>
      </c>
      <c r="CZ759" s="209">
        <f>IF(CZ$3=$K759,IF($C759="W",1,IF($C759="1/2W",0.5,0)),0)</f>
        <v>0</v>
      </c>
      <c r="DA759" s="209">
        <f>IF(CZ$3=$K759,IF($C759="L",1,IF($C759="1/2L",0.5,0)),0)</f>
        <v>0</v>
      </c>
      <c r="DB759" s="209">
        <f>IF(DB$3=$K759,IF($C759="W",1,IF($C759="1/2W",0.5,0)),0)</f>
        <v>0</v>
      </c>
      <c r="DC759" s="209">
        <f>IF(DB$3=$K759,IF($C759="L",1,IF($C759="1/2L",0.5,0)),0)</f>
        <v>0</v>
      </c>
      <c r="DD759" s="209">
        <f>IF(DD$3=$K759,IF($C759="W",1,IF($C759="1/2W",0.5,0)),0)</f>
        <v>0</v>
      </c>
      <c r="DE759" s="210">
        <f>IF(DD$3=$K759,IF($C759="L",1,IF($C759="1/2L",0.5,0)),0)</f>
        <v>0</v>
      </c>
      <c r="DF759" s="211">
        <f>IF(AND(L759&lt;DF$3,$C759="W"),1+DF758,DF758)</f>
        <v>22</v>
      </c>
      <c r="DG759" s="198">
        <f>IF(DF759&gt;DF758,L759+DG758,DG758)</f>
        <v>29.404</v>
      </c>
      <c r="DH759" s="209">
        <f>IF(AND(L759&gt;DH$3,$C759="W"),1+DH758,0+DH758)</f>
        <v>19</v>
      </c>
      <c r="DI759" s="198">
        <f>IF(DH759&gt;DH758,L759+DI758,DI758)</f>
        <v>98.11</v>
      </c>
      <c r="DJ759" t="s" s="306">
        <f>IF($D757="","",$D757)</f>
        <v>481</v>
      </c>
      <c r="DK759" s="232"/>
    </row>
    <row r="760" ht="14.55" customHeight="1">
      <c r="A760" s="246">
        <f>$A757+1</f>
        <v>253</v>
      </c>
      <c r="B760" t="s" s="247">
        <f>IF(AND(_xlfn.XLOOKUP(H760,H$107:H539,G$107:G539,0)=G760,_xlfn.XLOOKUP("TempoBet",K760:K762,L760:L762,0)&gt;0),"X",IF(OR(C760="W",C761="W",C762="W",C760="1/2W",C761="1/2W",C762="1/2W",C760="1/2L",C761="1/2L",C762="1/2L"),"OK",IF(OR(C760="L",C761="L",C762="L"),"LOSS",IF(OR(C760="X",C761="X",C762="X"),"Anulado"," "))))</f>
        <v>50</v>
      </c>
      <c r="C760" t="s" s="248">
        <v>51</v>
      </c>
      <c r="D760" t="s" s="303">
        <f>IF(G760="","",$D757)</f>
        <v>481</v>
      </c>
      <c r="E760" t="s" s="250">
        <v>176</v>
      </c>
      <c r="F760" t="s" s="251">
        <f>IF(G760="","",IF(OR(AND($C760&lt;&gt;" ",$C761=" "),AND($C761&lt;&gt;" ",$C760=" "),AND(L762&gt;0,OR(AND($C762&lt;&gt;" ",OR($C760=" ",$C761=" ")),AND($C762=" ",OR($C760&lt;&gt;" ",$C761&lt;&gt;" "))))),IF(SUM(F$4:F759)=0,1,LARGE(F$4:F759,1)+1),IF(MONTH(G760)=MONTH(TODAY()),IF(AND(DAY(G760)&lt;DAY(TODAY()),$B760=" "),IF(SUM(F$4:F759)=0,1,LARGE(F$4:F759,1)+1),IF($B760=" ",IF(AND(DAY(G760)=DAY(TODAY()),HOUR(G760)&lt;=HOUR(NOW())+1),IF(AND(HOUR(G760)+2&lt;=HOUR(NOW()),DAY(G760)&lt;=DAY(TODAY()),MINUTE(G760)&lt;=MINUTE(NOW())),IF(SUM(F$4:F759)=0,1,LARGE(F$4:F759,1)+1),IF(OR(MINUTE(G760)&lt;=MINUTE(NOW()),HOUR(G760)&lt;=HOUR(NOW())),"!!!","")),""),"")),"")))</f>
      </c>
      <c r="G760" s="252">
        <v>44958.895833333336</v>
      </c>
      <c r="H760" t="s" s="253">
        <v>523</v>
      </c>
      <c r="I760" t="s" s="254">
        <v>57</v>
      </c>
      <c r="J760" s="255">
        <v>0.75</v>
      </c>
      <c r="K760" t="s" s="256">
        <v>37</v>
      </c>
      <c r="L760" s="257">
        <v>1.9</v>
      </c>
      <c r="M760" s="258">
        <v>31.11</v>
      </c>
      <c r="N760" s="259">
        <v>0</v>
      </c>
      <c r="O760" s="260">
        <f>IF(OR(AE760="",AE761=""),"",ROUND(IF(L762&gt;0,IF(M760&gt;0,M760,IF(M761&gt;0,ROUND((M761*AE760)/AE761,IF(N760=0,2,IF(N760=0.1,1,0))),ROUND((M762*AE760)/AE762,IF(N760=0,2,IF(N760=0.1,1,0))))),IF(M760&gt;0,M760,ROUND((M761*AE760)/AE761,IF(N760=0,2,IF(N760=0.1,1,0))))),2))</f>
        <v>31.11</v>
      </c>
      <c r="P760" s="261">
        <f>IF(OR(L760="",O760=""),"",IF($C760="1/2W",O760/2+O760/2*L760,IF($C760="1/2L",O760/2,IF(I760="Lay",(O760*(L760/(L760-1))-O760)*(1-_xlfn.XLOOKUP(K760,'Janeiro 2023 - Valor Real'!A3:A15,'Janeiro 2023 - Valor Real'!C3:C15,0))+O760,(O760*L760-O760)*(1-_xlfn.XLOOKUP(K760,'Janeiro 2023 - Valor Real'!A3:A15,'Janeiro 2023 - Valor Real'!C3:C15,0))+O760))))</f>
        <v>59.109</v>
      </c>
      <c r="Q760" s="262">
        <f>IF(K760="","",IF(_xlfn.XLOOKUP(K760,K$107:K539,DJ$107:DJ539,0,,-1)=DJ760,_xlfn.XLOOKUP(K760,K$107:K539,Q$107:Q539,1,,-1)+1,1))</f>
        <v>1</v>
      </c>
      <c r="R760" s="263">
        <f>IF(K760="","",_xlfn.XLOOKUP(K760,K$107:K539,R$107:R539,0,,-1)+IF($C760=" ",1,0))</f>
        <v>0</v>
      </c>
      <c r="S760" s="264">
        <f>IF($B760="Anulado",0,ROUND(IF(OR($B760="LOSS",$B760="OK"),IF(OR($C760="W",$C760="1/2W",$C760="1/2L"),P760-O760,IF($C760="L",-O760,0))+IF(OR($C761="W",$C761="1/2W",$C761="1/2L"),P761-O761,IF($C761="L",-O761,0))+IF(OR($C762="W",$C762="1/2W",$C762="1/2L"),P762-O762,IF($C762="L",-O762,0)),IF(AND(OR($C760="W",$C760="1/2W",$C760="1/2L"),C761="W"),P760+P761-SUM(O760:O762)+_xlfn.XLOOKUP("X",C760:C762,O760:O762,0),IF(AND(C760=TRUE,C762="W"),P760+P762-SUM(O760:O762),IF(AND(C761="W",C762="W"),P761+P762-SUM(O760:O762)+_xlfn.XLOOKUP("X",C760:C762,O760:O762,0),IF(L762&gt;0,IF(OR($C760="W",$C760="1/2W",$C760="1/2L"),P760-SUM(O760:O762)+_xlfn.XLOOKUP("X",C760:C762,O760:O762,0),IF(OR($C760="W",$C760="1/2W",$C760="1/2L"),P761-SUM(O760:O762)+_xlfn.XLOOKUP("X",C760:C762,O760:O762,0),IF(OR($C760="W",$C760="1/2W",$C760="1/2L"),P762-SUM(O760:O762)+_xlfn.XLOOKUP("X",C760:C762,O760:O762,0),IF(SUM(P760:P762)/3-SUM(O760:O762)+_xlfn.XLOOKUP("X",C760:C762,O760:O762,0)&gt;0,SUM(P760:P762)/3-SUM(O760:O762)+_xlfn.XLOOKUP("X",C760:C762,O760:O762,0),LARGE(P760:P762,1)-SUM(O760:O762))))),IF(OR($C760="W",$C760="1/2W",$C760="1/2L"),P760-SUM(O760:O761)+_xlfn.XLOOKUP("X",C760:C762,O760:O762,0),IF(OR($C760="W",$C760="1/2W",$C760="1/2L"),P761-SUM(O760:O761)+_xlfn.XLOOKUP("X",C760:C762,O760:O762,0),SUM(P760:P761)/2-SUM(O760:O761)+_xlfn.XLOOKUP("X",C760:C762,O760:O762,0)))))))),2))</f>
        <v>2.95</v>
      </c>
      <c r="T760" s="265">
        <f>IF(S760=0,0,S760/SUM(O760:O762))</f>
        <v>0.0525097899608402</v>
      </c>
      <c r="U760" s="266">
        <f>IF($D760=$D757,IF(OR($B760="LOSS",$B760="OK",$B760="Anulada"),S760,0)+U757,IF(OR($B760="LOSS",$B760="OK",$B760="Anulada"),S760,0))</f>
        <v>42.8</v>
      </c>
      <c r="V760" s="266">
        <f>IF($D760="",0,IF($D760=$D757,IF($B760=" ",IF(I762="",IF(OR(AND(I760="DNB1",I761="DNB2"),AND(OR(I760="DNB1",I760="DNB2"),J761=0),AND(OR(I761="DNB1",I761="DNB2"),J760=0),AND(I760="DNB2",I761="DNB1"),AND(IF(J760=0,(J760+1)/ROUND(J760+1,0),J760/ROUND(J760,0))=1,IF(J761=0,(J761+1)/ROUND(IF(J761="",0,J761)+1,0),IF(J761="",0,J761)/ROUND(IF(J761="",1,J761),0))=1,OR(J760&lt;&gt;""),J761&lt;&gt;"")),0,IF(S760&lt;0,IF(I762="",SMALL(P760:P761,1)-SUM(O760:O761),0),SMALL(P760:P761,1)-SUM(O760:O761))),IF(S760&lt;0,IF(I762="",SMALL(P760:P762,1)-SUM(O760:O762),0),LARGE(P760:P762,1)-SUM(O760:O762))),S760)+V757,IF(I762="",IF(OR(AND(I760="DNB1",I761="DNB2"),AND(OR(I760="DNB1",I760="DNB2"),J761=0),AND(OR(I761="DNB1",I761="DNB2"),J760=0),AND(I760="DNB2",I761="DNB1"),AND(IF(J760=0,(J760+1)/ROUND(J760+1,0),J760/ROUND(J760,0))=1,IF(J761=0,(IF(J761="",0,J761)+1)/ROUND(IF(J761="",0,J761)+1,0),IF(J761="",0,J761)/ROUND(IF(J761="",0,J761)+1,0))=1,OR(J760&lt;&gt;""),J761&lt;&gt;"")),0,IF(S760&lt;0,IF(I762="",SMALL(P760:P761,1)-SUM(O760:O761),0),SMALL(P760:P762,1)-SUM(O760:O762))),IF(S760&lt;0,IF(I762="",SMALL(P760:P762,1)-SUM(O760:O762),0),LARGE(P760:P762,1)-SUM(O760:O762)))))</f>
        <v>42.7976</v>
      </c>
      <c r="W760" s="266">
        <f>IF($D760=$D757,IF(S760&lt;0,IF(I762="",S760,0),S760)+W757,S760)</f>
        <v>42.8</v>
      </c>
      <c r="X760" t="s" s="267">
        <f>IF(OR(SUM(R760:R762)=0,V760=W760),ROUND(IF(W760=0,0,W760/Y760)*100,2)&amp;"%",ROUND(IF(V760=0,0,V760/Y760)*100,2)&amp;"% a "&amp;ROUND(IF(W760=0,0,W760/Y760)*100,2)&amp;"%")</f>
        <v>524</v>
      </c>
      <c r="Y760" s="268">
        <f>IF($D760=$D757,Y757+SUM(O760:O762),SUM(O760:O762))</f>
        <v>740.58</v>
      </c>
      <c r="Z760" s="266">
        <f>IF($B760=" ",SUM(O760:O762),0)+Z757</f>
        <v>0</v>
      </c>
      <c r="AA760" s="266">
        <f>IF(G760="","",IF($B760="Anulado",LARGE(P760:P762,1)-SUM(O760:O762)+AA757,AA757))</f>
        <v>29.9145076923077</v>
      </c>
      <c r="AB760" s="266">
        <f>IF($D760="","",AB757+S760)</f>
        <v>513.98</v>
      </c>
      <c r="AC760" s="269">
        <f>IF($D760="","",IF($B760=" ",IF(DAY(G760)=DAY(TODAY()),1+AC757,0+AC757),0+AC757))</f>
        <v>0</v>
      </c>
      <c r="AD760" s="270">
        <f>(1-_xlfn.XLOOKUP(K758,'Janeiro 2023 - Valor Real'!A3:A15,'Janeiro 2023 - Valor Real'!C3:C15,0))+1</f>
        <v>2</v>
      </c>
      <c r="AE760" s="271">
        <f>IF(L760="","",IF(L762&gt;0,(SUM(((L760-1)*(1-_xlfn.XLOOKUP(K760,'Janeiro 2023 - Valor Real'!A3:A15,'Janeiro 2023 - Valor Real'!C3:C15,0))+1),((L761-1)*(1-_xlfn.XLOOKUP(K761,'Janeiro 2023 - Valor Real'!A3:A15,'Janeiro 2023 - Valor Real'!C3:C15,0))+1),((L762-1)*(1-_xlfn.XLOOKUP(K762,'Janeiro 2023 - Valor Real'!A3:A15,'Janeiro 2023 - Valor Real'!C3:C15,0))+1))/((L760-1)*(1-_xlfn.XLOOKUP(K760,'Janeiro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Real'!C3:C15,0))+1))/((L760-1)*(1-_xlfn.XLOOKUP(K760,'Janeiro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Real'!C3:C15,0))+1))/((L761-1)*(1-_xlfn.XLOOKUP(K761,'Janeiro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Real'!C3:C15,0))+1))/((L762-1)*(1-_xlfn.XLOOKUP(K762,'Janeiro 2023 - Valor Real'!A3:A15,'Janeiro 2023 - Valor Real'!C3:C15,0))+1)),IF(I760="Lay",IF(I761="Lay",((L761/(L761-1)-1)*(1-_xlfn.XLOOKUP(K761,'Janeiro 2023 - Valor Real'!A3:A15,'Janeiro 2023 - Valor Real'!C3:C15,0))+1)/(((L761/(L761-1)-1)*(1-_xlfn.XLOOKUP(K761,'Janeiro 2023 - Valor Real'!A3:A15,'Janeiro 2023 - Valor Real'!C3:C15,0))+1)+((L760/(L760-1)-1)*(1-_xlfn.XLOOKUP(K760,'Janeiro 2023 - Valor Real'!A3:A15,'Janeiro 2023 - Valor Real'!C3:C15,0))+1)),((L761-1)*(1-_xlfn.XLOOKUP(K761,'Janeiro 2023 - Valor Real'!A3:A15,'Janeiro 2023 - Valor Real'!C3:C15,0))+1)/(((L761-1)*(1-_xlfn.XLOOKUP(K761,'Janeiro 2023 - Valor Real'!A3:A15,'Janeiro 2023 - Valor Real'!C3:C15,0))+1)+((L760/(L760-1)-1)*(1-_xlfn.XLOOKUP(K760,'Janeiro 2023 - Valor Real'!A3:A15,'Janeiro 2023 - Valor Real'!C3:C15,0))+1))),IF(I761="Lay",(((L761/(L761-1)-1)*(1-_xlfn.XLOOKUP(K761,'Janeiro 2023 - Valor Real'!A3:A15,'Janeiro 2023 - Valor Real'!C3:C15,0))+1))/(((L760-1)*(1-_xlfn.XLOOKUP(K760,'Janeiro 2023 - Valor Real'!A3:A15,'Janeiro 2023 - Valor Real'!C3:C15,0))+1)+((L761/(L761-1)-1)*(1-_xlfn.XLOOKUP(K761,'Janeiro 2023 - Valor Real'!A3:A15,'Janeiro 2023 - Valor Real'!C3:C15,0))+1)),((L761-1)*(1-_xlfn.XLOOKUP(K761,'Janeiro 2023 - Valor Real'!A3:A15,'Janeiro 2023 - Valor Real'!C3:C15,0))+1)/(((L761-1)*(1-_xlfn.XLOOKUP(K761,'Janeiro 2023 - Valor Real'!A3:A15,'Janeiro 2023 - Valor Real'!C3:C15,0))+1)+((L760-1)*(1-_xlfn.XLOOKUP(K760,'Janeiro 2023 - Valor Real'!A3:A15,'Janeiro 2023 - Valor Real'!C3:C15,0))+1))))))</f>
        <v>0.425531914893617</v>
      </c>
      <c r="AF760" s="132">
        <f>IF($K760=AF$3,ROUND(IF(OR($C760="W",$C760="1/2W",$C760="1/2L"),$P760-$O760,IF($C760="X",0,-$O760)),2),0)</f>
        <v>-31.11</v>
      </c>
      <c r="AG760" s="133">
        <f>IF($K760=AG$3,ROUND(IF(OR($C760="W",$C760="1/2W",$C760="1/2L"),$P760-$O760,IF($C760="X",0,-$O760)),2),0)</f>
        <v>0</v>
      </c>
      <c r="AH760" s="133">
        <f>IF($K760=AH$3,ROUND(IF(OR($C760="W",$C760="1/2W",$C760="1/2L"),$P760-$O760,IF($C760="X",0,-$O760)),2),0)</f>
        <v>0</v>
      </c>
      <c r="AI760" s="133">
        <f>IF($K760=AI$3,ROUND(IF(OR($C760="W",$C760="1/2W",$C760="1/2L"),$P760-$O760,IF($C760="X",0,-$O760)),2),0)</f>
        <v>0</v>
      </c>
      <c r="AJ760" s="133">
        <f>IF($K760=AJ$3,ROUND(IF(OR($C760="W",$C760="1/2W",$C760="1/2L"),$P760-$O760,IF($C760="X",0,-$O760)),2),0)</f>
        <v>0</v>
      </c>
      <c r="AK760" s="133">
        <f>IF($K760=AK$3,ROUND(IF(OR($C760="W",$C760="1/2W",$C760="1/2L"),$P760-$O760,IF($C760="X",0,-$O760)),2),0)</f>
        <v>0</v>
      </c>
      <c r="AL760" s="133">
        <f>IF($K760=AL$3,ROUND(IF(OR($C760="W",$C760="1/2W",$C760="1/2L"),$P760-$O760,IF($C760="X",0,-$O760)),2),0)</f>
        <v>0</v>
      </c>
      <c r="AM760" s="133">
        <f>IF($K760=AM$3,ROUND(IF(OR($C760="W",$C760="1/2W",$C760="1/2L"),$P760-$O760,IF($C760="X",0,-$O760)),2),0)</f>
        <v>0</v>
      </c>
      <c r="AN760" s="133">
        <f>IF($K760=AN$3,ROUND(IF(OR($C760="W",$C760="1/2W",$C760="1/2L"),$P760-$O760,IF($C760="X",0,-$O760)),2),0)</f>
        <v>0</v>
      </c>
      <c r="AO760" s="133">
        <f>IF($K760=AO$3,ROUND(IF(OR($C760="W",$C760="1/2W",$C760="1/2L"),$P760-$O760,IF($C760="X",0,-$O760)),2),0)</f>
        <v>0</v>
      </c>
      <c r="AP760" s="133">
        <f>IF($K760=AP$3,ROUND(IF(OR($C760="W",$C760="1/2W",$C760="1/2L"),$P760-$O760,IF($C760="X",0,-$O760)),2),0)</f>
        <v>0</v>
      </c>
      <c r="AQ760" s="133">
        <f>IF($K760=AQ$3,ROUND(IF(OR($C760="W",$C760="1/2W",$C760="1/2L"),$P760-$O760,IF($C760="X",0,-$O760)),2),0)</f>
        <v>0</v>
      </c>
      <c r="AR760" s="134">
        <f>IF($K760=AR$3,ROUND(IF(OR($C760="W",$C760="1/2W",$C760="1/2L"),$P760-$O760,IF($C760="X",0,-$O760)),2),0)</f>
        <v>0</v>
      </c>
      <c r="AS760" s="132">
        <f>IF(AND($B760=" ",$K760=AS$3),$O760,0)</f>
        <v>0</v>
      </c>
      <c r="AT760" s="133">
        <f>IF(AND($B760=" ",$K760=AT$3),$O760,0)</f>
        <v>0</v>
      </c>
      <c r="AU760" s="133">
        <f>IF(AND($B760=" ",$K760=AU$3),$O760,0)</f>
        <v>0</v>
      </c>
      <c r="AV760" s="133">
        <f>IF(AND($B760=" ",$K760=AV$3),$O760,0)</f>
        <v>0</v>
      </c>
      <c r="AW760" s="133">
        <f>IF(AND($B760=" ",$K760=AW$3),$O760,0)</f>
        <v>0</v>
      </c>
      <c r="AX760" s="133">
        <f>IF(AND($B760=" ",$K760=AX$3),$O760,0)</f>
        <v>0</v>
      </c>
      <c r="AY760" s="135">
        <f>IF(AND($B760=" ",$K760=AY$3),$O760,0)</f>
        <v>0</v>
      </c>
      <c r="AZ760" s="136">
        <f>IF(AND($B760=" ",$K760=AZ$3),$O760,0)</f>
        <v>0</v>
      </c>
      <c r="BA760" s="136">
        <f>IF(AND($B760=" ",$K760=BA$3),$O760,0)</f>
        <v>0</v>
      </c>
      <c r="BB760" s="136">
        <f>IF(AND($B760=" ",$K760=BB$3),$O760,0)</f>
        <v>0</v>
      </c>
      <c r="BC760" s="137">
        <f>IF(AND($B760=" ",$K760=BC$3),$O760,0)</f>
        <v>0</v>
      </c>
      <c r="BD760" s="133">
        <f>IF(AND($B760=" ",$K760=BD$3),$O760,0)</f>
        <v>0</v>
      </c>
      <c r="BE760" s="134">
        <f>IF(AND($B760=" ",$K760=BE$3),$O760,0)</f>
        <v>0</v>
      </c>
      <c r="BF760" s="132">
        <f>IF($K760=BF$3,IF($C760="X",0,$O760),0)</f>
        <v>31.11</v>
      </c>
      <c r="BG760" s="133">
        <f>IF($K760=BG$3,IF($C760="X",0,$O760),0)</f>
        <v>0</v>
      </c>
      <c r="BH760" s="133">
        <f>IF($K760=BH$3,IF($C760="X",0,$O760),0)</f>
        <v>0</v>
      </c>
      <c r="BI760" s="133">
        <f>IF($K760=BI$3,IF($C760="X",0,$O760),0)</f>
        <v>0</v>
      </c>
      <c r="BJ760" s="133">
        <f>IF($K760=BJ$3,IF($C760="X",0,$O760),0)</f>
        <v>0</v>
      </c>
      <c r="BK760" s="133">
        <f>IF($K760=BK$3,IF($C760="X",0,$O760),0)</f>
        <v>0</v>
      </c>
      <c r="BL760" s="133">
        <f>IF($K760=BL$3,IF($C760="X",0,$O760),0)</f>
        <v>0</v>
      </c>
      <c r="BM760" s="135">
        <f>IF($K760=BM$3,IF($C760="X",0,$O760),0)</f>
        <v>0</v>
      </c>
      <c r="BN760" s="136">
        <f>IF($K760=BN$3,IF($C760="X",0,$O760),0)</f>
        <v>0</v>
      </c>
      <c r="BO760" s="136">
        <f>IF($K760=BO$3,IF($C760="X",0,$O760),0)</f>
        <v>0</v>
      </c>
      <c r="BP760" s="136">
        <f>IF($K760=BP$3,IF($C760="X",0,$O760),0)</f>
        <v>0</v>
      </c>
      <c r="BQ760" s="137">
        <f>IF($K760=BQ$3,IF($C760="X",0,$O760),0)</f>
        <v>0</v>
      </c>
      <c r="BR760" s="134">
        <f>IF($K760=BR$3,IF($C760="X",0,$O760),0)</f>
        <v>0</v>
      </c>
      <c r="BS760" s="170">
        <f>IF($B760="LOSS",IF(AND($K760=BS$3,$C760="L"),-$O760,0)+IF(AND($K761=BS$3,$C761="L"),-$O761,0)+IF(AND($K762=BS$3,$C762="L"),-$O762,0),IF(OR(AND($K760=BS$3,OR($C760="W",$C760="1/2W")),AND($K761=BS$3,OR($C761="W",$C761="1/2W")),AND($K762=BS$3,OR($C762="W",$C762="1/2W"))),$S760,0))</f>
        <v>0</v>
      </c>
      <c r="BT760" s="272">
        <f>IF($B760="LOSS",IF(AND($K760=BT$3,$C760="L"),-$O760,0)+IF(AND($K761=BT$3,$C761="L"),-$O761,0)+IF(AND($K761=BT$3,$C762="L"),-$O762,0),IF(OR(AND($K761=BT$3,OR($C760="W",$C760="1/2W")),AND($K761=BT$3,OR($C761="W",$C761="1/2W")),AND($K761=BT$3,OR($C762="W",$C762="1/2W"))),$S760,0))</f>
        <v>2.95</v>
      </c>
      <c r="BU760" s="136">
        <f>IF($B760="LOSS",IF(AND($K760=BU$3,$C760="L"),-$O760,0)+IF(AND($K761=BU$3,$C761="L"),-$O761,0)+IF(AND($K761=BU$3,$C762="L"),-$O762,0),IF(OR(AND($K761=BU$3,OR($C760="W",$C760="1/2W")),AND($K761=BU$3,OR($C761="W",$C761="1/2W")),AND($K761=BU$3,OR($C762="W",$C762="1/2W"))),$S760,0))</f>
        <v>0</v>
      </c>
      <c r="BV760" s="136">
        <f>IF($B760="LOSS",IF(AND($K760=BV$3,$C760="L"),-$O760,0)+IF(AND($K761=BV$3,$C761="L"),-$O761,0)+IF(AND($K762=BV$3,$C762="L"),-$O762,0),IF(OR(AND($K760=BV$3,OR($C760="W",$C760="1/2W")),AND($K761=BV$3,OR($C761="W",$C761="1/2W")),AND($K762=BV$3,OR($C762="W",$C762="1/2W"))),$S760,0))</f>
        <v>0</v>
      </c>
      <c r="BW760" s="136">
        <f>IF($B760="LOSS",IF(AND($K760=BW$3,$C760="L"),-$O760,0)+IF(AND($K761=BW$3,$C761="L"),-$O761,0)+IF(AND($K762=BW$3,$C762="L"),-$O762,0),IF(OR(AND($K760=BW$3,OR($C760="W",$C760="1/2W")),AND($K761=BW$3,OR($C761="W",$C761="1/2W")),AND($K762=BW$3,OR($C762="W",$C762="1/2W"))),$S760,0))</f>
        <v>0</v>
      </c>
      <c r="BX760" s="136">
        <f>IF($B760="LOSS",IF(AND($K760=BX$3,$C760="L"),-$O760,0)+IF(AND($K761=BX$3,$C761="L"),-$O761,0)+IF(AND($K762=BX$3,$C762="L"),-$O762,0),IF(OR(AND($K760=BX$3,OR($C760="W",$C760="1/2W")),AND($K761=BX$3,OR($C761="W",$C761="1/2W")),AND($K762=BX$3,OR($C762="W",$C762="1/2W"))),$S760,0))</f>
        <v>0</v>
      </c>
      <c r="BY760" s="136">
        <f>IF($B760="LOSS",IF(AND($K760=BY$3,$C760="L"),-$O760,0)+IF(AND($K761=BY$3,$C761="L"),-$O761,0)+IF(AND($K762=BY$3,$C762="L"),-$O762,0),IF(OR(AND($K760=BY$3,OR($C760="W",$C760="1/2W")),AND($K761=BY$3,OR($C761="W",$C761="1/2W")),AND($K762=BY$3,OR($C762="W",$C762="1/2W"))),$S760,0))</f>
        <v>0</v>
      </c>
      <c r="BZ760" s="136">
        <f>IF($B760="LOSS",IF(AND($K760=BZ$3,$C760="L"),-$O760,0)+IF(AND($K761=BZ$3,$C761="L"),-$O761,0)+IF(AND($K762=BZ$3,$C762="L"),-$O762,0),IF(OR(AND($K760=BZ$3,OR($C760="W",$C760="1/2W")),AND($K761=BZ$3,OR($C761="W",$C761="1/2W")),AND($K762=BZ$3,OR($C762="W",$C762="1/2W"))),$S760,0))</f>
        <v>0</v>
      </c>
      <c r="CA760" s="136">
        <f>IF($B760="LOSS",IF(AND($K760=CA$3,$C760="L"),-$O760,0)+IF(AND($K761=CA$3,$C761="L"),-$O761,0)+IF(AND($K762=CA$3,$C762="L"),-$O762,0),IF(OR(AND($K760=CA$3,OR($C760="W",$C760="1/2W")),AND($K761=CA$3,OR($C761="W",$C761="1/2W")),AND($K762=CA$3,OR($C762="W",$C762="1/2W"))),$S760,0))</f>
        <v>0</v>
      </c>
      <c r="CB760" s="136">
        <f>IF($B760="LOSS",IF(AND($K760=CB$3,$C760="L"),-$O760,0)+IF(AND($K761=CB$3,$C761="L"),-$O761,0)+IF(AND($K762=CB$3,$C762="L"),-$O762,0),IF(OR(AND($K760=CB$3,OR($C760="W",$C760="1/2W")),AND($K761=CB$3,OR($C761="W",$C761="1/2W")),AND($K762=CB$3,OR($C762="W",$C762="1/2W"))),$S760,0))</f>
        <v>0</v>
      </c>
      <c r="CC760" s="136">
        <f>IF($B760="LOSS",IF(AND($K760=CC$3,$C760="L"),-$O760,0)+IF(AND($K761=CC$3,$C761="L"),-$O761,0)+IF(AND($K762=CC$3,$C762="L"),-$O762,0),IF(OR(AND($K760=CC$3,OR($C760="W",$C760="1/2W")),AND($K761=CC$3,OR($C761="W",$C761="1/2W")),AND($K762=CC$3,OR($C762="W",$C762="1/2W"))),$S760,0))</f>
        <v>0</v>
      </c>
      <c r="CD760" s="137">
        <f>IF($B760="LOSS",IF(AND($K760=CD$3,$C760="L"),-$O760,0)+IF(AND($K761=CD$3,$C761="L"),-$O761,0)+IF(AND($K762=CD$3,$C762="L"),-$O762,0),IF(OR(AND($K760=CD$3,OR($C760="W",$C760="1/2W")),AND($K761=CD$3,OR($C761="W",$C761="1/2W")),AND($K762=CD$3,OR($C762="W",$C762="1/2W"))),$S760,0))</f>
        <v>0</v>
      </c>
      <c r="CE760" s="134">
        <f>IF($B760="LOSS",IF(AND($K760=CE$3,$C760="L"),-$O760,0)+IF(AND($K761=CE$3,$C761="L"),-$O761,0)+IF(AND($K762=CE$3,$C762="L"),-$O762,0),IF(OR(AND($K760=CE$3,OR($C760="W",$C760="1/2W")),AND($K761=CE$3,OR($C761="W",$C761="1/2W")),AND($K762=CE$3,OR($C762="W",$C762="1/2W"))),$S760,0))</f>
        <v>0</v>
      </c>
      <c r="CF760" s="273">
        <f>IF(CF$3=$K760,IF($C760="W",1,IF($C760="1/2W",0.5,0)),0)</f>
        <v>0</v>
      </c>
      <c r="CG760" s="274">
        <f>IF(CF$3=$K760,IF($C760="L",1,IF($C760="1/2L",0.5,0)),0)</f>
        <v>1</v>
      </c>
      <c r="CH760" s="274">
        <f>IF(CH$3=$K760,IF($C760="W",1,IF($C760="1/2W",0.5,0)),0)</f>
        <v>0</v>
      </c>
      <c r="CI760" s="274">
        <f>IF(CH$3=$K760,IF($C760="L",1,IF($C760="1/2L",0.5,0)),0)</f>
        <v>0</v>
      </c>
      <c r="CJ760" s="274">
        <f>IF(CJ$3=$K760,IF($C760="W",1,IF($C760="1/2W",0.5,0)),0)</f>
        <v>0</v>
      </c>
      <c r="CK760" s="274">
        <f>IF(CJ$3=$K760,IF($C760="L",1,IF($C760="1/2L",0.5,0)),0)</f>
        <v>0</v>
      </c>
      <c r="CL760" s="274">
        <f>IF(CL$3=$K760,IF($C760="W",1,IF($C760="1/2W",0.5,0)),0)</f>
        <v>0</v>
      </c>
      <c r="CM760" s="274">
        <f>IF(CL$3=$K760,IF($C760="L",1,IF($C760="1/2L",0.5,0)),0)</f>
        <v>0</v>
      </c>
      <c r="CN760" s="274">
        <f>IF(CN$3=$K760,IF($C760="W",1,IF($C760="1/2W",0.5,0)),0)</f>
        <v>0</v>
      </c>
      <c r="CO760" s="274">
        <f>IF(CN$3=$K760,IF($C760="L",1,IF($C760="1/2L",0.5,0)),0)</f>
        <v>0</v>
      </c>
      <c r="CP760" s="274">
        <f>IF(CP$3=$K760,IF($C760="W",1,IF($C760="1/2W",0.5,0)),0)</f>
        <v>0</v>
      </c>
      <c r="CQ760" s="274">
        <f>IF(CP$3=$K760,IF($C760="L",1,IF($C760="1/2L",0.5,0)),0)</f>
        <v>0</v>
      </c>
      <c r="CR760" s="274">
        <f>IF(CR$3=$K760,IF($C760="W",1,IF($C760="1/2W",0.5,0)),0)</f>
        <v>0</v>
      </c>
      <c r="CS760" s="274">
        <f>IF(CR$3=$K760,IF($C760="L",1,IF($C760="1/2L",0.5,0)),0)</f>
        <v>0</v>
      </c>
      <c r="CT760" s="145">
        <f>IF(CT$3=$K760,IF($C760="W",1,IF($C760="1/2W",0.5,0)),0)</f>
        <v>0</v>
      </c>
      <c r="CU760" s="146">
        <f>IF(CT$3=$K760,IF($C760="L",1,IF($C760="1/2L",0.5,0)),0)</f>
        <v>0</v>
      </c>
      <c r="CV760" s="146">
        <f>IF(CV$3=$K760,IF($C760="W",1,IF($C760="1/2W",0.5,0)),0)</f>
        <v>0</v>
      </c>
      <c r="CW760" s="146">
        <f>IF(CV$3=$K760,IF($C760="L",1,IF($C760="1/2L",0.5,0)),0)</f>
        <v>0</v>
      </c>
      <c r="CX760" s="146">
        <f>IF(CX$3=$K760,IF($C760="W",1,IF($C760="1/2W",0.5,0)),0)</f>
        <v>0</v>
      </c>
      <c r="CY760" s="146">
        <f>IF(CX$3=$K760,IF($C760="L",1,IF($C760="1/2L",0.5,0)),0)</f>
        <v>0</v>
      </c>
      <c r="CZ760" s="146">
        <f>IF(CZ$3=$K760,IF($C760="W",1,IF($C760="1/2W",0.5,0)),0)</f>
        <v>0</v>
      </c>
      <c r="DA760" s="146">
        <f>IF(CZ$3=$K760,IF($C760="L",1,IF($C760="1/2L",0.5,0)),0)</f>
        <v>0</v>
      </c>
      <c r="DB760" s="146">
        <f>IF(DB$3=$K760,IF($C760="W",1,IF($C760="1/2W",0.5,0)),0)</f>
        <v>0</v>
      </c>
      <c r="DC760" s="146">
        <f>IF(DB$3=$K760,IF($C760="L",1,IF($C760="1/2L",0.5,0)),0)</f>
        <v>0</v>
      </c>
      <c r="DD760" s="146">
        <f>IF(DD$3=$K760,IF($C760="W",1,IF($C760="1/2W",0.5,0)),0)</f>
        <v>0</v>
      </c>
      <c r="DE760" s="147">
        <f>IF(DD$3=$K760,IF($C760="L",1,IF($C760="1/2L",0.5,0)),0)</f>
        <v>0</v>
      </c>
      <c r="DF760" s="143">
        <f>IF(AND(L760&lt;DF$3,$C760="W"),1+DF759,DF759)</f>
        <v>22</v>
      </c>
      <c r="DG760" s="133">
        <f>IF(DF760&gt;DF759,L760+DG759,DG759)</f>
        <v>29.404</v>
      </c>
      <c r="DH760" s="146">
        <f>IF(AND(L760&gt;DH$3,$C760="W"),1+DH759,0+DH759)</f>
        <v>19</v>
      </c>
      <c r="DI760" s="133">
        <f>IF(DH760&gt;DH759,L760+DI759,DI759)</f>
        <v>98.11</v>
      </c>
      <c r="DJ760" t="s" s="304">
        <f>IF($D760="","",$D760)</f>
        <v>481</v>
      </c>
      <c r="DK760" s="146">
        <f>IF(AND($B760=" ",$D760&lt;&gt;""),1,0)</f>
        <v>0</v>
      </c>
    </row>
    <row r="761" ht="14.55" customHeight="1">
      <c r="A761" s="107"/>
      <c r="B761" s="108"/>
      <c r="C761" t="s" s="109">
        <v>56</v>
      </c>
      <c r="D761" s="110"/>
      <c r="E761" s="111"/>
      <c r="F761" s="113"/>
      <c r="G761" s="252"/>
      <c r="H761" s="114"/>
      <c r="I761" s="294">
        <v>1</v>
      </c>
      <c r="J761" t="s" s="295">
        <f>IF(OR(I760="TO",I760="TU",I760="TO1",I760="TU1",I760="TO2",I760="TU2"),J760,IF(OR(I760="AH1",I760="AH2"),IF(OR(I761="AH1",I761="AH2"),-J760,IF(OR(I761="EH1",I761="EH2"),-J760+0.5,"")),IF(OR(I760="EH1",I760="EH2"),IF(OR(I761="AH1",I761="AH2"),-J760+0.5,IF(OR(I761="EH1",I761="EH2"),-J760+1,"")),IF(AND(OR(I760="DNB1",I760="DNB2"),OR(I761="AH1",I761="AH2")),0,IF(AND(I760="Not ScoreBoth",OR(I761="TO1",I761="TO2")),0.5,"")))))</f>
      </c>
      <c r="K761" t="s" s="117">
        <v>38</v>
      </c>
      <c r="L761" s="277">
        <v>2</v>
      </c>
      <c r="M761" s="278">
        <v>21.8</v>
      </c>
      <c r="N761" s="120"/>
      <c r="O761" s="121">
        <f>IF(OR(AE760="",AE761=""),"",ROUND(IF(L762&gt;0,IF(M761&gt;0,M761,IF(M760&gt;0,IF(N760=TRUE,ROUND((M760*AE761)/AE760,0),(M760*AE761)/AE760),IF(M761&gt;0,ROUND(M761,IF(N760=0,2,IF(N760=0.1,1,0))),IF(M762&gt;0,ROUND(O762*AE761/AE762,IF(N760=0,2,IF(N760=0.1,1,0))),0)))),IF(M761&gt;0,M761,ROUND((M760*AE761)/AE760,IF(N760=0,2,IF(N760=0.1,1,0))))),2))</f>
        <v>21.8</v>
      </c>
      <c r="P761" s="122">
        <f>IF(OR(L761="",O761=""),"",IF($C761="1/2W",O761/2+O761/2*L761,IF($C761="1/2L",O761/2,IF(I761="Lay",((O761*(L761/(L761-1)))-O761)*(1-_xlfn.XLOOKUP(K761,'Janeiro 2023 - Valor Real'!A3:A15,'Janeiro 2023 - Valor Real'!C3:C15,0))+O761,(O761*L761-O761)*(1-_xlfn.XLOOKUP(K761,'Janeiro 2023 - Valor Real'!A3:A15,'Janeiro 2023 - Valor Real'!C3:C15,0))+O761))))</f>
        <v>43.6</v>
      </c>
      <c r="Q761" s="279">
        <f>IF(K761="","",IF(_xlfn.XLOOKUP(K761,K$120:K540,DJ$120:DJ540,0,,-1)=DJ761,_xlfn.XLOOKUP(K761,K$120:K540,Q$120:Q540,1,,-1)+1,1))</f>
        <v>1</v>
      </c>
      <c r="R761" s="280">
        <f>IF(K761="","",_xlfn.XLOOKUP(K761,K$120:K540,R$120:R540,0,,-1)+IF($C761=" ",1,0))</f>
        <v>0</v>
      </c>
      <c r="S761" s="125"/>
      <c r="T761" s="126"/>
      <c r="U761" s="126"/>
      <c r="V761" s="224"/>
      <c r="W761" s="126"/>
      <c r="X761" s="127"/>
      <c r="Y761" s="128"/>
      <c r="Z761" s="129"/>
      <c r="AA761" s="129"/>
      <c r="AB761" s="129"/>
      <c r="AC761" s="129"/>
      <c r="AD761" s="130"/>
      <c r="AE761" s="131">
        <f>IF(L761="","",IF(L762&gt;0,(SUM(((L760-1)*(1-_xlfn.XLOOKUP(K760,'Janeiro 2023 - Valor Real'!A3:A15,'Janeiro 2023 - Valor Real'!C3:C15,0))+1),((L761-1)*(1-_xlfn.XLOOKUP(K761,'Janeiro 2023 - Valor Real'!A3:A15,'Janeiro 2023 - Valor Real'!C3:C15,0))+1),((L762-1)*(1-_xlfn.XLOOKUP(K762,'Janeiro 2023 - Valor Real'!A3:A15,'Janeiro 2023 - Valor Real'!C3:C15,0))+1))/((L761-1)*(1-_xlfn.XLOOKUP(K761,'Janeiro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Real'!C3:C15,0))+1))/((L760-1)*(1-_xlfn.XLOOKUP(K760,'Janeiro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Real'!C3:C15,0))+1))/((L761-1)*(1-_xlfn.XLOOKUP(K761,'Janeiro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Real'!C3:C15,0))+1))/((L762-1)*(1-_xlfn.XLOOKUP(K762,'Janeiro 2023 - Valor Real'!A3:A15,'Janeiro 2023 - Valor Real'!C3:C15,0))+1)),IF(I761="Lay",IF(I760="Lay",((L760/(L760-1)-1)*(1-_xlfn.XLOOKUP(K760,'Janeiro 2023 - Valor Real'!A3:A15,'Janeiro 2023 - Valor Real'!C3:C15,0))+1)/(((L760/(L760-1)-1)*(1-_xlfn.XLOOKUP(K760,'Janeiro 2023 - Valor Real'!A3:A15,'Janeiro 2023 - Valor Real'!C3:C15,0))+1)+((L761/(L761-1)-1)*(1-_xlfn.XLOOKUP(K761,'Janeiro 2023 - Valor Real'!A3:A15,'Janeiro 2023 - Valor Real'!C3:C15,0))+1)),((L760-1)*(1-_xlfn.XLOOKUP(K760,'Janeiro 2023 - Valor Real'!A3:A15,'Janeiro 2023 - Valor Real'!C3:C15,0))+1)/(((L760-1)*(1-_xlfn.XLOOKUP(K760,'Janeiro 2023 - Valor Real'!A3:A15,'Janeiro 2023 - Valor Real'!C3:C15,0))+1)+((L761/(L761-1)-1)*(1-_xlfn.XLOOKUP(K761,'Janeiro 2023 - Valor Real'!A3:A15,'Janeiro 2023 - Valor Real'!C3:C15,0))+1))),IF(I760="Lay",((L760/(L760-1)-1)*(1-_xlfn.XLOOKUP(K760,'Janeiro 2023 - Valor Real'!A3:A15,'Janeiro 2023 - Valor Real'!C3:C15,0))+1)/((((L760/(L760-1)-1)*(1-_xlfn.XLOOKUP(K760,'Janeiro 2023 - Valor Real'!A3:A15,'Janeiro 2023 - Valor Real'!C3:C15,0))+1))+((L761-1)*(1-_xlfn.XLOOKUP(K761,'Janeiro 2023 - Valor Real'!A3:A15,'Janeiro 2023 - Valor Real'!C3:C15,0))+1)),((L760-1)*(1-_xlfn.XLOOKUP(K760,'Janeiro 2023 - Valor Real'!A3:A15,'Janeiro 2023 - Valor Real'!C3:C15,0))+1)/(((L760-1)*(1-_xlfn.XLOOKUP(K760,'Janeiro 2023 - Valor Real'!A3:A15,'Janeiro 2023 - Valor Real'!C3:C15,0))+1)+((L761-1)*(1-_xlfn.XLOOKUP(K761,'Janeiro 2023 - Valor Real'!A3:A15,'Janeiro 2023 - Valor Real'!C3:C15,0))+1))))))</f>
        <v>0.404255319148936</v>
      </c>
      <c r="AF761" s="132">
        <f>IF($K761=AF$3,ROUND(IF(OR($C761="W",$C761="1/2W",$C761="1/2L"),$P761-$O761,IF($C761="X",0,-$O761)),2),0)</f>
        <v>0</v>
      </c>
      <c r="AG761" s="133">
        <f>IF($K761=AG$3,ROUND(IF(OR($C761="W",$C761="1/2W",$C761="1/2L"),$P761-$O761,IF($C761="X",0,-$O761)),2),0)</f>
        <v>21.8</v>
      </c>
      <c r="AH761" s="133">
        <f>IF($K761=AH$3,ROUND(IF(OR($C761="W",$C761="1/2W",$C761="1/2L"),$P761-$O761,IF($C761="X",0,-$O761)),2),0)</f>
        <v>0</v>
      </c>
      <c r="AI761" s="133">
        <f>IF($K761=AI$3,ROUND(IF(OR($C761="W",$C761="1/2W",$C761="1/2L"),$P761-$O761,IF($C761="X",0,-$O761)),2),0)</f>
        <v>0</v>
      </c>
      <c r="AJ761" s="133">
        <f>IF($K761=AJ$3,ROUND(IF(OR($C761="W",$C761="1/2W",$C761="1/2L"),$P761-$O761,IF($C761="X",0,-$O761)),2),0)</f>
        <v>0</v>
      </c>
      <c r="AK761" s="133">
        <f>IF($K761=AK$3,ROUND(IF(OR($C761="W",$C761="1/2W",$C761="1/2L"),$P761-$O761,IF($C761="X",0,-$O761)),2),0)</f>
        <v>0</v>
      </c>
      <c r="AL761" s="133">
        <f>IF($K761=AL$3,ROUND(IF(OR($C761="W",$C761="1/2W",$C761="1/2L"),$P761-$O761,IF($C761="X",0,-$O761)),2),0)</f>
        <v>0</v>
      </c>
      <c r="AM761" s="133">
        <f>IF($K761=AM$3,ROUND(IF(OR($C761="W",$C761="1/2W",$C761="1/2L"),$P761-$O761,IF($C761="X",0,-$O761)),2),0)</f>
        <v>0</v>
      </c>
      <c r="AN761" s="133">
        <f>IF($K761=AN$3,ROUND(IF(OR($C761="W",$C761="1/2W",$C761="1/2L"),$P761-$O761,IF($C761="X",0,-$O761)),2),0)</f>
        <v>0</v>
      </c>
      <c r="AO761" s="133">
        <f>IF($K761=AO$3,ROUND(IF(OR($C761="W",$C761="1/2W",$C761="1/2L"),$P761-$O761,IF($C761="X",0,-$O761)),2),0)</f>
        <v>0</v>
      </c>
      <c r="AP761" s="133">
        <f>IF($K761=AP$3,ROUND(IF(OR($C761="W",$C761="1/2W",$C761="1/2L"),$P761-$O761,IF($C761="X",0,-$O761)),2),0)</f>
        <v>0</v>
      </c>
      <c r="AQ761" s="133">
        <f>IF($K761=AQ$3,ROUND(IF(OR($C761="W",$C761="1/2W",$C761="1/2L"),$P761-$O761,IF($C761="X",0,-$O761)),2),0)</f>
        <v>0</v>
      </c>
      <c r="AR761" s="134">
        <f>IF($K761=AR$3,ROUND(IF(OR($C761="W",$C761="1/2W",$C761="1/2L"),$P761-$O761,IF($C761="X",0,-$O761)),2),0)</f>
        <v>0</v>
      </c>
      <c r="AS761" s="132">
        <f>IF(AND($B760=" ",$K761=AS$3),$O761,0)</f>
        <v>0</v>
      </c>
      <c r="AT761" s="133">
        <f>IF(AND($B760=" ",K761=AT$3),$O761,0)</f>
        <v>0</v>
      </c>
      <c r="AU761" s="133">
        <f>IF(AND($B760=" ",$K761=AU$3),$O761,0)</f>
        <v>0</v>
      </c>
      <c r="AV761" s="133">
        <f>IF(AND($B760=" ",$K761=AV$3),$O761,0)</f>
        <v>0</v>
      </c>
      <c r="AW761" s="133">
        <f>IF(AND($B760=" ",$K761=AW$3),$O761,0)</f>
        <v>0</v>
      </c>
      <c r="AX761" s="133">
        <f>IF(AND($B760=" ",$K761=AX$3),$O761,0)</f>
        <v>0</v>
      </c>
      <c r="AY761" s="135">
        <f>IF(AND($B760=" ",$K761=AY$3),$O761,0)</f>
        <v>0</v>
      </c>
      <c r="AZ761" s="136">
        <f>IF(AND($B760=" ",$K761=AZ$3),$O761,0)</f>
        <v>0</v>
      </c>
      <c r="BA761" s="136">
        <f>IF(AND($B760=" ",$K761=BA$3),$O761,0)</f>
        <v>0</v>
      </c>
      <c r="BB761" s="136">
        <f>IF(AND($B760=" ",$K761=BB$3),$O761,0)</f>
        <v>0</v>
      </c>
      <c r="BC761" s="137">
        <f>IF(AND($B760=" ",$K761=BC$3),$O761,0)</f>
        <v>0</v>
      </c>
      <c r="BD761" s="133">
        <f>IF(AND($B760=" ",$K761=BD$3),$O761,0)</f>
        <v>0</v>
      </c>
      <c r="BE761" s="134">
        <f>IF(AND($B760=" ",$K761=BE$3),$O761,0)</f>
        <v>0</v>
      </c>
      <c r="BF761" s="132">
        <f>IF($K761=BF$3,IF($C761="X",0,$O761),0)</f>
        <v>0</v>
      </c>
      <c r="BG761" s="281">
        <f>IF($K761=BG$3,IF($C761="X",0,$O761),0)</f>
        <v>21.8</v>
      </c>
      <c r="BH761" s="133">
        <f>IF($K761=BH$3,IF($C761="X",0,$O761),0)</f>
        <v>0</v>
      </c>
      <c r="BI761" s="133">
        <f>IF($K761=BI$3,IF($C761="X",0,$O761),0)</f>
        <v>0</v>
      </c>
      <c r="BJ761" s="133">
        <f>IF($K761=BJ$3,IF($C761="X",0,$O761),0)</f>
        <v>0</v>
      </c>
      <c r="BK761" s="133">
        <f>IF($K761=BK$3,IF($C761="X",0,$O761),0)</f>
        <v>0</v>
      </c>
      <c r="BL761" s="133">
        <f>IF($K761=BL$3,IF($C761="X",0,$O761),0)</f>
        <v>0</v>
      </c>
      <c r="BM761" s="135">
        <f>IF($K761=BM$3,IF($C761="X",0,$O761),0)</f>
        <v>0</v>
      </c>
      <c r="BN761" s="136">
        <f>IF($K761=BN$3,IF($C761="X",0,$O761),0)</f>
        <v>0</v>
      </c>
      <c r="BO761" s="136">
        <f>IF($K761=BO$3,IF($C761="X",0,$O761),0)</f>
        <v>0</v>
      </c>
      <c r="BP761" s="136">
        <f>IF($K761=BP$3,IF($C761="X",0,$O761),0)</f>
        <v>0</v>
      </c>
      <c r="BQ761" s="137">
        <f>IF($K761=BQ$3,IF($C761="X",0,$O761),0)</f>
        <v>0</v>
      </c>
      <c r="BR761" s="134">
        <f>IF($K761=BR$3,IF($C761="X",0,$O761),0)</f>
        <v>0</v>
      </c>
      <c r="BS761" s="282"/>
      <c r="BT761" s="283"/>
      <c r="BU761" s="140"/>
      <c r="BV761" s="283"/>
      <c r="BW761" s="140"/>
      <c r="BX761" s="140"/>
      <c r="BY761" s="140"/>
      <c r="BZ761" s="283"/>
      <c r="CA761" s="140"/>
      <c r="CB761" s="140"/>
      <c r="CC761" s="140"/>
      <c r="CD761" s="141"/>
      <c r="CE761" s="142"/>
      <c r="CF761" s="284">
        <f>IF(CF$3=$K761,IF($C761="W",1,IF($C761="1/2W",0.5,0)),0)</f>
        <v>0</v>
      </c>
      <c r="CG761" s="285">
        <f>IF(CF$3=$K761,IF($C761="L",1,IF($C761="1/2L",0.5,0)),0)</f>
        <v>0</v>
      </c>
      <c r="CH761" s="285">
        <f>IF(CH$3=$K761,IF($C761="W",1,IF($C761="1/2W",0.5,0)),0)</f>
        <v>1</v>
      </c>
      <c r="CI761" s="285">
        <f>IF(CH$3=$K761,IF($C761="L",1,IF($C761="1/2L",0.5,0)),0)</f>
        <v>0</v>
      </c>
      <c r="CJ761" s="285">
        <f>IF(CJ$3=$K761,IF($C761="W",1,IF($C761="1/2W",0.5,0)),0)</f>
        <v>0</v>
      </c>
      <c r="CK761" s="285">
        <f>IF(CJ$3=$K761,IF($C761="L",1,IF($C761="1/2L",0.5,0)),0)</f>
        <v>0</v>
      </c>
      <c r="CL761" s="285">
        <f>IF(CL$3=$K761,IF($C761="W",1,IF($C761="1/2W",0.5,0)),0)</f>
        <v>0</v>
      </c>
      <c r="CM761" s="285">
        <f>IF(CL$3=$K761,IF($C761="L",1,IF($C761="1/2L",0.5,0)),0)</f>
        <v>0</v>
      </c>
      <c r="CN761" s="285">
        <f>IF(CN$3=$K761,IF($C761="W",1,IF($C761="1/2W",0.5,0)),0)</f>
        <v>0</v>
      </c>
      <c r="CO761" s="285">
        <f>IF(CN$3=$K761,IF($C761="L",1,IF($C761="1/2L",0.5,0)),0)</f>
        <v>0</v>
      </c>
      <c r="CP761" s="285">
        <f>IF(CP$3=$K761,IF($C761="W",1,IF($C761="1/2W",0.5,0)),0)</f>
        <v>0</v>
      </c>
      <c r="CQ761" s="285">
        <f>IF(CP$3=$K761,IF($C761="L",1,IF($C761="1/2L",0.5,0)),0)</f>
        <v>0</v>
      </c>
      <c r="CR761" s="285">
        <f>IF(CR$3=$K761,IF($C761="W",1,IF($C761="1/2W",0.5,0)),0)</f>
        <v>0</v>
      </c>
      <c r="CS761" s="285">
        <f>IF(CR$3=$K761,IF($C761="L",1,IF($C761="1/2L",0.5,0)),0)</f>
        <v>0</v>
      </c>
      <c r="CT761" s="145">
        <f>IF(CT$3=$K761,IF($C761="W",1,IF($C761="1/2W",0.5,0)),0)</f>
        <v>0</v>
      </c>
      <c r="CU761" s="146">
        <f>IF(CT$3=$K761,IF($C761="L",1,IF($C761="1/2L",0.5,0)),0)</f>
        <v>0</v>
      </c>
      <c r="CV761" s="146">
        <f>IF(CV$3=$K761,IF($C761="W",1,IF($C761="1/2W",0.5,0)),0)</f>
        <v>0</v>
      </c>
      <c r="CW761" s="146">
        <f>IF(CV$3=$K761,IF($C761="L",1,IF($C761="1/2L",0.5,0)),0)</f>
        <v>0</v>
      </c>
      <c r="CX761" s="146">
        <f>IF(CX$3=$K761,IF($C761="W",1,IF($C761="1/2W",0.5,0)),0)</f>
        <v>0</v>
      </c>
      <c r="CY761" s="146">
        <f>IF(CX$3=$K761,IF($C761="L",1,IF($C761="1/2L",0.5,0)),0)</f>
        <v>0</v>
      </c>
      <c r="CZ761" s="146">
        <f>IF(CZ$3=$K761,IF($C761="W",1,IF($C761="1/2W",0.5,0)),0)</f>
        <v>0</v>
      </c>
      <c r="DA761" s="146">
        <f>IF(CZ$3=$K761,IF($C761="L",1,IF($C761="1/2L",0.5,0)),0)</f>
        <v>0</v>
      </c>
      <c r="DB761" s="146">
        <f>IF(DB$3=$K761,IF($C761="W",1,IF($C761="1/2W",0.5,0)),0)</f>
        <v>0</v>
      </c>
      <c r="DC761" s="146">
        <f>IF(DB$3=$K761,IF($C761="L",1,IF($C761="1/2L",0.5,0)),0)</f>
        <v>0</v>
      </c>
      <c r="DD761" s="146">
        <f>IF(DD$3=$K761,IF($C761="W",1,IF($C761="1/2W",0.5,0)),0)</f>
        <v>0</v>
      </c>
      <c r="DE761" s="147">
        <f>IF(DD$3=$K761,IF($C761="L",1,IF($C761="1/2L",0.5,0)),0)</f>
        <v>0</v>
      </c>
      <c r="DF761" s="143">
        <f>IF(AND(L761&lt;DF$3,$C761="W"),1+DF760,DF760)</f>
        <v>22</v>
      </c>
      <c r="DG761" s="133">
        <f>IF(DF761&gt;DF760,L761+DG760,DG760)</f>
        <v>29.404</v>
      </c>
      <c r="DH761" s="146">
        <f>IF(AND(L761&gt;DH$3,$C761="W"),1+DH760,0+DH760)</f>
        <v>19</v>
      </c>
      <c r="DI761" s="133">
        <f>IF(DH761&gt;DH760,L761+DI760,DI760)</f>
        <v>98.11</v>
      </c>
      <c r="DJ761" t="s" s="304">
        <f>IF($D760="","",$D760)</f>
        <v>481</v>
      </c>
      <c r="DK761" s="286"/>
    </row>
    <row r="762" ht="14.55" customHeight="1">
      <c r="A762" s="149"/>
      <c r="B762" s="150"/>
      <c r="C762" t="s" s="151">
        <v>56</v>
      </c>
      <c r="D762" s="152"/>
      <c r="E762" s="153"/>
      <c r="F762" s="155"/>
      <c r="G762" s="252"/>
      <c r="H762" s="156"/>
      <c r="I762" t="s" s="347">
        <v>140</v>
      </c>
      <c r="J762" s="348">
        <v>-1</v>
      </c>
      <c r="K762" t="s" s="341">
        <v>38</v>
      </c>
      <c r="L762" s="342">
        <v>4.75</v>
      </c>
      <c r="M762" s="290">
        <v>3.27</v>
      </c>
      <c r="N762" s="161"/>
      <c r="O762" s="343">
        <f>IF(OR(AE760="",AE761=""),"",IF(L762&gt;0,ROUND(IF(M762&gt;0,M762,IF(M760&gt;0,ROUND((M760*AE762)/AE760,IF(N760=0,2,IF(N760=0.1,1,0))),IF(M761&gt;0,ROUND((M761*AE762)/AE761,IF(N760=0,2,IF(N760=0.1,1,0))),IF(M762&gt;0,M762,0)))),2),""))</f>
        <v>3.27</v>
      </c>
      <c r="P762" s="297">
        <f>IF(I761="Lay",O761*(L761/(L761-1))-O761,IF(I760="Lay",O760*(L760/(L760-1))-O760,IF(OR(L762="",O762=""),"",IF($C762="1/2W",O762/2+O762/2*L762,IF($C762="1/2L",O762/2,(O762*L762-O762)*(1-_xlfn.XLOOKUP(K762,'Janeiro 2023 - Valor Real'!A3:A15,'Janeiro 2023 - Valor Real'!C3:C15,0))+O762)))))</f>
        <v>15.5325</v>
      </c>
      <c r="Q762" s="344">
        <f>IF(K762="","",IF(_xlfn.XLOOKUP(K762,K$121:K541,DJ$121:DJ541,0,,-1)=DJ762,_xlfn.XLOOKUP(K762,K$121:K541,Q$121:Q541,1,,-1)+1,1))</f>
        <v>1</v>
      </c>
      <c r="R762" s="345">
        <f>IF(K762="","",_xlfn.XLOOKUP(K762,K$121:K541,R$121:R541,0,,-1)+IF($C762=" ",1,0))</f>
        <v>0</v>
      </c>
      <c r="S762" s="166"/>
      <c r="T762" s="155"/>
      <c r="U762" s="155"/>
      <c r="V762" s="166"/>
      <c r="W762" s="155"/>
      <c r="X762" s="167"/>
      <c r="Y762" s="128"/>
      <c r="Z762" s="129"/>
      <c r="AA762" s="129"/>
      <c r="AB762" s="129"/>
      <c r="AC762" s="129"/>
      <c r="AD762" s="168"/>
      <c r="AE762" s="346">
        <f>IF(L762="","",(SUM(((L760-1)*(1-_xlfn.XLOOKUP(K760,'Janeiro 2023 - Valor Real'!A3:A15,'Janeiro 2023 - Valor Real'!C3:C15,0))+1),((L761-1)*(1-_xlfn.XLOOKUP(K761,'Janeiro 2023 - Valor Real'!A3:A15,'Janeiro 2023 - Valor Real'!C3:C15,0))+1),((L762-1)*(1-_xlfn.XLOOKUP(K762,'Janeiro 2023 - Valor Real'!A3:A15,'Janeiro 2023 - Valor Real'!C3:C15,0))+1))/((L762-1)*(1-_xlfn.XLOOKUP(K762,'Janeiro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Real'!C3:C15,0))+1))/((L760-1)*(1-_xlfn.XLOOKUP(K760,'Janeiro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Real'!C3:C15,0))+1))/((L761-1)*(1-_xlfn.XLOOKUP(K761,'Janeiro 2023 - Valor Real'!A3:A15,'Janeiro 2023 - Valor Real'!C3:C15,0))+1)+SUM(((L760-1)*(1-_xlfn.XLOOKUP(K760,'Janeiro 2023 - Valor Real'!A3:A15,'Janeiro 2023 - Valor Real'!C3:C15,0))+1),((L761-1)*(1-_xlfn.XLOOKUP(K761,'Janeiro 2023 - Valor Real'!A3:A15,'Janeiro 2023 - Valor Real'!C3:C15,0))+1),((L762-1)*(1-_xlfn.XLOOKUP(K762,'Janeiro 2023 - Valor Real'!A3:A15,'Janeiro 2023 - Valor Real'!C3:C15,0))+1))/((L762-1)*(1-_xlfn.XLOOKUP(K762,'Janeiro 2023 - Valor Real'!A3:A15,'Janeiro 2023 - Valor Real'!C3:C15,0))+1)))</f>
        <v>0.170212765957447</v>
      </c>
      <c r="AF762" s="132">
        <f>IF($K762=AF$3,ROUND(IF(OR($C762="W",$C762="1/2W",$C762="1/2L"),$P762-$O762,IF($C762="X",0,-$O762)),2),0)</f>
        <v>0</v>
      </c>
      <c r="AG762" s="133">
        <f>IF($K762=AG$3,ROUND(IF(OR($C762="W",$C762="1/2W",$C762="1/2L"),$P762-$O762,IF($C762="X",0,-$O762)),2),0)</f>
        <v>12.26</v>
      </c>
      <c r="AH762" s="133">
        <f>IF($K762=AH$3,ROUND(IF(OR($C762="W",$C762="1/2W",$C762="1/2L"),$P762-$O762,IF($C762="X",0,-$O762)),2),0)</f>
        <v>0</v>
      </c>
      <c r="AI762" s="133">
        <f>IF($K762=AI$3,ROUND(IF(OR($C762="W",$C762="1/2W",$C762="1/2L"),$P762-$O762,IF($C762="X",0,-$O762)),2),0)</f>
        <v>0</v>
      </c>
      <c r="AJ762" s="133">
        <f>IF($K762=AJ$3,ROUND(IF(OR($C762="W",$C762="1/2W",$C762="1/2L"),$P762-$O762,IF($C762="X",0,-$O762)),2),0)</f>
        <v>0</v>
      </c>
      <c r="AK762" s="133">
        <f>IF($K762=AK$3,ROUND(IF(OR($C762="W",$C762="1/2W",$C762="1/2L"),$P762-$O762,IF($C762="X",0,-$O762)),2),0)</f>
        <v>0</v>
      </c>
      <c r="AL762" s="133">
        <f>IF($K762=AL$3,ROUND(IF(OR($C762="W",$C762="1/2W",$C762="1/2L"),$P762-$O762,IF($C762="X",0,-$O762)),2),0)</f>
        <v>0</v>
      </c>
      <c r="AM762" s="133">
        <f>IF($K762=AM$3,ROUND(IF(OR($C762="W",$C762="1/2W",$C762="1/2L"),$P762-$O762,IF($C762="X",0,-$O762)),2),0)</f>
        <v>0</v>
      </c>
      <c r="AN762" s="133">
        <f>IF($K762=AN$3,ROUND(IF(OR($C762="W",$C762="1/2W",$C762="1/2L"),$P762-$O762,IF($C762="X",0,-$O762)),2),0)</f>
        <v>0</v>
      </c>
      <c r="AO762" s="133">
        <f>IF($K762=AO$3,ROUND(IF(OR($C762="W",$C762="1/2W",$C762="1/2L"),$P762-$O762,IF($C762="X",0,-$O762)),2),0)</f>
        <v>0</v>
      </c>
      <c r="AP762" s="133">
        <f>IF($K762=AP$3,ROUND(IF(OR($C762="W",$C762="1/2W",$C762="1/2L"),$P762-$O762,IF($C762="X",0,-$O762)),2),0)</f>
        <v>0</v>
      </c>
      <c r="AQ762" s="133">
        <f>IF($K762=AQ$3,ROUND(IF(OR($C762="W",$C762="1/2W",$C762="1/2L"),$P762-$O762,IF($C762="X",0,-$O762)),2),0)</f>
        <v>0</v>
      </c>
      <c r="AR762" s="134">
        <f>IF($K762=AR$3,ROUND(IF(OR($C762="W",$C762="1/2W",$C762="1/2L"),$P762-$O762,IF($C762="X",0,-$O762)),2),0)</f>
        <v>0</v>
      </c>
      <c r="AS762" s="132">
        <f>IF(AND($B760=" ",$K762=AS$3),$O762,0)</f>
        <v>0</v>
      </c>
      <c r="AT762" s="133">
        <f>IF(AND($B760=" ",K762=AT$3),$O762,0)</f>
        <v>0</v>
      </c>
      <c r="AU762" s="133">
        <f>IF(AND($B760=" ",$K762=AU$3),$O762,0)</f>
        <v>0</v>
      </c>
      <c r="AV762" s="133">
        <f>IF(AND($B760=" ",$K762=AV$3),$O762,0)</f>
        <v>0</v>
      </c>
      <c r="AW762" s="133">
        <f>IF(AND($B760=" ",$K762=AW$3),$O762,0)</f>
        <v>0</v>
      </c>
      <c r="AX762" s="133">
        <f>IF(AND($B760=" ",$K762=AX$3),$O762,0)</f>
        <v>0</v>
      </c>
      <c r="AY762" s="135">
        <f>IF(AND($B760=" ",$K762=AY$3),$O762,0)</f>
        <v>0</v>
      </c>
      <c r="AZ762" s="136">
        <f>IF(AND($B760=" ",$K762=AZ$3),$O762,0)</f>
        <v>0</v>
      </c>
      <c r="BA762" s="136">
        <f>IF(AND($B760=" ",$K762=BA$3),$O762,0)</f>
        <v>0</v>
      </c>
      <c r="BB762" s="136">
        <f>IF(AND($B760=" ",$K762=BB$3),$O762,0)</f>
        <v>0</v>
      </c>
      <c r="BC762" s="137">
        <f>IF(AND($B760=" ",$K762=BC$3),$O762,0)</f>
        <v>0</v>
      </c>
      <c r="BD762" s="133">
        <f>IF(AND($B760=" ",$K762=BD$3),$O762,0)</f>
        <v>0</v>
      </c>
      <c r="BE762" s="134">
        <f>IF(AND($B760=" ",$K762=BE$3),$O762,0)</f>
        <v>0</v>
      </c>
      <c r="BF762" s="132">
        <f>IF($K762=BF$3,IF($C762="X",0,$O762),0)</f>
        <v>0</v>
      </c>
      <c r="BG762" s="281">
        <f>IF($K762=BG$3,IF($C762="X",0,$O762),0)</f>
        <v>3.27</v>
      </c>
      <c r="BH762" s="133">
        <f>IF($K762=BH$3,IF($C762="X",0,$O762),0)</f>
        <v>0</v>
      </c>
      <c r="BI762" s="133">
        <f>IF($K762=BI$3,IF($C762="X",0,$O762),0)</f>
        <v>0</v>
      </c>
      <c r="BJ762" s="133">
        <f>IF($K762=BJ$3,IF($C762="X",0,$O762),0)</f>
        <v>0</v>
      </c>
      <c r="BK762" s="133">
        <f>IF($K762=BK$3,IF($C762="X",0,$O762),0)</f>
        <v>0</v>
      </c>
      <c r="BL762" s="133">
        <f>IF($K762=BL$3,IF($C762="X",0,$O762),0)</f>
        <v>0</v>
      </c>
      <c r="BM762" s="135">
        <f>IF($K762=BM$3,IF($C762="X",0,$O762),0)</f>
        <v>0</v>
      </c>
      <c r="BN762" s="136">
        <f>IF($K762=BN$3,IF($C762="X",0,$O762),0)</f>
        <v>0</v>
      </c>
      <c r="BO762" s="136">
        <f>IF($K762=BO$3,IF($C762="X",0,$O762),0)</f>
        <v>0</v>
      </c>
      <c r="BP762" s="136">
        <f>IF($K762=BP$3,IF($C762="X",0,$O762),0)</f>
        <v>0</v>
      </c>
      <c r="BQ762" s="137">
        <f>IF($K762=BQ$3,IF($C762="X",0,$O762),0)</f>
        <v>0</v>
      </c>
      <c r="BR762" s="134">
        <f>IF($K762=BR$3,IF($C762="X",0,$O762),0)</f>
        <v>0</v>
      </c>
      <c r="BS762" s="282"/>
      <c r="BT762" s="283"/>
      <c r="BU762" s="140"/>
      <c r="BV762" s="283"/>
      <c r="BW762" s="140"/>
      <c r="BX762" s="140"/>
      <c r="BY762" s="140"/>
      <c r="BZ762" s="283"/>
      <c r="CA762" s="140"/>
      <c r="CB762" s="140"/>
      <c r="CC762" s="140"/>
      <c r="CD762" s="141"/>
      <c r="CE762" s="142"/>
      <c r="CF762" s="284">
        <f>IF(CF$3=$K762,IF($C762="W",1,IF($C762="1/2W",0.5,0)),0)</f>
        <v>0</v>
      </c>
      <c r="CG762" s="285">
        <f>IF(CF$3=$K762,IF($C762="L",1,IF($C762="1/2L",0.5,0)),0)</f>
        <v>0</v>
      </c>
      <c r="CH762" s="285">
        <f>IF(CH$3=$K762,IF($C762="W",1,IF($C762="1/2W",0.5,0)),0)</f>
        <v>1</v>
      </c>
      <c r="CI762" s="285">
        <f>IF(CH$3=$K762,IF($C762="L",1,IF($C762="1/2L",0.5,0)),0)</f>
        <v>0</v>
      </c>
      <c r="CJ762" s="285">
        <f>IF(CJ$3=$K762,IF($C762="W",1,IF($C762="1/2W",0.5,0)),0)</f>
        <v>0</v>
      </c>
      <c r="CK762" s="285">
        <f>IF(CJ$3=$K762,IF($C762="L",1,IF($C762="1/2L",0.5,0)),0)</f>
        <v>0</v>
      </c>
      <c r="CL762" s="285">
        <f>IF(CL$3=$K762,IF($C762="W",1,IF($C762="1/2W",0.5,0)),0)</f>
        <v>0</v>
      </c>
      <c r="CM762" s="285">
        <f>IF(CL$3=$K762,IF($C762="L",1,IF($C762="1/2L",0.5,0)),0)</f>
        <v>0</v>
      </c>
      <c r="CN762" s="285">
        <f>IF(CN$3=$K762,IF($C762="W",1,IF($C762="1/2W",0.5,0)),0)</f>
        <v>0</v>
      </c>
      <c r="CO762" s="285">
        <f>IF(CN$3=$K762,IF($C762="L",1,IF($C762="1/2L",0.5,0)),0)</f>
        <v>0</v>
      </c>
      <c r="CP762" s="285">
        <f>IF(CP$3=$K762,IF($C762="W",1,IF($C762="1/2W",0.5,0)),0)</f>
        <v>0</v>
      </c>
      <c r="CQ762" s="285">
        <f>IF(CP$3=$K762,IF($C762="L",1,IF($C762="1/2L",0.5,0)),0)</f>
        <v>0</v>
      </c>
      <c r="CR762" s="285">
        <f>IF(CR$3=$K762,IF($C762="W",1,IF($C762="1/2W",0.5,0)),0)</f>
        <v>0</v>
      </c>
      <c r="CS762" s="285">
        <f>IF(CR$3=$K762,IF($C762="L",1,IF($C762="1/2L",0.5,0)),0)</f>
        <v>0</v>
      </c>
      <c r="CT762" s="145">
        <f>IF(CT$3=$K762,IF($C762="W",1,IF($C762="1/2W",0.5,0)),0)</f>
        <v>0</v>
      </c>
      <c r="CU762" s="146">
        <f>IF(CT$3=$K762,IF($C762="L",1,IF($C762="1/2L",0.5,0)),0)</f>
        <v>0</v>
      </c>
      <c r="CV762" s="146">
        <f>IF(CV$3=$K762,IF($C762="W",1,IF($C762="1/2W",0.5,0)),0)</f>
        <v>0</v>
      </c>
      <c r="CW762" s="146">
        <f>IF(CV$3=$K762,IF($C762="L",1,IF($C762="1/2L",0.5,0)),0)</f>
        <v>0</v>
      </c>
      <c r="CX762" s="146">
        <f>IF(CX$3=$K762,IF($C762="W",1,IF($C762="1/2W",0.5,0)),0)</f>
        <v>0</v>
      </c>
      <c r="CY762" s="146">
        <f>IF(CX$3=$K762,IF($C762="L",1,IF($C762="1/2L",0.5,0)),0)</f>
        <v>0</v>
      </c>
      <c r="CZ762" s="146">
        <f>IF(CZ$3=$K762,IF($C762="W",1,IF($C762="1/2W",0.5,0)),0)</f>
        <v>0</v>
      </c>
      <c r="DA762" s="146">
        <f>IF(CZ$3=$K762,IF($C762="L",1,IF($C762="1/2L",0.5,0)),0)</f>
        <v>0</v>
      </c>
      <c r="DB762" s="146">
        <f>IF(DB$3=$K762,IF($C762="W",1,IF($C762="1/2W",0.5,0)),0)</f>
        <v>0</v>
      </c>
      <c r="DC762" s="146">
        <f>IF(DB$3=$K762,IF($C762="L",1,IF($C762="1/2L",0.5,0)),0)</f>
        <v>0</v>
      </c>
      <c r="DD762" s="146">
        <f>IF(DD$3=$K762,IF($C762="W",1,IF($C762="1/2W",0.5,0)),0)</f>
        <v>0</v>
      </c>
      <c r="DE762" s="147">
        <f>IF(DD$3=$K762,IF($C762="L",1,IF($C762="1/2L",0.5,0)),0)</f>
        <v>0</v>
      </c>
      <c r="DF762" s="143">
        <f>IF(AND(L762&lt;DF$3,$C762="W"),1+DF761,DF761)</f>
        <v>22</v>
      </c>
      <c r="DG762" s="133">
        <f>IF(DF762&gt;DF761,L762+DG761,DG761)</f>
        <v>29.404</v>
      </c>
      <c r="DH762" s="146">
        <f>IF(AND(L762&gt;DH$3,$C762="W"),1+DH761,0+DH761)</f>
        <v>20</v>
      </c>
      <c r="DI762" s="133">
        <f>IF(DH762&gt;DH761,L762+DI761,DI761)</f>
        <v>102.86</v>
      </c>
      <c r="DJ762" t="s" s="304">
        <f>IF($D760="","",$D760)</f>
        <v>481</v>
      </c>
      <c r="DK762" s="286"/>
    </row>
  </sheetData>
  <mergeCells count="8395">
    <mergeCell ref="A1:DK1"/>
    <mergeCell ref="D4:D6"/>
    <mergeCell ref="G4:G6"/>
    <mergeCell ref="T4:T6"/>
    <mergeCell ref="U4:U6"/>
    <mergeCell ref="Y4:Y6"/>
    <mergeCell ref="Z4:Z6"/>
    <mergeCell ref="E4:E6"/>
    <mergeCell ref="H4:H6"/>
    <mergeCell ref="AB4:AB6"/>
    <mergeCell ref="W4:W6"/>
    <mergeCell ref="V4:V6"/>
    <mergeCell ref="A4:A6"/>
    <mergeCell ref="BZ4:BZ6"/>
    <mergeCell ref="BV4:BV6"/>
    <mergeCell ref="BS4:BS6"/>
    <mergeCell ref="DK4:DK6"/>
    <mergeCell ref="BU4:BU6"/>
    <mergeCell ref="BT4:BT6"/>
    <mergeCell ref="AC4:AC6"/>
    <mergeCell ref="F4:F6"/>
    <mergeCell ref="CD4:CD6"/>
    <mergeCell ref="S4:S6"/>
    <mergeCell ref="BW4:BW6"/>
    <mergeCell ref="BX4:BX6"/>
    <mergeCell ref="N4:N6"/>
    <mergeCell ref="BY4:BY6"/>
    <mergeCell ref="CB4:CB6"/>
    <mergeCell ref="CE4:CE6"/>
    <mergeCell ref="AF2:AR2"/>
    <mergeCell ref="AS2:BE2"/>
    <mergeCell ref="BF2:BR2"/>
    <mergeCell ref="BS2:CE2"/>
    <mergeCell ref="CF2:DE2"/>
    <mergeCell ref="CF3:CG3"/>
    <mergeCell ref="CH3:CI3"/>
    <mergeCell ref="CJ3:CK3"/>
    <mergeCell ref="CL3:CM3"/>
    <mergeCell ref="CN3:CO3"/>
    <mergeCell ref="CP3:CQ3"/>
    <mergeCell ref="CR3:CS3"/>
    <mergeCell ref="CT3:CU3"/>
    <mergeCell ref="CX3:CY3"/>
    <mergeCell ref="DB3:DC3"/>
    <mergeCell ref="DD3:DE3"/>
    <mergeCell ref="G2:G3"/>
    <mergeCell ref="H2:H3"/>
    <mergeCell ref="K2:K3"/>
    <mergeCell ref="L2:L3"/>
    <mergeCell ref="M2:M3"/>
    <mergeCell ref="N2:N3"/>
    <mergeCell ref="O2:O3"/>
    <mergeCell ref="P2:P3"/>
    <mergeCell ref="Q2:Q3"/>
    <mergeCell ref="R2:R3"/>
    <mergeCell ref="S2:S3"/>
    <mergeCell ref="T2:T3"/>
    <mergeCell ref="U2:U3"/>
    <mergeCell ref="V2:V3"/>
    <mergeCell ref="W2:W3"/>
    <mergeCell ref="X2:X3"/>
    <mergeCell ref="AE2:AE3"/>
    <mergeCell ref="AC2:AC3"/>
    <mergeCell ref="AB2:AB3"/>
    <mergeCell ref="Z2:Z3"/>
    <mergeCell ref="Y2:Y3"/>
    <mergeCell ref="C2:C3"/>
    <mergeCell ref="D2:E3"/>
    <mergeCell ref="A2:A3"/>
    <mergeCell ref="I2:J3"/>
    <mergeCell ref="CA4:CA6"/>
    <mergeCell ref="CV3:CW3"/>
    <mergeCell ref="B4:B6"/>
    <mergeCell ref="CC4:CC6"/>
    <mergeCell ref="CZ3:DA3"/>
    <mergeCell ref="AA2:AA3"/>
    <mergeCell ref="AA4:AA6"/>
    <mergeCell ref="X4:X6"/>
    <mergeCell ref="AD2:AD3"/>
    <mergeCell ref="T85:T87"/>
    <mergeCell ref="T79:T81"/>
    <mergeCell ref="T73:T75"/>
    <mergeCell ref="T67:T69"/>
    <mergeCell ref="T61:T63"/>
    <mergeCell ref="T55:T57"/>
    <mergeCell ref="T49:T51"/>
    <mergeCell ref="T43:T45"/>
    <mergeCell ref="T37:T39"/>
    <mergeCell ref="T31:T33"/>
    <mergeCell ref="T25:T27"/>
    <mergeCell ref="T19:T21"/>
    <mergeCell ref="T13:T15"/>
    <mergeCell ref="T7:T9"/>
    <mergeCell ref="A85:A87"/>
    <mergeCell ref="A79:A81"/>
    <mergeCell ref="A73:A75"/>
    <mergeCell ref="A67:A69"/>
    <mergeCell ref="A61:A63"/>
    <mergeCell ref="A55:A57"/>
    <mergeCell ref="A49:A51"/>
    <mergeCell ref="A43:A45"/>
    <mergeCell ref="A37:A39"/>
    <mergeCell ref="A31:A33"/>
    <mergeCell ref="A25:A27"/>
    <mergeCell ref="A19:A21"/>
    <mergeCell ref="A13:A15"/>
    <mergeCell ref="A7:A9"/>
    <mergeCell ref="BZ85:BZ87"/>
    <mergeCell ref="BZ79:BZ81"/>
    <mergeCell ref="BZ73:BZ75"/>
    <mergeCell ref="BZ67:BZ69"/>
    <mergeCell ref="BZ61:BZ63"/>
    <mergeCell ref="BZ55:BZ57"/>
    <mergeCell ref="BZ49:BZ51"/>
    <mergeCell ref="BZ43:BZ45"/>
    <mergeCell ref="BZ37:BZ39"/>
    <mergeCell ref="BZ31:BZ33"/>
    <mergeCell ref="BZ25:BZ27"/>
    <mergeCell ref="BZ19:BZ21"/>
    <mergeCell ref="BZ13:BZ15"/>
    <mergeCell ref="BZ7:BZ9"/>
    <mergeCell ref="BV85:BV87"/>
    <mergeCell ref="BV79:BV81"/>
    <mergeCell ref="BV73:BV75"/>
    <mergeCell ref="BV67:BV69"/>
    <mergeCell ref="BV61:BV63"/>
    <mergeCell ref="BV55:BV57"/>
    <mergeCell ref="BV49:BV51"/>
    <mergeCell ref="BV43:BV45"/>
    <mergeCell ref="BV37:BV39"/>
    <mergeCell ref="BV31:BV33"/>
    <mergeCell ref="BV25:BV27"/>
    <mergeCell ref="BV19:BV21"/>
    <mergeCell ref="BV13:BV15"/>
    <mergeCell ref="BV7:BV9"/>
    <mergeCell ref="BS85:BS87"/>
    <mergeCell ref="BS79:BS81"/>
    <mergeCell ref="BS73:BS75"/>
    <mergeCell ref="BS67:BS69"/>
    <mergeCell ref="BS61:BS63"/>
    <mergeCell ref="BS55:BS57"/>
    <mergeCell ref="BS49:BS51"/>
    <mergeCell ref="BS43:BS45"/>
    <mergeCell ref="BS37:BS39"/>
    <mergeCell ref="BS31:BS33"/>
    <mergeCell ref="BS25:BS27"/>
    <mergeCell ref="BS19:BS21"/>
    <mergeCell ref="BS13:BS15"/>
    <mergeCell ref="BS7:BS9"/>
    <mergeCell ref="DK85:DK87"/>
    <mergeCell ref="DK79:DK81"/>
    <mergeCell ref="DK73:DK75"/>
    <mergeCell ref="DK67:DK69"/>
    <mergeCell ref="DK61:DK63"/>
    <mergeCell ref="DK55:DK57"/>
    <mergeCell ref="DK49:DK51"/>
    <mergeCell ref="DK43:DK45"/>
    <mergeCell ref="DK37:DK39"/>
    <mergeCell ref="DK31:DK33"/>
    <mergeCell ref="DK25:DK27"/>
    <mergeCell ref="DK19:DK21"/>
    <mergeCell ref="DK13:DK15"/>
    <mergeCell ref="DK7:DK9"/>
    <mergeCell ref="E85:E87"/>
    <mergeCell ref="E79:E81"/>
    <mergeCell ref="E73:E75"/>
    <mergeCell ref="E67:E69"/>
    <mergeCell ref="E61:E63"/>
    <mergeCell ref="E55:E57"/>
    <mergeCell ref="E49:E51"/>
    <mergeCell ref="E43:E45"/>
    <mergeCell ref="E37:E39"/>
    <mergeCell ref="E31:E33"/>
    <mergeCell ref="E25:E27"/>
    <mergeCell ref="E19:E21"/>
    <mergeCell ref="E13:E15"/>
    <mergeCell ref="E7:E9"/>
    <mergeCell ref="D85:D87"/>
    <mergeCell ref="D79:D81"/>
    <mergeCell ref="D73:D75"/>
    <mergeCell ref="D67:D69"/>
    <mergeCell ref="D61:D63"/>
    <mergeCell ref="D55:D57"/>
    <mergeCell ref="D49:D51"/>
    <mergeCell ref="D43:D45"/>
    <mergeCell ref="D37:D39"/>
    <mergeCell ref="D31:D33"/>
    <mergeCell ref="D25:D27"/>
    <mergeCell ref="D19:D21"/>
    <mergeCell ref="D13:D15"/>
    <mergeCell ref="D7:D9"/>
    <mergeCell ref="U85:U87"/>
    <mergeCell ref="U79:U81"/>
    <mergeCell ref="U73:U75"/>
    <mergeCell ref="U67:U69"/>
    <mergeCell ref="U61:U63"/>
    <mergeCell ref="U55:U57"/>
    <mergeCell ref="U49:U51"/>
    <mergeCell ref="U43:U45"/>
    <mergeCell ref="U37:U39"/>
    <mergeCell ref="U31:U33"/>
    <mergeCell ref="U25:U27"/>
    <mergeCell ref="U19:U21"/>
    <mergeCell ref="U13:U15"/>
    <mergeCell ref="U7:U9"/>
    <mergeCell ref="W85:W87"/>
    <mergeCell ref="W79:W81"/>
    <mergeCell ref="W73:W75"/>
    <mergeCell ref="W67:W69"/>
    <mergeCell ref="W61:W63"/>
    <mergeCell ref="W55:W57"/>
    <mergeCell ref="W49:W51"/>
    <mergeCell ref="W43:W45"/>
    <mergeCell ref="W37:W39"/>
    <mergeCell ref="W31:W33"/>
    <mergeCell ref="W25:W27"/>
    <mergeCell ref="W19:W21"/>
    <mergeCell ref="W13:W15"/>
    <mergeCell ref="W7:W9"/>
    <mergeCell ref="Y85:Y87"/>
    <mergeCell ref="Y79:Y81"/>
    <mergeCell ref="Y73:Y75"/>
    <mergeCell ref="Y67:Y69"/>
    <mergeCell ref="Y61:Y63"/>
    <mergeCell ref="Y55:Y57"/>
    <mergeCell ref="Y49:Y51"/>
    <mergeCell ref="Y43:Y45"/>
    <mergeCell ref="Y37:Y39"/>
    <mergeCell ref="Y31:Y33"/>
    <mergeCell ref="Y25:Y27"/>
    <mergeCell ref="Y19:Y21"/>
    <mergeCell ref="Y13:Y15"/>
    <mergeCell ref="Y7:Y9"/>
    <mergeCell ref="Z85:Z87"/>
    <mergeCell ref="Z79:Z81"/>
    <mergeCell ref="Z73:Z75"/>
    <mergeCell ref="Z67:Z69"/>
    <mergeCell ref="Z61:Z63"/>
    <mergeCell ref="Z55:Z57"/>
    <mergeCell ref="Z49:Z51"/>
    <mergeCell ref="Z43:Z45"/>
    <mergeCell ref="Z37:Z39"/>
    <mergeCell ref="Z31:Z33"/>
    <mergeCell ref="Z25:Z27"/>
    <mergeCell ref="Z19:Z21"/>
    <mergeCell ref="Z13:Z15"/>
    <mergeCell ref="Z7:Z9"/>
    <mergeCell ref="AB85:AB87"/>
    <mergeCell ref="AB79:AB81"/>
    <mergeCell ref="AB73:AB75"/>
    <mergeCell ref="AB67:AB69"/>
    <mergeCell ref="AB61:AB63"/>
    <mergeCell ref="AB55:AB57"/>
    <mergeCell ref="AB49:AB51"/>
    <mergeCell ref="AB43:AB45"/>
    <mergeCell ref="AB37:AB39"/>
    <mergeCell ref="AB31:AB33"/>
    <mergeCell ref="AB25:AB27"/>
    <mergeCell ref="AB19:AB21"/>
    <mergeCell ref="AB13:AB15"/>
    <mergeCell ref="AB7:AB9"/>
    <mergeCell ref="BU85:BU87"/>
    <mergeCell ref="BU79:BU81"/>
    <mergeCell ref="BU73:BU75"/>
    <mergeCell ref="BU67:BU69"/>
    <mergeCell ref="BU61:BU63"/>
    <mergeCell ref="BU55:BU57"/>
    <mergeCell ref="BU49:BU51"/>
    <mergeCell ref="BU43:BU45"/>
    <mergeCell ref="BU37:BU39"/>
    <mergeCell ref="BU31:BU33"/>
    <mergeCell ref="BU25:BU27"/>
    <mergeCell ref="BU19:BU21"/>
    <mergeCell ref="BU13:BU15"/>
    <mergeCell ref="BU7:BU9"/>
    <mergeCell ref="BT85:BT87"/>
    <mergeCell ref="BT79:BT81"/>
    <mergeCell ref="BT73:BT75"/>
    <mergeCell ref="BT67:BT69"/>
    <mergeCell ref="BT61:BT63"/>
    <mergeCell ref="BT55:BT57"/>
    <mergeCell ref="BT49:BT51"/>
    <mergeCell ref="BT43:BT45"/>
    <mergeCell ref="BT37:BT39"/>
    <mergeCell ref="BT31:BT33"/>
    <mergeCell ref="BT25:BT27"/>
    <mergeCell ref="BT19:BT21"/>
    <mergeCell ref="BT13:BT15"/>
    <mergeCell ref="BT7:BT9"/>
    <mergeCell ref="AC85:AC87"/>
    <mergeCell ref="AC79:AC81"/>
    <mergeCell ref="AC73:AC75"/>
    <mergeCell ref="AC67:AC69"/>
    <mergeCell ref="AC61:AC63"/>
    <mergeCell ref="AC55:AC57"/>
    <mergeCell ref="AC49:AC51"/>
    <mergeCell ref="AC43:AC45"/>
    <mergeCell ref="AC37:AC39"/>
    <mergeCell ref="AC31:AC33"/>
    <mergeCell ref="AC25:AC27"/>
    <mergeCell ref="AC19:AC21"/>
    <mergeCell ref="AC13:AC15"/>
    <mergeCell ref="AC7:AC9"/>
    <mergeCell ref="CD85:CD87"/>
    <mergeCell ref="CD79:CD81"/>
    <mergeCell ref="CD73:CD75"/>
    <mergeCell ref="CD67:CD69"/>
    <mergeCell ref="CD61:CD63"/>
    <mergeCell ref="CD55:CD57"/>
    <mergeCell ref="CD49:CD51"/>
    <mergeCell ref="CD43:CD45"/>
    <mergeCell ref="CD37:CD39"/>
    <mergeCell ref="CD31:CD33"/>
    <mergeCell ref="CD25:CD27"/>
    <mergeCell ref="CD19:CD21"/>
    <mergeCell ref="CD13:CD15"/>
    <mergeCell ref="CD7:CD9"/>
    <mergeCell ref="S85:S87"/>
    <mergeCell ref="S79:S81"/>
    <mergeCell ref="S73:S75"/>
    <mergeCell ref="S67:S69"/>
    <mergeCell ref="S61:S63"/>
    <mergeCell ref="S55:S57"/>
    <mergeCell ref="S49:S51"/>
    <mergeCell ref="S43:S45"/>
    <mergeCell ref="S37:S39"/>
    <mergeCell ref="S31:S33"/>
    <mergeCell ref="S25:S27"/>
    <mergeCell ref="S19:S21"/>
    <mergeCell ref="S13:S15"/>
    <mergeCell ref="S7:S9"/>
    <mergeCell ref="BW85:BW87"/>
    <mergeCell ref="BW79:BW81"/>
    <mergeCell ref="BW73:BW75"/>
    <mergeCell ref="BW67:BW69"/>
    <mergeCell ref="BW61:BW63"/>
    <mergeCell ref="BW55:BW57"/>
    <mergeCell ref="BW49:BW51"/>
    <mergeCell ref="BW43:BW45"/>
    <mergeCell ref="BW37:BW39"/>
    <mergeCell ref="BW31:BW33"/>
    <mergeCell ref="BW25:BW27"/>
    <mergeCell ref="BW19:BW21"/>
    <mergeCell ref="BW13:BW15"/>
    <mergeCell ref="BW7:BW9"/>
    <mergeCell ref="BX85:BX87"/>
    <mergeCell ref="BX79:BX81"/>
    <mergeCell ref="BX73:BX75"/>
    <mergeCell ref="BX67:BX69"/>
    <mergeCell ref="BX61:BX63"/>
    <mergeCell ref="BX55:BX57"/>
    <mergeCell ref="BX49:BX51"/>
    <mergeCell ref="BX43:BX45"/>
    <mergeCell ref="BX37:BX39"/>
    <mergeCell ref="BX31:BX33"/>
    <mergeCell ref="BX25:BX27"/>
    <mergeCell ref="BX19:BX21"/>
    <mergeCell ref="BX13:BX15"/>
    <mergeCell ref="BX7:BX9"/>
    <mergeCell ref="BY85:BY87"/>
    <mergeCell ref="BY79:BY81"/>
    <mergeCell ref="BY73:BY75"/>
    <mergeCell ref="BY67:BY69"/>
    <mergeCell ref="BY61:BY63"/>
    <mergeCell ref="BY55:BY57"/>
    <mergeCell ref="BY49:BY51"/>
    <mergeCell ref="BY43:BY45"/>
    <mergeCell ref="BY37:BY39"/>
    <mergeCell ref="BY31:BY33"/>
    <mergeCell ref="BY25:BY27"/>
    <mergeCell ref="BY19:BY21"/>
    <mergeCell ref="BY13:BY15"/>
    <mergeCell ref="BY7:BY9"/>
    <mergeCell ref="H85:H87"/>
    <mergeCell ref="H79:H81"/>
    <mergeCell ref="H73:H75"/>
    <mergeCell ref="H67:H69"/>
    <mergeCell ref="H61:H63"/>
    <mergeCell ref="H55:H57"/>
    <mergeCell ref="H49:H51"/>
    <mergeCell ref="H43:H45"/>
    <mergeCell ref="H37:H39"/>
    <mergeCell ref="H31:H33"/>
    <mergeCell ref="H25:H27"/>
    <mergeCell ref="H19:H21"/>
    <mergeCell ref="H13:H15"/>
    <mergeCell ref="H7:H9"/>
    <mergeCell ref="N85:N87"/>
    <mergeCell ref="N79:N81"/>
    <mergeCell ref="N73:N75"/>
    <mergeCell ref="N67:N69"/>
    <mergeCell ref="N61:N63"/>
    <mergeCell ref="N55:N57"/>
    <mergeCell ref="N49:N51"/>
    <mergeCell ref="N43:N45"/>
    <mergeCell ref="N37:N39"/>
    <mergeCell ref="N31:N33"/>
    <mergeCell ref="N25:N27"/>
    <mergeCell ref="N19:N21"/>
    <mergeCell ref="N13:N15"/>
    <mergeCell ref="N7:N9"/>
    <mergeCell ref="CB85:CB87"/>
    <mergeCell ref="CB79:CB81"/>
    <mergeCell ref="CB73:CB75"/>
    <mergeCell ref="CB67:CB69"/>
    <mergeCell ref="CB61:CB63"/>
    <mergeCell ref="CB55:CB57"/>
    <mergeCell ref="CB49:CB51"/>
    <mergeCell ref="CB43:CB45"/>
    <mergeCell ref="CB37:CB39"/>
    <mergeCell ref="CB31:CB33"/>
    <mergeCell ref="CB25:CB27"/>
    <mergeCell ref="CB19:CB21"/>
    <mergeCell ref="CB13:CB15"/>
    <mergeCell ref="CB7:CB9"/>
    <mergeCell ref="CE85:CE87"/>
    <mergeCell ref="CE79:CE81"/>
    <mergeCell ref="CE73:CE75"/>
    <mergeCell ref="CE67:CE69"/>
    <mergeCell ref="CE61:CE63"/>
    <mergeCell ref="CE55:CE57"/>
    <mergeCell ref="CE49:CE51"/>
    <mergeCell ref="CE43:CE45"/>
    <mergeCell ref="CE37:CE39"/>
    <mergeCell ref="CE31:CE33"/>
    <mergeCell ref="CE25:CE27"/>
    <mergeCell ref="CE19:CE21"/>
    <mergeCell ref="CE13:CE15"/>
    <mergeCell ref="CE7:CE9"/>
    <mergeCell ref="CA85:CA87"/>
    <mergeCell ref="CA79:CA81"/>
    <mergeCell ref="CA73:CA75"/>
    <mergeCell ref="CA67:CA69"/>
    <mergeCell ref="CA61:CA63"/>
    <mergeCell ref="CA55:CA57"/>
    <mergeCell ref="CA49:CA51"/>
    <mergeCell ref="CA43:CA45"/>
    <mergeCell ref="CA37:CA39"/>
    <mergeCell ref="CA31:CA33"/>
    <mergeCell ref="CA25:CA27"/>
    <mergeCell ref="CA19:CA21"/>
    <mergeCell ref="CA13:CA15"/>
    <mergeCell ref="CA7:CA9"/>
    <mergeCell ref="B85:B87"/>
    <mergeCell ref="B79:B81"/>
    <mergeCell ref="B73:B75"/>
    <mergeCell ref="B67:B69"/>
    <mergeCell ref="B61:B63"/>
    <mergeCell ref="B55:B57"/>
    <mergeCell ref="B49:B51"/>
    <mergeCell ref="B43:B45"/>
    <mergeCell ref="B37:B39"/>
    <mergeCell ref="B31:B33"/>
    <mergeCell ref="B25:B27"/>
    <mergeCell ref="B19:B21"/>
    <mergeCell ref="B13:B15"/>
    <mergeCell ref="B7:B9"/>
    <mergeCell ref="CC85:CC87"/>
    <mergeCell ref="CC79:CC81"/>
    <mergeCell ref="CC73:CC75"/>
    <mergeCell ref="CC67:CC69"/>
    <mergeCell ref="CC61:CC63"/>
    <mergeCell ref="CC55:CC57"/>
    <mergeCell ref="CC49:CC51"/>
    <mergeCell ref="CC43:CC45"/>
    <mergeCell ref="CC37:CC39"/>
    <mergeCell ref="CC31:CC33"/>
    <mergeCell ref="CC25:CC27"/>
    <mergeCell ref="CC19:CC21"/>
    <mergeCell ref="CC13:CC15"/>
    <mergeCell ref="CC7:CC9"/>
    <mergeCell ref="AA85:AA87"/>
    <mergeCell ref="AA79:AA81"/>
    <mergeCell ref="AA73:AA75"/>
    <mergeCell ref="AA67:AA69"/>
    <mergeCell ref="AA61:AA63"/>
    <mergeCell ref="AA55:AA57"/>
    <mergeCell ref="AA49:AA51"/>
    <mergeCell ref="AA43:AA45"/>
    <mergeCell ref="AA37:AA39"/>
    <mergeCell ref="AA31:AA33"/>
    <mergeCell ref="AA25:AA27"/>
    <mergeCell ref="AA19:AA21"/>
    <mergeCell ref="AA13:AA15"/>
    <mergeCell ref="AA7:AA9"/>
    <mergeCell ref="X85:X87"/>
    <mergeCell ref="X79:X81"/>
    <mergeCell ref="X73:X75"/>
    <mergeCell ref="X67:X69"/>
    <mergeCell ref="X61:X63"/>
    <mergeCell ref="X55:X57"/>
    <mergeCell ref="X49:X51"/>
    <mergeCell ref="X43:X45"/>
    <mergeCell ref="X37:X39"/>
    <mergeCell ref="X31:X33"/>
    <mergeCell ref="X25:X27"/>
    <mergeCell ref="X19:X21"/>
    <mergeCell ref="X13:X15"/>
    <mergeCell ref="X7:X9"/>
    <mergeCell ref="V85:V87"/>
    <mergeCell ref="V79:V81"/>
    <mergeCell ref="V73:V75"/>
    <mergeCell ref="V67:V69"/>
    <mergeCell ref="V61:V63"/>
    <mergeCell ref="V55:V57"/>
    <mergeCell ref="V49:V51"/>
    <mergeCell ref="V43:V45"/>
    <mergeCell ref="V37:V39"/>
    <mergeCell ref="V31:V33"/>
    <mergeCell ref="V25:V27"/>
    <mergeCell ref="V19:V21"/>
    <mergeCell ref="V13:V15"/>
    <mergeCell ref="V7:V9"/>
    <mergeCell ref="G25:G27"/>
    <mergeCell ref="G19:G21"/>
    <mergeCell ref="G13:G15"/>
    <mergeCell ref="G7:G9"/>
    <mergeCell ref="T88:T90"/>
    <mergeCell ref="T82:T84"/>
    <mergeCell ref="T76:T78"/>
    <mergeCell ref="T70:T72"/>
    <mergeCell ref="T64:T66"/>
    <mergeCell ref="T58:T60"/>
    <mergeCell ref="T52:T54"/>
    <mergeCell ref="T46:T48"/>
    <mergeCell ref="T40:T42"/>
    <mergeCell ref="T34:T36"/>
    <mergeCell ref="T28:T30"/>
    <mergeCell ref="T22:T24"/>
    <mergeCell ref="T16:T18"/>
    <mergeCell ref="T10:T12"/>
    <mergeCell ref="A88:A90"/>
    <mergeCell ref="A82:A84"/>
    <mergeCell ref="A76:A78"/>
    <mergeCell ref="A70:A72"/>
    <mergeCell ref="A64:A66"/>
    <mergeCell ref="A58:A60"/>
    <mergeCell ref="A52:A54"/>
    <mergeCell ref="A46:A48"/>
    <mergeCell ref="A40:A42"/>
    <mergeCell ref="A34:A36"/>
    <mergeCell ref="A28:A30"/>
    <mergeCell ref="A22:A24"/>
    <mergeCell ref="A16:A18"/>
    <mergeCell ref="A10:A12"/>
    <mergeCell ref="BZ88:BZ90"/>
    <mergeCell ref="BZ82:BZ84"/>
    <mergeCell ref="BZ76:BZ78"/>
    <mergeCell ref="BZ70:BZ72"/>
    <mergeCell ref="BZ64:BZ66"/>
    <mergeCell ref="BZ58:BZ60"/>
    <mergeCell ref="BZ52:BZ54"/>
    <mergeCell ref="BZ46:BZ48"/>
    <mergeCell ref="BZ40:BZ42"/>
    <mergeCell ref="BZ34:BZ36"/>
    <mergeCell ref="BZ28:BZ30"/>
    <mergeCell ref="BZ22:BZ24"/>
    <mergeCell ref="BZ16:BZ18"/>
    <mergeCell ref="BZ10:BZ12"/>
    <mergeCell ref="BV88:BV90"/>
    <mergeCell ref="BV82:BV84"/>
    <mergeCell ref="BV76:BV78"/>
    <mergeCell ref="BV70:BV72"/>
    <mergeCell ref="BV64:BV66"/>
    <mergeCell ref="BV58:BV60"/>
    <mergeCell ref="BV52:BV54"/>
    <mergeCell ref="BV46:BV48"/>
    <mergeCell ref="BV40:BV42"/>
    <mergeCell ref="BV34:BV36"/>
    <mergeCell ref="BV28:BV30"/>
    <mergeCell ref="BV22:BV24"/>
    <mergeCell ref="BV16:BV18"/>
    <mergeCell ref="BV10:BV12"/>
    <mergeCell ref="BS88:BS90"/>
    <mergeCell ref="BS82:BS84"/>
    <mergeCell ref="BS76:BS78"/>
    <mergeCell ref="BS70:BS72"/>
    <mergeCell ref="BS64:BS66"/>
    <mergeCell ref="BS58:BS60"/>
    <mergeCell ref="BS52:BS54"/>
    <mergeCell ref="BS46:BS48"/>
    <mergeCell ref="BS40:BS42"/>
    <mergeCell ref="BS34:BS36"/>
    <mergeCell ref="BS28:BS30"/>
    <mergeCell ref="BS22:BS24"/>
    <mergeCell ref="BS16:BS18"/>
    <mergeCell ref="BS10:BS12"/>
    <mergeCell ref="DK88:DK90"/>
    <mergeCell ref="DK82:DK84"/>
    <mergeCell ref="DK76:DK78"/>
    <mergeCell ref="DK70:DK72"/>
    <mergeCell ref="DK64:DK66"/>
    <mergeCell ref="DK58:DK60"/>
    <mergeCell ref="DK52:DK54"/>
    <mergeCell ref="DK46:DK48"/>
    <mergeCell ref="DK40:DK42"/>
    <mergeCell ref="DK34:DK36"/>
    <mergeCell ref="DK28:DK30"/>
    <mergeCell ref="DK22:DK24"/>
    <mergeCell ref="DK16:DK18"/>
    <mergeCell ref="DK10:DK12"/>
    <mergeCell ref="E82:E84"/>
    <mergeCell ref="E76:E78"/>
    <mergeCell ref="E70:E72"/>
    <mergeCell ref="E64:E66"/>
    <mergeCell ref="E58:E60"/>
    <mergeCell ref="E52:E54"/>
    <mergeCell ref="E46:E48"/>
    <mergeCell ref="E40:E42"/>
    <mergeCell ref="E34:E36"/>
    <mergeCell ref="E28:E30"/>
    <mergeCell ref="E22:E24"/>
    <mergeCell ref="E16:E18"/>
    <mergeCell ref="E10:E12"/>
    <mergeCell ref="D88:D90"/>
    <mergeCell ref="D82:D84"/>
    <mergeCell ref="D76:D78"/>
    <mergeCell ref="D70:D72"/>
    <mergeCell ref="D64:D66"/>
    <mergeCell ref="D58:D60"/>
    <mergeCell ref="D52:D54"/>
    <mergeCell ref="D46:D48"/>
    <mergeCell ref="D40:D42"/>
    <mergeCell ref="D34:D36"/>
    <mergeCell ref="D28:D30"/>
    <mergeCell ref="D22:D24"/>
    <mergeCell ref="D16:D18"/>
    <mergeCell ref="D10:D12"/>
    <mergeCell ref="U88:U90"/>
    <mergeCell ref="U82:U84"/>
    <mergeCell ref="U76:U78"/>
    <mergeCell ref="U70:U72"/>
    <mergeCell ref="U64:U66"/>
    <mergeCell ref="U58:U60"/>
    <mergeCell ref="U52:U54"/>
    <mergeCell ref="U46:U48"/>
    <mergeCell ref="U40:U42"/>
    <mergeCell ref="U34:U36"/>
    <mergeCell ref="U28:U30"/>
    <mergeCell ref="U22:U24"/>
    <mergeCell ref="U16:U18"/>
    <mergeCell ref="U10:U12"/>
    <mergeCell ref="W88:W90"/>
    <mergeCell ref="W82:W84"/>
    <mergeCell ref="W76:W78"/>
    <mergeCell ref="W70:W72"/>
    <mergeCell ref="W64:W66"/>
    <mergeCell ref="W58:W60"/>
    <mergeCell ref="W52:W54"/>
    <mergeCell ref="W46:W48"/>
    <mergeCell ref="W40:W42"/>
    <mergeCell ref="W34:W36"/>
    <mergeCell ref="W28:W30"/>
    <mergeCell ref="W22:W24"/>
    <mergeCell ref="W16:W18"/>
    <mergeCell ref="W10:W12"/>
    <mergeCell ref="Y88:Y90"/>
    <mergeCell ref="Y82:Y84"/>
    <mergeCell ref="Y76:Y78"/>
    <mergeCell ref="Y70:Y72"/>
    <mergeCell ref="Y64:Y66"/>
    <mergeCell ref="Y58:Y60"/>
    <mergeCell ref="Y52:Y54"/>
    <mergeCell ref="Y46:Y48"/>
    <mergeCell ref="Y40:Y42"/>
    <mergeCell ref="Y34:Y36"/>
    <mergeCell ref="Y28:Y30"/>
    <mergeCell ref="Y22:Y24"/>
    <mergeCell ref="Y16:Y18"/>
    <mergeCell ref="Y10:Y12"/>
    <mergeCell ref="Z88:Z90"/>
    <mergeCell ref="Z82:Z84"/>
    <mergeCell ref="Z76:Z78"/>
    <mergeCell ref="Z70:Z72"/>
    <mergeCell ref="Z64:Z66"/>
    <mergeCell ref="Z58:Z60"/>
    <mergeCell ref="Z52:Z54"/>
    <mergeCell ref="Z46:Z48"/>
    <mergeCell ref="Z40:Z42"/>
    <mergeCell ref="Z34:Z36"/>
    <mergeCell ref="Z28:Z30"/>
    <mergeCell ref="Z22:Z24"/>
    <mergeCell ref="Z16:Z18"/>
    <mergeCell ref="Z10:Z12"/>
    <mergeCell ref="AB88:AB90"/>
    <mergeCell ref="AB82:AB84"/>
    <mergeCell ref="AB76:AB78"/>
    <mergeCell ref="AB70:AB72"/>
    <mergeCell ref="AB64:AB66"/>
    <mergeCell ref="AB58:AB60"/>
    <mergeCell ref="AB52:AB54"/>
    <mergeCell ref="AB46:AB48"/>
    <mergeCell ref="AB40:AB42"/>
    <mergeCell ref="AB34:AB36"/>
    <mergeCell ref="AB28:AB30"/>
    <mergeCell ref="AB22:AB24"/>
    <mergeCell ref="AB16:AB18"/>
    <mergeCell ref="AB10:AB12"/>
    <mergeCell ref="BU88:BU90"/>
    <mergeCell ref="BU82:BU84"/>
    <mergeCell ref="BU76:BU78"/>
    <mergeCell ref="BU70:BU72"/>
    <mergeCell ref="BU64:BU66"/>
    <mergeCell ref="BU58:BU60"/>
    <mergeCell ref="BU52:BU54"/>
    <mergeCell ref="BU46:BU48"/>
    <mergeCell ref="BU40:BU42"/>
    <mergeCell ref="BU34:BU36"/>
    <mergeCell ref="BU28:BU30"/>
    <mergeCell ref="BU22:BU24"/>
    <mergeCell ref="BU16:BU18"/>
    <mergeCell ref="BU10:BU12"/>
    <mergeCell ref="BT88:BT90"/>
    <mergeCell ref="BT82:BT84"/>
    <mergeCell ref="BT76:BT78"/>
    <mergeCell ref="BT70:BT72"/>
    <mergeCell ref="BT64:BT66"/>
    <mergeCell ref="BT58:BT60"/>
    <mergeCell ref="BT52:BT54"/>
    <mergeCell ref="BT46:BT48"/>
    <mergeCell ref="BT40:BT42"/>
    <mergeCell ref="BT34:BT36"/>
    <mergeCell ref="BT28:BT30"/>
    <mergeCell ref="BT22:BT24"/>
    <mergeCell ref="BT16:BT18"/>
    <mergeCell ref="BT10:BT12"/>
    <mergeCell ref="AC88:AC90"/>
    <mergeCell ref="AC82:AC84"/>
    <mergeCell ref="AC76:AC78"/>
    <mergeCell ref="AC70:AC72"/>
    <mergeCell ref="AC64:AC66"/>
    <mergeCell ref="AC58:AC60"/>
    <mergeCell ref="AC52:AC54"/>
    <mergeCell ref="AC46:AC48"/>
    <mergeCell ref="AC40:AC42"/>
    <mergeCell ref="AC34:AC36"/>
    <mergeCell ref="AC28:AC30"/>
    <mergeCell ref="AC22:AC24"/>
    <mergeCell ref="AC16:AC18"/>
    <mergeCell ref="AC10:AC12"/>
    <mergeCell ref="CD88:CD90"/>
    <mergeCell ref="CD82:CD84"/>
    <mergeCell ref="CD76:CD78"/>
    <mergeCell ref="CD70:CD72"/>
    <mergeCell ref="CD64:CD66"/>
    <mergeCell ref="CD58:CD60"/>
    <mergeCell ref="CD52:CD54"/>
    <mergeCell ref="CD46:CD48"/>
    <mergeCell ref="CD40:CD42"/>
    <mergeCell ref="CD34:CD36"/>
    <mergeCell ref="CD28:CD30"/>
    <mergeCell ref="CD22:CD24"/>
    <mergeCell ref="CD16:CD18"/>
    <mergeCell ref="CD10:CD12"/>
    <mergeCell ref="S88:S90"/>
    <mergeCell ref="S82:S84"/>
    <mergeCell ref="S76:S78"/>
    <mergeCell ref="S70:S72"/>
    <mergeCell ref="S64:S66"/>
    <mergeCell ref="S58:S60"/>
    <mergeCell ref="S52:S54"/>
    <mergeCell ref="S46:S48"/>
    <mergeCell ref="S40:S42"/>
    <mergeCell ref="S34:S36"/>
    <mergeCell ref="S28:S30"/>
    <mergeCell ref="S22:S24"/>
    <mergeCell ref="S16:S18"/>
    <mergeCell ref="S10:S12"/>
    <mergeCell ref="BW88:BW90"/>
    <mergeCell ref="BW82:BW84"/>
    <mergeCell ref="BW76:BW78"/>
    <mergeCell ref="BW70:BW72"/>
    <mergeCell ref="BW64:BW66"/>
    <mergeCell ref="BW58:BW60"/>
    <mergeCell ref="BW52:BW54"/>
    <mergeCell ref="BW46:BW48"/>
    <mergeCell ref="BW40:BW42"/>
    <mergeCell ref="BW34:BW36"/>
    <mergeCell ref="BW28:BW30"/>
    <mergeCell ref="BW22:BW24"/>
    <mergeCell ref="BW16:BW18"/>
    <mergeCell ref="BW10:BW12"/>
    <mergeCell ref="BX88:BX90"/>
    <mergeCell ref="BX82:BX84"/>
    <mergeCell ref="BX76:BX78"/>
    <mergeCell ref="BX70:BX72"/>
    <mergeCell ref="BX64:BX66"/>
    <mergeCell ref="BX58:BX60"/>
    <mergeCell ref="BX52:BX54"/>
    <mergeCell ref="BX46:BX48"/>
    <mergeCell ref="BX40:BX42"/>
    <mergeCell ref="BX34:BX36"/>
    <mergeCell ref="BX28:BX30"/>
    <mergeCell ref="BX22:BX24"/>
    <mergeCell ref="BX16:BX18"/>
    <mergeCell ref="BX10:BX12"/>
    <mergeCell ref="BY88:BY90"/>
    <mergeCell ref="BY82:BY84"/>
    <mergeCell ref="BY76:BY78"/>
    <mergeCell ref="BY70:BY72"/>
    <mergeCell ref="BY64:BY66"/>
    <mergeCell ref="BY58:BY60"/>
    <mergeCell ref="BY52:BY54"/>
    <mergeCell ref="BY46:BY48"/>
    <mergeCell ref="BY40:BY42"/>
    <mergeCell ref="BY34:BY36"/>
    <mergeCell ref="BY28:BY30"/>
    <mergeCell ref="BY22:BY24"/>
    <mergeCell ref="BY16:BY18"/>
    <mergeCell ref="BY10:BY12"/>
    <mergeCell ref="H88:H90"/>
    <mergeCell ref="H82:H84"/>
    <mergeCell ref="H76:H78"/>
    <mergeCell ref="H70:H72"/>
    <mergeCell ref="H64:H66"/>
    <mergeCell ref="H58:H60"/>
    <mergeCell ref="H52:H54"/>
    <mergeCell ref="H46:H48"/>
    <mergeCell ref="H40:H42"/>
    <mergeCell ref="H34:H36"/>
    <mergeCell ref="H28:H30"/>
    <mergeCell ref="H22:H24"/>
    <mergeCell ref="H16:H18"/>
    <mergeCell ref="H10:H12"/>
    <mergeCell ref="N88:N90"/>
    <mergeCell ref="N82:N84"/>
    <mergeCell ref="N76:N78"/>
    <mergeCell ref="N70:N72"/>
    <mergeCell ref="N64:N66"/>
    <mergeCell ref="N58:N60"/>
    <mergeCell ref="N52:N54"/>
    <mergeCell ref="N46:N48"/>
    <mergeCell ref="N40:N42"/>
    <mergeCell ref="N34:N36"/>
    <mergeCell ref="N28:N30"/>
    <mergeCell ref="N22:N24"/>
    <mergeCell ref="N16:N18"/>
    <mergeCell ref="N10:N12"/>
    <mergeCell ref="CB88:CB90"/>
    <mergeCell ref="CB82:CB84"/>
    <mergeCell ref="CB76:CB78"/>
    <mergeCell ref="CB70:CB72"/>
    <mergeCell ref="CB64:CB66"/>
    <mergeCell ref="CB58:CB60"/>
    <mergeCell ref="CB52:CB54"/>
    <mergeCell ref="CB46:CB48"/>
    <mergeCell ref="CB40:CB42"/>
    <mergeCell ref="CB34:CB36"/>
    <mergeCell ref="CB28:CB30"/>
    <mergeCell ref="CB22:CB24"/>
    <mergeCell ref="CB16:CB18"/>
    <mergeCell ref="CB10:CB12"/>
    <mergeCell ref="CE88:CE90"/>
    <mergeCell ref="CE82:CE84"/>
    <mergeCell ref="CE76:CE78"/>
    <mergeCell ref="CE70:CE72"/>
    <mergeCell ref="CE64:CE66"/>
    <mergeCell ref="CE58:CE60"/>
    <mergeCell ref="CE52:CE54"/>
    <mergeCell ref="CE46:CE48"/>
    <mergeCell ref="CE40:CE42"/>
    <mergeCell ref="CE34:CE36"/>
    <mergeCell ref="CE28:CE30"/>
    <mergeCell ref="CE22:CE24"/>
    <mergeCell ref="CE16:CE18"/>
    <mergeCell ref="CE10:CE12"/>
    <mergeCell ref="CA88:CA90"/>
    <mergeCell ref="CA82:CA84"/>
    <mergeCell ref="CA76:CA78"/>
    <mergeCell ref="CA70:CA72"/>
    <mergeCell ref="CA64:CA66"/>
    <mergeCell ref="CA58:CA60"/>
    <mergeCell ref="CA52:CA54"/>
    <mergeCell ref="CA46:CA48"/>
    <mergeCell ref="CA40:CA42"/>
    <mergeCell ref="CA34:CA36"/>
    <mergeCell ref="CA28:CA30"/>
    <mergeCell ref="CA22:CA24"/>
    <mergeCell ref="CA16:CA18"/>
    <mergeCell ref="CA10:CA12"/>
    <mergeCell ref="B88:B90"/>
    <mergeCell ref="B82:B84"/>
    <mergeCell ref="B76:B78"/>
    <mergeCell ref="B70:B72"/>
    <mergeCell ref="B64:B66"/>
    <mergeCell ref="B58:B60"/>
    <mergeCell ref="B52:B54"/>
    <mergeCell ref="B46:B48"/>
    <mergeCell ref="B40:B42"/>
    <mergeCell ref="B34:B36"/>
    <mergeCell ref="B28:B30"/>
    <mergeCell ref="B22:B24"/>
    <mergeCell ref="B16:B18"/>
    <mergeCell ref="B10:B12"/>
    <mergeCell ref="CC88:CC90"/>
    <mergeCell ref="CC82:CC84"/>
    <mergeCell ref="CC76:CC78"/>
    <mergeCell ref="CC70:CC72"/>
    <mergeCell ref="CC64:CC66"/>
    <mergeCell ref="CC58:CC60"/>
    <mergeCell ref="CC52:CC54"/>
    <mergeCell ref="CC46:CC48"/>
    <mergeCell ref="CC40:CC42"/>
    <mergeCell ref="CC34:CC36"/>
    <mergeCell ref="CC28:CC30"/>
    <mergeCell ref="CC22:CC24"/>
    <mergeCell ref="CC16:CC18"/>
    <mergeCell ref="CC10:CC12"/>
    <mergeCell ref="AA88:AA90"/>
    <mergeCell ref="AA82:AA84"/>
    <mergeCell ref="AA76:AA78"/>
    <mergeCell ref="AA70:AA72"/>
    <mergeCell ref="AA64:AA66"/>
    <mergeCell ref="AA58:AA60"/>
    <mergeCell ref="AA52:AA54"/>
    <mergeCell ref="AA46:AA48"/>
    <mergeCell ref="AA40:AA42"/>
    <mergeCell ref="AA34:AA36"/>
    <mergeCell ref="AA28:AA30"/>
    <mergeCell ref="AA22:AA24"/>
    <mergeCell ref="AA16:AA18"/>
    <mergeCell ref="AA10:AA12"/>
    <mergeCell ref="X88:X90"/>
    <mergeCell ref="X82:X84"/>
    <mergeCell ref="X76:X78"/>
    <mergeCell ref="X70:X72"/>
    <mergeCell ref="X64:X66"/>
    <mergeCell ref="X58:X60"/>
    <mergeCell ref="X52:X54"/>
    <mergeCell ref="X46:X48"/>
    <mergeCell ref="X40:X42"/>
    <mergeCell ref="X34:X36"/>
    <mergeCell ref="X28:X30"/>
    <mergeCell ref="X22:X24"/>
    <mergeCell ref="X16:X18"/>
    <mergeCell ref="X10:X12"/>
    <mergeCell ref="V88:V90"/>
    <mergeCell ref="V82:V84"/>
    <mergeCell ref="V76:V78"/>
    <mergeCell ref="V70:V72"/>
    <mergeCell ref="V64:V66"/>
    <mergeCell ref="V58:V60"/>
    <mergeCell ref="V52:V54"/>
    <mergeCell ref="V46:V48"/>
    <mergeCell ref="V40:V42"/>
    <mergeCell ref="V34:V36"/>
    <mergeCell ref="V28:V30"/>
    <mergeCell ref="V22:V24"/>
    <mergeCell ref="V16:V18"/>
    <mergeCell ref="V10:V12"/>
    <mergeCell ref="G22:G24"/>
    <mergeCell ref="G16:G18"/>
    <mergeCell ref="G10:G12"/>
    <mergeCell ref="G85:G87"/>
    <mergeCell ref="G82:G84"/>
    <mergeCell ref="G79:G81"/>
    <mergeCell ref="G76:G78"/>
    <mergeCell ref="G73:G75"/>
    <mergeCell ref="G70:G72"/>
    <mergeCell ref="G67:G69"/>
    <mergeCell ref="G64:G66"/>
    <mergeCell ref="G61:G63"/>
    <mergeCell ref="G58:G60"/>
    <mergeCell ref="G55:G57"/>
    <mergeCell ref="G52:G54"/>
    <mergeCell ref="G49:G51"/>
    <mergeCell ref="G46:G48"/>
    <mergeCell ref="G43:G45"/>
    <mergeCell ref="G40:G42"/>
    <mergeCell ref="G37:G39"/>
    <mergeCell ref="G34:G36"/>
    <mergeCell ref="G31:G33"/>
    <mergeCell ref="G28:G30"/>
    <mergeCell ref="T109:T111"/>
    <mergeCell ref="T103:T105"/>
    <mergeCell ref="T97:T99"/>
    <mergeCell ref="T91:T93"/>
    <mergeCell ref="A109:A111"/>
    <mergeCell ref="A103:A105"/>
    <mergeCell ref="A97:A99"/>
    <mergeCell ref="A91:A93"/>
    <mergeCell ref="BZ109:BZ111"/>
    <mergeCell ref="BZ103:BZ105"/>
    <mergeCell ref="BZ97:BZ99"/>
    <mergeCell ref="BZ91:BZ93"/>
    <mergeCell ref="BV109:BV111"/>
    <mergeCell ref="BV103:BV105"/>
    <mergeCell ref="BV97:BV99"/>
    <mergeCell ref="BV91:BV93"/>
    <mergeCell ref="BS109:BS111"/>
    <mergeCell ref="BS103:BS105"/>
    <mergeCell ref="BS97:BS99"/>
    <mergeCell ref="BS91:BS93"/>
    <mergeCell ref="DK109:DK111"/>
    <mergeCell ref="DK103:DK105"/>
    <mergeCell ref="DK97:DK99"/>
    <mergeCell ref="DK91:DK93"/>
    <mergeCell ref="D109:D111"/>
    <mergeCell ref="D103:D105"/>
    <mergeCell ref="D97:D99"/>
    <mergeCell ref="D91:D93"/>
    <mergeCell ref="U109:U111"/>
    <mergeCell ref="U103:U105"/>
    <mergeCell ref="U97:U99"/>
    <mergeCell ref="U91:U93"/>
    <mergeCell ref="W109:W111"/>
    <mergeCell ref="W103:W105"/>
    <mergeCell ref="W97:W99"/>
    <mergeCell ref="W91:W93"/>
    <mergeCell ref="Y109:Y111"/>
    <mergeCell ref="Y103:Y105"/>
    <mergeCell ref="Y97:Y99"/>
    <mergeCell ref="Y91:Y93"/>
    <mergeCell ref="Z109:Z111"/>
    <mergeCell ref="Z103:Z105"/>
    <mergeCell ref="Z97:Z99"/>
    <mergeCell ref="Z91:Z93"/>
    <mergeCell ref="AB109:AB111"/>
    <mergeCell ref="AB103:AB105"/>
    <mergeCell ref="AB97:AB99"/>
    <mergeCell ref="AB91:AB93"/>
    <mergeCell ref="BU109:BU111"/>
    <mergeCell ref="BU103:BU105"/>
    <mergeCell ref="BU97:BU99"/>
    <mergeCell ref="BU91:BU93"/>
    <mergeCell ref="BT109:BT111"/>
    <mergeCell ref="BT103:BT105"/>
    <mergeCell ref="BT97:BT99"/>
    <mergeCell ref="BT91:BT93"/>
    <mergeCell ref="AC109:AC111"/>
    <mergeCell ref="AC103:AC105"/>
    <mergeCell ref="AC97:AC99"/>
    <mergeCell ref="AC91:AC93"/>
    <mergeCell ref="CD109:CD111"/>
    <mergeCell ref="CD103:CD105"/>
    <mergeCell ref="CD97:CD99"/>
    <mergeCell ref="CD91:CD93"/>
    <mergeCell ref="S109:S111"/>
    <mergeCell ref="S103:S105"/>
    <mergeCell ref="S97:S99"/>
    <mergeCell ref="S91:S93"/>
    <mergeCell ref="BW109:BW111"/>
    <mergeCell ref="BW103:BW105"/>
    <mergeCell ref="BW97:BW99"/>
    <mergeCell ref="BW91:BW93"/>
    <mergeCell ref="BX109:BX111"/>
    <mergeCell ref="BX103:BX105"/>
    <mergeCell ref="BX97:BX99"/>
    <mergeCell ref="BX91:BX93"/>
    <mergeCell ref="BY109:BY111"/>
    <mergeCell ref="BY103:BY105"/>
    <mergeCell ref="BY97:BY99"/>
    <mergeCell ref="BY91:BY93"/>
    <mergeCell ref="H109:H111"/>
    <mergeCell ref="H103:H105"/>
    <mergeCell ref="H97:H99"/>
    <mergeCell ref="H91:H93"/>
    <mergeCell ref="N109:N111"/>
    <mergeCell ref="N103:N105"/>
    <mergeCell ref="N97:N99"/>
    <mergeCell ref="N91:N93"/>
    <mergeCell ref="CB109:CB111"/>
    <mergeCell ref="CB103:CB105"/>
    <mergeCell ref="CB97:CB99"/>
    <mergeCell ref="CB91:CB93"/>
    <mergeCell ref="CE109:CE111"/>
    <mergeCell ref="CE103:CE105"/>
    <mergeCell ref="CE97:CE99"/>
    <mergeCell ref="CE91:CE93"/>
    <mergeCell ref="CA109:CA111"/>
    <mergeCell ref="CA103:CA105"/>
    <mergeCell ref="CA97:CA99"/>
    <mergeCell ref="CA91:CA93"/>
    <mergeCell ref="B109:B111"/>
    <mergeCell ref="B103:B105"/>
    <mergeCell ref="B97:B99"/>
    <mergeCell ref="B91:B93"/>
    <mergeCell ref="CC109:CC111"/>
    <mergeCell ref="CC103:CC105"/>
    <mergeCell ref="CC97:CC99"/>
    <mergeCell ref="CC91:CC93"/>
    <mergeCell ref="AA109:AA111"/>
    <mergeCell ref="AA103:AA105"/>
    <mergeCell ref="AA97:AA99"/>
    <mergeCell ref="AA91:AA93"/>
    <mergeCell ref="X109:X111"/>
    <mergeCell ref="X103:X105"/>
    <mergeCell ref="X97:X99"/>
    <mergeCell ref="X91:X93"/>
    <mergeCell ref="V109:V111"/>
    <mergeCell ref="V103:V105"/>
    <mergeCell ref="V97:V99"/>
    <mergeCell ref="V91:V93"/>
    <mergeCell ref="T112:T114"/>
    <mergeCell ref="T106:T108"/>
    <mergeCell ref="T100:T102"/>
    <mergeCell ref="T94:T96"/>
    <mergeCell ref="A112:A114"/>
    <mergeCell ref="A106:A108"/>
    <mergeCell ref="A100:A102"/>
    <mergeCell ref="A94:A96"/>
    <mergeCell ref="BZ112:BZ114"/>
    <mergeCell ref="BZ106:BZ108"/>
    <mergeCell ref="BZ100:BZ102"/>
    <mergeCell ref="BZ94:BZ96"/>
    <mergeCell ref="BV112:BV114"/>
    <mergeCell ref="BV106:BV108"/>
    <mergeCell ref="BV100:BV102"/>
    <mergeCell ref="BV94:BV96"/>
    <mergeCell ref="BS112:BS114"/>
    <mergeCell ref="BS106:BS108"/>
    <mergeCell ref="BS100:BS102"/>
    <mergeCell ref="BS94:BS96"/>
    <mergeCell ref="DK112:DK114"/>
    <mergeCell ref="DK106:DK108"/>
    <mergeCell ref="DK100:DK102"/>
    <mergeCell ref="DK94:DK96"/>
    <mergeCell ref="D112:D114"/>
    <mergeCell ref="D106:D108"/>
    <mergeCell ref="D100:D102"/>
    <mergeCell ref="D94:D96"/>
    <mergeCell ref="U112:U114"/>
    <mergeCell ref="U106:U108"/>
    <mergeCell ref="U100:U102"/>
    <mergeCell ref="U94:U96"/>
    <mergeCell ref="W112:W114"/>
    <mergeCell ref="W106:W108"/>
    <mergeCell ref="W100:W102"/>
    <mergeCell ref="W94:W96"/>
    <mergeCell ref="Y112:Y114"/>
    <mergeCell ref="Y106:Y108"/>
    <mergeCell ref="Y100:Y102"/>
    <mergeCell ref="Y94:Y96"/>
    <mergeCell ref="Z112:Z114"/>
    <mergeCell ref="Z106:Z108"/>
    <mergeCell ref="Z100:Z102"/>
    <mergeCell ref="Z94:Z96"/>
    <mergeCell ref="AB112:AB114"/>
    <mergeCell ref="AB106:AB108"/>
    <mergeCell ref="AB100:AB102"/>
    <mergeCell ref="AB94:AB96"/>
    <mergeCell ref="BU112:BU114"/>
    <mergeCell ref="BU106:BU108"/>
    <mergeCell ref="BU100:BU102"/>
    <mergeCell ref="BU94:BU96"/>
    <mergeCell ref="BT112:BT114"/>
    <mergeCell ref="BT106:BT108"/>
    <mergeCell ref="BT100:BT102"/>
    <mergeCell ref="BT94:BT96"/>
    <mergeCell ref="AC112:AC114"/>
    <mergeCell ref="AC106:AC108"/>
    <mergeCell ref="AC100:AC102"/>
    <mergeCell ref="AC94:AC96"/>
    <mergeCell ref="CD112:CD114"/>
    <mergeCell ref="CD106:CD108"/>
    <mergeCell ref="CD100:CD102"/>
    <mergeCell ref="CD94:CD96"/>
    <mergeCell ref="S112:S114"/>
    <mergeCell ref="S106:S108"/>
    <mergeCell ref="S100:S102"/>
    <mergeCell ref="S94:S96"/>
    <mergeCell ref="BW112:BW114"/>
    <mergeCell ref="BW106:BW108"/>
    <mergeCell ref="BW100:BW102"/>
    <mergeCell ref="BW94:BW96"/>
    <mergeCell ref="BX112:BX114"/>
    <mergeCell ref="BX106:BX108"/>
    <mergeCell ref="BX100:BX102"/>
    <mergeCell ref="BX94:BX96"/>
    <mergeCell ref="BY112:BY114"/>
    <mergeCell ref="BY106:BY108"/>
    <mergeCell ref="BY100:BY102"/>
    <mergeCell ref="BY94:BY96"/>
    <mergeCell ref="H112:H114"/>
    <mergeCell ref="H106:H108"/>
    <mergeCell ref="H100:H102"/>
    <mergeCell ref="H94:H96"/>
    <mergeCell ref="N112:N114"/>
    <mergeCell ref="N106:N108"/>
    <mergeCell ref="N100:N102"/>
    <mergeCell ref="N94:N96"/>
    <mergeCell ref="CB112:CB114"/>
    <mergeCell ref="CB106:CB108"/>
    <mergeCell ref="CB100:CB102"/>
    <mergeCell ref="CB94:CB96"/>
    <mergeCell ref="CE112:CE114"/>
    <mergeCell ref="CE106:CE108"/>
    <mergeCell ref="CE100:CE102"/>
    <mergeCell ref="CE94:CE96"/>
    <mergeCell ref="CA112:CA114"/>
    <mergeCell ref="CA106:CA108"/>
    <mergeCell ref="CA100:CA102"/>
    <mergeCell ref="CA94:CA96"/>
    <mergeCell ref="B112:B114"/>
    <mergeCell ref="B106:B108"/>
    <mergeCell ref="B100:B102"/>
    <mergeCell ref="B94:B96"/>
    <mergeCell ref="CC112:CC114"/>
    <mergeCell ref="CC106:CC108"/>
    <mergeCell ref="CC100:CC102"/>
    <mergeCell ref="CC94:CC96"/>
    <mergeCell ref="AA112:AA114"/>
    <mergeCell ref="AA106:AA108"/>
    <mergeCell ref="AA100:AA102"/>
    <mergeCell ref="AA94:AA96"/>
    <mergeCell ref="X112:X114"/>
    <mergeCell ref="X106:X108"/>
    <mergeCell ref="X100:X102"/>
    <mergeCell ref="X94:X96"/>
    <mergeCell ref="V112:V114"/>
    <mergeCell ref="V106:V108"/>
    <mergeCell ref="V100:V102"/>
    <mergeCell ref="V94:V96"/>
    <mergeCell ref="G112:G114"/>
    <mergeCell ref="G109:G111"/>
    <mergeCell ref="G106:G108"/>
    <mergeCell ref="G103:G105"/>
    <mergeCell ref="G100:G102"/>
    <mergeCell ref="G97:G99"/>
    <mergeCell ref="G94:G96"/>
    <mergeCell ref="G91:G93"/>
    <mergeCell ref="G88:G90"/>
    <mergeCell ref="T199:T201"/>
    <mergeCell ref="T193:T195"/>
    <mergeCell ref="T187:T189"/>
    <mergeCell ref="T181:T183"/>
    <mergeCell ref="T175:T177"/>
    <mergeCell ref="T169:T171"/>
    <mergeCell ref="T163:T165"/>
    <mergeCell ref="T157:T159"/>
    <mergeCell ref="T151:T153"/>
    <mergeCell ref="T145:T147"/>
    <mergeCell ref="T139:T141"/>
    <mergeCell ref="T133:T135"/>
    <mergeCell ref="T127:T129"/>
    <mergeCell ref="T121:T123"/>
    <mergeCell ref="T115:T117"/>
    <mergeCell ref="A199:A201"/>
    <mergeCell ref="A193:A195"/>
    <mergeCell ref="A187:A189"/>
    <mergeCell ref="A181:A183"/>
    <mergeCell ref="A175:A177"/>
    <mergeCell ref="A169:A171"/>
    <mergeCell ref="A163:A165"/>
    <mergeCell ref="A157:A159"/>
    <mergeCell ref="A151:A153"/>
    <mergeCell ref="A145:A147"/>
    <mergeCell ref="A139:A141"/>
    <mergeCell ref="A133:A135"/>
    <mergeCell ref="A127:A129"/>
    <mergeCell ref="A121:A123"/>
    <mergeCell ref="A115:A117"/>
    <mergeCell ref="BZ199:BZ201"/>
    <mergeCell ref="BZ193:BZ195"/>
    <mergeCell ref="BZ187:BZ189"/>
    <mergeCell ref="BZ181:BZ183"/>
    <mergeCell ref="BZ175:BZ177"/>
    <mergeCell ref="BZ169:BZ171"/>
    <mergeCell ref="BZ163:BZ165"/>
    <mergeCell ref="BZ157:BZ159"/>
    <mergeCell ref="BZ151:BZ153"/>
    <mergeCell ref="BZ145:BZ147"/>
    <mergeCell ref="BZ139:BZ141"/>
    <mergeCell ref="BZ133:BZ135"/>
    <mergeCell ref="BZ127:BZ129"/>
    <mergeCell ref="BZ121:BZ123"/>
    <mergeCell ref="BZ115:BZ117"/>
    <mergeCell ref="BV199:BV201"/>
    <mergeCell ref="BV193:BV195"/>
    <mergeCell ref="BV187:BV189"/>
    <mergeCell ref="BV181:BV183"/>
    <mergeCell ref="BV175:BV177"/>
    <mergeCell ref="BV169:BV171"/>
    <mergeCell ref="BV163:BV165"/>
    <mergeCell ref="BV157:BV159"/>
    <mergeCell ref="BV151:BV153"/>
    <mergeCell ref="BV145:BV147"/>
    <mergeCell ref="BV139:BV141"/>
    <mergeCell ref="BV133:BV135"/>
    <mergeCell ref="BV127:BV129"/>
    <mergeCell ref="BV121:BV123"/>
    <mergeCell ref="BV115:BV117"/>
    <mergeCell ref="BS199:BS201"/>
    <mergeCell ref="BS193:BS195"/>
    <mergeCell ref="BS187:BS189"/>
    <mergeCell ref="BS181:BS183"/>
    <mergeCell ref="BS175:BS177"/>
    <mergeCell ref="BS169:BS171"/>
    <mergeCell ref="BS163:BS165"/>
    <mergeCell ref="BS157:BS159"/>
    <mergeCell ref="BS151:BS153"/>
    <mergeCell ref="BS145:BS147"/>
    <mergeCell ref="BS139:BS141"/>
    <mergeCell ref="BS133:BS135"/>
    <mergeCell ref="BS127:BS129"/>
    <mergeCell ref="BS121:BS123"/>
    <mergeCell ref="BS115:BS117"/>
    <mergeCell ref="DK199:DK201"/>
    <mergeCell ref="DK193:DK195"/>
    <mergeCell ref="DK187:DK189"/>
    <mergeCell ref="DK181:DK183"/>
    <mergeCell ref="DK175:DK177"/>
    <mergeCell ref="DK169:DK171"/>
    <mergeCell ref="DK163:DK165"/>
    <mergeCell ref="DK157:DK159"/>
    <mergeCell ref="DK151:DK153"/>
    <mergeCell ref="DK145:DK147"/>
    <mergeCell ref="DK139:DK141"/>
    <mergeCell ref="DK133:DK135"/>
    <mergeCell ref="DK127:DK129"/>
    <mergeCell ref="DK121:DK123"/>
    <mergeCell ref="DK115:DK117"/>
    <mergeCell ref="D199:D201"/>
    <mergeCell ref="D193:D195"/>
    <mergeCell ref="D187:D189"/>
    <mergeCell ref="D181:D183"/>
    <mergeCell ref="D175:D177"/>
    <mergeCell ref="D169:D171"/>
    <mergeCell ref="D163:D165"/>
    <mergeCell ref="D157:D159"/>
    <mergeCell ref="D151:D153"/>
    <mergeCell ref="D145:D147"/>
    <mergeCell ref="D139:D141"/>
    <mergeCell ref="D133:D135"/>
    <mergeCell ref="D127:D129"/>
    <mergeCell ref="D121:D123"/>
    <mergeCell ref="D115:D117"/>
    <mergeCell ref="U199:U201"/>
    <mergeCell ref="U193:U195"/>
    <mergeCell ref="U187:U189"/>
    <mergeCell ref="U181:U183"/>
    <mergeCell ref="U175:U177"/>
    <mergeCell ref="U169:U171"/>
    <mergeCell ref="U163:U165"/>
    <mergeCell ref="U157:U159"/>
    <mergeCell ref="U151:U153"/>
    <mergeCell ref="U145:U147"/>
    <mergeCell ref="U139:U141"/>
    <mergeCell ref="U133:U135"/>
    <mergeCell ref="U127:U129"/>
    <mergeCell ref="U121:U123"/>
    <mergeCell ref="U115:U117"/>
    <mergeCell ref="W199:W201"/>
    <mergeCell ref="W193:W195"/>
    <mergeCell ref="W187:W189"/>
    <mergeCell ref="W181:W183"/>
    <mergeCell ref="W175:W177"/>
    <mergeCell ref="W169:W171"/>
    <mergeCell ref="W163:W165"/>
    <mergeCell ref="W157:W159"/>
    <mergeCell ref="W151:W153"/>
    <mergeCell ref="W145:W147"/>
    <mergeCell ref="W139:W141"/>
    <mergeCell ref="W133:W135"/>
    <mergeCell ref="W127:W129"/>
    <mergeCell ref="W121:W123"/>
    <mergeCell ref="W115:W117"/>
    <mergeCell ref="Y199:Y201"/>
    <mergeCell ref="Y193:Y195"/>
    <mergeCell ref="Y187:Y189"/>
    <mergeCell ref="Y181:Y183"/>
    <mergeCell ref="Y175:Y177"/>
    <mergeCell ref="Y169:Y171"/>
    <mergeCell ref="Y163:Y165"/>
    <mergeCell ref="Y157:Y159"/>
    <mergeCell ref="Y151:Y153"/>
    <mergeCell ref="Y145:Y147"/>
    <mergeCell ref="Y139:Y141"/>
    <mergeCell ref="Y133:Y135"/>
    <mergeCell ref="Y127:Y129"/>
    <mergeCell ref="Y121:Y123"/>
    <mergeCell ref="Y115:Y117"/>
    <mergeCell ref="Z199:Z201"/>
    <mergeCell ref="Z193:Z195"/>
    <mergeCell ref="Z187:Z189"/>
    <mergeCell ref="Z181:Z183"/>
    <mergeCell ref="Z175:Z177"/>
    <mergeCell ref="Z169:Z171"/>
    <mergeCell ref="Z163:Z165"/>
    <mergeCell ref="Z157:Z159"/>
    <mergeCell ref="Z151:Z153"/>
    <mergeCell ref="Z145:Z147"/>
    <mergeCell ref="Z139:Z141"/>
    <mergeCell ref="Z133:Z135"/>
    <mergeCell ref="Z127:Z129"/>
    <mergeCell ref="Z121:Z123"/>
    <mergeCell ref="Z115:Z117"/>
    <mergeCell ref="AB199:AB201"/>
    <mergeCell ref="AB193:AB195"/>
    <mergeCell ref="AB187:AB189"/>
    <mergeCell ref="AB181:AB183"/>
    <mergeCell ref="AB175:AB177"/>
    <mergeCell ref="AB169:AB171"/>
    <mergeCell ref="AB163:AB165"/>
    <mergeCell ref="AB157:AB159"/>
    <mergeCell ref="AB151:AB153"/>
    <mergeCell ref="AB145:AB147"/>
    <mergeCell ref="AB139:AB141"/>
    <mergeCell ref="AB133:AB135"/>
    <mergeCell ref="AB127:AB129"/>
    <mergeCell ref="AB121:AB123"/>
    <mergeCell ref="AB115:AB117"/>
    <mergeCell ref="BU199:BU201"/>
    <mergeCell ref="BU193:BU195"/>
    <mergeCell ref="BU187:BU189"/>
    <mergeCell ref="BU181:BU183"/>
    <mergeCell ref="BU175:BU177"/>
    <mergeCell ref="BU169:BU171"/>
    <mergeCell ref="BU163:BU165"/>
    <mergeCell ref="BU157:BU159"/>
    <mergeCell ref="BU151:BU153"/>
    <mergeCell ref="BU145:BU147"/>
    <mergeCell ref="BU139:BU141"/>
    <mergeCell ref="BU133:BU135"/>
    <mergeCell ref="BU127:BU129"/>
    <mergeCell ref="BU121:BU123"/>
    <mergeCell ref="BU115:BU117"/>
    <mergeCell ref="BT199:BT201"/>
    <mergeCell ref="BT193:BT195"/>
    <mergeCell ref="BT187:BT189"/>
    <mergeCell ref="BT181:BT183"/>
    <mergeCell ref="BT175:BT177"/>
    <mergeCell ref="BT169:BT171"/>
    <mergeCell ref="BT163:BT165"/>
    <mergeCell ref="BT157:BT159"/>
    <mergeCell ref="BT151:BT153"/>
    <mergeCell ref="BT145:BT147"/>
    <mergeCell ref="BT139:BT141"/>
    <mergeCell ref="BT133:BT135"/>
    <mergeCell ref="BT127:BT129"/>
    <mergeCell ref="BT121:BT123"/>
    <mergeCell ref="BT115:BT117"/>
    <mergeCell ref="AC199:AC201"/>
    <mergeCell ref="AC193:AC195"/>
    <mergeCell ref="AC187:AC189"/>
    <mergeCell ref="AC181:AC183"/>
    <mergeCell ref="AC175:AC177"/>
    <mergeCell ref="AC169:AC171"/>
    <mergeCell ref="AC163:AC165"/>
    <mergeCell ref="AC157:AC159"/>
    <mergeCell ref="AC151:AC153"/>
    <mergeCell ref="AC145:AC147"/>
    <mergeCell ref="AC139:AC141"/>
    <mergeCell ref="AC133:AC135"/>
    <mergeCell ref="AC127:AC129"/>
    <mergeCell ref="AC121:AC123"/>
    <mergeCell ref="AC115:AC117"/>
    <mergeCell ref="CD199:CD201"/>
    <mergeCell ref="CD193:CD195"/>
    <mergeCell ref="CD187:CD189"/>
    <mergeCell ref="CD181:CD183"/>
    <mergeCell ref="CD175:CD177"/>
    <mergeCell ref="CD169:CD171"/>
    <mergeCell ref="CD163:CD165"/>
    <mergeCell ref="CD157:CD159"/>
    <mergeCell ref="CD151:CD153"/>
    <mergeCell ref="CD145:CD147"/>
    <mergeCell ref="CD139:CD141"/>
    <mergeCell ref="CD133:CD135"/>
    <mergeCell ref="CD127:CD129"/>
    <mergeCell ref="CD121:CD123"/>
    <mergeCell ref="CD115:CD117"/>
    <mergeCell ref="S199:S201"/>
    <mergeCell ref="S193:S195"/>
    <mergeCell ref="S187:S189"/>
    <mergeCell ref="S181:S183"/>
    <mergeCell ref="S175:S177"/>
    <mergeCell ref="S169:S171"/>
    <mergeCell ref="S163:S165"/>
    <mergeCell ref="S157:S159"/>
    <mergeCell ref="S151:S153"/>
    <mergeCell ref="S145:S147"/>
    <mergeCell ref="S139:S141"/>
    <mergeCell ref="S133:S135"/>
    <mergeCell ref="S127:S129"/>
    <mergeCell ref="S121:S123"/>
    <mergeCell ref="S115:S117"/>
    <mergeCell ref="BW199:BW201"/>
    <mergeCell ref="BW193:BW195"/>
    <mergeCell ref="BW187:BW189"/>
    <mergeCell ref="BW181:BW183"/>
    <mergeCell ref="BW175:BW177"/>
    <mergeCell ref="BW169:BW171"/>
    <mergeCell ref="BW163:BW165"/>
    <mergeCell ref="BW157:BW159"/>
    <mergeCell ref="BW151:BW153"/>
    <mergeCell ref="BW145:BW147"/>
    <mergeCell ref="BW139:BW141"/>
    <mergeCell ref="BW133:BW135"/>
    <mergeCell ref="BW127:BW129"/>
    <mergeCell ref="BW121:BW123"/>
    <mergeCell ref="BW115:BW117"/>
    <mergeCell ref="BX199:BX201"/>
    <mergeCell ref="BX193:BX195"/>
    <mergeCell ref="BX187:BX189"/>
    <mergeCell ref="BX181:BX183"/>
    <mergeCell ref="BX175:BX177"/>
    <mergeCell ref="BX169:BX171"/>
    <mergeCell ref="BX163:BX165"/>
    <mergeCell ref="BX157:BX159"/>
    <mergeCell ref="BX151:BX153"/>
    <mergeCell ref="BX145:BX147"/>
    <mergeCell ref="BX139:BX141"/>
    <mergeCell ref="BX133:BX135"/>
    <mergeCell ref="BX127:BX129"/>
    <mergeCell ref="BX121:BX123"/>
    <mergeCell ref="BX115:BX117"/>
    <mergeCell ref="BY199:BY201"/>
    <mergeCell ref="BY193:BY195"/>
    <mergeCell ref="BY187:BY189"/>
    <mergeCell ref="BY181:BY183"/>
    <mergeCell ref="BY175:BY177"/>
    <mergeCell ref="BY169:BY171"/>
    <mergeCell ref="BY163:BY165"/>
    <mergeCell ref="BY157:BY159"/>
    <mergeCell ref="BY151:BY153"/>
    <mergeCell ref="BY145:BY147"/>
    <mergeCell ref="BY139:BY141"/>
    <mergeCell ref="BY133:BY135"/>
    <mergeCell ref="BY127:BY129"/>
    <mergeCell ref="BY121:BY123"/>
    <mergeCell ref="BY115:BY117"/>
    <mergeCell ref="H199:H201"/>
    <mergeCell ref="H193:H195"/>
    <mergeCell ref="H187:H189"/>
    <mergeCell ref="H181:H183"/>
    <mergeCell ref="H175:H177"/>
    <mergeCell ref="H169:H171"/>
    <mergeCell ref="H163:H165"/>
    <mergeCell ref="H157:H159"/>
    <mergeCell ref="H151:H153"/>
    <mergeCell ref="H145:H147"/>
    <mergeCell ref="H139:H141"/>
    <mergeCell ref="H133:H135"/>
    <mergeCell ref="H127:H129"/>
    <mergeCell ref="H121:H123"/>
    <mergeCell ref="H115:H117"/>
    <mergeCell ref="N199:N201"/>
    <mergeCell ref="N193:N195"/>
    <mergeCell ref="N187:N189"/>
    <mergeCell ref="N181:N183"/>
    <mergeCell ref="N175:N177"/>
    <mergeCell ref="N169:N171"/>
    <mergeCell ref="N163:N165"/>
    <mergeCell ref="N157:N159"/>
    <mergeCell ref="N151:N153"/>
    <mergeCell ref="N145:N147"/>
    <mergeCell ref="N139:N141"/>
    <mergeCell ref="N133:N135"/>
    <mergeCell ref="N127:N129"/>
    <mergeCell ref="N121:N123"/>
    <mergeCell ref="N115:N117"/>
    <mergeCell ref="CB199:CB201"/>
    <mergeCell ref="CB193:CB195"/>
    <mergeCell ref="CB187:CB189"/>
    <mergeCell ref="CB181:CB183"/>
    <mergeCell ref="CB175:CB177"/>
    <mergeCell ref="CB169:CB171"/>
    <mergeCell ref="CB163:CB165"/>
    <mergeCell ref="CB157:CB159"/>
    <mergeCell ref="CB151:CB153"/>
    <mergeCell ref="CB145:CB147"/>
    <mergeCell ref="CB139:CB141"/>
    <mergeCell ref="CB133:CB135"/>
    <mergeCell ref="CB127:CB129"/>
    <mergeCell ref="CB121:CB123"/>
    <mergeCell ref="CB115:CB117"/>
    <mergeCell ref="CE199:CE201"/>
    <mergeCell ref="CE193:CE195"/>
    <mergeCell ref="CE187:CE189"/>
    <mergeCell ref="CE181:CE183"/>
    <mergeCell ref="CE175:CE177"/>
    <mergeCell ref="CE169:CE171"/>
    <mergeCell ref="CE163:CE165"/>
    <mergeCell ref="CE157:CE159"/>
    <mergeCell ref="CE151:CE153"/>
    <mergeCell ref="CE145:CE147"/>
    <mergeCell ref="CE139:CE141"/>
    <mergeCell ref="CE133:CE135"/>
    <mergeCell ref="CE127:CE129"/>
    <mergeCell ref="CE121:CE123"/>
    <mergeCell ref="CE115:CE117"/>
    <mergeCell ref="CA199:CA201"/>
    <mergeCell ref="CA193:CA195"/>
    <mergeCell ref="CA187:CA189"/>
    <mergeCell ref="CA181:CA183"/>
    <mergeCell ref="CA175:CA177"/>
    <mergeCell ref="CA169:CA171"/>
    <mergeCell ref="CA163:CA165"/>
    <mergeCell ref="CA157:CA159"/>
    <mergeCell ref="CA151:CA153"/>
    <mergeCell ref="CA145:CA147"/>
    <mergeCell ref="CA139:CA141"/>
    <mergeCell ref="CA133:CA135"/>
    <mergeCell ref="CA127:CA129"/>
    <mergeCell ref="CA121:CA123"/>
    <mergeCell ref="CA115:CA117"/>
    <mergeCell ref="B199:B201"/>
    <mergeCell ref="B193:B195"/>
    <mergeCell ref="B187:B189"/>
    <mergeCell ref="B181:B183"/>
    <mergeCell ref="B175:B177"/>
    <mergeCell ref="B169:B171"/>
    <mergeCell ref="B163:B165"/>
    <mergeCell ref="B157:B159"/>
    <mergeCell ref="B151:B153"/>
    <mergeCell ref="B145:B147"/>
    <mergeCell ref="B139:B141"/>
    <mergeCell ref="B133:B135"/>
    <mergeCell ref="B127:B129"/>
    <mergeCell ref="B121:B123"/>
    <mergeCell ref="B115:B117"/>
    <mergeCell ref="CC199:CC201"/>
    <mergeCell ref="CC193:CC195"/>
    <mergeCell ref="CC187:CC189"/>
    <mergeCell ref="CC181:CC183"/>
    <mergeCell ref="CC175:CC177"/>
    <mergeCell ref="CC169:CC171"/>
    <mergeCell ref="CC163:CC165"/>
    <mergeCell ref="CC157:CC159"/>
    <mergeCell ref="CC151:CC153"/>
    <mergeCell ref="CC145:CC147"/>
    <mergeCell ref="CC139:CC141"/>
    <mergeCell ref="CC133:CC135"/>
    <mergeCell ref="CC127:CC129"/>
    <mergeCell ref="CC121:CC123"/>
    <mergeCell ref="CC115:CC117"/>
    <mergeCell ref="AA199:AA201"/>
    <mergeCell ref="AA193:AA195"/>
    <mergeCell ref="AA187:AA189"/>
    <mergeCell ref="AA181:AA183"/>
    <mergeCell ref="AA175:AA177"/>
    <mergeCell ref="AA169:AA171"/>
    <mergeCell ref="AA163:AA165"/>
    <mergeCell ref="AA157:AA159"/>
    <mergeCell ref="AA151:AA153"/>
    <mergeCell ref="AA145:AA147"/>
    <mergeCell ref="AA139:AA141"/>
    <mergeCell ref="AA133:AA135"/>
    <mergeCell ref="AA127:AA129"/>
    <mergeCell ref="AA121:AA123"/>
    <mergeCell ref="AA115:AA117"/>
    <mergeCell ref="X199:X201"/>
    <mergeCell ref="X193:X195"/>
    <mergeCell ref="X187:X189"/>
    <mergeCell ref="X181:X183"/>
    <mergeCell ref="X175:X177"/>
    <mergeCell ref="X169:X171"/>
    <mergeCell ref="X163:X165"/>
    <mergeCell ref="X157:X159"/>
    <mergeCell ref="X151:X153"/>
    <mergeCell ref="X145:X147"/>
    <mergeCell ref="X139:X141"/>
    <mergeCell ref="X133:X135"/>
    <mergeCell ref="X127:X129"/>
    <mergeCell ref="X121:X123"/>
    <mergeCell ref="X115:X117"/>
    <mergeCell ref="V199:V201"/>
    <mergeCell ref="V193:V195"/>
    <mergeCell ref="V187:V189"/>
    <mergeCell ref="V181:V183"/>
    <mergeCell ref="V175:V177"/>
    <mergeCell ref="V169:V171"/>
    <mergeCell ref="V163:V165"/>
    <mergeCell ref="V157:V159"/>
    <mergeCell ref="V151:V153"/>
    <mergeCell ref="V145:V147"/>
    <mergeCell ref="V139:V141"/>
    <mergeCell ref="V133:V135"/>
    <mergeCell ref="V127:V129"/>
    <mergeCell ref="V121:V123"/>
    <mergeCell ref="V115:V117"/>
    <mergeCell ref="T196:T198"/>
    <mergeCell ref="T190:T192"/>
    <mergeCell ref="T184:T186"/>
    <mergeCell ref="T178:T180"/>
    <mergeCell ref="T172:T174"/>
    <mergeCell ref="T166:T168"/>
    <mergeCell ref="T160:T162"/>
    <mergeCell ref="T154:T156"/>
    <mergeCell ref="T148:T150"/>
    <mergeCell ref="T142:T144"/>
    <mergeCell ref="T136:T138"/>
    <mergeCell ref="T130:T132"/>
    <mergeCell ref="T124:T126"/>
    <mergeCell ref="T118:T120"/>
    <mergeCell ref="A196:A198"/>
    <mergeCell ref="A190:A192"/>
    <mergeCell ref="A184:A186"/>
    <mergeCell ref="A178:A180"/>
    <mergeCell ref="A172:A174"/>
    <mergeCell ref="A166:A168"/>
    <mergeCell ref="A160:A162"/>
    <mergeCell ref="A154:A156"/>
    <mergeCell ref="A148:A150"/>
    <mergeCell ref="A142:A144"/>
    <mergeCell ref="A136:A138"/>
    <mergeCell ref="A130:A132"/>
    <mergeCell ref="A124:A126"/>
    <mergeCell ref="A118:A120"/>
    <mergeCell ref="BZ196:BZ198"/>
    <mergeCell ref="BZ190:BZ192"/>
    <mergeCell ref="BZ184:BZ186"/>
    <mergeCell ref="BZ178:BZ180"/>
    <mergeCell ref="BZ172:BZ174"/>
    <mergeCell ref="BZ166:BZ168"/>
    <mergeCell ref="BZ160:BZ162"/>
    <mergeCell ref="BZ154:BZ156"/>
    <mergeCell ref="BZ148:BZ150"/>
    <mergeCell ref="BZ142:BZ144"/>
    <mergeCell ref="BZ136:BZ138"/>
    <mergeCell ref="BZ130:BZ132"/>
    <mergeCell ref="BZ124:BZ126"/>
    <mergeCell ref="BZ118:BZ120"/>
    <mergeCell ref="BV196:BV198"/>
    <mergeCell ref="BV190:BV192"/>
    <mergeCell ref="BV184:BV186"/>
    <mergeCell ref="BV178:BV180"/>
    <mergeCell ref="BV172:BV174"/>
    <mergeCell ref="BV166:BV168"/>
    <mergeCell ref="BV160:BV162"/>
    <mergeCell ref="BV154:BV156"/>
    <mergeCell ref="BV148:BV150"/>
    <mergeCell ref="BV142:BV144"/>
    <mergeCell ref="BV136:BV138"/>
    <mergeCell ref="BV130:BV132"/>
    <mergeCell ref="BV124:BV126"/>
    <mergeCell ref="BV118:BV120"/>
    <mergeCell ref="BS196:BS198"/>
    <mergeCell ref="BS190:BS192"/>
    <mergeCell ref="BS184:BS186"/>
    <mergeCell ref="BS178:BS180"/>
    <mergeCell ref="BS172:BS174"/>
    <mergeCell ref="BS166:BS168"/>
    <mergeCell ref="BS160:BS162"/>
    <mergeCell ref="BS154:BS156"/>
    <mergeCell ref="BS148:BS150"/>
    <mergeCell ref="BS142:BS144"/>
    <mergeCell ref="BS136:BS138"/>
    <mergeCell ref="BS130:BS132"/>
    <mergeCell ref="BS124:BS126"/>
    <mergeCell ref="BS118:BS120"/>
    <mergeCell ref="DK196:DK198"/>
    <mergeCell ref="DK190:DK192"/>
    <mergeCell ref="DK184:DK186"/>
    <mergeCell ref="DK178:DK180"/>
    <mergeCell ref="DK172:DK174"/>
    <mergeCell ref="DK166:DK168"/>
    <mergeCell ref="DK160:DK162"/>
    <mergeCell ref="DK154:DK156"/>
    <mergeCell ref="DK148:DK150"/>
    <mergeCell ref="DK142:DK144"/>
    <mergeCell ref="DK136:DK138"/>
    <mergeCell ref="DK130:DK132"/>
    <mergeCell ref="DK124:DK126"/>
    <mergeCell ref="DK118:DK120"/>
    <mergeCell ref="D196:D198"/>
    <mergeCell ref="D190:D192"/>
    <mergeCell ref="D184:D186"/>
    <mergeCell ref="D178:D180"/>
    <mergeCell ref="D172:D174"/>
    <mergeCell ref="D166:D168"/>
    <mergeCell ref="D160:D162"/>
    <mergeCell ref="D154:D156"/>
    <mergeCell ref="D148:D150"/>
    <mergeCell ref="D142:D144"/>
    <mergeCell ref="D136:D138"/>
    <mergeCell ref="D130:D132"/>
    <mergeCell ref="D124:D126"/>
    <mergeCell ref="D118:D120"/>
    <mergeCell ref="U196:U198"/>
    <mergeCell ref="U190:U192"/>
    <mergeCell ref="U184:U186"/>
    <mergeCell ref="U178:U180"/>
    <mergeCell ref="U172:U174"/>
    <mergeCell ref="U166:U168"/>
    <mergeCell ref="U160:U162"/>
    <mergeCell ref="U154:U156"/>
    <mergeCell ref="U148:U150"/>
    <mergeCell ref="U142:U144"/>
    <mergeCell ref="U136:U138"/>
    <mergeCell ref="U130:U132"/>
    <mergeCell ref="U124:U126"/>
    <mergeCell ref="U118:U120"/>
    <mergeCell ref="W196:W198"/>
    <mergeCell ref="W190:W192"/>
    <mergeCell ref="W184:W186"/>
    <mergeCell ref="W178:W180"/>
    <mergeCell ref="W172:W174"/>
    <mergeCell ref="W166:W168"/>
    <mergeCell ref="W160:W162"/>
    <mergeCell ref="W154:W156"/>
    <mergeCell ref="W148:W150"/>
    <mergeCell ref="W142:W144"/>
    <mergeCell ref="W136:W138"/>
    <mergeCell ref="W130:W132"/>
    <mergeCell ref="W124:W126"/>
    <mergeCell ref="W118:W120"/>
    <mergeCell ref="Y196:Y198"/>
    <mergeCell ref="Y190:Y192"/>
    <mergeCell ref="Y184:Y186"/>
    <mergeCell ref="Y178:Y180"/>
    <mergeCell ref="Y172:Y174"/>
    <mergeCell ref="Y166:Y168"/>
    <mergeCell ref="Y160:Y162"/>
    <mergeCell ref="Y154:Y156"/>
    <mergeCell ref="Y148:Y150"/>
    <mergeCell ref="Y142:Y144"/>
    <mergeCell ref="Y136:Y138"/>
    <mergeCell ref="Y130:Y132"/>
    <mergeCell ref="Y124:Y126"/>
    <mergeCell ref="Y118:Y120"/>
    <mergeCell ref="Z196:Z198"/>
    <mergeCell ref="Z190:Z192"/>
    <mergeCell ref="Z184:Z186"/>
    <mergeCell ref="Z178:Z180"/>
    <mergeCell ref="Z172:Z174"/>
    <mergeCell ref="Z166:Z168"/>
    <mergeCell ref="Z160:Z162"/>
    <mergeCell ref="Z154:Z156"/>
    <mergeCell ref="Z148:Z150"/>
    <mergeCell ref="Z142:Z144"/>
    <mergeCell ref="Z136:Z138"/>
    <mergeCell ref="Z130:Z132"/>
    <mergeCell ref="Z124:Z126"/>
    <mergeCell ref="Z118:Z120"/>
    <mergeCell ref="AB196:AB198"/>
    <mergeCell ref="AB190:AB192"/>
    <mergeCell ref="AB184:AB186"/>
    <mergeCell ref="AB178:AB180"/>
    <mergeCell ref="AB172:AB174"/>
    <mergeCell ref="AB166:AB168"/>
    <mergeCell ref="AB160:AB162"/>
    <mergeCell ref="AB154:AB156"/>
    <mergeCell ref="AB148:AB150"/>
    <mergeCell ref="AB142:AB144"/>
    <mergeCell ref="AB136:AB138"/>
    <mergeCell ref="AB130:AB132"/>
    <mergeCell ref="AB124:AB126"/>
    <mergeCell ref="AB118:AB120"/>
    <mergeCell ref="BU196:BU198"/>
    <mergeCell ref="BU190:BU192"/>
    <mergeCell ref="BU184:BU186"/>
    <mergeCell ref="BU178:BU180"/>
    <mergeCell ref="BU172:BU174"/>
    <mergeCell ref="BU166:BU168"/>
    <mergeCell ref="BU160:BU162"/>
    <mergeCell ref="BU154:BU156"/>
    <mergeCell ref="BU148:BU150"/>
    <mergeCell ref="BU142:BU144"/>
    <mergeCell ref="BU136:BU138"/>
    <mergeCell ref="BU130:BU132"/>
    <mergeCell ref="BU124:BU126"/>
    <mergeCell ref="BU118:BU120"/>
    <mergeCell ref="BT196:BT198"/>
    <mergeCell ref="BT190:BT192"/>
    <mergeCell ref="BT184:BT186"/>
    <mergeCell ref="BT178:BT180"/>
    <mergeCell ref="BT172:BT174"/>
    <mergeCell ref="BT166:BT168"/>
    <mergeCell ref="BT160:BT162"/>
    <mergeCell ref="BT154:BT156"/>
    <mergeCell ref="BT148:BT150"/>
    <mergeCell ref="BT142:BT144"/>
    <mergeCell ref="BT136:BT138"/>
    <mergeCell ref="BT130:BT132"/>
    <mergeCell ref="BT124:BT126"/>
    <mergeCell ref="BT118:BT120"/>
    <mergeCell ref="AC196:AC198"/>
    <mergeCell ref="AC190:AC192"/>
    <mergeCell ref="AC184:AC186"/>
    <mergeCell ref="AC178:AC180"/>
    <mergeCell ref="AC172:AC174"/>
    <mergeCell ref="AC166:AC168"/>
    <mergeCell ref="AC160:AC162"/>
    <mergeCell ref="AC154:AC156"/>
    <mergeCell ref="AC148:AC150"/>
    <mergeCell ref="AC142:AC144"/>
    <mergeCell ref="AC136:AC138"/>
    <mergeCell ref="AC130:AC132"/>
    <mergeCell ref="AC124:AC126"/>
    <mergeCell ref="AC118:AC120"/>
    <mergeCell ref="CD196:CD198"/>
    <mergeCell ref="CD190:CD192"/>
    <mergeCell ref="CD184:CD186"/>
    <mergeCell ref="CD178:CD180"/>
    <mergeCell ref="CD172:CD174"/>
    <mergeCell ref="CD166:CD168"/>
    <mergeCell ref="CD160:CD162"/>
    <mergeCell ref="CD154:CD156"/>
    <mergeCell ref="CD148:CD150"/>
    <mergeCell ref="CD142:CD144"/>
    <mergeCell ref="CD136:CD138"/>
    <mergeCell ref="CD130:CD132"/>
    <mergeCell ref="CD124:CD126"/>
    <mergeCell ref="CD118:CD120"/>
    <mergeCell ref="S196:S198"/>
    <mergeCell ref="S190:S192"/>
    <mergeCell ref="S184:S186"/>
    <mergeCell ref="S178:S180"/>
    <mergeCell ref="S172:S174"/>
    <mergeCell ref="S166:S168"/>
    <mergeCell ref="S160:S162"/>
    <mergeCell ref="S154:S156"/>
    <mergeCell ref="S148:S150"/>
    <mergeCell ref="S142:S144"/>
    <mergeCell ref="S136:S138"/>
    <mergeCell ref="S130:S132"/>
    <mergeCell ref="S124:S126"/>
    <mergeCell ref="S118:S120"/>
    <mergeCell ref="BW196:BW198"/>
    <mergeCell ref="BW190:BW192"/>
    <mergeCell ref="BW184:BW186"/>
    <mergeCell ref="BW178:BW180"/>
    <mergeCell ref="BW172:BW174"/>
    <mergeCell ref="BW166:BW168"/>
    <mergeCell ref="BW160:BW162"/>
    <mergeCell ref="BW154:BW156"/>
    <mergeCell ref="BW148:BW150"/>
    <mergeCell ref="BW142:BW144"/>
    <mergeCell ref="BW136:BW138"/>
    <mergeCell ref="BW130:BW132"/>
    <mergeCell ref="BW124:BW126"/>
    <mergeCell ref="BW118:BW120"/>
    <mergeCell ref="BX196:BX198"/>
    <mergeCell ref="BX190:BX192"/>
    <mergeCell ref="BX184:BX186"/>
    <mergeCell ref="BX178:BX180"/>
    <mergeCell ref="BX172:BX174"/>
    <mergeCell ref="BX166:BX168"/>
    <mergeCell ref="BX160:BX162"/>
    <mergeCell ref="BX154:BX156"/>
    <mergeCell ref="BX148:BX150"/>
    <mergeCell ref="BX142:BX144"/>
    <mergeCell ref="BX136:BX138"/>
    <mergeCell ref="BX130:BX132"/>
    <mergeCell ref="BX124:BX126"/>
    <mergeCell ref="BX118:BX120"/>
    <mergeCell ref="BY196:BY198"/>
    <mergeCell ref="BY190:BY192"/>
    <mergeCell ref="BY184:BY186"/>
    <mergeCell ref="BY178:BY180"/>
    <mergeCell ref="BY172:BY174"/>
    <mergeCell ref="BY166:BY168"/>
    <mergeCell ref="BY160:BY162"/>
    <mergeCell ref="BY154:BY156"/>
    <mergeCell ref="BY148:BY150"/>
    <mergeCell ref="BY142:BY144"/>
    <mergeCell ref="BY136:BY138"/>
    <mergeCell ref="BY130:BY132"/>
    <mergeCell ref="BY124:BY126"/>
    <mergeCell ref="BY118:BY120"/>
    <mergeCell ref="H196:H198"/>
    <mergeCell ref="H190:H192"/>
    <mergeCell ref="H184:H186"/>
    <mergeCell ref="H178:H180"/>
    <mergeCell ref="H172:H174"/>
    <mergeCell ref="H166:H168"/>
    <mergeCell ref="H160:H162"/>
    <mergeCell ref="H154:H156"/>
    <mergeCell ref="H148:H150"/>
    <mergeCell ref="H142:H144"/>
    <mergeCell ref="H136:H138"/>
    <mergeCell ref="H130:H132"/>
    <mergeCell ref="H124:H126"/>
    <mergeCell ref="H118:H120"/>
    <mergeCell ref="N196:N198"/>
    <mergeCell ref="N190:N192"/>
    <mergeCell ref="N184:N186"/>
    <mergeCell ref="N178:N180"/>
    <mergeCell ref="N172:N174"/>
    <mergeCell ref="N166:N168"/>
    <mergeCell ref="N160:N162"/>
    <mergeCell ref="N154:N156"/>
    <mergeCell ref="N148:N150"/>
    <mergeCell ref="N142:N144"/>
    <mergeCell ref="N136:N138"/>
    <mergeCell ref="N130:N132"/>
    <mergeCell ref="N124:N126"/>
    <mergeCell ref="N118:N120"/>
    <mergeCell ref="CB196:CB198"/>
    <mergeCell ref="CB190:CB192"/>
    <mergeCell ref="CB184:CB186"/>
    <mergeCell ref="CB178:CB180"/>
    <mergeCell ref="CB172:CB174"/>
    <mergeCell ref="CB166:CB168"/>
    <mergeCell ref="CB160:CB162"/>
    <mergeCell ref="CB154:CB156"/>
    <mergeCell ref="CB148:CB150"/>
    <mergeCell ref="CB142:CB144"/>
    <mergeCell ref="CB136:CB138"/>
    <mergeCell ref="CB130:CB132"/>
    <mergeCell ref="CB124:CB126"/>
    <mergeCell ref="CB118:CB120"/>
    <mergeCell ref="CE196:CE198"/>
    <mergeCell ref="CE190:CE192"/>
    <mergeCell ref="CE184:CE186"/>
    <mergeCell ref="CE178:CE180"/>
    <mergeCell ref="CE172:CE174"/>
    <mergeCell ref="CE166:CE168"/>
    <mergeCell ref="CE160:CE162"/>
    <mergeCell ref="CE154:CE156"/>
    <mergeCell ref="CE148:CE150"/>
    <mergeCell ref="CE142:CE144"/>
    <mergeCell ref="CE136:CE138"/>
    <mergeCell ref="CE130:CE132"/>
    <mergeCell ref="CE124:CE126"/>
    <mergeCell ref="CE118:CE120"/>
    <mergeCell ref="CA196:CA198"/>
    <mergeCell ref="CA190:CA192"/>
    <mergeCell ref="CA184:CA186"/>
    <mergeCell ref="CA178:CA180"/>
    <mergeCell ref="CA172:CA174"/>
    <mergeCell ref="CA166:CA168"/>
    <mergeCell ref="CA160:CA162"/>
    <mergeCell ref="CA154:CA156"/>
    <mergeCell ref="CA148:CA150"/>
    <mergeCell ref="CA142:CA144"/>
    <mergeCell ref="CA136:CA138"/>
    <mergeCell ref="CA130:CA132"/>
    <mergeCell ref="CA124:CA126"/>
    <mergeCell ref="CA118:CA120"/>
    <mergeCell ref="B196:B198"/>
    <mergeCell ref="B190:B192"/>
    <mergeCell ref="B184:B186"/>
    <mergeCell ref="B178:B180"/>
    <mergeCell ref="B172:B174"/>
    <mergeCell ref="B166:B168"/>
    <mergeCell ref="B160:B162"/>
    <mergeCell ref="B154:B156"/>
    <mergeCell ref="B148:B150"/>
    <mergeCell ref="B142:B144"/>
    <mergeCell ref="B136:B138"/>
    <mergeCell ref="B130:B132"/>
    <mergeCell ref="B124:B126"/>
    <mergeCell ref="B118:B120"/>
    <mergeCell ref="CC196:CC198"/>
    <mergeCell ref="CC190:CC192"/>
    <mergeCell ref="CC184:CC186"/>
    <mergeCell ref="CC178:CC180"/>
    <mergeCell ref="CC172:CC174"/>
    <mergeCell ref="CC166:CC168"/>
    <mergeCell ref="CC160:CC162"/>
    <mergeCell ref="CC154:CC156"/>
    <mergeCell ref="CC148:CC150"/>
    <mergeCell ref="CC142:CC144"/>
    <mergeCell ref="CC136:CC138"/>
    <mergeCell ref="CC130:CC132"/>
    <mergeCell ref="CC124:CC126"/>
    <mergeCell ref="CC118:CC120"/>
    <mergeCell ref="AA196:AA198"/>
    <mergeCell ref="AA190:AA192"/>
    <mergeCell ref="AA184:AA186"/>
    <mergeCell ref="AA178:AA180"/>
    <mergeCell ref="AA172:AA174"/>
    <mergeCell ref="AA166:AA168"/>
    <mergeCell ref="AA160:AA162"/>
    <mergeCell ref="AA154:AA156"/>
    <mergeCell ref="AA148:AA150"/>
    <mergeCell ref="AA142:AA144"/>
    <mergeCell ref="AA136:AA138"/>
    <mergeCell ref="AA130:AA132"/>
    <mergeCell ref="AA124:AA126"/>
    <mergeCell ref="AA118:AA120"/>
    <mergeCell ref="X196:X198"/>
    <mergeCell ref="X190:X192"/>
    <mergeCell ref="X184:X186"/>
    <mergeCell ref="X178:X180"/>
    <mergeCell ref="X172:X174"/>
    <mergeCell ref="X166:X168"/>
    <mergeCell ref="X160:X162"/>
    <mergeCell ref="X154:X156"/>
    <mergeCell ref="X148:X150"/>
    <mergeCell ref="X142:X144"/>
    <mergeCell ref="X136:X138"/>
    <mergeCell ref="X130:X132"/>
    <mergeCell ref="X124:X126"/>
    <mergeCell ref="X118:X120"/>
    <mergeCell ref="V196:V198"/>
    <mergeCell ref="V190:V192"/>
    <mergeCell ref="V184:V186"/>
    <mergeCell ref="V178:V180"/>
    <mergeCell ref="V172:V174"/>
    <mergeCell ref="V166:V168"/>
    <mergeCell ref="V160:V162"/>
    <mergeCell ref="V154:V156"/>
    <mergeCell ref="V148:V150"/>
    <mergeCell ref="V142:V144"/>
    <mergeCell ref="V136:V138"/>
    <mergeCell ref="V130:V132"/>
    <mergeCell ref="V124:V126"/>
    <mergeCell ref="V118:V120"/>
    <mergeCell ref="G196:G198"/>
    <mergeCell ref="G190:G192"/>
    <mergeCell ref="G166:G168"/>
    <mergeCell ref="G160:G162"/>
    <mergeCell ref="G154:G156"/>
    <mergeCell ref="G148:G150"/>
    <mergeCell ref="G142:G144"/>
    <mergeCell ref="G136:G138"/>
    <mergeCell ref="G130:G132"/>
    <mergeCell ref="G124:G126"/>
    <mergeCell ref="G118:G120"/>
    <mergeCell ref="G199:G201"/>
    <mergeCell ref="G193:G195"/>
    <mergeCell ref="G187:G189"/>
    <mergeCell ref="G169:G171"/>
    <mergeCell ref="G163:G165"/>
    <mergeCell ref="G157:G159"/>
    <mergeCell ref="G151:G153"/>
    <mergeCell ref="G145:G147"/>
    <mergeCell ref="G139:G141"/>
    <mergeCell ref="G133:G135"/>
    <mergeCell ref="G127:G129"/>
    <mergeCell ref="G121:G123"/>
    <mergeCell ref="G115:G117"/>
    <mergeCell ref="E196:E198"/>
    <mergeCell ref="E190:E192"/>
    <mergeCell ref="E184:E186"/>
    <mergeCell ref="E178:E180"/>
    <mergeCell ref="E172:E174"/>
    <mergeCell ref="E166:E168"/>
    <mergeCell ref="E160:E162"/>
    <mergeCell ref="E154:E156"/>
    <mergeCell ref="E148:E150"/>
    <mergeCell ref="E142:E144"/>
    <mergeCell ref="E136:E138"/>
    <mergeCell ref="E130:E132"/>
    <mergeCell ref="E124:E126"/>
    <mergeCell ref="E118:E120"/>
    <mergeCell ref="E112:E114"/>
    <mergeCell ref="E106:E108"/>
    <mergeCell ref="E100:E102"/>
    <mergeCell ref="E94:E96"/>
    <mergeCell ref="E88:E90"/>
    <mergeCell ref="E199:E201"/>
    <mergeCell ref="E193:E195"/>
    <mergeCell ref="E187:E189"/>
    <mergeCell ref="E181:E183"/>
    <mergeCell ref="E175:E177"/>
    <mergeCell ref="E169:E171"/>
    <mergeCell ref="E163:E165"/>
    <mergeCell ref="E157:E159"/>
    <mergeCell ref="E151:E153"/>
    <mergeCell ref="E145:E147"/>
    <mergeCell ref="E139:E141"/>
    <mergeCell ref="E133:E135"/>
    <mergeCell ref="E127:E129"/>
    <mergeCell ref="E121:E123"/>
    <mergeCell ref="E115:E117"/>
    <mergeCell ref="E109:E111"/>
    <mergeCell ref="E103:E105"/>
    <mergeCell ref="E97:E99"/>
    <mergeCell ref="E91:E93"/>
    <mergeCell ref="T247:T249"/>
    <mergeCell ref="T241:T243"/>
    <mergeCell ref="T235:T237"/>
    <mergeCell ref="T229:T231"/>
    <mergeCell ref="T223:T225"/>
    <mergeCell ref="T217:T219"/>
    <mergeCell ref="T211:T213"/>
    <mergeCell ref="T205:T207"/>
    <mergeCell ref="A247:A249"/>
    <mergeCell ref="A241:A243"/>
    <mergeCell ref="A235:A237"/>
    <mergeCell ref="A229:A231"/>
    <mergeCell ref="A223:A225"/>
    <mergeCell ref="A217:A219"/>
    <mergeCell ref="A211:A213"/>
    <mergeCell ref="A205:A207"/>
    <mergeCell ref="BZ247:BZ249"/>
    <mergeCell ref="BZ241:BZ243"/>
    <mergeCell ref="BZ235:BZ237"/>
    <mergeCell ref="BZ229:BZ231"/>
    <mergeCell ref="BZ223:BZ225"/>
    <mergeCell ref="BZ217:BZ219"/>
    <mergeCell ref="BZ211:BZ213"/>
    <mergeCell ref="BZ205:BZ207"/>
    <mergeCell ref="BV247:BV249"/>
    <mergeCell ref="BV241:BV243"/>
    <mergeCell ref="BV235:BV237"/>
    <mergeCell ref="BV229:BV231"/>
    <mergeCell ref="BV223:BV225"/>
    <mergeCell ref="BV217:BV219"/>
    <mergeCell ref="BV211:BV213"/>
    <mergeCell ref="BV205:BV207"/>
    <mergeCell ref="BS247:BS249"/>
    <mergeCell ref="BS241:BS243"/>
    <mergeCell ref="BS235:BS237"/>
    <mergeCell ref="BS229:BS231"/>
    <mergeCell ref="BS223:BS225"/>
    <mergeCell ref="BS217:BS219"/>
    <mergeCell ref="BS211:BS213"/>
    <mergeCell ref="BS205:BS207"/>
    <mergeCell ref="DK247:DK249"/>
    <mergeCell ref="DK241:DK243"/>
    <mergeCell ref="DK235:DK237"/>
    <mergeCell ref="DK229:DK231"/>
    <mergeCell ref="DK223:DK225"/>
    <mergeCell ref="DK217:DK219"/>
    <mergeCell ref="DK211:DK213"/>
    <mergeCell ref="DK205:DK207"/>
    <mergeCell ref="D247:D249"/>
    <mergeCell ref="D241:D243"/>
    <mergeCell ref="D235:D237"/>
    <mergeCell ref="D229:D231"/>
    <mergeCell ref="D223:D225"/>
    <mergeCell ref="D217:D219"/>
    <mergeCell ref="D211:D213"/>
    <mergeCell ref="D205:D207"/>
    <mergeCell ref="U247:U249"/>
    <mergeCell ref="U241:U243"/>
    <mergeCell ref="U235:U237"/>
    <mergeCell ref="U229:U231"/>
    <mergeCell ref="U223:U225"/>
    <mergeCell ref="U217:U219"/>
    <mergeCell ref="U211:U213"/>
    <mergeCell ref="U205:U207"/>
    <mergeCell ref="W247:W249"/>
    <mergeCell ref="W241:W243"/>
    <mergeCell ref="W235:W237"/>
    <mergeCell ref="W229:W231"/>
    <mergeCell ref="W223:W225"/>
    <mergeCell ref="W217:W219"/>
    <mergeCell ref="W211:W213"/>
    <mergeCell ref="W205:W207"/>
    <mergeCell ref="Y247:Y249"/>
    <mergeCell ref="Y241:Y243"/>
    <mergeCell ref="Y235:Y237"/>
    <mergeCell ref="Y229:Y231"/>
    <mergeCell ref="Y223:Y225"/>
    <mergeCell ref="Y217:Y219"/>
    <mergeCell ref="Y211:Y213"/>
    <mergeCell ref="Y205:Y207"/>
    <mergeCell ref="Z247:Z249"/>
    <mergeCell ref="Z241:Z243"/>
    <mergeCell ref="Z235:Z237"/>
    <mergeCell ref="Z229:Z231"/>
    <mergeCell ref="Z223:Z225"/>
    <mergeCell ref="Z217:Z219"/>
    <mergeCell ref="Z211:Z213"/>
    <mergeCell ref="Z205:Z207"/>
    <mergeCell ref="AB247:AB249"/>
    <mergeCell ref="AB241:AB243"/>
    <mergeCell ref="AB235:AB237"/>
    <mergeCell ref="AB229:AB231"/>
    <mergeCell ref="AB223:AB225"/>
    <mergeCell ref="AB217:AB219"/>
    <mergeCell ref="AB211:AB213"/>
    <mergeCell ref="AB205:AB207"/>
    <mergeCell ref="BU247:BU249"/>
    <mergeCell ref="BU241:BU243"/>
    <mergeCell ref="BU235:BU237"/>
    <mergeCell ref="BU229:BU231"/>
    <mergeCell ref="BU223:BU225"/>
    <mergeCell ref="BU217:BU219"/>
    <mergeCell ref="BU211:BU213"/>
    <mergeCell ref="BU205:BU207"/>
    <mergeCell ref="BT247:BT249"/>
    <mergeCell ref="BT241:BT243"/>
    <mergeCell ref="BT235:BT237"/>
    <mergeCell ref="BT229:BT231"/>
    <mergeCell ref="BT223:BT225"/>
    <mergeCell ref="BT217:BT219"/>
    <mergeCell ref="BT211:BT213"/>
    <mergeCell ref="BT205:BT207"/>
    <mergeCell ref="AC247:AC249"/>
    <mergeCell ref="AC241:AC243"/>
    <mergeCell ref="AC235:AC237"/>
    <mergeCell ref="AC229:AC231"/>
    <mergeCell ref="AC223:AC225"/>
    <mergeCell ref="AC217:AC219"/>
    <mergeCell ref="AC211:AC213"/>
    <mergeCell ref="AC205:AC207"/>
    <mergeCell ref="CD247:CD249"/>
    <mergeCell ref="CD241:CD243"/>
    <mergeCell ref="CD235:CD237"/>
    <mergeCell ref="CD229:CD231"/>
    <mergeCell ref="CD223:CD225"/>
    <mergeCell ref="CD217:CD219"/>
    <mergeCell ref="CD211:CD213"/>
    <mergeCell ref="CD205:CD207"/>
    <mergeCell ref="S247:S249"/>
    <mergeCell ref="S241:S243"/>
    <mergeCell ref="S235:S237"/>
    <mergeCell ref="S229:S231"/>
    <mergeCell ref="S223:S225"/>
    <mergeCell ref="S217:S219"/>
    <mergeCell ref="S211:S213"/>
    <mergeCell ref="S205:S207"/>
    <mergeCell ref="BW247:BW249"/>
    <mergeCell ref="BW241:BW243"/>
    <mergeCell ref="BW235:BW237"/>
    <mergeCell ref="BW229:BW231"/>
    <mergeCell ref="BW223:BW225"/>
    <mergeCell ref="BW217:BW219"/>
    <mergeCell ref="BW211:BW213"/>
    <mergeCell ref="BW205:BW207"/>
    <mergeCell ref="BX247:BX249"/>
    <mergeCell ref="BX241:BX243"/>
    <mergeCell ref="BX235:BX237"/>
    <mergeCell ref="BX229:BX231"/>
    <mergeCell ref="BX223:BX225"/>
    <mergeCell ref="BX217:BX219"/>
    <mergeCell ref="BX211:BX213"/>
    <mergeCell ref="BX205:BX207"/>
    <mergeCell ref="BY247:BY249"/>
    <mergeCell ref="BY241:BY243"/>
    <mergeCell ref="BY235:BY237"/>
    <mergeCell ref="BY229:BY231"/>
    <mergeCell ref="BY223:BY225"/>
    <mergeCell ref="BY217:BY219"/>
    <mergeCell ref="BY211:BY213"/>
    <mergeCell ref="BY205:BY207"/>
    <mergeCell ref="H247:H249"/>
    <mergeCell ref="H241:H243"/>
    <mergeCell ref="H235:H237"/>
    <mergeCell ref="H229:H231"/>
    <mergeCell ref="H223:H225"/>
    <mergeCell ref="H217:H219"/>
    <mergeCell ref="H211:H213"/>
    <mergeCell ref="H205:H207"/>
    <mergeCell ref="N247:N249"/>
    <mergeCell ref="N241:N243"/>
    <mergeCell ref="N235:N237"/>
    <mergeCell ref="N229:N231"/>
    <mergeCell ref="N223:N225"/>
    <mergeCell ref="N217:N219"/>
    <mergeCell ref="N211:N213"/>
    <mergeCell ref="N205:N207"/>
    <mergeCell ref="CB247:CB249"/>
    <mergeCell ref="CB241:CB243"/>
    <mergeCell ref="CB235:CB237"/>
    <mergeCell ref="CB229:CB231"/>
    <mergeCell ref="CB223:CB225"/>
    <mergeCell ref="CB217:CB219"/>
    <mergeCell ref="CB211:CB213"/>
    <mergeCell ref="CB205:CB207"/>
    <mergeCell ref="CE247:CE249"/>
    <mergeCell ref="CE241:CE243"/>
    <mergeCell ref="CE235:CE237"/>
    <mergeCell ref="CE229:CE231"/>
    <mergeCell ref="CE223:CE225"/>
    <mergeCell ref="CE217:CE219"/>
    <mergeCell ref="CE211:CE213"/>
    <mergeCell ref="CE205:CE207"/>
    <mergeCell ref="CA247:CA249"/>
    <mergeCell ref="CA241:CA243"/>
    <mergeCell ref="CA235:CA237"/>
    <mergeCell ref="CA229:CA231"/>
    <mergeCell ref="CA223:CA225"/>
    <mergeCell ref="CA217:CA219"/>
    <mergeCell ref="CA211:CA213"/>
    <mergeCell ref="CA205:CA207"/>
    <mergeCell ref="B247:B249"/>
    <mergeCell ref="B241:B243"/>
    <mergeCell ref="B235:B237"/>
    <mergeCell ref="B229:B231"/>
    <mergeCell ref="B223:B225"/>
    <mergeCell ref="B217:B219"/>
    <mergeCell ref="B211:B213"/>
    <mergeCell ref="B205:B207"/>
    <mergeCell ref="CC247:CC249"/>
    <mergeCell ref="CC241:CC243"/>
    <mergeCell ref="CC235:CC237"/>
    <mergeCell ref="CC229:CC231"/>
    <mergeCell ref="CC223:CC225"/>
    <mergeCell ref="CC217:CC219"/>
    <mergeCell ref="CC211:CC213"/>
    <mergeCell ref="CC205:CC207"/>
    <mergeCell ref="AA247:AA249"/>
    <mergeCell ref="AA241:AA243"/>
    <mergeCell ref="AA235:AA237"/>
    <mergeCell ref="AA229:AA231"/>
    <mergeCell ref="AA223:AA225"/>
    <mergeCell ref="AA217:AA219"/>
    <mergeCell ref="AA211:AA213"/>
    <mergeCell ref="AA205:AA207"/>
    <mergeCell ref="X247:X249"/>
    <mergeCell ref="X241:X243"/>
    <mergeCell ref="X235:X237"/>
    <mergeCell ref="X229:X231"/>
    <mergeCell ref="X223:X225"/>
    <mergeCell ref="X217:X219"/>
    <mergeCell ref="X211:X213"/>
    <mergeCell ref="X205:X207"/>
    <mergeCell ref="V247:V249"/>
    <mergeCell ref="V241:V243"/>
    <mergeCell ref="V235:V237"/>
    <mergeCell ref="V229:V231"/>
    <mergeCell ref="V223:V225"/>
    <mergeCell ref="V217:V219"/>
    <mergeCell ref="V211:V213"/>
    <mergeCell ref="V205:V207"/>
    <mergeCell ref="T244:T246"/>
    <mergeCell ref="T238:T240"/>
    <mergeCell ref="T232:T234"/>
    <mergeCell ref="T226:T228"/>
    <mergeCell ref="T220:T222"/>
    <mergeCell ref="T214:T216"/>
    <mergeCell ref="T208:T210"/>
    <mergeCell ref="T202:T204"/>
    <mergeCell ref="A244:A246"/>
    <mergeCell ref="A238:A240"/>
    <mergeCell ref="A232:A234"/>
    <mergeCell ref="A226:A228"/>
    <mergeCell ref="A220:A222"/>
    <mergeCell ref="A214:A216"/>
    <mergeCell ref="A208:A210"/>
    <mergeCell ref="A202:A204"/>
    <mergeCell ref="BZ244:BZ246"/>
    <mergeCell ref="BZ238:BZ240"/>
    <mergeCell ref="BZ232:BZ234"/>
    <mergeCell ref="BZ226:BZ228"/>
    <mergeCell ref="BZ220:BZ222"/>
    <mergeCell ref="BZ214:BZ216"/>
    <mergeCell ref="BZ208:BZ210"/>
    <mergeCell ref="BZ202:BZ204"/>
    <mergeCell ref="BV244:BV246"/>
    <mergeCell ref="BV238:BV240"/>
    <mergeCell ref="BV232:BV234"/>
    <mergeCell ref="BV226:BV228"/>
    <mergeCell ref="BV220:BV222"/>
    <mergeCell ref="BV214:BV216"/>
    <mergeCell ref="BV208:BV210"/>
    <mergeCell ref="BV202:BV204"/>
    <mergeCell ref="BS244:BS246"/>
    <mergeCell ref="BS238:BS240"/>
    <mergeCell ref="BS232:BS234"/>
    <mergeCell ref="BS226:BS228"/>
    <mergeCell ref="BS220:BS222"/>
    <mergeCell ref="BS214:BS216"/>
    <mergeCell ref="BS208:BS210"/>
    <mergeCell ref="BS202:BS204"/>
    <mergeCell ref="DK244:DK246"/>
    <mergeCell ref="DK238:DK240"/>
    <mergeCell ref="DK232:DK234"/>
    <mergeCell ref="DK226:DK228"/>
    <mergeCell ref="DK220:DK222"/>
    <mergeCell ref="DK214:DK216"/>
    <mergeCell ref="DK208:DK210"/>
    <mergeCell ref="DK202:DK204"/>
    <mergeCell ref="D244:D246"/>
    <mergeCell ref="D238:D240"/>
    <mergeCell ref="D232:D234"/>
    <mergeCell ref="D226:D228"/>
    <mergeCell ref="D220:D222"/>
    <mergeCell ref="D214:D216"/>
    <mergeCell ref="D208:D210"/>
    <mergeCell ref="D202:D204"/>
    <mergeCell ref="U244:U246"/>
    <mergeCell ref="U238:U240"/>
    <mergeCell ref="U232:U234"/>
    <mergeCell ref="U226:U228"/>
    <mergeCell ref="U220:U222"/>
    <mergeCell ref="U214:U216"/>
    <mergeCell ref="U208:U210"/>
    <mergeCell ref="U202:U204"/>
    <mergeCell ref="W244:W246"/>
    <mergeCell ref="W238:W240"/>
    <mergeCell ref="W232:W234"/>
    <mergeCell ref="W226:W228"/>
    <mergeCell ref="W220:W222"/>
    <mergeCell ref="W214:W216"/>
    <mergeCell ref="W208:W210"/>
    <mergeCell ref="W202:W204"/>
    <mergeCell ref="Y244:Y246"/>
    <mergeCell ref="Y238:Y240"/>
    <mergeCell ref="Y232:Y234"/>
    <mergeCell ref="Y226:Y228"/>
    <mergeCell ref="Y220:Y222"/>
    <mergeCell ref="Y214:Y216"/>
    <mergeCell ref="Y208:Y210"/>
    <mergeCell ref="Y202:Y204"/>
    <mergeCell ref="Z244:Z246"/>
    <mergeCell ref="Z238:Z240"/>
    <mergeCell ref="Z232:Z234"/>
    <mergeCell ref="Z226:Z228"/>
    <mergeCell ref="Z220:Z222"/>
    <mergeCell ref="Z214:Z216"/>
    <mergeCell ref="Z208:Z210"/>
    <mergeCell ref="Z202:Z204"/>
    <mergeCell ref="AB244:AB246"/>
    <mergeCell ref="AB238:AB240"/>
    <mergeCell ref="AB232:AB234"/>
    <mergeCell ref="AB226:AB228"/>
    <mergeCell ref="AB220:AB222"/>
    <mergeCell ref="AB214:AB216"/>
    <mergeCell ref="AB208:AB210"/>
    <mergeCell ref="AB202:AB204"/>
    <mergeCell ref="BU244:BU246"/>
    <mergeCell ref="BU238:BU240"/>
    <mergeCell ref="BU232:BU234"/>
    <mergeCell ref="BU226:BU228"/>
    <mergeCell ref="BU220:BU222"/>
    <mergeCell ref="BU214:BU216"/>
    <mergeCell ref="BU208:BU210"/>
    <mergeCell ref="BU202:BU204"/>
    <mergeCell ref="BT244:BT246"/>
    <mergeCell ref="BT238:BT240"/>
    <mergeCell ref="BT232:BT234"/>
    <mergeCell ref="BT226:BT228"/>
    <mergeCell ref="BT220:BT222"/>
    <mergeCell ref="BT214:BT216"/>
    <mergeCell ref="BT208:BT210"/>
    <mergeCell ref="BT202:BT204"/>
    <mergeCell ref="AC244:AC246"/>
    <mergeCell ref="AC238:AC240"/>
    <mergeCell ref="AC232:AC234"/>
    <mergeCell ref="AC226:AC228"/>
    <mergeCell ref="AC220:AC222"/>
    <mergeCell ref="AC214:AC216"/>
    <mergeCell ref="AC208:AC210"/>
    <mergeCell ref="AC202:AC204"/>
    <mergeCell ref="CD244:CD246"/>
    <mergeCell ref="CD238:CD240"/>
    <mergeCell ref="CD232:CD234"/>
    <mergeCell ref="CD226:CD228"/>
    <mergeCell ref="CD220:CD222"/>
    <mergeCell ref="CD214:CD216"/>
    <mergeCell ref="CD208:CD210"/>
    <mergeCell ref="CD202:CD204"/>
    <mergeCell ref="S244:S246"/>
    <mergeCell ref="S238:S240"/>
    <mergeCell ref="S232:S234"/>
    <mergeCell ref="S226:S228"/>
    <mergeCell ref="S220:S222"/>
    <mergeCell ref="S214:S216"/>
    <mergeCell ref="S208:S210"/>
    <mergeCell ref="S202:S204"/>
    <mergeCell ref="BW244:BW246"/>
    <mergeCell ref="BW238:BW240"/>
    <mergeCell ref="BW232:BW234"/>
    <mergeCell ref="BW226:BW228"/>
    <mergeCell ref="BW220:BW222"/>
    <mergeCell ref="BW214:BW216"/>
    <mergeCell ref="BW208:BW210"/>
    <mergeCell ref="BW202:BW204"/>
    <mergeCell ref="BX244:BX246"/>
    <mergeCell ref="BX238:BX240"/>
    <mergeCell ref="BX232:BX234"/>
    <mergeCell ref="BX226:BX228"/>
    <mergeCell ref="BX220:BX222"/>
    <mergeCell ref="BX214:BX216"/>
    <mergeCell ref="BX208:BX210"/>
    <mergeCell ref="BX202:BX204"/>
    <mergeCell ref="BY244:BY246"/>
    <mergeCell ref="BY238:BY240"/>
    <mergeCell ref="BY232:BY234"/>
    <mergeCell ref="BY226:BY228"/>
    <mergeCell ref="BY220:BY222"/>
    <mergeCell ref="BY214:BY216"/>
    <mergeCell ref="BY208:BY210"/>
    <mergeCell ref="BY202:BY204"/>
    <mergeCell ref="H244:H246"/>
    <mergeCell ref="H238:H240"/>
    <mergeCell ref="H232:H234"/>
    <mergeCell ref="H220:H222"/>
    <mergeCell ref="H214:H216"/>
    <mergeCell ref="H208:H210"/>
    <mergeCell ref="H202:H204"/>
    <mergeCell ref="N244:N246"/>
    <mergeCell ref="N238:N240"/>
    <mergeCell ref="N232:N234"/>
    <mergeCell ref="N226:N228"/>
    <mergeCell ref="N220:N222"/>
    <mergeCell ref="N214:N216"/>
    <mergeCell ref="N208:N210"/>
    <mergeCell ref="N202:N204"/>
    <mergeCell ref="CB244:CB246"/>
    <mergeCell ref="CB238:CB240"/>
    <mergeCell ref="CB232:CB234"/>
    <mergeCell ref="CB226:CB228"/>
    <mergeCell ref="CB220:CB222"/>
    <mergeCell ref="CB214:CB216"/>
    <mergeCell ref="CB208:CB210"/>
    <mergeCell ref="CB202:CB204"/>
    <mergeCell ref="CE244:CE246"/>
    <mergeCell ref="CE238:CE240"/>
    <mergeCell ref="CE232:CE234"/>
    <mergeCell ref="CE226:CE228"/>
    <mergeCell ref="CE220:CE222"/>
    <mergeCell ref="CE214:CE216"/>
    <mergeCell ref="CE208:CE210"/>
    <mergeCell ref="CE202:CE204"/>
    <mergeCell ref="CA244:CA246"/>
    <mergeCell ref="CA238:CA240"/>
    <mergeCell ref="CA232:CA234"/>
    <mergeCell ref="CA226:CA228"/>
    <mergeCell ref="CA220:CA222"/>
    <mergeCell ref="CA214:CA216"/>
    <mergeCell ref="CA208:CA210"/>
    <mergeCell ref="CA202:CA204"/>
    <mergeCell ref="B244:B246"/>
    <mergeCell ref="B238:B240"/>
    <mergeCell ref="B232:B234"/>
    <mergeCell ref="B226:B228"/>
    <mergeCell ref="B220:B222"/>
    <mergeCell ref="B214:B216"/>
    <mergeCell ref="B208:B210"/>
    <mergeCell ref="B202:B204"/>
    <mergeCell ref="CC244:CC246"/>
    <mergeCell ref="CC238:CC240"/>
    <mergeCell ref="CC232:CC234"/>
    <mergeCell ref="CC226:CC228"/>
    <mergeCell ref="CC220:CC222"/>
    <mergeCell ref="CC214:CC216"/>
    <mergeCell ref="CC208:CC210"/>
    <mergeCell ref="CC202:CC204"/>
    <mergeCell ref="AA244:AA246"/>
    <mergeCell ref="AA238:AA240"/>
    <mergeCell ref="AA232:AA234"/>
    <mergeCell ref="AA226:AA228"/>
    <mergeCell ref="AA220:AA222"/>
    <mergeCell ref="AA214:AA216"/>
    <mergeCell ref="AA208:AA210"/>
    <mergeCell ref="AA202:AA204"/>
    <mergeCell ref="X244:X246"/>
    <mergeCell ref="X238:X240"/>
    <mergeCell ref="X232:X234"/>
    <mergeCell ref="X226:X228"/>
    <mergeCell ref="X220:X222"/>
    <mergeCell ref="X214:X216"/>
    <mergeCell ref="X208:X210"/>
    <mergeCell ref="X202:X204"/>
    <mergeCell ref="V244:V246"/>
    <mergeCell ref="V238:V240"/>
    <mergeCell ref="V232:V234"/>
    <mergeCell ref="V226:V228"/>
    <mergeCell ref="V220:V222"/>
    <mergeCell ref="V214:V216"/>
    <mergeCell ref="V208:V210"/>
    <mergeCell ref="V202:V204"/>
    <mergeCell ref="E220:E222"/>
    <mergeCell ref="E214:E216"/>
    <mergeCell ref="E208:E210"/>
    <mergeCell ref="E202:E204"/>
    <mergeCell ref="E217:E219"/>
    <mergeCell ref="E211:E213"/>
    <mergeCell ref="E205:E207"/>
    <mergeCell ref="G184:G186"/>
    <mergeCell ref="G178:G180"/>
    <mergeCell ref="G172:G174"/>
    <mergeCell ref="G181:G183"/>
    <mergeCell ref="G175:G177"/>
    <mergeCell ref="G232:G234"/>
    <mergeCell ref="G229:G231"/>
    <mergeCell ref="G223:G225"/>
    <mergeCell ref="G220:G222"/>
    <mergeCell ref="G217:G219"/>
    <mergeCell ref="G214:G216"/>
    <mergeCell ref="G211:G213"/>
    <mergeCell ref="G208:G210"/>
    <mergeCell ref="G205:G207"/>
    <mergeCell ref="G202:G204"/>
    <mergeCell ref="H226:H228"/>
    <mergeCell ref="G226:G228"/>
    <mergeCell ref="G247:G249"/>
    <mergeCell ref="G244:G246"/>
    <mergeCell ref="G241:G243"/>
    <mergeCell ref="G238:G240"/>
    <mergeCell ref="G235:G237"/>
    <mergeCell ref="T295:T297"/>
    <mergeCell ref="T283:T285"/>
    <mergeCell ref="T271:T273"/>
    <mergeCell ref="T259:T261"/>
    <mergeCell ref="T289:T291"/>
    <mergeCell ref="T277:T279"/>
    <mergeCell ref="T265:T267"/>
    <mergeCell ref="T253:T255"/>
    <mergeCell ref="A295:A297"/>
    <mergeCell ref="A283:A285"/>
    <mergeCell ref="A271:A273"/>
    <mergeCell ref="A259:A261"/>
    <mergeCell ref="A289:A291"/>
    <mergeCell ref="A277:A279"/>
    <mergeCell ref="A265:A267"/>
    <mergeCell ref="A253:A255"/>
    <mergeCell ref="BZ295:BZ297"/>
    <mergeCell ref="BZ283:BZ285"/>
    <mergeCell ref="BZ271:BZ273"/>
    <mergeCell ref="BZ259:BZ261"/>
    <mergeCell ref="BZ289:BZ291"/>
    <mergeCell ref="BZ277:BZ279"/>
    <mergeCell ref="BZ265:BZ267"/>
    <mergeCell ref="BZ253:BZ255"/>
    <mergeCell ref="BV295:BV297"/>
    <mergeCell ref="BV283:BV285"/>
    <mergeCell ref="BV271:BV273"/>
    <mergeCell ref="BV259:BV261"/>
    <mergeCell ref="BV289:BV291"/>
    <mergeCell ref="BV277:BV279"/>
    <mergeCell ref="BV265:BV267"/>
    <mergeCell ref="BV253:BV255"/>
    <mergeCell ref="BS295:BS297"/>
    <mergeCell ref="BS283:BS285"/>
    <mergeCell ref="BS271:BS273"/>
    <mergeCell ref="BS259:BS261"/>
    <mergeCell ref="BS289:BS291"/>
    <mergeCell ref="BS277:BS279"/>
    <mergeCell ref="BS265:BS267"/>
    <mergeCell ref="BS253:BS255"/>
    <mergeCell ref="DK295:DK297"/>
    <mergeCell ref="DK283:DK285"/>
    <mergeCell ref="DK271:DK273"/>
    <mergeCell ref="DK259:DK261"/>
    <mergeCell ref="DK289:DK291"/>
    <mergeCell ref="DK277:DK279"/>
    <mergeCell ref="DK265:DK267"/>
    <mergeCell ref="DK253:DK255"/>
    <mergeCell ref="D295:D297"/>
    <mergeCell ref="D283:D285"/>
    <mergeCell ref="D271:D273"/>
    <mergeCell ref="D259:D261"/>
    <mergeCell ref="D289:D291"/>
    <mergeCell ref="D277:D279"/>
    <mergeCell ref="D265:D267"/>
    <mergeCell ref="D253:D255"/>
    <mergeCell ref="U295:U297"/>
    <mergeCell ref="U283:U285"/>
    <mergeCell ref="U271:U273"/>
    <mergeCell ref="U259:U261"/>
    <mergeCell ref="U289:U291"/>
    <mergeCell ref="U277:U279"/>
    <mergeCell ref="U265:U267"/>
    <mergeCell ref="U253:U255"/>
    <mergeCell ref="W295:W297"/>
    <mergeCell ref="W283:W285"/>
    <mergeCell ref="W271:W273"/>
    <mergeCell ref="W259:W261"/>
    <mergeCell ref="W289:W291"/>
    <mergeCell ref="W277:W279"/>
    <mergeCell ref="W265:W267"/>
    <mergeCell ref="W253:W255"/>
    <mergeCell ref="Y295:Y297"/>
    <mergeCell ref="Y283:Y285"/>
    <mergeCell ref="Y271:Y273"/>
    <mergeCell ref="Y259:Y261"/>
    <mergeCell ref="Y289:Y291"/>
    <mergeCell ref="Y277:Y279"/>
    <mergeCell ref="Y265:Y267"/>
    <mergeCell ref="Y253:Y255"/>
    <mergeCell ref="Z295:Z297"/>
    <mergeCell ref="Z283:Z285"/>
    <mergeCell ref="Z271:Z273"/>
    <mergeCell ref="Z259:Z261"/>
    <mergeCell ref="Z289:Z291"/>
    <mergeCell ref="Z277:Z279"/>
    <mergeCell ref="Z265:Z267"/>
    <mergeCell ref="Z253:Z255"/>
    <mergeCell ref="AB295:AB297"/>
    <mergeCell ref="AB283:AB285"/>
    <mergeCell ref="AB271:AB273"/>
    <mergeCell ref="AB259:AB261"/>
    <mergeCell ref="AB289:AB291"/>
    <mergeCell ref="AB277:AB279"/>
    <mergeCell ref="AB265:AB267"/>
    <mergeCell ref="AB253:AB255"/>
    <mergeCell ref="BU295:BU297"/>
    <mergeCell ref="BU283:BU285"/>
    <mergeCell ref="BU271:BU273"/>
    <mergeCell ref="BU259:BU261"/>
    <mergeCell ref="BU289:BU291"/>
    <mergeCell ref="BU277:BU279"/>
    <mergeCell ref="BU265:BU267"/>
    <mergeCell ref="BU253:BU255"/>
    <mergeCell ref="BT295:BT297"/>
    <mergeCell ref="BT283:BT285"/>
    <mergeCell ref="BT271:BT273"/>
    <mergeCell ref="BT259:BT261"/>
    <mergeCell ref="BT289:BT291"/>
    <mergeCell ref="BT277:BT279"/>
    <mergeCell ref="BT265:BT267"/>
    <mergeCell ref="BT253:BT255"/>
    <mergeCell ref="AC295:AC297"/>
    <mergeCell ref="AC283:AC285"/>
    <mergeCell ref="AC271:AC273"/>
    <mergeCell ref="AC259:AC261"/>
    <mergeCell ref="AC289:AC291"/>
    <mergeCell ref="AC277:AC279"/>
    <mergeCell ref="AC265:AC267"/>
    <mergeCell ref="AC253:AC255"/>
    <mergeCell ref="CD295:CD297"/>
    <mergeCell ref="CD283:CD285"/>
    <mergeCell ref="CD271:CD273"/>
    <mergeCell ref="CD259:CD261"/>
    <mergeCell ref="CD289:CD291"/>
    <mergeCell ref="CD277:CD279"/>
    <mergeCell ref="CD265:CD267"/>
    <mergeCell ref="CD253:CD255"/>
    <mergeCell ref="S295:S297"/>
    <mergeCell ref="S283:S285"/>
    <mergeCell ref="S271:S273"/>
    <mergeCell ref="S259:S261"/>
    <mergeCell ref="S289:S291"/>
    <mergeCell ref="S277:S279"/>
    <mergeCell ref="S265:S267"/>
    <mergeCell ref="S253:S255"/>
    <mergeCell ref="BW295:BW297"/>
    <mergeCell ref="BW283:BW285"/>
    <mergeCell ref="BW271:BW273"/>
    <mergeCell ref="BW259:BW261"/>
    <mergeCell ref="BW289:BW291"/>
    <mergeCell ref="BW277:BW279"/>
    <mergeCell ref="BW265:BW267"/>
    <mergeCell ref="BW253:BW255"/>
    <mergeCell ref="BX295:BX297"/>
    <mergeCell ref="BX283:BX285"/>
    <mergeCell ref="BX271:BX273"/>
    <mergeCell ref="BX259:BX261"/>
    <mergeCell ref="BX289:BX291"/>
    <mergeCell ref="BX277:BX279"/>
    <mergeCell ref="BX265:BX267"/>
    <mergeCell ref="BX253:BX255"/>
    <mergeCell ref="BY295:BY297"/>
    <mergeCell ref="BY283:BY285"/>
    <mergeCell ref="BY271:BY273"/>
    <mergeCell ref="BY259:BY261"/>
    <mergeCell ref="BY289:BY291"/>
    <mergeCell ref="BY277:BY279"/>
    <mergeCell ref="BY265:BY267"/>
    <mergeCell ref="BY253:BY255"/>
    <mergeCell ref="H295:H297"/>
    <mergeCell ref="H283:H285"/>
    <mergeCell ref="H271:H273"/>
    <mergeCell ref="H259:H261"/>
    <mergeCell ref="H289:H291"/>
    <mergeCell ref="H277:H279"/>
    <mergeCell ref="H265:H267"/>
    <mergeCell ref="H253:H255"/>
    <mergeCell ref="N295:N297"/>
    <mergeCell ref="N283:N285"/>
    <mergeCell ref="N271:N273"/>
    <mergeCell ref="N259:N261"/>
    <mergeCell ref="N289:N291"/>
    <mergeCell ref="N277:N279"/>
    <mergeCell ref="N265:N267"/>
    <mergeCell ref="N253:N255"/>
    <mergeCell ref="CB295:CB297"/>
    <mergeCell ref="CB283:CB285"/>
    <mergeCell ref="CB271:CB273"/>
    <mergeCell ref="CB259:CB261"/>
    <mergeCell ref="CB289:CB291"/>
    <mergeCell ref="CB277:CB279"/>
    <mergeCell ref="CB265:CB267"/>
    <mergeCell ref="CB253:CB255"/>
    <mergeCell ref="CE295:CE297"/>
    <mergeCell ref="CE283:CE285"/>
    <mergeCell ref="CE271:CE273"/>
    <mergeCell ref="CE259:CE261"/>
    <mergeCell ref="CE289:CE291"/>
    <mergeCell ref="CE277:CE279"/>
    <mergeCell ref="CE265:CE267"/>
    <mergeCell ref="CE253:CE255"/>
    <mergeCell ref="CA295:CA297"/>
    <mergeCell ref="CA283:CA285"/>
    <mergeCell ref="CA271:CA273"/>
    <mergeCell ref="CA259:CA261"/>
    <mergeCell ref="CA289:CA291"/>
    <mergeCell ref="CA277:CA279"/>
    <mergeCell ref="CA265:CA267"/>
    <mergeCell ref="CA253:CA255"/>
    <mergeCell ref="B295:B297"/>
    <mergeCell ref="B283:B285"/>
    <mergeCell ref="B271:B273"/>
    <mergeCell ref="B259:B261"/>
    <mergeCell ref="B289:B291"/>
    <mergeCell ref="B277:B279"/>
    <mergeCell ref="B265:B267"/>
    <mergeCell ref="B253:B255"/>
    <mergeCell ref="CC295:CC297"/>
    <mergeCell ref="CC283:CC285"/>
    <mergeCell ref="CC271:CC273"/>
    <mergeCell ref="CC259:CC261"/>
    <mergeCell ref="CC289:CC291"/>
    <mergeCell ref="CC277:CC279"/>
    <mergeCell ref="CC265:CC267"/>
    <mergeCell ref="CC253:CC255"/>
    <mergeCell ref="AA295:AA297"/>
    <mergeCell ref="AA283:AA285"/>
    <mergeCell ref="AA271:AA273"/>
    <mergeCell ref="AA259:AA261"/>
    <mergeCell ref="AA289:AA291"/>
    <mergeCell ref="AA277:AA279"/>
    <mergeCell ref="AA265:AA267"/>
    <mergeCell ref="AA253:AA255"/>
    <mergeCell ref="X295:X297"/>
    <mergeCell ref="X283:X285"/>
    <mergeCell ref="X271:X273"/>
    <mergeCell ref="X259:X261"/>
    <mergeCell ref="X289:X291"/>
    <mergeCell ref="X277:X279"/>
    <mergeCell ref="X265:X267"/>
    <mergeCell ref="X253:X255"/>
    <mergeCell ref="V295:V297"/>
    <mergeCell ref="V283:V285"/>
    <mergeCell ref="V271:V273"/>
    <mergeCell ref="V259:V261"/>
    <mergeCell ref="V289:V291"/>
    <mergeCell ref="V277:V279"/>
    <mergeCell ref="V265:V267"/>
    <mergeCell ref="V253:V255"/>
    <mergeCell ref="T292:T294"/>
    <mergeCell ref="T280:T282"/>
    <mergeCell ref="T268:T270"/>
    <mergeCell ref="T256:T258"/>
    <mergeCell ref="T286:T288"/>
    <mergeCell ref="T274:T276"/>
    <mergeCell ref="T262:T264"/>
    <mergeCell ref="T250:T252"/>
    <mergeCell ref="A292:A294"/>
    <mergeCell ref="A280:A282"/>
    <mergeCell ref="A268:A270"/>
    <mergeCell ref="A256:A258"/>
    <mergeCell ref="A286:A288"/>
    <mergeCell ref="A274:A276"/>
    <mergeCell ref="A262:A264"/>
    <mergeCell ref="A250:A252"/>
    <mergeCell ref="BZ292:BZ294"/>
    <mergeCell ref="BZ280:BZ282"/>
    <mergeCell ref="BZ268:BZ270"/>
    <mergeCell ref="BZ256:BZ258"/>
    <mergeCell ref="BZ286:BZ288"/>
    <mergeCell ref="BZ274:BZ276"/>
    <mergeCell ref="BZ262:BZ264"/>
    <mergeCell ref="BZ250:BZ252"/>
    <mergeCell ref="BV292:BV294"/>
    <mergeCell ref="BV280:BV282"/>
    <mergeCell ref="BV268:BV270"/>
    <mergeCell ref="BV256:BV258"/>
    <mergeCell ref="BV286:BV288"/>
    <mergeCell ref="BV274:BV276"/>
    <mergeCell ref="BV262:BV264"/>
    <mergeCell ref="BV250:BV252"/>
    <mergeCell ref="BS292:BS294"/>
    <mergeCell ref="BS280:BS282"/>
    <mergeCell ref="BS268:BS270"/>
    <mergeCell ref="BS256:BS258"/>
    <mergeCell ref="BS286:BS288"/>
    <mergeCell ref="BS274:BS276"/>
    <mergeCell ref="BS262:BS264"/>
    <mergeCell ref="BS250:BS252"/>
    <mergeCell ref="DK292:DK294"/>
    <mergeCell ref="DK280:DK282"/>
    <mergeCell ref="DK268:DK270"/>
    <mergeCell ref="DK256:DK258"/>
    <mergeCell ref="DK286:DK288"/>
    <mergeCell ref="DK274:DK276"/>
    <mergeCell ref="DK262:DK264"/>
    <mergeCell ref="DK250:DK252"/>
    <mergeCell ref="D292:D294"/>
    <mergeCell ref="D280:D282"/>
    <mergeCell ref="D268:D270"/>
    <mergeCell ref="D256:D258"/>
    <mergeCell ref="D286:D288"/>
    <mergeCell ref="D274:D276"/>
    <mergeCell ref="D262:D264"/>
    <mergeCell ref="D250:D252"/>
    <mergeCell ref="U292:U294"/>
    <mergeCell ref="U280:U282"/>
    <mergeCell ref="U268:U270"/>
    <mergeCell ref="U256:U258"/>
    <mergeCell ref="U286:U288"/>
    <mergeCell ref="U274:U276"/>
    <mergeCell ref="U262:U264"/>
    <mergeCell ref="U250:U252"/>
    <mergeCell ref="W292:W294"/>
    <mergeCell ref="W280:W282"/>
    <mergeCell ref="W268:W270"/>
    <mergeCell ref="W256:W258"/>
    <mergeCell ref="W286:W288"/>
    <mergeCell ref="W274:W276"/>
    <mergeCell ref="W262:W264"/>
    <mergeCell ref="W250:W252"/>
    <mergeCell ref="Y292:Y294"/>
    <mergeCell ref="Y280:Y282"/>
    <mergeCell ref="Y268:Y270"/>
    <mergeCell ref="Y256:Y258"/>
    <mergeCell ref="Y286:Y288"/>
    <mergeCell ref="Y274:Y276"/>
    <mergeCell ref="Y262:Y264"/>
    <mergeCell ref="Y250:Y252"/>
    <mergeCell ref="Z292:Z294"/>
    <mergeCell ref="Z280:Z282"/>
    <mergeCell ref="Z268:Z270"/>
    <mergeCell ref="Z256:Z258"/>
    <mergeCell ref="Z286:Z288"/>
    <mergeCell ref="Z274:Z276"/>
    <mergeCell ref="Z262:Z264"/>
    <mergeCell ref="Z250:Z252"/>
    <mergeCell ref="AB292:AB294"/>
    <mergeCell ref="AB280:AB282"/>
    <mergeCell ref="AB268:AB270"/>
    <mergeCell ref="AB256:AB258"/>
    <mergeCell ref="AB286:AB288"/>
    <mergeCell ref="AB274:AB276"/>
    <mergeCell ref="AB262:AB264"/>
    <mergeCell ref="AB250:AB252"/>
    <mergeCell ref="BU292:BU294"/>
    <mergeCell ref="BU280:BU282"/>
    <mergeCell ref="BU268:BU270"/>
    <mergeCell ref="BU256:BU258"/>
    <mergeCell ref="BU286:BU288"/>
    <mergeCell ref="BU274:BU276"/>
    <mergeCell ref="BU262:BU264"/>
    <mergeCell ref="BU250:BU252"/>
    <mergeCell ref="BT292:BT294"/>
    <mergeCell ref="BT280:BT282"/>
    <mergeCell ref="BT268:BT270"/>
    <mergeCell ref="BT256:BT258"/>
    <mergeCell ref="BT286:BT288"/>
    <mergeCell ref="BT274:BT276"/>
    <mergeCell ref="BT262:BT264"/>
    <mergeCell ref="BT250:BT252"/>
    <mergeCell ref="AC292:AC294"/>
    <mergeCell ref="AC280:AC282"/>
    <mergeCell ref="AC268:AC270"/>
    <mergeCell ref="AC256:AC258"/>
    <mergeCell ref="AC286:AC288"/>
    <mergeCell ref="AC274:AC276"/>
    <mergeCell ref="AC262:AC264"/>
    <mergeCell ref="AC250:AC252"/>
    <mergeCell ref="CD292:CD294"/>
    <mergeCell ref="CD280:CD282"/>
    <mergeCell ref="CD268:CD270"/>
    <mergeCell ref="CD256:CD258"/>
    <mergeCell ref="CD286:CD288"/>
    <mergeCell ref="CD274:CD276"/>
    <mergeCell ref="CD262:CD264"/>
    <mergeCell ref="CD250:CD252"/>
    <mergeCell ref="S292:S294"/>
    <mergeCell ref="S280:S282"/>
    <mergeCell ref="S268:S270"/>
    <mergeCell ref="S256:S258"/>
    <mergeCell ref="S286:S288"/>
    <mergeCell ref="S274:S276"/>
    <mergeCell ref="S262:S264"/>
    <mergeCell ref="S250:S252"/>
    <mergeCell ref="BW292:BW294"/>
    <mergeCell ref="BW280:BW282"/>
    <mergeCell ref="BW268:BW270"/>
    <mergeCell ref="BW256:BW258"/>
    <mergeCell ref="BW286:BW288"/>
    <mergeCell ref="BW274:BW276"/>
    <mergeCell ref="BW262:BW264"/>
    <mergeCell ref="BW250:BW252"/>
    <mergeCell ref="BX292:BX294"/>
    <mergeCell ref="BX280:BX282"/>
    <mergeCell ref="BX268:BX270"/>
    <mergeCell ref="BX256:BX258"/>
    <mergeCell ref="BX286:BX288"/>
    <mergeCell ref="BX274:BX276"/>
    <mergeCell ref="BX262:BX264"/>
    <mergeCell ref="BX250:BX252"/>
    <mergeCell ref="BY292:BY294"/>
    <mergeCell ref="BY280:BY282"/>
    <mergeCell ref="BY268:BY270"/>
    <mergeCell ref="BY256:BY258"/>
    <mergeCell ref="BY286:BY288"/>
    <mergeCell ref="BY274:BY276"/>
    <mergeCell ref="BY262:BY264"/>
    <mergeCell ref="BY250:BY252"/>
    <mergeCell ref="H292:H294"/>
    <mergeCell ref="H280:H282"/>
    <mergeCell ref="H268:H270"/>
    <mergeCell ref="H256:H258"/>
    <mergeCell ref="H286:H288"/>
    <mergeCell ref="H274:H276"/>
    <mergeCell ref="H262:H264"/>
    <mergeCell ref="H250:H252"/>
    <mergeCell ref="N292:N294"/>
    <mergeCell ref="N280:N282"/>
    <mergeCell ref="N268:N270"/>
    <mergeCell ref="N256:N258"/>
    <mergeCell ref="N286:N288"/>
    <mergeCell ref="N274:N276"/>
    <mergeCell ref="N262:N264"/>
    <mergeCell ref="N250:N252"/>
    <mergeCell ref="CB292:CB294"/>
    <mergeCell ref="CB280:CB282"/>
    <mergeCell ref="CB268:CB270"/>
    <mergeCell ref="CB256:CB258"/>
    <mergeCell ref="CB286:CB288"/>
    <mergeCell ref="CB274:CB276"/>
    <mergeCell ref="CB262:CB264"/>
    <mergeCell ref="CB250:CB252"/>
    <mergeCell ref="CE292:CE294"/>
    <mergeCell ref="CE280:CE282"/>
    <mergeCell ref="CE268:CE270"/>
    <mergeCell ref="CE256:CE258"/>
    <mergeCell ref="CE286:CE288"/>
    <mergeCell ref="CE274:CE276"/>
    <mergeCell ref="CE262:CE264"/>
    <mergeCell ref="CE250:CE252"/>
    <mergeCell ref="CA292:CA294"/>
    <mergeCell ref="CA280:CA282"/>
    <mergeCell ref="CA268:CA270"/>
    <mergeCell ref="CA256:CA258"/>
    <mergeCell ref="CA286:CA288"/>
    <mergeCell ref="CA274:CA276"/>
    <mergeCell ref="CA262:CA264"/>
    <mergeCell ref="CA250:CA252"/>
    <mergeCell ref="B292:B294"/>
    <mergeCell ref="B280:B282"/>
    <mergeCell ref="B268:B270"/>
    <mergeCell ref="B256:B258"/>
    <mergeCell ref="B286:B288"/>
    <mergeCell ref="B274:B276"/>
    <mergeCell ref="B262:B264"/>
    <mergeCell ref="B250:B252"/>
    <mergeCell ref="CC292:CC294"/>
    <mergeCell ref="CC280:CC282"/>
    <mergeCell ref="CC268:CC270"/>
    <mergeCell ref="CC256:CC258"/>
    <mergeCell ref="CC286:CC288"/>
    <mergeCell ref="CC274:CC276"/>
    <mergeCell ref="CC262:CC264"/>
    <mergeCell ref="CC250:CC252"/>
    <mergeCell ref="AA292:AA294"/>
    <mergeCell ref="AA280:AA282"/>
    <mergeCell ref="AA268:AA270"/>
    <mergeCell ref="AA256:AA258"/>
    <mergeCell ref="AA286:AA288"/>
    <mergeCell ref="AA274:AA276"/>
    <mergeCell ref="AA262:AA264"/>
    <mergeCell ref="AA250:AA252"/>
    <mergeCell ref="X292:X294"/>
    <mergeCell ref="X280:X282"/>
    <mergeCell ref="X268:X270"/>
    <mergeCell ref="X256:X258"/>
    <mergeCell ref="X286:X288"/>
    <mergeCell ref="X274:X276"/>
    <mergeCell ref="X262:X264"/>
    <mergeCell ref="X250:X252"/>
    <mergeCell ref="V292:V294"/>
    <mergeCell ref="V280:V282"/>
    <mergeCell ref="V268:V270"/>
    <mergeCell ref="V256:V258"/>
    <mergeCell ref="V286:V288"/>
    <mergeCell ref="V274:V276"/>
    <mergeCell ref="V262:V264"/>
    <mergeCell ref="V250:V252"/>
    <mergeCell ref="G271:G273"/>
    <mergeCell ref="G259:G261"/>
    <mergeCell ref="G268:G270"/>
    <mergeCell ref="G256:G258"/>
    <mergeCell ref="G277:G279"/>
    <mergeCell ref="G265:G267"/>
    <mergeCell ref="G253:G255"/>
    <mergeCell ref="G274:G276"/>
    <mergeCell ref="G262:G264"/>
    <mergeCell ref="G250:G252"/>
    <mergeCell ref="E262:E264"/>
    <mergeCell ref="E256:E258"/>
    <mergeCell ref="E250:E252"/>
    <mergeCell ref="E244:E246"/>
    <mergeCell ref="E238:E240"/>
    <mergeCell ref="E232:E234"/>
    <mergeCell ref="E226:E228"/>
    <mergeCell ref="E265:E267"/>
    <mergeCell ref="E259:E261"/>
    <mergeCell ref="E253:E255"/>
    <mergeCell ref="E247:E249"/>
    <mergeCell ref="E241:E243"/>
    <mergeCell ref="E235:E237"/>
    <mergeCell ref="E229:E231"/>
    <mergeCell ref="E223:E225"/>
    <mergeCell ref="G295:G297"/>
    <mergeCell ref="G292:G294"/>
    <mergeCell ref="G289:G291"/>
    <mergeCell ref="G286:G288"/>
    <mergeCell ref="G283:G285"/>
    <mergeCell ref="G280:G282"/>
    <mergeCell ref="T355:T357"/>
    <mergeCell ref="T343:T345"/>
    <mergeCell ref="T331:T333"/>
    <mergeCell ref="T319:T321"/>
    <mergeCell ref="T307:T309"/>
    <mergeCell ref="T349:T351"/>
    <mergeCell ref="T337:T339"/>
    <mergeCell ref="T325:T327"/>
    <mergeCell ref="T313:T315"/>
    <mergeCell ref="T301:T303"/>
    <mergeCell ref="A355:A357"/>
    <mergeCell ref="A343:A345"/>
    <mergeCell ref="A331:A333"/>
    <mergeCell ref="A319:A321"/>
    <mergeCell ref="A307:A309"/>
    <mergeCell ref="A349:A351"/>
    <mergeCell ref="A337:A339"/>
    <mergeCell ref="A325:A327"/>
    <mergeCell ref="A313:A315"/>
    <mergeCell ref="A301:A303"/>
    <mergeCell ref="BZ355:BZ357"/>
    <mergeCell ref="BZ343:BZ345"/>
    <mergeCell ref="BZ331:BZ333"/>
    <mergeCell ref="BZ319:BZ321"/>
    <mergeCell ref="BZ307:BZ309"/>
    <mergeCell ref="BZ349:BZ351"/>
    <mergeCell ref="BZ337:BZ339"/>
    <mergeCell ref="BZ325:BZ327"/>
    <mergeCell ref="BZ313:BZ315"/>
    <mergeCell ref="BZ301:BZ303"/>
    <mergeCell ref="BV355:BV357"/>
    <mergeCell ref="BV343:BV345"/>
    <mergeCell ref="BV331:BV333"/>
    <mergeCell ref="BV319:BV321"/>
    <mergeCell ref="BV307:BV309"/>
    <mergeCell ref="BV349:BV351"/>
    <mergeCell ref="BV337:BV339"/>
    <mergeCell ref="BV325:BV327"/>
    <mergeCell ref="BV313:BV315"/>
    <mergeCell ref="BV301:BV303"/>
    <mergeCell ref="BS355:BS357"/>
    <mergeCell ref="BS343:BS345"/>
    <mergeCell ref="BS331:BS333"/>
    <mergeCell ref="BS319:BS321"/>
    <mergeCell ref="BS307:BS309"/>
    <mergeCell ref="BS349:BS351"/>
    <mergeCell ref="BS337:BS339"/>
    <mergeCell ref="BS325:BS327"/>
    <mergeCell ref="BS313:BS315"/>
    <mergeCell ref="BS301:BS303"/>
    <mergeCell ref="DK355:DK357"/>
    <mergeCell ref="DK343:DK345"/>
    <mergeCell ref="DK331:DK333"/>
    <mergeCell ref="DK319:DK321"/>
    <mergeCell ref="DK307:DK309"/>
    <mergeCell ref="DK349:DK351"/>
    <mergeCell ref="DK337:DK339"/>
    <mergeCell ref="DK325:DK327"/>
    <mergeCell ref="DK313:DK315"/>
    <mergeCell ref="DK301:DK303"/>
    <mergeCell ref="D355:D357"/>
    <mergeCell ref="D343:D345"/>
    <mergeCell ref="D331:D333"/>
    <mergeCell ref="D319:D321"/>
    <mergeCell ref="D307:D309"/>
    <mergeCell ref="D349:D351"/>
    <mergeCell ref="D337:D339"/>
    <mergeCell ref="D325:D327"/>
    <mergeCell ref="D313:D315"/>
    <mergeCell ref="D301:D303"/>
    <mergeCell ref="U355:U357"/>
    <mergeCell ref="U343:U345"/>
    <mergeCell ref="U331:U333"/>
    <mergeCell ref="U319:U321"/>
    <mergeCell ref="U307:U309"/>
    <mergeCell ref="U349:U351"/>
    <mergeCell ref="U337:U339"/>
    <mergeCell ref="U325:U327"/>
    <mergeCell ref="U313:U315"/>
    <mergeCell ref="U301:U303"/>
    <mergeCell ref="W355:W357"/>
    <mergeCell ref="W343:W345"/>
    <mergeCell ref="W331:W333"/>
    <mergeCell ref="W319:W321"/>
    <mergeCell ref="W307:W309"/>
    <mergeCell ref="W349:W351"/>
    <mergeCell ref="W337:W339"/>
    <mergeCell ref="W325:W327"/>
    <mergeCell ref="W313:W315"/>
    <mergeCell ref="W301:W303"/>
    <mergeCell ref="Y355:Y357"/>
    <mergeCell ref="Y343:Y345"/>
    <mergeCell ref="Y331:Y333"/>
    <mergeCell ref="Y319:Y321"/>
    <mergeCell ref="Y307:Y309"/>
    <mergeCell ref="Y349:Y351"/>
    <mergeCell ref="Y337:Y339"/>
    <mergeCell ref="Y325:Y327"/>
    <mergeCell ref="Y313:Y315"/>
    <mergeCell ref="Y301:Y303"/>
    <mergeCell ref="Z355:Z357"/>
    <mergeCell ref="Z343:Z345"/>
    <mergeCell ref="Z331:Z333"/>
    <mergeCell ref="Z319:Z321"/>
    <mergeCell ref="Z307:Z309"/>
    <mergeCell ref="Z349:Z351"/>
    <mergeCell ref="Z337:Z339"/>
    <mergeCell ref="Z325:Z327"/>
    <mergeCell ref="Z313:Z315"/>
    <mergeCell ref="Z301:Z303"/>
    <mergeCell ref="AB355:AB357"/>
    <mergeCell ref="AB343:AB345"/>
    <mergeCell ref="AB331:AB333"/>
    <mergeCell ref="AB319:AB321"/>
    <mergeCell ref="AB307:AB309"/>
    <mergeCell ref="AB349:AB351"/>
    <mergeCell ref="AB337:AB339"/>
    <mergeCell ref="AB325:AB327"/>
    <mergeCell ref="AB313:AB315"/>
    <mergeCell ref="AB301:AB303"/>
    <mergeCell ref="BU355:BU357"/>
    <mergeCell ref="BU343:BU345"/>
    <mergeCell ref="BU331:BU333"/>
    <mergeCell ref="BU319:BU321"/>
    <mergeCell ref="BU307:BU309"/>
    <mergeCell ref="BU349:BU351"/>
    <mergeCell ref="BU337:BU339"/>
    <mergeCell ref="BU325:BU327"/>
    <mergeCell ref="BU313:BU315"/>
    <mergeCell ref="BU301:BU303"/>
    <mergeCell ref="BT355:BT357"/>
    <mergeCell ref="BT343:BT345"/>
    <mergeCell ref="BT331:BT333"/>
    <mergeCell ref="BT319:BT321"/>
    <mergeCell ref="BT307:BT309"/>
    <mergeCell ref="BT349:BT351"/>
    <mergeCell ref="BT337:BT339"/>
    <mergeCell ref="BT325:BT327"/>
    <mergeCell ref="BT313:BT315"/>
    <mergeCell ref="BT301:BT303"/>
    <mergeCell ref="AC355:AC357"/>
    <mergeCell ref="AC343:AC345"/>
    <mergeCell ref="AC331:AC333"/>
    <mergeCell ref="AC319:AC321"/>
    <mergeCell ref="AC307:AC309"/>
    <mergeCell ref="AC349:AC351"/>
    <mergeCell ref="AC337:AC339"/>
    <mergeCell ref="AC325:AC327"/>
    <mergeCell ref="AC313:AC315"/>
    <mergeCell ref="AC301:AC303"/>
    <mergeCell ref="CD355:CD357"/>
    <mergeCell ref="CD343:CD345"/>
    <mergeCell ref="CD331:CD333"/>
    <mergeCell ref="CD319:CD321"/>
    <mergeCell ref="CD307:CD309"/>
    <mergeCell ref="CD349:CD351"/>
    <mergeCell ref="CD337:CD339"/>
    <mergeCell ref="CD325:CD327"/>
    <mergeCell ref="CD313:CD315"/>
    <mergeCell ref="CD301:CD303"/>
    <mergeCell ref="S355:S357"/>
    <mergeCell ref="S343:S345"/>
    <mergeCell ref="S331:S333"/>
    <mergeCell ref="S319:S321"/>
    <mergeCell ref="S307:S309"/>
    <mergeCell ref="S349:S351"/>
    <mergeCell ref="S337:S339"/>
    <mergeCell ref="S325:S327"/>
    <mergeCell ref="S313:S315"/>
    <mergeCell ref="S301:S303"/>
    <mergeCell ref="BW355:BW357"/>
    <mergeCell ref="BW343:BW345"/>
    <mergeCell ref="BW331:BW333"/>
    <mergeCell ref="BW319:BW321"/>
    <mergeCell ref="BW307:BW309"/>
    <mergeCell ref="BW349:BW351"/>
    <mergeCell ref="BW337:BW339"/>
    <mergeCell ref="BW325:BW327"/>
    <mergeCell ref="BW313:BW315"/>
    <mergeCell ref="BW301:BW303"/>
    <mergeCell ref="BX355:BX357"/>
    <mergeCell ref="BX343:BX345"/>
    <mergeCell ref="BX331:BX333"/>
    <mergeCell ref="BX319:BX321"/>
    <mergeCell ref="BX307:BX309"/>
    <mergeCell ref="BX349:BX351"/>
    <mergeCell ref="BX337:BX339"/>
    <mergeCell ref="BX325:BX327"/>
    <mergeCell ref="BX313:BX315"/>
    <mergeCell ref="BX301:BX303"/>
    <mergeCell ref="BY355:BY357"/>
    <mergeCell ref="BY343:BY345"/>
    <mergeCell ref="BY331:BY333"/>
    <mergeCell ref="BY319:BY321"/>
    <mergeCell ref="BY307:BY309"/>
    <mergeCell ref="BY349:BY351"/>
    <mergeCell ref="BY337:BY339"/>
    <mergeCell ref="BY325:BY327"/>
    <mergeCell ref="BY313:BY315"/>
    <mergeCell ref="BY301:BY303"/>
    <mergeCell ref="H355:H357"/>
    <mergeCell ref="H343:H345"/>
    <mergeCell ref="H331:H333"/>
    <mergeCell ref="H307:H309"/>
    <mergeCell ref="H349:H351"/>
    <mergeCell ref="H337:H339"/>
    <mergeCell ref="H325:H327"/>
    <mergeCell ref="H313:H315"/>
    <mergeCell ref="H301:H303"/>
    <mergeCell ref="N355:N357"/>
    <mergeCell ref="N343:N345"/>
    <mergeCell ref="N331:N333"/>
    <mergeCell ref="N319:N321"/>
    <mergeCell ref="N307:N309"/>
    <mergeCell ref="N349:N351"/>
    <mergeCell ref="N337:N339"/>
    <mergeCell ref="N325:N327"/>
    <mergeCell ref="N313:N315"/>
    <mergeCell ref="N301:N303"/>
    <mergeCell ref="CB355:CB357"/>
    <mergeCell ref="CB343:CB345"/>
    <mergeCell ref="CB331:CB333"/>
    <mergeCell ref="CB319:CB321"/>
    <mergeCell ref="CB307:CB309"/>
    <mergeCell ref="CB349:CB351"/>
    <mergeCell ref="CB337:CB339"/>
    <mergeCell ref="CB325:CB327"/>
    <mergeCell ref="CB313:CB315"/>
    <mergeCell ref="CB301:CB303"/>
    <mergeCell ref="CE355:CE357"/>
    <mergeCell ref="CE343:CE345"/>
    <mergeCell ref="CE331:CE333"/>
    <mergeCell ref="CE319:CE321"/>
    <mergeCell ref="CE307:CE309"/>
    <mergeCell ref="CE349:CE351"/>
    <mergeCell ref="CE337:CE339"/>
    <mergeCell ref="CE325:CE327"/>
    <mergeCell ref="CE313:CE315"/>
    <mergeCell ref="CE301:CE303"/>
    <mergeCell ref="CA355:CA357"/>
    <mergeCell ref="CA343:CA345"/>
    <mergeCell ref="CA331:CA333"/>
    <mergeCell ref="CA319:CA321"/>
    <mergeCell ref="CA307:CA309"/>
    <mergeCell ref="CA349:CA351"/>
    <mergeCell ref="CA337:CA339"/>
    <mergeCell ref="CA325:CA327"/>
    <mergeCell ref="CA313:CA315"/>
    <mergeCell ref="CA301:CA303"/>
    <mergeCell ref="B355:B357"/>
    <mergeCell ref="B343:B345"/>
    <mergeCell ref="B331:B333"/>
    <mergeCell ref="B319:B321"/>
    <mergeCell ref="B307:B309"/>
    <mergeCell ref="B349:B351"/>
    <mergeCell ref="B337:B339"/>
    <mergeCell ref="B325:B327"/>
    <mergeCell ref="B313:B315"/>
    <mergeCell ref="B301:B303"/>
    <mergeCell ref="CC355:CC357"/>
    <mergeCell ref="CC343:CC345"/>
    <mergeCell ref="CC331:CC333"/>
    <mergeCell ref="CC319:CC321"/>
    <mergeCell ref="CC307:CC309"/>
    <mergeCell ref="CC349:CC351"/>
    <mergeCell ref="CC337:CC339"/>
    <mergeCell ref="CC325:CC327"/>
    <mergeCell ref="CC313:CC315"/>
    <mergeCell ref="CC301:CC303"/>
    <mergeCell ref="AA355:AA357"/>
    <mergeCell ref="AA343:AA345"/>
    <mergeCell ref="AA331:AA333"/>
    <mergeCell ref="AA319:AA321"/>
    <mergeCell ref="AA307:AA309"/>
    <mergeCell ref="AA349:AA351"/>
    <mergeCell ref="AA337:AA339"/>
    <mergeCell ref="AA325:AA327"/>
    <mergeCell ref="AA313:AA315"/>
    <mergeCell ref="AA301:AA303"/>
    <mergeCell ref="X355:X357"/>
    <mergeCell ref="X343:X345"/>
    <mergeCell ref="X331:X333"/>
    <mergeCell ref="X319:X321"/>
    <mergeCell ref="X307:X309"/>
    <mergeCell ref="X349:X351"/>
    <mergeCell ref="X337:X339"/>
    <mergeCell ref="X325:X327"/>
    <mergeCell ref="X313:X315"/>
    <mergeCell ref="X301:X303"/>
    <mergeCell ref="V355:V357"/>
    <mergeCell ref="V343:V345"/>
    <mergeCell ref="V331:V333"/>
    <mergeCell ref="V319:V321"/>
    <mergeCell ref="V307:V309"/>
    <mergeCell ref="V349:V351"/>
    <mergeCell ref="V337:V339"/>
    <mergeCell ref="V325:V327"/>
    <mergeCell ref="V313:V315"/>
    <mergeCell ref="V301:V303"/>
    <mergeCell ref="T352:T354"/>
    <mergeCell ref="T340:T342"/>
    <mergeCell ref="T328:T330"/>
    <mergeCell ref="T316:T318"/>
    <mergeCell ref="T304:T306"/>
    <mergeCell ref="T346:T348"/>
    <mergeCell ref="T334:T336"/>
    <mergeCell ref="T322:T324"/>
    <mergeCell ref="T310:T312"/>
    <mergeCell ref="T298:T300"/>
    <mergeCell ref="A352:A354"/>
    <mergeCell ref="A340:A342"/>
    <mergeCell ref="A328:A330"/>
    <mergeCell ref="A316:A318"/>
    <mergeCell ref="A304:A306"/>
    <mergeCell ref="A346:A348"/>
    <mergeCell ref="A334:A336"/>
    <mergeCell ref="A322:A324"/>
    <mergeCell ref="A310:A312"/>
    <mergeCell ref="A298:A300"/>
    <mergeCell ref="BZ352:BZ354"/>
    <mergeCell ref="BZ340:BZ342"/>
    <mergeCell ref="BZ328:BZ330"/>
    <mergeCell ref="BZ316:BZ318"/>
    <mergeCell ref="BZ304:BZ306"/>
    <mergeCell ref="BZ346:BZ348"/>
    <mergeCell ref="BZ334:BZ336"/>
    <mergeCell ref="BZ322:BZ324"/>
    <mergeCell ref="BZ310:BZ312"/>
    <mergeCell ref="BZ298:BZ300"/>
    <mergeCell ref="BV352:BV354"/>
    <mergeCell ref="BV340:BV342"/>
    <mergeCell ref="BV328:BV330"/>
    <mergeCell ref="BV316:BV318"/>
    <mergeCell ref="BV304:BV306"/>
    <mergeCell ref="BV346:BV348"/>
    <mergeCell ref="BV334:BV336"/>
    <mergeCell ref="BV322:BV324"/>
    <mergeCell ref="BV310:BV312"/>
    <mergeCell ref="BV298:BV300"/>
    <mergeCell ref="BS352:BS354"/>
    <mergeCell ref="BS340:BS342"/>
    <mergeCell ref="BS328:BS330"/>
    <mergeCell ref="BS316:BS318"/>
    <mergeCell ref="BS304:BS306"/>
    <mergeCell ref="BS346:BS348"/>
    <mergeCell ref="BS334:BS336"/>
    <mergeCell ref="BS322:BS324"/>
    <mergeCell ref="BS310:BS312"/>
    <mergeCell ref="BS298:BS300"/>
    <mergeCell ref="DK352:DK354"/>
    <mergeCell ref="DK340:DK342"/>
    <mergeCell ref="DK328:DK330"/>
    <mergeCell ref="DK316:DK318"/>
    <mergeCell ref="DK304:DK306"/>
    <mergeCell ref="DK346:DK348"/>
    <mergeCell ref="DK334:DK336"/>
    <mergeCell ref="DK322:DK324"/>
    <mergeCell ref="DK310:DK312"/>
    <mergeCell ref="DK298:DK300"/>
    <mergeCell ref="D352:D354"/>
    <mergeCell ref="D340:D342"/>
    <mergeCell ref="D328:D330"/>
    <mergeCell ref="D316:D318"/>
    <mergeCell ref="D304:D306"/>
    <mergeCell ref="D346:D348"/>
    <mergeCell ref="D334:D336"/>
    <mergeCell ref="D322:D324"/>
    <mergeCell ref="D310:D312"/>
    <mergeCell ref="D298:D300"/>
    <mergeCell ref="U352:U354"/>
    <mergeCell ref="U340:U342"/>
    <mergeCell ref="U328:U330"/>
    <mergeCell ref="U316:U318"/>
    <mergeCell ref="U304:U306"/>
    <mergeCell ref="U346:U348"/>
    <mergeCell ref="U334:U336"/>
    <mergeCell ref="U322:U324"/>
    <mergeCell ref="U310:U312"/>
    <mergeCell ref="U298:U300"/>
    <mergeCell ref="W352:W354"/>
    <mergeCell ref="W340:W342"/>
    <mergeCell ref="W328:W330"/>
    <mergeCell ref="W316:W318"/>
    <mergeCell ref="W304:W306"/>
    <mergeCell ref="W346:W348"/>
    <mergeCell ref="W334:W336"/>
    <mergeCell ref="W322:W324"/>
    <mergeCell ref="W310:W312"/>
    <mergeCell ref="W298:W300"/>
    <mergeCell ref="Y352:Y354"/>
    <mergeCell ref="Y340:Y342"/>
    <mergeCell ref="Y328:Y330"/>
    <mergeCell ref="Y316:Y318"/>
    <mergeCell ref="Y304:Y306"/>
    <mergeCell ref="Y346:Y348"/>
    <mergeCell ref="Y334:Y336"/>
    <mergeCell ref="Y322:Y324"/>
    <mergeCell ref="Y310:Y312"/>
    <mergeCell ref="Y298:Y300"/>
    <mergeCell ref="Z352:Z354"/>
    <mergeCell ref="Z340:Z342"/>
    <mergeCell ref="Z328:Z330"/>
    <mergeCell ref="Z316:Z318"/>
    <mergeCell ref="Z304:Z306"/>
    <mergeCell ref="Z346:Z348"/>
    <mergeCell ref="Z334:Z336"/>
    <mergeCell ref="Z322:Z324"/>
    <mergeCell ref="Z310:Z312"/>
    <mergeCell ref="Z298:Z300"/>
    <mergeCell ref="AB352:AB354"/>
    <mergeCell ref="AB340:AB342"/>
    <mergeCell ref="AB328:AB330"/>
    <mergeCell ref="AB316:AB318"/>
    <mergeCell ref="AB304:AB306"/>
    <mergeCell ref="AB346:AB348"/>
    <mergeCell ref="AB334:AB336"/>
    <mergeCell ref="AB322:AB324"/>
    <mergeCell ref="AB310:AB312"/>
    <mergeCell ref="AB298:AB300"/>
    <mergeCell ref="BU352:BU354"/>
    <mergeCell ref="BU340:BU342"/>
    <mergeCell ref="BU328:BU330"/>
    <mergeCell ref="BU316:BU318"/>
    <mergeCell ref="BU304:BU306"/>
    <mergeCell ref="BU346:BU348"/>
    <mergeCell ref="BU334:BU336"/>
    <mergeCell ref="BU322:BU324"/>
    <mergeCell ref="BU310:BU312"/>
    <mergeCell ref="BU298:BU300"/>
    <mergeCell ref="BT352:BT354"/>
    <mergeCell ref="BT340:BT342"/>
    <mergeCell ref="BT328:BT330"/>
    <mergeCell ref="BT316:BT318"/>
    <mergeCell ref="BT304:BT306"/>
    <mergeCell ref="BT346:BT348"/>
    <mergeCell ref="BT334:BT336"/>
    <mergeCell ref="BT322:BT324"/>
    <mergeCell ref="BT310:BT312"/>
    <mergeCell ref="BT298:BT300"/>
    <mergeCell ref="AC352:AC354"/>
    <mergeCell ref="AC340:AC342"/>
    <mergeCell ref="AC328:AC330"/>
    <mergeCell ref="AC316:AC318"/>
    <mergeCell ref="AC304:AC306"/>
    <mergeCell ref="AC346:AC348"/>
    <mergeCell ref="AC334:AC336"/>
    <mergeCell ref="AC322:AC324"/>
    <mergeCell ref="AC310:AC312"/>
    <mergeCell ref="AC298:AC300"/>
    <mergeCell ref="CD352:CD354"/>
    <mergeCell ref="CD340:CD342"/>
    <mergeCell ref="CD328:CD330"/>
    <mergeCell ref="CD316:CD318"/>
    <mergeCell ref="CD304:CD306"/>
    <mergeCell ref="CD346:CD348"/>
    <mergeCell ref="CD334:CD336"/>
    <mergeCell ref="CD322:CD324"/>
    <mergeCell ref="CD310:CD312"/>
    <mergeCell ref="CD298:CD300"/>
    <mergeCell ref="S352:S354"/>
    <mergeCell ref="S340:S342"/>
    <mergeCell ref="S328:S330"/>
    <mergeCell ref="S316:S318"/>
    <mergeCell ref="S304:S306"/>
    <mergeCell ref="S346:S348"/>
    <mergeCell ref="S334:S336"/>
    <mergeCell ref="S322:S324"/>
    <mergeCell ref="S310:S312"/>
    <mergeCell ref="S298:S300"/>
    <mergeCell ref="BW352:BW354"/>
    <mergeCell ref="BW340:BW342"/>
    <mergeCell ref="BW328:BW330"/>
    <mergeCell ref="BW316:BW318"/>
    <mergeCell ref="BW304:BW306"/>
    <mergeCell ref="BW346:BW348"/>
    <mergeCell ref="BW334:BW336"/>
    <mergeCell ref="BW322:BW324"/>
    <mergeCell ref="BW310:BW312"/>
    <mergeCell ref="BW298:BW300"/>
    <mergeCell ref="BX352:BX354"/>
    <mergeCell ref="BX340:BX342"/>
    <mergeCell ref="BX328:BX330"/>
    <mergeCell ref="BX316:BX318"/>
    <mergeCell ref="BX304:BX306"/>
    <mergeCell ref="BX346:BX348"/>
    <mergeCell ref="BX334:BX336"/>
    <mergeCell ref="BX322:BX324"/>
    <mergeCell ref="BX310:BX312"/>
    <mergeCell ref="BX298:BX300"/>
    <mergeCell ref="BY352:BY354"/>
    <mergeCell ref="BY340:BY342"/>
    <mergeCell ref="BY328:BY330"/>
    <mergeCell ref="BY316:BY318"/>
    <mergeCell ref="BY304:BY306"/>
    <mergeCell ref="BY346:BY348"/>
    <mergeCell ref="BY334:BY336"/>
    <mergeCell ref="BY322:BY324"/>
    <mergeCell ref="BY310:BY312"/>
    <mergeCell ref="BY298:BY300"/>
    <mergeCell ref="H352:H354"/>
    <mergeCell ref="H340:H342"/>
    <mergeCell ref="H328:H330"/>
    <mergeCell ref="H316:H318"/>
    <mergeCell ref="H346:H348"/>
    <mergeCell ref="H334:H336"/>
    <mergeCell ref="H322:H324"/>
    <mergeCell ref="H310:H312"/>
    <mergeCell ref="H298:H300"/>
    <mergeCell ref="N352:N354"/>
    <mergeCell ref="N340:N342"/>
    <mergeCell ref="N328:N330"/>
    <mergeCell ref="N316:N318"/>
    <mergeCell ref="N304:N306"/>
    <mergeCell ref="N346:N348"/>
    <mergeCell ref="N334:N336"/>
    <mergeCell ref="N322:N324"/>
    <mergeCell ref="N310:N312"/>
    <mergeCell ref="N298:N300"/>
    <mergeCell ref="CB352:CB354"/>
    <mergeCell ref="CB340:CB342"/>
    <mergeCell ref="CB328:CB330"/>
    <mergeCell ref="CB316:CB318"/>
    <mergeCell ref="CB304:CB306"/>
    <mergeCell ref="CB346:CB348"/>
    <mergeCell ref="CB334:CB336"/>
    <mergeCell ref="CB322:CB324"/>
    <mergeCell ref="CB310:CB312"/>
    <mergeCell ref="CB298:CB300"/>
    <mergeCell ref="CE352:CE354"/>
    <mergeCell ref="CE340:CE342"/>
    <mergeCell ref="CE328:CE330"/>
    <mergeCell ref="CE316:CE318"/>
    <mergeCell ref="CE304:CE306"/>
    <mergeCell ref="CE346:CE348"/>
    <mergeCell ref="CE334:CE336"/>
    <mergeCell ref="CE322:CE324"/>
    <mergeCell ref="CE310:CE312"/>
    <mergeCell ref="CE298:CE300"/>
    <mergeCell ref="CA352:CA354"/>
    <mergeCell ref="CA340:CA342"/>
    <mergeCell ref="CA328:CA330"/>
    <mergeCell ref="CA316:CA318"/>
    <mergeCell ref="CA304:CA306"/>
    <mergeCell ref="CA346:CA348"/>
    <mergeCell ref="CA334:CA336"/>
    <mergeCell ref="CA322:CA324"/>
    <mergeCell ref="CA310:CA312"/>
    <mergeCell ref="CA298:CA300"/>
    <mergeCell ref="B352:B354"/>
    <mergeCell ref="B340:B342"/>
    <mergeCell ref="B328:B330"/>
    <mergeCell ref="B316:B318"/>
    <mergeCell ref="B304:B306"/>
    <mergeCell ref="B346:B348"/>
    <mergeCell ref="B334:B336"/>
    <mergeCell ref="B322:B324"/>
    <mergeCell ref="B310:B312"/>
    <mergeCell ref="B298:B300"/>
    <mergeCell ref="CC352:CC354"/>
    <mergeCell ref="CC340:CC342"/>
    <mergeCell ref="CC328:CC330"/>
    <mergeCell ref="CC316:CC318"/>
    <mergeCell ref="CC304:CC306"/>
    <mergeCell ref="CC346:CC348"/>
    <mergeCell ref="CC334:CC336"/>
    <mergeCell ref="CC322:CC324"/>
    <mergeCell ref="CC310:CC312"/>
    <mergeCell ref="CC298:CC300"/>
    <mergeCell ref="AA352:AA354"/>
    <mergeCell ref="AA340:AA342"/>
    <mergeCell ref="AA328:AA330"/>
    <mergeCell ref="AA316:AA318"/>
    <mergeCell ref="AA304:AA306"/>
    <mergeCell ref="AA346:AA348"/>
    <mergeCell ref="AA334:AA336"/>
    <mergeCell ref="AA322:AA324"/>
    <mergeCell ref="AA310:AA312"/>
    <mergeCell ref="AA298:AA300"/>
    <mergeCell ref="X352:X354"/>
    <mergeCell ref="X340:X342"/>
    <mergeCell ref="X328:X330"/>
    <mergeCell ref="X316:X318"/>
    <mergeCell ref="X304:X306"/>
    <mergeCell ref="X346:X348"/>
    <mergeCell ref="X334:X336"/>
    <mergeCell ref="X322:X324"/>
    <mergeCell ref="X310:X312"/>
    <mergeCell ref="X298:X300"/>
    <mergeCell ref="V352:V354"/>
    <mergeCell ref="V340:V342"/>
    <mergeCell ref="V328:V330"/>
    <mergeCell ref="V316:V318"/>
    <mergeCell ref="V304:V306"/>
    <mergeCell ref="V346:V348"/>
    <mergeCell ref="V334:V336"/>
    <mergeCell ref="V322:V324"/>
    <mergeCell ref="V310:V312"/>
    <mergeCell ref="V298:V300"/>
    <mergeCell ref="G343:G345"/>
    <mergeCell ref="G331:G333"/>
    <mergeCell ref="G307:G309"/>
    <mergeCell ref="G340:G342"/>
    <mergeCell ref="G328:G330"/>
    <mergeCell ref="G316:G318"/>
    <mergeCell ref="G304:G306"/>
    <mergeCell ref="G349:G351"/>
    <mergeCell ref="G337:G339"/>
    <mergeCell ref="G325:G327"/>
    <mergeCell ref="G313:G315"/>
    <mergeCell ref="G301:G303"/>
    <mergeCell ref="G346:G348"/>
    <mergeCell ref="G334:G336"/>
    <mergeCell ref="G322:G324"/>
    <mergeCell ref="G310:G312"/>
    <mergeCell ref="G298:G300"/>
    <mergeCell ref="H304:H306"/>
    <mergeCell ref="H319:H321"/>
    <mergeCell ref="G319:G321"/>
    <mergeCell ref="T367:T369"/>
    <mergeCell ref="T361:T363"/>
    <mergeCell ref="A367:A369"/>
    <mergeCell ref="A361:A363"/>
    <mergeCell ref="BZ367:BZ369"/>
    <mergeCell ref="BZ361:BZ363"/>
    <mergeCell ref="BV367:BV369"/>
    <mergeCell ref="BV361:BV363"/>
    <mergeCell ref="BS367:BS369"/>
    <mergeCell ref="BS361:BS363"/>
    <mergeCell ref="DK367:DK369"/>
    <mergeCell ref="DK361:DK363"/>
    <mergeCell ref="D367:D369"/>
    <mergeCell ref="D361:D363"/>
    <mergeCell ref="U367:U369"/>
    <mergeCell ref="U361:U363"/>
    <mergeCell ref="W367:W369"/>
    <mergeCell ref="W361:W363"/>
    <mergeCell ref="Y367:Y369"/>
    <mergeCell ref="Y361:Y363"/>
    <mergeCell ref="Z367:Z369"/>
    <mergeCell ref="Z361:Z363"/>
    <mergeCell ref="AB367:AB369"/>
    <mergeCell ref="AB361:AB363"/>
    <mergeCell ref="BU367:BU369"/>
    <mergeCell ref="BU361:BU363"/>
    <mergeCell ref="BT367:BT369"/>
    <mergeCell ref="BT361:BT363"/>
    <mergeCell ref="AC367:AC369"/>
    <mergeCell ref="AC361:AC363"/>
    <mergeCell ref="CD367:CD369"/>
    <mergeCell ref="CD361:CD363"/>
    <mergeCell ref="S367:S369"/>
    <mergeCell ref="S361:S363"/>
    <mergeCell ref="BW367:BW369"/>
    <mergeCell ref="BW361:BW363"/>
    <mergeCell ref="BX367:BX369"/>
    <mergeCell ref="BX361:BX363"/>
    <mergeCell ref="BY367:BY369"/>
    <mergeCell ref="BY361:BY363"/>
    <mergeCell ref="H367:H369"/>
    <mergeCell ref="H361:H363"/>
    <mergeCell ref="N367:N369"/>
    <mergeCell ref="N361:N363"/>
    <mergeCell ref="CB367:CB369"/>
    <mergeCell ref="CB361:CB363"/>
    <mergeCell ref="CE367:CE369"/>
    <mergeCell ref="CE361:CE363"/>
    <mergeCell ref="CA367:CA369"/>
    <mergeCell ref="CA361:CA363"/>
    <mergeCell ref="B367:B369"/>
    <mergeCell ref="B361:B363"/>
    <mergeCell ref="CC367:CC369"/>
    <mergeCell ref="CC361:CC363"/>
    <mergeCell ref="AA367:AA369"/>
    <mergeCell ref="AA361:AA363"/>
    <mergeCell ref="X367:X369"/>
    <mergeCell ref="X361:X363"/>
    <mergeCell ref="V367:V369"/>
    <mergeCell ref="V361:V363"/>
    <mergeCell ref="T364:T366"/>
    <mergeCell ref="T358:T360"/>
    <mergeCell ref="A364:A366"/>
    <mergeCell ref="A358:A360"/>
    <mergeCell ref="BZ364:BZ366"/>
    <mergeCell ref="BZ358:BZ360"/>
    <mergeCell ref="BV364:BV366"/>
    <mergeCell ref="BV358:BV360"/>
    <mergeCell ref="BS364:BS366"/>
    <mergeCell ref="BS358:BS360"/>
    <mergeCell ref="DK364:DK366"/>
    <mergeCell ref="DK358:DK360"/>
    <mergeCell ref="D364:D366"/>
    <mergeCell ref="D358:D360"/>
    <mergeCell ref="U364:U366"/>
    <mergeCell ref="U358:U360"/>
    <mergeCell ref="W364:W366"/>
    <mergeCell ref="W358:W360"/>
    <mergeCell ref="Y364:Y366"/>
    <mergeCell ref="Y358:Y360"/>
    <mergeCell ref="Z364:Z366"/>
    <mergeCell ref="Z358:Z360"/>
    <mergeCell ref="AB364:AB366"/>
    <mergeCell ref="AB358:AB360"/>
    <mergeCell ref="BU364:BU366"/>
    <mergeCell ref="BU358:BU360"/>
    <mergeCell ref="BT364:BT366"/>
    <mergeCell ref="BT358:BT360"/>
    <mergeCell ref="AC364:AC366"/>
    <mergeCell ref="AC358:AC360"/>
    <mergeCell ref="CD364:CD366"/>
    <mergeCell ref="CD358:CD360"/>
    <mergeCell ref="S364:S366"/>
    <mergeCell ref="S358:S360"/>
    <mergeCell ref="BW364:BW366"/>
    <mergeCell ref="BW358:BW360"/>
    <mergeCell ref="BX364:BX366"/>
    <mergeCell ref="BX358:BX360"/>
    <mergeCell ref="BY364:BY366"/>
    <mergeCell ref="BY358:BY360"/>
    <mergeCell ref="H364:H366"/>
    <mergeCell ref="H358:H360"/>
    <mergeCell ref="N364:N366"/>
    <mergeCell ref="N358:N360"/>
    <mergeCell ref="CB364:CB366"/>
    <mergeCell ref="CB358:CB360"/>
    <mergeCell ref="CE364:CE366"/>
    <mergeCell ref="CE358:CE360"/>
    <mergeCell ref="CA364:CA366"/>
    <mergeCell ref="CA358:CA360"/>
    <mergeCell ref="B364:B366"/>
    <mergeCell ref="B358:B360"/>
    <mergeCell ref="CC364:CC366"/>
    <mergeCell ref="CC358:CC360"/>
    <mergeCell ref="AA364:AA366"/>
    <mergeCell ref="AA358:AA360"/>
    <mergeCell ref="X364:X366"/>
    <mergeCell ref="X358:X360"/>
    <mergeCell ref="V364:V366"/>
    <mergeCell ref="V358:V360"/>
    <mergeCell ref="T379:T381"/>
    <mergeCell ref="T373:T375"/>
    <mergeCell ref="A379:A381"/>
    <mergeCell ref="A373:A375"/>
    <mergeCell ref="BZ379:BZ381"/>
    <mergeCell ref="BZ373:BZ375"/>
    <mergeCell ref="BV379:BV381"/>
    <mergeCell ref="BV373:BV375"/>
    <mergeCell ref="BS379:BS381"/>
    <mergeCell ref="BS373:BS375"/>
    <mergeCell ref="DK379:DK381"/>
    <mergeCell ref="DK373:DK375"/>
    <mergeCell ref="D379:D381"/>
    <mergeCell ref="D373:D375"/>
    <mergeCell ref="U379:U381"/>
    <mergeCell ref="U373:U375"/>
    <mergeCell ref="W379:W381"/>
    <mergeCell ref="W373:W375"/>
    <mergeCell ref="Y379:Y381"/>
    <mergeCell ref="Y373:Y375"/>
    <mergeCell ref="Z379:Z381"/>
    <mergeCell ref="Z373:Z375"/>
    <mergeCell ref="AB379:AB381"/>
    <mergeCell ref="AB373:AB375"/>
    <mergeCell ref="BU379:BU381"/>
    <mergeCell ref="BU373:BU375"/>
    <mergeCell ref="BT379:BT381"/>
    <mergeCell ref="BT373:BT375"/>
    <mergeCell ref="AC379:AC381"/>
    <mergeCell ref="AC373:AC375"/>
    <mergeCell ref="CD379:CD381"/>
    <mergeCell ref="CD373:CD375"/>
    <mergeCell ref="S379:S381"/>
    <mergeCell ref="S373:S375"/>
    <mergeCell ref="BW379:BW381"/>
    <mergeCell ref="BW373:BW375"/>
    <mergeCell ref="BX379:BX381"/>
    <mergeCell ref="BX373:BX375"/>
    <mergeCell ref="BY379:BY381"/>
    <mergeCell ref="BY373:BY375"/>
    <mergeCell ref="H373:H375"/>
    <mergeCell ref="N379:N381"/>
    <mergeCell ref="N373:N375"/>
    <mergeCell ref="CB379:CB381"/>
    <mergeCell ref="CB373:CB375"/>
    <mergeCell ref="CE379:CE381"/>
    <mergeCell ref="CE373:CE375"/>
    <mergeCell ref="CA379:CA381"/>
    <mergeCell ref="CA373:CA375"/>
    <mergeCell ref="B379:B381"/>
    <mergeCell ref="B373:B375"/>
    <mergeCell ref="CC379:CC381"/>
    <mergeCell ref="CC373:CC375"/>
    <mergeCell ref="AA379:AA381"/>
    <mergeCell ref="AA373:AA375"/>
    <mergeCell ref="X379:X381"/>
    <mergeCell ref="X373:X375"/>
    <mergeCell ref="V379:V381"/>
    <mergeCell ref="V373:V375"/>
    <mergeCell ref="T376:T378"/>
    <mergeCell ref="T370:T372"/>
    <mergeCell ref="A376:A378"/>
    <mergeCell ref="A370:A372"/>
    <mergeCell ref="BZ376:BZ378"/>
    <mergeCell ref="BZ370:BZ372"/>
    <mergeCell ref="BV376:BV378"/>
    <mergeCell ref="BV370:BV372"/>
    <mergeCell ref="BS376:BS378"/>
    <mergeCell ref="BS370:BS372"/>
    <mergeCell ref="DK376:DK378"/>
    <mergeCell ref="DK370:DK372"/>
    <mergeCell ref="D376:D378"/>
    <mergeCell ref="D370:D372"/>
    <mergeCell ref="U376:U378"/>
    <mergeCell ref="U370:U372"/>
    <mergeCell ref="W376:W378"/>
    <mergeCell ref="W370:W372"/>
    <mergeCell ref="Y376:Y378"/>
    <mergeCell ref="Y370:Y372"/>
    <mergeCell ref="Z376:Z378"/>
    <mergeCell ref="Z370:Z372"/>
    <mergeCell ref="AB376:AB378"/>
    <mergeCell ref="AB370:AB372"/>
    <mergeCell ref="BU376:BU378"/>
    <mergeCell ref="BU370:BU372"/>
    <mergeCell ref="BT376:BT378"/>
    <mergeCell ref="BT370:BT372"/>
    <mergeCell ref="AC376:AC378"/>
    <mergeCell ref="AC370:AC372"/>
    <mergeCell ref="CD376:CD378"/>
    <mergeCell ref="CD370:CD372"/>
    <mergeCell ref="S376:S378"/>
    <mergeCell ref="S370:S372"/>
    <mergeCell ref="BW376:BW378"/>
    <mergeCell ref="BW370:BW372"/>
    <mergeCell ref="BX376:BX378"/>
    <mergeCell ref="BX370:BX372"/>
    <mergeCell ref="BY376:BY378"/>
    <mergeCell ref="BY370:BY372"/>
    <mergeCell ref="H376:H378"/>
    <mergeCell ref="H370:H372"/>
    <mergeCell ref="N376:N378"/>
    <mergeCell ref="N370:N372"/>
    <mergeCell ref="CB376:CB378"/>
    <mergeCell ref="CB370:CB372"/>
    <mergeCell ref="CE376:CE378"/>
    <mergeCell ref="CE370:CE372"/>
    <mergeCell ref="CA376:CA378"/>
    <mergeCell ref="CA370:CA372"/>
    <mergeCell ref="B376:B378"/>
    <mergeCell ref="B370:B372"/>
    <mergeCell ref="CC376:CC378"/>
    <mergeCell ref="CC370:CC372"/>
    <mergeCell ref="AA376:AA378"/>
    <mergeCell ref="AA370:AA372"/>
    <mergeCell ref="X376:X378"/>
    <mergeCell ref="X370:X372"/>
    <mergeCell ref="V376:V378"/>
    <mergeCell ref="V370:V372"/>
    <mergeCell ref="T391:T393"/>
    <mergeCell ref="T385:T387"/>
    <mergeCell ref="A391:A393"/>
    <mergeCell ref="A385:A387"/>
    <mergeCell ref="BZ391:BZ393"/>
    <mergeCell ref="BZ385:BZ387"/>
    <mergeCell ref="BV391:BV393"/>
    <mergeCell ref="BV385:BV387"/>
    <mergeCell ref="BS391:BS393"/>
    <mergeCell ref="BS385:BS387"/>
    <mergeCell ref="DK391:DK393"/>
    <mergeCell ref="DK385:DK387"/>
    <mergeCell ref="D391:D393"/>
    <mergeCell ref="D385:D387"/>
    <mergeCell ref="U391:U393"/>
    <mergeCell ref="U385:U387"/>
    <mergeCell ref="W391:W393"/>
    <mergeCell ref="W385:W387"/>
    <mergeCell ref="Y391:Y393"/>
    <mergeCell ref="Y385:Y387"/>
    <mergeCell ref="Z391:Z393"/>
    <mergeCell ref="Z385:Z387"/>
    <mergeCell ref="AB391:AB393"/>
    <mergeCell ref="AB385:AB387"/>
    <mergeCell ref="BU391:BU393"/>
    <mergeCell ref="BU385:BU387"/>
    <mergeCell ref="BT391:BT393"/>
    <mergeCell ref="BT385:BT387"/>
    <mergeCell ref="AC391:AC393"/>
    <mergeCell ref="AC385:AC387"/>
    <mergeCell ref="CD391:CD393"/>
    <mergeCell ref="CD385:CD387"/>
    <mergeCell ref="S391:S393"/>
    <mergeCell ref="S385:S387"/>
    <mergeCell ref="BW391:BW393"/>
    <mergeCell ref="BW385:BW387"/>
    <mergeCell ref="BX391:BX393"/>
    <mergeCell ref="BX385:BX387"/>
    <mergeCell ref="BY391:BY393"/>
    <mergeCell ref="BY385:BY387"/>
    <mergeCell ref="H391:H393"/>
    <mergeCell ref="H385:H387"/>
    <mergeCell ref="N391:N393"/>
    <mergeCell ref="N385:N387"/>
    <mergeCell ref="CB391:CB393"/>
    <mergeCell ref="CB385:CB387"/>
    <mergeCell ref="CE391:CE393"/>
    <mergeCell ref="CE385:CE387"/>
    <mergeCell ref="CA391:CA393"/>
    <mergeCell ref="CA385:CA387"/>
    <mergeCell ref="B391:B393"/>
    <mergeCell ref="B385:B387"/>
    <mergeCell ref="CC391:CC393"/>
    <mergeCell ref="CC385:CC387"/>
    <mergeCell ref="AA391:AA393"/>
    <mergeCell ref="AA385:AA387"/>
    <mergeCell ref="X391:X393"/>
    <mergeCell ref="X385:X387"/>
    <mergeCell ref="V391:V393"/>
    <mergeCell ref="V385:V387"/>
    <mergeCell ref="T388:T390"/>
    <mergeCell ref="T382:T384"/>
    <mergeCell ref="A388:A390"/>
    <mergeCell ref="A382:A384"/>
    <mergeCell ref="BZ388:BZ390"/>
    <mergeCell ref="BZ382:BZ384"/>
    <mergeCell ref="BV388:BV390"/>
    <mergeCell ref="BV382:BV384"/>
    <mergeCell ref="BS388:BS390"/>
    <mergeCell ref="BS382:BS384"/>
    <mergeCell ref="DK388:DK390"/>
    <mergeCell ref="DK382:DK384"/>
    <mergeCell ref="D388:D390"/>
    <mergeCell ref="D382:D384"/>
    <mergeCell ref="U388:U390"/>
    <mergeCell ref="U382:U384"/>
    <mergeCell ref="W388:W390"/>
    <mergeCell ref="W382:W384"/>
    <mergeCell ref="Y388:Y390"/>
    <mergeCell ref="Y382:Y384"/>
    <mergeCell ref="Z388:Z390"/>
    <mergeCell ref="Z382:Z384"/>
    <mergeCell ref="AB388:AB390"/>
    <mergeCell ref="AB382:AB384"/>
    <mergeCell ref="BU388:BU390"/>
    <mergeCell ref="BU382:BU384"/>
    <mergeCell ref="BT388:BT390"/>
    <mergeCell ref="BT382:BT384"/>
    <mergeCell ref="AC388:AC390"/>
    <mergeCell ref="AC382:AC384"/>
    <mergeCell ref="CD388:CD390"/>
    <mergeCell ref="CD382:CD384"/>
    <mergeCell ref="S388:S390"/>
    <mergeCell ref="S382:S384"/>
    <mergeCell ref="BW388:BW390"/>
    <mergeCell ref="BW382:BW384"/>
    <mergeCell ref="BX388:BX390"/>
    <mergeCell ref="BX382:BX384"/>
    <mergeCell ref="BY388:BY390"/>
    <mergeCell ref="BY382:BY384"/>
    <mergeCell ref="H388:H390"/>
    <mergeCell ref="H382:H384"/>
    <mergeCell ref="N388:N390"/>
    <mergeCell ref="N382:N384"/>
    <mergeCell ref="CB388:CB390"/>
    <mergeCell ref="CB382:CB384"/>
    <mergeCell ref="CE388:CE390"/>
    <mergeCell ref="CE382:CE384"/>
    <mergeCell ref="CA388:CA390"/>
    <mergeCell ref="CA382:CA384"/>
    <mergeCell ref="B388:B390"/>
    <mergeCell ref="B382:B384"/>
    <mergeCell ref="CC388:CC390"/>
    <mergeCell ref="CC382:CC384"/>
    <mergeCell ref="AA388:AA390"/>
    <mergeCell ref="AA382:AA384"/>
    <mergeCell ref="X388:X390"/>
    <mergeCell ref="X382:X384"/>
    <mergeCell ref="V388:V390"/>
    <mergeCell ref="V382:V384"/>
    <mergeCell ref="T403:T405"/>
    <mergeCell ref="T397:T399"/>
    <mergeCell ref="A403:A405"/>
    <mergeCell ref="A397:A399"/>
    <mergeCell ref="BZ403:BZ405"/>
    <mergeCell ref="BZ397:BZ399"/>
    <mergeCell ref="BV403:BV405"/>
    <mergeCell ref="BV397:BV399"/>
    <mergeCell ref="BS403:BS405"/>
    <mergeCell ref="BS397:BS399"/>
    <mergeCell ref="DK403:DK405"/>
    <mergeCell ref="DK397:DK399"/>
    <mergeCell ref="D403:D405"/>
    <mergeCell ref="D397:D399"/>
    <mergeCell ref="U403:U405"/>
    <mergeCell ref="U397:U399"/>
    <mergeCell ref="W403:W405"/>
    <mergeCell ref="W397:W399"/>
    <mergeCell ref="Y403:Y405"/>
    <mergeCell ref="Y397:Y399"/>
    <mergeCell ref="Z403:Z405"/>
    <mergeCell ref="Z397:Z399"/>
    <mergeCell ref="AB403:AB405"/>
    <mergeCell ref="AB397:AB399"/>
    <mergeCell ref="BU403:BU405"/>
    <mergeCell ref="BU397:BU399"/>
    <mergeCell ref="BT403:BT405"/>
    <mergeCell ref="BT397:BT399"/>
    <mergeCell ref="AC403:AC405"/>
    <mergeCell ref="AC397:AC399"/>
    <mergeCell ref="CD403:CD405"/>
    <mergeCell ref="CD397:CD399"/>
    <mergeCell ref="S403:S405"/>
    <mergeCell ref="S397:S399"/>
    <mergeCell ref="BW403:BW405"/>
    <mergeCell ref="BW397:BW399"/>
    <mergeCell ref="BX403:BX405"/>
    <mergeCell ref="BX397:BX399"/>
    <mergeCell ref="BY403:BY405"/>
    <mergeCell ref="BY397:BY399"/>
    <mergeCell ref="H403:H405"/>
    <mergeCell ref="H397:H399"/>
    <mergeCell ref="N403:N405"/>
    <mergeCell ref="N397:N399"/>
    <mergeCell ref="CB403:CB405"/>
    <mergeCell ref="CB397:CB399"/>
    <mergeCell ref="CE403:CE405"/>
    <mergeCell ref="CE397:CE399"/>
    <mergeCell ref="CA403:CA405"/>
    <mergeCell ref="CA397:CA399"/>
    <mergeCell ref="B403:B405"/>
    <mergeCell ref="B397:B399"/>
    <mergeCell ref="CC403:CC405"/>
    <mergeCell ref="CC397:CC399"/>
    <mergeCell ref="AA403:AA405"/>
    <mergeCell ref="AA397:AA399"/>
    <mergeCell ref="X403:X405"/>
    <mergeCell ref="X397:X399"/>
    <mergeCell ref="V403:V405"/>
    <mergeCell ref="V397:V399"/>
    <mergeCell ref="T400:T402"/>
    <mergeCell ref="T394:T396"/>
    <mergeCell ref="A400:A402"/>
    <mergeCell ref="A394:A396"/>
    <mergeCell ref="BZ400:BZ402"/>
    <mergeCell ref="BZ394:BZ396"/>
    <mergeCell ref="BV400:BV402"/>
    <mergeCell ref="BV394:BV396"/>
    <mergeCell ref="BS400:BS402"/>
    <mergeCell ref="BS394:BS396"/>
    <mergeCell ref="DK400:DK402"/>
    <mergeCell ref="DK394:DK396"/>
    <mergeCell ref="D400:D402"/>
    <mergeCell ref="D394:D396"/>
    <mergeCell ref="U400:U402"/>
    <mergeCell ref="U394:U396"/>
    <mergeCell ref="W400:W402"/>
    <mergeCell ref="W394:W396"/>
    <mergeCell ref="Y400:Y402"/>
    <mergeCell ref="Y394:Y396"/>
    <mergeCell ref="Z400:Z402"/>
    <mergeCell ref="Z394:Z396"/>
    <mergeCell ref="AB400:AB402"/>
    <mergeCell ref="AB394:AB396"/>
    <mergeCell ref="BU400:BU402"/>
    <mergeCell ref="BU394:BU396"/>
    <mergeCell ref="BT400:BT402"/>
    <mergeCell ref="BT394:BT396"/>
    <mergeCell ref="AC400:AC402"/>
    <mergeCell ref="AC394:AC396"/>
    <mergeCell ref="CD400:CD402"/>
    <mergeCell ref="CD394:CD396"/>
    <mergeCell ref="S400:S402"/>
    <mergeCell ref="S394:S396"/>
    <mergeCell ref="BW400:BW402"/>
    <mergeCell ref="BW394:BW396"/>
    <mergeCell ref="BX400:BX402"/>
    <mergeCell ref="BX394:BX396"/>
    <mergeCell ref="BY400:BY402"/>
    <mergeCell ref="BY394:BY396"/>
    <mergeCell ref="H400:H402"/>
    <mergeCell ref="H394:H396"/>
    <mergeCell ref="N400:N402"/>
    <mergeCell ref="N394:N396"/>
    <mergeCell ref="CB400:CB402"/>
    <mergeCell ref="CB394:CB396"/>
    <mergeCell ref="CE400:CE402"/>
    <mergeCell ref="CE394:CE396"/>
    <mergeCell ref="CA400:CA402"/>
    <mergeCell ref="CA394:CA396"/>
    <mergeCell ref="B400:B402"/>
    <mergeCell ref="B394:B396"/>
    <mergeCell ref="CC400:CC402"/>
    <mergeCell ref="CC394:CC396"/>
    <mergeCell ref="AA400:AA402"/>
    <mergeCell ref="AA394:AA396"/>
    <mergeCell ref="X400:X402"/>
    <mergeCell ref="X394:X396"/>
    <mergeCell ref="V400:V402"/>
    <mergeCell ref="V394:V396"/>
    <mergeCell ref="T415:T417"/>
    <mergeCell ref="T409:T411"/>
    <mergeCell ref="A415:A417"/>
    <mergeCell ref="A409:A411"/>
    <mergeCell ref="BZ415:BZ417"/>
    <mergeCell ref="BZ409:BZ411"/>
    <mergeCell ref="BV415:BV417"/>
    <mergeCell ref="BV409:BV411"/>
    <mergeCell ref="BS415:BS417"/>
    <mergeCell ref="BS409:BS411"/>
    <mergeCell ref="DK415:DK417"/>
    <mergeCell ref="DK409:DK411"/>
    <mergeCell ref="D415:D417"/>
    <mergeCell ref="D409:D411"/>
    <mergeCell ref="U415:U417"/>
    <mergeCell ref="U409:U411"/>
    <mergeCell ref="W415:W417"/>
    <mergeCell ref="W409:W411"/>
    <mergeCell ref="Y415:Y417"/>
    <mergeCell ref="Y409:Y411"/>
    <mergeCell ref="Z415:Z417"/>
    <mergeCell ref="Z409:Z411"/>
    <mergeCell ref="AB415:AB417"/>
    <mergeCell ref="AB409:AB411"/>
    <mergeCell ref="BU415:BU417"/>
    <mergeCell ref="BU409:BU411"/>
    <mergeCell ref="BT415:BT417"/>
    <mergeCell ref="BT409:BT411"/>
    <mergeCell ref="AC415:AC417"/>
    <mergeCell ref="AC409:AC411"/>
    <mergeCell ref="CD415:CD417"/>
    <mergeCell ref="CD409:CD411"/>
    <mergeCell ref="S415:S417"/>
    <mergeCell ref="S409:S411"/>
    <mergeCell ref="BW415:BW417"/>
    <mergeCell ref="BW409:BW411"/>
    <mergeCell ref="BX415:BX417"/>
    <mergeCell ref="BX409:BX411"/>
    <mergeCell ref="BY415:BY417"/>
    <mergeCell ref="BY409:BY411"/>
    <mergeCell ref="H415:H417"/>
    <mergeCell ref="H409:H411"/>
    <mergeCell ref="N415:N417"/>
    <mergeCell ref="N409:N411"/>
    <mergeCell ref="CB415:CB417"/>
    <mergeCell ref="CB409:CB411"/>
    <mergeCell ref="CE415:CE417"/>
    <mergeCell ref="CE409:CE411"/>
    <mergeCell ref="CA415:CA417"/>
    <mergeCell ref="CA409:CA411"/>
    <mergeCell ref="B415:B417"/>
    <mergeCell ref="B409:B411"/>
    <mergeCell ref="CC415:CC417"/>
    <mergeCell ref="CC409:CC411"/>
    <mergeCell ref="AA415:AA417"/>
    <mergeCell ref="AA409:AA411"/>
    <mergeCell ref="X415:X417"/>
    <mergeCell ref="X409:X411"/>
    <mergeCell ref="V415:V417"/>
    <mergeCell ref="V409:V411"/>
    <mergeCell ref="T412:T414"/>
    <mergeCell ref="T406:T408"/>
    <mergeCell ref="A412:A414"/>
    <mergeCell ref="A406:A408"/>
    <mergeCell ref="BZ412:BZ414"/>
    <mergeCell ref="BZ406:BZ408"/>
    <mergeCell ref="BV412:BV414"/>
    <mergeCell ref="BV406:BV408"/>
    <mergeCell ref="BS412:BS414"/>
    <mergeCell ref="BS406:BS408"/>
    <mergeCell ref="DK412:DK414"/>
    <mergeCell ref="DK406:DK408"/>
    <mergeCell ref="D412:D414"/>
    <mergeCell ref="D406:D408"/>
    <mergeCell ref="U412:U414"/>
    <mergeCell ref="U406:U408"/>
    <mergeCell ref="W412:W414"/>
    <mergeCell ref="W406:W408"/>
    <mergeCell ref="Y412:Y414"/>
    <mergeCell ref="Y406:Y408"/>
    <mergeCell ref="Z412:Z414"/>
    <mergeCell ref="Z406:Z408"/>
    <mergeCell ref="AB412:AB414"/>
    <mergeCell ref="AB406:AB408"/>
    <mergeCell ref="BU412:BU414"/>
    <mergeCell ref="BU406:BU408"/>
    <mergeCell ref="BT412:BT414"/>
    <mergeCell ref="BT406:BT408"/>
    <mergeCell ref="AC412:AC414"/>
    <mergeCell ref="AC406:AC408"/>
    <mergeCell ref="CD412:CD414"/>
    <mergeCell ref="CD406:CD408"/>
    <mergeCell ref="S412:S414"/>
    <mergeCell ref="S406:S408"/>
    <mergeCell ref="BW412:BW414"/>
    <mergeCell ref="BW406:BW408"/>
    <mergeCell ref="BX412:BX414"/>
    <mergeCell ref="BX406:BX408"/>
    <mergeCell ref="BY412:BY414"/>
    <mergeCell ref="BY406:BY408"/>
    <mergeCell ref="H412:H414"/>
    <mergeCell ref="H406:H408"/>
    <mergeCell ref="N412:N414"/>
    <mergeCell ref="N406:N408"/>
    <mergeCell ref="CB412:CB414"/>
    <mergeCell ref="CB406:CB408"/>
    <mergeCell ref="CE412:CE414"/>
    <mergeCell ref="CE406:CE408"/>
    <mergeCell ref="CA412:CA414"/>
    <mergeCell ref="CA406:CA408"/>
    <mergeCell ref="B412:B414"/>
    <mergeCell ref="B406:B408"/>
    <mergeCell ref="CC412:CC414"/>
    <mergeCell ref="CC406:CC408"/>
    <mergeCell ref="AA412:AA414"/>
    <mergeCell ref="AA406:AA408"/>
    <mergeCell ref="X412:X414"/>
    <mergeCell ref="X406:X408"/>
    <mergeCell ref="V412:V414"/>
    <mergeCell ref="V406:V408"/>
    <mergeCell ref="G415:G417"/>
    <mergeCell ref="G412:G414"/>
    <mergeCell ref="G409:G411"/>
    <mergeCell ref="G406:G408"/>
    <mergeCell ref="G403:G405"/>
    <mergeCell ref="G400:G402"/>
    <mergeCell ref="G397:G399"/>
    <mergeCell ref="G394:G396"/>
    <mergeCell ref="G391:G393"/>
    <mergeCell ref="G388:G390"/>
    <mergeCell ref="G385:G387"/>
    <mergeCell ref="G382:G384"/>
    <mergeCell ref="G379:G381"/>
    <mergeCell ref="G376:G378"/>
    <mergeCell ref="G373:G375"/>
    <mergeCell ref="G370:G372"/>
    <mergeCell ref="G367:G369"/>
    <mergeCell ref="G364:G366"/>
    <mergeCell ref="G361:G363"/>
    <mergeCell ref="G358:G360"/>
    <mergeCell ref="G355:G357"/>
    <mergeCell ref="G352:G354"/>
    <mergeCell ref="H379:H381"/>
    <mergeCell ref="T427:T429"/>
    <mergeCell ref="T421:T423"/>
    <mergeCell ref="A427:A429"/>
    <mergeCell ref="A421:A423"/>
    <mergeCell ref="BZ427:BZ429"/>
    <mergeCell ref="BZ421:BZ423"/>
    <mergeCell ref="BV427:BV429"/>
    <mergeCell ref="BV421:BV423"/>
    <mergeCell ref="BS427:BS429"/>
    <mergeCell ref="BS421:BS423"/>
    <mergeCell ref="DK427:DK429"/>
    <mergeCell ref="DK421:DK423"/>
    <mergeCell ref="D427:D429"/>
    <mergeCell ref="D421:D423"/>
    <mergeCell ref="U427:U429"/>
    <mergeCell ref="U421:U423"/>
    <mergeCell ref="W427:W429"/>
    <mergeCell ref="W421:W423"/>
    <mergeCell ref="Y427:Y429"/>
    <mergeCell ref="Y421:Y423"/>
    <mergeCell ref="Z427:Z429"/>
    <mergeCell ref="Z421:Z423"/>
    <mergeCell ref="AB427:AB429"/>
    <mergeCell ref="AB421:AB423"/>
    <mergeCell ref="BU427:BU429"/>
    <mergeCell ref="BU421:BU423"/>
    <mergeCell ref="BT427:BT429"/>
    <mergeCell ref="BT421:BT423"/>
    <mergeCell ref="AC427:AC429"/>
    <mergeCell ref="AC421:AC423"/>
    <mergeCell ref="CD427:CD429"/>
    <mergeCell ref="CD421:CD423"/>
    <mergeCell ref="S427:S429"/>
    <mergeCell ref="S421:S423"/>
    <mergeCell ref="BW427:BW429"/>
    <mergeCell ref="BW421:BW423"/>
    <mergeCell ref="BX427:BX429"/>
    <mergeCell ref="BX421:BX423"/>
    <mergeCell ref="BY427:BY429"/>
    <mergeCell ref="BY421:BY423"/>
    <mergeCell ref="H427:H429"/>
    <mergeCell ref="H421:H423"/>
    <mergeCell ref="N427:N429"/>
    <mergeCell ref="N421:N423"/>
    <mergeCell ref="CB427:CB429"/>
    <mergeCell ref="CB421:CB423"/>
    <mergeCell ref="CE427:CE429"/>
    <mergeCell ref="CE421:CE423"/>
    <mergeCell ref="CA427:CA429"/>
    <mergeCell ref="CA421:CA423"/>
    <mergeCell ref="B427:B429"/>
    <mergeCell ref="B421:B423"/>
    <mergeCell ref="CC427:CC429"/>
    <mergeCell ref="CC421:CC423"/>
    <mergeCell ref="AA427:AA429"/>
    <mergeCell ref="AA421:AA423"/>
    <mergeCell ref="X427:X429"/>
    <mergeCell ref="X421:X423"/>
    <mergeCell ref="V427:V429"/>
    <mergeCell ref="V421:V423"/>
    <mergeCell ref="T424:T426"/>
    <mergeCell ref="T418:T420"/>
    <mergeCell ref="A424:A426"/>
    <mergeCell ref="A418:A420"/>
    <mergeCell ref="BZ424:BZ426"/>
    <mergeCell ref="BZ418:BZ420"/>
    <mergeCell ref="BV424:BV426"/>
    <mergeCell ref="BV418:BV420"/>
    <mergeCell ref="BS424:BS426"/>
    <mergeCell ref="BS418:BS420"/>
    <mergeCell ref="DK424:DK426"/>
    <mergeCell ref="DK418:DK420"/>
    <mergeCell ref="D424:D426"/>
    <mergeCell ref="D418:D420"/>
    <mergeCell ref="U424:U426"/>
    <mergeCell ref="U418:U420"/>
    <mergeCell ref="W424:W426"/>
    <mergeCell ref="W418:W420"/>
    <mergeCell ref="Y424:Y426"/>
    <mergeCell ref="Y418:Y420"/>
    <mergeCell ref="Z424:Z426"/>
    <mergeCell ref="Z418:Z420"/>
    <mergeCell ref="AB424:AB426"/>
    <mergeCell ref="AB418:AB420"/>
    <mergeCell ref="BU424:BU426"/>
    <mergeCell ref="BU418:BU420"/>
    <mergeCell ref="BT424:BT426"/>
    <mergeCell ref="BT418:BT420"/>
    <mergeCell ref="AC424:AC426"/>
    <mergeCell ref="AC418:AC420"/>
    <mergeCell ref="CD424:CD426"/>
    <mergeCell ref="CD418:CD420"/>
    <mergeCell ref="S424:S426"/>
    <mergeCell ref="S418:S420"/>
    <mergeCell ref="BW424:BW426"/>
    <mergeCell ref="BW418:BW420"/>
    <mergeCell ref="BX424:BX426"/>
    <mergeCell ref="BX418:BX420"/>
    <mergeCell ref="BY424:BY426"/>
    <mergeCell ref="BY418:BY420"/>
    <mergeCell ref="H424:H426"/>
    <mergeCell ref="H418:H420"/>
    <mergeCell ref="N424:N426"/>
    <mergeCell ref="N418:N420"/>
    <mergeCell ref="CB424:CB426"/>
    <mergeCell ref="CB418:CB420"/>
    <mergeCell ref="CE424:CE426"/>
    <mergeCell ref="CE418:CE420"/>
    <mergeCell ref="CA424:CA426"/>
    <mergeCell ref="CA418:CA420"/>
    <mergeCell ref="B424:B426"/>
    <mergeCell ref="B418:B420"/>
    <mergeCell ref="CC424:CC426"/>
    <mergeCell ref="CC418:CC420"/>
    <mergeCell ref="AA424:AA426"/>
    <mergeCell ref="AA418:AA420"/>
    <mergeCell ref="X424:X426"/>
    <mergeCell ref="X418:X420"/>
    <mergeCell ref="V424:V426"/>
    <mergeCell ref="V418:V420"/>
    <mergeCell ref="G427:G429"/>
    <mergeCell ref="G424:G426"/>
    <mergeCell ref="G421:G423"/>
    <mergeCell ref="G418:G420"/>
    <mergeCell ref="T439:T441"/>
    <mergeCell ref="T433:T435"/>
    <mergeCell ref="A439:A441"/>
    <mergeCell ref="A433:A435"/>
    <mergeCell ref="BZ439:BZ441"/>
    <mergeCell ref="BZ433:BZ435"/>
    <mergeCell ref="BV439:BV441"/>
    <mergeCell ref="BV433:BV435"/>
    <mergeCell ref="BS439:BS441"/>
    <mergeCell ref="BS433:BS435"/>
    <mergeCell ref="DK439:DK441"/>
    <mergeCell ref="DK433:DK435"/>
    <mergeCell ref="D439:D441"/>
    <mergeCell ref="D433:D435"/>
    <mergeCell ref="U439:U441"/>
    <mergeCell ref="U433:U435"/>
    <mergeCell ref="W439:W441"/>
    <mergeCell ref="W433:W435"/>
    <mergeCell ref="Y439:Y441"/>
    <mergeCell ref="Y433:Y435"/>
    <mergeCell ref="Z439:Z441"/>
    <mergeCell ref="Z433:Z435"/>
    <mergeCell ref="AB439:AB441"/>
    <mergeCell ref="AB433:AB435"/>
    <mergeCell ref="BU439:BU441"/>
    <mergeCell ref="BU433:BU435"/>
    <mergeCell ref="BT439:BT441"/>
    <mergeCell ref="BT433:BT435"/>
    <mergeCell ref="AC439:AC441"/>
    <mergeCell ref="AC433:AC435"/>
    <mergeCell ref="CD439:CD441"/>
    <mergeCell ref="CD433:CD435"/>
    <mergeCell ref="S439:S441"/>
    <mergeCell ref="S433:S435"/>
    <mergeCell ref="BW439:BW441"/>
    <mergeCell ref="BW433:BW435"/>
    <mergeCell ref="BX439:BX441"/>
    <mergeCell ref="BX433:BX435"/>
    <mergeCell ref="BY439:BY441"/>
    <mergeCell ref="BY433:BY435"/>
    <mergeCell ref="H439:H441"/>
    <mergeCell ref="H433:H435"/>
    <mergeCell ref="N439:N441"/>
    <mergeCell ref="N433:N435"/>
    <mergeCell ref="CB439:CB441"/>
    <mergeCell ref="CB433:CB435"/>
    <mergeCell ref="CE439:CE441"/>
    <mergeCell ref="CE433:CE435"/>
    <mergeCell ref="CA439:CA441"/>
    <mergeCell ref="CA433:CA435"/>
    <mergeCell ref="B439:B441"/>
    <mergeCell ref="B433:B435"/>
    <mergeCell ref="CC439:CC441"/>
    <mergeCell ref="CC433:CC435"/>
    <mergeCell ref="AA439:AA441"/>
    <mergeCell ref="AA433:AA435"/>
    <mergeCell ref="X439:X441"/>
    <mergeCell ref="X433:X435"/>
    <mergeCell ref="V439:V441"/>
    <mergeCell ref="V433:V435"/>
    <mergeCell ref="T436:T438"/>
    <mergeCell ref="T430:T432"/>
    <mergeCell ref="A436:A438"/>
    <mergeCell ref="A430:A432"/>
    <mergeCell ref="BZ436:BZ438"/>
    <mergeCell ref="BZ430:BZ432"/>
    <mergeCell ref="BV436:BV438"/>
    <mergeCell ref="BV430:BV432"/>
    <mergeCell ref="BS436:BS438"/>
    <mergeCell ref="BS430:BS432"/>
    <mergeCell ref="DK436:DK438"/>
    <mergeCell ref="DK430:DK432"/>
    <mergeCell ref="D436:D438"/>
    <mergeCell ref="D430:D432"/>
    <mergeCell ref="U436:U438"/>
    <mergeCell ref="U430:U432"/>
    <mergeCell ref="W436:W438"/>
    <mergeCell ref="W430:W432"/>
    <mergeCell ref="Y436:Y438"/>
    <mergeCell ref="Y430:Y432"/>
    <mergeCell ref="Z436:Z438"/>
    <mergeCell ref="Z430:Z432"/>
    <mergeCell ref="AB436:AB438"/>
    <mergeCell ref="AB430:AB432"/>
    <mergeCell ref="BU436:BU438"/>
    <mergeCell ref="BU430:BU432"/>
    <mergeCell ref="BT436:BT438"/>
    <mergeCell ref="BT430:BT432"/>
    <mergeCell ref="AC436:AC438"/>
    <mergeCell ref="AC430:AC432"/>
    <mergeCell ref="CD436:CD438"/>
    <mergeCell ref="CD430:CD432"/>
    <mergeCell ref="S436:S438"/>
    <mergeCell ref="S430:S432"/>
    <mergeCell ref="BW436:BW438"/>
    <mergeCell ref="BW430:BW432"/>
    <mergeCell ref="BX436:BX438"/>
    <mergeCell ref="BX430:BX432"/>
    <mergeCell ref="BY436:BY438"/>
    <mergeCell ref="BY430:BY432"/>
    <mergeCell ref="H436:H438"/>
    <mergeCell ref="H430:H432"/>
    <mergeCell ref="N436:N438"/>
    <mergeCell ref="N430:N432"/>
    <mergeCell ref="CB436:CB438"/>
    <mergeCell ref="CB430:CB432"/>
    <mergeCell ref="CE436:CE438"/>
    <mergeCell ref="CE430:CE432"/>
    <mergeCell ref="CA436:CA438"/>
    <mergeCell ref="CA430:CA432"/>
    <mergeCell ref="B436:B438"/>
    <mergeCell ref="B430:B432"/>
    <mergeCell ref="CC436:CC438"/>
    <mergeCell ref="CC430:CC432"/>
    <mergeCell ref="AA436:AA438"/>
    <mergeCell ref="AA430:AA432"/>
    <mergeCell ref="X436:X438"/>
    <mergeCell ref="X430:X432"/>
    <mergeCell ref="V436:V438"/>
    <mergeCell ref="V430:V432"/>
    <mergeCell ref="G439:G441"/>
    <mergeCell ref="G436:G438"/>
    <mergeCell ref="G433:G435"/>
    <mergeCell ref="G430:G432"/>
    <mergeCell ref="T451:T453"/>
    <mergeCell ref="T445:T447"/>
    <mergeCell ref="A451:A453"/>
    <mergeCell ref="A445:A447"/>
    <mergeCell ref="BZ451:BZ453"/>
    <mergeCell ref="BZ445:BZ447"/>
    <mergeCell ref="BV451:BV453"/>
    <mergeCell ref="BV445:BV447"/>
    <mergeCell ref="BS451:BS453"/>
    <mergeCell ref="BS445:BS447"/>
    <mergeCell ref="DK451:DK453"/>
    <mergeCell ref="DK445:DK447"/>
    <mergeCell ref="D451:D453"/>
    <mergeCell ref="D445:D447"/>
    <mergeCell ref="U451:U453"/>
    <mergeCell ref="U445:U447"/>
    <mergeCell ref="W451:W453"/>
    <mergeCell ref="W445:W447"/>
    <mergeCell ref="Y451:Y453"/>
    <mergeCell ref="Y445:Y447"/>
    <mergeCell ref="Z451:Z453"/>
    <mergeCell ref="Z445:Z447"/>
    <mergeCell ref="AB451:AB453"/>
    <mergeCell ref="AB445:AB447"/>
    <mergeCell ref="BU451:BU453"/>
    <mergeCell ref="BU445:BU447"/>
    <mergeCell ref="BT451:BT453"/>
    <mergeCell ref="BT445:BT447"/>
    <mergeCell ref="AC451:AC453"/>
    <mergeCell ref="AC445:AC447"/>
    <mergeCell ref="CD451:CD453"/>
    <mergeCell ref="CD445:CD447"/>
    <mergeCell ref="S451:S453"/>
    <mergeCell ref="S445:S447"/>
    <mergeCell ref="BW451:BW453"/>
    <mergeCell ref="BW445:BW447"/>
    <mergeCell ref="BX451:BX453"/>
    <mergeCell ref="BX445:BX447"/>
    <mergeCell ref="BY451:BY453"/>
    <mergeCell ref="BY445:BY447"/>
    <mergeCell ref="H451:H453"/>
    <mergeCell ref="H445:H447"/>
    <mergeCell ref="N451:N453"/>
    <mergeCell ref="N445:N447"/>
    <mergeCell ref="CB451:CB453"/>
    <mergeCell ref="CB445:CB447"/>
    <mergeCell ref="CE451:CE453"/>
    <mergeCell ref="CE445:CE447"/>
    <mergeCell ref="CA451:CA453"/>
    <mergeCell ref="CA445:CA447"/>
    <mergeCell ref="B451:B453"/>
    <mergeCell ref="B445:B447"/>
    <mergeCell ref="CC451:CC453"/>
    <mergeCell ref="CC445:CC447"/>
    <mergeCell ref="AA451:AA453"/>
    <mergeCell ref="AA445:AA447"/>
    <mergeCell ref="X451:X453"/>
    <mergeCell ref="X445:X447"/>
    <mergeCell ref="V451:V453"/>
    <mergeCell ref="V445:V447"/>
    <mergeCell ref="T448:T450"/>
    <mergeCell ref="T442:T444"/>
    <mergeCell ref="A448:A450"/>
    <mergeCell ref="A442:A444"/>
    <mergeCell ref="BZ448:BZ450"/>
    <mergeCell ref="BZ442:BZ444"/>
    <mergeCell ref="BV448:BV450"/>
    <mergeCell ref="BV442:BV444"/>
    <mergeCell ref="BS448:BS450"/>
    <mergeCell ref="BS442:BS444"/>
    <mergeCell ref="DK448:DK450"/>
    <mergeCell ref="DK442:DK444"/>
    <mergeCell ref="D448:D450"/>
    <mergeCell ref="D442:D444"/>
    <mergeCell ref="U448:U450"/>
    <mergeCell ref="U442:U444"/>
    <mergeCell ref="W448:W450"/>
    <mergeCell ref="W442:W444"/>
    <mergeCell ref="Y448:Y450"/>
    <mergeCell ref="Y442:Y444"/>
    <mergeCell ref="Z448:Z450"/>
    <mergeCell ref="Z442:Z444"/>
    <mergeCell ref="AB448:AB450"/>
    <mergeCell ref="AB442:AB444"/>
    <mergeCell ref="BU448:BU450"/>
    <mergeCell ref="BU442:BU444"/>
    <mergeCell ref="BT448:BT450"/>
    <mergeCell ref="BT442:BT444"/>
    <mergeCell ref="AC448:AC450"/>
    <mergeCell ref="AC442:AC444"/>
    <mergeCell ref="CD448:CD450"/>
    <mergeCell ref="CD442:CD444"/>
    <mergeCell ref="S448:S450"/>
    <mergeCell ref="S442:S444"/>
    <mergeCell ref="BW448:BW450"/>
    <mergeCell ref="BW442:BW444"/>
    <mergeCell ref="BX448:BX450"/>
    <mergeCell ref="BX442:BX444"/>
    <mergeCell ref="BY448:BY450"/>
    <mergeCell ref="BY442:BY444"/>
    <mergeCell ref="H448:H450"/>
    <mergeCell ref="H442:H444"/>
    <mergeCell ref="N448:N450"/>
    <mergeCell ref="N442:N444"/>
    <mergeCell ref="CB448:CB450"/>
    <mergeCell ref="CB442:CB444"/>
    <mergeCell ref="CE448:CE450"/>
    <mergeCell ref="CE442:CE444"/>
    <mergeCell ref="CA448:CA450"/>
    <mergeCell ref="CA442:CA444"/>
    <mergeCell ref="B448:B450"/>
    <mergeCell ref="B442:B444"/>
    <mergeCell ref="CC448:CC450"/>
    <mergeCell ref="CC442:CC444"/>
    <mergeCell ref="AA448:AA450"/>
    <mergeCell ref="AA442:AA444"/>
    <mergeCell ref="X448:X450"/>
    <mergeCell ref="X442:X444"/>
    <mergeCell ref="V448:V450"/>
    <mergeCell ref="V442:V444"/>
    <mergeCell ref="G451:G453"/>
    <mergeCell ref="G448:G450"/>
    <mergeCell ref="G445:G447"/>
    <mergeCell ref="G442:G444"/>
    <mergeCell ref="T463:T465"/>
    <mergeCell ref="T457:T459"/>
    <mergeCell ref="A463:A465"/>
    <mergeCell ref="A457:A459"/>
    <mergeCell ref="BZ463:BZ465"/>
    <mergeCell ref="BZ457:BZ459"/>
    <mergeCell ref="BV463:BV465"/>
    <mergeCell ref="BV457:BV459"/>
    <mergeCell ref="BS463:BS465"/>
    <mergeCell ref="BS457:BS459"/>
    <mergeCell ref="DK463:DK465"/>
    <mergeCell ref="DK457:DK459"/>
    <mergeCell ref="D463:D465"/>
    <mergeCell ref="D457:D459"/>
    <mergeCell ref="U463:U465"/>
    <mergeCell ref="U457:U459"/>
    <mergeCell ref="W463:W465"/>
    <mergeCell ref="W457:W459"/>
    <mergeCell ref="Y463:Y465"/>
    <mergeCell ref="Y457:Y459"/>
    <mergeCell ref="Z463:Z465"/>
    <mergeCell ref="Z457:Z459"/>
    <mergeCell ref="AB463:AB465"/>
    <mergeCell ref="AB457:AB459"/>
    <mergeCell ref="BU463:BU465"/>
    <mergeCell ref="BU457:BU459"/>
    <mergeCell ref="BT463:BT465"/>
    <mergeCell ref="BT457:BT459"/>
    <mergeCell ref="AC463:AC465"/>
    <mergeCell ref="AC457:AC459"/>
    <mergeCell ref="CD463:CD465"/>
    <mergeCell ref="CD457:CD459"/>
    <mergeCell ref="S463:S465"/>
    <mergeCell ref="S457:S459"/>
    <mergeCell ref="BW463:BW465"/>
    <mergeCell ref="BW457:BW459"/>
    <mergeCell ref="BX463:BX465"/>
    <mergeCell ref="BX457:BX459"/>
    <mergeCell ref="BY463:BY465"/>
    <mergeCell ref="BY457:BY459"/>
    <mergeCell ref="H463:H465"/>
    <mergeCell ref="H457:H459"/>
    <mergeCell ref="N463:N465"/>
    <mergeCell ref="N457:N459"/>
    <mergeCell ref="CB463:CB465"/>
    <mergeCell ref="CB457:CB459"/>
    <mergeCell ref="CE463:CE465"/>
    <mergeCell ref="CE457:CE459"/>
    <mergeCell ref="CA463:CA465"/>
    <mergeCell ref="CA457:CA459"/>
    <mergeCell ref="B463:B465"/>
    <mergeCell ref="B457:B459"/>
    <mergeCell ref="CC463:CC465"/>
    <mergeCell ref="CC457:CC459"/>
    <mergeCell ref="AA463:AA465"/>
    <mergeCell ref="AA457:AA459"/>
    <mergeCell ref="X463:X465"/>
    <mergeCell ref="X457:X459"/>
    <mergeCell ref="V463:V465"/>
    <mergeCell ref="V457:V459"/>
    <mergeCell ref="T460:T462"/>
    <mergeCell ref="T454:T456"/>
    <mergeCell ref="A460:A462"/>
    <mergeCell ref="A454:A456"/>
    <mergeCell ref="BZ460:BZ462"/>
    <mergeCell ref="BZ454:BZ456"/>
    <mergeCell ref="BV460:BV462"/>
    <mergeCell ref="BV454:BV456"/>
    <mergeCell ref="BS460:BS462"/>
    <mergeCell ref="BS454:BS456"/>
    <mergeCell ref="DK460:DK462"/>
    <mergeCell ref="DK454:DK456"/>
    <mergeCell ref="D460:D462"/>
    <mergeCell ref="D454:D456"/>
    <mergeCell ref="U460:U462"/>
    <mergeCell ref="U454:U456"/>
    <mergeCell ref="W460:W462"/>
    <mergeCell ref="W454:W456"/>
    <mergeCell ref="Y460:Y462"/>
    <mergeCell ref="Y454:Y456"/>
    <mergeCell ref="Z460:Z462"/>
    <mergeCell ref="Z454:Z456"/>
    <mergeCell ref="AB460:AB462"/>
    <mergeCell ref="AB454:AB456"/>
    <mergeCell ref="BU460:BU462"/>
    <mergeCell ref="BU454:BU456"/>
    <mergeCell ref="BT460:BT462"/>
    <mergeCell ref="BT454:BT456"/>
    <mergeCell ref="AC460:AC462"/>
    <mergeCell ref="AC454:AC456"/>
    <mergeCell ref="CD460:CD462"/>
    <mergeCell ref="CD454:CD456"/>
    <mergeCell ref="S460:S462"/>
    <mergeCell ref="S454:S456"/>
    <mergeCell ref="BW460:BW462"/>
    <mergeCell ref="BW454:BW456"/>
    <mergeCell ref="BX460:BX462"/>
    <mergeCell ref="BX454:BX456"/>
    <mergeCell ref="BY460:BY462"/>
    <mergeCell ref="BY454:BY456"/>
    <mergeCell ref="H460:H462"/>
    <mergeCell ref="H454:H456"/>
    <mergeCell ref="N460:N462"/>
    <mergeCell ref="N454:N456"/>
    <mergeCell ref="CB460:CB462"/>
    <mergeCell ref="CB454:CB456"/>
    <mergeCell ref="CE460:CE462"/>
    <mergeCell ref="CE454:CE456"/>
    <mergeCell ref="CA460:CA462"/>
    <mergeCell ref="CA454:CA456"/>
    <mergeCell ref="B460:B462"/>
    <mergeCell ref="B454:B456"/>
    <mergeCell ref="CC460:CC462"/>
    <mergeCell ref="CC454:CC456"/>
    <mergeCell ref="AA460:AA462"/>
    <mergeCell ref="AA454:AA456"/>
    <mergeCell ref="X460:X462"/>
    <mergeCell ref="X454:X456"/>
    <mergeCell ref="V460:V462"/>
    <mergeCell ref="V454:V456"/>
    <mergeCell ref="G463:G465"/>
    <mergeCell ref="G460:G462"/>
    <mergeCell ref="G457:G459"/>
    <mergeCell ref="G454:G456"/>
    <mergeCell ref="T475:T477"/>
    <mergeCell ref="T469:T471"/>
    <mergeCell ref="A475:A477"/>
    <mergeCell ref="A469:A471"/>
    <mergeCell ref="BZ475:BZ477"/>
    <mergeCell ref="BZ469:BZ471"/>
    <mergeCell ref="BV475:BV477"/>
    <mergeCell ref="BV469:BV471"/>
    <mergeCell ref="BS475:BS477"/>
    <mergeCell ref="BS469:BS471"/>
    <mergeCell ref="DK475:DK477"/>
    <mergeCell ref="DK469:DK471"/>
    <mergeCell ref="D475:D477"/>
    <mergeCell ref="D469:D471"/>
    <mergeCell ref="U475:U477"/>
    <mergeCell ref="U469:U471"/>
    <mergeCell ref="W475:W477"/>
    <mergeCell ref="W469:W471"/>
    <mergeCell ref="Y475:Y477"/>
    <mergeCell ref="Y469:Y471"/>
    <mergeCell ref="Z475:Z477"/>
    <mergeCell ref="Z469:Z471"/>
    <mergeCell ref="AB475:AB477"/>
    <mergeCell ref="AB469:AB471"/>
    <mergeCell ref="BU475:BU477"/>
    <mergeCell ref="BU469:BU471"/>
    <mergeCell ref="BT475:BT477"/>
    <mergeCell ref="BT469:BT471"/>
    <mergeCell ref="AC475:AC477"/>
    <mergeCell ref="AC469:AC471"/>
    <mergeCell ref="CD475:CD477"/>
    <mergeCell ref="CD469:CD471"/>
    <mergeCell ref="S475:S477"/>
    <mergeCell ref="S469:S471"/>
    <mergeCell ref="BW475:BW477"/>
    <mergeCell ref="BW469:BW471"/>
    <mergeCell ref="BX475:BX477"/>
    <mergeCell ref="BX469:BX471"/>
    <mergeCell ref="BY475:BY477"/>
    <mergeCell ref="BY469:BY471"/>
    <mergeCell ref="H475:H477"/>
    <mergeCell ref="H469:H471"/>
    <mergeCell ref="N475:N477"/>
    <mergeCell ref="N469:N471"/>
    <mergeCell ref="CB475:CB477"/>
    <mergeCell ref="CB469:CB471"/>
    <mergeCell ref="CE475:CE477"/>
    <mergeCell ref="CE469:CE471"/>
    <mergeCell ref="CA475:CA477"/>
    <mergeCell ref="CA469:CA471"/>
    <mergeCell ref="B475:B477"/>
    <mergeCell ref="B469:B471"/>
    <mergeCell ref="CC475:CC477"/>
    <mergeCell ref="CC469:CC471"/>
    <mergeCell ref="AA475:AA477"/>
    <mergeCell ref="AA469:AA471"/>
    <mergeCell ref="X475:X477"/>
    <mergeCell ref="X469:X471"/>
    <mergeCell ref="V475:V477"/>
    <mergeCell ref="V469:V471"/>
    <mergeCell ref="T472:T474"/>
    <mergeCell ref="T466:T468"/>
    <mergeCell ref="A472:A474"/>
    <mergeCell ref="A466:A468"/>
    <mergeCell ref="BZ472:BZ474"/>
    <mergeCell ref="BZ466:BZ468"/>
    <mergeCell ref="BV472:BV474"/>
    <mergeCell ref="BV466:BV468"/>
    <mergeCell ref="BS472:BS474"/>
    <mergeCell ref="BS466:BS468"/>
    <mergeCell ref="DK472:DK474"/>
    <mergeCell ref="DK466:DK468"/>
    <mergeCell ref="D472:D474"/>
    <mergeCell ref="D466:D468"/>
    <mergeCell ref="U472:U474"/>
    <mergeCell ref="U466:U468"/>
    <mergeCell ref="W472:W474"/>
    <mergeCell ref="W466:W468"/>
    <mergeCell ref="Y472:Y474"/>
    <mergeCell ref="Y466:Y468"/>
    <mergeCell ref="Z472:Z474"/>
    <mergeCell ref="Z466:Z468"/>
    <mergeCell ref="AB472:AB474"/>
    <mergeCell ref="AB466:AB468"/>
    <mergeCell ref="BU472:BU474"/>
    <mergeCell ref="BU466:BU468"/>
    <mergeCell ref="BT472:BT474"/>
    <mergeCell ref="BT466:BT468"/>
    <mergeCell ref="AC472:AC474"/>
    <mergeCell ref="AC466:AC468"/>
    <mergeCell ref="CD472:CD474"/>
    <mergeCell ref="CD466:CD468"/>
    <mergeCell ref="S472:S474"/>
    <mergeCell ref="S466:S468"/>
    <mergeCell ref="BW472:BW474"/>
    <mergeCell ref="BW466:BW468"/>
    <mergeCell ref="BX472:BX474"/>
    <mergeCell ref="BX466:BX468"/>
    <mergeCell ref="BY472:BY474"/>
    <mergeCell ref="BY466:BY468"/>
    <mergeCell ref="H472:H474"/>
    <mergeCell ref="H466:H468"/>
    <mergeCell ref="N472:N474"/>
    <mergeCell ref="N466:N468"/>
    <mergeCell ref="CB472:CB474"/>
    <mergeCell ref="CB466:CB468"/>
    <mergeCell ref="CE472:CE474"/>
    <mergeCell ref="CE466:CE468"/>
    <mergeCell ref="CA472:CA474"/>
    <mergeCell ref="CA466:CA468"/>
    <mergeCell ref="B472:B474"/>
    <mergeCell ref="B466:B468"/>
    <mergeCell ref="CC472:CC474"/>
    <mergeCell ref="CC466:CC468"/>
    <mergeCell ref="AA472:AA474"/>
    <mergeCell ref="AA466:AA468"/>
    <mergeCell ref="X472:X474"/>
    <mergeCell ref="X466:X468"/>
    <mergeCell ref="V472:V474"/>
    <mergeCell ref="V466:V468"/>
    <mergeCell ref="G475:G477"/>
    <mergeCell ref="G472:G474"/>
    <mergeCell ref="G469:G471"/>
    <mergeCell ref="G466:G468"/>
    <mergeCell ref="T481:T483"/>
    <mergeCell ref="A481:A483"/>
    <mergeCell ref="BZ481:BZ483"/>
    <mergeCell ref="BV481:BV483"/>
    <mergeCell ref="BS481:BS483"/>
    <mergeCell ref="DK481:DK483"/>
    <mergeCell ref="D481:D483"/>
    <mergeCell ref="U481:U483"/>
    <mergeCell ref="W481:W483"/>
    <mergeCell ref="Y481:Y483"/>
    <mergeCell ref="Z481:Z483"/>
    <mergeCell ref="AB481:AB483"/>
    <mergeCell ref="BU481:BU483"/>
    <mergeCell ref="BT481:BT483"/>
    <mergeCell ref="AC481:AC483"/>
    <mergeCell ref="CD481:CD483"/>
    <mergeCell ref="S481:S483"/>
    <mergeCell ref="BW481:BW483"/>
    <mergeCell ref="BX481:BX483"/>
    <mergeCell ref="BY481:BY483"/>
    <mergeCell ref="H481:H483"/>
    <mergeCell ref="N481:N483"/>
    <mergeCell ref="CB481:CB483"/>
    <mergeCell ref="CE481:CE483"/>
    <mergeCell ref="CA481:CA483"/>
    <mergeCell ref="B481:B483"/>
    <mergeCell ref="CC481:CC483"/>
    <mergeCell ref="AA481:AA483"/>
    <mergeCell ref="X481:X483"/>
    <mergeCell ref="V481:V483"/>
    <mergeCell ref="T478:T480"/>
    <mergeCell ref="A478:A480"/>
    <mergeCell ref="BZ478:BZ480"/>
    <mergeCell ref="BV478:BV480"/>
    <mergeCell ref="BS478:BS480"/>
    <mergeCell ref="DK478:DK480"/>
    <mergeCell ref="D478:D480"/>
    <mergeCell ref="U478:U480"/>
    <mergeCell ref="W478:W480"/>
    <mergeCell ref="Y478:Y480"/>
    <mergeCell ref="Z478:Z480"/>
    <mergeCell ref="AB478:AB480"/>
    <mergeCell ref="BU478:BU480"/>
    <mergeCell ref="BT478:BT480"/>
    <mergeCell ref="AC478:AC480"/>
    <mergeCell ref="CD478:CD480"/>
    <mergeCell ref="S478:S480"/>
    <mergeCell ref="BW478:BW480"/>
    <mergeCell ref="BX478:BX480"/>
    <mergeCell ref="BY478:BY480"/>
    <mergeCell ref="H478:H480"/>
    <mergeCell ref="N478:N480"/>
    <mergeCell ref="CB478:CB480"/>
    <mergeCell ref="CE478:CE480"/>
    <mergeCell ref="CA478:CA480"/>
    <mergeCell ref="B478:B480"/>
    <mergeCell ref="CC478:CC480"/>
    <mergeCell ref="AA478:AA480"/>
    <mergeCell ref="X478:X480"/>
    <mergeCell ref="V478:V480"/>
    <mergeCell ref="G481:G483"/>
    <mergeCell ref="G478:G480"/>
    <mergeCell ref="T493:T495"/>
    <mergeCell ref="T487:T489"/>
    <mergeCell ref="A493:A495"/>
    <mergeCell ref="A487:A489"/>
    <mergeCell ref="BZ493:BZ495"/>
    <mergeCell ref="BZ487:BZ489"/>
    <mergeCell ref="BV493:BV495"/>
    <mergeCell ref="BV487:BV489"/>
    <mergeCell ref="BS493:BS495"/>
    <mergeCell ref="BS487:BS489"/>
    <mergeCell ref="DK493:DK495"/>
    <mergeCell ref="DK487:DK489"/>
    <mergeCell ref="D493:D495"/>
    <mergeCell ref="D487:D489"/>
    <mergeCell ref="U493:U495"/>
    <mergeCell ref="U487:U489"/>
    <mergeCell ref="W493:W495"/>
    <mergeCell ref="W487:W489"/>
    <mergeCell ref="Y493:Y495"/>
    <mergeCell ref="Y487:Y489"/>
    <mergeCell ref="Z493:Z495"/>
    <mergeCell ref="Z487:Z489"/>
    <mergeCell ref="AB493:AB495"/>
    <mergeCell ref="AB487:AB489"/>
    <mergeCell ref="BU493:BU495"/>
    <mergeCell ref="BU487:BU489"/>
    <mergeCell ref="BT493:BT495"/>
    <mergeCell ref="BT487:BT489"/>
    <mergeCell ref="AC493:AC495"/>
    <mergeCell ref="AC487:AC489"/>
    <mergeCell ref="CD493:CD495"/>
    <mergeCell ref="CD487:CD489"/>
    <mergeCell ref="S493:S495"/>
    <mergeCell ref="S487:S489"/>
    <mergeCell ref="BW493:BW495"/>
    <mergeCell ref="BW487:BW489"/>
    <mergeCell ref="BX493:BX495"/>
    <mergeCell ref="BX487:BX489"/>
    <mergeCell ref="BY493:BY495"/>
    <mergeCell ref="BY487:BY489"/>
    <mergeCell ref="H493:H495"/>
    <mergeCell ref="H487:H489"/>
    <mergeCell ref="N493:N495"/>
    <mergeCell ref="N487:N489"/>
    <mergeCell ref="CB493:CB495"/>
    <mergeCell ref="CB487:CB489"/>
    <mergeCell ref="CE493:CE495"/>
    <mergeCell ref="CE487:CE489"/>
    <mergeCell ref="CA493:CA495"/>
    <mergeCell ref="CA487:CA489"/>
    <mergeCell ref="B493:B495"/>
    <mergeCell ref="B487:B489"/>
    <mergeCell ref="CC493:CC495"/>
    <mergeCell ref="CC487:CC489"/>
    <mergeCell ref="AA493:AA495"/>
    <mergeCell ref="AA487:AA489"/>
    <mergeCell ref="X493:X495"/>
    <mergeCell ref="X487:X489"/>
    <mergeCell ref="V493:V495"/>
    <mergeCell ref="V487:V489"/>
    <mergeCell ref="T490:T492"/>
    <mergeCell ref="T484:T486"/>
    <mergeCell ref="A490:A492"/>
    <mergeCell ref="A484:A486"/>
    <mergeCell ref="BZ490:BZ492"/>
    <mergeCell ref="BZ484:BZ486"/>
    <mergeCell ref="BV490:BV492"/>
    <mergeCell ref="BV484:BV486"/>
    <mergeCell ref="BS490:BS492"/>
    <mergeCell ref="BS484:BS486"/>
    <mergeCell ref="DK490:DK492"/>
    <mergeCell ref="DK484:DK486"/>
    <mergeCell ref="D490:D492"/>
    <mergeCell ref="D484:D486"/>
    <mergeCell ref="U490:U492"/>
    <mergeCell ref="U484:U486"/>
    <mergeCell ref="W490:W492"/>
    <mergeCell ref="W484:W486"/>
    <mergeCell ref="Y490:Y492"/>
    <mergeCell ref="Y484:Y486"/>
    <mergeCell ref="Z490:Z492"/>
    <mergeCell ref="Z484:Z486"/>
    <mergeCell ref="AB490:AB492"/>
    <mergeCell ref="AB484:AB486"/>
    <mergeCell ref="BU490:BU492"/>
    <mergeCell ref="BU484:BU486"/>
    <mergeCell ref="BT490:BT492"/>
    <mergeCell ref="BT484:BT486"/>
    <mergeCell ref="AC490:AC492"/>
    <mergeCell ref="AC484:AC486"/>
    <mergeCell ref="CD490:CD492"/>
    <mergeCell ref="CD484:CD486"/>
    <mergeCell ref="S490:S492"/>
    <mergeCell ref="S484:S486"/>
    <mergeCell ref="BW490:BW492"/>
    <mergeCell ref="BW484:BW486"/>
    <mergeCell ref="BX490:BX492"/>
    <mergeCell ref="BX484:BX486"/>
    <mergeCell ref="BY490:BY492"/>
    <mergeCell ref="BY484:BY486"/>
    <mergeCell ref="H490:H492"/>
    <mergeCell ref="H484:H486"/>
    <mergeCell ref="N490:N492"/>
    <mergeCell ref="N484:N486"/>
    <mergeCell ref="CB490:CB492"/>
    <mergeCell ref="CB484:CB486"/>
    <mergeCell ref="CE490:CE492"/>
    <mergeCell ref="CE484:CE486"/>
    <mergeCell ref="CA490:CA492"/>
    <mergeCell ref="CA484:CA486"/>
    <mergeCell ref="B490:B492"/>
    <mergeCell ref="B484:B486"/>
    <mergeCell ref="CC490:CC492"/>
    <mergeCell ref="CC484:CC486"/>
    <mergeCell ref="AA490:AA492"/>
    <mergeCell ref="AA484:AA486"/>
    <mergeCell ref="X490:X492"/>
    <mergeCell ref="X484:X486"/>
    <mergeCell ref="V490:V492"/>
    <mergeCell ref="V484:V486"/>
    <mergeCell ref="G493:G495"/>
    <mergeCell ref="G490:G492"/>
    <mergeCell ref="G487:G489"/>
    <mergeCell ref="G484:G486"/>
    <mergeCell ref="T499:T501"/>
    <mergeCell ref="A499:A501"/>
    <mergeCell ref="BZ499:BZ501"/>
    <mergeCell ref="BV499:BV501"/>
    <mergeCell ref="BS499:BS501"/>
    <mergeCell ref="DK499:DK501"/>
    <mergeCell ref="D499:D501"/>
    <mergeCell ref="U499:U501"/>
    <mergeCell ref="W499:W501"/>
    <mergeCell ref="Y499:Y501"/>
    <mergeCell ref="Z499:Z501"/>
    <mergeCell ref="AB499:AB501"/>
    <mergeCell ref="BU499:BU501"/>
    <mergeCell ref="BT499:BT501"/>
    <mergeCell ref="AC499:AC501"/>
    <mergeCell ref="CD499:CD501"/>
    <mergeCell ref="S499:S501"/>
    <mergeCell ref="BW499:BW501"/>
    <mergeCell ref="BX499:BX501"/>
    <mergeCell ref="BY499:BY501"/>
    <mergeCell ref="H499:H501"/>
    <mergeCell ref="N499:N501"/>
    <mergeCell ref="CB499:CB501"/>
    <mergeCell ref="CE499:CE501"/>
    <mergeCell ref="CA499:CA501"/>
    <mergeCell ref="B499:B501"/>
    <mergeCell ref="CC499:CC501"/>
    <mergeCell ref="AA499:AA501"/>
    <mergeCell ref="X499:X501"/>
    <mergeCell ref="V499:V501"/>
    <mergeCell ref="T496:T498"/>
    <mergeCell ref="A496:A498"/>
    <mergeCell ref="BZ496:BZ498"/>
    <mergeCell ref="BV496:BV498"/>
    <mergeCell ref="BS496:BS498"/>
    <mergeCell ref="DK496:DK498"/>
    <mergeCell ref="D496:D498"/>
    <mergeCell ref="U496:U498"/>
    <mergeCell ref="W496:W498"/>
    <mergeCell ref="Y496:Y498"/>
    <mergeCell ref="Z496:Z498"/>
    <mergeCell ref="AB496:AB498"/>
    <mergeCell ref="BU496:BU498"/>
    <mergeCell ref="BT496:BT498"/>
    <mergeCell ref="AC496:AC498"/>
    <mergeCell ref="CD496:CD498"/>
    <mergeCell ref="S496:S498"/>
    <mergeCell ref="BW496:BW498"/>
    <mergeCell ref="BX496:BX498"/>
    <mergeCell ref="BY496:BY498"/>
    <mergeCell ref="H496:H498"/>
    <mergeCell ref="N496:N498"/>
    <mergeCell ref="CB496:CB498"/>
    <mergeCell ref="CE496:CE498"/>
    <mergeCell ref="CA496:CA498"/>
    <mergeCell ref="B496:B498"/>
    <mergeCell ref="CC496:CC498"/>
    <mergeCell ref="AA496:AA498"/>
    <mergeCell ref="X496:X498"/>
    <mergeCell ref="V496:V498"/>
    <mergeCell ref="G499:G501"/>
    <mergeCell ref="G496:G498"/>
    <mergeCell ref="T511:T513"/>
    <mergeCell ref="T505:T507"/>
    <mergeCell ref="A511:A513"/>
    <mergeCell ref="A505:A507"/>
    <mergeCell ref="BZ511:BZ513"/>
    <mergeCell ref="BZ505:BZ507"/>
    <mergeCell ref="BV511:BV513"/>
    <mergeCell ref="BV505:BV507"/>
    <mergeCell ref="BS511:BS513"/>
    <mergeCell ref="BS505:BS507"/>
    <mergeCell ref="DK511:DK513"/>
    <mergeCell ref="DK505:DK507"/>
    <mergeCell ref="D511:D513"/>
    <mergeCell ref="D505:D507"/>
    <mergeCell ref="U511:U513"/>
    <mergeCell ref="U505:U507"/>
    <mergeCell ref="W511:W513"/>
    <mergeCell ref="W505:W507"/>
    <mergeCell ref="Y511:Y513"/>
    <mergeCell ref="Y505:Y507"/>
    <mergeCell ref="Z511:Z513"/>
    <mergeCell ref="Z505:Z507"/>
    <mergeCell ref="AB511:AB513"/>
    <mergeCell ref="AB505:AB507"/>
    <mergeCell ref="BU511:BU513"/>
    <mergeCell ref="BU505:BU507"/>
    <mergeCell ref="BT511:BT513"/>
    <mergeCell ref="BT505:BT507"/>
    <mergeCell ref="AC511:AC513"/>
    <mergeCell ref="AC505:AC507"/>
    <mergeCell ref="CD511:CD513"/>
    <mergeCell ref="CD505:CD507"/>
    <mergeCell ref="S511:S513"/>
    <mergeCell ref="S505:S507"/>
    <mergeCell ref="BW511:BW513"/>
    <mergeCell ref="BW505:BW507"/>
    <mergeCell ref="BX511:BX513"/>
    <mergeCell ref="BX505:BX507"/>
    <mergeCell ref="BY511:BY513"/>
    <mergeCell ref="BY505:BY507"/>
    <mergeCell ref="H511:H513"/>
    <mergeCell ref="H505:H507"/>
    <mergeCell ref="N511:N513"/>
    <mergeCell ref="N505:N507"/>
    <mergeCell ref="CB511:CB513"/>
    <mergeCell ref="CB505:CB507"/>
    <mergeCell ref="CE511:CE513"/>
    <mergeCell ref="CE505:CE507"/>
    <mergeCell ref="CA511:CA513"/>
    <mergeCell ref="CA505:CA507"/>
    <mergeCell ref="B511:B513"/>
    <mergeCell ref="B505:B507"/>
    <mergeCell ref="CC511:CC513"/>
    <mergeCell ref="CC505:CC507"/>
    <mergeCell ref="AA511:AA513"/>
    <mergeCell ref="AA505:AA507"/>
    <mergeCell ref="X511:X513"/>
    <mergeCell ref="X505:X507"/>
    <mergeCell ref="V511:V513"/>
    <mergeCell ref="V505:V507"/>
    <mergeCell ref="T508:T510"/>
    <mergeCell ref="T502:T504"/>
    <mergeCell ref="A508:A510"/>
    <mergeCell ref="A502:A504"/>
    <mergeCell ref="BZ508:BZ510"/>
    <mergeCell ref="BZ502:BZ504"/>
    <mergeCell ref="BV508:BV510"/>
    <mergeCell ref="BV502:BV504"/>
    <mergeCell ref="BS508:BS510"/>
    <mergeCell ref="BS502:BS504"/>
    <mergeCell ref="DK508:DK510"/>
    <mergeCell ref="DK502:DK504"/>
    <mergeCell ref="D508:D510"/>
    <mergeCell ref="D502:D504"/>
    <mergeCell ref="U508:U510"/>
    <mergeCell ref="U502:U504"/>
    <mergeCell ref="W508:W510"/>
    <mergeCell ref="W502:W504"/>
    <mergeCell ref="Y508:Y510"/>
    <mergeCell ref="Y502:Y504"/>
    <mergeCell ref="Z508:Z510"/>
    <mergeCell ref="Z502:Z504"/>
    <mergeCell ref="AB508:AB510"/>
    <mergeCell ref="AB502:AB504"/>
    <mergeCell ref="BU508:BU510"/>
    <mergeCell ref="BU502:BU504"/>
    <mergeCell ref="BT508:BT510"/>
    <mergeCell ref="BT502:BT504"/>
    <mergeCell ref="AC508:AC510"/>
    <mergeCell ref="AC502:AC504"/>
    <mergeCell ref="CD508:CD510"/>
    <mergeCell ref="CD502:CD504"/>
    <mergeCell ref="S508:S510"/>
    <mergeCell ref="S502:S504"/>
    <mergeCell ref="BW508:BW510"/>
    <mergeCell ref="BW502:BW504"/>
    <mergeCell ref="BX508:BX510"/>
    <mergeCell ref="BX502:BX504"/>
    <mergeCell ref="BY508:BY510"/>
    <mergeCell ref="BY502:BY504"/>
    <mergeCell ref="H508:H510"/>
    <mergeCell ref="H502:H504"/>
    <mergeCell ref="N508:N510"/>
    <mergeCell ref="N502:N504"/>
    <mergeCell ref="CB508:CB510"/>
    <mergeCell ref="CB502:CB504"/>
    <mergeCell ref="CE508:CE510"/>
    <mergeCell ref="CE502:CE504"/>
    <mergeCell ref="CA508:CA510"/>
    <mergeCell ref="CA502:CA504"/>
    <mergeCell ref="B508:B510"/>
    <mergeCell ref="B502:B504"/>
    <mergeCell ref="CC508:CC510"/>
    <mergeCell ref="CC502:CC504"/>
    <mergeCell ref="AA508:AA510"/>
    <mergeCell ref="AA502:AA504"/>
    <mergeCell ref="X508:X510"/>
    <mergeCell ref="X502:X504"/>
    <mergeCell ref="V508:V510"/>
    <mergeCell ref="V502:V504"/>
    <mergeCell ref="G511:G513"/>
    <mergeCell ref="G508:G510"/>
    <mergeCell ref="G505:G507"/>
    <mergeCell ref="G502:G504"/>
    <mergeCell ref="E508:E510"/>
    <mergeCell ref="E502:E504"/>
    <mergeCell ref="E496:E498"/>
    <mergeCell ref="E490:E492"/>
    <mergeCell ref="E484:E486"/>
    <mergeCell ref="E478:E480"/>
    <mergeCell ref="E472:E474"/>
    <mergeCell ref="E466:E468"/>
    <mergeCell ref="E460:E462"/>
    <mergeCell ref="E454:E456"/>
    <mergeCell ref="E448:E450"/>
    <mergeCell ref="E442:E444"/>
    <mergeCell ref="E436:E438"/>
    <mergeCell ref="E430:E432"/>
    <mergeCell ref="E424:E426"/>
    <mergeCell ref="E418:E420"/>
    <mergeCell ref="E412:E414"/>
    <mergeCell ref="E406:E408"/>
    <mergeCell ref="E400:E402"/>
    <mergeCell ref="E394:E396"/>
    <mergeCell ref="E388:E390"/>
    <mergeCell ref="E382:E384"/>
    <mergeCell ref="E376:E378"/>
    <mergeCell ref="E370:E372"/>
    <mergeCell ref="E364:E366"/>
    <mergeCell ref="E358:E360"/>
    <mergeCell ref="E352:E354"/>
    <mergeCell ref="E346:E348"/>
    <mergeCell ref="E340:E342"/>
    <mergeCell ref="E334:E336"/>
    <mergeCell ref="E328:E330"/>
    <mergeCell ref="E322:E324"/>
    <mergeCell ref="E316:E318"/>
    <mergeCell ref="E310:E312"/>
    <mergeCell ref="E304:E306"/>
    <mergeCell ref="E298:E300"/>
    <mergeCell ref="E292:E294"/>
    <mergeCell ref="E286:E288"/>
    <mergeCell ref="E280:E282"/>
    <mergeCell ref="E274:E276"/>
    <mergeCell ref="E268:E270"/>
    <mergeCell ref="E511:E513"/>
    <mergeCell ref="E505:E507"/>
    <mergeCell ref="E499:E501"/>
    <mergeCell ref="E493:E495"/>
    <mergeCell ref="E487:E489"/>
    <mergeCell ref="E481:E483"/>
    <mergeCell ref="E475:E477"/>
    <mergeCell ref="E469:E471"/>
    <mergeCell ref="E463:E465"/>
    <mergeCell ref="E457:E459"/>
    <mergeCell ref="E451:E453"/>
    <mergeCell ref="E445:E447"/>
    <mergeCell ref="E439:E441"/>
    <mergeCell ref="E433:E435"/>
    <mergeCell ref="E427:E429"/>
    <mergeCell ref="E421:E423"/>
    <mergeCell ref="E415:E417"/>
    <mergeCell ref="E409:E411"/>
    <mergeCell ref="E403:E405"/>
    <mergeCell ref="E397:E399"/>
    <mergeCell ref="E391:E393"/>
    <mergeCell ref="E385:E387"/>
    <mergeCell ref="E379:E381"/>
    <mergeCell ref="E373:E375"/>
    <mergeCell ref="E367:E369"/>
    <mergeCell ref="E361:E363"/>
    <mergeCell ref="E355:E357"/>
    <mergeCell ref="E349:E351"/>
    <mergeCell ref="E343:E345"/>
    <mergeCell ref="E337:E339"/>
    <mergeCell ref="E331:E333"/>
    <mergeCell ref="E325:E327"/>
    <mergeCell ref="E319:E321"/>
    <mergeCell ref="E313:E315"/>
    <mergeCell ref="E307:E309"/>
    <mergeCell ref="E301:E303"/>
    <mergeCell ref="E295:E297"/>
    <mergeCell ref="E289:E291"/>
    <mergeCell ref="E283:E285"/>
    <mergeCell ref="E277:E279"/>
    <mergeCell ref="E271:E273"/>
    <mergeCell ref="T517:T519"/>
    <mergeCell ref="A517:A519"/>
    <mergeCell ref="BZ517:BZ519"/>
    <mergeCell ref="BV517:BV519"/>
    <mergeCell ref="BS517:BS519"/>
    <mergeCell ref="DK517:DK519"/>
    <mergeCell ref="D517:D519"/>
    <mergeCell ref="U517:U519"/>
    <mergeCell ref="W517:W519"/>
    <mergeCell ref="Y517:Y519"/>
    <mergeCell ref="Z517:Z519"/>
    <mergeCell ref="AB517:AB519"/>
    <mergeCell ref="BU517:BU519"/>
    <mergeCell ref="BT517:BT519"/>
    <mergeCell ref="AC517:AC519"/>
    <mergeCell ref="CD517:CD519"/>
    <mergeCell ref="S517:S519"/>
    <mergeCell ref="BW517:BW519"/>
    <mergeCell ref="BX517:BX519"/>
    <mergeCell ref="BY517:BY519"/>
    <mergeCell ref="H517:H519"/>
    <mergeCell ref="N517:N519"/>
    <mergeCell ref="CB517:CB519"/>
    <mergeCell ref="CE517:CE519"/>
    <mergeCell ref="CA517:CA519"/>
    <mergeCell ref="B517:B519"/>
    <mergeCell ref="CC517:CC519"/>
    <mergeCell ref="AA517:AA519"/>
    <mergeCell ref="X517:X519"/>
    <mergeCell ref="V517:V519"/>
    <mergeCell ref="T514:T516"/>
    <mergeCell ref="A514:A516"/>
    <mergeCell ref="BZ514:BZ516"/>
    <mergeCell ref="BV514:BV516"/>
    <mergeCell ref="BS514:BS516"/>
    <mergeCell ref="DK514:DK516"/>
    <mergeCell ref="D514:D516"/>
    <mergeCell ref="U514:U516"/>
    <mergeCell ref="W514:W516"/>
    <mergeCell ref="Y514:Y516"/>
    <mergeCell ref="Z514:Z516"/>
    <mergeCell ref="AB514:AB516"/>
    <mergeCell ref="BU514:BU516"/>
    <mergeCell ref="BT514:BT516"/>
    <mergeCell ref="AC514:AC516"/>
    <mergeCell ref="CD514:CD516"/>
    <mergeCell ref="S514:S516"/>
    <mergeCell ref="BW514:BW516"/>
    <mergeCell ref="BX514:BX516"/>
    <mergeCell ref="BY514:BY516"/>
    <mergeCell ref="H514:H516"/>
    <mergeCell ref="N514:N516"/>
    <mergeCell ref="CB514:CB516"/>
    <mergeCell ref="CE514:CE516"/>
    <mergeCell ref="CA514:CA516"/>
    <mergeCell ref="B514:B516"/>
    <mergeCell ref="CC514:CC516"/>
    <mergeCell ref="AA514:AA516"/>
    <mergeCell ref="X514:X516"/>
    <mergeCell ref="V514:V516"/>
    <mergeCell ref="G517:G519"/>
    <mergeCell ref="G514:G516"/>
    <mergeCell ref="E514:E516"/>
    <mergeCell ref="E517:E519"/>
    <mergeCell ref="T523:T525"/>
    <mergeCell ref="A523:A525"/>
    <mergeCell ref="BZ523:BZ525"/>
    <mergeCell ref="BV523:BV525"/>
    <mergeCell ref="BS523:BS525"/>
    <mergeCell ref="DK523:DK525"/>
    <mergeCell ref="D523:D525"/>
    <mergeCell ref="U523:U525"/>
    <mergeCell ref="W523:W525"/>
    <mergeCell ref="Y523:Y525"/>
    <mergeCell ref="Z523:Z525"/>
    <mergeCell ref="AB523:AB525"/>
    <mergeCell ref="BU523:BU525"/>
    <mergeCell ref="BT523:BT525"/>
    <mergeCell ref="AC523:AC525"/>
    <mergeCell ref="CD523:CD525"/>
    <mergeCell ref="S523:S525"/>
    <mergeCell ref="BW523:BW525"/>
    <mergeCell ref="BX523:BX525"/>
    <mergeCell ref="BY523:BY525"/>
    <mergeCell ref="H523:H525"/>
    <mergeCell ref="N523:N525"/>
    <mergeCell ref="CB523:CB525"/>
    <mergeCell ref="CE523:CE525"/>
    <mergeCell ref="CA523:CA525"/>
    <mergeCell ref="B523:B525"/>
    <mergeCell ref="CC523:CC525"/>
    <mergeCell ref="AA523:AA525"/>
    <mergeCell ref="X523:X525"/>
    <mergeCell ref="V523:V525"/>
    <mergeCell ref="T520:T522"/>
    <mergeCell ref="A520:A522"/>
    <mergeCell ref="BZ520:BZ522"/>
    <mergeCell ref="BV520:BV522"/>
    <mergeCell ref="BS520:BS522"/>
    <mergeCell ref="DK520:DK522"/>
    <mergeCell ref="D520:D522"/>
    <mergeCell ref="U520:U522"/>
    <mergeCell ref="W520:W522"/>
    <mergeCell ref="Y520:Y522"/>
    <mergeCell ref="Z520:Z522"/>
    <mergeCell ref="AB520:AB522"/>
    <mergeCell ref="BU520:BU522"/>
    <mergeCell ref="BT520:BT522"/>
    <mergeCell ref="AC520:AC522"/>
    <mergeCell ref="CD520:CD522"/>
    <mergeCell ref="S520:S522"/>
    <mergeCell ref="BW520:BW522"/>
    <mergeCell ref="BX520:BX522"/>
    <mergeCell ref="BY520:BY522"/>
    <mergeCell ref="H520:H522"/>
    <mergeCell ref="N520:N522"/>
    <mergeCell ref="CB520:CB522"/>
    <mergeCell ref="CE520:CE522"/>
    <mergeCell ref="CA520:CA522"/>
    <mergeCell ref="B520:B522"/>
    <mergeCell ref="CC520:CC522"/>
    <mergeCell ref="AA520:AA522"/>
    <mergeCell ref="X520:X522"/>
    <mergeCell ref="V520:V522"/>
    <mergeCell ref="G523:G525"/>
    <mergeCell ref="G520:G522"/>
    <mergeCell ref="E520:E522"/>
    <mergeCell ref="E523:E525"/>
    <mergeCell ref="T529:T531"/>
    <mergeCell ref="A529:A531"/>
    <mergeCell ref="BZ529:BZ531"/>
    <mergeCell ref="BV529:BV531"/>
    <mergeCell ref="BS529:BS531"/>
    <mergeCell ref="DK529:DK531"/>
    <mergeCell ref="D529:D531"/>
    <mergeCell ref="U529:U531"/>
    <mergeCell ref="W529:W531"/>
    <mergeCell ref="Y529:Y531"/>
    <mergeCell ref="Z529:Z531"/>
    <mergeCell ref="AB529:AB531"/>
    <mergeCell ref="BU529:BU531"/>
    <mergeCell ref="BT529:BT531"/>
    <mergeCell ref="AC529:AC531"/>
    <mergeCell ref="CD529:CD531"/>
    <mergeCell ref="S529:S531"/>
    <mergeCell ref="BW529:BW531"/>
    <mergeCell ref="BX529:BX531"/>
    <mergeCell ref="BY529:BY531"/>
    <mergeCell ref="H529:H531"/>
    <mergeCell ref="N529:N531"/>
    <mergeCell ref="CB529:CB531"/>
    <mergeCell ref="CE529:CE531"/>
    <mergeCell ref="CA529:CA531"/>
    <mergeCell ref="B529:B531"/>
    <mergeCell ref="CC529:CC531"/>
    <mergeCell ref="AA529:AA531"/>
    <mergeCell ref="X529:X531"/>
    <mergeCell ref="V529:V531"/>
    <mergeCell ref="T526:T528"/>
    <mergeCell ref="A526:A528"/>
    <mergeCell ref="BZ526:BZ528"/>
    <mergeCell ref="BV526:BV528"/>
    <mergeCell ref="BS526:BS528"/>
    <mergeCell ref="DK526:DK528"/>
    <mergeCell ref="D526:D528"/>
    <mergeCell ref="U526:U528"/>
    <mergeCell ref="W526:W528"/>
    <mergeCell ref="Y526:Y528"/>
    <mergeCell ref="Z526:Z528"/>
    <mergeCell ref="AB526:AB528"/>
    <mergeCell ref="BU526:BU528"/>
    <mergeCell ref="BT526:BT528"/>
    <mergeCell ref="AC526:AC528"/>
    <mergeCell ref="CD526:CD528"/>
    <mergeCell ref="S526:S528"/>
    <mergeCell ref="BW526:BW528"/>
    <mergeCell ref="BX526:BX528"/>
    <mergeCell ref="BY526:BY528"/>
    <mergeCell ref="H526:H528"/>
    <mergeCell ref="N526:N528"/>
    <mergeCell ref="CB526:CB528"/>
    <mergeCell ref="CE526:CE528"/>
    <mergeCell ref="CA526:CA528"/>
    <mergeCell ref="B526:B528"/>
    <mergeCell ref="CC526:CC528"/>
    <mergeCell ref="AA526:AA528"/>
    <mergeCell ref="X526:X528"/>
    <mergeCell ref="V526:V528"/>
    <mergeCell ref="G529:G531"/>
    <mergeCell ref="G526:G528"/>
    <mergeCell ref="E526:E528"/>
    <mergeCell ref="E529:E531"/>
    <mergeCell ref="T535:T537"/>
    <mergeCell ref="A535:A537"/>
    <mergeCell ref="BZ535:BZ537"/>
    <mergeCell ref="BV535:BV537"/>
    <mergeCell ref="BS535:BS537"/>
    <mergeCell ref="DK535:DK537"/>
    <mergeCell ref="D535:D537"/>
    <mergeCell ref="U535:U537"/>
    <mergeCell ref="W535:W537"/>
    <mergeCell ref="Y535:Y537"/>
    <mergeCell ref="Z535:Z537"/>
    <mergeCell ref="AB535:AB537"/>
    <mergeCell ref="BU535:BU537"/>
    <mergeCell ref="BT535:BT537"/>
    <mergeCell ref="AC535:AC537"/>
    <mergeCell ref="CD535:CD537"/>
    <mergeCell ref="S535:S537"/>
    <mergeCell ref="BW535:BW537"/>
    <mergeCell ref="BX535:BX537"/>
    <mergeCell ref="BY535:BY537"/>
    <mergeCell ref="H535:H537"/>
    <mergeCell ref="N535:N537"/>
    <mergeCell ref="CB535:CB537"/>
    <mergeCell ref="CE535:CE537"/>
    <mergeCell ref="CA535:CA537"/>
    <mergeCell ref="B535:B537"/>
    <mergeCell ref="CC535:CC537"/>
    <mergeCell ref="AA535:AA537"/>
    <mergeCell ref="X535:X537"/>
    <mergeCell ref="V535:V537"/>
    <mergeCell ref="T532:T534"/>
    <mergeCell ref="A532:A534"/>
    <mergeCell ref="BZ532:BZ534"/>
    <mergeCell ref="BV532:BV534"/>
    <mergeCell ref="BS532:BS534"/>
    <mergeCell ref="DK532:DK534"/>
    <mergeCell ref="D532:D534"/>
    <mergeCell ref="U532:U534"/>
    <mergeCell ref="W532:W534"/>
    <mergeCell ref="Y532:Y534"/>
    <mergeCell ref="Z532:Z534"/>
    <mergeCell ref="AB532:AB534"/>
    <mergeCell ref="BU532:BU534"/>
    <mergeCell ref="BT532:BT534"/>
    <mergeCell ref="AC532:AC534"/>
    <mergeCell ref="CD532:CD534"/>
    <mergeCell ref="S532:S534"/>
    <mergeCell ref="BW532:BW534"/>
    <mergeCell ref="BX532:BX534"/>
    <mergeCell ref="BY532:BY534"/>
    <mergeCell ref="H532:H534"/>
    <mergeCell ref="N532:N534"/>
    <mergeCell ref="CB532:CB534"/>
    <mergeCell ref="CE532:CE534"/>
    <mergeCell ref="CA532:CA534"/>
    <mergeCell ref="B532:B534"/>
    <mergeCell ref="CC532:CC534"/>
    <mergeCell ref="AA532:AA534"/>
    <mergeCell ref="X532:X534"/>
    <mergeCell ref="V532:V534"/>
    <mergeCell ref="G535:G537"/>
    <mergeCell ref="G532:G534"/>
    <mergeCell ref="E532:E534"/>
    <mergeCell ref="E535:E537"/>
    <mergeCell ref="T541:T543"/>
    <mergeCell ref="A541:A543"/>
    <mergeCell ref="BZ541:BZ543"/>
    <mergeCell ref="BV541:BV543"/>
    <mergeCell ref="BS541:BS543"/>
    <mergeCell ref="DK541:DK543"/>
    <mergeCell ref="D541:D543"/>
    <mergeCell ref="U541:U543"/>
    <mergeCell ref="W541:W543"/>
    <mergeCell ref="Y541:Y543"/>
    <mergeCell ref="Z541:Z543"/>
    <mergeCell ref="AB541:AB543"/>
    <mergeCell ref="BU541:BU543"/>
    <mergeCell ref="BT541:BT543"/>
    <mergeCell ref="AC541:AC543"/>
    <mergeCell ref="CD541:CD543"/>
    <mergeCell ref="S541:S543"/>
    <mergeCell ref="BW541:BW543"/>
    <mergeCell ref="BX541:BX543"/>
    <mergeCell ref="BY541:BY543"/>
    <mergeCell ref="H541:H543"/>
    <mergeCell ref="N541:N543"/>
    <mergeCell ref="CB541:CB543"/>
    <mergeCell ref="CE541:CE543"/>
    <mergeCell ref="CA541:CA543"/>
    <mergeCell ref="B541:B543"/>
    <mergeCell ref="CC541:CC543"/>
    <mergeCell ref="AA541:AA543"/>
    <mergeCell ref="X541:X543"/>
    <mergeCell ref="V541:V543"/>
    <mergeCell ref="T538:T540"/>
    <mergeCell ref="A538:A540"/>
    <mergeCell ref="BZ538:BZ540"/>
    <mergeCell ref="BV538:BV540"/>
    <mergeCell ref="BS538:BS540"/>
    <mergeCell ref="DK538:DK540"/>
    <mergeCell ref="D538:D540"/>
    <mergeCell ref="U538:U540"/>
    <mergeCell ref="W538:W540"/>
    <mergeCell ref="Y538:Y540"/>
    <mergeCell ref="Z538:Z540"/>
    <mergeCell ref="AB538:AB540"/>
    <mergeCell ref="BU538:BU540"/>
    <mergeCell ref="BT538:BT540"/>
    <mergeCell ref="AC538:AC540"/>
    <mergeCell ref="CD538:CD540"/>
    <mergeCell ref="S538:S540"/>
    <mergeCell ref="BW538:BW540"/>
    <mergeCell ref="BX538:BX540"/>
    <mergeCell ref="BY538:BY540"/>
    <mergeCell ref="H538:H540"/>
    <mergeCell ref="N538:N540"/>
    <mergeCell ref="CB538:CB540"/>
    <mergeCell ref="CE538:CE540"/>
    <mergeCell ref="CA538:CA540"/>
    <mergeCell ref="B538:B540"/>
    <mergeCell ref="CC538:CC540"/>
    <mergeCell ref="AA538:AA540"/>
    <mergeCell ref="X538:X540"/>
    <mergeCell ref="V538:V540"/>
    <mergeCell ref="G541:G543"/>
    <mergeCell ref="G538:G540"/>
    <mergeCell ref="E538:E540"/>
    <mergeCell ref="E541:E543"/>
    <mergeCell ref="T547:T549"/>
    <mergeCell ref="A547:A549"/>
    <mergeCell ref="BZ547:BZ549"/>
    <mergeCell ref="BV547:BV549"/>
    <mergeCell ref="BS547:BS549"/>
    <mergeCell ref="DK547:DK549"/>
    <mergeCell ref="D547:D549"/>
    <mergeCell ref="U547:U549"/>
    <mergeCell ref="W547:W549"/>
    <mergeCell ref="Y547:Y549"/>
    <mergeCell ref="Z547:Z549"/>
    <mergeCell ref="AB547:AB549"/>
    <mergeCell ref="BU547:BU549"/>
    <mergeCell ref="BT547:BT549"/>
    <mergeCell ref="AC547:AC549"/>
    <mergeCell ref="CD547:CD549"/>
    <mergeCell ref="S547:S549"/>
    <mergeCell ref="BW547:BW549"/>
    <mergeCell ref="BX547:BX549"/>
    <mergeCell ref="BY547:BY549"/>
    <mergeCell ref="H547:H549"/>
    <mergeCell ref="N547:N549"/>
    <mergeCell ref="CB547:CB549"/>
    <mergeCell ref="CE547:CE549"/>
    <mergeCell ref="CA547:CA549"/>
    <mergeCell ref="B547:B549"/>
    <mergeCell ref="CC547:CC549"/>
    <mergeCell ref="AA547:AA549"/>
    <mergeCell ref="X547:X549"/>
    <mergeCell ref="V547:V549"/>
    <mergeCell ref="T544:T546"/>
    <mergeCell ref="A544:A546"/>
    <mergeCell ref="BZ544:BZ546"/>
    <mergeCell ref="BV544:BV546"/>
    <mergeCell ref="BS544:BS546"/>
    <mergeCell ref="DK544:DK546"/>
    <mergeCell ref="D544:D546"/>
    <mergeCell ref="U544:U546"/>
    <mergeCell ref="W544:W546"/>
    <mergeCell ref="Y544:Y546"/>
    <mergeCell ref="Z544:Z546"/>
    <mergeCell ref="AB544:AB546"/>
    <mergeCell ref="BU544:BU546"/>
    <mergeCell ref="BT544:BT546"/>
    <mergeCell ref="AC544:AC546"/>
    <mergeCell ref="CD544:CD546"/>
    <mergeCell ref="S544:S546"/>
    <mergeCell ref="BW544:BW546"/>
    <mergeCell ref="BX544:BX546"/>
    <mergeCell ref="BY544:BY546"/>
    <mergeCell ref="H544:H546"/>
    <mergeCell ref="N544:N546"/>
    <mergeCell ref="CB544:CB546"/>
    <mergeCell ref="CE544:CE546"/>
    <mergeCell ref="CA544:CA546"/>
    <mergeCell ref="B544:B546"/>
    <mergeCell ref="CC544:CC546"/>
    <mergeCell ref="AA544:AA546"/>
    <mergeCell ref="X544:X546"/>
    <mergeCell ref="V544:V546"/>
    <mergeCell ref="G547:G549"/>
    <mergeCell ref="G544:G546"/>
    <mergeCell ref="E544:E546"/>
    <mergeCell ref="E547:E549"/>
    <mergeCell ref="T553:T555"/>
    <mergeCell ref="A553:A555"/>
    <mergeCell ref="BZ553:BZ555"/>
    <mergeCell ref="BV553:BV555"/>
    <mergeCell ref="BS553:BS555"/>
    <mergeCell ref="DK553:DK555"/>
    <mergeCell ref="D553:D555"/>
    <mergeCell ref="U553:U555"/>
    <mergeCell ref="W553:W555"/>
    <mergeCell ref="Y553:Y555"/>
    <mergeCell ref="Z553:Z555"/>
    <mergeCell ref="AB553:AB555"/>
    <mergeCell ref="BU553:BU555"/>
    <mergeCell ref="BT553:BT555"/>
    <mergeCell ref="AC553:AC555"/>
    <mergeCell ref="CD553:CD555"/>
    <mergeCell ref="S553:S555"/>
    <mergeCell ref="BW553:BW555"/>
    <mergeCell ref="BX553:BX555"/>
    <mergeCell ref="BY553:BY555"/>
    <mergeCell ref="H553:H555"/>
    <mergeCell ref="N553:N555"/>
    <mergeCell ref="CB553:CB555"/>
    <mergeCell ref="CE553:CE555"/>
    <mergeCell ref="CA553:CA555"/>
    <mergeCell ref="B553:B555"/>
    <mergeCell ref="CC553:CC555"/>
    <mergeCell ref="AA553:AA555"/>
    <mergeCell ref="X553:X555"/>
    <mergeCell ref="V553:V555"/>
    <mergeCell ref="T550:T552"/>
    <mergeCell ref="A550:A552"/>
    <mergeCell ref="BZ550:BZ552"/>
    <mergeCell ref="BV550:BV552"/>
    <mergeCell ref="BS550:BS552"/>
    <mergeCell ref="DK550:DK552"/>
    <mergeCell ref="D550:D552"/>
    <mergeCell ref="U550:U552"/>
    <mergeCell ref="W550:W552"/>
    <mergeCell ref="Y550:Y552"/>
    <mergeCell ref="Z550:Z552"/>
    <mergeCell ref="AB550:AB552"/>
    <mergeCell ref="BU550:BU552"/>
    <mergeCell ref="BT550:BT552"/>
    <mergeCell ref="AC550:AC552"/>
    <mergeCell ref="CD550:CD552"/>
    <mergeCell ref="S550:S552"/>
    <mergeCell ref="BW550:BW552"/>
    <mergeCell ref="BX550:BX552"/>
    <mergeCell ref="BY550:BY552"/>
    <mergeCell ref="H550:H552"/>
    <mergeCell ref="N550:N552"/>
    <mergeCell ref="CB550:CB552"/>
    <mergeCell ref="CE550:CE552"/>
    <mergeCell ref="CA550:CA552"/>
    <mergeCell ref="B550:B552"/>
    <mergeCell ref="CC550:CC552"/>
    <mergeCell ref="AA550:AA552"/>
    <mergeCell ref="X550:X552"/>
    <mergeCell ref="V550:V552"/>
    <mergeCell ref="G553:G555"/>
    <mergeCell ref="G550:G552"/>
    <mergeCell ref="E550:E552"/>
    <mergeCell ref="E553:E555"/>
    <mergeCell ref="T559:T561"/>
    <mergeCell ref="A559:A561"/>
    <mergeCell ref="BZ559:BZ561"/>
    <mergeCell ref="BV559:BV561"/>
    <mergeCell ref="BS559:BS561"/>
    <mergeCell ref="DK559:DK561"/>
    <mergeCell ref="D559:D561"/>
    <mergeCell ref="U559:U561"/>
    <mergeCell ref="W559:W561"/>
    <mergeCell ref="Y559:Y561"/>
    <mergeCell ref="Z559:Z561"/>
    <mergeCell ref="AB559:AB561"/>
    <mergeCell ref="BU559:BU561"/>
    <mergeCell ref="BT559:BT561"/>
    <mergeCell ref="AC559:AC561"/>
    <mergeCell ref="CD559:CD561"/>
    <mergeCell ref="S559:S561"/>
    <mergeCell ref="BW559:BW561"/>
    <mergeCell ref="BX559:BX561"/>
    <mergeCell ref="BY559:BY561"/>
    <mergeCell ref="H559:H561"/>
    <mergeCell ref="N559:N561"/>
    <mergeCell ref="CB559:CB561"/>
    <mergeCell ref="CE559:CE561"/>
    <mergeCell ref="CA559:CA561"/>
    <mergeCell ref="B559:B561"/>
    <mergeCell ref="CC559:CC561"/>
    <mergeCell ref="AA559:AA561"/>
    <mergeCell ref="X559:X561"/>
    <mergeCell ref="V559:V561"/>
    <mergeCell ref="T556:T558"/>
    <mergeCell ref="A556:A558"/>
    <mergeCell ref="BZ556:BZ558"/>
    <mergeCell ref="BV556:BV558"/>
    <mergeCell ref="BS556:BS558"/>
    <mergeCell ref="DK556:DK558"/>
    <mergeCell ref="D556:D558"/>
    <mergeCell ref="U556:U558"/>
    <mergeCell ref="W556:W558"/>
    <mergeCell ref="Y556:Y558"/>
    <mergeCell ref="Z556:Z558"/>
    <mergeCell ref="AB556:AB558"/>
    <mergeCell ref="BU556:BU558"/>
    <mergeCell ref="BT556:BT558"/>
    <mergeCell ref="AC556:AC558"/>
    <mergeCell ref="CD556:CD558"/>
    <mergeCell ref="S556:S558"/>
    <mergeCell ref="BW556:BW558"/>
    <mergeCell ref="BX556:BX558"/>
    <mergeCell ref="BY556:BY558"/>
    <mergeCell ref="H556:H558"/>
    <mergeCell ref="N556:N558"/>
    <mergeCell ref="CB556:CB558"/>
    <mergeCell ref="CE556:CE558"/>
    <mergeCell ref="CA556:CA558"/>
    <mergeCell ref="B556:B558"/>
    <mergeCell ref="CC556:CC558"/>
    <mergeCell ref="AA556:AA558"/>
    <mergeCell ref="X556:X558"/>
    <mergeCell ref="V556:V558"/>
    <mergeCell ref="G559:G561"/>
    <mergeCell ref="G556:G558"/>
    <mergeCell ref="E556:E558"/>
    <mergeCell ref="E559:E561"/>
    <mergeCell ref="T565:T567"/>
    <mergeCell ref="A565:A567"/>
    <mergeCell ref="BZ565:BZ567"/>
    <mergeCell ref="BV565:BV567"/>
    <mergeCell ref="BS565:BS567"/>
    <mergeCell ref="DK565:DK567"/>
    <mergeCell ref="D565:D567"/>
    <mergeCell ref="U565:U567"/>
    <mergeCell ref="W565:W567"/>
    <mergeCell ref="Y565:Y567"/>
    <mergeCell ref="Z565:Z567"/>
    <mergeCell ref="AB565:AB567"/>
    <mergeCell ref="BU565:BU567"/>
    <mergeCell ref="BT565:BT567"/>
    <mergeCell ref="AC565:AC567"/>
    <mergeCell ref="CD565:CD567"/>
    <mergeCell ref="S565:S567"/>
    <mergeCell ref="BW565:BW567"/>
    <mergeCell ref="BX565:BX567"/>
    <mergeCell ref="BY565:BY567"/>
    <mergeCell ref="H565:H567"/>
    <mergeCell ref="N565:N567"/>
    <mergeCell ref="CB565:CB567"/>
    <mergeCell ref="CE565:CE567"/>
    <mergeCell ref="CA565:CA567"/>
    <mergeCell ref="B565:B567"/>
    <mergeCell ref="CC565:CC567"/>
    <mergeCell ref="AA565:AA567"/>
    <mergeCell ref="X565:X567"/>
    <mergeCell ref="V565:V567"/>
    <mergeCell ref="T562:T564"/>
    <mergeCell ref="A562:A564"/>
    <mergeCell ref="BZ562:BZ564"/>
    <mergeCell ref="BV562:BV564"/>
    <mergeCell ref="BS562:BS564"/>
    <mergeCell ref="DK562:DK564"/>
    <mergeCell ref="D562:D564"/>
    <mergeCell ref="U562:U564"/>
    <mergeCell ref="W562:W564"/>
    <mergeCell ref="Y562:Y564"/>
    <mergeCell ref="Z562:Z564"/>
    <mergeCell ref="AB562:AB564"/>
    <mergeCell ref="BU562:BU564"/>
    <mergeCell ref="BT562:BT564"/>
    <mergeCell ref="AC562:AC564"/>
    <mergeCell ref="CD562:CD564"/>
    <mergeCell ref="S562:S564"/>
    <mergeCell ref="BW562:BW564"/>
    <mergeCell ref="BX562:BX564"/>
    <mergeCell ref="BY562:BY564"/>
    <mergeCell ref="H562:H564"/>
    <mergeCell ref="N562:N564"/>
    <mergeCell ref="CB562:CB564"/>
    <mergeCell ref="CE562:CE564"/>
    <mergeCell ref="CA562:CA564"/>
    <mergeCell ref="B562:B564"/>
    <mergeCell ref="CC562:CC564"/>
    <mergeCell ref="AA562:AA564"/>
    <mergeCell ref="X562:X564"/>
    <mergeCell ref="V562:V564"/>
    <mergeCell ref="G565:G567"/>
    <mergeCell ref="G562:G564"/>
    <mergeCell ref="E562:E564"/>
    <mergeCell ref="E565:E567"/>
    <mergeCell ref="T571:T573"/>
    <mergeCell ref="A571:A573"/>
    <mergeCell ref="BZ571:BZ573"/>
    <mergeCell ref="BV571:BV573"/>
    <mergeCell ref="BS571:BS573"/>
    <mergeCell ref="DK571:DK573"/>
    <mergeCell ref="D571:D573"/>
    <mergeCell ref="U571:U573"/>
    <mergeCell ref="W571:W573"/>
    <mergeCell ref="Y571:Y573"/>
    <mergeCell ref="Z571:Z573"/>
    <mergeCell ref="AB571:AB573"/>
    <mergeCell ref="BU571:BU573"/>
    <mergeCell ref="BT571:BT573"/>
    <mergeCell ref="AC571:AC573"/>
    <mergeCell ref="CD571:CD573"/>
    <mergeCell ref="S571:S573"/>
    <mergeCell ref="BW571:BW573"/>
    <mergeCell ref="BX571:BX573"/>
    <mergeCell ref="BY571:BY573"/>
    <mergeCell ref="H571:H573"/>
    <mergeCell ref="N571:N573"/>
    <mergeCell ref="CB571:CB573"/>
    <mergeCell ref="CE571:CE573"/>
    <mergeCell ref="CA571:CA573"/>
    <mergeCell ref="B571:B573"/>
    <mergeCell ref="CC571:CC573"/>
    <mergeCell ref="AA571:AA573"/>
    <mergeCell ref="X571:X573"/>
    <mergeCell ref="V571:V573"/>
    <mergeCell ref="T568:T570"/>
    <mergeCell ref="A568:A570"/>
    <mergeCell ref="BZ568:BZ570"/>
    <mergeCell ref="BV568:BV570"/>
    <mergeCell ref="BS568:BS570"/>
    <mergeCell ref="DK568:DK570"/>
    <mergeCell ref="D568:D570"/>
    <mergeCell ref="U568:U570"/>
    <mergeCell ref="W568:W570"/>
    <mergeCell ref="Y568:Y570"/>
    <mergeCell ref="Z568:Z570"/>
    <mergeCell ref="AB568:AB570"/>
    <mergeCell ref="BU568:BU570"/>
    <mergeCell ref="BT568:BT570"/>
    <mergeCell ref="AC568:AC570"/>
    <mergeCell ref="CD568:CD570"/>
    <mergeCell ref="S568:S570"/>
    <mergeCell ref="BW568:BW570"/>
    <mergeCell ref="BX568:BX570"/>
    <mergeCell ref="BY568:BY570"/>
    <mergeCell ref="H568:H570"/>
    <mergeCell ref="N568:N570"/>
    <mergeCell ref="CB568:CB570"/>
    <mergeCell ref="CE568:CE570"/>
    <mergeCell ref="CA568:CA570"/>
    <mergeCell ref="B568:B570"/>
    <mergeCell ref="CC568:CC570"/>
    <mergeCell ref="AA568:AA570"/>
    <mergeCell ref="X568:X570"/>
    <mergeCell ref="V568:V570"/>
    <mergeCell ref="G571:G573"/>
    <mergeCell ref="G568:G570"/>
    <mergeCell ref="E568:E570"/>
    <mergeCell ref="E571:E573"/>
    <mergeCell ref="T577:T579"/>
    <mergeCell ref="A577:A579"/>
    <mergeCell ref="BZ577:BZ579"/>
    <mergeCell ref="BV577:BV579"/>
    <mergeCell ref="BS577:BS579"/>
    <mergeCell ref="DK577:DK579"/>
    <mergeCell ref="D577:D579"/>
    <mergeCell ref="U577:U579"/>
    <mergeCell ref="W577:W579"/>
    <mergeCell ref="Y577:Y579"/>
    <mergeCell ref="Z577:Z579"/>
    <mergeCell ref="AB577:AB579"/>
    <mergeCell ref="BU577:BU579"/>
    <mergeCell ref="BT577:BT579"/>
    <mergeCell ref="AC577:AC579"/>
    <mergeCell ref="CD577:CD579"/>
    <mergeCell ref="S577:S579"/>
    <mergeCell ref="BW577:BW579"/>
    <mergeCell ref="BX577:BX579"/>
    <mergeCell ref="BY577:BY579"/>
    <mergeCell ref="H577:H579"/>
    <mergeCell ref="N577:N579"/>
    <mergeCell ref="CB577:CB579"/>
    <mergeCell ref="CE577:CE579"/>
    <mergeCell ref="CA577:CA579"/>
    <mergeCell ref="B577:B579"/>
    <mergeCell ref="CC577:CC579"/>
    <mergeCell ref="AA577:AA579"/>
    <mergeCell ref="X577:X579"/>
    <mergeCell ref="V577:V579"/>
    <mergeCell ref="T574:T576"/>
    <mergeCell ref="A574:A576"/>
    <mergeCell ref="BZ574:BZ576"/>
    <mergeCell ref="BV574:BV576"/>
    <mergeCell ref="BS574:BS576"/>
    <mergeCell ref="DK574:DK576"/>
    <mergeCell ref="D574:D576"/>
    <mergeCell ref="U574:U576"/>
    <mergeCell ref="W574:W576"/>
    <mergeCell ref="Y574:Y576"/>
    <mergeCell ref="Z574:Z576"/>
    <mergeCell ref="AB574:AB576"/>
    <mergeCell ref="BU574:BU576"/>
    <mergeCell ref="BT574:BT576"/>
    <mergeCell ref="AC574:AC576"/>
    <mergeCell ref="CD574:CD576"/>
    <mergeCell ref="S574:S576"/>
    <mergeCell ref="BW574:BW576"/>
    <mergeCell ref="BX574:BX576"/>
    <mergeCell ref="BY574:BY576"/>
    <mergeCell ref="H574:H576"/>
    <mergeCell ref="N574:N576"/>
    <mergeCell ref="CB574:CB576"/>
    <mergeCell ref="CE574:CE576"/>
    <mergeCell ref="CA574:CA576"/>
    <mergeCell ref="B574:B576"/>
    <mergeCell ref="CC574:CC576"/>
    <mergeCell ref="AA574:AA576"/>
    <mergeCell ref="X574:X576"/>
    <mergeCell ref="V574:V576"/>
    <mergeCell ref="G577:G579"/>
    <mergeCell ref="G574:G576"/>
    <mergeCell ref="E574:E576"/>
    <mergeCell ref="E577:E579"/>
    <mergeCell ref="T583:T585"/>
    <mergeCell ref="A583:A585"/>
    <mergeCell ref="BZ583:BZ585"/>
    <mergeCell ref="BV583:BV585"/>
    <mergeCell ref="BS583:BS585"/>
    <mergeCell ref="DK583:DK585"/>
    <mergeCell ref="D583:D585"/>
    <mergeCell ref="U583:U585"/>
    <mergeCell ref="W583:W585"/>
    <mergeCell ref="Y583:Y585"/>
    <mergeCell ref="Z583:Z585"/>
    <mergeCell ref="AB583:AB585"/>
    <mergeCell ref="BU583:BU585"/>
    <mergeCell ref="BT583:BT585"/>
    <mergeCell ref="AC583:AC585"/>
    <mergeCell ref="CD583:CD585"/>
    <mergeCell ref="S583:S585"/>
    <mergeCell ref="BW583:BW585"/>
    <mergeCell ref="BX583:BX585"/>
    <mergeCell ref="BY583:BY585"/>
    <mergeCell ref="H583:H585"/>
    <mergeCell ref="N583:N585"/>
    <mergeCell ref="CB583:CB585"/>
    <mergeCell ref="CE583:CE585"/>
    <mergeCell ref="CA583:CA585"/>
    <mergeCell ref="B583:B585"/>
    <mergeCell ref="CC583:CC585"/>
    <mergeCell ref="AA583:AA585"/>
    <mergeCell ref="X583:X585"/>
    <mergeCell ref="V583:V585"/>
    <mergeCell ref="T580:T582"/>
    <mergeCell ref="A580:A582"/>
    <mergeCell ref="BZ580:BZ582"/>
    <mergeCell ref="BV580:BV582"/>
    <mergeCell ref="BS580:BS582"/>
    <mergeCell ref="DK580:DK582"/>
    <mergeCell ref="D580:D582"/>
    <mergeCell ref="U580:U582"/>
    <mergeCell ref="W580:W582"/>
    <mergeCell ref="Y580:Y582"/>
    <mergeCell ref="Z580:Z582"/>
    <mergeCell ref="AB580:AB582"/>
    <mergeCell ref="BU580:BU582"/>
    <mergeCell ref="BT580:BT582"/>
    <mergeCell ref="AC580:AC582"/>
    <mergeCell ref="CD580:CD582"/>
    <mergeCell ref="S580:S582"/>
    <mergeCell ref="BW580:BW582"/>
    <mergeCell ref="BX580:BX582"/>
    <mergeCell ref="BY580:BY582"/>
    <mergeCell ref="H580:H582"/>
    <mergeCell ref="N580:N582"/>
    <mergeCell ref="CB580:CB582"/>
    <mergeCell ref="CE580:CE582"/>
    <mergeCell ref="CA580:CA582"/>
    <mergeCell ref="B580:B582"/>
    <mergeCell ref="CC580:CC582"/>
    <mergeCell ref="AA580:AA582"/>
    <mergeCell ref="X580:X582"/>
    <mergeCell ref="V580:V582"/>
    <mergeCell ref="G583:G585"/>
    <mergeCell ref="G580:G582"/>
    <mergeCell ref="E580:E582"/>
    <mergeCell ref="E583:E585"/>
    <mergeCell ref="T589:T591"/>
    <mergeCell ref="A589:A591"/>
    <mergeCell ref="BZ589:BZ591"/>
    <mergeCell ref="BV589:BV591"/>
    <mergeCell ref="BS589:BS591"/>
    <mergeCell ref="DK589:DK591"/>
    <mergeCell ref="D589:D591"/>
    <mergeCell ref="U589:U591"/>
    <mergeCell ref="W589:W591"/>
    <mergeCell ref="Y589:Y591"/>
    <mergeCell ref="Z589:Z591"/>
    <mergeCell ref="AB589:AB591"/>
    <mergeCell ref="BU589:BU591"/>
    <mergeCell ref="BT589:BT591"/>
    <mergeCell ref="AC589:AC591"/>
    <mergeCell ref="CD589:CD591"/>
    <mergeCell ref="S589:S591"/>
    <mergeCell ref="BW589:BW591"/>
    <mergeCell ref="BX589:BX591"/>
    <mergeCell ref="BY589:BY591"/>
    <mergeCell ref="H589:H591"/>
    <mergeCell ref="N589:N591"/>
    <mergeCell ref="CB589:CB591"/>
    <mergeCell ref="CE589:CE591"/>
    <mergeCell ref="CA589:CA591"/>
    <mergeCell ref="B589:B591"/>
    <mergeCell ref="CC589:CC591"/>
    <mergeCell ref="AA589:AA591"/>
    <mergeCell ref="X589:X591"/>
    <mergeCell ref="V589:V591"/>
    <mergeCell ref="T586:T588"/>
    <mergeCell ref="A586:A588"/>
    <mergeCell ref="BZ586:BZ588"/>
    <mergeCell ref="BV586:BV588"/>
    <mergeCell ref="BS586:BS588"/>
    <mergeCell ref="DK586:DK588"/>
    <mergeCell ref="D586:D588"/>
    <mergeCell ref="U586:U588"/>
    <mergeCell ref="W586:W588"/>
    <mergeCell ref="Y586:Y588"/>
    <mergeCell ref="Z586:Z588"/>
    <mergeCell ref="AB586:AB588"/>
    <mergeCell ref="BU586:BU588"/>
    <mergeCell ref="BT586:BT588"/>
    <mergeCell ref="AC586:AC588"/>
    <mergeCell ref="CD586:CD588"/>
    <mergeCell ref="S586:S588"/>
    <mergeCell ref="BW586:BW588"/>
    <mergeCell ref="BX586:BX588"/>
    <mergeCell ref="BY586:BY588"/>
    <mergeCell ref="H586:H588"/>
    <mergeCell ref="N586:N588"/>
    <mergeCell ref="CB586:CB588"/>
    <mergeCell ref="CE586:CE588"/>
    <mergeCell ref="CA586:CA588"/>
    <mergeCell ref="B586:B588"/>
    <mergeCell ref="CC586:CC588"/>
    <mergeCell ref="AA586:AA588"/>
    <mergeCell ref="X586:X588"/>
    <mergeCell ref="V586:V588"/>
    <mergeCell ref="G589:G591"/>
    <mergeCell ref="G586:G588"/>
    <mergeCell ref="E586:E588"/>
    <mergeCell ref="E589:E591"/>
    <mergeCell ref="T595:T597"/>
    <mergeCell ref="A595:A597"/>
    <mergeCell ref="BZ595:BZ597"/>
    <mergeCell ref="BV595:BV597"/>
    <mergeCell ref="BS595:BS597"/>
    <mergeCell ref="DK595:DK597"/>
    <mergeCell ref="D595:D597"/>
    <mergeCell ref="U595:U597"/>
    <mergeCell ref="W595:W597"/>
    <mergeCell ref="Y595:Y597"/>
    <mergeCell ref="Z595:Z597"/>
    <mergeCell ref="AB595:AB597"/>
    <mergeCell ref="BU595:BU597"/>
    <mergeCell ref="BT595:BT597"/>
    <mergeCell ref="AC595:AC597"/>
    <mergeCell ref="CD595:CD597"/>
    <mergeCell ref="S595:S597"/>
    <mergeCell ref="BW595:BW597"/>
    <mergeCell ref="BX595:BX597"/>
    <mergeCell ref="BY595:BY597"/>
    <mergeCell ref="H595:H597"/>
    <mergeCell ref="N595:N597"/>
    <mergeCell ref="CB595:CB597"/>
    <mergeCell ref="CE595:CE597"/>
    <mergeCell ref="CA595:CA597"/>
    <mergeCell ref="B595:B597"/>
    <mergeCell ref="CC595:CC597"/>
    <mergeCell ref="AA595:AA597"/>
    <mergeCell ref="X595:X597"/>
    <mergeCell ref="V595:V597"/>
    <mergeCell ref="T592:T594"/>
    <mergeCell ref="A592:A594"/>
    <mergeCell ref="BZ592:BZ594"/>
    <mergeCell ref="BV592:BV594"/>
    <mergeCell ref="BS592:BS594"/>
    <mergeCell ref="DK592:DK594"/>
    <mergeCell ref="D592:D594"/>
    <mergeCell ref="U592:U594"/>
    <mergeCell ref="W592:W594"/>
    <mergeCell ref="Y592:Y594"/>
    <mergeCell ref="Z592:Z594"/>
    <mergeCell ref="AB592:AB594"/>
    <mergeCell ref="BU592:BU594"/>
    <mergeCell ref="BT592:BT594"/>
    <mergeCell ref="AC592:AC594"/>
    <mergeCell ref="CD592:CD594"/>
    <mergeCell ref="S592:S594"/>
    <mergeCell ref="BW592:BW594"/>
    <mergeCell ref="BX592:BX594"/>
    <mergeCell ref="BY592:BY594"/>
    <mergeCell ref="H592:H594"/>
    <mergeCell ref="N592:N594"/>
    <mergeCell ref="CB592:CB594"/>
    <mergeCell ref="CE592:CE594"/>
    <mergeCell ref="CA592:CA594"/>
    <mergeCell ref="B592:B594"/>
    <mergeCell ref="CC592:CC594"/>
    <mergeCell ref="AA592:AA594"/>
    <mergeCell ref="X592:X594"/>
    <mergeCell ref="V592:V594"/>
    <mergeCell ref="G595:G597"/>
    <mergeCell ref="G592:G594"/>
    <mergeCell ref="E592:E594"/>
    <mergeCell ref="E595:E597"/>
    <mergeCell ref="T601:T603"/>
    <mergeCell ref="A601:A603"/>
    <mergeCell ref="BZ601:BZ603"/>
    <mergeCell ref="BV601:BV603"/>
    <mergeCell ref="BS601:BS603"/>
    <mergeCell ref="DK601:DK603"/>
    <mergeCell ref="D601:D603"/>
    <mergeCell ref="U601:U603"/>
    <mergeCell ref="W601:W603"/>
    <mergeCell ref="Y601:Y603"/>
    <mergeCell ref="Z601:Z603"/>
    <mergeCell ref="AB601:AB603"/>
    <mergeCell ref="BU601:BU603"/>
    <mergeCell ref="BT601:BT603"/>
    <mergeCell ref="AC601:AC603"/>
    <mergeCell ref="CD601:CD603"/>
    <mergeCell ref="S601:S603"/>
    <mergeCell ref="BW601:BW603"/>
    <mergeCell ref="BX601:BX603"/>
    <mergeCell ref="BY601:BY603"/>
    <mergeCell ref="H601:H603"/>
    <mergeCell ref="N601:N603"/>
    <mergeCell ref="CB601:CB603"/>
    <mergeCell ref="CE601:CE603"/>
    <mergeCell ref="CA601:CA603"/>
    <mergeCell ref="B601:B603"/>
    <mergeCell ref="CC601:CC603"/>
    <mergeCell ref="AA601:AA603"/>
    <mergeCell ref="X601:X603"/>
    <mergeCell ref="V601:V603"/>
    <mergeCell ref="T598:T600"/>
    <mergeCell ref="A598:A600"/>
    <mergeCell ref="BZ598:BZ600"/>
    <mergeCell ref="BV598:BV600"/>
    <mergeCell ref="BS598:BS600"/>
    <mergeCell ref="DK598:DK600"/>
    <mergeCell ref="D598:D600"/>
    <mergeCell ref="U598:U600"/>
    <mergeCell ref="W598:W600"/>
    <mergeCell ref="Y598:Y600"/>
    <mergeCell ref="Z598:Z600"/>
    <mergeCell ref="AB598:AB600"/>
    <mergeCell ref="BU598:BU600"/>
    <mergeCell ref="BT598:BT600"/>
    <mergeCell ref="AC598:AC600"/>
    <mergeCell ref="CD598:CD600"/>
    <mergeCell ref="S598:S600"/>
    <mergeCell ref="BW598:BW600"/>
    <mergeCell ref="BX598:BX600"/>
    <mergeCell ref="BY598:BY600"/>
    <mergeCell ref="H598:H600"/>
    <mergeCell ref="N598:N600"/>
    <mergeCell ref="CB598:CB600"/>
    <mergeCell ref="CE598:CE600"/>
    <mergeCell ref="CA598:CA600"/>
    <mergeCell ref="B598:B600"/>
    <mergeCell ref="CC598:CC600"/>
    <mergeCell ref="AA598:AA600"/>
    <mergeCell ref="X598:X600"/>
    <mergeCell ref="V598:V600"/>
    <mergeCell ref="G601:G603"/>
    <mergeCell ref="G598:G600"/>
    <mergeCell ref="E598:E600"/>
    <mergeCell ref="E601:E603"/>
    <mergeCell ref="T607:T609"/>
    <mergeCell ref="A607:A609"/>
    <mergeCell ref="BZ607:BZ609"/>
    <mergeCell ref="BV607:BV609"/>
    <mergeCell ref="BS607:BS609"/>
    <mergeCell ref="DK607:DK609"/>
    <mergeCell ref="D607:D609"/>
    <mergeCell ref="U607:U609"/>
    <mergeCell ref="W607:W609"/>
    <mergeCell ref="Y607:Y609"/>
    <mergeCell ref="Z607:Z609"/>
    <mergeCell ref="AB607:AB609"/>
    <mergeCell ref="BU607:BU609"/>
    <mergeCell ref="BT607:BT609"/>
    <mergeCell ref="AC607:AC609"/>
    <mergeCell ref="CD607:CD609"/>
    <mergeCell ref="S607:S609"/>
    <mergeCell ref="BW607:BW609"/>
    <mergeCell ref="BX607:BX609"/>
    <mergeCell ref="BY607:BY609"/>
    <mergeCell ref="H607:H609"/>
    <mergeCell ref="N607:N609"/>
    <mergeCell ref="CB607:CB609"/>
    <mergeCell ref="CE607:CE609"/>
    <mergeCell ref="CA607:CA609"/>
    <mergeCell ref="B607:B609"/>
    <mergeCell ref="CC607:CC609"/>
    <mergeCell ref="AA607:AA609"/>
    <mergeCell ref="X607:X609"/>
    <mergeCell ref="V607:V609"/>
    <mergeCell ref="T604:T606"/>
    <mergeCell ref="A604:A606"/>
    <mergeCell ref="BZ604:BZ606"/>
    <mergeCell ref="BV604:BV606"/>
    <mergeCell ref="BS604:BS606"/>
    <mergeCell ref="DK604:DK606"/>
    <mergeCell ref="D604:D606"/>
    <mergeCell ref="U604:U606"/>
    <mergeCell ref="W604:W606"/>
    <mergeCell ref="Y604:Y606"/>
    <mergeCell ref="Z604:Z606"/>
    <mergeCell ref="AB604:AB606"/>
    <mergeCell ref="BU604:BU606"/>
    <mergeCell ref="BT604:BT606"/>
    <mergeCell ref="AC604:AC606"/>
    <mergeCell ref="CD604:CD606"/>
    <mergeCell ref="S604:S606"/>
    <mergeCell ref="BW604:BW606"/>
    <mergeCell ref="BX604:BX606"/>
    <mergeCell ref="BY604:BY606"/>
    <mergeCell ref="H604:H606"/>
    <mergeCell ref="N604:N606"/>
    <mergeCell ref="CB604:CB606"/>
    <mergeCell ref="CE604:CE606"/>
    <mergeCell ref="CA604:CA606"/>
    <mergeCell ref="B604:B606"/>
    <mergeCell ref="CC604:CC606"/>
    <mergeCell ref="AA604:AA606"/>
    <mergeCell ref="X604:X606"/>
    <mergeCell ref="V604:V606"/>
    <mergeCell ref="G607:G609"/>
    <mergeCell ref="G604:G606"/>
    <mergeCell ref="E604:E606"/>
    <mergeCell ref="E607:E609"/>
    <mergeCell ref="T613:T615"/>
    <mergeCell ref="A613:A615"/>
    <mergeCell ref="BZ613:BZ615"/>
    <mergeCell ref="BV613:BV615"/>
    <mergeCell ref="BS613:BS615"/>
    <mergeCell ref="DK613:DK615"/>
    <mergeCell ref="D613:D615"/>
    <mergeCell ref="U613:U615"/>
    <mergeCell ref="W613:W615"/>
    <mergeCell ref="Y613:Y615"/>
    <mergeCell ref="Z613:Z615"/>
    <mergeCell ref="AB613:AB615"/>
    <mergeCell ref="BU613:BU615"/>
    <mergeCell ref="BT613:BT615"/>
    <mergeCell ref="AC613:AC615"/>
    <mergeCell ref="CD613:CD615"/>
    <mergeCell ref="S613:S615"/>
    <mergeCell ref="BW613:BW615"/>
    <mergeCell ref="BX613:BX615"/>
    <mergeCell ref="BY613:BY615"/>
    <mergeCell ref="H613:H615"/>
    <mergeCell ref="N613:N615"/>
    <mergeCell ref="CB613:CB615"/>
    <mergeCell ref="CE613:CE615"/>
    <mergeCell ref="CA613:CA615"/>
    <mergeCell ref="B613:B615"/>
    <mergeCell ref="CC613:CC615"/>
    <mergeCell ref="AA613:AA615"/>
    <mergeCell ref="X613:X615"/>
    <mergeCell ref="V613:V615"/>
    <mergeCell ref="T610:T612"/>
    <mergeCell ref="A610:A612"/>
    <mergeCell ref="BZ610:BZ612"/>
    <mergeCell ref="BV610:BV612"/>
    <mergeCell ref="BS610:BS612"/>
    <mergeCell ref="DK610:DK612"/>
    <mergeCell ref="D610:D612"/>
    <mergeCell ref="U610:U612"/>
    <mergeCell ref="W610:W612"/>
    <mergeCell ref="Y610:Y612"/>
    <mergeCell ref="Z610:Z612"/>
    <mergeCell ref="AB610:AB612"/>
    <mergeCell ref="BU610:BU612"/>
    <mergeCell ref="BT610:BT612"/>
    <mergeCell ref="AC610:AC612"/>
    <mergeCell ref="CD610:CD612"/>
    <mergeCell ref="S610:S612"/>
    <mergeCell ref="BW610:BW612"/>
    <mergeCell ref="BX610:BX612"/>
    <mergeCell ref="BY610:BY612"/>
    <mergeCell ref="H610:H612"/>
    <mergeCell ref="N610:N612"/>
    <mergeCell ref="CB610:CB612"/>
    <mergeCell ref="CE610:CE612"/>
    <mergeCell ref="CA610:CA612"/>
    <mergeCell ref="B610:B612"/>
    <mergeCell ref="CC610:CC612"/>
    <mergeCell ref="AA610:AA612"/>
    <mergeCell ref="X610:X612"/>
    <mergeCell ref="V610:V612"/>
    <mergeCell ref="G613:G615"/>
    <mergeCell ref="G610:G612"/>
    <mergeCell ref="E610:E612"/>
    <mergeCell ref="E613:E615"/>
    <mergeCell ref="F7:F9"/>
    <mergeCell ref="F535:F537"/>
    <mergeCell ref="F532:F534"/>
    <mergeCell ref="F529:F531"/>
    <mergeCell ref="F526:F528"/>
    <mergeCell ref="F511:F513"/>
    <mergeCell ref="F493:F495"/>
    <mergeCell ref="F475:F477"/>
    <mergeCell ref="F457:F459"/>
    <mergeCell ref="F439:F441"/>
    <mergeCell ref="F421:F423"/>
    <mergeCell ref="F508:F510"/>
    <mergeCell ref="F490:F492"/>
    <mergeCell ref="F472:F474"/>
    <mergeCell ref="F454:F456"/>
    <mergeCell ref="F436:F438"/>
    <mergeCell ref="F418:F420"/>
    <mergeCell ref="F523:F525"/>
    <mergeCell ref="F505:F507"/>
    <mergeCell ref="F487:F489"/>
    <mergeCell ref="F469:F471"/>
    <mergeCell ref="F451:F453"/>
    <mergeCell ref="F433:F435"/>
    <mergeCell ref="F415:F417"/>
    <mergeCell ref="F520:F522"/>
    <mergeCell ref="F502:F504"/>
    <mergeCell ref="F484:F486"/>
    <mergeCell ref="F466:F468"/>
    <mergeCell ref="F448:F450"/>
    <mergeCell ref="F430:F432"/>
    <mergeCell ref="F412:F414"/>
    <mergeCell ref="F517:F519"/>
    <mergeCell ref="F499:F501"/>
    <mergeCell ref="F481:F483"/>
    <mergeCell ref="F463:F465"/>
    <mergeCell ref="F445:F447"/>
    <mergeCell ref="F427:F429"/>
    <mergeCell ref="F409:F411"/>
    <mergeCell ref="F514:F516"/>
    <mergeCell ref="F496:F498"/>
    <mergeCell ref="F478:F480"/>
    <mergeCell ref="F460:F462"/>
    <mergeCell ref="F442:F444"/>
    <mergeCell ref="F424:F426"/>
    <mergeCell ref="F406:F408"/>
    <mergeCell ref="F295:F297"/>
    <mergeCell ref="F151:F153"/>
    <mergeCell ref="F292:F294"/>
    <mergeCell ref="F148:F150"/>
    <mergeCell ref="F289:F291"/>
    <mergeCell ref="F145:F147"/>
    <mergeCell ref="F286:F288"/>
    <mergeCell ref="F142:F144"/>
    <mergeCell ref="F283:F285"/>
    <mergeCell ref="F139:F141"/>
    <mergeCell ref="F280:F282"/>
    <mergeCell ref="F136:F138"/>
    <mergeCell ref="F277:F279"/>
    <mergeCell ref="F133:F135"/>
    <mergeCell ref="F274:F276"/>
    <mergeCell ref="F130:F132"/>
    <mergeCell ref="F403:F405"/>
    <mergeCell ref="F259:F261"/>
    <mergeCell ref="F115:F117"/>
    <mergeCell ref="F385:F387"/>
    <mergeCell ref="F241:F243"/>
    <mergeCell ref="F97:F99"/>
    <mergeCell ref="F367:F369"/>
    <mergeCell ref="F223:F225"/>
    <mergeCell ref="F79:F81"/>
    <mergeCell ref="F349:F351"/>
    <mergeCell ref="F205:F207"/>
    <mergeCell ref="F61:F63"/>
    <mergeCell ref="F331:F333"/>
    <mergeCell ref="F187:F189"/>
    <mergeCell ref="F43:F45"/>
    <mergeCell ref="F313:F315"/>
    <mergeCell ref="F169:F171"/>
    <mergeCell ref="F25:F27"/>
    <mergeCell ref="F400:F402"/>
    <mergeCell ref="F256:F258"/>
    <mergeCell ref="F112:F114"/>
    <mergeCell ref="F382:F384"/>
    <mergeCell ref="F238:F240"/>
    <mergeCell ref="F94:F96"/>
    <mergeCell ref="F364:F366"/>
    <mergeCell ref="F220:F222"/>
    <mergeCell ref="F76:F78"/>
    <mergeCell ref="F346:F348"/>
    <mergeCell ref="F202:F204"/>
    <mergeCell ref="F58:F60"/>
    <mergeCell ref="F328:F330"/>
    <mergeCell ref="F184:F186"/>
    <mergeCell ref="F40:F42"/>
    <mergeCell ref="F310:F312"/>
    <mergeCell ref="F166:F168"/>
    <mergeCell ref="F22:F24"/>
    <mergeCell ref="F271:F273"/>
    <mergeCell ref="F127:F129"/>
    <mergeCell ref="F397:F399"/>
    <mergeCell ref="F253:F255"/>
    <mergeCell ref="F109:F111"/>
    <mergeCell ref="F379:F381"/>
    <mergeCell ref="F235:F237"/>
    <mergeCell ref="F91:F93"/>
    <mergeCell ref="F361:F363"/>
    <mergeCell ref="F217:F219"/>
    <mergeCell ref="F73:F75"/>
    <mergeCell ref="F343:F345"/>
    <mergeCell ref="F199:F201"/>
    <mergeCell ref="F55:F57"/>
    <mergeCell ref="F325:F327"/>
    <mergeCell ref="F181:F183"/>
    <mergeCell ref="F37:F39"/>
    <mergeCell ref="F307:F309"/>
    <mergeCell ref="F163:F165"/>
    <mergeCell ref="F19:F21"/>
    <mergeCell ref="F268:F270"/>
    <mergeCell ref="F124:F126"/>
    <mergeCell ref="F394:F396"/>
    <mergeCell ref="F250:F252"/>
    <mergeCell ref="F106:F108"/>
    <mergeCell ref="F376:F378"/>
    <mergeCell ref="F232:F234"/>
    <mergeCell ref="F88:F90"/>
    <mergeCell ref="F358:F360"/>
    <mergeCell ref="F214:F216"/>
    <mergeCell ref="F70:F72"/>
    <mergeCell ref="F340:F342"/>
    <mergeCell ref="F196:F198"/>
    <mergeCell ref="F52:F54"/>
    <mergeCell ref="F322:F324"/>
    <mergeCell ref="F178:F180"/>
    <mergeCell ref="F34:F36"/>
    <mergeCell ref="F304:F306"/>
    <mergeCell ref="F160:F162"/>
    <mergeCell ref="F16:F18"/>
    <mergeCell ref="F265:F267"/>
    <mergeCell ref="F121:F123"/>
    <mergeCell ref="F391:F393"/>
    <mergeCell ref="F247:F249"/>
    <mergeCell ref="F103:F105"/>
    <mergeCell ref="F373:F375"/>
    <mergeCell ref="F229:F231"/>
    <mergeCell ref="F85:F87"/>
    <mergeCell ref="F355:F357"/>
    <mergeCell ref="F211:F213"/>
    <mergeCell ref="F67:F69"/>
    <mergeCell ref="F337:F339"/>
    <mergeCell ref="F193:F195"/>
    <mergeCell ref="F49:F51"/>
    <mergeCell ref="F319:F321"/>
    <mergeCell ref="F175:F177"/>
    <mergeCell ref="F31:F33"/>
    <mergeCell ref="F301:F303"/>
    <mergeCell ref="F157:F159"/>
    <mergeCell ref="F13:F15"/>
    <mergeCell ref="F262:F264"/>
    <mergeCell ref="F118:F120"/>
    <mergeCell ref="F388:F390"/>
    <mergeCell ref="F244:F246"/>
    <mergeCell ref="F100:F102"/>
    <mergeCell ref="F370:F372"/>
    <mergeCell ref="F226:F228"/>
    <mergeCell ref="F82:F84"/>
    <mergeCell ref="F352:F354"/>
    <mergeCell ref="F208:F210"/>
    <mergeCell ref="F64:F66"/>
    <mergeCell ref="F334:F336"/>
    <mergeCell ref="F190:F192"/>
    <mergeCell ref="F46:F48"/>
    <mergeCell ref="F316:F318"/>
    <mergeCell ref="F172:F174"/>
    <mergeCell ref="F28:F30"/>
    <mergeCell ref="F298:F300"/>
    <mergeCell ref="F154:F156"/>
    <mergeCell ref="F10:F12"/>
    <mergeCell ref="F559:F561"/>
    <mergeCell ref="F556:F558"/>
    <mergeCell ref="F553:F555"/>
    <mergeCell ref="F550:F552"/>
    <mergeCell ref="F547:F549"/>
    <mergeCell ref="F544:F546"/>
    <mergeCell ref="F541:F543"/>
    <mergeCell ref="F538:F540"/>
    <mergeCell ref="F601:F603"/>
    <mergeCell ref="F598:F600"/>
    <mergeCell ref="F595:F597"/>
    <mergeCell ref="F592:F594"/>
    <mergeCell ref="F589:F591"/>
    <mergeCell ref="F586:F588"/>
    <mergeCell ref="F583:F585"/>
    <mergeCell ref="F580:F582"/>
    <mergeCell ref="F607:F609"/>
    <mergeCell ref="F604:F606"/>
    <mergeCell ref="F613:F615"/>
    <mergeCell ref="F610:F612"/>
    <mergeCell ref="F577:F579"/>
    <mergeCell ref="F574:F576"/>
    <mergeCell ref="F571:F573"/>
    <mergeCell ref="F568:F570"/>
    <mergeCell ref="F565:F567"/>
    <mergeCell ref="F562:F564"/>
    <mergeCell ref="T619:T621"/>
    <mergeCell ref="A619:A621"/>
    <mergeCell ref="BZ619:BZ621"/>
    <mergeCell ref="BV619:BV621"/>
    <mergeCell ref="BS619:BS621"/>
    <mergeCell ref="DK619:DK621"/>
    <mergeCell ref="D619:D621"/>
    <mergeCell ref="U619:U621"/>
    <mergeCell ref="W619:W621"/>
    <mergeCell ref="Y619:Y621"/>
    <mergeCell ref="Z619:Z621"/>
    <mergeCell ref="AB619:AB621"/>
    <mergeCell ref="BU619:BU621"/>
    <mergeCell ref="BT619:BT621"/>
    <mergeCell ref="AC619:AC621"/>
    <mergeCell ref="CD619:CD621"/>
    <mergeCell ref="S619:S621"/>
    <mergeCell ref="BW619:BW621"/>
    <mergeCell ref="BX619:BX621"/>
    <mergeCell ref="BY619:BY621"/>
    <mergeCell ref="H619:H621"/>
    <mergeCell ref="N619:N621"/>
    <mergeCell ref="CB619:CB621"/>
    <mergeCell ref="CE619:CE621"/>
    <mergeCell ref="CA619:CA621"/>
    <mergeCell ref="B619:B621"/>
    <mergeCell ref="CC619:CC621"/>
    <mergeCell ref="AA619:AA621"/>
    <mergeCell ref="X619:X621"/>
    <mergeCell ref="V619:V621"/>
    <mergeCell ref="T616:T618"/>
    <mergeCell ref="A616:A618"/>
    <mergeCell ref="BZ616:BZ618"/>
    <mergeCell ref="BV616:BV618"/>
    <mergeCell ref="BS616:BS618"/>
    <mergeCell ref="DK616:DK618"/>
    <mergeCell ref="D616:D618"/>
    <mergeCell ref="U616:U618"/>
    <mergeCell ref="W616:W618"/>
    <mergeCell ref="Y616:Y618"/>
    <mergeCell ref="Z616:Z618"/>
    <mergeCell ref="AB616:AB618"/>
    <mergeCell ref="BU616:BU618"/>
    <mergeCell ref="BT616:BT618"/>
    <mergeCell ref="AC616:AC618"/>
    <mergeCell ref="CD616:CD618"/>
    <mergeCell ref="S616:S618"/>
    <mergeCell ref="BW616:BW618"/>
    <mergeCell ref="BX616:BX618"/>
    <mergeCell ref="BY616:BY618"/>
    <mergeCell ref="H616:H618"/>
    <mergeCell ref="N616:N618"/>
    <mergeCell ref="CB616:CB618"/>
    <mergeCell ref="CE616:CE618"/>
    <mergeCell ref="CA616:CA618"/>
    <mergeCell ref="B616:B618"/>
    <mergeCell ref="CC616:CC618"/>
    <mergeCell ref="AA616:AA618"/>
    <mergeCell ref="X616:X618"/>
    <mergeCell ref="V616:V618"/>
    <mergeCell ref="G619:G621"/>
    <mergeCell ref="G616:G618"/>
    <mergeCell ref="E616:E618"/>
    <mergeCell ref="E619:E621"/>
    <mergeCell ref="F619:F621"/>
    <mergeCell ref="F616:F618"/>
    <mergeCell ref="T625:T627"/>
    <mergeCell ref="A625:A627"/>
    <mergeCell ref="BZ625:BZ627"/>
    <mergeCell ref="BV625:BV627"/>
    <mergeCell ref="BS625:BS627"/>
    <mergeCell ref="DK625:DK627"/>
    <mergeCell ref="D625:D627"/>
    <mergeCell ref="U625:U627"/>
    <mergeCell ref="W625:W627"/>
    <mergeCell ref="Y625:Y627"/>
    <mergeCell ref="Z625:Z627"/>
    <mergeCell ref="AB625:AB627"/>
    <mergeCell ref="BU625:BU627"/>
    <mergeCell ref="BT625:BT627"/>
    <mergeCell ref="AC625:AC627"/>
    <mergeCell ref="CD625:CD627"/>
    <mergeCell ref="S625:S627"/>
    <mergeCell ref="BW625:BW627"/>
    <mergeCell ref="BX625:BX627"/>
    <mergeCell ref="BY625:BY627"/>
    <mergeCell ref="H625:H627"/>
    <mergeCell ref="N625:N627"/>
    <mergeCell ref="CB625:CB627"/>
    <mergeCell ref="CE625:CE627"/>
    <mergeCell ref="CA625:CA627"/>
    <mergeCell ref="B625:B627"/>
    <mergeCell ref="CC625:CC627"/>
    <mergeCell ref="AA625:AA627"/>
    <mergeCell ref="X625:X627"/>
    <mergeCell ref="V625:V627"/>
    <mergeCell ref="T622:T624"/>
    <mergeCell ref="A622:A624"/>
    <mergeCell ref="BZ622:BZ624"/>
    <mergeCell ref="BV622:BV624"/>
    <mergeCell ref="BS622:BS624"/>
    <mergeCell ref="DK622:DK624"/>
    <mergeCell ref="D622:D624"/>
    <mergeCell ref="U622:U624"/>
    <mergeCell ref="W622:W624"/>
    <mergeCell ref="Y622:Y624"/>
    <mergeCell ref="Z622:Z624"/>
    <mergeCell ref="AB622:AB624"/>
    <mergeCell ref="BU622:BU624"/>
    <mergeCell ref="BT622:BT624"/>
    <mergeCell ref="AC622:AC624"/>
    <mergeCell ref="CD622:CD624"/>
    <mergeCell ref="S622:S624"/>
    <mergeCell ref="BW622:BW624"/>
    <mergeCell ref="BX622:BX624"/>
    <mergeCell ref="BY622:BY624"/>
    <mergeCell ref="H622:H624"/>
    <mergeCell ref="N622:N624"/>
    <mergeCell ref="CB622:CB624"/>
    <mergeCell ref="CE622:CE624"/>
    <mergeCell ref="CA622:CA624"/>
    <mergeCell ref="B622:B624"/>
    <mergeCell ref="CC622:CC624"/>
    <mergeCell ref="AA622:AA624"/>
    <mergeCell ref="X622:X624"/>
    <mergeCell ref="V622:V624"/>
    <mergeCell ref="G625:G627"/>
    <mergeCell ref="G622:G624"/>
    <mergeCell ref="E622:E624"/>
    <mergeCell ref="E625:E627"/>
    <mergeCell ref="F625:F627"/>
    <mergeCell ref="F622:F624"/>
    <mergeCell ref="T631:T633"/>
    <mergeCell ref="A631:A633"/>
    <mergeCell ref="BZ631:BZ633"/>
    <mergeCell ref="BV631:BV633"/>
    <mergeCell ref="BS631:BS633"/>
    <mergeCell ref="DK631:DK633"/>
    <mergeCell ref="D631:D633"/>
    <mergeCell ref="U631:U633"/>
    <mergeCell ref="W631:W633"/>
    <mergeCell ref="Y631:Y633"/>
    <mergeCell ref="Z631:Z633"/>
    <mergeCell ref="AB631:AB633"/>
    <mergeCell ref="BU631:BU633"/>
    <mergeCell ref="BT631:BT633"/>
    <mergeCell ref="AC631:AC633"/>
    <mergeCell ref="CD631:CD633"/>
    <mergeCell ref="S631:S633"/>
    <mergeCell ref="BW631:BW633"/>
    <mergeCell ref="BX631:BX633"/>
    <mergeCell ref="BY631:BY633"/>
    <mergeCell ref="H631:H633"/>
    <mergeCell ref="N631:N633"/>
    <mergeCell ref="CB631:CB633"/>
    <mergeCell ref="CE631:CE633"/>
    <mergeCell ref="CA631:CA633"/>
    <mergeCell ref="B631:B633"/>
    <mergeCell ref="CC631:CC633"/>
    <mergeCell ref="AA631:AA633"/>
    <mergeCell ref="X631:X633"/>
    <mergeCell ref="V631:V633"/>
    <mergeCell ref="T628:T630"/>
    <mergeCell ref="A628:A630"/>
    <mergeCell ref="BZ628:BZ630"/>
    <mergeCell ref="BV628:BV630"/>
    <mergeCell ref="BS628:BS630"/>
    <mergeCell ref="DK628:DK630"/>
    <mergeCell ref="D628:D630"/>
    <mergeCell ref="U628:U630"/>
    <mergeCell ref="W628:W630"/>
    <mergeCell ref="Y628:Y630"/>
    <mergeCell ref="Z628:Z630"/>
    <mergeCell ref="AB628:AB630"/>
    <mergeCell ref="BU628:BU630"/>
    <mergeCell ref="BT628:BT630"/>
    <mergeCell ref="AC628:AC630"/>
    <mergeCell ref="CD628:CD630"/>
    <mergeCell ref="S628:S630"/>
    <mergeCell ref="BW628:BW630"/>
    <mergeCell ref="BX628:BX630"/>
    <mergeCell ref="BY628:BY630"/>
    <mergeCell ref="H628:H630"/>
    <mergeCell ref="N628:N630"/>
    <mergeCell ref="CB628:CB630"/>
    <mergeCell ref="CE628:CE630"/>
    <mergeCell ref="CA628:CA630"/>
    <mergeCell ref="B628:B630"/>
    <mergeCell ref="CC628:CC630"/>
    <mergeCell ref="AA628:AA630"/>
    <mergeCell ref="X628:X630"/>
    <mergeCell ref="V628:V630"/>
    <mergeCell ref="G631:G633"/>
    <mergeCell ref="G628:G630"/>
    <mergeCell ref="E628:E630"/>
    <mergeCell ref="E631:E633"/>
    <mergeCell ref="F631:F633"/>
    <mergeCell ref="F628:F630"/>
    <mergeCell ref="T637:T639"/>
    <mergeCell ref="A637:A639"/>
    <mergeCell ref="BZ637:BZ639"/>
    <mergeCell ref="BV637:BV639"/>
    <mergeCell ref="BS637:BS639"/>
    <mergeCell ref="DK637:DK639"/>
    <mergeCell ref="D637:D639"/>
    <mergeCell ref="U637:U639"/>
    <mergeCell ref="W637:W639"/>
    <mergeCell ref="Y637:Y639"/>
    <mergeCell ref="Z637:Z639"/>
    <mergeCell ref="AB637:AB639"/>
    <mergeCell ref="BU637:BU639"/>
    <mergeCell ref="BT637:BT639"/>
    <mergeCell ref="AC637:AC639"/>
    <mergeCell ref="CD637:CD639"/>
    <mergeCell ref="S637:S639"/>
    <mergeCell ref="BW637:BW639"/>
    <mergeCell ref="BX637:BX639"/>
    <mergeCell ref="BY637:BY639"/>
    <mergeCell ref="H637:H639"/>
    <mergeCell ref="N637:N639"/>
    <mergeCell ref="CB637:CB639"/>
    <mergeCell ref="CE637:CE639"/>
    <mergeCell ref="CA637:CA639"/>
    <mergeCell ref="B637:B639"/>
    <mergeCell ref="CC637:CC639"/>
    <mergeCell ref="AA637:AA639"/>
    <mergeCell ref="X637:X639"/>
    <mergeCell ref="V637:V639"/>
    <mergeCell ref="T634:T636"/>
    <mergeCell ref="A634:A636"/>
    <mergeCell ref="BZ634:BZ636"/>
    <mergeCell ref="BV634:BV636"/>
    <mergeCell ref="BS634:BS636"/>
    <mergeCell ref="DK634:DK636"/>
    <mergeCell ref="D634:D636"/>
    <mergeCell ref="U634:U636"/>
    <mergeCell ref="W634:W636"/>
    <mergeCell ref="Y634:Y636"/>
    <mergeCell ref="Z634:Z636"/>
    <mergeCell ref="AB634:AB636"/>
    <mergeCell ref="BU634:BU636"/>
    <mergeCell ref="BT634:BT636"/>
    <mergeCell ref="AC634:AC636"/>
    <mergeCell ref="CD634:CD636"/>
    <mergeCell ref="S634:S636"/>
    <mergeCell ref="BW634:BW636"/>
    <mergeCell ref="BX634:BX636"/>
    <mergeCell ref="BY634:BY636"/>
    <mergeCell ref="H634:H636"/>
    <mergeCell ref="N634:N636"/>
    <mergeCell ref="CB634:CB636"/>
    <mergeCell ref="CE634:CE636"/>
    <mergeCell ref="CA634:CA636"/>
    <mergeCell ref="B634:B636"/>
    <mergeCell ref="CC634:CC636"/>
    <mergeCell ref="AA634:AA636"/>
    <mergeCell ref="X634:X636"/>
    <mergeCell ref="V634:V636"/>
    <mergeCell ref="G637:G639"/>
    <mergeCell ref="G634:G636"/>
    <mergeCell ref="E634:E636"/>
    <mergeCell ref="E637:E639"/>
    <mergeCell ref="F637:F639"/>
    <mergeCell ref="F634:F636"/>
    <mergeCell ref="T643:T645"/>
    <mergeCell ref="A643:A645"/>
    <mergeCell ref="BZ643:BZ645"/>
    <mergeCell ref="BV643:BV645"/>
    <mergeCell ref="BS643:BS645"/>
    <mergeCell ref="DK643:DK645"/>
    <mergeCell ref="D643:D645"/>
    <mergeCell ref="U643:U645"/>
    <mergeCell ref="W643:W645"/>
    <mergeCell ref="Y643:Y645"/>
    <mergeCell ref="Z643:Z645"/>
    <mergeCell ref="AB643:AB645"/>
    <mergeCell ref="BU643:BU645"/>
    <mergeCell ref="BT643:BT645"/>
    <mergeCell ref="AC643:AC645"/>
    <mergeCell ref="CD643:CD645"/>
    <mergeCell ref="S643:S645"/>
    <mergeCell ref="BW643:BW645"/>
    <mergeCell ref="BX643:BX645"/>
    <mergeCell ref="BY643:BY645"/>
    <mergeCell ref="H643:H645"/>
    <mergeCell ref="N643:N645"/>
    <mergeCell ref="CB643:CB645"/>
    <mergeCell ref="CE643:CE645"/>
    <mergeCell ref="CA643:CA645"/>
    <mergeCell ref="B643:B645"/>
    <mergeCell ref="CC643:CC645"/>
    <mergeCell ref="AA643:AA645"/>
    <mergeCell ref="X643:X645"/>
    <mergeCell ref="V643:V645"/>
    <mergeCell ref="T640:T642"/>
    <mergeCell ref="A640:A642"/>
    <mergeCell ref="BZ640:BZ642"/>
    <mergeCell ref="BV640:BV642"/>
    <mergeCell ref="BS640:BS642"/>
    <mergeCell ref="DK640:DK642"/>
    <mergeCell ref="D640:D642"/>
    <mergeCell ref="U640:U642"/>
    <mergeCell ref="W640:W642"/>
    <mergeCell ref="Y640:Y642"/>
    <mergeCell ref="Z640:Z642"/>
    <mergeCell ref="AB640:AB642"/>
    <mergeCell ref="BU640:BU642"/>
    <mergeCell ref="BT640:BT642"/>
    <mergeCell ref="AC640:AC642"/>
    <mergeCell ref="CD640:CD642"/>
    <mergeCell ref="S640:S642"/>
    <mergeCell ref="BW640:BW642"/>
    <mergeCell ref="BX640:BX642"/>
    <mergeCell ref="BY640:BY642"/>
    <mergeCell ref="H640:H642"/>
    <mergeCell ref="N640:N642"/>
    <mergeCell ref="CB640:CB642"/>
    <mergeCell ref="CE640:CE642"/>
    <mergeCell ref="CA640:CA642"/>
    <mergeCell ref="B640:B642"/>
    <mergeCell ref="CC640:CC642"/>
    <mergeCell ref="AA640:AA642"/>
    <mergeCell ref="X640:X642"/>
    <mergeCell ref="V640:V642"/>
    <mergeCell ref="G643:G645"/>
    <mergeCell ref="G640:G642"/>
    <mergeCell ref="E640:E642"/>
    <mergeCell ref="E643:E645"/>
    <mergeCell ref="F643:F645"/>
    <mergeCell ref="F640:F642"/>
    <mergeCell ref="T649:T651"/>
    <mergeCell ref="A649:A651"/>
    <mergeCell ref="BZ649:BZ651"/>
    <mergeCell ref="BV649:BV651"/>
    <mergeCell ref="BS649:BS651"/>
    <mergeCell ref="DK649:DK651"/>
    <mergeCell ref="D649:D651"/>
    <mergeCell ref="U649:U651"/>
    <mergeCell ref="W649:W651"/>
    <mergeCell ref="Y649:Y651"/>
    <mergeCell ref="Z649:Z651"/>
    <mergeCell ref="AB649:AB651"/>
    <mergeCell ref="BU649:BU651"/>
    <mergeCell ref="BT649:BT651"/>
    <mergeCell ref="AC649:AC651"/>
    <mergeCell ref="CD649:CD651"/>
    <mergeCell ref="S649:S651"/>
    <mergeCell ref="BW649:BW651"/>
    <mergeCell ref="BX649:BX651"/>
    <mergeCell ref="BY649:BY651"/>
    <mergeCell ref="H649:H651"/>
    <mergeCell ref="N649:N651"/>
    <mergeCell ref="CB649:CB651"/>
    <mergeCell ref="CE649:CE651"/>
    <mergeCell ref="CA649:CA651"/>
    <mergeCell ref="B649:B651"/>
    <mergeCell ref="CC649:CC651"/>
    <mergeCell ref="AA649:AA651"/>
    <mergeCell ref="X649:X651"/>
    <mergeCell ref="V649:V651"/>
    <mergeCell ref="T646:T648"/>
    <mergeCell ref="A646:A648"/>
    <mergeCell ref="BZ646:BZ648"/>
    <mergeCell ref="BV646:BV648"/>
    <mergeCell ref="BS646:BS648"/>
    <mergeCell ref="DK646:DK648"/>
    <mergeCell ref="D646:D648"/>
    <mergeCell ref="U646:U648"/>
    <mergeCell ref="W646:W648"/>
    <mergeCell ref="Y646:Y648"/>
    <mergeCell ref="Z646:Z648"/>
    <mergeCell ref="AB646:AB648"/>
    <mergeCell ref="BU646:BU648"/>
    <mergeCell ref="BT646:BT648"/>
    <mergeCell ref="AC646:AC648"/>
    <mergeCell ref="CD646:CD648"/>
    <mergeCell ref="S646:S648"/>
    <mergeCell ref="BW646:BW648"/>
    <mergeCell ref="BX646:BX648"/>
    <mergeCell ref="BY646:BY648"/>
    <mergeCell ref="H646:H648"/>
    <mergeCell ref="N646:N648"/>
    <mergeCell ref="CB646:CB648"/>
    <mergeCell ref="CE646:CE648"/>
    <mergeCell ref="CA646:CA648"/>
    <mergeCell ref="B646:B648"/>
    <mergeCell ref="CC646:CC648"/>
    <mergeCell ref="AA646:AA648"/>
    <mergeCell ref="X646:X648"/>
    <mergeCell ref="V646:V648"/>
    <mergeCell ref="G649:G651"/>
    <mergeCell ref="G646:G648"/>
    <mergeCell ref="E646:E648"/>
    <mergeCell ref="E649:E651"/>
    <mergeCell ref="F649:F651"/>
    <mergeCell ref="F646:F648"/>
    <mergeCell ref="T655:T657"/>
    <mergeCell ref="A655:A657"/>
    <mergeCell ref="BZ655:BZ657"/>
    <mergeCell ref="BV655:BV657"/>
    <mergeCell ref="BS655:BS657"/>
    <mergeCell ref="DK655:DK657"/>
    <mergeCell ref="D655:D657"/>
    <mergeCell ref="U655:U657"/>
    <mergeCell ref="W655:W657"/>
    <mergeCell ref="Y655:Y657"/>
    <mergeCell ref="Z655:Z657"/>
    <mergeCell ref="AB655:AB657"/>
    <mergeCell ref="BU655:BU657"/>
    <mergeCell ref="BT655:BT657"/>
    <mergeCell ref="AC655:AC657"/>
    <mergeCell ref="CD655:CD657"/>
    <mergeCell ref="S655:S657"/>
    <mergeCell ref="BW655:BW657"/>
    <mergeCell ref="BX655:BX657"/>
    <mergeCell ref="BY655:BY657"/>
    <mergeCell ref="H655:H657"/>
    <mergeCell ref="N655:N657"/>
    <mergeCell ref="CB655:CB657"/>
    <mergeCell ref="CE655:CE657"/>
    <mergeCell ref="CA655:CA657"/>
    <mergeCell ref="B655:B657"/>
    <mergeCell ref="CC655:CC657"/>
    <mergeCell ref="AA655:AA657"/>
    <mergeCell ref="X655:X657"/>
    <mergeCell ref="V655:V657"/>
    <mergeCell ref="T652:T654"/>
    <mergeCell ref="A652:A654"/>
    <mergeCell ref="BZ652:BZ654"/>
    <mergeCell ref="BV652:BV654"/>
    <mergeCell ref="BS652:BS654"/>
    <mergeCell ref="DK652:DK654"/>
    <mergeCell ref="D652:D654"/>
    <mergeCell ref="U652:U654"/>
    <mergeCell ref="W652:W654"/>
    <mergeCell ref="Y652:Y654"/>
    <mergeCell ref="Z652:Z654"/>
    <mergeCell ref="AB652:AB654"/>
    <mergeCell ref="BU652:BU654"/>
    <mergeCell ref="BT652:BT654"/>
    <mergeCell ref="AC652:AC654"/>
    <mergeCell ref="CD652:CD654"/>
    <mergeCell ref="S652:S654"/>
    <mergeCell ref="BW652:BW654"/>
    <mergeCell ref="BX652:BX654"/>
    <mergeCell ref="BY652:BY654"/>
    <mergeCell ref="H652:H654"/>
    <mergeCell ref="N652:N654"/>
    <mergeCell ref="CB652:CB654"/>
    <mergeCell ref="CE652:CE654"/>
    <mergeCell ref="CA652:CA654"/>
    <mergeCell ref="B652:B654"/>
    <mergeCell ref="CC652:CC654"/>
    <mergeCell ref="AA652:AA654"/>
    <mergeCell ref="X652:X654"/>
    <mergeCell ref="V652:V654"/>
    <mergeCell ref="G655:G657"/>
    <mergeCell ref="G652:G654"/>
    <mergeCell ref="E652:E654"/>
    <mergeCell ref="E655:E657"/>
    <mergeCell ref="F655:F657"/>
    <mergeCell ref="F652:F654"/>
    <mergeCell ref="T661:T663"/>
    <mergeCell ref="A661:A663"/>
    <mergeCell ref="BZ661:BZ663"/>
    <mergeCell ref="BV661:BV663"/>
    <mergeCell ref="BS661:BS663"/>
    <mergeCell ref="DK661:DK663"/>
    <mergeCell ref="D661:D663"/>
    <mergeCell ref="U661:U663"/>
    <mergeCell ref="W661:W663"/>
    <mergeCell ref="Y661:Y663"/>
    <mergeCell ref="Z661:Z663"/>
    <mergeCell ref="AB661:AB663"/>
    <mergeCell ref="BU661:BU663"/>
    <mergeCell ref="BT661:BT663"/>
    <mergeCell ref="AC661:AC663"/>
    <mergeCell ref="CD661:CD663"/>
    <mergeCell ref="S661:S663"/>
    <mergeCell ref="BW661:BW663"/>
    <mergeCell ref="BX661:BX663"/>
    <mergeCell ref="BY661:BY663"/>
    <mergeCell ref="H661:H663"/>
    <mergeCell ref="N661:N663"/>
    <mergeCell ref="CB661:CB663"/>
    <mergeCell ref="CE661:CE663"/>
    <mergeCell ref="CA661:CA663"/>
    <mergeCell ref="B661:B663"/>
    <mergeCell ref="CC661:CC663"/>
    <mergeCell ref="AA661:AA663"/>
    <mergeCell ref="X661:X663"/>
    <mergeCell ref="V661:V663"/>
    <mergeCell ref="T658:T660"/>
    <mergeCell ref="A658:A660"/>
    <mergeCell ref="BZ658:BZ660"/>
    <mergeCell ref="BV658:BV660"/>
    <mergeCell ref="BS658:BS660"/>
    <mergeCell ref="DK658:DK660"/>
    <mergeCell ref="D658:D660"/>
    <mergeCell ref="U658:U660"/>
    <mergeCell ref="W658:W660"/>
    <mergeCell ref="Y658:Y660"/>
    <mergeCell ref="Z658:Z660"/>
    <mergeCell ref="AB658:AB660"/>
    <mergeCell ref="BU658:BU660"/>
    <mergeCell ref="BT658:BT660"/>
    <mergeCell ref="AC658:AC660"/>
    <mergeCell ref="CD658:CD660"/>
    <mergeCell ref="S658:S660"/>
    <mergeCell ref="BW658:BW660"/>
    <mergeCell ref="BX658:BX660"/>
    <mergeCell ref="BY658:BY660"/>
    <mergeCell ref="H658:H660"/>
    <mergeCell ref="N658:N660"/>
    <mergeCell ref="CB658:CB660"/>
    <mergeCell ref="CE658:CE660"/>
    <mergeCell ref="CA658:CA660"/>
    <mergeCell ref="B658:B660"/>
    <mergeCell ref="CC658:CC660"/>
    <mergeCell ref="AA658:AA660"/>
    <mergeCell ref="X658:X660"/>
    <mergeCell ref="V658:V660"/>
    <mergeCell ref="G661:G663"/>
    <mergeCell ref="G658:G660"/>
    <mergeCell ref="E658:E660"/>
    <mergeCell ref="E661:E663"/>
    <mergeCell ref="F661:F663"/>
    <mergeCell ref="F658:F660"/>
    <mergeCell ref="T667:T669"/>
    <mergeCell ref="A667:A669"/>
    <mergeCell ref="BZ667:BZ669"/>
    <mergeCell ref="BV667:BV669"/>
    <mergeCell ref="BS667:BS669"/>
    <mergeCell ref="DK667:DK669"/>
    <mergeCell ref="D667:D669"/>
    <mergeCell ref="U667:U669"/>
    <mergeCell ref="W667:W669"/>
    <mergeCell ref="Y667:Y669"/>
    <mergeCell ref="Z667:Z669"/>
    <mergeCell ref="AB667:AB669"/>
    <mergeCell ref="BU667:BU669"/>
    <mergeCell ref="BT667:BT669"/>
    <mergeCell ref="AC667:AC669"/>
    <mergeCell ref="CD667:CD669"/>
    <mergeCell ref="S667:S669"/>
    <mergeCell ref="BW667:BW669"/>
    <mergeCell ref="BX667:BX669"/>
    <mergeCell ref="BY667:BY669"/>
    <mergeCell ref="H667:H669"/>
    <mergeCell ref="N667:N669"/>
    <mergeCell ref="CB667:CB669"/>
    <mergeCell ref="CE667:CE669"/>
    <mergeCell ref="CA667:CA669"/>
    <mergeCell ref="B667:B669"/>
    <mergeCell ref="CC667:CC669"/>
    <mergeCell ref="AA667:AA669"/>
    <mergeCell ref="X667:X669"/>
    <mergeCell ref="V667:V669"/>
    <mergeCell ref="T664:T666"/>
    <mergeCell ref="A664:A666"/>
    <mergeCell ref="BZ664:BZ666"/>
    <mergeCell ref="BV664:BV666"/>
    <mergeCell ref="BS664:BS666"/>
    <mergeCell ref="DK664:DK666"/>
    <mergeCell ref="D664:D666"/>
    <mergeCell ref="U664:U666"/>
    <mergeCell ref="W664:W666"/>
    <mergeCell ref="Y664:Y666"/>
    <mergeCell ref="Z664:Z666"/>
    <mergeCell ref="AB664:AB666"/>
    <mergeCell ref="BU664:BU666"/>
    <mergeCell ref="BT664:BT666"/>
    <mergeCell ref="AC664:AC666"/>
    <mergeCell ref="CD664:CD666"/>
    <mergeCell ref="S664:S666"/>
    <mergeCell ref="BW664:BW666"/>
    <mergeCell ref="BX664:BX666"/>
    <mergeCell ref="BY664:BY666"/>
    <mergeCell ref="H664:H666"/>
    <mergeCell ref="N664:N666"/>
    <mergeCell ref="CB664:CB666"/>
    <mergeCell ref="CE664:CE666"/>
    <mergeCell ref="CA664:CA666"/>
    <mergeCell ref="B664:B666"/>
    <mergeCell ref="CC664:CC666"/>
    <mergeCell ref="AA664:AA666"/>
    <mergeCell ref="X664:X666"/>
    <mergeCell ref="V664:V666"/>
    <mergeCell ref="G667:G669"/>
    <mergeCell ref="G664:G666"/>
    <mergeCell ref="E664:E666"/>
    <mergeCell ref="E667:E669"/>
    <mergeCell ref="F667:F669"/>
    <mergeCell ref="F664:F666"/>
    <mergeCell ref="T673:T675"/>
    <mergeCell ref="A673:A675"/>
    <mergeCell ref="BZ673:BZ675"/>
    <mergeCell ref="BV673:BV675"/>
    <mergeCell ref="BS673:BS675"/>
    <mergeCell ref="DK673:DK675"/>
    <mergeCell ref="D673:D675"/>
    <mergeCell ref="U673:U675"/>
    <mergeCell ref="W673:W675"/>
    <mergeCell ref="Y673:Y675"/>
    <mergeCell ref="Z673:Z675"/>
    <mergeCell ref="AB673:AB675"/>
    <mergeCell ref="BU673:BU675"/>
    <mergeCell ref="BT673:BT675"/>
    <mergeCell ref="AC673:AC675"/>
    <mergeCell ref="CD673:CD675"/>
    <mergeCell ref="S673:S675"/>
    <mergeCell ref="BW673:BW675"/>
    <mergeCell ref="BX673:BX675"/>
    <mergeCell ref="BY673:BY675"/>
    <mergeCell ref="H673:H675"/>
    <mergeCell ref="N673:N675"/>
    <mergeCell ref="CB673:CB675"/>
    <mergeCell ref="CE673:CE675"/>
    <mergeCell ref="CA673:CA675"/>
    <mergeCell ref="B673:B675"/>
    <mergeCell ref="CC673:CC675"/>
    <mergeCell ref="AA673:AA675"/>
    <mergeCell ref="X673:X675"/>
    <mergeCell ref="V673:V675"/>
    <mergeCell ref="T670:T672"/>
    <mergeCell ref="A670:A672"/>
    <mergeCell ref="BZ670:BZ672"/>
    <mergeCell ref="BV670:BV672"/>
    <mergeCell ref="BS670:BS672"/>
    <mergeCell ref="DK670:DK672"/>
    <mergeCell ref="D670:D672"/>
    <mergeCell ref="U670:U672"/>
    <mergeCell ref="W670:W672"/>
    <mergeCell ref="Y670:Y672"/>
    <mergeCell ref="Z670:Z672"/>
    <mergeCell ref="AB670:AB672"/>
    <mergeCell ref="BU670:BU672"/>
    <mergeCell ref="BT670:BT672"/>
    <mergeCell ref="AC670:AC672"/>
    <mergeCell ref="CD670:CD672"/>
    <mergeCell ref="S670:S672"/>
    <mergeCell ref="BW670:BW672"/>
    <mergeCell ref="BX670:BX672"/>
    <mergeCell ref="BY670:BY672"/>
    <mergeCell ref="H670:H672"/>
    <mergeCell ref="N670:N672"/>
    <mergeCell ref="CB670:CB672"/>
    <mergeCell ref="CE670:CE672"/>
    <mergeCell ref="CA670:CA672"/>
    <mergeCell ref="B670:B672"/>
    <mergeCell ref="CC670:CC672"/>
    <mergeCell ref="AA670:AA672"/>
    <mergeCell ref="X670:X672"/>
    <mergeCell ref="V670:V672"/>
    <mergeCell ref="G673:G675"/>
    <mergeCell ref="G670:G672"/>
    <mergeCell ref="E670:E672"/>
    <mergeCell ref="E673:E675"/>
    <mergeCell ref="F673:F675"/>
    <mergeCell ref="F670:F672"/>
    <mergeCell ref="T679:T681"/>
    <mergeCell ref="A679:A681"/>
    <mergeCell ref="BZ679:BZ681"/>
    <mergeCell ref="BV679:BV681"/>
    <mergeCell ref="BS679:BS681"/>
    <mergeCell ref="DK679:DK681"/>
    <mergeCell ref="D679:D681"/>
    <mergeCell ref="U679:U681"/>
    <mergeCell ref="W679:W681"/>
    <mergeCell ref="Y679:Y681"/>
    <mergeCell ref="Z679:Z681"/>
    <mergeCell ref="AB679:AB681"/>
    <mergeCell ref="BU679:BU681"/>
    <mergeCell ref="BT679:BT681"/>
    <mergeCell ref="AC679:AC681"/>
    <mergeCell ref="CD679:CD681"/>
    <mergeCell ref="S679:S681"/>
    <mergeCell ref="BW679:BW681"/>
    <mergeCell ref="BX679:BX681"/>
    <mergeCell ref="BY679:BY681"/>
    <mergeCell ref="H679:H681"/>
    <mergeCell ref="N679:N681"/>
    <mergeCell ref="CB679:CB681"/>
    <mergeCell ref="CE679:CE681"/>
    <mergeCell ref="CA679:CA681"/>
    <mergeCell ref="B679:B681"/>
    <mergeCell ref="CC679:CC681"/>
    <mergeCell ref="AA679:AA681"/>
    <mergeCell ref="X679:X681"/>
    <mergeCell ref="V679:V681"/>
    <mergeCell ref="T676:T678"/>
    <mergeCell ref="A676:A678"/>
    <mergeCell ref="BZ676:BZ678"/>
    <mergeCell ref="BV676:BV678"/>
    <mergeCell ref="BS676:BS678"/>
    <mergeCell ref="DK676:DK678"/>
    <mergeCell ref="D676:D678"/>
    <mergeCell ref="U676:U678"/>
    <mergeCell ref="W676:W678"/>
    <mergeCell ref="Y676:Y678"/>
    <mergeCell ref="Z676:Z678"/>
    <mergeCell ref="AB676:AB678"/>
    <mergeCell ref="BU676:BU678"/>
    <mergeCell ref="BT676:BT678"/>
    <mergeCell ref="AC676:AC678"/>
    <mergeCell ref="CD676:CD678"/>
    <mergeCell ref="S676:S678"/>
    <mergeCell ref="BW676:BW678"/>
    <mergeCell ref="BX676:BX678"/>
    <mergeCell ref="BY676:BY678"/>
    <mergeCell ref="H676:H678"/>
    <mergeCell ref="N676:N678"/>
    <mergeCell ref="CB676:CB678"/>
    <mergeCell ref="CE676:CE678"/>
    <mergeCell ref="CA676:CA678"/>
    <mergeCell ref="B676:B678"/>
    <mergeCell ref="CC676:CC678"/>
    <mergeCell ref="AA676:AA678"/>
    <mergeCell ref="X676:X678"/>
    <mergeCell ref="V676:V678"/>
    <mergeCell ref="G679:G681"/>
    <mergeCell ref="G676:G678"/>
    <mergeCell ref="E676:E678"/>
    <mergeCell ref="E679:E681"/>
    <mergeCell ref="F679:F681"/>
    <mergeCell ref="F676:F678"/>
    <mergeCell ref="T685:T687"/>
    <mergeCell ref="A685:A687"/>
    <mergeCell ref="BZ685:BZ687"/>
    <mergeCell ref="BV685:BV687"/>
    <mergeCell ref="BS685:BS687"/>
    <mergeCell ref="DK685:DK687"/>
    <mergeCell ref="D685:D687"/>
    <mergeCell ref="U685:U687"/>
    <mergeCell ref="W685:W687"/>
    <mergeCell ref="Y685:Y687"/>
    <mergeCell ref="Z685:Z687"/>
    <mergeCell ref="AB685:AB687"/>
    <mergeCell ref="BU685:BU687"/>
    <mergeCell ref="BT685:BT687"/>
    <mergeCell ref="AC685:AC687"/>
    <mergeCell ref="CD685:CD687"/>
    <mergeCell ref="S685:S687"/>
    <mergeCell ref="BW685:BW687"/>
    <mergeCell ref="BX685:BX687"/>
    <mergeCell ref="BY685:BY687"/>
    <mergeCell ref="H685:H687"/>
    <mergeCell ref="N685:N687"/>
    <mergeCell ref="CB685:CB687"/>
    <mergeCell ref="CE685:CE687"/>
    <mergeCell ref="CA685:CA687"/>
    <mergeCell ref="B685:B687"/>
    <mergeCell ref="CC685:CC687"/>
    <mergeCell ref="AA685:AA687"/>
    <mergeCell ref="X685:X687"/>
    <mergeCell ref="V685:V687"/>
    <mergeCell ref="T682:T684"/>
    <mergeCell ref="A682:A684"/>
    <mergeCell ref="BZ682:BZ684"/>
    <mergeCell ref="BV682:BV684"/>
    <mergeCell ref="BS682:BS684"/>
    <mergeCell ref="DK682:DK684"/>
    <mergeCell ref="D682:D684"/>
    <mergeCell ref="U682:U684"/>
    <mergeCell ref="W682:W684"/>
    <mergeCell ref="Y682:Y684"/>
    <mergeCell ref="Z682:Z684"/>
    <mergeCell ref="AB682:AB684"/>
    <mergeCell ref="BU682:BU684"/>
    <mergeCell ref="BT682:BT684"/>
    <mergeCell ref="AC682:AC684"/>
    <mergeCell ref="CD682:CD684"/>
    <mergeCell ref="S682:S684"/>
    <mergeCell ref="BW682:BW684"/>
    <mergeCell ref="BX682:BX684"/>
    <mergeCell ref="BY682:BY684"/>
    <mergeCell ref="H682:H684"/>
    <mergeCell ref="N682:N684"/>
    <mergeCell ref="CB682:CB684"/>
    <mergeCell ref="CE682:CE684"/>
    <mergeCell ref="CA682:CA684"/>
    <mergeCell ref="B682:B684"/>
    <mergeCell ref="CC682:CC684"/>
    <mergeCell ref="AA682:AA684"/>
    <mergeCell ref="X682:X684"/>
    <mergeCell ref="V682:V684"/>
    <mergeCell ref="G685:G687"/>
    <mergeCell ref="G682:G684"/>
    <mergeCell ref="E682:E684"/>
    <mergeCell ref="E685:E687"/>
    <mergeCell ref="F685:F687"/>
    <mergeCell ref="F682:F684"/>
    <mergeCell ref="T691:T693"/>
    <mergeCell ref="A691:A693"/>
    <mergeCell ref="BZ691:BZ693"/>
    <mergeCell ref="BV691:BV693"/>
    <mergeCell ref="BS691:BS693"/>
    <mergeCell ref="DK691:DK693"/>
    <mergeCell ref="D691:D693"/>
    <mergeCell ref="U691:U693"/>
    <mergeCell ref="W691:W693"/>
    <mergeCell ref="Y691:Y693"/>
    <mergeCell ref="Z691:Z693"/>
    <mergeCell ref="AB691:AB693"/>
    <mergeCell ref="BU691:BU693"/>
    <mergeCell ref="BT691:BT693"/>
    <mergeCell ref="AC691:AC693"/>
    <mergeCell ref="CD691:CD693"/>
    <mergeCell ref="S691:S693"/>
    <mergeCell ref="BW691:BW693"/>
    <mergeCell ref="BX691:BX693"/>
    <mergeCell ref="BY691:BY693"/>
    <mergeCell ref="H691:H693"/>
    <mergeCell ref="N691:N693"/>
    <mergeCell ref="CB691:CB693"/>
    <mergeCell ref="CE691:CE693"/>
    <mergeCell ref="CA691:CA693"/>
    <mergeCell ref="B691:B693"/>
    <mergeCell ref="CC691:CC693"/>
    <mergeCell ref="AA691:AA693"/>
    <mergeCell ref="X691:X693"/>
    <mergeCell ref="V691:V693"/>
    <mergeCell ref="T688:T690"/>
    <mergeCell ref="A688:A690"/>
    <mergeCell ref="BZ688:BZ690"/>
    <mergeCell ref="BV688:BV690"/>
    <mergeCell ref="BS688:BS690"/>
    <mergeCell ref="DK688:DK690"/>
    <mergeCell ref="D688:D690"/>
    <mergeCell ref="U688:U690"/>
    <mergeCell ref="W688:W690"/>
    <mergeCell ref="Y688:Y690"/>
    <mergeCell ref="Z688:Z690"/>
    <mergeCell ref="AB688:AB690"/>
    <mergeCell ref="BU688:BU690"/>
    <mergeCell ref="BT688:BT690"/>
    <mergeCell ref="AC688:AC690"/>
    <mergeCell ref="CD688:CD690"/>
    <mergeCell ref="S688:S690"/>
    <mergeCell ref="BW688:BW690"/>
    <mergeCell ref="BX688:BX690"/>
    <mergeCell ref="BY688:BY690"/>
    <mergeCell ref="H688:H690"/>
    <mergeCell ref="N688:N690"/>
    <mergeCell ref="CB688:CB690"/>
    <mergeCell ref="CE688:CE690"/>
    <mergeCell ref="CA688:CA690"/>
    <mergeCell ref="B688:B690"/>
    <mergeCell ref="CC688:CC690"/>
    <mergeCell ref="AA688:AA690"/>
    <mergeCell ref="X688:X690"/>
    <mergeCell ref="V688:V690"/>
    <mergeCell ref="G691:G693"/>
    <mergeCell ref="G688:G690"/>
    <mergeCell ref="E688:E690"/>
    <mergeCell ref="E691:E693"/>
    <mergeCell ref="F691:F693"/>
    <mergeCell ref="F688:F690"/>
    <mergeCell ref="T697:T699"/>
    <mergeCell ref="A697:A699"/>
    <mergeCell ref="BZ697:BZ699"/>
    <mergeCell ref="BV697:BV699"/>
    <mergeCell ref="BS697:BS699"/>
    <mergeCell ref="DK697:DK699"/>
    <mergeCell ref="D697:D699"/>
    <mergeCell ref="U697:U699"/>
    <mergeCell ref="W697:W699"/>
    <mergeCell ref="Y697:Y699"/>
    <mergeCell ref="Z697:Z699"/>
    <mergeCell ref="AB697:AB699"/>
    <mergeCell ref="BU697:BU699"/>
    <mergeCell ref="BT697:BT699"/>
    <mergeCell ref="AC697:AC699"/>
    <mergeCell ref="CD697:CD699"/>
    <mergeCell ref="S697:S699"/>
    <mergeCell ref="BW697:BW699"/>
    <mergeCell ref="BX697:BX699"/>
    <mergeCell ref="BY697:BY699"/>
    <mergeCell ref="H697:H699"/>
    <mergeCell ref="N697:N699"/>
    <mergeCell ref="CB697:CB699"/>
    <mergeCell ref="CE697:CE699"/>
    <mergeCell ref="CA697:CA699"/>
    <mergeCell ref="B697:B699"/>
    <mergeCell ref="CC697:CC699"/>
    <mergeCell ref="AA697:AA699"/>
    <mergeCell ref="X697:X699"/>
    <mergeCell ref="V697:V699"/>
    <mergeCell ref="T694:T696"/>
    <mergeCell ref="A694:A696"/>
    <mergeCell ref="BZ694:BZ696"/>
    <mergeCell ref="BV694:BV696"/>
    <mergeCell ref="BS694:BS696"/>
    <mergeCell ref="DK694:DK696"/>
    <mergeCell ref="D694:D696"/>
    <mergeCell ref="U694:U696"/>
    <mergeCell ref="W694:W696"/>
    <mergeCell ref="Y694:Y696"/>
    <mergeCell ref="Z694:Z696"/>
    <mergeCell ref="AB694:AB696"/>
    <mergeCell ref="BU694:BU696"/>
    <mergeCell ref="BT694:BT696"/>
    <mergeCell ref="AC694:AC696"/>
    <mergeCell ref="CD694:CD696"/>
    <mergeCell ref="S694:S696"/>
    <mergeCell ref="BW694:BW696"/>
    <mergeCell ref="BX694:BX696"/>
    <mergeCell ref="BY694:BY696"/>
    <mergeCell ref="H694:H696"/>
    <mergeCell ref="N694:N696"/>
    <mergeCell ref="CB694:CB696"/>
    <mergeCell ref="CE694:CE696"/>
    <mergeCell ref="CA694:CA696"/>
    <mergeCell ref="B694:B696"/>
    <mergeCell ref="CC694:CC696"/>
    <mergeCell ref="AA694:AA696"/>
    <mergeCell ref="X694:X696"/>
    <mergeCell ref="V694:V696"/>
    <mergeCell ref="G697:G699"/>
    <mergeCell ref="G694:G696"/>
    <mergeCell ref="E694:E696"/>
    <mergeCell ref="E697:E699"/>
    <mergeCell ref="F697:F699"/>
    <mergeCell ref="F694:F696"/>
    <mergeCell ref="T703:T705"/>
    <mergeCell ref="A703:A705"/>
    <mergeCell ref="BZ703:BZ705"/>
    <mergeCell ref="BV703:BV705"/>
    <mergeCell ref="BS703:BS705"/>
    <mergeCell ref="DK703:DK705"/>
    <mergeCell ref="D703:D705"/>
    <mergeCell ref="U703:U705"/>
    <mergeCell ref="W703:W705"/>
    <mergeCell ref="Y703:Y705"/>
    <mergeCell ref="Z703:Z705"/>
    <mergeCell ref="AB703:AB705"/>
    <mergeCell ref="BU703:BU705"/>
    <mergeCell ref="BT703:BT705"/>
    <mergeCell ref="AC703:AC705"/>
    <mergeCell ref="CD703:CD705"/>
    <mergeCell ref="S703:S705"/>
    <mergeCell ref="BW703:BW705"/>
    <mergeCell ref="BX703:BX705"/>
    <mergeCell ref="BY703:BY705"/>
    <mergeCell ref="H703:H705"/>
    <mergeCell ref="N703:N705"/>
    <mergeCell ref="CB703:CB705"/>
    <mergeCell ref="CE703:CE705"/>
    <mergeCell ref="CA703:CA705"/>
    <mergeCell ref="B703:B705"/>
    <mergeCell ref="CC703:CC705"/>
    <mergeCell ref="AA703:AA705"/>
    <mergeCell ref="X703:X705"/>
    <mergeCell ref="V703:V705"/>
    <mergeCell ref="T700:T702"/>
    <mergeCell ref="A700:A702"/>
    <mergeCell ref="BZ700:BZ702"/>
    <mergeCell ref="BV700:BV702"/>
    <mergeCell ref="BS700:BS702"/>
    <mergeCell ref="DK700:DK702"/>
    <mergeCell ref="D700:D702"/>
    <mergeCell ref="U700:U702"/>
    <mergeCell ref="W700:W702"/>
    <mergeCell ref="Y700:Y702"/>
    <mergeCell ref="Z700:Z702"/>
    <mergeCell ref="AB700:AB702"/>
    <mergeCell ref="BU700:BU702"/>
    <mergeCell ref="BT700:BT702"/>
    <mergeCell ref="AC700:AC702"/>
    <mergeCell ref="CD700:CD702"/>
    <mergeCell ref="S700:S702"/>
    <mergeCell ref="BW700:BW702"/>
    <mergeCell ref="BX700:BX702"/>
    <mergeCell ref="BY700:BY702"/>
    <mergeCell ref="H700:H702"/>
    <mergeCell ref="N700:N702"/>
    <mergeCell ref="CB700:CB702"/>
    <mergeCell ref="CE700:CE702"/>
    <mergeCell ref="CA700:CA702"/>
    <mergeCell ref="B700:B702"/>
    <mergeCell ref="CC700:CC702"/>
    <mergeCell ref="AA700:AA702"/>
    <mergeCell ref="X700:X702"/>
    <mergeCell ref="V700:V702"/>
    <mergeCell ref="G703:G705"/>
    <mergeCell ref="G700:G702"/>
    <mergeCell ref="E700:E702"/>
    <mergeCell ref="E703:E705"/>
    <mergeCell ref="F703:F705"/>
    <mergeCell ref="F700:F702"/>
    <mergeCell ref="T709:T711"/>
    <mergeCell ref="A709:A711"/>
    <mergeCell ref="BZ709:BZ711"/>
    <mergeCell ref="BV709:BV711"/>
    <mergeCell ref="BS709:BS711"/>
    <mergeCell ref="DK709:DK711"/>
    <mergeCell ref="D709:D711"/>
    <mergeCell ref="U709:U711"/>
    <mergeCell ref="W709:W711"/>
    <mergeCell ref="Y709:Y711"/>
    <mergeCell ref="Z709:Z711"/>
    <mergeCell ref="AB709:AB711"/>
    <mergeCell ref="BU709:BU711"/>
    <mergeCell ref="BT709:BT711"/>
    <mergeCell ref="AC709:AC711"/>
    <mergeCell ref="CD709:CD711"/>
    <mergeCell ref="S709:S711"/>
    <mergeCell ref="BW709:BW711"/>
    <mergeCell ref="BX709:BX711"/>
    <mergeCell ref="BY709:BY711"/>
    <mergeCell ref="H709:H711"/>
    <mergeCell ref="N709:N711"/>
    <mergeCell ref="CB709:CB711"/>
    <mergeCell ref="CE709:CE711"/>
    <mergeCell ref="CA709:CA711"/>
    <mergeCell ref="B709:B711"/>
    <mergeCell ref="CC709:CC711"/>
    <mergeCell ref="AA709:AA711"/>
    <mergeCell ref="X709:X711"/>
    <mergeCell ref="V709:V711"/>
    <mergeCell ref="T706:T708"/>
    <mergeCell ref="A706:A708"/>
    <mergeCell ref="BZ706:BZ708"/>
    <mergeCell ref="BV706:BV708"/>
    <mergeCell ref="BS706:BS708"/>
    <mergeCell ref="DK706:DK708"/>
    <mergeCell ref="D706:D708"/>
    <mergeCell ref="U706:U708"/>
    <mergeCell ref="W706:W708"/>
    <mergeCell ref="Y706:Y708"/>
    <mergeCell ref="Z706:Z708"/>
    <mergeCell ref="AB706:AB708"/>
    <mergeCell ref="BU706:BU708"/>
    <mergeCell ref="BT706:BT708"/>
    <mergeCell ref="AC706:AC708"/>
    <mergeCell ref="CD706:CD708"/>
    <mergeCell ref="S706:S708"/>
    <mergeCell ref="BW706:BW708"/>
    <mergeCell ref="BX706:BX708"/>
    <mergeCell ref="BY706:BY708"/>
    <mergeCell ref="H706:H708"/>
    <mergeCell ref="N706:N708"/>
    <mergeCell ref="CB706:CB708"/>
    <mergeCell ref="CE706:CE708"/>
    <mergeCell ref="CA706:CA708"/>
    <mergeCell ref="B706:B708"/>
    <mergeCell ref="CC706:CC708"/>
    <mergeCell ref="AA706:AA708"/>
    <mergeCell ref="X706:X708"/>
    <mergeCell ref="V706:V708"/>
    <mergeCell ref="G709:G711"/>
    <mergeCell ref="G706:G708"/>
    <mergeCell ref="E706:E708"/>
    <mergeCell ref="E709:E711"/>
    <mergeCell ref="F709:F711"/>
    <mergeCell ref="F706:F708"/>
    <mergeCell ref="T715:T717"/>
    <mergeCell ref="A715:A717"/>
    <mergeCell ref="BZ715:BZ717"/>
    <mergeCell ref="BV715:BV717"/>
    <mergeCell ref="BS715:BS717"/>
    <mergeCell ref="DK715:DK717"/>
    <mergeCell ref="D715:D717"/>
    <mergeCell ref="U715:U717"/>
    <mergeCell ref="W715:W717"/>
    <mergeCell ref="Y715:Y717"/>
    <mergeCell ref="Z715:Z717"/>
    <mergeCell ref="AB715:AB717"/>
    <mergeCell ref="BU715:BU717"/>
    <mergeCell ref="BT715:BT717"/>
    <mergeCell ref="AC715:AC717"/>
    <mergeCell ref="CD715:CD717"/>
    <mergeCell ref="S715:S717"/>
    <mergeCell ref="BW715:BW717"/>
    <mergeCell ref="BX715:BX717"/>
    <mergeCell ref="BY715:BY717"/>
    <mergeCell ref="H715:H717"/>
    <mergeCell ref="N715:N717"/>
    <mergeCell ref="CB715:CB717"/>
    <mergeCell ref="CE715:CE717"/>
    <mergeCell ref="CA715:CA717"/>
    <mergeCell ref="B715:B717"/>
    <mergeCell ref="CC715:CC717"/>
    <mergeCell ref="AA715:AA717"/>
    <mergeCell ref="X715:X717"/>
    <mergeCell ref="V715:V717"/>
    <mergeCell ref="T712:T714"/>
    <mergeCell ref="A712:A714"/>
    <mergeCell ref="BZ712:BZ714"/>
    <mergeCell ref="BV712:BV714"/>
    <mergeCell ref="BS712:BS714"/>
    <mergeCell ref="DK712:DK714"/>
    <mergeCell ref="D712:D714"/>
    <mergeCell ref="U712:U714"/>
    <mergeCell ref="W712:W714"/>
    <mergeCell ref="Y712:Y714"/>
    <mergeCell ref="Z712:Z714"/>
    <mergeCell ref="AB712:AB714"/>
    <mergeCell ref="BU712:BU714"/>
    <mergeCell ref="BT712:BT714"/>
    <mergeCell ref="AC712:AC714"/>
    <mergeCell ref="CD712:CD714"/>
    <mergeCell ref="S712:S714"/>
    <mergeCell ref="BW712:BW714"/>
    <mergeCell ref="BX712:BX714"/>
    <mergeCell ref="BY712:BY714"/>
    <mergeCell ref="H712:H714"/>
    <mergeCell ref="N712:N714"/>
    <mergeCell ref="CB712:CB714"/>
    <mergeCell ref="CE712:CE714"/>
    <mergeCell ref="CA712:CA714"/>
    <mergeCell ref="B712:B714"/>
    <mergeCell ref="CC712:CC714"/>
    <mergeCell ref="AA712:AA714"/>
    <mergeCell ref="X712:X714"/>
    <mergeCell ref="V712:V714"/>
    <mergeCell ref="G715:G717"/>
    <mergeCell ref="G712:G714"/>
    <mergeCell ref="E712:E714"/>
    <mergeCell ref="E715:E717"/>
    <mergeCell ref="F715:F717"/>
    <mergeCell ref="F712:F714"/>
    <mergeCell ref="T721:T723"/>
    <mergeCell ref="A721:A723"/>
    <mergeCell ref="BZ721:BZ723"/>
    <mergeCell ref="BV721:BV723"/>
    <mergeCell ref="BS721:BS723"/>
    <mergeCell ref="DK721:DK723"/>
    <mergeCell ref="D721:D723"/>
    <mergeCell ref="U721:U723"/>
    <mergeCell ref="W721:W723"/>
    <mergeCell ref="Y721:Y723"/>
    <mergeCell ref="Z721:Z723"/>
    <mergeCell ref="AB721:AB723"/>
    <mergeCell ref="BU721:BU723"/>
    <mergeCell ref="BT721:BT723"/>
    <mergeCell ref="AC721:AC723"/>
    <mergeCell ref="CD721:CD723"/>
    <mergeCell ref="S721:S723"/>
    <mergeCell ref="BW721:BW723"/>
    <mergeCell ref="BX721:BX723"/>
    <mergeCell ref="BY721:BY723"/>
    <mergeCell ref="H721:H723"/>
    <mergeCell ref="N721:N723"/>
    <mergeCell ref="CB721:CB723"/>
    <mergeCell ref="CE721:CE723"/>
    <mergeCell ref="CA721:CA723"/>
    <mergeCell ref="B721:B723"/>
    <mergeCell ref="CC721:CC723"/>
    <mergeCell ref="AA721:AA723"/>
    <mergeCell ref="X721:X723"/>
    <mergeCell ref="V721:V723"/>
    <mergeCell ref="T718:T720"/>
    <mergeCell ref="A718:A720"/>
    <mergeCell ref="BZ718:BZ720"/>
    <mergeCell ref="BV718:BV720"/>
    <mergeCell ref="BS718:BS720"/>
    <mergeCell ref="DK718:DK720"/>
    <mergeCell ref="D718:D720"/>
    <mergeCell ref="U718:U720"/>
    <mergeCell ref="W718:W720"/>
    <mergeCell ref="Y718:Y720"/>
    <mergeCell ref="Z718:Z720"/>
    <mergeCell ref="AB718:AB720"/>
    <mergeCell ref="BU718:BU720"/>
    <mergeCell ref="BT718:BT720"/>
    <mergeCell ref="AC718:AC720"/>
    <mergeCell ref="CD718:CD720"/>
    <mergeCell ref="S718:S720"/>
    <mergeCell ref="BW718:BW720"/>
    <mergeCell ref="BX718:BX720"/>
    <mergeCell ref="BY718:BY720"/>
    <mergeCell ref="H718:H720"/>
    <mergeCell ref="N718:N720"/>
    <mergeCell ref="CB718:CB720"/>
    <mergeCell ref="CE718:CE720"/>
    <mergeCell ref="CA718:CA720"/>
    <mergeCell ref="B718:B720"/>
    <mergeCell ref="CC718:CC720"/>
    <mergeCell ref="AA718:AA720"/>
    <mergeCell ref="X718:X720"/>
    <mergeCell ref="V718:V720"/>
    <mergeCell ref="G721:G723"/>
    <mergeCell ref="G718:G720"/>
    <mergeCell ref="E718:E720"/>
    <mergeCell ref="E721:E723"/>
    <mergeCell ref="F721:F723"/>
    <mergeCell ref="F718:F720"/>
    <mergeCell ref="T727:T729"/>
    <mergeCell ref="A727:A729"/>
    <mergeCell ref="BZ727:BZ729"/>
    <mergeCell ref="BV727:BV729"/>
    <mergeCell ref="BS727:BS729"/>
    <mergeCell ref="DK727:DK729"/>
    <mergeCell ref="D727:D729"/>
    <mergeCell ref="U727:U729"/>
    <mergeCell ref="W727:W729"/>
    <mergeCell ref="Y727:Y729"/>
    <mergeCell ref="Z727:Z729"/>
    <mergeCell ref="AB727:AB729"/>
    <mergeCell ref="BU727:BU729"/>
    <mergeCell ref="BT727:BT729"/>
    <mergeCell ref="AC727:AC729"/>
    <mergeCell ref="CD727:CD729"/>
    <mergeCell ref="S727:S729"/>
    <mergeCell ref="BW727:BW729"/>
    <mergeCell ref="BX727:BX729"/>
    <mergeCell ref="BY727:BY729"/>
    <mergeCell ref="H727:H729"/>
    <mergeCell ref="N727:N729"/>
    <mergeCell ref="CB727:CB729"/>
    <mergeCell ref="CE727:CE729"/>
    <mergeCell ref="CA727:CA729"/>
    <mergeCell ref="B727:B729"/>
    <mergeCell ref="CC727:CC729"/>
    <mergeCell ref="AA727:AA729"/>
    <mergeCell ref="X727:X729"/>
    <mergeCell ref="V727:V729"/>
    <mergeCell ref="T724:T726"/>
    <mergeCell ref="A724:A726"/>
    <mergeCell ref="BZ724:BZ726"/>
    <mergeCell ref="BV724:BV726"/>
    <mergeCell ref="BS724:BS726"/>
    <mergeCell ref="DK724:DK726"/>
    <mergeCell ref="D724:D726"/>
    <mergeCell ref="U724:U726"/>
    <mergeCell ref="W724:W726"/>
    <mergeCell ref="Y724:Y726"/>
    <mergeCell ref="Z724:Z726"/>
    <mergeCell ref="AB724:AB726"/>
    <mergeCell ref="BU724:BU726"/>
    <mergeCell ref="BT724:BT726"/>
    <mergeCell ref="AC724:AC726"/>
    <mergeCell ref="CD724:CD726"/>
    <mergeCell ref="S724:S726"/>
    <mergeCell ref="BW724:BW726"/>
    <mergeCell ref="BX724:BX726"/>
    <mergeCell ref="BY724:BY726"/>
    <mergeCell ref="H724:H726"/>
    <mergeCell ref="N724:N726"/>
    <mergeCell ref="CB724:CB726"/>
    <mergeCell ref="CE724:CE726"/>
    <mergeCell ref="CA724:CA726"/>
    <mergeCell ref="B724:B726"/>
    <mergeCell ref="CC724:CC726"/>
    <mergeCell ref="AA724:AA726"/>
    <mergeCell ref="X724:X726"/>
    <mergeCell ref="V724:V726"/>
    <mergeCell ref="G727:G729"/>
    <mergeCell ref="G724:G726"/>
    <mergeCell ref="E724:E726"/>
    <mergeCell ref="E727:E729"/>
    <mergeCell ref="F727:F729"/>
    <mergeCell ref="F724:F726"/>
    <mergeCell ref="T733:T735"/>
    <mergeCell ref="A733:A735"/>
    <mergeCell ref="BZ733:BZ735"/>
    <mergeCell ref="BV733:BV735"/>
    <mergeCell ref="BS733:BS735"/>
    <mergeCell ref="DK733:DK735"/>
    <mergeCell ref="D733:D735"/>
    <mergeCell ref="U733:U735"/>
    <mergeCell ref="W733:W735"/>
    <mergeCell ref="Y733:Y735"/>
    <mergeCell ref="Z733:Z735"/>
    <mergeCell ref="AB733:AB735"/>
    <mergeCell ref="BU733:BU735"/>
    <mergeCell ref="BT733:BT735"/>
    <mergeCell ref="AC733:AC735"/>
    <mergeCell ref="CD733:CD735"/>
    <mergeCell ref="S733:S735"/>
    <mergeCell ref="BW733:BW735"/>
    <mergeCell ref="BX733:BX735"/>
    <mergeCell ref="BY733:BY735"/>
    <mergeCell ref="H733:H735"/>
    <mergeCell ref="N733:N735"/>
    <mergeCell ref="CB733:CB735"/>
    <mergeCell ref="CE733:CE735"/>
    <mergeCell ref="CA733:CA735"/>
    <mergeCell ref="B733:B735"/>
    <mergeCell ref="CC733:CC735"/>
    <mergeCell ref="AA733:AA735"/>
    <mergeCell ref="X733:X735"/>
    <mergeCell ref="V733:V735"/>
    <mergeCell ref="T730:T732"/>
    <mergeCell ref="A730:A732"/>
    <mergeCell ref="BZ730:BZ732"/>
    <mergeCell ref="BV730:BV732"/>
    <mergeCell ref="BS730:BS732"/>
    <mergeCell ref="DK730:DK732"/>
    <mergeCell ref="D730:D732"/>
    <mergeCell ref="U730:U732"/>
    <mergeCell ref="W730:W732"/>
    <mergeCell ref="Y730:Y732"/>
    <mergeCell ref="Z730:Z732"/>
    <mergeCell ref="AB730:AB732"/>
    <mergeCell ref="BU730:BU732"/>
    <mergeCell ref="BT730:BT732"/>
    <mergeCell ref="AC730:AC732"/>
    <mergeCell ref="CD730:CD732"/>
    <mergeCell ref="S730:S732"/>
    <mergeCell ref="BW730:BW732"/>
    <mergeCell ref="BX730:BX732"/>
    <mergeCell ref="BY730:BY732"/>
    <mergeCell ref="H730:H732"/>
    <mergeCell ref="N730:N732"/>
    <mergeCell ref="CB730:CB732"/>
    <mergeCell ref="CE730:CE732"/>
    <mergeCell ref="CA730:CA732"/>
    <mergeCell ref="B730:B732"/>
    <mergeCell ref="CC730:CC732"/>
    <mergeCell ref="AA730:AA732"/>
    <mergeCell ref="X730:X732"/>
    <mergeCell ref="V730:V732"/>
    <mergeCell ref="G733:G735"/>
    <mergeCell ref="G730:G732"/>
    <mergeCell ref="E730:E732"/>
    <mergeCell ref="E733:E735"/>
    <mergeCell ref="F733:F735"/>
    <mergeCell ref="F730:F732"/>
    <mergeCell ref="T739:T741"/>
    <mergeCell ref="A739:A741"/>
    <mergeCell ref="BZ739:BZ741"/>
    <mergeCell ref="BV739:BV741"/>
    <mergeCell ref="BS739:BS741"/>
    <mergeCell ref="DK739:DK741"/>
    <mergeCell ref="D739:D741"/>
    <mergeCell ref="U739:U741"/>
    <mergeCell ref="W739:W741"/>
    <mergeCell ref="Y739:Y741"/>
    <mergeCell ref="Z739:Z741"/>
    <mergeCell ref="AB739:AB741"/>
    <mergeCell ref="BU739:BU741"/>
    <mergeCell ref="BT739:BT741"/>
    <mergeCell ref="AC739:AC741"/>
    <mergeCell ref="CD739:CD741"/>
    <mergeCell ref="S739:S741"/>
    <mergeCell ref="BW739:BW741"/>
    <mergeCell ref="BX739:BX741"/>
    <mergeCell ref="BY739:BY741"/>
    <mergeCell ref="H739:H741"/>
    <mergeCell ref="N739:N741"/>
    <mergeCell ref="CB739:CB741"/>
    <mergeCell ref="CE739:CE741"/>
    <mergeCell ref="CA739:CA741"/>
    <mergeCell ref="B739:B741"/>
    <mergeCell ref="CC739:CC741"/>
    <mergeCell ref="AA739:AA741"/>
    <mergeCell ref="X739:X741"/>
    <mergeCell ref="V739:V741"/>
    <mergeCell ref="T736:T738"/>
    <mergeCell ref="A736:A738"/>
    <mergeCell ref="BZ736:BZ738"/>
    <mergeCell ref="BV736:BV738"/>
    <mergeCell ref="BS736:BS738"/>
    <mergeCell ref="DK736:DK738"/>
    <mergeCell ref="D736:D738"/>
    <mergeCell ref="U736:U738"/>
    <mergeCell ref="W736:W738"/>
    <mergeCell ref="Y736:Y738"/>
    <mergeCell ref="Z736:Z738"/>
    <mergeCell ref="AB736:AB738"/>
    <mergeCell ref="BU736:BU738"/>
    <mergeCell ref="BT736:BT738"/>
    <mergeCell ref="AC736:AC738"/>
    <mergeCell ref="CD736:CD738"/>
    <mergeCell ref="S736:S738"/>
    <mergeCell ref="BW736:BW738"/>
    <mergeCell ref="BX736:BX738"/>
    <mergeCell ref="BY736:BY738"/>
    <mergeCell ref="H736:H738"/>
    <mergeCell ref="N736:N738"/>
    <mergeCell ref="CB736:CB738"/>
    <mergeCell ref="CE736:CE738"/>
    <mergeCell ref="CA736:CA738"/>
    <mergeCell ref="B736:B738"/>
    <mergeCell ref="CC736:CC738"/>
    <mergeCell ref="AA736:AA738"/>
    <mergeCell ref="X736:X738"/>
    <mergeCell ref="V736:V738"/>
    <mergeCell ref="G739:G741"/>
    <mergeCell ref="G736:G738"/>
    <mergeCell ref="E736:E738"/>
    <mergeCell ref="E739:E741"/>
    <mergeCell ref="F739:F741"/>
    <mergeCell ref="F736:F738"/>
    <mergeCell ref="T745:T747"/>
    <mergeCell ref="A745:A747"/>
    <mergeCell ref="BZ745:BZ747"/>
    <mergeCell ref="BV745:BV747"/>
    <mergeCell ref="BS745:BS747"/>
    <mergeCell ref="DK745:DK747"/>
    <mergeCell ref="D745:D747"/>
    <mergeCell ref="U745:U747"/>
    <mergeCell ref="W745:W747"/>
    <mergeCell ref="Y745:Y747"/>
    <mergeCell ref="Z745:Z747"/>
    <mergeCell ref="AB745:AB747"/>
    <mergeCell ref="BU745:BU747"/>
    <mergeCell ref="BT745:BT747"/>
    <mergeCell ref="AC745:AC747"/>
    <mergeCell ref="CD745:CD747"/>
    <mergeCell ref="S745:S747"/>
    <mergeCell ref="BW745:BW747"/>
    <mergeCell ref="BX745:BX747"/>
    <mergeCell ref="BY745:BY747"/>
    <mergeCell ref="H745:H747"/>
    <mergeCell ref="N745:N747"/>
    <mergeCell ref="CB745:CB747"/>
    <mergeCell ref="CE745:CE747"/>
    <mergeCell ref="CA745:CA747"/>
    <mergeCell ref="B745:B747"/>
    <mergeCell ref="CC745:CC747"/>
    <mergeCell ref="AA745:AA747"/>
    <mergeCell ref="X745:X747"/>
    <mergeCell ref="V745:V747"/>
    <mergeCell ref="T742:T744"/>
    <mergeCell ref="A742:A744"/>
    <mergeCell ref="BZ742:BZ744"/>
    <mergeCell ref="BV742:BV744"/>
    <mergeCell ref="BS742:BS744"/>
    <mergeCell ref="DK742:DK744"/>
    <mergeCell ref="D742:D744"/>
    <mergeCell ref="U742:U744"/>
    <mergeCell ref="W742:W744"/>
    <mergeCell ref="Y742:Y744"/>
    <mergeCell ref="Z742:Z744"/>
    <mergeCell ref="AB742:AB744"/>
    <mergeCell ref="BU742:BU744"/>
    <mergeCell ref="BT742:BT744"/>
    <mergeCell ref="AC742:AC744"/>
    <mergeCell ref="CD742:CD744"/>
    <mergeCell ref="S742:S744"/>
    <mergeCell ref="BW742:BW744"/>
    <mergeCell ref="BX742:BX744"/>
    <mergeCell ref="BY742:BY744"/>
    <mergeCell ref="H742:H744"/>
    <mergeCell ref="N742:N744"/>
    <mergeCell ref="CB742:CB744"/>
    <mergeCell ref="CE742:CE744"/>
    <mergeCell ref="CA742:CA744"/>
    <mergeCell ref="B742:B744"/>
    <mergeCell ref="CC742:CC744"/>
    <mergeCell ref="AA742:AA744"/>
    <mergeCell ref="X742:X744"/>
    <mergeCell ref="V742:V744"/>
    <mergeCell ref="G745:G747"/>
    <mergeCell ref="G742:G744"/>
    <mergeCell ref="E742:E744"/>
    <mergeCell ref="E745:E747"/>
    <mergeCell ref="F745:F747"/>
    <mergeCell ref="F742:F744"/>
    <mergeCell ref="T751:T753"/>
    <mergeCell ref="A751:A753"/>
    <mergeCell ref="BZ751:BZ753"/>
    <mergeCell ref="BV751:BV753"/>
    <mergeCell ref="BS751:BS753"/>
    <mergeCell ref="DK751:DK753"/>
    <mergeCell ref="D751:D753"/>
    <mergeCell ref="U751:U753"/>
    <mergeCell ref="W751:W753"/>
    <mergeCell ref="Y751:Y753"/>
    <mergeCell ref="Z751:Z753"/>
    <mergeCell ref="AB751:AB753"/>
    <mergeCell ref="BU751:BU753"/>
    <mergeCell ref="BT751:BT753"/>
    <mergeCell ref="AC751:AC753"/>
    <mergeCell ref="CD751:CD753"/>
    <mergeCell ref="S751:S753"/>
    <mergeCell ref="BW751:BW753"/>
    <mergeCell ref="BX751:BX753"/>
    <mergeCell ref="BY751:BY753"/>
    <mergeCell ref="H751:H753"/>
    <mergeCell ref="N751:N753"/>
    <mergeCell ref="CB751:CB753"/>
    <mergeCell ref="CE751:CE753"/>
    <mergeCell ref="CA751:CA753"/>
    <mergeCell ref="B751:B753"/>
    <mergeCell ref="CC751:CC753"/>
    <mergeCell ref="AA751:AA753"/>
    <mergeCell ref="X751:X753"/>
    <mergeCell ref="V751:V753"/>
    <mergeCell ref="T748:T750"/>
    <mergeCell ref="A748:A750"/>
    <mergeCell ref="BZ748:BZ750"/>
    <mergeCell ref="BV748:BV750"/>
    <mergeCell ref="BS748:BS750"/>
    <mergeCell ref="DK748:DK750"/>
    <mergeCell ref="D748:D750"/>
    <mergeCell ref="U748:U750"/>
    <mergeCell ref="W748:W750"/>
    <mergeCell ref="Y748:Y750"/>
    <mergeCell ref="Z748:Z750"/>
    <mergeCell ref="AB748:AB750"/>
    <mergeCell ref="BU748:BU750"/>
    <mergeCell ref="BT748:BT750"/>
    <mergeCell ref="AC748:AC750"/>
    <mergeCell ref="CD748:CD750"/>
    <mergeCell ref="S748:S750"/>
    <mergeCell ref="BW748:BW750"/>
    <mergeCell ref="BX748:BX750"/>
    <mergeCell ref="BY748:BY750"/>
    <mergeCell ref="H748:H750"/>
    <mergeCell ref="N748:N750"/>
    <mergeCell ref="CB748:CB750"/>
    <mergeCell ref="CE748:CE750"/>
    <mergeCell ref="CA748:CA750"/>
    <mergeCell ref="B748:B750"/>
    <mergeCell ref="CC748:CC750"/>
    <mergeCell ref="AA748:AA750"/>
    <mergeCell ref="X748:X750"/>
    <mergeCell ref="V748:V750"/>
    <mergeCell ref="G751:G753"/>
    <mergeCell ref="G748:G750"/>
    <mergeCell ref="E748:E750"/>
    <mergeCell ref="E751:E753"/>
    <mergeCell ref="F751:F753"/>
    <mergeCell ref="F748:F750"/>
    <mergeCell ref="T757:T759"/>
    <mergeCell ref="A757:A759"/>
    <mergeCell ref="BZ757:BZ759"/>
    <mergeCell ref="BV757:BV759"/>
    <mergeCell ref="BS757:BS759"/>
    <mergeCell ref="DK757:DK759"/>
    <mergeCell ref="D757:D759"/>
    <mergeCell ref="U757:U759"/>
    <mergeCell ref="W757:W759"/>
    <mergeCell ref="Y757:Y759"/>
    <mergeCell ref="Z757:Z759"/>
    <mergeCell ref="AB757:AB759"/>
    <mergeCell ref="BU757:BU759"/>
    <mergeCell ref="BT757:BT759"/>
    <mergeCell ref="AC757:AC759"/>
    <mergeCell ref="CD757:CD759"/>
    <mergeCell ref="S757:S759"/>
    <mergeCell ref="BW757:BW759"/>
    <mergeCell ref="BX757:BX759"/>
    <mergeCell ref="BY757:BY759"/>
    <mergeCell ref="H757:H759"/>
    <mergeCell ref="N757:N759"/>
    <mergeCell ref="CB757:CB759"/>
    <mergeCell ref="CE757:CE759"/>
    <mergeCell ref="CA757:CA759"/>
    <mergeCell ref="B757:B759"/>
    <mergeCell ref="CC757:CC759"/>
    <mergeCell ref="AA757:AA759"/>
    <mergeCell ref="X757:X759"/>
    <mergeCell ref="V757:V759"/>
    <mergeCell ref="T754:T756"/>
    <mergeCell ref="A754:A756"/>
    <mergeCell ref="BZ754:BZ756"/>
    <mergeCell ref="BV754:BV756"/>
    <mergeCell ref="BS754:BS756"/>
    <mergeCell ref="DK754:DK756"/>
    <mergeCell ref="D754:D756"/>
    <mergeCell ref="U754:U756"/>
    <mergeCell ref="W754:W756"/>
    <mergeCell ref="Y754:Y756"/>
    <mergeCell ref="Z754:Z756"/>
    <mergeCell ref="AB754:AB756"/>
    <mergeCell ref="BU754:BU756"/>
    <mergeCell ref="BT754:BT756"/>
    <mergeCell ref="AC754:AC756"/>
    <mergeCell ref="CD754:CD756"/>
    <mergeCell ref="S754:S756"/>
    <mergeCell ref="BW754:BW756"/>
    <mergeCell ref="BX754:BX756"/>
    <mergeCell ref="BY754:BY756"/>
    <mergeCell ref="H754:H756"/>
    <mergeCell ref="N754:N756"/>
    <mergeCell ref="CB754:CB756"/>
    <mergeCell ref="CE754:CE756"/>
    <mergeCell ref="CA754:CA756"/>
    <mergeCell ref="B754:B756"/>
    <mergeCell ref="CC754:CC756"/>
    <mergeCell ref="AA754:AA756"/>
    <mergeCell ref="X754:X756"/>
    <mergeCell ref="V754:V756"/>
    <mergeCell ref="G757:G759"/>
    <mergeCell ref="G754:G756"/>
    <mergeCell ref="E754:E756"/>
    <mergeCell ref="E757:E759"/>
    <mergeCell ref="F757:F759"/>
    <mergeCell ref="F754:F756"/>
    <mergeCell ref="T760:T762"/>
    <mergeCell ref="A760:A762"/>
    <mergeCell ref="BZ760:BZ762"/>
    <mergeCell ref="BV760:BV762"/>
    <mergeCell ref="BS760:BS762"/>
    <mergeCell ref="DK760:DK762"/>
    <mergeCell ref="D760:D762"/>
    <mergeCell ref="U760:U762"/>
    <mergeCell ref="W760:W762"/>
    <mergeCell ref="Y760:Y762"/>
    <mergeCell ref="Z760:Z762"/>
    <mergeCell ref="AB760:AB762"/>
    <mergeCell ref="BU760:BU762"/>
    <mergeCell ref="BT760:BT762"/>
    <mergeCell ref="AC760:AC762"/>
    <mergeCell ref="CD760:CD762"/>
    <mergeCell ref="S760:S762"/>
    <mergeCell ref="BW760:BW762"/>
    <mergeCell ref="BX760:BX762"/>
    <mergeCell ref="BY760:BY762"/>
    <mergeCell ref="H760:H762"/>
    <mergeCell ref="N760:N762"/>
    <mergeCell ref="CB760:CB762"/>
    <mergeCell ref="CE760:CE762"/>
    <mergeCell ref="CA760:CA762"/>
    <mergeCell ref="B760:B762"/>
    <mergeCell ref="CC760:CC762"/>
    <mergeCell ref="AA760:AA762"/>
    <mergeCell ref="X760:X762"/>
    <mergeCell ref="V760:V762"/>
    <mergeCell ref="G760:G762"/>
    <mergeCell ref="E760:E762"/>
    <mergeCell ref="F760:F762"/>
  </mergeCells>
  <conditionalFormatting sqref="A2 B3">
    <cfRule type="cellIs" dxfId="0" priority="1" operator="equal" stopIfTrue="1">
      <formula>"OK"</formula>
    </cfRule>
  </conditionalFormatting>
  <conditionalFormatting sqref="C2 C4:C762">
    <cfRule type="cellIs" dxfId="1" priority="1" operator="equal" stopIfTrue="1">
      <formula>"W"</formula>
    </cfRule>
    <cfRule type="cellIs" dxfId="2" priority="2" operator="equal" stopIfTrue="1">
      <formula>"L"</formula>
    </cfRule>
    <cfRule type="cellIs" dxfId="3" priority="3" operator="equal" stopIfTrue="1">
      <formula>"1/2W"</formula>
    </cfRule>
    <cfRule type="cellIs" dxfId="4" priority="4" operator="equal" stopIfTrue="1">
      <formula>"1/2L"</formula>
    </cfRule>
    <cfRule type="cellIs" dxfId="5" priority="5" operator="equal" stopIfTrue="1">
      <formula>"X"</formula>
    </cfRule>
  </conditionalFormatting>
  <conditionalFormatting sqref="F2:F3">
    <cfRule type="cellIs" dxfId="6" priority="1" operator="equal" stopIfTrue="1">
      <formula>"!!!"</formula>
    </cfRule>
  </conditionalFormatting>
  <conditionalFormatting sqref="G2:H2 G4:H4 G7:H7 G10:H10 G11:G13 H13 G16:H16 G17:G19 H19 G22:H22 G23:G25 H25 G28:H28 G29:G31 H31 G34:H34 G35:G37 H37 G40:H40 G41:G43 H43 G46:H46 G47:G49 H49 G52:H52 G53:G55 H55 G58:H58 G59:G61 H61 G64:H64 G65:G67 H67 G70:H70 G71:G73 H73 G76:H76 G77:G79 H79 G82:H82 G83:G85 H85 G88:H88 G89:G91 H91 G94:H94 G95:G97 H97 G100:H100 G101:G103 H103 G106:H106 G107:G109 H109 G112:H112 G113:G115 H115 G118:H118 G119:G121 H121 G124:H124 G125:G127 H127 G130:H130 G131:G133 H133 G136:H136 G137:G139 H139 G142:H142 G143:G145 H145 G148:H148 G149:G151 H151 G154:H154 G155:G157 H157 G160:H160 G161:G163 H163 G166:H166 G167:G169 H169 G172:H172 G173:G175 H175 G178:H178 G179:G181 H181 G184:H184 G185:G187 H187 G190:H190 G191:G193 H193 G196:H196 G197:G199 H199 G202:H202 G203:G205 H205 G208:H208 G209:G211 H211 G214:H214 G215:G217 H217 G220:H220 G221:G223 H223 G226:H226 G227:G229 H229 G232:H232 G233:G235 H235 G238:H238 G239:G241 H241 G244:H244 G245:G247 H247 G250:H250 G251:G253 H253 G256:H256 G257:G259 H259 G262:H262 G263:G265 H265 G268:H268 G269:G271 H271 G274:H274 G275:G277 H277 G280:H280 G281:G283 H283 G286:H286 G287:G289 H289 G292:H292 G293:G295 H295 G298:H298 G299:G301 H301 G304:H304 G305:G307 H307 G310:H310 G311:G313 H313 G316:H316 G317:G319 H319 G322:H322 G323:G325 H325 G328:H328 G329:G331 H331 G334:H334 G335:G337 H337 G340:H340 G341:G343 H343 G346:H346 G347:G349 H349 G352:H352 G353:G355 H355 G358:H358 G359:G361 H361 G364:H364 G365:G367 H367 G370:H370 G371:G373 H373 G376:H376 G377:G379 H379 G382:H382 G383:G385 H385 G388:H388 G389:G391 H391 G394:H394 G395:G397 H397 G400:H400 G401:G403 H403 G406:H406 G407:G409 H409 G412:H412 G413:G415 H415 G418:H418 G419:G421 H421 G424:H424 G425:G427 H427 G430:H430 G431:G433 H433 G436:H436 G437:G439 H439 G442:H442 G443:G445 H445 G448:H448 G449:G451 H451 G454:H454 G455:G457 H457 G460:H460 G461:G463 H463 G466:H466 G467:G469 H469 G472:H472 G473:G475 H475 G478:H478 G479:G481 H481 G484:H484 G485:G487 H487 G490:H490 G491:G493 H493 G496:H496 G497:G499 H499 G502:H502 G503:G505 H505 G508:H508 G509:G511 H511 G514:H514 G515:G517 H517 G520:H520 G521:G523 H523 G526:H526 G527:G529 H529 G532:H532 G533:G535 H535 G538:H538 G539:G541 H541 G544:H544 G545:G547 H547 G550:H550 G551:G553 H553 G556:H556 G557:G559 H559 G562:H562 G563:G565 H565 G568:H568 G569:G571 H571 G574:H574 G575:G577 H577 G580:H580 G581:G583 H583 G586:H586 G587:G589 H589 G592:H592 G593:G595 H595 G598:H598 G599:G601 H601 G604:H604 G605:G607 H607 G610:H610 G611:G613 H613 G616:H616 G617:G619 H619 G622:H622 G623:G625 H625 G628:H628 G629:G631 H631 G634:H634 G635:G637 H637 G640:H640 G641:G643 H643 G646:H646 G647:G649 H649 G652:H652 G653:G655 H655 G658:H658 G659:G661 H661 G664:H664 G665:G667 H667 G670:H670 G671:G673 H673 G676:H676 G677:G679 H679 G682:H682 G683:G685 H685 G688:H688 G689:G691 H691 G694:H694 G695:G697 H697 G700:H700 G701:G703 H703 G706:H706 G707:G709 H709 G712:H712 G713:G715 H715 G718:H718 G719:G721 H721 G724:H724 G725:G727 H727 G730:H730 G731:G733 H733 G736:H736 G737:G739 H739 G742:H742 G743:G745 H745 G748:H748 G749:G751 H751 G754:H754 G755:G757 H757 G760:H760 G761:G762">
    <cfRule type="timePeriod" dxfId="7" priority="1" stopIfTrue="1" timePeriod="today">
      <formula>AND(G2&gt;=TODAY(),G2&lt;TODAY()+1)</formula>
    </cfRule>
    <cfRule type="expression" dxfId="8" priority="2" stopIfTrue="1">
      <formula>AND(G2&lt;TODAY()+(0*7+0)*1,NOT(ISBLANK(G2)))</formula>
    </cfRule>
    <cfRule type="timePeriod" dxfId="9" priority="3" stopIfTrue="1" timePeriod="tomorrow">
      <formula>AND(G2&gt;=TODAY()+1,G2&lt;TODAY()+2)</formula>
    </cfRule>
    <cfRule type="expression" dxfId="10" priority="4" stopIfTrue="1">
      <formula>G2&gt;=TODAY()+(0*7+1)*1+1</formula>
    </cfRule>
  </conditionalFormatting>
  <conditionalFormatting sqref="K2">
    <cfRule type="cellIs" dxfId="11" priority="1" operator="equal" stopIfTrue="1">
      <formula>"BetFair"</formula>
    </cfRule>
    <cfRule type="cellIs" dxfId="12" priority="2" operator="equal" stopIfTrue="1">
      <formula>"Pinnacle"</formula>
    </cfRule>
    <cfRule type="cellIs" dxfId="13" priority="3" operator="equal" stopIfTrue="1">
      <formula>"Bet365"</formula>
    </cfRule>
    <cfRule type="cellIs" dxfId="14" priority="4" operator="equal" stopIfTrue="1">
      <formula>"BetWay"</formula>
    </cfRule>
    <cfRule type="cellIs" dxfId="15" priority="5" operator="equal" stopIfTrue="1">
      <formula>"DafaBet"</formula>
    </cfRule>
    <cfRule type="cellIs" dxfId="16" priority="6" operator="equal" stopIfTrue="1">
      <formula>"1xBet"</formula>
    </cfRule>
    <cfRule type="cellIs" dxfId="17" priority="7" operator="equal" stopIfTrue="1">
      <formula>"VBet"</formula>
    </cfRule>
    <cfRule type="cellIs" dxfId="18" priority="8" operator="equal" stopIfTrue="1">
      <formula>"BetFair Ex"</formula>
    </cfRule>
    <cfRule type="cellIs" dxfId="19" priority="9" operator="equal" stopIfTrue="1">
      <formula>"FavBet"</formula>
    </cfRule>
    <cfRule type="cellIs" dxfId="20" priority="10" operator="equal" stopIfTrue="1">
      <formula>"Leon"</formula>
    </cfRule>
    <cfRule type="cellIs" dxfId="21" priority="11" operator="equal" stopIfTrue="1">
      <formula>"MarathonBet"</formula>
    </cfRule>
    <cfRule type="cellIs" dxfId="22" priority="12" operator="greaterThan" stopIfTrue="1">
      <formula>0</formula>
    </cfRule>
    <cfRule type="cellIs" dxfId="23" priority="13" operator="lessThan" stopIfTrue="1">
      <formula>0</formula>
    </cfRule>
    <cfRule type="cellIs" dxfId="24" priority="14" operator="greaterThan" stopIfTrue="1">
      <formula>0</formula>
    </cfRule>
  </conditionalFormatting>
  <conditionalFormatting sqref="Q2 Q4:Q762">
    <cfRule type="cellIs" dxfId="25" priority="1" operator="lessThan" stopIfTrue="1">
      <formula>5</formula>
    </cfRule>
    <cfRule type="cellIs" dxfId="26" priority="2" operator="lessThan" stopIfTrue="1">
      <formula>8</formula>
    </cfRule>
    <cfRule type="cellIs" dxfId="27" priority="3" operator="lessThan" stopIfTrue="1">
      <formula>10</formula>
    </cfRule>
    <cfRule type="cellIs" dxfId="28" priority="4" operator="greaterThan" stopIfTrue="1">
      <formula>9</formula>
    </cfRule>
  </conditionalFormatting>
  <conditionalFormatting sqref="T2 T4 T7 T10 T13 T16 T19 T22 T25 T28 T31 T34 T37 T40 T43 T46 T49 T52 T55 T58 T61 T64 T67 T70 T73 T76 T79 T82 T85 T88 T91 T94 T97 T100 T103 T106 T109 T112 T115 T118 T121 T124 T127 T130 T133 T136 T139 T142 T145 T148 T151 T154 T157 T160 T163 T166 T169 T172 T175 T178 T181 T184 T187 T190 T193 T196 T199 T202 T205 T208 T211 T214 T217 T220 T223 T226 T229 T232 T235 T238 T241 T244 T247 T250 T253 T256 T259 T262 T265 T268 T271 T274 T277 T280 T283 T286 T289 T292 T295 T298 T301 T304 T307 T310 T313 T316 T319 T322 T325 T328 T331 T334 T337 T340 T343 T346 T349 T352 T355 T358 T361 T364 T367 T370 T373 T376 T379 T382 T385 T388 T391 T394 T397 T400 T403 T406 T409 T412 T415 T418 T421 T424 T427 T430 T433 T436 T439 T442 T445 T448 T451 T454 T457 T460 T463 T466 T469 T472 T475 T478 T481 T484 T487 T490 T493 T496 T499 T502 T505 T508 T511 T514 T517 T520 T523 T526 T529 T532 T535 T538 T541 T544 T547 T550 T553 T556 T559 T562 T565 T568 T571 T574 T577 T580 T583 T586 T589 T592 T595 T598 T601 T604 T607 T610 T613 T616 T619 T622 T625 T628 T631 T634 T637 T640 T643 T646 T649 T652 T655 T658 T661 T664 T667 T670 T673 T676 T679 T682 T685 T688 T691 T694 T697 T700 T703 T706 T709 T712 T715 T718 T721 T724 T727 T730 T733 T736 T739 T742 T745 T748 T751 T754 T757 T760">
    <cfRule type="cellIs" dxfId="29" priority="1" operator="greaterThan" stopIfTrue="1">
      <formula>0.2</formula>
    </cfRule>
    <cfRule type="cellIs" dxfId="30" priority="2" operator="greaterThan" stopIfTrue="1">
      <formula>0.1</formula>
    </cfRule>
    <cfRule type="cellIs" dxfId="31" priority="3" operator="greaterThan" stopIfTrue="1">
      <formula>0.05</formula>
    </cfRule>
  </conditionalFormatting>
  <conditionalFormatting sqref="Y2:AA2 AC2 DK2:DK3 Y4:AA4 AC4 CG4 CI4:CK4 CM4:CS4 CU4:DE4 DJ4:DK4 CG5 CI5:CK5 CM5:CS5 CU5:DE5 DJ5 CG6 CI6:CK6 CM6:CS6 CU6:DE6 DJ6 Y7:AA7 AC7 CU7:DE9 DK7:DK9 Y10:AA10 AC10 CU10:DE12 DK10:DK12 Y13:AA13 AC13 CU13:DE15 DK13:DK15 Y16:AA16 AC16 CU16:DE18 DK16:DK18 Y19:AA19 AC19 CU19:DE21 DK19:DK21 Y22:AA22 AC22 CU22:DE24 DK22:DK24 Y25:AA25 AC25 CU25:DE27 DK25:DK27 Y28:AA28 AC28 CU28:DE30 DK28:DK30 Y31:AA31 AC31 CU31:DE33 DK31:DK33 Y34:AA34 AC34 CU34:DE36 DK34:DK36 Y37:AA37 AC37 CU37:DE39 DK37:DK39 Y40:AA40 AC40 CU40:DE42 DK40:DK42 Y43:AA43 AC43 CU43:DE45 DK43:DK45 Y46:AA46 AC46 CU46:DE48 DK46:DK48 Y49:AA49 AC49 CU49:DE51 DK49:DK51 Y52:AA52 AC52 CU52:DE54 DK52:DK54 Y55:AA55 AC55 CU55:DE57 DK55:DK57 Y58:AA58 AC58 CU58:DE60 DK58:DK60 Y61:AA61 AC61 CU61:DE63 DK61:DK63 Y64:AA64 AC64 CU64:DE66 DK64:DK66 Y67:AA67 AC67 CU67:DE69 DK67:DK69 Y70:AA70 AC70 CU70:DE72 DK70:DK72 Y73:AA73 AC73 CU73:DE75 DK73:DK75 Y76:AA76 AC76 CU76:DE78 DK76:DK78 Y79:AA79 AC79 CU79:DE81 DK79:DK81 Y82:AA82 AC82 CU82:DE84 DK82:DK84 Y85:AA85 AC85 CU85:DE87 DK85:DK87 Y88:AA88 AC88 CU88:DE90 DK88:DK90 Y91:AA91 AC91 CU91:DE93 DK91:DK93 Y94:AA94 AC94 CU94:DE96 DK94:DK96 Y97:AA97 AC97 CU97:DE99 DK97:DK99 Y100:AA100 AC100 CU100:DE102 DK100:DK102 Y103:AA103 AC103 CU103:DE105 DK103:DK105 Y106:AA106 AC106 CU106:DE108 DK106:DK108 Y109:AA109 AC109 CU109:DE111 DK109:DK111 Y112:AA112 AC112 CU112:DE114 DK112:DK114 Y115:AA115 AC115 CU115:DE117 DK115:DK117 Y118:AA118 AC118 CU118:DE120 DK118:DK120 Y121:AA121 AC121 CU121:DE123 DK121:DK123 Y124:AA124 AC124 CU124:DE126 DK124:DK126 Y127:AA127 AC127 CU127:DE129 DK127:DK129 Y130:AA130 AC130 CU130:DE132 DK130:DK132 Y133:AA133 AC133 CU133:DE135 DK133:DK135 Y136:AA136 AC136 CU136:DE138 DK136:DK138 Y139:AA139 AC139 CU139:DE141 DK139:DK141 Y142:AA142 AC142 CU142:DE144 DK142:DK144 Y145:AA145 AC145 CU145:DE147 DK145:DK147 Y148:AA148 AC148 CU148:DE150 DK148:DK150 Y151:AA151 AC151 CU151:DE153 DK151:DK153 Y154:AA154 AC154 CU154:DE156 DK154:DK156 Y157:AA157 AC157 CU157:DE159 DK157:DK159 Y160:AA160 AC160 CU160:DE162 DK160:DK162 Y163:AA163 AC163 CU163:DE165 DK163:DK165 Y166:AA166 AC166 CU166:DE168 DK166:DK168 Y169:AA169 AC169 CU169:DE171 DK169:DK171 Y172:AA172 AC172 CU172:DE174 DK172:DK174 Y175:AA175 AC175 CU175:DE177 DK175:DK177 Y178:AA178 AC178 CU178:DE180 DK178:DK180 Y181:AA181 AC181 CU181:DE183 DK181:DK183 Y184:AA184 AC184 CU184:DE186 DK184:DK186 Y187:AA187 AC187 CU187:DE189 DK187:DK189 Y190:AA190 AC190 CU190:DE192 DK190:DK192 Y193:AA193 AC193 CU193:DE195 DK193:DK195 Y196:AA196 AC196 CU196:DE198 DK196:DK198 Y199:AA199 AC199 CU199:DE201 DK199:DK201 Y202:AA202 AC202 CU202:DE204 DK202:DK204 Y205:AA205 AC205 CU205:DE207 DK205:DK207 Y208:AA208 AC208 CU208:DE210 DK208:DK210 Y211:AA211 AC211 CU211:DE213 DK211:DK213 Y214:AA214 AC214 CU214:DE216 DK214:DK216 Y217:AA217 AC217 CU217:DE219 DK217:DK219 Y220:AA220 AC220 CU220:DE222 DK220:DK222 Y223:AA223 AC223 CU223:DE225 DK223:DK225 Y226:AA226 AC226 CU226:DE228 DK226:DK228 Y229:AA229 AC229 CU229:DE231 DK229:DK231 Y232:AA232 AC232 CU232:DE234 DK232:DK234 Y235:AA235 AC235 CU235:DE237 DK235:DK237 Y238:AA238 AC238 CU238:DE240 DK238:DK240 Y241:AA241 AC241 CU241:DE243 DK241:DK243 Y244:AA244 AC244 CU244:DE246 DK244:DK246 Y247:AA247 AC247 CU247:DE249 DK247:DK249 Y250:AA250 AC250 CU250:DE252 DK250:DK252 Y253:AA253 AC253 CU253:DE255 DK253:DK255 Y256:AA256 AC256 CU256:DE258 DK256:DK258 Y259:AA259 AC259 CU259:DE261 DK259:DK261 Y262:AA262 AC262 CU262:DE264 DK262:DK264 Y265:AA265 AC265 CU265:DE267 DK265:DK267 Y268:AA268 AC268 CU268:DE270 DK268:DK270 Y271:AA271 AC271 CU271:DE273 DK271:DK273 Y274:AA274 AC274 CU274:DE276 DK274:DK276 Y277:AA277 AC277 CU277:DE279 DK277:DK279 Y280:AA280 AC280 CU280:DE282 DK280:DK282 Y283:AA283 AC283 CU283:DE285 DK283:DK285 Y286:AA286 AC286 CU286:DE288 DK286:DK288 Y289:AA289 AC289 CU289:DE291 DK289:DK291 Y292:AA292 AC292 CU292:DE294 DK292:DK294 Y295:AA295 AC295 CU295:DE297 DK295:DK297 Y298:AA298 AC298 CU298:DE300 DK298:DK300 Y301:AA301 AC301 CU301:DE303 DK301:DK303 Y304:AA304 AC304 CU304:DE306 DK304:DK306 Y307:AA307 AC307 CU307:DE309 DK307:DK309 Y310:AA310 AC310 CU310:DE312 DK310:DK312 Y313:AA313 AC313 CU313:DE315 DK313:DK315 Y316:AA316 AC316 CU316:DE318 DK316:DK318 Y319:AA319 AC319 CU319:DE321 DK319:DK321 Y322:AA322 AC322 CU322:DE324 DK322:DK324 Y325:AA325 AC325 CU325:DE327 DK325:DK327 Y328:AA328 AC328 CU328:DE330 DK328:DK330 Y331:AA331 AC331 CU331:DE333 DK331:DK333 Y334:AA334 AC334 CU334:DE336 DK334:DK336 Y337:AA337 AC337 CU337:DE339 DK337:DK339 Y340:AA340 AC340 CU340:DE342 DK340:DK342 Y343:AA343 AC343 CU343:DE345 DK343:DK345 Y346:AA346 AC346 CU346:DE348 DK346:DK348 Y349:AA349 AC349 CU349:DE351 DK349:DK351 Y352:AA352 AC352 CU352:DE354 DK352:DK354 Y355:AA355 AC355 CU355:DE357 DK355:DK357 Y358:AA358 AC358 CU358:DE360 DK358:DK360 Y361:AA361 AC361 CU361:DE363 DK361:DK363 Y364:AA364 AC364 CU364:DE366 DK364:DK366 Y367:AA367 AC367 CU367:DE369 DK367:DK369 Y370:AA370 AC370 CU370:DE372 DK370:DK372 Y373:AA373 AC373 CU373:DE375 DK373:DK375 Y376:AA376 AC376 CU376:DE378 DK376:DK378 Y379:AA379 AC379 CU379:DE381 DK379:DK381 Y382:AA382 AC382 CU382:DE384 DK382:DK384 Y385:AA385 AC385 CU385:DE387 DK385:DK387 Y388:AA388 AC388 CU388:DE390 DK388:DK390 Y391:AA391 AC391 CU391:DE393 DK391:DK393 Y394:AA394 AC394 CU394:DE396 DK394:DK396 Y397:AA397 AC397 CU397:DE399 DK397:DK399 Y400:AA400 AC400 CU400:DE402 DK400:DK402 Y403:AA403 AC403 CU403:DE405 DK403:DK405 Y406:AA406 AC406 CU406:DE408 DK406:DK408 Y409:AA409 AC409 CU409:DE411 DK409:DK411 Y412:AA412 AC412 CU412:DE414 DK412:DK414 Y415:AA415 AC415 CU415:DE417 DK415:DK417 Y418:AA418 AC418 CU418:DE420 DK418:DK420 Y421:AA421 AC421 CU421:DE423 DK421:DK423 Y424:AA424 AC424 CU424:DE426 DK424:DK426 Y427:AA427 AC427 CU427:DE429 DK427:DK429 Y430:AA430 AC430 CU430:DE432 DK430:DK432 Y433:AA433 AC433 CU433:DE435 DK433:DK435 Y436:AA436 AC436 CU436:DE438 DK436:DK438 Y439:AA439 AC439 CU439:DE441 DK439:DK441 Y442:AA442 AC442 CU442:DE444 DK442:DK444 Y445:AA445 AC445 CU445:DE447 DK445:DK447 Y448:AA448 AC448 CU448:DE450 DK448:DK450 Y451:AA451 AC451 CU451:DE453 DK451:DK453 Y454:AA454 AC454 CU454:DE456 DK454:DK456 Y457:AA457 AC457 CU457:DE459 DK457:DK459 Y460:AA460 AC460 CU460:DE462 DK460:DK462 Y463:AA463 AC463 CU463:DE465 DK463:DK465 Y466:AA466 AC466 CU466:DE468 DK466:DK468 Y469:AA469 AC469 CU469:DE471 DK469:DK471 Y472:AA472 AC472 CU472:DE474 DK472:DK474 Y475:AA475 AC475 CU475:DE477 DK475:DK477 Y478:AA478 AC478 CU478:DE480 DK478:DK480 Y481:AA481 AC481 CU481:DE483 DK481:DK483 Y484:AA484 AC484 CU484:DE486 DK484:DK486 Y487:AA487 AC487 CU487:DE489 DK487:DK489 Y490:AA490 AC490 CU490:DE492 DK490:DK492 Y493:AA493 AC493 CU493:DE495 DK493:DK495 Y496:AA496 AC496 CU496:DE498 DK496:DK498 Y499:AA499 AC499 CU499:DE501 DK499:DK501 Y502:AA502 AC502 CU502:DE504 DK502:DK504 Y505:AA505 AC505 CU505:DE507 DK505:DK507 Y508:AA508 AC508 CU508:DE510 DK508:DK510 Y511:AA511 AC511 CU511:DE513 DK511:DK513 Y514:AA514 AC514 CU514:DE516 DK514:DK516 Y517:AA517 AC517 CU517:DE519 DK517:DK519 Y520:AA520 AC520 CU520:DE522 DK520:DK522 Y523:AA523 AC523 CU523:DE525 DK523:DK525 Y526:AA526 AC526 CU526:DE528 DK526:DK528 Y529:AA529 AC529 CU529:DE531 DK529:DK531 Y532:AA532 AC532 CU532:DE534 DK532:DK534 Y535:AA535 AC535 CU535:DE537 DK535:DK537 Y538:AA538 AC538 CU538:DE540 DK538:DK540 Y541:AA541 AC541 CU541:DE543 DK541:DK543 Y544:AA544 AC544 CU544:DE546 DK544:DK546 Y547:AA547 AC547 CU547:DE549 DK547:DK549 Y550:AA550 AC550 CU550:DE552 DK550:DK552 Y553:AA553 AC553 CU553:DE555 DK553:DK555 Y556:AA556 AC556 CU556:DE558 DK556:DK558 Y559:AA559 AC559 CU559:DE561 DK559:DK561 Y562:AA562 AC562 CU562:DE564 DK562:DK564 Y565:AA565 AC565 CU565:DE567 DK565:DK567 Y568:AA568 AC568 CU568:DE570 DK568:DK570 Y571:AA571 AC571 CU571:DE573 DK571:DK573 Y574:AA574 AC574 CU574:DE576 DK574:DK576 Y577:AA577 AC577 CU577:DE579 DK577:DK579 Y580:AA580 AC580 CU580:DE582 DK580:DK582 Y583:AA583 AC583 CU583:DE585 DK583:DK585 Y586:AA586 AC586 CU586:DE588 DK586:DK588 Y589:AA589 AC589 CU589:DE591 DK589:DK591 Y592:AA592 AC592 CU592:DE594 DK592:DK594 Y595:AA595 AC595 CU595:DE597 DK595:DK597 Y598:AA598 AC598 CU598:DE600 DK598:DK600 Y601:AA601 AC601 CU601:DE603 DK601:DK603 Y604:AA604 AC604 CU604:DE606 DK604:DK606 Y607:AA607 AC607 CU607:DE609 DK607:DK609 Y610:AA610 AC610 CU610:DE612 DK610:DK612 Y613:AA613 AC613 CU613:DE615 DK613:DK615 Y616:AA616 AC616 CU616:DE618 DK616:DK618 Y619:AA619 AC619 CU619:DE621 DK619:DK621 Y622:AA622 AC622 CU622:DE624 DK622:DK624 Y625:AA625 AC625 CU625:DE627 DK625:DK627 Y628:AA628 AC628 CU628:DE630 DK628:DK630 Y631:AA631 AC631 CU631:DE633 DK631:DK633 Y634:AA634 AC634 CU634:DE636 DK634:DK636 Y637:AA637 AC637 CU637:DE639 DK637:DK639 Y640:AA640 AC640 CU640:DE642 DK640:DK642 Y643:AA643 AC643 CU643:DE645 DK643:DK645 Y646:AA646 AC646 CU646:DE648 DK646:DK648 Y649:AA649 AC649 CU649:DE651 DK649:DK651 Y652:AA652 AC652 CU652:DE654 DK652:DK654 Y655:AA655 AC655 CU655:DE657 DK655:DK657 Y658:AA658 AC658 CU658:DE660 DK658:DK660 Y661:AA661 AC661 CU661:DE663 DK661:DK663 Y664:AA664 AC664 CU664:DE666 DK664:DK666 Y667:AA667 AC667 CU667:DE669 DK667:DK669 Y670:AA670 AC670 CU670:DE672 DK670:DK672 Y673:AA673 AC673 CU673:DE675 DK673:DK675 Y676:AA676 AC676 CU676:DE678 DK676:DK678 Y679:AA679 AC679 CU679:DE681 DK679:DK681 Y682:AA682 AC682 CU682:DE684 DK682:DK684 Y685:AA685 AC685 CU685:DE687 DK685:DK687 Y688:AA688 AC688 CU688:DE690 DK688:DK690 Y691:AA691 AC691 CU691:DE693 DK691:DK693 Y694:AA694 AC694 CU694:DE696 DK694:DK696 Y697:AA697 AC697 CU697:DE699 DK697:DK699 Y700:AA700 AC700 CU700:DE702 DK700:DK702 Y703:AA703 AC703 CU703:DE705 DK703:DK705 Y706:AA706 AC706 CU706:DE708 DK706:DK708 Y709:AA709 AC709 CU709:DE711 DK709:DK711 Y712:AA712 AC712 CU712:DE714 DK712:DK714 Y715:AA715 AC715 CU715:DE717 DK715:DK717 Y718:AA718 AC718 CU718:DE720 DK718:DK720 Y721:AA721 AC721 CU721:DE723 DK721:DK723 Y724:AA724 AC724 CU724:DE726 DK724:DK726 Y727:AA727 AC727 CU727:DE729 DK727:DK729 Y730:AA730 AC730 CU730:DE732 DK730:DK732 Y733:AA733 AC733 CU733:DE735 DK733:DK735 Y736:AA736 AC736 CU736:DE738 DK736:DK738 Y739:AA739 AC739 CU739:DE741 DK739:DK741 Y742:AA742 AC742 CU742:DE744 DK742:DK744 Y745:AA745 AC745 CU745:DE747 DK745:DK747 Y748:AA748 AC748 CU748:DE750 DK748:DK750 Y751:AA751 AC751 CU751:DE753 DK751:DK753 Y754:AA754 AC754 CU754:DE756 DK754:DK756 Y757:AA757 AC757 CU757:DE759 DK757:DK759 Y760:AA760 AC760 CU760:DE762 DK760:DK762">
    <cfRule type="cellIs" dxfId="32" priority="1" operator="greaterThan" stopIfTrue="1">
      <formula>0</formula>
    </cfRule>
  </conditionalFormatting>
  <conditionalFormatting sqref="AB2 AB4 AF4:CF4 CH4 CL4 CT4 AF5:BR5 CF5 CH5 CL5 CT5 AF6:BR6 CF6 CH6 CL6 CT6 AB7 AF7:CT7 DJ7:DJ9 AF8:CE10 CT8:CT9 AB10 CF10:CT10 DJ10:DJ12 AF11:CE13 CT11:CT12 AB13 CF13:CT13 DJ13:DJ15 AF14:CE16 CT14:CT15 AB16 CF16:CT16 DJ16:DJ18 AF17:CE19 CT17:CT18 AB19 CF19:CT19 DJ19:DJ21 AF20:CE22 CT20:CT21 AB22 CF22:CT22 DJ22:DJ24 AF23:CE25 CT23:CT24 AB25 CF25:CT25 DJ25:DJ27 AF26:CE28 CT26:CT27 AB28 CF28:CT28 DJ28:DJ30 AF29:CE31 CT29:CT30 AB31 CF31:CT31 DJ31:DJ33 AF32:CE34 CT32:CT33 AB34 CF34:CT34 DJ34:DJ36 AF35:CE37 CT35:CT36 AB37 CF37:CT37 DJ37:DJ39 AF38:CE40 CT38:CT39 AB40 CF40:CT40 DJ40:DJ42 AF41:CE43 CT41:CT42 AB43 CF43:CT43 DJ43:DJ45 AF44:CE46 CT44:CT45 AB46 CF46:CT46 DJ46:DJ48 AF47:CE49 CT47:CT48 AB49 CF49:CT49 DJ49:DJ51 AF50:CE52 CT50:CT51 AB52 CF52:CT52 DJ52:DJ54 AF53:CE55 CT53:CT54 AB55 CF55:CT55 DJ55:DJ57 AF56:CE58 CT56:CT57 AB58 CF58:CT58 DJ58:DJ60 AF59:CE61 CT59:CT60 AB61 CF61:CT61 DJ61:DJ63 AF62:CE64 CT62:CT63 AB64 CF64:CT64 DJ64:DJ66 AF65:CE67 CT65:CT66 AB67 CF67:CT67 DJ67:DJ69 AF68:CE70 CT68:CT69 AB70 CF70:CT70 DJ70:DJ72 AF71:CE73 CT71:CT72 AB73 CF73:CT73 DJ73:DJ75 AF74:CE76 CT74:CT75 AB76 CF76:CT76 DJ76:DJ78 AF77:CE79 CT77:CT78 AB79 CF79:CT79 DJ79:DJ81 AF80:CE82 CT80:CT81 AB82 CF82:CT82 DJ82:DJ84 AF83:CE85 CT83:CT84 AB85 CF85:CT85 DJ85:DJ87 AF86:CE88 CT86:CT87 AB88 CF88:CT88 DJ88:DJ90 AF89:CE91 CT89:CT90 AB91 CF91:CT91 DJ91:DJ93 AF92:CE94 CT92:CT93 AB94 CF94:CT94 DJ94:DJ96 AF95:CE97 CT95:CT96 AB97 CF97:CT97 DJ97:DJ99 AF98:CE100 CT98:CT99 AB100 CF100:CT100 DJ100:DJ102 AF101:CE103 CT101:CT102 AB103 CF103:CT103 DJ103:DJ105 AF104:CE106 CT104:CT105 AB106 CF106:CT106 DJ106:DJ108 AF107:CE109 CT107:CT108 AB109 CF109:CT109 DJ109:DJ111 AF110:CE112 CT110:CT111 AB112 CF112:CT112 DJ112:DJ114 AF113:CE115 CT113:CT114 AB115 CF115:CT115 DJ115:DJ117 AF116:CE118 CT116:CT117 AB118 CF118:CT118 DJ118:DJ120 AF119:CE121 CT119:CT120 AB121 CF121:CT121 DJ121:DJ123 AF122:CE124 CT122:CT123 AB124 CF124:CT124 DJ124:DJ126 AF125:CE127 CT125:CT126 AB127 CF127:CT127 DJ127:DJ129 AF128:CE130 CT128:CT129 AB130 CF130:CT130 DJ130:DJ132 AF131:CE133 CT131:CT132 AB133 CF133:CT133 DJ133:DJ135 AF134:CE136 CT134:CT135 AB136 CF136:CT136 DJ136:DJ138 AF137:CE139 CT137:CT138 AB139 CF139:CT139 DJ139:DJ141 AF140:CE142 CT140:CT141 AB142 CF142:CT142 DJ142:DJ144 AF143:CE145 CT143:CT144 AB145 CF145:CT145 DJ145:DJ147 AF146:CE148 CT146:CT147 AB148 CF148:CT148 DJ148:DJ150 AF149:CE151 CT149:CT150 AB151 CF151:CT151 DJ151:DJ153 AF152:CE154 CT152:CT153 AB154 CF154:CT154 DJ154:DJ156 AF155:CE157 CT155:CT156 AB157 CF157:CT157 DJ157:DJ159 AF158:CE160 CT158:CT159 AB160 CF160:CT160 DJ160:DJ162 AF161:CE163 CT161:CT162 AB163 CF163:CT163 DJ163:DJ165 AF164:CE166 CT164:CT165 AB166 CF166:CT166 DJ166:DJ168 AF167:CE169 CT167:CT168 AB169 CF169:CT169 DJ169:DJ171 AF170:CE172 CT170:CT171 AB172 CF172:CT172 DJ172:DJ174 AF173:CE175 CT173:CT174 AB175 CF175:CT175 DJ175:DJ177 AF176:CE178 CT176:CT177 AB178 CF178:CT178 DJ178:DJ180 AF179:CE181 CT179:CT180 AB181 CF181:CT181 DJ181:DJ183 AF182:CE184 CT182:CT183 AB184 CF184:CT184 DJ184:DJ186 AF185:CE187 CT185:CT186 AB187 CF187:CT187 DJ187:DJ189 AF188:CE190 CT188:CT189 AB190 CF190:CT190 DJ190:DJ192 AF191:CE193 CT191:CT192 AB193 CF193:CT193 DJ193:DJ195 AF194:CE196 CT194:CT195 AB196 CF196:CT196 DJ196:DJ198 AF197:CE199 CT197:CT198 AB199 CF199:CT199 DJ199:DJ201 AF200:CE202 CT200:CT201 AB202 CF202:CT202 DJ202:DJ204 AF203:CE205 CT203:CT204 AB205 CF205:CT205 DJ205:DJ207 AF206:CE208 CT206:CT207 AB208 CF208:CT208 DJ208:DJ210 AF209:CE211 CT209:CT210 AB211 CF211:CT211 DJ211:DJ213 AF212:CE214 CT212:CT213 AB214 CF214:CT214 DJ214:DJ216 AF215:CE217 CT215:CT216 AB217 CF217:CT217 DJ217:DJ219 AF218:CE220 CT218:CT219 AB220 CF220:CT220 DJ220:DJ222 AF221:CE223 CT221:CT222 AB223 CF223:CT223 DJ223:DJ225 AF224:CE226 CT224:CT225 AB226 CF226:CT226 DJ226:DJ228 AF227:CE229 CT227:CT228 AB229 CF229:CT229 DJ229:DJ231 AF230:CE232 CT230:CT231 AB232 CF232:CT232 DJ232:DJ234 AF233:CE235 CT233:CT234 AB235 CF235:CT235 DJ235:DJ237 AF236:CE238 CT236:CT237 AB238 CF238:CT238 DJ238:DJ240 AF239:CE241 CT239:CT240 AB241 CF241:CT241 DJ241:DJ243 AF242:CE244 CT242:CT243 AB244 CF244:CT244 DJ244:DJ246 AF245:CE247 CT245:CT246 AB247 CF247:CT247 DJ247:DJ249 AF248:CE250 CT248:CT249 AB250 CF250:CT250 DJ250:DJ252 AF251:CE253 CT251:CT252 AB253 CF253:CT253 DJ253:DJ255 AF254:CE256 CT254:CT255 AB256 CF256:CT256 DJ256:DJ258 AF257:CE259 CT257:CT258 AB259 CF259:CT259 DJ259:DJ261 AF260:CE262 CT260:CT261 AB262 CF262:CT262 DJ262:DJ264 AF263:CE265 CT263:CT264 AB265 CF265:CT265 DJ265:DJ267 AF266:CE268 CT266:CT267 AB268 CF268:CT268 DJ268:DJ270 AF269:CE271 CT269:CT270 AB271 CF271:CT271 DJ271:DJ273 AF272:CE274 CT272:CT273 AB274 CF274:CT274 DJ274:DJ276 AF275:CE277 CT275:CT276 AB277 CF277:CT277 DJ277:DJ279 AF278:CE280 CT278:CT279 AB280 CF280:CT280 DJ280:DJ282 AF281:CE283 CT281:CT282 AB283 CF283:CT283 DJ283:DJ285 AF284:CE286 CT284:CT285 AB286 CF286:CT286 DJ286:DJ288 AF287:CE289 CT287:CT288 AB289 CF289:CT289 DJ289:DJ291 AF290:CE292 CT290:CT291 AB292 CF292:CT292 DJ292:DJ294 AF293:CE295 CT293:CT294 AB295 CF295:CT295 DJ295:DJ297 AF296:CE298 CT296:CT297 AB298 CF298:CT298 DJ298:DJ300 AF299:CE301 CT299:CT300 AB301 CF301:CT301 DJ301:DJ303 AF302:CE304 CT302:CT303 AB304 CF304:CT304 DJ304:DJ306 AF305:CE307 CT305:CT306 AB307 CF307:CT307 DJ307:DJ309 AF308:CE310 CT308:CT309 AB310 CF310:CT310 DJ310:DJ312 AF311:CE313 CT311:CT312 AB313 CF313:CT313 DJ313:DJ315 AF314:CE316 CT314:CT315 AB316 CF316:CT316 DJ316:DJ318 AF317:CE319 CT317:CT318 AB319 CF319:CT319 DJ319:DJ321 AF320:CE322 CT320:CT321 AB322 CF322:CT322 DJ322:DJ324 AF323:CE325 CT323:CT324 AB325 CF325:CT325 DJ325:DJ327 AF326:CE328 CT326:CT327 AB328 CF328:CT328 DJ328:DJ330 AF329:CE331 CT329:CT330 AB331 CF331:CT331 DJ331:DJ333 AF332:CE334 CT332:CT333 AB334 CF334:CT334 DJ334:DJ336 AF335:CE337 CT335:CT336 AB337 CF337:CT337 DJ337:DJ339 AF338:CE340 CT338:CT339 AB340 CF340:CT340 DJ340:DJ342 AF341:CE343 CT341:CT342 AB343 CF343:CT343 DJ343:DJ345 AF344:CE346 CT344:CT345 AB346 CF346:CT346 DJ346:DJ348 AF347:CE349 CT347:CT348 AB349 CF349:CT349 DJ349:DJ351 AF350:CE352 CT350:CT351 AB352 CF352:CT352 DJ352:DJ354 AF353:CE355 CT353:CT354 AB355 CF355:CT355 DJ355:DJ357 AF356:CE358 CT356:CT357 AB358 CF358:CT358 DJ358:DJ360 AF359:CE361 CT359:CT360 AB361 CF361:CT361 DJ361:DJ363 AF362:CE364 CT362:CT363 AB364 CF364:CT364 DJ364:DJ366 AF365:CE367 CT365:CT366 AB367 CF367:CT367 DJ367:DJ369 AF368:CE370 CT368:CT369 AB370 CF370:CT370 DJ370:DJ372 AF371:CE373 CT371:CT372 AB373 CF373:CT373 DJ373:DJ375 AF374:CE376 CT374:CT375 AB376 CF376:CT376 DJ376:DJ378 AF377:CE379 CT377:CT378 AB379 CF379:CT379 DJ379:DJ381 AF380:CE382 CT380:CT381 AB382 CF382:CT382 DJ382:DJ384 AF383:CE385 CT383:CT384 AB385 CF385:CT385 DJ385:DJ387 AF386:CE388 CT386:CT387 AB388 CF388:CT388 DJ388:DJ390 AF389:CE391 CT389:CT390 AB391 CF391:CT391 DJ391:DJ393 AF392:CE394 CT392:CT393 AB394 CF394:CT394 DJ394:DJ396 AF395:CE397 CT395:CT396 AB397 CF397:CT397 DJ397:DJ399 AF398:CE400 CT398:CT399 AB400 CF400:CT400 DJ400:DJ402 AF401:CE403 CT401:CT402 AB403 CF403:CT403 DJ403:DJ405 AF404:CE406 CT404:CT405 AB406 CF406:CT406 DJ406:DJ408 AF407:CE409 CT407:CT408 AB409 CF409:CT409 DJ409:DJ411 AF410:CE412 CT410:CT411 AB412 CF412:CT412 DJ412:DJ414 AF413:CE415 CT413:CT414 AB415 CF415:CT415 DJ415:DJ417 AF416:CE418 CT416:CT417 AB418 CF418:CT418 DJ418:DJ420 AF419:CE421 CT419:CT420 AB421 CF421:CT421 DJ421:DJ423 AF422:CE424 CT422:CT423 AB424 CF424:CT424 DJ424:DJ426 AF425:CE427 CT425:CT426 AB427 CF427:CT427 DJ427:DJ429 AF428:CE430 CT428:CT429 AB430 CF430:CT430 DJ430:DJ432 AF431:CE433 CT431:CT432 AB433 CF433:CT433 DJ433:DJ435 AF434:CE436 CT434:CT435 AB436 CF436:CT436 DJ436:DJ438 AF437:CE439 CT437:CT438 AB439 CF439:CT439 DJ439:DJ441 AF440:CE442 CT440:CT441 AB442 CF442:CT442 DJ442:DJ444 AF443:CE445 CT443:CT444 AB445 CF445:CT445 DJ445:DJ447 AF446:CE448 CT446:CT447 AB448 CF448:CT448 DJ448:DJ450 AF449:CE451 CT449:CT450 AB451 CF451:CT451 DJ451:DJ453 AF452:CE454 CT452:CT453 AB454 CF454:CT454 DJ454:DJ456 AF455:CE457 CT455:CT456 AB457 CF457:CT457 DJ457:DJ459 AF458:CE460 CT458:CT459 AB460 CF460:CT460 DJ460:DJ462 AF461:CE463 CT461:CT462 AB463 CF463:CT463 DJ463:DJ465 AF464:CE466 CT464:CT465 AB466 CF466:CT466 DJ466:DJ468 AF467:CE469 CT467:CT468 AB469 CF469:CT469 DJ469:DJ471 AF470:CE472 CT470:CT471 AB472 CF472:CT472 DJ472:DJ474 AF473:CE475 CT473:CT474 AB475 CF475:CT475 DJ475:DJ477 AF476:CE478 CT476:CT477 AB478 CF478:CT478 DJ478:DJ480 AF479:CE481 CT479:CT480 AB481 CF481:CT481 DJ481:DJ483 AF482:CE484 CT482:CT483 AB484 CF484:CT484 DJ484:DJ486 AF485:CE487 CT485:CT486 AB487 CF487:CT487 DJ487:DJ489 AF488:CE490 CT488:CT489 AB490 CF490:CT490 DJ490:DJ492 AF491:CE493 CT491:CT492 AB493 CF493:CT493 DJ493:DJ495 AF494:CE496 CT494:CT495 AB496 CF496:CT496 DJ496:DJ498 AF497:CE499 CT497:CT498 AB499 CF499:CT499 DJ499:DJ501 AF500:CE502 CT500:CT501 AB502 CF502:CT502 DJ502:DJ504 AF503:CE505 CT503:CT504 AB505 CF505:CT505 DJ505:DJ507 AF506:CE508 CT506:CT507 AB508 CF508:CT508 DJ508:DJ510 AF509:CE511 CT509:CT510 AB511 CF511:CT511 DJ511:DJ513 AF512:CE514 CT512:CT513 AB514 CF514:CT514 DJ514:DJ516 AF515:CE517 CT515:CT516 AB517 CF517:CT517 DJ517:DJ519 AF518:CE520 CT518:CT519 AB520 CF520:CT520 DJ520:DJ522 AF521:CE523 CT521:CT522 AB523 CF523:CT523 DJ523:DJ525 AF524:CE526 CT524:CT525 AB526 CF526:CT526 DJ526:DJ528 AF527:CE529 CT527:CT528 AB529 CF529:CT529 DJ529:DJ531 AF530:CE532 CT530:CT531 AB532 CF532:CT532 DJ532:DJ534 AF533:CE535 CT533:CT534 AB535 CF535:CT535 DJ535:DJ537 AF536:CE538 CT536:CT537 AB538 CF538:CT538 DJ538:DJ540 AF539:CE541 CT539:CT540 AB541 CF541:CT541 DJ541:DJ543 AF542:CE544 CT542:CT543 AB544 CF544:CT544 DJ544:DJ546 AF545:CE547 CT545:CT546 AB547 CF547:CT547 DJ547:DJ549 AF548:CE550 CT548:CT549 AB550 CF550:CT550 DJ550:DJ552 AF551:CE553 CT551:CT552 AB553 CF553:CT553 DJ553:DJ555 AF554:CE556 CT554:CT555 AB556 CF556:CT556 DJ556:DJ558 AF557:CE559 CT557:CT558 AB559 CF559:CT559 DJ559:DJ561 AF560:CE562 CT560:CT561 AB562 CF562:CT562 DJ562:DJ564 AF563:CE565 CT563:CT564 AB565 CF565:CT565 DJ565:DJ567 AF566:CE568 CT566:CT567 AB568 CF568:CT568 DJ568:DJ570 AF569:CE571 CT569:CT570 AB571 CF571:CT571 DJ571:DJ573 AF572:CE574 CT572:CT573 AB574 CF574:CT574 DJ574:DJ576 AF575:CE577 CT575:CT576 AB577 CF577:CT577 DJ577:DJ579 AF578:CE580 CT578:CT579 AB580 CF580:CT580 DJ580:DJ582 AF581:CE583 CT581:CT582 AB583 CF583:CT583 DJ583:DJ585 AF584:CE586 CT584:CT585 AB586 CF586:CT586 DJ586:DJ588 AF587:CE589 CT587:CT588 AB589 CF589:CT589 DJ589:DJ591 AF590:CE592 CT590:CT591 AB592 CF592:CT592 DJ592:DJ594 AF593:CE595 CT593:CT594 AB595 CF595:CT595 DJ595:DJ597 AF596:CE598 CT596:CT597 AB598 CF598:CT598 DJ598:DJ600 AF599:CE601 CT599:CT600 AB601 CF601:CT601 DJ601:DJ603 AF602:CE604 CT602:CT603 AB604 CF604:CT604 DJ604:DJ606 AF605:CE607 CT605:CT606 AB607 CF607:CT607 DJ607:DJ609 AF608:CE610 CT608:CT609 AB610 CF610:CT610 DJ610:DJ612 AF611:CE613 CT611:CT612 AB613 CF613:CT613 DJ613:DJ615 AF614:CE616 CT614:CT615 AB616 CF616:CT616 DJ616:DJ618 AF617:CE619 CT617:CT618 AB619 CF619:CT619 DJ619:DJ621 AF620:CE622 CT620:CT621 AB622 CF622:CT622 DJ622:DJ624 AF623:CE625 CT623:CT624 AB625 CF625:CT625 DJ625:DJ627 AF626:CE628 CT626:CT627 AB628 CF628:CT628 DJ628:DJ630 AF629:CE631 CT629:CT630 AB631 CF631:CT631 DJ631:DJ633 AF632:CE634 CT632:CT633 AB634 CF634:CT634 DJ634:DJ636 AF635:CE637 CT635:CT636 AB637 CF637:CT637 DJ637:DJ639 AF638:CE640 CT638:CT639 AB640 CF640:CT640 DJ640:DJ642 AF641:CE643 CT641:CT642 AB643 CF643:CT643 DJ643:DJ645 AF644:CE646 CT644:CT645 AB646 CF646:CT646 DJ646:DJ648 AF647:CE649 CT647:CT648 AB649 CF649:CT649 DJ649:DJ651 AF650:CE652 CT650:CT651 AB652 CF652:CT652 DJ652:DJ654 AF653:CE655 CT653:CT654 AB655 CF655:CT655 DJ655:DJ657 AF656:CE658 CT656:CT657 AB658 CF658:CT658 DJ658:DJ660 AF659:CE661 CT659:CT660 AB661 CF661:CT661 DJ661:DJ663 AF662:CE664 CT662:CT663 AB664 CF664:CT664 DJ664:DJ666 AF665:CE667 CT665:CT666 AB667 CF667:CT667 DJ667:DJ669 AF668:CE670 CT668:CT669 AB670 CF670:CT670 DJ670:DJ672 AF671:CE673 CT671:CT672 AB673 CF673:CT673 DJ673:DJ675 AF674:CE676 CT674:CT675 AB676 CF676:CT676 DJ676:DJ678 AF677:CE679 CT677:CT678 AB679 CF679:CT679 DJ679:DJ681 AF680:CE682 CT680:CT681 AB682 CF682:CT682 DJ682:DJ684 AF683:CE685 CT683:CT684 AB685 CF685:CT685 DJ685:DJ687 AF686:CE688 CT686:CT687 AB688 CF688:CT688 DJ688:DJ690 AF689:CE691 CT689:CT690 AB691 CF691:CT691 DJ691:DJ693 AF692:CE694 CT692:CT693 AB694 CF694:CT694 DJ694:DJ696 AF695:CE697 CT695:CT696 AB697 CF697:CT697 DJ697:DJ699 AF698:CE700 CT698:CT699 AB700 CF700:CT700 DJ700:DJ702 AF701:CE703 CT701:CT702 AB703 CF703:CT703 DJ703:DJ705 AF704:CE706 CT704:CT705 AB706 CF706:CT706 DJ706:DJ708 AF707:CE709 CT707:CT708 AB709 CF709:CT709 DJ709:DJ711 AF710:CE712 CT710:CT711 AB712 CF712:CT712 DJ712:DJ714 AF713:CE715 CT713:CT714 AB715 CF715:CT715 DJ715:DJ717 AF716:CE718 CT716:CT717 AB718 CF718:CT718 DJ718:DJ720 AF719:CE721 CT719:CT720 AB721 CF721:CT721 DJ721:DJ723 AF722:CE724 CT722:CT723 AB724 CF724:CT724 DJ724:DJ726 AF725:CE727 CT725:CT726 AB727 CF727:CT727 DJ727:DJ729 AF728:CE730 CT728:CT729 AB730 CF730:CT730 DJ730:DJ732 AF731:CE733 CT731:CT732 AB733 CF733:CT733 DJ733:DJ735 AF734:CE736 CT734:CT735 AB736 CF736:CT736 DJ736:DJ738 AF737:CE739 CT737:CT738 AB739 CF739:CT739 DJ739:DJ741 AF740:CE742 CT740:CT741 AB742 CF742:CT742 DJ742:DJ744 AF743:CE745 CT743:CT744 AB745 CF745:CT745 DJ745:DJ747 AF746:CE748 CT746:CT747 AB748 CF748:CT748 DJ748:DJ750 AF749:CE751 CT749:CT750 AB751 CF751:CT751 DJ751:DJ753 AF752:CE754 CT752:CT753 AB754 CF754:CT754 DJ754:DJ756 AF755:CE757 CT755:CT756 AB757 CF757:CT757 DJ757:DJ759 AF758:CE760 CT758:CT759 AB760 CF760:CT760 DJ760:DJ762 AF761:CE762 CT761:CT762">
    <cfRule type="cellIs" dxfId="33" priority="1" operator="greaterThan" stopIfTrue="1">
      <formula>0</formula>
    </cfRule>
    <cfRule type="cellIs" dxfId="34" priority="2" operator="lessThan" stopIfTrue="1">
      <formula>0</formula>
    </cfRule>
  </conditionalFormatting>
  <conditionalFormatting sqref="AF2 AS2 BF2 BS2 CF2">
    <cfRule type="cellIs" dxfId="35" priority="1" operator="equal" stopIfTrue="1">
      <formula>"BetFair"</formula>
    </cfRule>
    <cfRule type="cellIs" dxfId="36" priority="2" operator="equal" stopIfTrue="1">
      <formula>"Pinnacle"</formula>
    </cfRule>
    <cfRule type="cellIs" dxfId="37" priority="3" operator="equal" stopIfTrue="1">
      <formula>"Bet365"</formula>
    </cfRule>
    <cfRule type="cellIs" dxfId="38" priority="4" operator="equal" stopIfTrue="1">
      <formula>"BetWay"</formula>
    </cfRule>
    <cfRule type="cellIs" dxfId="39" priority="5" operator="equal" stopIfTrue="1">
      <formula>"DafaBet"</formula>
    </cfRule>
    <cfRule type="cellIs" dxfId="40" priority="6" operator="equal" stopIfTrue="1">
      <formula>"1xBet"</formula>
    </cfRule>
    <cfRule type="cellIs" dxfId="41" priority="7" operator="equal" stopIfTrue="1">
      <formula>"VBet"</formula>
    </cfRule>
    <cfRule type="cellIs" dxfId="42" priority="8" operator="equal" stopIfTrue="1">
      <formula>"BetFair Ex"</formula>
    </cfRule>
    <cfRule type="cellIs" dxfId="43" priority="9" operator="equal" stopIfTrue="1">
      <formula>"FavBet"</formula>
    </cfRule>
    <cfRule type="cellIs" dxfId="44" priority="10" operator="equal" stopIfTrue="1">
      <formula>"Leon"</formula>
    </cfRule>
    <cfRule type="cellIs" dxfId="45" priority="11" operator="equal" stopIfTrue="1">
      <formula>"MarathonBet"</formula>
    </cfRule>
    <cfRule type="cellIs" dxfId="46" priority="12" operator="equal" stopIfTrue="1">
      <formula>"ZenitBet"</formula>
    </cfRule>
    <cfRule type="cellIs" dxfId="47" priority="13" operator="equal" stopIfTrue="1">
      <formula>"TempoBet"</formula>
    </cfRule>
  </conditionalFormatting>
  <conditionalFormatting sqref="AF3:CF3 CH3 CJ3 CL3 CN3 CP3 CR3 CT3 CV3 CX3 CZ3 DB3 DD3">
    <cfRule type="beginsWith" dxfId="48" priority="1" stopIfTrue="1" text="BetFair">
      <formula>FIND(UPPER("BetFair"),UPPER(AF3))=1</formula>
      <formula>"BetFair"</formula>
    </cfRule>
    <cfRule type="cellIs" dxfId="49" priority="2" operator="equal" stopIfTrue="1">
      <formula>"Pinnacle"</formula>
    </cfRule>
    <cfRule type="cellIs" dxfId="50" priority="3" operator="equal" stopIfTrue="1">
      <formula>"Bet365"</formula>
    </cfRule>
    <cfRule type="cellIs" dxfId="51" priority="4" operator="equal" stopIfTrue="1">
      <formula>"BetWay"</formula>
    </cfRule>
    <cfRule type="cellIs" dxfId="52" priority="5" operator="equal" stopIfTrue="1">
      <formula>"DafaBet"</formula>
    </cfRule>
    <cfRule type="cellIs" dxfId="53" priority="6" operator="equal" stopIfTrue="1">
      <formula>"1xBet"</formula>
    </cfRule>
    <cfRule type="cellIs" dxfId="54" priority="7" operator="equal" stopIfTrue="1">
      <formula>"VBet"</formula>
    </cfRule>
    <cfRule type="cellIs" dxfId="55" priority="8" operator="equal" stopIfTrue="1">
      <formula>"TitanBet"</formula>
    </cfRule>
    <cfRule type="cellIs" dxfId="56" priority="9" operator="equal" stopIfTrue="1">
      <formula>"FavBet"</formula>
    </cfRule>
    <cfRule type="cellIs" dxfId="57" priority="10" operator="equal" stopIfTrue="1">
      <formula>"Leon"</formula>
    </cfRule>
    <cfRule type="cellIs" dxfId="58" priority="11" operator="equal" stopIfTrue="1">
      <formula>"MarathonBet"</formula>
    </cfRule>
    <cfRule type="cellIs" dxfId="59" priority="12" operator="equal" stopIfTrue="1">
      <formula>"ZenitBet"</formula>
    </cfRule>
    <cfRule type="cellIs" dxfId="60" priority="13" operator="equal" stopIfTrue="1">
      <formula>"TempoBet"</formula>
    </cfRule>
    <cfRule type="cellIs" dxfId="61" priority="14" operator="equal" stopIfTrue="1">
      <formula>"Smarkets"</formula>
    </cfRule>
  </conditionalFormatting>
  <conditionalFormatting sqref="A4 A7 A10 A13 A16 A19 A22 A25 A28 A31 A34 A37 A40 A43 A46 A49 A52 A55 A58 A61 A64 A67 A70 A73 A76 A79 A82 A85 A88 A91 A94 A97 A100 A103 A106 A109 A112 A115 A118 A121 A124 A127 A130 A133 A136 A139 A142 A145 A148 A151 A154 A157 A160 A163 A166 A169 A172 A175 A178 A181 A184 A187 A190 A193 A196 A199 A202 A205 A208 A211 A214 A217 A220 A223 A226 A229 A232 A235 A238 A241 A244 A247 A250 A253 A256 A259 A262 A265 A268 A271 A274 A277 A280 A283 A286 A289 A292 A295 A298 A301 A304 A307 A310 A313 A316 A319 A322 A325 A328 A331 A334 A337 A340 A343 A346 A349 A352 A355 A358 A361 A364 A367 A370 A373 A376 A379 A382 A385 A388 A391 A394 A397 A400 A403 A406 A409 A412 A415 A418 A421 A424 A427 A430 A433 A436 A439 A442 A445 A448 A451 A454 A457 A460 A463 A466 A469 A472 A475 A478 A481 A484 A487 A490 A493 A496 A499 A502 A505 A508 A511 A514 A517 A520 A523 A526 A529 A532 A535 A538 A541 A544 A547 A550 A553 A556 A559 A562 A565 A568 A571 A574 A577 A580 A583 A586 A589 A592 A595 A598 A601 A604 A607 A610 A613 A616 A619 A622 A625 A628 A631 A634 A637 A640 A643 A646 A649 A652 A655 A658 A661 A664 A667 A670 A673 A676 A679 A682 A685 A688 A691 A694 A697 A700 A703 A706 A709 A712 A715 A718 A721 A724 A727 A730 A733 A736 A739 A742 A745 A748 A751 A754 A757 A760">
    <cfRule type="cellIs" dxfId="62" priority="1" operator="equal" stopIfTrue="1">
      <formula>"OK"</formula>
    </cfRule>
    <cfRule type="cellIs" dxfId="63" priority="2" operator="equal" stopIfTrue="1">
      <formula>"LOSS"</formula>
    </cfRule>
    <cfRule type="cellIs" dxfId="64" priority="3" operator="equal" stopIfTrue="1">
      <formula>"Anulado"</formula>
    </cfRule>
  </conditionalFormatting>
  <conditionalFormatting sqref="B4 B7 B10 B13 B16 B19 B22 B25 B28 B31 B34 B37 B40 B43 B46 B49 B52 B55 B58 B61 B64 B67 B70 B73 B76 B79 B82 B85 B88 B91 B94 B97 B100 B103 B106 B109 B112 B115 B118 B121 B124 B127 B130 B133 B136 B139 B142 B145 B148 B151 B154 B157 B160 B163 B166 B169 B172 B175 B178 B181 B184 B187 B190 B193 B196 B199 B202 B205 B208 B211 B214 B217 B220 B223 B226 B229 B232 B235 B238 B241 B244 B247 B250 B253 B256 B259 B262 B265 B268 B271 B274 B277 B280 B283 B286 B289 B292 B295 B298 B301 B304 B307 B310 B313 B316 B319 B322 B325 B328 B331 B334 B337 B340 B343 B346 B349 B352 B355 B358 B361 B364 B367 B370 B373 B376 B379 B382 B385 B388 B391 B394 B397 B400 B403 B406 B409 B412 B415 B418 B421 B424 B427 B430 B433 B436 B439 B442 B445 B448 B451 B454 B457 B460 B463 B466 B469 B472 B475 B478 B481 B484 B487 B490 B493 B496 B499 B502 B505 B508 B511 B514 B517 B520 B523 B526 B529 B532 B535 B538 B541 B544 B547 B550 B553 B556 B559 B562 B565 B568 B571 B574 B577 B580 B583 B586 B589 B592 B595 B598 B601 B604 B607 B610 B613 B616 B619 B622 B625 B628 B631 B634 B637 B640 B643 B646 B649 B652 B655 B658 B661 B664 B667 B670 B673 B676 B679 B682 B685 B688 B691 B694 B697 B700 B703 B706 B709 B712 B715 B718 B721 B724 B727 B730 B733 B736 B739 B742 B745 B748 B751 B754 B757 B760">
    <cfRule type="cellIs" dxfId="65" priority="1" operator="equal" stopIfTrue="1">
      <formula>"OK"</formula>
    </cfRule>
    <cfRule type="cellIs" dxfId="66" priority="2" operator="equal" stopIfTrue="1">
      <formula>"LOSS"</formula>
    </cfRule>
    <cfRule type="cellIs" dxfId="67" priority="3" operator="equal" stopIfTrue="1">
      <formula>"Anulado"</formula>
    </cfRule>
    <cfRule type="cellIs" dxfId="68" priority="4" operator="equal" stopIfTrue="1">
      <formula>"X"</formula>
    </cfRule>
  </conditionalFormatting>
  <conditionalFormatting sqref="K4:K762">
    <cfRule type="beginsWith" dxfId="70" priority="1" stopIfTrue="1" text="BetFair">
      <formula>FIND(UPPER("BetFair"),UPPER(K4))=1</formula>
      <formula>"BetFair"</formula>
    </cfRule>
    <cfRule type="cellIs" dxfId="71" priority="2" operator="equal" stopIfTrue="1">
      <formula>"Pinnacle"</formula>
    </cfRule>
    <cfRule type="cellIs" dxfId="72" priority="3" operator="equal" stopIfTrue="1">
      <formula>"Bet365"</formula>
    </cfRule>
    <cfRule type="cellIs" dxfId="73" priority="4" operator="equal" stopIfTrue="1">
      <formula>"BetWay"</formula>
    </cfRule>
    <cfRule type="cellIs" dxfId="74" priority="5" operator="equal" stopIfTrue="1">
      <formula>"DafaBet"</formula>
    </cfRule>
    <cfRule type="cellIs" dxfId="75" priority="6" operator="equal" stopIfTrue="1">
      <formula>"1xBet"</formula>
    </cfRule>
    <cfRule type="cellIs" dxfId="76" priority="7" operator="equal" stopIfTrue="1">
      <formula>"VBet"</formula>
    </cfRule>
    <cfRule type="cellIs" dxfId="77" priority="8" operator="equal" stopIfTrue="1">
      <formula>"TitanBet"</formula>
    </cfRule>
    <cfRule type="cellIs" dxfId="78" priority="9" operator="equal" stopIfTrue="1">
      <formula>"FavBet"</formula>
    </cfRule>
    <cfRule type="cellIs" dxfId="79" priority="10" operator="equal" stopIfTrue="1">
      <formula>"Leon"</formula>
    </cfRule>
    <cfRule type="cellIs" dxfId="80" priority="11" operator="equal" stopIfTrue="1">
      <formula>"MarathonBet"</formula>
    </cfRule>
    <cfRule type="cellIs" dxfId="81" priority="12" operator="equal" stopIfTrue="1">
      <formula>"ZenitBet"</formula>
    </cfRule>
    <cfRule type="cellIs" dxfId="82" priority="13" operator="equal" stopIfTrue="1">
      <formula>"TempoBet"</formula>
    </cfRule>
    <cfRule type="cellIs" dxfId="83" priority="14" operator="equal" stopIfTrue="1">
      <formula>"Smarkets"</formula>
    </cfRule>
  </conditionalFormatting>
  <conditionalFormatting sqref="S4 S7 S10 S13 S16 S19 S22 S25 S28 S31 S34 S37 S40 S43 S46 S49 S52 S55 S58 S61 S64 S67 S70 S73 S76 S79 S82 S85 S88 S91 S94 S97 S100 S103 S106 S109 S112 S115 S118 S121 S124 S127 S130 S133 S136 S139 S142 S145 S148 S151 S154 S157 S160 S163 S166 S169 S172 S175 S178 S181 S184 S187 S190 S193 S196 S199 S202 S205 S208 S211 S214 S217 S220 S223 S226 S229 S232 S235 S238 S241 S244 S247 S250 S253 S256 S259 S262 S265 S268 S271 S274 S277 S280 S283 S286 S289 S292 S295 S298 S301 S304 S307 S310 S313 S316 S319 S322 S325 S328 S331 S334 S337 S340 S343 S346 S349 S352 S355 S358 S361 S364 S367 S370 S373 S376 S379 S382 S385 S388 S391 S394 S397 S400 S403 S406 S409 S412 S415 S418 S421 S424 S427 S430 S433 S436 S439 S442 S445 S448 S451 S454 S457 S460 S463 S466 S469 S472 S475 S478 S481 S484 S487 S490 S493 S496 S499 S502 S505 S508 S511 S514 S517 S520 S523 S526 S529 S532 S535 S538 S541 S544 S547 S550 S553 S556 S559 S562 S565 S568 S571 S574 S577 S580 S583 S586 S589 S592 S595 S598 S601 S604 S607 S610 S613 S616 S619 S622 S625 S628 S631 S634 S637 S640 S643 S646 S649 S652 S655 S658 S661 S664 S667 S670 S673 S676 S679 S682 S685 S688 S691 S694 S697 S700 S703 S706 S709 S712 S715 S718 S721 S724 S727 S730 S733 S736 S739 S742 S745 S748 S751 S754 S757 S760">
    <cfRule type="cellIs" dxfId="84" priority="1" operator="greaterThan" stopIfTrue="1">
      <formula>0</formula>
    </cfRule>
    <cfRule type="cellIs" dxfId="85" priority="2" operator="lessThan" stopIfTrue="1">
      <formula>0</formula>
    </cfRule>
  </conditionalFormatting>
  <conditionalFormatting sqref="V4:W4 V7:W7 V10:W10 V13:W13 V16:W16 V19:W19 V22:W22 V25:W25 V28:W28 V31:W31 V34:W34 V37:W37 V40:W40 V43:W43 V46:W46 V49:W49 V52:W52 V55:W55 V58:W58 V61:W61 V64:W64 V67:W67 V70:W70 V73:W73 V76:W76 V79:W79 V82:W82 V85:W85 V88:W88 V91:W91 V94:W94 V97:W97 V100:W100 V103:W103 V106:W106 V109:W109 V112:W112 V115:W115 V118:W118 V121:W121 V124:W124 V127:W127 V130:W130 V133:W133 V136:W136 V139:W139 V142:W142 V145:W145 V148:W148 V151:W151 V154:W154 V157:W157 V160:W160 V163:W163 V166:W166 V169:W169 V172:W172 V175:W175 V178:W178 V181:W181 V184:W184 V187:W187 V190:W190 V193:W193 V196:W196 V199:W199 V202:W202 V205:W205 V208:W208 V211:W211 V214:W214 V217:W217 V220:W220 V223:W223 V226:W226 V229:W229 V232:W232 V235:W235 V238:W238 V241:W241 V244:W244 V247:W247 V250:W250 V253:W253 V256:W256 V259:W259 V262:W262 V265:W265 V268:W268 V271:W271 V274:W274 V277:W277 V280:W280 V283:W283 V286:W286 V289:W289 V292:W292 V295:W295 V298:W298 V301:W301 V304:W304 V307:W307 V310:W310 V313:W313 V316:W316 V319:W319 V322:W322 V325:W325 V328:W328 V331:W331 V334:W334 V337:W337 V340:W340 V343:W343 V346:W346 V349:W349 V352:W352 V355:W355 V358:W358 V361:W361 V364:W364 V367:W367 V370:W370 V373:W373 V376:W376 V379:W379 V382:W382 V385:W385 V388:W388 V391:W391 V394:W394 V397:W397 V400:W400 V403:W403 V406:W406 V409:W409 V412:W412 V415:W415 V418:W418 V421:W421 V424:W424 V427:W427 V430:W430 V433:W433 V436:W436 V439:W439 V442:W442 V445:W445 V448:W448 V451:W451 V454:W454 V457:W457 V460:W460 V463:W463 V466:W466 V469:W469 V472:W472 V475:W475 V478:W478 V481:W481 V484:W484 V487:W487 V490:W490 V493:W493 V496:W496 V499:W499 V502:W502 V505:W505 V508:W508 V511:W511 V514:W514 V517:W517 V520:W520 V523:W523 V526:W526 V529:W529 V532:W532 V535:W535 V538:W538 V541:W541 V544:W544 V547:W547 V550:W550 V553:W553 V556:W556 V559:W559 V562:W562 V565:W565 V568:W568 V571:W571 V574:W574 V577:W577 V580:W580 V583:W583 V586:W586 V589:W589 V592:W592 V595:W595 V598:W598 V601:W601 V604:W604 V607:W607 V610:W610 V613:W613 V616:W616 V619:W619 V622:W622 V625:W625 V628:W628 V631:W631 V634:W634 V637:W637 V640:W640 V643:W643 V646:W646 V649:W649 V652:W652 V655:W655 V658:W658 V661:W661 V664:W664 V667:W667 V670:W670 V673:W673 V676:W676 V679:W679 V682:W682 V685:W685 V688:W688 V691:W691 V694:W694 V697:W697 V700:W700 V703:W703 V706:W706 V709:W709 V712:W712 V715:W715 V718:W718 V721:W721 V724:W724 V727:W727 V730:W730 V733:W733 V736:W736 V739:W739 V742:W742 V745:W745 V748:W748 V751:W751 V754:W754 V757:W757 V760:W760">
    <cfRule type="cellIs" dxfId="86" priority="1" operator="lessThan" stopIfTrue="1">
      <formula>0</formula>
    </cfRule>
    <cfRule type="cellIs" dxfId="87" priority="2" operator="lessThan" stopIfTrue="1">
      <formula>50</formula>
    </cfRule>
    <cfRule type="cellIs" dxfId="88" priority="3" operator="between" stopIfTrue="1">
      <formula>50</formula>
      <formula>70</formula>
    </cfRule>
    <cfRule type="cellIs" dxfId="89" priority="4" operator="between" stopIfTrue="1">
      <formula>70</formula>
      <formula>100</formula>
    </cfRule>
    <cfRule type="cellIs" dxfId="90" priority="5" operator="greaterThan" stopIfTrue="1">
      <formula>100</formula>
    </cfRule>
  </conditionalFormatting>
  <dataValidations count="4">
    <dataValidation type="list" allowBlank="1" showInputMessage="1" showErrorMessage="1" sqref="C4:C762">
      <formula1>" ,W,1/2W,L,1/2L,X"</formula1>
    </dataValidation>
    <dataValidation type="list" allowBlank="1" showInputMessage="1" showErrorMessage="1" sqref="I4:I6">
      <formula1>",1,12,1X,X,X2,2,AH1,AH2,CleanSheet1,CleanSheet2,DNB1,DNB2,EH1,EH2,EHX1,EHX2,Lay,Not CleanSheet1,Not CleanSheet2,Not ScoreBoth,Not WinNil1,Not WinNil2,Not WinLeastOneOfPer1,Not WinLeastOneOfPer2,Removal Yes,Removal No,ScoreBoth,TO,TU,TO1,TU1,TO2,TU2"</formula1>
    </dataValidation>
    <dataValidation type="list" allowBlank="1" showInputMessage="1" showErrorMessage="1" sqref="K4:K762">
      <formula1>",Bet365,BetFair,BetFair Ex,BetWay,FavBet,Pinnacle,Smarkets,VBet"</formula1>
    </dataValidation>
    <dataValidation type="list" allowBlank="1" showInputMessage="1" showErrorMessage="1" sqref="I7:I762">
      <formula1>",1,12,1X,X,X2,2,AH1,AH2,CleanSheet1,CleanSheet2,DNB1,DNB2,EH1,EH2,EHX1,EHX2,Lay,Not CleanSheet1,Not CleanSheet2,Not ScoreBoth,Not WinNil1,Not WinNil2,Not WinLeastOneOfPer1,Not WinLeastOneOfPer2,Removal Yes,Removal No,ScoreBoth,TO,TU,WinNil1,WinNil2"</formula1>
    </dataValidation>
  </dataValidation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2:R16"/>
  <sheetViews>
    <sheetView workbookViewId="0" showGridLines="0" defaultGridColor="1">
      <pane topLeftCell="C3" xSplit="2" ySplit="2" activePane="bottomRight" state="frozen"/>
    </sheetView>
  </sheetViews>
  <sheetFormatPr defaultColWidth="16.3333" defaultRowHeight="15.4" customHeight="1" outlineLevelRow="0" outlineLevelCol="0"/>
  <cols>
    <col min="1" max="1" width="16.3516" style="356" customWidth="1"/>
    <col min="2" max="2" width="6.67188" style="356" customWidth="1"/>
    <col min="3" max="3" width="4.5" style="356" customWidth="1"/>
    <col min="4" max="4" width="16.3516" style="356" customWidth="1"/>
    <col min="5" max="5" width="12.5" style="356" customWidth="1"/>
    <col min="6" max="9" width="13.8516" style="356" customWidth="1"/>
    <col min="10" max="10" width="6.85156" style="356" customWidth="1"/>
    <col min="11" max="11" width="6.5" style="356" customWidth="1"/>
    <col min="12" max="12" width="7.35156" style="356" customWidth="1"/>
    <col min="13" max="13" width="8.35156" style="356" customWidth="1"/>
    <col min="14" max="17" width="9.67188" style="356" customWidth="1"/>
    <col min="18" max="18" width="7.35156" style="356" customWidth="1"/>
    <col min="19" max="16384" width="16.3516" style="356" customWidth="1"/>
  </cols>
  <sheetData>
    <row r="1" ht="14.8" customHeight="1">
      <c r="A1" t="s" s="2">
        <v>525</v>
      </c>
      <c r="B1" s="2"/>
      <c r="C1" s="2"/>
      <c r="D1" s="2"/>
      <c r="E1" s="2"/>
      <c r="F1" s="2"/>
      <c r="G1" s="2"/>
      <c r="H1" s="2"/>
      <c r="I1" s="2"/>
      <c r="J1" s="2"/>
      <c r="K1" s="2"/>
      <c r="L1" s="2"/>
      <c r="M1" s="2"/>
      <c r="N1" s="2"/>
      <c r="O1" s="2"/>
      <c r="P1" s="2"/>
      <c r="Q1" s="2"/>
      <c r="R1" s="2"/>
    </row>
    <row r="2" ht="13.1" customHeight="1">
      <c r="A2" s="357"/>
      <c r="B2" t="s" s="358">
        <v>15</v>
      </c>
      <c r="C2" t="s" s="358">
        <v>526</v>
      </c>
      <c r="D2" t="s" s="358">
        <v>527</v>
      </c>
      <c r="E2" t="s" s="359">
        <v>528</v>
      </c>
      <c r="F2" t="s" s="358">
        <v>529</v>
      </c>
      <c r="G2" t="s" s="359">
        <v>530</v>
      </c>
      <c r="H2" t="s" s="358">
        <v>531</v>
      </c>
      <c r="I2" t="s" s="358">
        <v>532</v>
      </c>
      <c r="J2" s="360"/>
      <c r="K2" t="s" s="358">
        <v>533</v>
      </c>
      <c r="L2" t="s" s="358">
        <v>534</v>
      </c>
      <c r="M2" t="s" s="358">
        <v>16</v>
      </c>
      <c r="N2" t="s" s="358">
        <v>535</v>
      </c>
      <c r="O2" t="s" s="358">
        <v>536</v>
      </c>
      <c r="P2" t="s" s="358">
        <v>537</v>
      </c>
      <c r="Q2" t="s" s="358">
        <v>538</v>
      </c>
      <c r="R2" t="s" s="358">
        <v>539</v>
      </c>
    </row>
    <row r="3" ht="13.1" customHeight="1">
      <c r="A3" t="s" s="361">
        <v>37</v>
      </c>
      <c r="B3" s="362">
        <f>_xlfn.XLOOKUP($A3,'Janeiro 2023 - Outubro 2022'!K4:K762,'Janeiro 2023 - Outubro 2022'!R4:R762,0,,-1)</f>
        <v>0</v>
      </c>
      <c r="C3" s="363">
        <v>0</v>
      </c>
      <c r="D3" s="364">
        <v>1146.45</v>
      </c>
      <c r="E3" s="365">
        <f>D3+O3+SUM('Janeiro 2023 - Outubro 2022'!AF4:AF762)-N3</f>
        <v>969.5599999999999</v>
      </c>
      <c r="F3" s="364">
        <f>SUM('Janeiro 2023 - Outubro 2022'!AS4:AS762)</f>
        <v>0</v>
      </c>
      <c r="G3" s="365">
        <f>SUM(E3:F3)</f>
        <v>969.5599999999999</v>
      </c>
      <c r="H3" s="364">
        <v>1041.29</v>
      </c>
      <c r="I3" s="364">
        <f>G3-H3</f>
        <v>-71.73</v>
      </c>
      <c r="J3" s="366">
        <f>G3/IF(H3=0,1,H3)-IF(H3=0,0,1)</f>
        <v>-0.0688857090724006</v>
      </c>
      <c r="K3" s="367">
        <f>SUM('Janeiro 2023 - Outubro 2022'!CF4:CF762)</f>
        <v>29</v>
      </c>
      <c r="L3" s="367">
        <f>SUM('Janeiro 2023 - Outubro 2022'!CG4:CG762)</f>
        <v>54</v>
      </c>
      <c r="M3" s="364">
        <f>SUM('Janeiro 2023 - Outubro 2022'!BS4:BS762)</f>
        <v>101.92</v>
      </c>
      <c r="N3" s="364"/>
      <c r="O3" s="364"/>
      <c r="P3" s="364">
        <f>SUM('Janeiro 2023 - Outubro 2022'!BF4:BF762)</f>
        <v>1089.81</v>
      </c>
      <c r="Q3" s="364"/>
      <c r="R3" s="367">
        <v>0</v>
      </c>
    </row>
    <row r="4" ht="12.9" customHeight="1">
      <c r="A4" t="s" s="368">
        <v>38</v>
      </c>
      <c r="B4" s="369">
        <f>_xlfn.XLOOKUP($A4,'Janeiro 2023 - Outubro 2022'!K4:K762,'Janeiro 2023 - Outubro 2022'!R4:R762,0,,-1)</f>
        <v>0</v>
      </c>
      <c r="C4" s="370">
        <v>0</v>
      </c>
      <c r="D4" s="371">
        <v>2760.07</v>
      </c>
      <c r="E4" s="372">
        <f>D4+O4+SUM('Janeiro 2023 - Outubro 2022'!AG4:AG762)-N4</f>
        <v>2492.26</v>
      </c>
      <c r="F4" s="371">
        <f>SUM('Janeiro 2023 - Outubro 2022'!AT4:AT762)</f>
        <v>0</v>
      </c>
      <c r="G4" s="372"/>
      <c r="H4" s="371"/>
      <c r="I4" s="371">
        <f>G4-H4</f>
        <v>0</v>
      </c>
      <c r="J4" s="373"/>
      <c r="K4" s="374">
        <f>SUM('Janeiro 2023 - Outubro 2022'!CH4:CH762)</f>
        <v>40</v>
      </c>
      <c r="L4" s="374">
        <f>SUM('Janeiro 2023 - Outubro 2022'!CI4:CI762)</f>
        <v>52</v>
      </c>
      <c r="M4" s="371">
        <f>SUM('Janeiro 2023 - Outubro 2022'!BT4:BT762)</f>
        <v>49.44</v>
      </c>
      <c r="N4" s="371"/>
      <c r="O4" s="371"/>
      <c r="P4" s="371">
        <f>SUM('Janeiro 2023 - Outubro 2022'!BG4:BG762)</f>
        <v>1388.12</v>
      </c>
      <c r="Q4" s="371"/>
      <c r="R4" s="374"/>
    </row>
    <row r="5" ht="12.9" customHeight="1">
      <c r="A5" t="s" s="368">
        <v>39</v>
      </c>
      <c r="B5" s="369">
        <f>_xlfn.XLOOKUP($A5,'Janeiro 2023 - Outubro 2022'!K4:K762,'Janeiro 2023 - Outubro 2022'!R4:R762,0,,-1)</f>
        <v>0</v>
      </c>
      <c r="C5" s="375">
        <v>0.065</v>
      </c>
      <c r="D5" s="371">
        <v>0</v>
      </c>
      <c r="E5" s="372">
        <f>D5+O5+SUM('Janeiro 2023 - Outubro 2022'!AH4:AH762)-N5</f>
        <v>332.36</v>
      </c>
      <c r="F5" s="371">
        <f>SUM('Janeiro 2023 - Outubro 2022'!AU4:AU762)</f>
        <v>0</v>
      </c>
      <c r="G5" s="372">
        <f>SUM(E4:F5)</f>
        <v>2824.62</v>
      </c>
      <c r="H5" s="371">
        <v>2808.5</v>
      </c>
      <c r="I5" s="371">
        <f>G5-H5</f>
        <v>16.12</v>
      </c>
      <c r="J5" s="373">
        <f>G5/IF(H5=0,1,H5)-IF(H5=0,0,1)</f>
        <v>0.00573971871105572</v>
      </c>
      <c r="K5" s="374">
        <f>SUM('Janeiro 2023 - Outubro 2022'!CJ4:CJ762)</f>
        <v>10</v>
      </c>
      <c r="L5" s="374">
        <f>SUM('Janeiro 2023 - Outubro 2022'!CK4:CK762)</f>
        <v>11</v>
      </c>
      <c r="M5" s="371">
        <f>SUM('Janeiro 2023 - Outubro 2022'!BU4:BU762)</f>
        <v>32.05</v>
      </c>
      <c r="N5" s="371"/>
      <c r="O5" s="371"/>
      <c r="P5" s="371">
        <f>SUM('Janeiro 2023 - Outubro 2022'!BH4:BH762)</f>
        <v>855.3200000000001</v>
      </c>
      <c r="Q5" s="371"/>
      <c r="R5" s="374">
        <v>0</v>
      </c>
    </row>
    <row r="6" ht="12.9" customHeight="1">
      <c r="A6" t="s" s="368">
        <v>40</v>
      </c>
      <c r="B6" s="369">
        <f>_xlfn.XLOOKUP($A6,'Janeiro 2023 - Outubro 2022'!K4:K762,'Janeiro 2023 - Outubro 2022'!R4:R762,0,,-1)</f>
        <v>0</v>
      </c>
      <c r="C6" s="370">
        <v>0</v>
      </c>
      <c r="D6" s="371">
        <v>422.26</v>
      </c>
      <c r="E6" s="372">
        <f>D6+O6+SUM('Janeiro 2023 - Outubro 2022'!AI4:AI762)-N6</f>
        <v>404.04</v>
      </c>
      <c r="F6" s="371">
        <f>SUM('Janeiro 2023 - Outubro 2022'!AV4:AV762)</f>
        <v>0</v>
      </c>
      <c r="G6" s="372">
        <f>SUM(E6:F6)</f>
        <v>404.04</v>
      </c>
      <c r="H6" s="371">
        <v>397.21</v>
      </c>
      <c r="I6" s="371">
        <f>G6-H6</f>
        <v>6.83</v>
      </c>
      <c r="J6" s="373">
        <f>G6/IF(H6=0,1,H6)-IF(H6=0,0,1)</f>
        <v>0.0171949346693185</v>
      </c>
      <c r="K6" s="374">
        <f>SUM('Janeiro 2023 - Outubro 2022'!CL4:CL762)</f>
        <v>9</v>
      </c>
      <c r="L6" s="374">
        <f>SUM('Janeiro 2023 - Outubro 2022'!CM4:CM762)</f>
        <v>18</v>
      </c>
      <c r="M6" s="371">
        <f>SUM('Janeiro 2023 - Outubro 2022'!BV4:BV762)</f>
        <v>8.199999999999999</v>
      </c>
      <c r="N6" s="371"/>
      <c r="O6" s="371"/>
      <c r="P6" s="371">
        <f>SUM('Janeiro 2023 - Outubro 2022'!BI4:BI762)</f>
        <v>144.81</v>
      </c>
      <c r="Q6" s="371"/>
      <c r="R6" s="374">
        <v>0</v>
      </c>
    </row>
    <row r="7" ht="12.9" customHeight="1">
      <c r="A7" t="s" s="368">
        <v>41</v>
      </c>
      <c r="B7" s="369">
        <f>_xlfn.XLOOKUP($A7,'Janeiro 2023 - Outubro 2022'!K4:K762,'Janeiro 2023 - Outubro 2022'!R4:R762,0,,-1)</f>
        <v>0</v>
      </c>
      <c r="C7" s="370">
        <v>0</v>
      </c>
      <c r="D7" s="371">
        <v>590.41</v>
      </c>
      <c r="E7" s="372">
        <f>D7+O7+SUM('Janeiro 2023 - Outubro 2022'!AJ4:AJ762)-N7</f>
        <v>680.8</v>
      </c>
      <c r="F7" s="371">
        <f>SUM('Janeiro 2023 - Outubro 2022'!AW4:AW762)</f>
        <v>0</v>
      </c>
      <c r="G7" s="372">
        <f>SUM(E7:F7)</f>
        <v>680.8</v>
      </c>
      <c r="H7" s="371">
        <v>503.42</v>
      </c>
      <c r="I7" s="371">
        <f>G7-H7</f>
        <v>177.38</v>
      </c>
      <c r="J7" s="373">
        <f>G7/IF(H7=0,1,H7)-IF(H7=0,0,1)</f>
        <v>0.352349926502721</v>
      </c>
      <c r="K7" s="374">
        <f>SUM('Janeiro 2023 - Outubro 2022'!CN4:CN762)</f>
        <v>69</v>
      </c>
      <c r="L7" s="374">
        <f>SUM('Janeiro 2023 - Outubro 2022'!CO4:CO762)</f>
        <v>42</v>
      </c>
      <c r="M7" s="371">
        <f>SUM('Janeiro 2023 - Outubro 2022'!BW4:BW762)</f>
        <v>114.93</v>
      </c>
      <c r="N7" s="371"/>
      <c r="O7" s="371"/>
      <c r="P7" s="371">
        <f>SUM('Janeiro 2023 - Outubro 2022'!BJ4:BJ762)</f>
        <v>1840.54</v>
      </c>
      <c r="Q7" s="371"/>
      <c r="R7" s="374">
        <v>0</v>
      </c>
    </row>
    <row r="8" ht="8.35" customHeight="1" hidden="1">
      <c r="A8" t="s" s="368">
        <v>42</v>
      </c>
      <c r="B8" s="369">
        <f>_xlfn.XLOOKUP($A8,'Janeiro 2023 - Outubro 2022'!K4:K762,'Janeiro 2023 - Outubro 2022'!R4:R762,0,,-1)</f>
        <v>0</v>
      </c>
      <c r="C8" s="370">
        <v>0</v>
      </c>
      <c r="D8" s="371">
        <v>0</v>
      </c>
      <c r="E8" s="372">
        <f>D8+O8+SUM('Janeiro 2023 - Outubro 2022'!AK4:AK762)-N8</f>
        <v>0</v>
      </c>
      <c r="F8" s="371">
        <f>SUM('Janeiro 2023 - Outubro 2022'!AX4:AX762)</f>
        <v>0</v>
      </c>
      <c r="G8" s="372">
        <f>SUM(E8:F8)</f>
        <v>0</v>
      </c>
      <c r="H8" s="371">
        <v>0</v>
      </c>
      <c r="I8" s="371">
        <f>G8-H8</f>
        <v>0</v>
      </c>
      <c r="J8" s="373">
        <f>G8/IF(H8=0,1,H8)-IF(H8=0,0,1)</f>
        <v>0</v>
      </c>
      <c r="K8" s="374">
        <f>SUM('Janeiro 2023 - Outubro 2022'!CP4:CP762)</f>
        <v>0</v>
      </c>
      <c r="L8" s="374">
        <f>SUM('Janeiro 2023 - Outubro 2022'!CQ4:CQ762)</f>
        <v>0</v>
      </c>
      <c r="M8" s="371">
        <f>SUM('Janeiro 2023 - Outubro 2022'!BX4:BX762)</f>
        <v>0</v>
      </c>
      <c r="N8" s="371"/>
      <c r="O8" s="371"/>
      <c r="P8" s="371">
        <f>SUM('Janeiro 2023 - Outubro 2022'!BK4:BK762)</f>
        <v>0</v>
      </c>
      <c r="Q8" s="371"/>
      <c r="R8" s="374">
        <v>0</v>
      </c>
    </row>
    <row r="9" ht="8.35" customHeight="1" hidden="1">
      <c r="A9" t="s" s="368">
        <v>43</v>
      </c>
      <c r="B9" s="369">
        <f>_xlfn.XLOOKUP($A9,'Janeiro 2023 - Outubro 2022'!K4:K762,'Janeiro 2023 - Outubro 2022'!R4:R762,0,,-1)</f>
        <v>0</v>
      </c>
      <c r="C9" s="370">
        <v>0</v>
      </c>
      <c r="D9" s="371">
        <v>0</v>
      </c>
      <c r="E9" s="372">
        <f>D9+O9+SUM('Janeiro 2023 - Outubro 2022'!AL4:AL762)-N9</f>
        <v>0</v>
      </c>
      <c r="F9" s="371">
        <f>SUM('Janeiro 2023 - Outubro 2022'!AY4:AY762)</f>
        <v>0</v>
      </c>
      <c r="G9" s="372">
        <f>SUM(E9:F9)</f>
        <v>0</v>
      </c>
      <c r="H9" s="371">
        <v>0</v>
      </c>
      <c r="I9" s="371">
        <f>G9-H9</f>
        <v>0</v>
      </c>
      <c r="J9" s="373">
        <f>G9/IF(H9=0,1,H9)-IF(H9=0,0,1)</f>
        <v>0</v>
      </c>
      <c r="K9" s="374">
        <f>SUM('Janeiro 2023 - Outubro 2022'!CR4:CR762)</f>
        <v>0</v>
      </c>
      <c r="L9" s="374">
        <f>SUM('Janeiro 2023 - Outubro 2022'!CS4:CS762)</f>
        <v>0</v>
      </c>
      <c r="M9" s="371">
        <f>SUM('Janeiro 2023 - Outubro 2022'!BY4:BY762)</f>
        <v>0</v>
      </c>
      <c r="N9" s="371"/>
      <c r="O9" s="371"/>
      <c r="P9" s="371">
        <f>SUM('Janeiro 2023 - Outubro 2022'!BL4:BL762)</f>
        <v>0</v>
      </c>
      <c r="Q9" s="371"/>
      <c r="R9" s="374">
        <v>0</v>
      </c>
    </row>
    <row r="10" ht="12.9" customHeight="1">
      <c r="A10" t="s" s="368">
        <v>44</v>
      </c>
      <c r="B10" s="369">
        <f>_xlfn.XLOOKUP($A10,'Janeiro 2023 - Outubro 2022'!K4:K762,'Janeiro 2023 - Outubro 2022'!R4:R762,0,,-1)</f>
        <v>0</v>
      </c>
      <c r="C10" s="370">
        <v>0</v>
      </c>
      <c r="D10" s="371">
        <v>1094.68</v>
      </c>
      <c r="E10" s="372">
        <f>D10+O10+SUM('Janeiro 2023 - Outubro 2022'!AM4:AM762)-N10</f>
        <v>628.4</v>
      </c>
      <c r="F10" s="371">
        <f>SUM('Janeiro 2023 - Outubro 2022'!AZ4:AZ762)</f>
        <v>0</v>
      </c>
      <c r="G10" s="372">
        <f>SUM(E10:F10)</f>
        <v>628.4</v>
      </c>
      <c r="H10" s="371">
        <v>688.03</v>
      </c>
      <c r="I10" s="371">
        <f>G10-H10</f>
        <v>-59.63</v>
      </c>
      <c r="J10" s="373">
        <f>G10/IF(H10=0,1,H10)-IF(H10=0,0,1)</f>
        <v>-0.08666773251166369</v>
      </c>
      <c r="K10" s="374">
        <f>SUM('Janeiro 2023 - Outubro 2022'!CT4:CT762)</f>
        <v>39</v>
      </c>
      <c r="L10" s="374">
        <f>SUM('Janeiro 2023 - Outubro 2022'!CU4:CU762)</f>
        <v>39</v>
      </c>
      <c r="M10" s="371">
        <f>SUM('Janeiro 2023 - Outubro 2022'!BZ4:BZ762)</f>
        <v>65.81999999999999</v>
      </c>
      <c r="N10" s="371"/>
      <c r="O10" s="371"/>
      <c r="P10" s="371">
        <f>SUM('Janeiro 2023 - Outubro 2022'!BM4:BM762)</f>
        <v>1807.57</v>
      </c>
      <c r="Q10" s="371"/>
      <c r="R10" s="374">
        <v>0</v>
      </c>
    </row>
    <row r="11" ht="8.35" customHeight="1" hidden="1">
      <c r="A11" t="s" s="368">
        <v>45</v>
      </c>
      <c r="B11" s="369">
        <f>_xlfn.XLOOKUP($A11,'Janeiro 2023 - Outubro 2022'!K4:K762,'Janeiro 2023 - Outubro 2022'!R4:R762,0,,-1)</f>
        <v>0</v>
      </c>
      <c r="C11" s="370">
        <v>0.02</v>
      </c>
      <c r="D11" s="371">
        <v>0</v>
      </c>
      <c r="E11" s="372">
        <f>D11+O11+SUM('Janeiro 2023 - Outubro 2022'!AN4:AN762)-N11</f>
        <v>0</v>
      </c>
      <c r="F11" s="371">
        <f>SUM('Janeiro 2023 - Outubro 2022'!BA4:BA762)</f>
        <v>0</v>
      </c>
      <c r="G11" s="372">
        <f>SUM(E11:F11)</f>
        <v>0</v>
      </c>
      <c r="H11" s="371">
        <v>0</v>
      </c>
      <c r="I11" s="371">
        <f>G11-H11</f>
        <v>0</v>
      </c>
      <c r="J11" s="373">
        <f>G11/IF(H11=0,1,H11)-IF(H11=0,0,1)</f>
        <v>0</v>
      </c>
      <c r="K11" s="374">
        <f>SUM('Janeiro 2023 - Outubro 2022'!CV4:CV762)</f>
        <v>0</v>
      </c>
      <c r="L11" s="374">
        <f>SUM('Janeiro 2023 - Outubro 2022'!CW4:CW762)</f>
        <v>0</v>
      </c>
      <c r="M11" s="371">
        <f>SUM('Janeiro 2023 - Outubro 2022'!CA4:CA762)</f>
        <v>0</v>
      </c>
      <c r="N11" s="371"/>
      <c r="O11" s="371"/>
      <c r="P11" s="371">
        <f>SUM('Janeiro 2023 - Outubro 2022'!BN4:BN762)</f>
        <v>0</v>
      </c>
      <c r="Q11" s="371"/>
      <c r="R11" s="374">
        <v>0</v>
      </c>
    </row>
    <row r="12" ht="8.35" customHeight="1" hidden="1">
      <c r="A12" t="s" s="368">
        <v>46</v>
      </c>
      <c r="B12" s="369">
        <f>_xlfn.XLOOKUP($A12,'Janeiro 2023 - Outubro 2022'!K4:K762,'Janeiro 2023 - Outubro 2022'!R4:R762,0,,-1)</f>
        <v>0</v>
      </c>
      <c r="C12" s="370">
        <v>0</v>
      </c>
      <c r="D12" s="371">
        <v>0</v>
      </c>
      <c r="E12" s="372">
        <f>D12+O12+SUM('Janeiro 2023 - Outubro 2022'!AO4:AO762)-N12</f>
        <v>0</v>
      </c>
      <c r="F12" s="371">
        <f>SUM('Janeiro 2023 - Outubro 2022'!BB4:BB762)</f>
        <v>0</v>
      </c>
      <c r="G12" s="372">
        <f>SUM(E12:F12)</f>
        <v>0</v>
      </c>
      <c r="H12" s="371">
        <v>0</v>
      </c>
      <c r="I12" s="371">
        <f>G12-H12</f>
        <v>0</v>
      </c>
      <c r="J12" s="373">
        <f>G12/IF(H12=0,1,H12)-IF(H12=0,0,1)</f>
        <v>0</v>
      </c>
      <c r="K12" s="374">
        <f>SUM('Janeiro 2023 - Outubro 2022'!CX4:CX762)</f>
        <v>0</v>
      </c>
      <c r="L12" s="374">
        <f>SUM('Janeiro 2023 - Outubro 2022'!CY4:CY762)</f>
        <v>0</v>
      </c>
      <c r="M12" s="371">
        <f>SUM('Janeiro 2023 - Outubro 2022'!CB4:CB762)</f>
        <v>0</v>
      </c>
      <c r="N12" s="371"/>
      <c r="O12" s="371"/>
      <c r="P12" s="371">
        <f>SUM('Janeiro 2023 - Outubro 2022'!BO4:BO762)</f>
        <v>0</v>
      </c>
      <c r="Q12" s="371"/>
      <c r="R12" s="374"/>
    </row>
    <row r="13" ht="8.35" customHeight="1" hidden="1">
      <c r="A13" t="s" s="368">
        <v>47</v>
      </c>
      <c r="B13" s="369">
        <f>_xlfn.XLOOKUP($A13,'Janeiro 2023 - Outubro 2022'!K4:K762,'Janeiro 2023 - Outubro 2022'!R4:R762,0,,-1)</f>
        <v>0</v>
      </c>
      <c r="C13" s="370">
        <v>0</v>
      </c>
      <c r="D13" s="371">
        <v>0</v>
      </c>
      <c r="E13" s="372">
        <f>D13+O13+SUM('Janeiro 2023 - Outubro 2022'!AP4:AP762)-N13</f>
        <v>0</v>
      </c>
      <c r="F13" s="371">
        <f>SUM('Janeiro 2023 - Outubro 2022'!BC4:BC762)</f>
        <v>0</v>
      </c>
      <c r="G13" s="372">
        <f>SUM(E13:F13)</f>
        <v>0</v>
      </c>
      <c r="H13" s="371">
        <v>0</v>
      </c>
      <c r="I13" s="371">
        <f>G13-H13</f>
        <v>0</v>
      </c>
      <c r="J13" s="373">
        <f>G13/IF(H13=0,1,H13)-IF(H13=0,0,1)</f>
        <v>0</v>
      </c>
      <c r="K13" s="374">
        <f>SUM('Janeiro 2023 - Outubro 2022'!CZ4:CZ762)</f>
        <v>0</v>
      </c>
      <c r="L13" s="374">
        <f>SUM('Janeiro 2023 - Outubro 2022'!DA4:DA762)</f>
        <v>0</v>
      </c>
      <c r="M13" s="371">
        <f>SUM('Janeiro 2023 - Outubro 2022'!CC4:CC762)</f>
        <v>0</v>
      </c>
      <c r="N13" s="371"/>
      <c r="O13" s="371"/>
      <c r="P13" s="371">
        <f>SUM('Janeiro 2023 - Outubro 2022'!BP4:BP762)</f>
        <v>0</v>
      </c>
      <c r="Q13" s="371"/>
      <c r="R13" s="374"/>
    </row>
    <row r="14" ht="13.1" customHeight="1">
      <c r="A14" t="s" s="376">
        <v>48</v>
      </c>
      <c r="B14" s="377">
        <f>_xlfn.XLOOKUP($A14,'Janeiro 2023 - Outubro 2022'!K4:K762,'Janeiro 2023 - Outubro 2022'!R4:R762,0,,-1)</f>
        <v>0</v>
      </c>
      <c r="C14" s="378">
        <v>0</v>
      </c>
      <c r="D14" s="379">
        <v>534.8</v>
      </c>
      <c r="E14" s="380">
        <f>D14+O14+SUM('Janeiro 2023 - Outubro 2022'!AQ4:AQ762)-N14</f>
        <v>1555.23</v>
      </c>
      <c r="F14" s="379">
        <f>SUM('Janeiro 2023 - Outubro 2022'!BD4:BD762)</f>
        <v>0</v>
      </c>
      <c r="G14" s="380">
        <f>SUM(E14:F14)</f>
        <v>1555.23</v>
      </c>
      <c r="H14" s="379">
        <v>1556.47</v>
      </c>
      <c r="I14" s="379">
        <f>G14-H14</f>
        <v>-1.24</v>
      </c>
      <c r="J14" s="381">
        <f>G14/IF(H14=0,1,H14)-IF(H14=0,0,1)</f>
        <v>-0.000796674526332021</v>
      </c>
      <c r="K14" s="382">
        <f>SUM('Janeiro 2023 - Outubro 2022'!DB4:DB762)</f>
        <v>45</v>
      </c>
      <c r="L14" s="382">
        <f>SUM('Janeiro 2023 - Outubro 2022'!DC4:DC762)</f>
        <v>32</v>
      </c>
      <c r="M14" s="379">
        <f>SUM('Janeiro 2023 - Outubro 2022'!CD4:CD762)</f>
        <v>231.01</v>
      </c>
      <c r="N14" s="379"/>
      <c r="O14" s="379"/>
      <c r="P14" s="379">
        <f>SUM('Janeiro 2023 - Outubro 2022'!BQ4:BQ762)</f>
        <v>1774.9</v>
      </c>
      <c r="Q14" s="379"/>
      <c r="R14" s="382"/>
    </row>
    <row r="15" ht="8.75" customHeight="1" hidden="1">
      <c r="A15" t="s" s="383">
        <v>49</v>
      </c>
      <c r="B15" s="384">
        <f>_xlfn.XLOOKUP($A15,'Janeiro 2023 - Outubro 2022'!K4:K762,'Janeiro 2023 - Outubro 2022'!R4:R762,0,,-1)</f>
        <v>0</v>
      </c>
      <c r="C15" s="385">
        <v>0</v>
      </c>
      <c r="D15" s="386">
        <v>0</v>
      </c>
      <c r="E15" s="387">
        <f>D15+O15+SUM('Janeiro 2023 - Outubro 2022'!AR4:AR762)-N15</f>
        <v>0</v>
      </c>
      <c r="F15" s="386">
        <f>SUM('Janeiro 2023 - Outubro 2022'!BE4:BE762)</f>
        <v>0</v>
      </c>
      <c r="G15" s="387">
        <f>SUM(E15:F15)</f>
        <v>0</v>
      </c>
      <c r="H15" s="386">
        <v>0</v>
      </c>
      <c r="I15" s="386">
        <f>G15-H15</f>
        <v>0</v>
      </c>
      <c r="J15" s="388">
        <f>G15/IF(H15=0,1,H15)-IF(H15=0,0,1)</f>
        <v>0</v>
      </c>
      <c r="K15" s="389">
        <f>SUM('Janeiro 2023 - Outubro 2022'!DD4:DD762)</f>
        <v>0</v>
      </c>
      <c r="L15" s="389">
        <f>SUM('Janeiro 2023 - Outubro 2022'!DE4:DE762)</f>
        <v>0</v>
      </c>
      <c r="M15" s="386">
        <f>SUM('Janeiro 2023 - Outubro 2022'!CE4:CE762)</f>
        <v>0</v>
      </c>
      <c r="N15" s="386"/>
      <c r="O15" s="386"/>
      <c r="P15" s="386">
        <f>SUM('Janeiro 2023 - Outubro 2022'!BR4:BR762)</f>
        <v>0</v>
      </c>
      <c r="Q15" s="386">
        <f>O15-P15</f>
        <v>0</v>
      </c>
      <c r="R15" s="389"/>
    </row>
    <row r="16" ht="13.1" customHeight="1">
      <c r="A16" t="s" s="390">
        <v>540</v>
      </c>
      <c r="B16" s="391">
        <f>COUNTIF('Janeiro 2023 - Outubro 2022'!B4:B762," ")-COUNTIF('Janeiro 2023 - Outubro 2022'!E4:E762," ")</f>
        <v>0</v>
      </c>
      <c r="C16" s="364"/>
      <c r="D16" s="364">
        <f>SUM(D3:D14)+O16-N$16</f>
        <v>6548.67</v>
      </c>
      <c r="E16" s="365">
        <f>SUM(E3:E15)-D$16</f>
        <v>513.98</v>
      </c>
      <c r="F16" s="364">
        <f>SUM(F3:F15)</f>
        <v>0</v>
      </c>
      <c r="G16" s="365">
        <f>SUM(G3:G15)</f>
        <v>7062.65</v>
      </c>
      <c r="H16" s="364">
        <v>1041.29</v>
      </c>
      <c r="I16" s="364">
        <f>SUM(I3:I15)</f>
        <v>67.73</v>
      </c>
      <c r="J16" s="366">
        <f>SUM(G3:G15)/SUM(H3:H15)-1</f>
        <v>0.00968274118932025</v>
      </c>
      <c r="K16" s="367">
        <f>SUM(K3:K15)</f>
        <v>241</v>
      </c>
      <c r="L16" s="367">
        <f>SUM(L3:L15)</f>
        <v>248</v>
      </c>
      <c r="M16" s="364">
        <f>SUM(M3:M15)</f>
        <v>603.37</v>
      </c>
      <c r="N16" s="364">
        <f>SUM(N3:N14)</f>
        <v>0</v>
      </c>
      <c r="O16" s="364">
        <f>SUM(O3:O14)</f>
        <v>0</v>
      </c>
      <c r="P16" s="364">
        <f>SUM(P3:P15)</f>
        <v>8901.07</v>
      </c>
      <c r="Q16" s="364">
        <f>SUM(Q3:Q14)</f>
        <v>0</v>
      </c>
      <c r="R16" s="367">
        <f>SUM(R3:R15)</f>
        <v>0</v>
      </c>
    </row>
  </sheetData>
  <mergeCells count="1">
    <mergeCell ref="A1:R1"/>
  </mergeCells>
  <conditionalFormatting sqref="A2 A16">
    <cfRule type="cellIs" dxfId="91" priority="1" operator="equal" stopIfTrue="1">
      <formula>"BetFair"</formula>
    </cfRule>
    <cfRule type="cellIs" dxfId="92" priority="2" operator="equal" stopIfTrue="1">
      <formula>"Pinnacle"</formula>
    </cfRule>
    <cfRule type="cellIs" dxfId="93" priority="3" operator="equal" stopIfTrue="1">
      <formula>"Bet365"</formula>
    </cfRule>
    <cfRule type="cellIs" dxfId="94" priority="4" operator="equal" stopIfTrue="1">
      <formula>"BetWay"</formula>
    </cfRule>
    <cfRule type="cellIs" dxfId="95" priority="5" operator="equal" stopIfTrue="1">
      <formula>"DafaBet"</formula>
    </cfRule>
    <cfRule type="cellIs" dxfId="96" priority="6" operator="equal" stopIfTrue="1">
      <formula>"1xBet"</formula>
    </cfRule>
    <cfRule type="cellIs" dxfId="97" priority="7" operator="equal" stopIfTrue="1">
      <formula>"VBet"</formula>
    </cfRule>
    <cfRule type="cellIs" dxfId="98" priority="8" operator="equal" stopIfTrue="1">
      <formula>"BetFair Ex"</formula>
    </cfRule>
    <cfRule type="cellIs" dxfId="99" priority="9" operator="equal" stopIfTrue="1">
      <formula>"FavBet"</formula>
    </cfRule>
    <cfRule type="cellIs" dxfId="100" priority="10" operator="equal" stopIfTrue="1">
      <formula>"Leon Bet"</formula>
    </cfRule>
    <cfRule type="cellIs" dxfId="101" priority="11" operator="equal" stopIfTrue="1">
      <formula>"LEON"</formula>
    </cfRule>
    <cfRule type="cellIs" dxfId="102" priority="12" operator="equal" stopIfTrue="1">
      <formula>"MarathonBet"</formula>
    </cfRule>
    <cfRule type="cellIs" dxfId="103" priority="13" operator="equal" stopIfTrue="1">
      <formula>"ZenitBet"</formula>
    </cfRule>
    <cfRule type="cellIs" dxfId="104" priority="14" operator="equal" stopIfTrue="1">
      <formula>"TempoBet"</formula>
    </cfRule>
  </conditionalFormatting>
  <conditionalFormatting sqref="M2:M16 I3:J15 E16:J16">
    <cfRule type="cellIs" dxfId="105" priority="1" operator="greaterThan" stopIfTrue="1">
      <formula>0</formula>
    </cfRule>
    <cfRule type="cellIs" dxfId="106" priority="2" operator="lessThan" stopIfTrue="1">
      <formula>0</formula>
    </cfRule>
  </conditionalFormatting>
  <conditionalFormatting sqref="A3:A15">
    <cfRule type="beginsWith" dxfId="107" priority="1" stopIfTrue="1" text="BetFair">
      <formula>FIND(UPPER("BetFair"),UPPER(A3))=1</formula>
      <formula>"BetFair"</formula>
    </cfRule>
    <cfRule type="cellIs" dxfId="108" priority="2" operator="equal" stopIfTrue="1">
      <formula>"Pinnacle"</formula>
    </cfRule>
    <cfRule type="cellIs" dxfId="109" priority="3" operator="equal" stopIfTrue="1">
      <formula>"Bet365"</formula>
    </cfRule>
    <cfRule type="cellIs" dxfId="110" priority="4" operator="equal" stopIfTrue="1">
      <formula>"BetWay"</formula>
    </cfRule>
    <cfRule type="cellIs" dxfId="111" priority="5" operator="equal" stopIfTrue="1">
      <formula>"DafaBet"</formula>
    </cfRule>
    <cfRule type="cellIs" dxfId="112" priority="6" operator="equal" stopIfTrue="1">
      <formula>"1xBet"</formula>
    </cfRule>
    <cfRule type="cellIs" dxfId="113" priority="7" operator="equal" stopIfTrue="1">
      <formula>"VBet"</formula>
    </cfRule>
    <cfRule type="cellIs" dxfId="114" priority="8" operator="equal" stopIfTrue="1">
      <formula>"TitanBet"</formula>
    </cfRule>
    <cfRule type="cellIs" dxfId="115" priority="9" operator="equal" stopIfTrue="1">
      <formula>"FavBet"</formula>
    </cfRule>
    <cfRule type="cellIs" dxfId="116" priority="10" operator="equal" stopIfTrue="1">
      <formula>"Leon Bet"</formula>
    </cfRule>
    <cfRule type="cellIs" dxfId="117" priority="11" operator="equal" stopIfTrue="1">
      <formula>"LEON"</formula>
    </cfRule>
    <cfRule type="cellIs" dxfId="118" priority="12" operator="equal" stopIfTrue="1">
      <formula>"MarathonBet"</formula>
    </cfRule>
    <cfRule type="cellIs" dxfId="119" priority="13" operator="equal" stopIfTrue="1">
      <formula>"ZenitBet"</formula>
    </cfRule>
    <cfRule type="cellIs" dxfId="120" priority="14" operator="equal" stopIfTrue="1">
      <formula>"TempoBet"</formula>
    </cfRule>
    <cfRule type="cellIs" dxfId="121" priority="15" operator="equal" stopIfTrue="1">
      <formula>"Smarkets"</formula>
    </cfRule>
  </conditionalFormatting>
  <conditionalFormatting sqref="B3:B15">
    <cfRule type="cellIs" dxfId="122" priority="1" operator="equal" stopIfTrue="1">
      <formula>"BetFair"</formula>
    </cfRule>
    <cfRule type="cellIs" dxfId="123" priority="2" operator="equal" stopIfTrue="1">
      <formula>"Pinnacle"</formula>
    </cfRule>
    <cfRule type="cellIs" dxfId="124" priority="3" operator="equal" stopIfTrue="1">
      <formula>"Bet365"</formula>
    </cfRule>
    <cfRule type="cellIs" dxfId="125" priority="4" operator="equal" stopIfTrue="1">
      <formula>"BetWay"</formula>
    </cfRule>
    <cfRule type="cellIs" dxfId="126" priority="5" operator="equal" stopIfTrue="1">
      <formula>"DafaBet"</formula>
    </cfRule>
    <cfRule type="cellIs" dxfId="127" priority="6" operator="equal" stopIfTrue="1">
      <formula>"1xBet"</formula>
    </cfRule>
    <cfRule type="cellIs" dxfId="128" priority="7" operator="equal" stopIfTrue="1">
      <formula>"VBet"</formula>
    </cfRule>
  </conditionalFormatting>
  <conditionalFormatting sqref="K3">
    <cfRule type="cellIs" dxfId="129" priority="1" operator="greaterThan" stopIfTrue="1">
      <formula>L3</formula>
    </cfRule>
  </conditionalFormatting>
  <conditionalFormatting sqref="L3">
    <cfRule type="cellIs" dxfId="130" priority="1" operator="greaterThan" stopIfTrue="1">
      <formula>K$3</formula>
    </cfRule>
  </conditionalFormatting>
  <conditionalFormatting sqref="R3">
    <cfRule type="cellIs" dxfId="131" priority="1" operator="greaterThan" stopIfTrue="1">
      <formula>N$3</formula>
    </cfRule>
  </conditionalFormatting>
  <conditionalFormatting sqref="K4">
    <cfRule type="cellIs" dxfId="132" priority="1" operator="greaterThan" stopIfTrue="1">
      <formula>L4</formula>
    </cfRule>
  </conditionalFormatting>
  <conditionalFormatting sqref="L4">
    <cfRule type="cellIs" dxfId="133" priority="1" operator="greaterThan" stopIfTrue="1">
      <formula>K$4</formula>
    </cfRule>
  </conditionalFormatting>
  <conditionalFormatting sqref="R4">
    <cfRule type="cellIs" dxfId="134" priority="1" operator="greaterThan" stopIfTrue="1">
      <formula>N$4</formula>
    </cfRule>
  </conditionalFormatting>
  <conditionalFormatting sqref="K5">
    <cfRule type="cellIs" dxfId="135" priority="1" operator="greaterThan" stopIfTrue="1">
      <formula>L5</formula>
    </cfRule>
  </conditionalFormatting>
  <conditionalFormatting sqref="L5">
    <cfRule type="cellIs" dxfId="136" priority="1" operator="greaterThan" stopIfTrue="1">
      <formula>K$5</formula>
    </cfRule>
  </conditionalFormatting>
  <conditionalFormatting sqref="R5">
    <cfRule type="cellIs" dxfId="137" priority="1" operator="greaterThan" stopIfTrue="1">
      <formula>N$5</formula>
    </cfRule>
  </conditionalFormatting>
  <conditionalFormatting sqref="K6">
    <cfRule type="cellIs" dxfId="138" priority="1" operator="greaterThan" stopIfTrue="1">
      <formula>L6</formula>
    </cfRule>
  </conditionalFormatting>
  <conditionalFormatting sqref="L6">
    <cfRule type="cellIs" dxfId="139" priority="1" operator="greaterThan" stopIfTrue="1">
      <formula>K$6</formula>
    </cfRule>
  </conditionalFormatting>
  <conditionalFormatting sqref="R6">
    <cfRule type="cellIs" dxfId="140" priority="1" operator="greaterThan" stopIfTrue="1">
      <formula>N$6</formula>
    </cfRule>
  </conditionalFormatting>
  <conditionalFormatting sqref="K7">
    <cfRule type="cellIs" dxfId="141" priority="1" operator="greaterThan" stopIfTrue="1">
      <formula>L7</formula>
    </cfRule>
  </conditionalFormatting>
  <conditionalFormatting sqref="L7">
    <cfRule type="cellIs" dxfId="142" priority="1" operator="greaterThan" stopIfTrue="1">
      <formula>K$7</formula>
    </cfRule>
  </conditionalFormatting>
  <conditionalFormatting sqref="R7">
    <cfRule type="cellIs" dxfId="143" priority="1" operator="greaterThan" stopIfTrue="1">
      <formula>N$7</formula>
    </cfRule>
  </conditionalFormatting>
  <conditionalFormatting sqref="K8">
    <cfRule type="cellIs" dxfId="144" priority="1" operator="greaterThan" stopIfTrue="1">
      <formula>L8</formula>
    </cfRule>
  </conditionalFormatting>
  <conditionalFormatting sqref="L8">
    <cfRule type="cellIs" dxfId="145" priority="1" operator="greaterThan" stopIfTrue="1">
      <formula>K$8</formula>
    </cfRule>
  </conditionalFormatting>
  <conditionalFormatting sqref="R8">
    <cfRule type="cellIs" dxfId="146" priority="1" operator="greaterThan" stopIfTrue="1">
      <formula>N$8</formula>
    </cfRule>
  </conditionalFormatting>
  <conditionalFormatting sqref="K9">
    <cfRule type="cellIs" dxfId="147" priority="1" operator="greaterThan" stopIfTrue="1">
      <formula>L9</formula>
    </cfRule>
  </conditionalFormatting>
  <conditionalFormatting sqref="L9">
    <cfRule type="cellIs" dxfId="148" priority="1" operator="greaterThan" stopIfTrue="1">
      <formula>K$9</formula>
    </cfRule>
  </conditionalFormatting>
  <conditionalFormatting sqref="R9">
    <cfRule type="cellIs" dxfId="149" priority="1" operator="greaterThan" stopIfTrue="1">
      <formula>N$9</formula>
    </cfRule>
  </conditionalFormatting>
  <conditionalFormatting sqref="K10">
    <cfRule type="cellIs" dxfId="150" priority="1" operator="greaterThan" stopIfTrue="1">
      <formula>L10</formula>
    </cfRule>
  </conditionalFormatting>
  <conditionalFormatting sqref="L10">
    <cfRule type="cellIs" dxfId="151" priority="1" operator="greaterThan" stopIfTrue="1">
      <formula>K$10</formula>
    </cfRule>
  </conditionalFormatting>
  <conditionalFormatting sqref="R10">
    <cfRule type="cellIs" dxfId="152" priority="1" operator="greaterThan" stopIfTrue="1">
      <formula>N$10</formula>
    </cfRule>
  </conditionalFormatting>
  <conditionalFormatting sqref="K11">
    <cfRule type="cellIs" dxfId="153" priority="1" operator="greaterThan" stopIfTrue="1">
      <formula>L11</formula>
    </cfRule>
  </conditionalFormatting>
  <conditionalFormatting sqref="L11">
    <cfRule type="cellIs" dxfId="154" priority="1" operator="greaterThan" stopIfTrue="1">
      <formula>K$11</formula>
    </cfRule>
  </conditionalFormatting>
  <conditionalFormatting sqref="R11">
    <cfRule type="cellIs" dxfId="155" priority="1" operator="greaterThan" stopIfTrue="1">
      <formula>N$11</formula>
    </cfRule>
  </conditionalFormatting>
  <conditionalFormatting sqref="K12">
    <cfRule type="cellIs" dxfId="156" priority="1" operator="greaterThan" stopIfTrue="1">
      <formula>L12</formula>
    </cfRule>
  </conditionalFormatting>
  <conditionalFormatting sqref="L12">
    <cfRule type="cellIs" dxfId="157" priority="1" operator="greaterThan" stopIfTrue="1">
      <formula>K$12</formula>
    </cfRule>
  </conditionalFormatting>
  <conditionalFormatting sqref="R12">
    <cfRule type="cellIs" dxfId="158" priority="1" operator="greaterThan" stopIfTrue="1">
      <formula>N$12</formula>
    </cfRule>
  </conditionalFormatting>
  <conditionalFormatting sqref="K13">
    <cfRule type="cellIs" dxfId="159" priority="1" operator="greaterThan" stopIfTrue="1">
      <formula>L13</formula>
    </cfRule>
  </conditionalFormatting>
  <conditionalFormatting sqref="L13">
    <cfRule type="cellIs" dxfId="160" priority="1" operator="greaterThan" stopIfTrue="1">
      <formula>K$13</formula>
    </cfRule>
  </conditionalFormatting>
  <conditionalFormatting sqref="R13">
    <cfRule type="cellIs" dxfId="161" priority="1" operator="greaterThan" stopIfTrue="1">
      <formula>N$13</formula>
    </cfRule>
  </conditionalFormatting>
  <conditionalFormatting sqref="K14">
    <cfRule type="cellIs" dxfId="162" priority="1" operator="greaterThan" stopIfTrue="1">
      <formula>L14</formula>
    </cfRule>
  </conditionalFormatting>
  <conditionalFormatting sqref="L14">
    <cfRule type="cellIs" dxfId="163" priority="1" operator="greaterThan" stopIfTrue="1">
      <formula>K$14</formula>
    </cfRule>
  </conditionalFormatting>
  <conditionalFormatting sqref="R14">
    <cfRule type="cellIs" dxfId="164" priority="1" operator="greaterThan" stopIfTrue="1">
      <formula>N$14</formula>
    </cfRule>
  </conditionalFormatting>
  <conditionalFormatting sqref="K15">
    <cfRule type="cellIs" dxfId="165" priority="1" operator="greaterThan" stopIfTrue="1">
      <formula>L15</formula>
    </cfRule>
  </conditionalFormatting>
  <conditionalFormatting sqref="L15">
    <cfRule type="cellIs" dxfId="166" priority="1" operator="greaterThan" stopIfTrue="1">
      <formula>K$15</formula>
    </cfRule>
  </conditionalFormatting>
  <conditionalFormatting sqref="R15">
    <cfRule type="cellIs" dxfId="167" priority="1" operator="greaterThan" stopIfTrue="1">
      <formula>N$15</formula>
    </cfRule>
  </conditionalFormatting>
  <conditionalFormatting sqref="K16">
    <cfRule type="cellIs" dxfId="168" priority="1" operator="greaterThan" stopIfTrue="1">
      <formula>L16</formula>
    </cfRule>
  </conditionalFormatting>
  <conditionalFormatting sqref="L16">
    <cfRule type="cellIs" dxfId="169" priority="1" operator="greaterThan" stopIfTrue="1">
      <formula>K$16</formula>
    </cfRule>
  </conditionalFormatting>
  <conditionalFormatting sqref="R16">
    <cfRule type="cellIs" dxfId="170" priority="1" operator="greaterThan" stopIfTrue="1">
      <formula>N$16</formula>
    </cfRule>
  </conditionalFormatting>
  <dataValidations count="1">
    <dataValidation type="list" allowBlank="1" showInputMessage="1" showErrorMessage="1" sqref="A3:A15">
      <formula1>",1xBet,Bet365,BetFair,BetFair Ex,BetWay,DafaBet,FavBet,LEON,MarathonBet,Pinnacle,Smarkets,TempoBet,TitanBet,VBet,ZenitBet"</formula1>
    </dataValidation>
  </dataValidation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2:G614"/>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7" width="16.3516" style="392" customWidth="1"/>
    <col min="8" max="16384" width="16.3516" style="392" customWidth="1"/>
  </cols>
  <sheetData>
    <row r="1" ht="27.65" customHeight="1">
      <c r="A1" t="s" s="393">
        <v>541</v>
      </c>
      <c r="B1" s="393"/>
      <c r="C1" s="393"/>
      <c r="D1" s="393"/>
      <c r="E1" s="393"/>
      <c r="F1" s="393"/>
      <c r="G1" s="393"/>
    </row>
    <row r="2" ht="20.25" customHeight="1">
      <c r="A2" t="b" s="394">
        <v>1</v>
      </c>
      <c r="B2" t="s" s="395">
        <v>542</v>
      </c>
      <c r="C2" t="s" s="395">
        <v>16</v>
      </c>
      <c r="D2" t="s" s="395">
        <v>543</v>
      </c>
      <c r="E2" t="s" s="395">
        <v>544</v>
      </c>
      <c r="F2" t="s" s="395">
        <v>27</v>
      </c>
      <c r="G2" t="s" s="395">
        <v>545</v>
      </c>
    </row>
    <row r="3" ht="20.25" customHeight="1">
      <c r="A3" t="s" s="396">
        <v>546</v>
      </c>
      <c r="B3" s="397"/>
      <c r="C3" s="398">
        <f>D3-E3</f>
        <v>1.41</v>
      </c>
      <c r="D3" s="398">
        <v>1.82</v>
      </c>
      <c r="E3" s="398">
        <v>0.41</v>
      </c>
      <c r="F3" s="399"/>
      <c r="G3" s="399"/>
    </row>
    <row r="4" ht="20.05" customHeight="1">
      <c r="A4" s="400">
        <v>44805</v>
      </c>
      <c r="B4" s="401">
        <f>1610.34+1200+20</f>
        <v>2830.34</v>
      </c>
      <c r="C4" s="402">
        <v>1.12</v>
      </c>
      <c r="D4" s="403">
        <f>(D$3*$C4)/$C$3</f>
        <v>1.44567375886525</v>
      </c>
      <c r="E4" s="403">
        <f>D4-$C4</f>
        <v>0.32567375886525</v>
      </c>
      <c r="F4" s="404">
        <f>IF(B4="","",C4/B4)</f>
        <v>0.000395712175922327</v>
      </c>
      <c r="G4" s="404"/>
    </row>
    <row r="5" ht="20.05" customHeight="1">
      <c r="A5" s="400">
        <v>44806</v>
      </c>
      <c r="B5" s="401">
        <f>4082.19+1194.67-50</f>
        <v>5226.86</v>
      </c>
      <c r="C5" s="402">
        <v>2.07</v>
      </c>
      <c r="D5" s="403">
        <f>(D$3*$C5)/$C$3</f>
        <v>2.67191489361702</v>
      </c>
      <c r="E5" s="403">
        <f>D5-$C5</f>
        <v>0.60191489361702</v>
      </c>
      <c r="F5" s="404">
        <f>IF(B5="","",C5/B5)</f>
        <v>0.00039603126925152</v>
      </c>
      <c r="G5" s="404"/>
    </row>
    <row r="6" ht="20.05" customHeight="1">
      <c r="A6" s="400">
        <v>44807</v>
      </c>
      <c r="B6" s="401">
        <v>5380.34</v>
      </c>
      <c r="C6" s="402">
        <v>2.12</v>
      </c>
      <c r="D6" s="403">
        <f>(D$3*$C6)/$C$3</f>
        <v>2.73645390070922</v>
      </c>
      <c r="E6" s="403">
        <f>D6-$C6</f>
        <v>0.61645390070922</v>
      </c>
      <c r="F6" s="404">
        <f>IF(B6="","",C6/B6)</f>
        <v>0.000394027143266039</v>
      </c>
      <c r="G6" s="404"/>
    </row>
    <row r="7" ht="20.05" customHeight="1">
      <c r="A7" s="400">
        <v>44808</v>
      </c>
      <c r="B7" t="s" s="405">
        <f>IF(OR(WEEKDAY($A7)=1,WEEKDAY($A7)=2),"",LARGE(B$3:B6,1)+LARGE(C$3:C6,1))</f>
      </c>
      <c r="C7" s="402"/>
      <c r="D7" t="s" s="406">
        <f>IF(C7="","",(D$3*$C7)/$C$3)</f>
      </c>
      <c r="E7" t="s" s="406">
        <f>IF(C7="","",D7-$C7)</f>
      </c>
      <c r="F7" t="s" s="406">
        <f>IF(B7="","",C7/B7)</f>
      </c>
      <c r="G7" s="407"/>
    </row>
    <row r="8" ht="20.05" customHeight="1">
      <c r="A8" s="400">
        <v>44809</v>
      </c>
      <c r="B8" t="s" s="405">
        <f>IF(OR(WEEKDAY($A8)=1,WEEKDAY($A8)=2),"",LARGE(B$3:B7,1)+LARGE(C$3:C7,1))</f>
      </c>
      <c r="C8" s="402"/>
      <c r="D8" t="s" s="406">
        <f>IF(C8="","",(D$3*$C8)/$C$3)</f>
      </c>
      <c r="E8" t="s" s="406">
        <f>IF(C8="","",D8-$C8)</f>
      </c>
      <c r="F8" t="s" s="406">
        <f>IF(B8="","",C8/B8)</f>
      </c>
      <c r="G8" s="407"/>
    </row>
    <row r="9" ht="20.05" customHeight="1">
      <c r="A9" s="400">
        <v>44810</v>
      </c>
      <c r="B9" s="401">
        <v>6423.3</v>
      </c>
      <c r="C9" s="402">
        <f>IF(B9="","",B9*F$6)</f>
        <v>2.53095454934075</v>
      </c>
      <c r="D9" s="403">
        <f>IF(C9="","",(D$3*$C9)/$C$3)</f>
        <v>3.2669058721987</v>
      </c>
      <c r="E9" s="403">
        <f>IF(C9="","",D9-$C9)</f>
        <v>0.73595132285795</v>
      </c>
      <c r="F9" s="404">
        <f>IF(B9="","",C9/B9)</f>
        <v>0.000394027143266039</v>
      </c>
      <c r="G9" s="404"/>
    </row>
    <row r="10" ht="20.05" customHeight="1">
      <c r="A10" s="400">
        <v>44811</v>
      </c>
      <c r="B10" s="401">
        <v>6525.54</v>
      </c>
      <c r="C10" s="402">
        <v>0</v>
      </c>
      <c r="D10" s="403">
        <f>IF(C10="","",(D$3*$C10)/$C$3)</f>
        <v>0</v>
      </c>
      <c r="E10" s="403">
        <f>IF(C10="","",D10-$C10)</f>
        <v>0</v>
      </c>
      <c r="F10" s="404">
        <f>IF(B10="","",C10/B10)</f>
        <v>0</v>
      </c>
      <c r="G10" s="404"/>
    </row>
    <row r="11" ht="20.05" customHeight="1">
      <c r="A11" s="400">
        <v>44812</v>
      </c>
      <c r="B11" s="401">
        <v>6650.35</v>
      </c>
      <c r="C11" s="402">
        <f>IF(B11="","",B11*F$6)</f>
        <v>2.6204184122193</v>
      </c>
      <c r="D11" s="403">
        <f>IF(C11="","",(D$3*$C11)/$C$3)</f>
        <v>3.38238404981498</v>
      </c>
      <c r="E11" s="403">
        <f>IF(C11="","",D11-$C11)</f>
        <v>0.76196563759568</v>
      </c>
      <c r="F11" s="404">
        <f>IF(B11="","",C11/B11)</f>
        <v>0.000394027143266039</v>
      </c>
      <c r="G11" s="404"/>
    </row>
    <row r="12" ht="20.05" customHeight="1">
      <c r="A12" s="400">
        <v>44813</v>
      </c>
      <c r="B12" s="401">
        <f>IF(OR(WEEKDAY($A12)=1,WEEKDAY($A12)=2),"",IF(B11="",IF(B10="",B9,B10),B11)+IF(A$2=TRUE,IF(C11="",IF(C10="",C9,C10),C11)*2,IF(C11="",IF(C10="",C9,C10),C11)))</f>
        <v>6655.590836824440</v>
      </c>
      <c r="C12" s="402">
        <f>IF(B12="","",B12*F$6)</f>
        <v>2.62248344418156</v>
      </c>
      <c r="D12" s="403">
        <f>IF(C12="","",(D$3*$C12)/$C$3)</f>
        <v>3.38504955206414</v>
      </c>
      <c r="E12" s="403">
        <f>IF(C12="","",D12-$C12)</f>
        <v>0.7625661078825799</v>
      </c>
      <c r="F12" s="404">
        <f>IF(B12="","",C12/B12)</f>
        <v>0.000394027143266039</v>
      </c>
      <c r="G12" s="404"/>
    </row>
    <row r="13" ht="20.05" customHeight="1">
      <c r="A13" s="400">
        <v>44814</v>
      </c>
      <c r="B13" s="401">
        <v>6242.1</v>
      </c>
      <c r="C13" s="402">
        <f>IF(B13="","",B13*F$6)</f>
        <v>2.45955683098094</v>
      </c>
      <c r="D13" s="403">
        <f>IF(C13="","",(D$3*$C13)/$C$3)</f>
        <v>3.17474711516689</v>
      </c>
      <c r="E13" s="403">
        <f>IF(C13="","",D13-$C13)</f>
        <v>0.71519028418595</v>
      </c>
      <c r="F13" s="404">
        <f>IF(B13="","",C13/B13)</f>
        <v>0.000394027143266039</v>
      </c>
      <c r="G13" s="404"/>
    </row>
    <row r="14" ht="20.05" customHeight="1">
      <c r="A14" s="400">
        <v>44815</v>
      </c>
      <c r="B14" t="s" s="405">
        <f>IF(OR(WEEKDAY($A14)=1,WEEKDAY($A14)=2),"",IF(B13="",IF(B12="",B11,B12),B13)+IF(A$2=TRUE,IF(C13="",IF(C12="",C11,C12),C13)*2,IF(C13="",IF(C12="",C11,C12),C13)))</f>
      </c>
      <c r="C14" t="s" s="406">
        <f>IF(B14="","",B14*F$6)</f>
      </c>
      <c r="D14" t="s" s="406">
        <f>IF(C14="","",(D$3*$C14)/$C$3)</f>
      </c>
      <c r="E14" t="s" s="406">
        <f>IF(C14="","",D14-$C14)</f>
      </c>
      <c r="F14" t="s" s="406">
        <f>IF(B14="","",C14/B14)</f>
      </c>
      <c r="G14" s="407"/>
    </row>
    <row r="15" ht="20.05" customHeight="1">
      <c r="A15" s="400">
        <v>44816</v>
      </c>
      <c r="B15" s="401">
        <v>4231.98</v>
      </c>
      <c r="C15" s="402">
        <f>IF(B15="","",B15*F$6)</f>
        <v>1.66751498975901</v>
      </c>
      <c r="D15" s="403">
        <f>IF(C15="","",(D$3*$C15)/$C$3)</f>
        <v>2.15239523500808</v>
      </c>
      <c r="E15" s="403">
        <f>IF(C15="","",D15-$C15)</f>
        <v>0.48488024524907</v>
      </c>
      <c r="F15" s="404">
        <f>IF(B15="","",C15/B15)</f>
        <v>0.000394027143266039</v>
      </c>
      <c r="G15" s="407"/>
    </row>
    <row r="16" ht="20.05" customHeight="1">
      <c r="A16" s="400">
        <v>44817</v>
      </c>
      <c r="B16" s="401">
        <f>IF(OR(WEEKDAY($A16)=7,WEEKDAY($A16)=1),"",IF(B15="",IF(B14="",B13,B14),B15)+IF(A$2=TRUE,IF(C15="",IF(C14="",C13,C14),C15)*2,IF(C15="",IF(C14="",C13,C14),C15)))</f>
        <v>4235.315029979520</v>
      </c>
      <c r="C16" s="402">
        <f>IF(B16="","",B16*F$6)</f>
        <v>1.66882908209455</v>
      </c>
      <c r="D16" s="403">
        <f>IF(C16="","",(D$3*$C16)/$C$3)</f>
        <v>2.15409143929935</v>
      </c>
      <c r="E16" s="403">
        <f>IF(C16="","",D16-$C16)</f>
        <v>0.4852623572048</v>
      </c>
      <c r="F16" s="404">
        <f>IF(B16="","",C16/B16)</f>
        <v>0.000394027143266039</v>
      </c>
      <c r="G16" s="404"/>
    </row>
    <row r="17" ht="20.05" customHeight="1">
      <c r="A17" s="400">
        <v>44818</v>
      </c>
      <c r="B17" s="401">
        <v>3235.99</v>
      </c>
      <c r="C17" s="402">
        <f>IF(B17="","",B17*F$6)</f>
        <v>1.27506789533747</v>
      </c>
      <c r="D17" s="403">
        <f>IF(C17="","",(D$3*$C17)/$C$3)</f>
        <v>1.64583231880439</v>
      </c>
      <c r="E17" s="403">
        <f>IF(C17="","",D17-$C17)</f>
        <v>0.37076442346692</v>
      </c>
      <c r="F17" s="404">
        <f>IF(B17="","",C17/B17)</f>
        <v>0.000394027143266039</v>
      </c>
      <c r="G17" s="404"/>
    </row>
    <row r="18" ht="20.05" customHeight="1">
      <c r="A18" s="400">
        <v>44819</v>
      </c>
      <c r="B18" s="401">
        <v>3138.55</v>
      </c>
      <c r="C18" s="402">
        <f>IF(B18="","",B18*F$6)</f>
        <v>1.23667389049763</v>
      </c>
      <c r="D18" s="403">
        <f>IF(C18="","",(D$3*$C18)/$C$3)</f>
        <v>1.59627409979127</v>
      </c>
      <c r="E18" s="403">
        <f>IF(C18="","",D18-$C18)</f>
        <v>0.35960020929364</v>
      </c>
      <c r="F18" s="404">
        <f>IF(B18="","",C18/B18)</f>
        <v>0.00039402714326604</v>
      </c>
      <c r="G18" s="404"/>
    </row>
    <row r="19" ht="20.05" customHeight="1">
      <c r="A19" s="400">
        <v>44820</v>
      </c>
      <c r="B19" s="401">
        <v>4747</v>
      </c>
      <c r="C19" s="402">
        <f>IF(B19="","",B19*F$6)</f>
        <v>1.87044684908389</v>
      </c>
      <c r="D19" s="403">
        <f>IF(C19="","",(D$3*$C19)/$C$3)</f>
        <v>2.41433564917211</v>
      </c>
      <c r="E19" s="403">
        <f>IF(C19="","",D19-$C19)</f>
        <v>0.54388880008822</v>
      </c>
      <c r="F19" s="404">
        <f>IF(B19="","",C19/B19)</f>
        <v>0.00039402714326604</v>
      </c>
      <c r="G19" s="404"/>
    </row>
    <row r="20" ht="20.05" customHeight="1">
      <c r="A20" s="400">
        <v>44821</v>
      </c>
      <c r="B20" t="s" s="405">
        <f>IF(OR(WEEKDAY($A20)=7,WEEKDAY($A20)=1),"",IF(B19="",IF(B18="",B17,B18),B19)+IF(A$2=TRUE,IF(C19="",IF(C18="",C17,C18),C19)*2,IF(C19="",IF(C18="",C17,C18),C19)))</f>
      </c>
      <c r="C20" t="s" s="406">
        <f>IF(B20="","",B20*F$6)</f>
      </c>
      <c r="D20" t="s" s="406">
        <f>IF(C20="","",(D$3*$C20)/$C$3)</f>
      </c>
      <c r="E20" t="s" s="406">
        <f>IF(C20="","",D20-$C20)</f>
      </c>
      <c r="F20" t="s" s="406">
        <f>IF(B20="","",C20/B20)</f>
      </c>
      <c r="G20" s="404"/>
    </row>
    <row r="21" ht="20.05" customHeight="1">
      <c r="A21" s="400">
        <v>44822</v>
      </c>
      <c r="B21" t="s" s="405">
        <f>IF(OR(WEEKDAY($A21)=7,WEEKDAY($A21)=1),"",IF(B20="",IF(B19="",B18,B19),B20)+IF(A$2=TRUE,IF(C20="",IF(C19="",C18,C19),C20)*2,IF(C20="",IF(C19="",C18,C19),C20)))</f>
      </c>
      <c r="C21" t="s" s="406">
        <f>IF(B21="","",B21*F$6)</f>
      </c>
      <c r="D21" t="s" s="406">
        <f>IF(C21="","",(D$3*$C21)/$C$3)</f>
      </c>
      <c r="E21" t="s" s="406">
        <f>IF(C21="","",D21-$C21)</f>
      </c>
      <c r="F21" t="s" s="406">
        <f>IF(B21="","",C21/B21)</f>
      </c>
      <c r="G21" s="407"/>
    </row>
    <row r="22" ht="20.05" customHeight="1">
      <c r="A22" s="400">
        <v>44823</v>
      </c>
      <c r="B22" s="401">
        <f>IF(OR(WEEKDAY($A22)=7,WEEKDAY($A22)=1),"",IF(B21="",IF(B20="",B19,B20),B21)+IF(A$2=TRUE,IF(C21="",IF(C20="",C19,C20),C21)*2,IF(C21="",IF(C20="",C19,C20),C21)))</f>
        <v>4750.740893698170</v>
      </c>
      <c r="C22" s="402">
        <f>IF(B22="","",B22*F$6)</f>
        <v>1.87192086274104</v>
      </c>
      <c r="D22" s="403">
        <f>IF(C22="","",(D$3*$C22)/$C$3)</f>
        <v>2.41623827672957</v>
      </c>
      <c r="E22" s="403">
        <f>IF(C22="","",D22-$C22)</f>
        <v>0.54431741398853</v>
      </c>
      <c r="F22" s="404">
        <f>IF(B22="","",C22/B22)</f>
        <v>0.000394027143266039</v>
      </c>
      <c r="G22" s="407"/>
    </row>
    <row r="23" ht="20.05" customHeight="1">
      <c r="A23" s="400">
        <v>44824</v>
      </c>
      <c r="B23" s="401">
        <v>4472.39</v>
      </c>
      <c r="C23" s="402">
        <f>IF(B23="","",B23*F$6)</f>
        <v>1.7622430552716</v>
      </c>
      <c r="D23" s="403">
        <f>IF(C23="","",(D$3*$C23)/$C$3)</f>
        <v>2.27466834084703</v>
      </c>
      <c r="E23" s="403">
        <f>IF(C23="","",D23-$C23)</f>
        <v>0.51242528557543</v>
      </c>
      <c r="F23" s="404">
        <f>IF(B23="","",C23/B23)</f>
        <v>0.000394027143266039</v>
      </c>
      <c r="G23" s="404"/>
    </row>
    <row r="24" ht="20.05" customHeight="1">
      <c r="A24" s="400">
        <v>44825</v>
      </c>
      <c r="B24" s="401">
        <f>IF(OR(WEEKDAY($A24)=7,WEEKDAY($A24)=1),"",IF(B23="",IF(B22="",B21,B22),B23)+IF(A$2=TRUE,IF(C23="",IF(C22="",C21,C22),C23)*2,IF(C23="",IF(C22="",C21,C22),C23)))</f>
        <v>4475.914486110540</v>
      </c>
      <c r="C24" s="402">
        <f>IF(B24="","",B24*F$6)</f>
        <v>1.76363179846522</v>
      </c>
      <c r="D24" s="403">
        <f>IF(C24="","",(D$3*$C24)/$C$3)</f>
        <v>2.27646090298348</v>
      </c>
      <c r="E24" s="403">
        <f>IF(C24="","",D24-$C24)</f>
        <v>0.51282910451826</v>
      </c>
      <c r="F24" s="404">
        <f>IF(B24="","",C24/B24)</f>
        <v>0.00039402714326604</v>
      </c>
      <c r="G24" s="404"/>
    </row>
    <row r="25" ht="20.05" customHeight="1">
      <c r="A25" s="400">
        <v>44826</v>
      </c>
      <c r="B25" s="401">
        <v>4226.86</v>
      </c>
      <c r="C25" s="402">
        <f>IF(B25="","",B25*F$6)</f>
        <v>1.66549757078549</v>
      </c>
      <c r="D25" s="403">
        <f>IF(C25="","",(D$3*$C25)/$C$3)</f>
        <v>2.14979119065928</v>
      </c>
      <c r="E25" s="403">
        <f>IF(C25="","",D25-$C25)</f>
        <v>0.48429361987379</v>
      </c>
      <c r="F25" s="404">
        <f>IF(B25="","",C25/B25)</f>
        <v>0.000394027143266039</v>
      </c>
      <c r="G25" s="404"/>
    </row>
    <row r="26" ht="20.05" customHeight="1">
      <c r="A26" s="400">
        <v>44827</v>
      </c>
      <c r="B26" s="401">
        <v>4786.58</v>
      </c>
      <c r="C26" s="402">
        <f>IF(B26="","",B26*F$6)</f>
        <v>1.88604244341436</v>
      </c>
      <c r="D26" s="403">
        <f>IF(C26="","",(D$3*$C26)/$C$3)</f>
        <v>2.43446613263414</v>
      </c>
      <c r="E26" s="403">
        <f>IF(C26="","",D26-$C26)</f>
        <v>0.54842368921978</v>
      </c>
      <c r="F26" s="404">
        <f>IF(B26="","",C26/B26)</f>
        <v>0.00039402714326604</v>
      </c>
      <c r="G26" s="404"/>
    </row>
    <row r="27" ht="20.05" customHeight="1">
      <c r="A27" s="400">
        <v>44828</v>
      </c>
      <c r="B27" t="s" s="405">
        <f>IF(OR(WEEKDAY($A27)=7,WEEKDAY($A27)=1),"",IF(B26="",IF(B25="",B24,B25),B26)+IF(A$2=TRUE,IF(C26="",IF(C25="",C24,C25),C26)*2,IF(C26="",IF(C25="",C24,C25),C26)))</f>
      </c>
      <c r="C27" t="s" s="406">
        <f>IF(B27="","",B27*F$6)</f>
      </c>
      <c r="D27" t="s" s="406">
        <f>IF(C27="","",(D$3*$C27)/$C$3)</f>
      </c>
      <c r="E27" t="s" s="406">
        <f>IF(C27="","",D27-$C27)</f>
      </c>
      <c r="F27" t="s" s="406">
        <f>IF(B27="","",C27/B27)</f>
      </c>
      <c r="G27" s="404"/>
    </row>
    <row r="28" ht="20.05" customHeight="1">
      <c r="A28" s="400">
        <v>44829</v>
      </c>
      <c r="B28" t="s" s="405">
        <f>IF(OR(WEEKDAY($A28)=7,WEEKDAY($A28)=1),"",IF(B27="",IF(B26="",B25,B26),B27)+IF(A$2=TRUE,IF(C27="",IF(C26="",C25,C26),C27)*2,IF(C27="",IF(C26="",C25,C26),C27)))</f>
      </c>
      <c r="C28" t="s" s="406">
        <f>IF(B28="","",B28*F$6)</f>
      </c>
      <c r="D28" t="s" s="406">
        <f>IF(C28="","",(D$3*$C28)/$C$3)</f>
      </c>
      <c r="E28" t="s" s="406">
        <f>IF(C28="","",D28-$C28)</f>
      </c>
      <c r="F28" t="s" s="406">
        <f>IF(B28="","",C28/B28)</f>
      </c>
      <c r="G28" s="407"/>
    </row>
    <row r="29" ht="20.05" customHeight="1">
      <c r="A29" s="400">
        <v>44830</v>
      </c>
      <c r="B29" s="401">
        <v>4874.6</v>
      </c>
      <c r="C29" s="402">
        <f>IF(B29="","",B29*F$6)</f>
        <v>1.92072471256463</v>
      </c>
      <c r="D29" s="403">
        <f>IF(C29="","",(D$3*$C29)/$C$3)</f>
        <v>2.47923331692739</v>
      </c>
      <c r="E29" s="403">
        <f>IF(C29="","",D29-$C29)</f>
        <v>0.55850860436276</v>
      </c>
      <c r="F29" s="404">
        <f>IF(B29="","",C29/B29)</f>
        <v>0.000394027143266038</v>
      </c>
      <c r="G29" s="407"/>
    </row>
    <row r="30" ht="20.05" customHeight="1">
      <c r="A30" s="400">
        <v>44831</v>
      </c>
      <c r="B30" s="401">
        <f>IF(OR(WEEKDAY($A30)=7,WEEKDAY($A30)=1),"",IF(B29="",IF(B28="",B27,B28),B29)+IF(A$2=TRUE,IF(C29="",IF(C28="",C27,C28),C29)*2,IF(C29="",IF(C28="",C27,C28),C29)))</f>
        <v>4878.441449425130</v>
      </c>
      <c r="C30" s="402">
        <f>IF(B30="","",B30*F$6)</f>
        <v>1.92223834790762</v>
      </c>
      <c r="D30" s="403">
        <f>IF(C30="","",(D$3*$C30)/$C$3)</f>
        <v>2.48118708737012</v>
      </c>
      <c r="E30" s="403">
        <f>IF(C30="","",D30-$C30)</f>
        <v>0.5589487394625</v>
      </c>
      <c r="F30" s="404">
        <f>IF(B30="","",C30/B30)</f>
        <v>0.000394027143266039</v>
      </c>
      <c r="G30" s="404"/>
    </row>
    <row r="31" ht="20.05" customHeight="1">
      <c r="A31" s="400">
        <v>44832</v>
      </c>
      <c r="B31" s="401">
        <f>IF(OR(WEEKDAY($A31)=7,WEEKDAY($A31)=1),"",IF(B30="",IF(B29="",B28,B29),B30)+IF(A$2=TRUE,IF(C30="",IF(C29="",C28,C29),C30)*2,IF(C30="",IF(C29="",C28,C29),C30)))</f>
        <v>4882.285926120950</v>
      </c>
      <c r="C31" s="402">
        <f>IF(B31="","",B31*F$6)</f>
        <v>1.92375317607743</v>
      </c>
      <c r="D31" s="403">
        <f>IF(C31="","",(D$3*$C31)/$C$3)</f>
        <v>2.48314239749002</v>
      </c>
      <c r="E31" s="403">
        <f>IF(C31="","",D31-$C31)</f>
        <v>0.55938922141259</v>
      </c>
      <c r="F31" s="404">
        <f>IF(B31="","",C31/B31)</f>
        <v>0.00039402714326604</v>
      </c>
      <c r="G31" s="404"/>
    </row>
    <row r="32" ht="20.05" customHeight="1">
      <c r="A32" s="400">
        <v>44833</v>
      </c>
      <c r="B32" s="401">
        <f>IF(OR(WEEKDAY($A32)=7,WEEKDAY($A32)=1),"",IF(B31="",IF(B30="",B29,B30),B31)+IF(A$2=TRUE,IF(C31="",IF(C30="",C29,C30),C31)*2,IF(C31="",IF(C30="",C29,C30),C31)))</f>
        <v>4886.1334324731</v>
      </c>
      <c r="C32" s="402">
        <f>IF(B32="","",B32*F$6)</f>
        <v>1.92526919801406</v>
      </c>
      <c r="D32" s="403">
        <f>IF(C32="","",(D$3*$C32)/$C$3)</f>
        <v>2.48509924850042</v>
      </c>
      <c r="E32" s="403">
        <f>IF(C32="","",D32-$C32)</f>
        <v>0.55983005048636</v>
      </c>
      <c r="F32" s="404">
        <f>IF(B32="","",C32/B32)</f>
        <v>0.000394027143266039</v>
      </c>
      <c r="G32" s="402">
        <f>G33*B6</f>
        <v>-2123.623121323930</v>
      </c>
    </row>
    <row r="33" ht="20.05" customHeight="1">
      <c r="A33" s="400">
        <v>44834</v>
      </c>
      <c r="B33" s="401">
        <v>3888.02</v>
      </c>
      <c r="C33" s="402">
        <f>IF(B33="","",B33*F$6)</f>
        <v>1.53198541356122</v>
      </c>
      <c r="D33" s="403">
        <f>IF(C33="","",(D$3*$C33)/$C$3)</f>
        <v>1.97745634941945</v>
      </c>
      <c r="E33" s="403">
        <f>IF(C33="","",D33-$C33)</f>
        <v>0.44547093585823</v>
      </c>
      <c r="F33" s="404">
        <f>IF(B33="","",C33/B33)</f>
        <v>0.000394027143266038</v>
      </c>
      <c r="G33" s="404">
        <f>(B33-B9)/B9</f>
        <v>-0.394700543334423</v>
      </c>
    </row>
    <row r="34" ht="20.05" customHeight="1">
      <c r="A34" s="400">
        <v>44835</v>
      </c>
      <c r="B34" t="s" s="405">
        <f>IF(OR(WEEKDAY($A34)=7,WEEKDAY($A34)=1),"",IF(B33="",IF(B32="",B31,B32),B33)+IF(A$2=TRUE,IF(C33="",IF(C32="",C31,C32),C33)*2,IF(C33="",IF(C32="",C31,C32),C33)))</f>
      </c>
      <c r="C34" t="s" s="406">
        <f>IF(B34="","",B34*F$6)</f>
      </c>
      <c r="D34" t="s" s="406">
        <f>IF(C34="","",(D$3*$C34)/$C$3)</f>
      </c>
      <c r="E34" t="s" s="406">
        <f>IF(C34="","",D34-$C34)</f>
      </c>
      <c r="F34" t="s" s="406">
        <f>IF(B34="","",C34/B34)</f>
      </c>
      <c r="G34" s="404"/>
    </row>
    <row r="35" ht="20.05" customHeight="1">
      <c r="A35" s="400">
        <v>44836</v>
      </c>
      <c r="B35" t="s" s="405">
        <f>IF(OR(WEEKDAY($A35)=7,WEEKDAY($A35)=1),"",IF(B34="",IF(B33="",B32,B33),B34)+IF(A$2=TRUE,IF(C34="",IF(C33="",C32,C33),C34)*2,IF(C34="",IF(C33="",C32,C33),C34)))</f>
      </c>
      <c r="C35" t="s" s="406">
        <f>IF(B35="","",B35*F$6)</f>
      </c>
      <c r="D35" t="s" s="406">
        <f>IF(C35="","",(D$3*$C35)/$C$3)</f>
      </c>
      <c r="E35" t="s" s="406">
        <f>IF(C35="","",D35-$C35)</f>
      </c>
      <c r="F35" t="s" s="406">
        <f>IF(B35="","",C35/B35)</f>
      </c>
      <c r="G35" s="407"/>
    </row>
    <row r="36" ht="20.05" customHeight="1">
      <c r="A36" s="400">
        <v>44837</v>
      </c>
      <c r="B36" s="401">
        <v>3891.48</v>
      </c>
      <c r="C36" s="402">
        <f>IF(B36="","",B36*F$6)</f>
        <v>1.53334874747693</v>
      </c>
      <c r="D36" s="403">
        <f>IF(C36="","",(D$3*$C36)/$C$3)</f>
        <v>1.97921611376455</v>
      </c>
      <c r="E36" s="403">
        <f>IF(C36="","",D36-$C36)</f>
        <v>0.44586736628762</v>
      </c>
      <c r="F36" s="404">
        <f>IF(B36="","",C36/B36)</f>
        <v>0.00039402714326604</v>
      </c>
      <c r="G36" s="407"/>
    </row>
    <row r="37" ht="20.05" customHeight="1">
      <c r="A37" s="400">
        <v>44838</v>
      </c>
      <c r="B37" s="401">
        <v>5704.98</v>
      </c>
      <c r="C37" s="402">
        <f>IF(B37="","",B37*F$6)</f>
        <v>2.24791697178989</v>
      </c>
      <c r="D37" s="403">
        <f>IF(C37="","",(D$3*$C37)/$C$3)</f>
        <v>2.90156658770043</v>
      </c>
      <c r="E37" s="403">
        <f>IF(C37="","",D37-$C37)</f>
        <v>0.65364961591054</v>
      </c>
      <c r="F37" s="404">
        <f>IF(B37="","",C37/B37)</f>
        <v>0.000394027143266039</v>
      </c>
      <c r="G37" s="404"/>
    </row>
    <row r="38" ht="20.05" customHeight="1">
      <c r="A38" s="400">
        <v>44839</v>
      </c>
      <c r="B38" s="401">
        <f>IF(OR(WEEKDAY($A38)=7,WEEKDAY($A38)=1),"",IF(B37="",IF(B36="",B35,B36),B37)+IF(A$2=TRUE,IF(C37="",IF(C36="",C35,C36),C37)*2,IF(C37="",IF(C36="",C35,C36),C37)))</f>
        <v>5709.475833943580</v>
      </c>
      <c r="C38" s="402">
        <f>IF(B38="","",B38*F$6)</f>
        <v>2.24968845239527</v>
      </c>
      <c r="D38" s="403">
        <f>IF(C38="","",(D$3*$C38)/$C$3)</f>
        <v>2.90385317968751</v>
      </c>
      <c r="E38" s="403">
        <f>IF(C38="","",D38-$C38)</f>
        <v>0.65416472729224</v>
      </c>
      <c r="F38" s="404">
        <f>IF(B38="","",C38/B38)</f>
        <v>0.000394027143266038</v>
      </c>
      <c r="G38" s="404"/>
    </row>
    <row r="39" ht="20.05" customHeight="1">
      <c r="A39" s="400">
        <v>44840</v>
      </c>
      <c r="B39" s="401">
        <v>5329.57</v>
      </c>
      <c r="C39" s="402">
        <f>IF(B39="","",B39*F$6)</f>
        <v>2.09999524193638</v>
      </c>
      <c r="D39" s="403">
        <f>IF(C39="","",(D$3*$C39)/$C$3)</f>
        <v>2.71063215625831</v>
      </c>
      <c r="E39" s="403">
        <f>IF(C39="","",D39-$C39)</f>
        <v>0.61063691432193</v>
      </c>
      <c r="F39" s="404">
        <f>IF(B39="","",C39/B39)</f>
        <v>0.000394027143266038</v>
      </c>
      <c r="G39" s="404"/>
    </row>
    <row r="40" ht="20.05" customHeight="1">
      <c r="A40" s="400">
        <v>44841</v>
      </c>
      <c r="B40" s="401">
        <v>6370.35</v>
      </c>
      <c r="C40" s="402">
        <f>IF(B40="","",B40*F$6)</f>
        <v>2.51009081210481</v>
      </c>
      <c r="D40" s="403">
        <f>IF(C40="","",(D$3*$C40)/$C$3)</f>
        <v>3.2399753744899</v>
      </c>
      <c r="E40" s="403">
        <f>IF(C40="","",D40-$C40)</f>
        <v>0.72988456238509</v>
      </c>
      <c r="F40" s="404">
        <f>IF(B40="","",C40/B40)</f>
        <v>0.000394027143266039</v>
      </c>
      <c r="G40" s="404"/>
    </row>
    <row r="41" ht="20.05" customHeight="1">
      <c r="A41" s="400">
        <v>44842</v>
      </c>
      <c r="B41" t="s" s="405">
        <f>IF(OR(WEEKDAY($A41)=7,WEEKDAY($A41)=1),"",IF(B40="",IF(B39="",B38,B39),B40)+IF(A$2=TRUE,IF(C40="",IF(C39="",C38,C39),C40)*2,IF(C40="",IF(C39="",C38,C39),C40)))</f>
      </c>
      <c r="C41" t="s" s="406">
        <f>IF(B41="","",B41*F$6)</f>
      </c>
      <c r="D41" t="s" s="406">
        <f>IF(C41="","",(D$3*$C41)/$C$3)</f>
      </c>
      <c r="E41" t="s" s="406">
        <f>IF(C41="","",D41-$C41)</f>
      </c>
      <c r="F41" t="s" s="406">
        <f>IF(B41="","",C41/B41)</f>
      </c>
      <c r="G41" s="404"/>
    </row>
    <row r="42" ht="20.05" customHeight="1">
      <c r="A42" s="400">
        <v>44843</v>
      </c>
      <c r="B42" t="s" s="405">
        <f>IF(OR(WEEKDAY($A42)=7,WEEKDAY($A42)=1),"",IF(B41="",IF(B40="",B39,B40),B41)+IF(A$2=TRUE,IF(C41="",IF(C40="",C39,C40),C41)*2,IF(C41="",IF(C40="",C39,C40),C41)))</f>
      </c>
      <c r="C42" t="s" s="406">
        <f>IF(B42="","",B42*F$6)</f>
      </c>
      <c r="D42" t="s" s="406">
        <f>IF(C42="","",(D$3*$C42)/$C$3)</f>
      </c>
      <c r="E42" t="s" s="406">
        <f>IF(C42="","",D42-$C42)</f>
      </c>
      <c r="F42" t="s" s="406">
        <f>IF(B42="","",C42/B42)</f>
      </c>
      <c r="G42" s="407"/>
    </row>
    <row r="43" ht="20.05" customHeight="1">
      <c r="A43" s="400">
        <v>44844</v>
      </c>
      <c r="B43" s="401">
        <f>IF(OR(WEEKDAY($A43)=7,WEEKDAY($A43)=1),"",IF(B42="",IF(B41="",B40,B41),B42)+IF(A$2=TRUE,IF(C42="",IF(C41="",C40,C41),C42)*2,IF(C42="",IF(C41="",C40,C41),C42)))</f>
        <v>6375.370181624210</v>
      </c>
      <c r="C43" s="402">
        <f>IF(B43="","",B43*F$6)</f>
        <v>2.51206889992888</v>
      </c>
      <c r="D43" s="403">
        <f>IF(C43="","",(D$3*$C43)/$C$3)</f>
        <v>3.24252865097203</v>
      </c>
      <c r="E43" s="403">
        <f>IF(C43="","",D43-$C43)</f>
        <v>0.73045975104315</v>
      </c>
      <c r="F43" s="404">
        <f>IF(B43="","",C43/B43)</f>
        <v>0.00039402714326604</v>
      </c>
      <c r="G43" s="407"/>
    </row>
    <row r="44" ht="20.05" customHeight="1">
      <c r="A44" s="400">
        <v>44845</v>
      </c>
      <c r="B44" s="401">
        <f>IF(OR(WEEKDAY($A44)=7,WEEKDAY($A44)=1),"",IF(B43="",IF(B42="",B41,B42),B43)+IF(A$2=TRUE,IF(C43="",IF(C42="",C41,C42),C43)*2,IF(C43="",IF(C42="",C41,C42),C43)))</f>
        <v>6380.394319424070</v>
      </c>
      <c r="C44" s="402">
        <f>IF(B44="","",B44*F$6)</f>
        <v>2.51404854659353</v>
      </c>
      <c r="D44" s="403">
        <f>IF(C44="","",(D$3*$C44)/$C$3)</f>
        <v>3.24508393957463</v>
      </c>
      <c r="E44" s="403">
        <f>IF(C44="","",D44-$C44)</f>
        <v>0.7310353929811</v>
      </c>
      <c r="F44" s="404">
        <f>IF(B44="","",C44/B44)</f>
        <v>0.000394027143266039</v>
      </c>
      <c r="G44" s="404"/>
    </row>
    <row r="45" ht="20.05" customHeight="1">
      <c r="A45" s="400">
        <v>44846</v>
      </c>
      <c r="B45" s="401">
        <f>3000</f>
        <v>3000</v>
      </c>
      <c r="C45" s="402">
        <f>IF(B45="","",B45*F$6)</f>
        <v>1.18208142979812</v>
      </c>
      <c r="D45" s="403">
        <f>IF(C45="","",(D$3*$C45)/$C$3)</f>
        <v>3.24764124188336</v>
      </c>
      <c r="E45" s="403">
        <f>IF(C45="","",D45-$C45)</f>
        <v>0.73161148855614</v>
      </c>
      <c r="F45" s="404">
        <f>IF(B45="","",C45/B45)</f>
        <v>0.000394027143266038</v>
      </c>
      <c r="G45" s="404"/>
    </row>
    <row r="46" ht="20.05" customHeight="1">
      <c r="A46" s="400">
        <v>44847</v>
      </c>
      <c r="B46" s="401">
        <f>IF(OR(WEEKDAY($A46)=7,WEEKDAY($A46)=1),"",IF(B45="",IF(B44="",B43,B44),B45)+IF(A$2=TRUE,IF(C45="",IF(C44="",C43,C44),C45)*2,IF(C45="",IF(C44="",C43,C44),C45)))</f>
        <v>6390.454476023910</v>
      </c>
      <c r="C46" s="402">
        <f>IF(B46="","",B46*F$6)</f>
        <v>2.51801252135937</v>
      </c>
      <c r="D46" s="403">
        <f>IF(C46="","",(D$3*$C46)/$C$3)</f>
        <v>3.25020055948514</v>
      </c>
      <c r="E46" s="403">
        <f>IF(C46="","",D46-$C46)</f>
        <v>0.73218803812577</v>
      </c>
      <c r="F46" s="404">
        <f>IF(B46="","",C46/B46)</f>
        <v>0.000394027143266038</v>
      </c>
      <c r="G46" s="404"/>
    </row>
    <row r="47" ht="20.05" customHeight="1">
      <c r="A47" s="400">
        <v>44848</v>
      </c>
      <c r="B47" s="401">
        <f>IF(OR(WEEKDAY($A47)=7,WEEKDAY($A47)=1),"",IF(B46="",IF(B45="",B44,B45),B46)+IF(A$2=TRUE,IF(C46="",IF(C45="",C44,C45),C46)*2,IF(C46="",IF(C45="",C44,C45),C46)))</f>
        <v>6395.490501066630</v>
      </c>
      <c r="C47" s="402">
        <f>IF(B47="","",B47*F$6)</f>
        <v>2.51999685192037</v>
      </c>
      <c r="D47" s="403">
        <f>IF(C47="","",(D$3*$C47)/$C$3)</f>
        <v>3.25276189396814</v>
      </c>
      <c r="E47" s="403">
        <f>IF(C47="","",D47-$C47)</f>
        <v>0.73276504204777</v>
      </c>
      <c r="F47" s="404">
        <f>IF(B47="","",C47/B47)</f>
        <v>0.000394027143266039</v>
      </c>
      <c r="G47" s="404"/>
    </row>
    <row r="48" ht="20.05" customHeight="1">
      <c r="A48" s="400">
        <v>44849</v>
      </c>
      <c r="B48" t="s" s="405">
        <f>IF(OR(WEEKDAY($A48)=7,WEEKDAY($A48)=1),"",IF(B47="",IF(B46="",B45,B46),B47)+IF(A$2=TRUE,IF(C47="",IF(C46="",C45,C46),C47)*2,IF(C47="",IF(C46="",C45,C46),C47)))</f>
      </c>
      <c r="C48" t="s" s="406">
        <f>IF(B48="","",B48*F$6)</f>
      </c>
      <c r="D48" t="s" s="406">
        <f>IF(C48="","",(D$3*$C48)/$C$3)</f>
      </c>
      <c r="E48" t="s" s="406">
        <f>IF(C48="","",D48-$C48)</f>
      </c>
      <c r="F48" t="s" s="406">
        <f>IF(B48="","",C48/B48)</f>
      </c>
      <c r="G48" s="404"/>
    </row>
    <row r="49" ht="20.05" customHeight="1">
      <c r="A49" s="400">
        <v>44850</v>
      </c>
      <c r="B49" t="s" s="405">
        <f>IF(OR(WEEKDAY($A49)=7,WEEKDAY($A49)=1),"",IF(B48="",IF(B47="",B46,B47),B48)+IF(A$2=TRUE,IF(C48="",IF(C47="",C46,C47),C48)*2,IF(C48="",IF(C47="",C46,C47),C48)))</f>
      </c>
      <c r="C49" t="s" s="406">
        <f>IF(B49="","",B49*F$6)</f>
      </c>
      <c r="D49" t="s" s="406">
        <f>IF(C49="","",(D$3*$C49)/$C$3)</f>
      </c>
      <c r="E49" t="s" s="406">
        <f>IF(C49="","",D49-$C49)</f>
      </c>
      <c r="F49" t="s" s="406">
        <f>IF(B49="","",C49/B49)</f>
      </c>
      <c r="G49" s="407"/>
    </row>
    <row r="50" ht="20.05" customHeight="1">
      <c r="A50" s="400">
        <v>44851</v>
      </c>
      <c r="B50" s="401">
        <v>12000</v>
      </c>
      <c r="C50" s="402">
        <f>IF(B50="","",B50*F$6)</f>
        <v>4.72832571919247</v>
      </c>
      <c r="D50" s="403">
        <f>IF(C50="","",(D$3*$C50)/$C$3)</f>
        <v>6.10322894250376</v>
      </c>
      <c r="E50" s="403">
        <f>IF(C50="","",D50-$C50)</f>
        <v>1.37490322331129</v>
      </c>
      <c r="F50" s="404">
        <f>IF(B50="","",C50/B50)</f>
        <v>0.000394027143266039</v>
      </c>
      <c r="G50" s="407"/>
    </row>
    <row r="51" ht="20.05" customHeight="1">
      <c r="A51" s="400">
        <v>44852</v>
      </c>
      <c r="B51" s="401">
        <f>IF(OR(WEEKDAY($A51)=7,WEEKDAY($A51)=1),"",IF(B50="",IF(B49="",B48,B49),B50)+IF(A$2=TRUE,IF(C50="",IF(C49="",C48,C49),C50)*2,IF(C50="",IF(C49="",C48,C49),C50)))</f>
        <v>12009.4566514384</v>
      </c>
      <c r="C51" s="402">
        <f>IF(B51="","",B51*F$6)</f>
        <v>4.7320518965436</v>
      </c>
      <c r="D51" s="403">
        <f>IF(C51="","",(D$3*$C51)/$C$3)</f>
        <v>6.10803861823358</v>
      </c>
      <c r="E51" s="403">
        <f>IF(C51="","",D51-$C51)</f>
        <v>1.37598672168998</v>
      </c>
      <c r="F51" s="404">
        <f>IF(B51="","",C51/B51)</f>
        <v>0.000394027143266039</v>
      </c>
      <c r="G51" s="404"/>
    </row>
    <row r="52" ht="20.05" customHeight="1">
      <c r="A52" s="400">
        <v>44853</v>
      </c>
      <c r="B52" s="401">
        <f>IF(OR(WEEKDAY($A52)=7,WEEKDAY($A52)=1),"",IF(B51="",IF(B50="",B49,B50),B51)+IF(A$2=TRUE,IF(C51="",IF(C50="",C49,C50),C51)*2,IF(C51="",IF(C50="",C49,C50),C51)))</f>
        <v>12018.9207552315</v>
      </c>
      <c r="C52" s="402">
        <f>IF(B52="","",B52*F$6)</f>
        <v>4.73578101032477</v>
      </c>
      <c r="D52" s="403">
        <f>IF(C52="","",(D$3*$C52)/$C$3)</f>
        <v>6.11285208424899</v>
      </c>
      <c r="E52" s="403">
        <f>IF(C52="","",D52-$C52)</f>
        <v>1.37707107392422</v>
      </c>
      <c r="F52" s="404">
        <f>IF(B52="","",C52/B52)</f>
        <v>0.000394027143266039</v>
      </c>
      <c r="G52" s="404"/>
    </row>
    <row r="53" ht="20.05" customHeight="1">
      <c r="A53" s="400">
        <v>44854</v>
      </c>
      <c r="B53" s="401">
        <f>IF(OR(WEEKDAY($A53)=7,WEEKDAY($A53)=1),"",IF(B52="",IF(B51="",B50,B51),B52)+IF(A$2=TRUE,IF(C52="",IF(C51="",C50,C51),C52)*2,IF(C52="",IF(C51="",C50,C51),C52)))</f>
        <v>12028.3923172521</v>
      </c>
      <c r="C53" s="402">
        <f>IF(B53="","",B53*F$6)</f>
        <v>4.73951306285002</v>
      </c>
      <c r="D53" s="403">
        <f>IF(C53="","",(D$3*$C53)/$C$3)</f>
        <v>6.11766934353691</v>
      </c>
      <c r="E53" s="403">
        <f>IF(C53="","",D53-$C53)</f>
        <v>1.37815628068689</v>
      </c>
      <c r="F53" s="404">
        <f>IF(B53="","",C53/B53)</f>
        <v>0.000394027143266039</v>
      </c>
      <c r="G53" s="404"/>
    </row>
    <row r="54" ht="20.05" customHeight="1">
      <c r="A54" s="400">
        <v>44855</v>
      </c>
      <c r="B54" s="401">
        <f>IF(OR(WEEKDAY($A54)=7,WEEKDAY($A54)=1),"",IF(B53="",IF(B52="",B51,B52),B53)+IF(A$2=TRUE,IF(C53="",IF(C52="",C51,C52),C53)*2,IF(C53="",IF(C52="",C51,C52),C53)))</f>
        <v>12037.8713433778</v>
      </c>
      <c r="C54" s="402">
        <f>IF(B54="","",B54*F$6)</f>
        <v>4.74324805643527</v>
      </c>
      <c r="D54" s="403">
        <f>IF(C54="","",(D$3*$C54)/$C$3)</f>
        <v>6.12249039908666</v>
      </c>
      <c r="E54" s="403">
        <f>IF(C54="","",D54-$C54)</f>
        <v>1.37924234265139</v>
      </c>
      <c r="F54" s="404">
        <f>IF(B54="","",C54/B54)</f>
        <v>0.000394027143266039</v>
      </c>
      <c r="G54" s="404"/>
    </row>
    <row r="55" ht="20.05" customHeight="1">
      <c r="A55" s="400">
        <v>44856</v>
      </c>
      <c r="B55" t="s" s="405">
        <f>IF(OR(WEEKDAY($A55)=7,WEEKDAY($A55)=1),"",IF(B54="",IF(B53="",B52,B53),B54)+IF(A$2=TRUE,IF(C54="",IF(C53="",C52,C53),C54)*2,IF(C54="",IF(C53="",C52,C53),C54)))</f>
      </c>
      <c r="C55" t="s" s="406">
        <f>IF(B55="","",B55*F$6)</f>
      </c>
      <c r="D55" t="s" s="406">
        <f>IF(C55="","",(D$3*$C55)/$C$3)</f>
      </c>
      <c r="E55" t="s" s="406">
        <f>IF(C55="","",D55-$C55)</f>
      </c>
      <c r="F55" t="s" s="406">
        <f>IF(B55="","",C55/B55)</f>
      </c>
      <c r="G55" s="404"/>
    </row>
    <row r="56" ht="20.05" customHeight="1">
      <c r="A56" s="400">
        <v>44857</v>
      </c>
      <c r="B56" t="s" s="405">
        <f>IF(OR(WEEKDAY($A56)=7,WEEKDAY($A56)=1),"",IF(B55="",IF(B54="",B53,B54),B55)+IF(A$2=TRUE,IF(C55="",IF(C54="",C53,C54),C55)*2,IF(C55="",IF(C54="",C53,C54),C55)))</f>
      </c>
      <c r="C56" t="s" s="406">
        <f>IF(B56="","",B56*F$6)</f>
      </c>
      <c r="D56" t="s" s="406">
        <f>IF(C56="","",(D$3*$C56)/$C$3)</f>
      </c>
      <c r="E56" t="s" s="406">
        <f>IF(C56="","",D56-$C56)</f>
      </c>
      <c r="F56" t="s" s="406">
        <f>IF(B56="","",C56/B56)</f>
      </c>
      <c r="G56" s="407"/>
    </row>
    <row r="57" ht="20.05" customHeight="1">
      <c r="A57" s="400">
        <v>44858</v>
      </c>
      <c r="B57" s="401">
        <f>IF(OR(WEEKDAY($A57)=7,WEEKDAY($A57)=1),"",IF(B56="",IF(B55="",B54,B55),B56)+IF(A$2=TRUE,IF(C56="",IF(C55="",C54,C55),C56)*2,IF(C56="",IF(C55="",C54,C55),C56)))</f>
        <v>12047.3578394907</v>
      </c>
      <c r="C57" s="402">
        <f>IF(B57="","",B57*F$6)</f>
        <v>4.74698599339824</v>
      </c>
      <c r="D57" s="403">
        <f>IF(C57="","",(D$3*$C57)/$C$3)</f>
        <v>6.12731525388993</v>
      </c>
      <c r="E57" s="403">
        <f>IF(C57="","",D57-$C57)</f>
        <v>1.38032926049169</v>
      </c>
      <c r="F57" s="404">
        <f>IF(B57="","",C57/B57)</f>
        <v>0.000394027143266039</v>
      </c>
      <c r="G57" s="407"/>
    </row>
    <row r="58" ht="20.05" customHeight="1">
      <c r="A58" s="400">
        <v>44859</v>
      </c>
      <c r="B58" s="401">
        <f>IF(OR(WEEKDAY($A58)=7,WEEKDAY($A58)=1),"",IF(B57="",IF(B56="",B55,B56),B57)+IF(A$2=TRUE,IF(C57="",IF(C56="",C55,C56),C57)*2,IF(C57="",IF(C56="",C55,C56),C57)))</f>
        <v>12056.8518114775</v>
      </c>
      <c r="C58" s="402">
        <f>IF(B58="","",B58*F$6)</f>
        <v>4.75072687605845</v>
      </c>
      <c r="D58" s="403">
        <f>IF(C58="","",(D$3*$C58)/$C$3)</f>
        <v>6.13214391094069</v>
      </c>
      <c r="E58" s="403">
        <f>IF(C58="","",D58-$C58)</f>
        <v>1.38141703488224</v>
      </c>
      <c r="F58" s="404">
        <f>IF(B58="","",C58/B58)</f>
        <v>0.000394027143266039</v>
      </c>
      <c r="G58" s="404"/>
    </row>
    <row r="59" ht="20.05" customHeight="1">
      <c r="A59" s="400">
        <v>44860</v>
      </c>
      <c r="B59" s="401">
        <v>17000</v>
      </c>
      <c r="C59" s="402">
        <f>IF(B59="","",B59*F$6)</f>
        <v>6.69846143552266</v>
      </c>
      <c r="D59" s="403">
        <f>IF(C59="","",(D$3*$C59)/$C$3)</f>
        <v>8.646241001880311</v>
      </c>
      <c r="E59" s="403">
        <f>IF(C59="","",D59-$C59)</f>
        <v>1.94777956635765</v>
      </c>
      <c r="F59" s="404">
        <f>IF(B59="","",C59/B59)</f>
        <v>0.000394027143266039</v>
      </c>
      <c r="G59" s="404"/>
    </row>
    <row r="60" ht="20.05" customHeight="1">
      <c r="A60" s="400">
        <v>44861</v>
      </c>
      <c r="B60" s="401">
        <f>IF(OR(WEEKDAY($A60)=7,WEEKDAY($A60)=1),"",IF(B59="",IF(B58="",B57,B58),B59)+IF(A$2=TRUE,IF(C59="",IF(C58="",C57,C58),C59)*2,IF(C59="",IF(C58="",C57,C58),C59)))</f>
        <v>17013.396922871</v>
      </c>
      <c r="C60" s="402">
        <f>IF(B60="","",B60*F$6)</f>
        <v>6.70374018677008</v>
      </c>
      <c r="D60" s="403">
        <f>IF(C60="","",(D$3*$C60)/$C$3)</f>
        <v>8.65305470916422</v>
      </c>
      <c r="E60" s="403">
        <f>IF(C60="","",D60-$C60)</f>
        <v>1.94931452239414</v>
      </c>
      <c r="F60" s="404">
        <f>IF(B60="","",C60/B60)</f>
        <v>0.000394027143266039</v>
      </c>
      <c r="G60" s="404"/>
    </row>
    <row r="61" ht="20.05" customHeight="1">
      <c r="A61" s="400">
        <v>44862</v>
      </c>
      <c r="B61" s="401">
        <f>IF(OR(WEEKDAY($A61)=7,WEEKDAY($A61)=1),"",IF(B60="",IF(B59="",B58,B59),B60)+IF(A$2=TRUE,IF(C60="",IF(C59="",C58,C59),C60)*2,IF(C60="",IF(C59="",C58,C59),C60)))</f>
        <v>17026.8044032445</v>
      </c>
      <c r="C61" s="402">
        <f>IF(B61="","",B61*F$6)</f>
        <v>6.70902309796004</v>
      </c>
      <c r="D61" s="403">
        <f>IF(C61="","",(D$3*$C61)/$C$3)</f>
        <v>8.65987378601934</v>
      </c>
      <c r="E61" s="403">
        <f>IF(C61="","",D61-$C61)</f>
        <v>1.9508506880593</v>
      </c>
      <c r="F61" s="404">
        <f>IF(B61="","",C61/B61)</f>
        <v>0.000394027143266039</v>
      </c>
      <c r="G61" s="404"/>
    </row>
    <row r="62" ht="20.05" customHeight="1">
      <c r="A62" s="400">
        <v>44863</v>
      </c>
      <c r="B62" t="s" s="405">
        <f>IF(OR(WEEKDAY($A62)=7,WEEKDAY($A62)=1),"",IF(B61="",IF(B60="",B59,B60),B61)+IF(A$2=TRUE,IF(C61="",IF(C60="",C59,C60),C61)*2,IF(C61="",IF(C60="",C59,C60),C61)))</f>
      </c>
      <c r="C62" t="s" s="406">
        <f>IF(B62="","",B62*F$6)</f>
      </c>
      <c r="D62" t="s" s="406">
        <f>IF(C62="","",(D$3*$C62)/$C$3)</f>
      </c>
      <c r="E62" t="s" s="406">
        <f>IF(C62="","",D62-$C62)</f>
      </c>
      <c r="F62" t="s" s="406">
        <f>IF(B62="","",C62/B62)</f>
      </c>
      <c r="G62" s="404"/>
    </row>
    <row r="63" ht="20.05" customHeight="1">
      <c r="A63" s="400">
        <v>44864</v>
      </c>
      <c r="B63" t="s" s="405">
        <f>IF(OR(WEEKDAY($A63)=7,WEEKDAY($A63)=1),"",IF(B62="",IF(B61="",B60,B61),B62)+IF(A$2=TRUE,IF(C62="",IF(C61="",C60,C61),C62)*2,IF(C62="",IF(C61="",C60,C61),C62)))</f>
      </c>
      <c r="C63" t="s" s="406">
        <f>IF(B63="","",B63*F$6)</f>
      </c>
      <c r="D63" t="s" s="406">
        <f>IF(C63="","",(D$3*$C63)/$C$3)</f>
      </c>
      <c r="E63" t="s" s="406">
        <f>IF(C63="","",D63-$C63)</f>
      </c>
      <c r="F63" t="s" s="406">
        <f>IF(B63="","",C63/B63)</f>
      </c>
      <c r="G63" s="402">
        <f>G64*B34</f>
      </c>
    </row>
    <row r="64" ht="20.05" customHeight="1">
      <c r="A64" s="400">
        <v>44865</v>
      </c>
      <c r="B64" s="401">
        <f>IF(OR(WEEKDAY($A64)=7,WEEKDAY($A64)=1),"",IF(B63="",IF(B62="",B61,B62),B63)+IF(A$2=TRUE,IF(C63="",IF(C62="",C61,C62),C63)*2,IF(C63="",IF(C62="",C61,C62),C63)))</f>
        <v>17040.2224494404</v>
      </c>
      <c r="C64" s="402">
        <f>IF(B64="","",B64*F$6)</f>
        <v>6.71431017237083</v>
      </c>
      <c r="D64" s="403">
        <f>IF(C64="","",(D$3*$C64)/$C$3)</f>
        <v>8.66669823667724</v>
      </c>
      <c r="E64" s="403">
        <f>IF(C64="","",D64-$C64)</f>
        <v>1.95238806430641</v>
      </c>
      <c r="F64" s="404">
        <f>IF(B64="","",C64/B64)</f>
        <v>0.000394027143266039</v>
      </c>
      <c r="G64" s="404">
        <f>(B62-B34)/B34</f>
      </c>
    </row>
    <row r="65" ht="20.05" customHeight="1">
      <c r="A65" s="400">
        <v>44866</v>
      </c>
      <c r="B65" s="401">
        <f>IF(OR(WEEKDAY($A65)=7,WEEKDAY($A65)=1),"",IF(B64="",IF(B63="",B62,B63),B64)+IF(A$2=TRUE,IF(C64="",IF(C63="",C62,C63),C64)*2,IF(C64="",IF(C63="",C62,C63),C64)))</f>
        <v>17053.6510697851</v>
      </c>
      <c r="C65" s="402">
        <f>IF(B65="","",B65*F$6)</f>
        <v>6.71960141328325</v>
      </c>
      <c r="D65" s="403">
        <f>IF(C65="","",(D$3*$C65)/$C$3)</f>
        <v>8.673528065372709</v>
      </c>
      <c r="E65" s="403">
        <f>IF(C65="","",D65-$C65)</f>
        <v>1.95392665208946</v>
      </c>
      <c r="F65" s="404">
        <f>IF(B65="","",C65/B65)</f>
        <v>0.000394027143266039</v>
      </c>
      <c r="G65" s="404"/>
    </row>
    <row r="66" ht="20.05" customHeight="1">
      <c r="A66" s="400">
        <v>44867</v>
      </c>
      <c r="B66" s="401">
        <f>IF(OR(WEEKDAY($A66)=7,WEEKDAY($A66)=1),"",IF(B65="",IF(B64="",B63,B64),B65)+IF(A$2=TRUE,IF(C65="",IF(C64="",C63,C64),C65)*2,IF(C65="",IF(C64="",C63,C64),C65)))</f>
        <v>17067.0902726117</v>
      </c>
      <c r="C66" s="402">
        <f>IF(B66="","",B66*F$6)</f>
        <v>6.72489682398079</v>
      </c>
      <c r="D66" s="403">
        <f>IF(C66="","",(D$3*$C66)/$C$3)</f>
        <v>8.680363276344</v>
      </c>
      <c r="E66" s="403">
        <f>IF(C66="","",D66-$C66)</f>
        <v>1.95546645236321</v>
      </c>
      <c r="F66" s="404">
        <f>IF(B66="","",C66/B66)</f>
        <v>0.000394027143266039</v>
      </c>
      <c r="G66" s="404"/>
    </row>
    <row r="67" ht="20.05" customHeight="1">
      <c r="A67" s="400">
        <v>44868</v>
      </c>
      <c r="B67" s="401">
        <f>IF(OR(WEEKDAY($A67)=7,WEEKDAY($A67)=1),"",IF(B66="",IF(B65="",B64,B65),B66)+IF(A$2=TRUE,IF(C66="",IF(C65="",C64,C65),C66)*2,IF(C66="",IF(C65="",C64,C65),C66)))</f>
        <v>17080.5400662597</v>
      </c>
      <c r="C67" s="402">
        <f>IF(B67="","",B67*F$6)</f>
        <v>6.73019640774943</v>
      </c>
      <c r="D67" s="403">
        <f>IF(C67="","",(D$3*$C67)/$C$3)</f>
        <v>8.687203873832599</v>
      </c>
      <c r="E67" s="403">
        <f>IF(C67="","",D67-$C67)</f>
        <v>1.95700746608317</v>
      </c>
      <c r="F67" s="404">
        <f>IF(B67="","",C67/B67)</f>
        <v>0.000394027143266039</v>
      </c>
      <c r="G67" s="404"/>
    </row>
    <row r="68" ht="20.05" customHeight="1">
      <c r="A68" s="400">
        <v>44869</v>
      </c>
      <c r="B68" s="401">
        <f>IF(OR(WEEKDAY($A68)=7,WEEKDAY($A68)=1),"",IF(B67="",IF(B66="",B65,B66),B67)+IF(A$2=TRUE,IF(C67="",IF(C66="",C65,C66),C67)*2,IF(C67="",IF(C66="",C65,C66),C67)))</f>
        <v>17094.0004590752</v>
      </c>
      <c r="C68" s="402">
        <f>IF(B68="","",B68*F$6)</f>
        <v>6.73550016787776</v>
      </c>
      <c r="D68" s="403">
        <f>IF(C68="","",(D$3*$C68)/$C$3)</f>
        <v>8.69404986208335</v>
      </c>
      <c r="E68" s="403">
        <f>IF(C68="","",D68-$C68)</f>
        <v>1.95854969420559</v>
      </c>
      <c r="F68" s="404">
        <f>IF(B68="","",C68/B68)</f>
        <v>0.000394027143266039</v>
      </c>
      <c r="G68" s="404"/>
    </row>
    <row r="69" ht="20.05" customHeight="1">
      <c r="A69" s="400">
        <v>44870</v>
      </c>
      <c r="B69" t="s" s="405">
        <f>IF(OR(WEEKDAY($A69)=7,WEEKDAY($A69)=1),"",IF(B68="",IF(B67="",B66,B67),B68)+IF(A$2=TRUE,IF(C68="",IF(C67="",C66,C67),C68)*2,IF(C68="",IF(C67="",C66,C67),C68)))</f>
      </c>
      <c r="C69" t="s" s="406">
        <f>IF(B69="","",B69*F$6)</f>
      </c>
      <c r="D69" t="s" s="406">
        <f>IF(C69="","",(D$3*$C69)/$C$3)</f>
      </c>
      <c r="E69" t="s" s="406">
        <f>IF(C69="","",D69-$C69)</f>
      </c>
      <c r="F69" t="s" s="406">
        <f>IF(B69="","",C69/B69)</f>
      </c>
      <c r="G69" s="404"/>
    </row>
    <row r="70" ht="20.05" customHeight="1">
      <c r="A70" s="400">
        <v>44871</v>
      </c>
      <c r="B70" t="s" s="405">
        <f>IF(OR(WEEKDAY($A70)=7,WEEKDAY($A70)=1),"",IF(B69="",IF(B68="",B67,B68),B69)+IF(A$2=TRUE,IF(C69="",IF(C68="",C67,C68),C69)*2,IF(C69="",IF(C68="",C67,C68),C69)))</f>
      </c>
      <c r="C70" t="s" s="406">
        <f>IF(B70="","",B70*F$6)</f>
      </c>
      <c r="D70" t="s" s="406">
        <f>IF(C70="","",(D$3*$C70)/$C$3)</f>
      </c>
      <c r="E70" t="s" s="406">
        <f>IF(C70="","",D70-$C70)</f>
      </c>
      <c r="F70" t="s" s="406">
        <f>IF(B70="","",C70/B70)</f>
      </c>
      <c r="G70" s="407"/>
    </row>
    <row r="71" ht="20.05" customHeight="1">
      <c r="A71" s="400">
        <v>44872</v>
      </c>
      <c r="B71" s="401">
        <f>IF(OR(WEEKDAY($A71)=7,WEEKDAY($A71)=1),"",IF(B70="",IF(B69="",B68,B69),B70)+IF(A$2=TRUE,IF(C70="",IF(C69="",C68,C69),C70)*2,IF(C70="",IF(C69="",C68,C69),C70)))</f>
        <v>17107.471459411</v>
      </c>
      <c r="C71" s="402">
        <f>IF(B71="","",B71*F$6)</f>
        <v>6.74080810765701</v>
      </c>
      <c r="D71" s="403">
        <f>IF(C71="","",(D$3*$C71)/$C$3)</f>
        <v>8.700901245344509</v>
      </c>
      <c r="E71" s="403">
        <f>IF(C71="","",D71-$C71)</f>
        <v>1.9600931376875</v>
      </c>
      <c r="F71" s="404">
        <f>IF(B71="","",C71/B71)</f>
        <v>0.000394027143266039</v>
      </c>
      <c r="G71" s="407"/>
    </row>
    <row r="72" ht="20.05" customHeight="1">
      <c r="A72" s="400">
        <v>44873</v>
      </c>
      <c r="B72" s="401">
        <f>IF(OR(WEEKDAY($A72)=7,WEEKDAY($A72)=1),"",IF(B71="",IF(B70="",B69,B70),B71)+IF(A$2=TRUE,IF(C71="",IF(C70="",C69,C70),C71)*2,IF(C71="",IF(C70="",C69,C70),C71)))</f>
        <v>17120.9530756263</v>
      </c>
      <c r="C72" s="402">
        <f>IF(B72="","",B72*F$6)</f>
        <v>6.74612023038094</v>
      </c>
      <c r="D72" s="403">
        <f>IF(C72="","",(D$3*$C72)/$C$3)</f>
        <v>8.7077580278676</v>
      </c>
      <c r="E72" s="403">
        <f>IF(C72="","",D72-$C72)</f>
        <v>1.96163779748666</v>
      </c>
      <c r="F72" s="404">
        <f>IF(B72="","",C72/B72)</f>
        <v>0.000394027143266039</v>
      </c>
      <c r="G72" s="404"/>
    </row>
    <row r="73" ht="20.05" customHeight="1">
      <c r="A73" s="400">
        <v>44874</v>
      </c>
      <c r="B73" s="401">
        <f>IF(OR(WEEKDAY($A73)=7,WEEKDAY($A73)=1),"",IF(B72="",IF(B71="",B70,B71),B72)+IF(A$2=TRUE,IF(C72="",IF(C71="",C70,C71),C72)*2,IF(C72="",IF(C71="",C70,C71),C72)))</f>
        <v>17134.4453160871</v>
      </c>
      <c r="C73" s="402">
        <f>IF(B73="","",B73*F$6)</f>
        <v>6.75143653934596</v>
      </c>
      <c r="D73" s="403">
        <f>IF(C73="","",(D$3*$C73)/$C$3)</f>
        <v>8.714620213907549</v>
      </c>
      <c r="E73" s="403">
        <f>IF(C73="","",D73-$C73)</f>
        <v>1.96318367456159</v>
      </c>
      <c r="F73" s="404">
        <f>IF(B73="","",C73/B73)</f>
        <v>0.000394027143266039</v>
      </c>
      <c r="G73" s="404"/>
    </row>
    <row r="74" ht="20.05" customHeight="1">
      <c r="A74" s="400">
        <v>44875</v>
      </c>
      <c r="B74" s="401">
        <f>IF(OR(WEEKDAY($A74)=7,WEEKDAY($A74)=1),"",IF(B73="",IF(B72="",B71,B72),B73)+IF(A$2=TRUE,IF(C73="",IF(C72="",C71,C72),C73)*2,IF(C73="",IF(C72="",C71,C72),C73)))</f>
        <v>17147.9481891658</v>
      </c>
      <c r="C74" s="402">
        <f>IF(B74="","",B74*F$6)</f>
        <v>6.75675703785105</v>
      </c>
      <c r="D74" s="403">
        <f>IF(C74="","",(D$3*$C74)/$C$3)</f>
        <v>8.72148780772263</v>
      </c>
      <c r="E74" s="403">
        <f>IF(C74="","",D74-$C74)</f>
        <v>1.96473076987158</v>
      </c>
      <c r="F74" s="404">
        <f>IF(B74="","",C74/B74)</f>
        <v>0.000394027143266039</v>
      </c>
      <c r="G74" s="404"/>
    </row>
    <row r="75" ht="20.05" customHeight="1">
      <c r="A75" s="400">
        <v>44876</v>
      </c>
      <c r="B75" s="401">
        <f>IF(OR(WEEKDAY($A75)=7,WEEKDAY($A75)=1),"",IF(B74="",IF(B73="",B72,B73),B74)+IF(A$2=TRUE,IF(C74="",IF(C73="",C72,C73),C74)*2,IF(C74="",IF(C73="",C72,C73),C74)))</f>
        <v>17161.4617032415</v>
      </c>
      <c r="C75" s="402">
        <f>IF(B75="","",B75*F$6)</f>
        <v>6.76208172919778</v>
      </c>
      <c r="D75" s="403">
        <f>IF(C75="","",(D$3*$C75)/$C$3)</f>
        <v>8.72836081357444</v>
      </c>
      <c r="E75" s="403">
        <f>IF(C75="","",D75-$C75)</f>
        <v>1.96627908437666</v>
      </c>
      <c r="F75" s="404">
        <f>IF(B75="","",C75/B75)</f>
        <v>0.000394027143266039</v>
      </c>
      <c r="G75" s="404"/>
    </row>
    <row r="76" ht="20.05" customHeight="1">
      <c r="A76" s="400">
        <v>44877</v>
      </c>
      <c r="B76" t="s" s="405">
        <f>IF(OR(WEEKDAY($A76)=7,WEEKDAY($A76)=1),"",IF(B75="",IF(B74="",B73,B74),B75)+IF(A$2=TRUE,IF(C75="",IF(C74="",C73,C74),C75)*2,IF(C75="",IF(C74="",C73,C74),C75)))</f>
      </c>
      <c r="C76" t="s" s="406">
        <f>IF(B76="","",B76*F$6)</f>
      </c>
      <c r="D76" t="s" s="406">
        <f>IF(C76="","",(D$3*$C76)/$C$3)</f>
      </c>
      <c r="E76" t="s" s="406">
        <f>IF(C76="","",D76-$C76)</f>
      </c>
      <c r="F76" t="s" s="406">
        <f>IF(B76="","",C76/B76)</f>
      </c>
      <c r="G76" s="404"/>
    </row>
    <row r="77" ht="20.05" customHeight="1">
      <c r="A77" s="400">
        <v>44878</v>
      </c>
      <c r="B77" t="s" s="405">
        <f>IF(OR(WEEKDAY($A77)=7,WEEKDAY($A77)=1),"",IF(B76="",IF(B75="",B74,B75),B76)+IF(A$2=TRUE,IF(C76="",IF(C75="",C74,C75),C76)*2,IF(C76="",IF(C75="",C74,C75),C76)))</f>
      </c>
      <c r="C77" t="s" s="406">
        <f>IF(B77="","",B77*F$6)</f>
      </c>
      <c r="D77" t="s" s="406">
        <f>IF(C77="","",(D$3*$C77)/$C$3)</f>
      </c>
      <c r="E77" t="s" s="406">
        <f>IF(C77="","",D77-$C77)</f>
      </c>
      <c r="F77" t="s" s="406">
        <f>IF(B77="","",C77/B77)</f>
      </c>
      <c r="G77" s="407"/>
    </row>
    <row r="78" ht="20.05" customHeight="1">
      <c r="A78" s="400">
        <v>44879</v>
      </c>
      <c r="B78" s="401">
        <f>IF(OR(WEEKDAY($A78)=7,WEEKDAY($A78)=1),"",IF(B77="",IF(B76="",B75,B76),B77)+IF(A$2=TRUE,IF(C77="",IF(C76="",C75,C76),C77)*2,IF(C77="",IF(C76="",C75,C76),C77)))</f>
        <v>17174.9858666999</v>
      </c>
      <c r="C78" s="402">
        <f>IF(B78="","",B78*F$6)</f>
        <v>6.76741061669036</v>
      </c>
      <c r="D78" s="403">
        <f>IF(C78="","",(D$3*$C78)/$C$3)</f>
        <v>8.735239235727979</v>
      </c>
      <c r="E78" s="403">
        <f>IF(C78="","",D78-$C78)</f>
        <v>1.96782861903762</v>
      </c>
      <c r="F78" s="404">
        <f>IF(B78="","",C78/B78)</f>
        <v>0.000394027143266039</v>
      </c>
      <c r="G78" s="407"/>
    </row>
    <row r="79" ht="20.05" customHeight="1">
      <c r="A79" s="400">
        <v>44880</v>
      </c>
      <c r="B79" s="401">
        <f>IF(OR(WEEKDAY($A79)=7,WEEKDAY($A79)=1),"",IF(B78="",IF(B77="",B76,B77),B78)+IF(A$2=TRUE,IF(C78="",IF(C77="",C76,C77),C78)*2,IF(C78="",IF(C77="",C76,C77),C78)))</f>
        <v>17188.5206879333</v>
      </c>
      <c r="C79" s="402">
        <f>IF(B79="","",B79*F$6)</f>
        <v>6.77274370363557</v>
      </c>
      <c r="D79" s="403">
        <f>IF(C79="","",(D$3*$C79)/$C$3)</f>
        <v>8.74212307845159</v>
      </c>
      <c r="E79" s="403">
        <f>IF(C79="","",D79-$C79)</f>
        <v>1.96937937481602</v>
      </c>
      <c r="F79" s="404">
        <f>IF(B79="","",C79/B79)</f>
        <v>0.000394027143266039</v>
      </c>
      <c r="G79" s="404"/>
    </row>
    <row r="80" ht="20.05" customHeight="1">
      <c r="A80" s="400">
        <v>44881</v>
      </c>
      <c r="B80" s="401">
        <f>IF(OR(WEEKDAY($A80)=7,WEEKDAY($A80)=1),"",IF(B79="",IF(B78="",B77,B78),B79)+IF(A$2=TRUE,IF(C79="",IF(C78="",C77,C78),C79)*2,IF(C79="",IF(C78="",C77,C78),C79)))</f>
        <v>17202.0661753406</v>
      </c>
      <c r="C80" s="402">
        <f>IF(B80="","",B80*F$6)</f>
        <v>6.77808099334281</v>
      </c>
      <c r="D80" s="403">
        <f>IF(C80="","",(D$3*$C80)/$C$3)</f>
        <v>8.74901234601696</v>
      </c>
      <c r="E80" s="403">
        <f>IF(C80="","",D80-$C80)</f>
        <v>1.97093135267415</v>
      </c>
      <c r="F80" s="404">
        <f>IF(B80="","",C80/B80)</f>
        <v>0.000394027143266039</v>
      </c>
      <c r="G80" s="404"/>
    </row>
    <row r="81" ht="20.05" customHeight="1">
      <c r="A81" s="400">
        <v>44882</v>
      </c>
      <c r="B81" s="401">
        <f>IF(OR(WEEKDAY($A81)=7,WEEKDAY($A81)=1),"",IF(B80="",IF(B79="",B78,B79),B80)+IF(A$2=TRUE,IF(C80="",IF(C79="",C78,C79),C80)*2,IF(C80="",IF(C79="",C78,C79),C80)))</f>
        <v>17215.6223373273</v>
      </c>
      <c r="C81" s="402">
        <f>IF(B81="","",B81*F$6)</f>
        <v>6.78342248912409</v>
      </c>
      <c r="D81" s="403">
        <f>IF(C81="","",(D$3*$C81)/$C$3)</f>
        <v>8.75590704269918</v>
      </c>
      <c r="E81" s="403">
        <f>IF(C81="","",D81-$C81)</f>
        <v>1.97248455357509</v>
      </c>
      <c r="F81" s="404">
        <f>IF(B81="","",C81/B81)</f>
        <v>0.000394027143266039</v>
      </c>
      <c r="G81" s="404"/>
    </row>
    <row r="82" ht="20.05" customHeight="1">
      <c r="A82" s="400">
        <v>44883</v>
      </c>
      <c r="B82" s="401">
        <f>IF(OR(WEEKDAY($A82)=7,WEEKDAY($A82)=1),"",IF(B81="",IF(B80="",B79,B80),B81)+IF(A$2=TRUE,IF(C81="",IF(C80="",C79,C80),C81)*2,IF(C81="",IF(C80="",C79,C80),C81)))</f>
        <v>17229.1891823055</v>
      </c>
      <c r="C82" s="402">
        <f>IF(B82="","",B82*F$6)</f>
        <v>6.78876819429398</v>
      </c>
      <c r="D82" s="403">
        <f>IF(C82="","",(D$3*$C82)/$C$3)</f>
        <v>8.762807172776631</v>
      </c>
      <c r="E82" s="403">
        <f>IF(C82="","",D82-$C82)</f>
        <v>1.97403897848265</v>
      </c>
      <c r="F82" s="404">
        <f>IF(B82="","",C82/B82)</f>
        <v>0.000394027143266039</v>
      </c>
      <c r="G82" s="404"/>
    </row>
    <row r="83" ht="20.05" customHeight="1">
      <c r="A83" s="400">
        <v>44884</v>
      </c>
      <c r="B83" t="s" s="405">
        <f>IF(OR(WEEKDAY($A83)=7,WEEKDAY($A83)=1),"",IF(B82="",IF(B81="",B80,B81),B82)+IF(A$2=TRUE,IF(C82="",IF(C81="",C80,C81),C82)*2,IF(C82="",IF(C81="",C80,C81),C82)))</f>
      </c>
      <c r="C83" t="s" s="406">
        <f>IF(B83="","",B83*F$6)</f>
      </c>
      <c r="D83" t="s" s="406">
        <f>IF(C83="","",(D$3*$C83)/$C$3)</f>
      </c>
      <c r="E83" t="s" s="406">
        <f>IF(C83="","",D83-$C83)</f>
      </c>
      <c r="F83" t="s" s="406">
        <f>IF(B83="","",C83/B83)</f>
      </c>
      <c r="G83" s="404"/>
    </row>
    <row r="84" ht="20.05" customHeight="1">
      <c r="A84" s="400">
        <v>44885</v>
      </c>
      <c r="B84" t="s" s="405">
        <f>IF(OR(WEEKDAY($A84)=7,WEEKDAY($A84)=1),"",IF(B83="",IF(B82="",B81,B82),B83)+IF(A$2=TRUE,IF(C83="",IF(C82="",C81,C82),C83)*2,IF(C83="",IF(C82="",C81,C82),C83)))</f>
      </c>
      <c r="C84" t="s" s="406">
        <f>IF(B84="","",B84*F$6)</f>
      </c>
      <c r="D84" t="s" s="406">
        <f>IF(C84="","",(D$3*$C84)/$C$3)</f>
      </c>
      <c r="E84" t="s" s="406">
        <f>IF(C84="","",D84-$C84)</f>
      </c>
      <c r="F84" t="s" s="406">
        <f>IF(B84="","",C84/B84)</f>
      </c>
      <c r="G84" s="407"/>
    </row>
    <row r="85" ht="20.05" customHeight="1">
      <c r="A85" s="400">
        <v>44886</v>
      </c>
      <c r="B85" s="401">
        <f>IF(OR(WEEKDAY($A85)=7,WEEKDAY($A85)=1),"",IF(B84="",IF(B83="",B82,B83),B84)+IF(A$2=TRUE,IF(C84="",IF(C83="",C82,C83),C84)*2,IF(C84="",IF(C83="",C82,C83),C84)))</f>
        <v>17242.7667186941</v>
      </c>
      <c r="C85" s="402">
        <f>IF(B85="","",B85*F$6)</f>
        <v>6.79411811216977</v>
      </c>
      <c r="D85" s="403">
        <f>IF(C85="","",(D$3*$C85)/$C$3)</f>
        <v>8.76971274053119</v>
      </c>
      <c r="E85" s="403">
        <f>IF(C85="","",D85-$C85)</f>
        <v>1.97559462836142</v>
      </c>
      <c r="F85" s="404">
        <f>IF(B85="","",C85/B85)</f>
        <v>0.000394027143266039</v>
      </c>
      <c r="G85" s="407"/>
    </row>
    <row r="86" ht="20.05" customHeight="1">
      <c r="A86" s="400">
        <v>44887</v>
      </c>
      <c r="B86" s="401">
        <f>IF(OR(WEEKDAY($A86)=7,WEEKDAY($A86)=1),"",IF(B85="",IF(B84="",B83,B84),B85)+IF(A$2=TRUE,IF(C85="",IF(C84="",C83,C84),C85)*2,IF(C85="",IF(C84="",C83,C84),C85)))</f>
        <v>17256.3549549184</v>
      </c>
      <c r="C86" s="402">
        <f>IF(B86="","",B86*F$6)</f>
        <v>6.79947224607125</v>
      </c>
      <c r="D86" s="403">
        <f>IF(C86="","",(D$3*$C86)/$C$3)</f>
        <v>8.776623750248</v>
      </c>
      <c r="E86" s="403">
        <f>IF(C86="","",D86-$C86)</f>
        <v>1.97715150417675</v>
      </c>
      <c r="F86" s="404">
        <f>IF(B86="","",C86/B86)</f>
        <v>0.000394027143266039</v>
      </c>
      <c r="G86" s="404"/>
    </row>
    <row r="87" ht="20.05" customHeight="1">
      <c r="A87" s="400">
        <v>44888</v>
      </c>
      <c r="B87" s="401">
        <f>IF(OR(WEEKDAY($A87)=7,WEEKDAY($A87)=1),"",IF(B86="",IF(B85="",B84,B85),B86)+IF(A$2=TRUE,IF(C86="",IF(C85="",C84,C85),C86)*2,IF(C86="",IF(C85="",C84,C85),C86)))</f>
        <v>17269.9538994105</v>
      </c>
      <c r="C87" s="402">
        <f>IF(B87="","",B87*F$6)</f>
        <v>6.80483059932091</v>
      </c>
      <c r="D87" s="403">
        <f>IF(C87="","",(D$3*$C87)/$C$3)</f>
        <v>8.78354020621564</v>
      </c>
      <c r="E87" s="403">
        <f>IF(C87="","",D87-$C87)</f>
        <v>1.97870960689473</v>
      </c>
      <c r="F87" s="404">
        <f>IF(B87="","",C87/B87)</f>
        <v>0.000394027143266039</v>
      </c>
      <c r="G87" s="404"/>
    </row>
    <row r="88" ht="20.05" customHeight="1">
      <c r="A88" s="400">
        <v>44889</v>
      </c>
      <c r="B88" s="401">
        <f>IF(OR(WEEKDAY($A88)=7,WEEKDAY($A88)=1),"",IF(B87="",IF(B86="",B85,B86),B87)+IF(A$2=TRUE,IF(C87="",IF(C86="",C85,C86),C87)*2,IF(C87="",IF(C86="",C85,C86),C87)))</f>
        <v>17283.5635606091</v>
      </c>
      <c r="C88" s="402">
        <f>IF(B88="","",B88*F$6)</f>
        <v>6.81019317524381</v>
      </c>
      <c r="D88" s="403">
        <f>IF(C88="","",(D$3*$C88)/$C$3)</f>
        <v>8.79046211272605</v>
      </c>
      <c r="E88" s="403">
        <f>IF(C88="","",D88-$C88)</f>
        <v>1.98026893748224</v>
      </c>
      <c r="F88" s="404">
        <f>IF(B88="","",C88/B88)</f>
        <v>0.000394027143266039</v>
      </c>
      <c r="G88" s="404"/>
    </row>
    <row r="89" ht="20.05" customHeight="1">
      <c r="A89" s="400">
        <v>44890</v>
      </c>
      <c r="B89" s="401">
        <f>IF(OR(WEEKDAY($A89)=7,WEEKDAY($A89)=1),"",IF(B88="",IF(B87="",B86,B87),B88)+IF(A$2=TRUE,IF(C88="",IF(C87="",C86,C87),C88)*2,IF(C88="",IF(C87="",C86,C87),C88)))</f>
        <v>17297.1839469596</v>
      </c>
      <c r="C89" s="402">
        <f>IF(B89="","",B89*F$6)</f>
        <v>6.81555997716768</v>
      </c>
      <c r="D89" s="403">
        <f>IF(C89="","",(D$3*$C89)/$C$3)</f>
        <v>8.79738947407459</v>
      </c>
      <c r="E89" s="403">
        <f>IF(C89="","",D89-$C89)</f>
        <v>1.98182949690691</v>
      </c>
      <c r="F89" s="404">
        <f>IF(B89="","",C89/B89)</f>
        <v>0.000394027143266039</v>
      </c>
      <c r="G89" s="404"/>
    </row>
    <row r="90" ht="20.05" customHeight="1">
      <c r="A90" s="400">
        <v>44891</v>
      </c>
      <c r="B90" t="s" s="405">
        <f>IF(OR(WEEKDAY($A90)=7,WEEKDAY($A90)=1),"",IF(B89="",IF(B88="",B87,B88),B89)+IF(A$2=TRUE,IF(C89="",IF(C88="",C87,C88),C89)*2,IF(C89="",IF(C88="",C87,C88),C89)))</f>
      </c>
      <c r="C90" t="s" s="406">
        <f>IF(B90="","",B90*F$6)</f>
      </c>
      <c r="D90" t="s" s="406">
        <f>IF(C90="","",(D$3*$C90)/$C$3)</f>
      </c>
      <c r="E90" t="s" s="406">
        <f>IF(C90="","",D90-$C90)</f>
      </c>
      <c r="F90" t="s" s="406">
        <f>IF(B90="","",C90/B90)</f>
      </c>
      <c r="G90" s="404"/>
    </row>
    <row r="91" ht="20.05" customHeight="1">
      <c r="A91" s="400">
        <v>44892</v>
      </c>
      <c r="B91" t="s" s="405">
        <f>IF(OR(WEEKDAY($A91)=7,WEEKDAY($A91)=1),"",IF(B90="",IF(B89="",B88,B89),B90)+IF(A$2=TRUE,IF(C90="",IF(C89="",C88,C89),C90)*2,IF(C90="",IF(C89="",C88,C89),C90)))</f>
      </c>
      <c r="C91" t="s" s="406">
        <f>IF(B91="","",B91*F$6)</f>
      </c>
      <c r="D91" t="s" s="406">
        <f>IF(C91="","",(D$3*$C91)/$C$3)</f>
      </c>
      <c r="E91" t="s" s="406">
        <f>IF(C91="","",D91-$C91)</f>
      </c>
      <c r="F91" t="s" s="406">
        <f>IF(B91="","",C91/B91)</f>
      </c>
      <c r="G91" s="407"/>
    </row>
    <row r="92" ht="20.05" customHeight="1">
      <c r="A92" s="400">
        <v>44893</v>
      </c>
      <c r="B92" s="401">
        <f>IF(OR(WEEKDAY($A92)=7,WEEKDAY($A92)=1),"",IF(B91="",IF(B90="",B89,B90),B91)+IF(A$2=TRUE,IF(C91="",IF(C90="",C89,C90),C91)*2,IF(C91="",IF(C90="",C89,C90),C91)))</f>
        <v>17310.8150669139</v>
      </c>
      <c r="C92" s="402">
        <f>IF(B92="","",B92*F$6)</f>
        <v>6.82093100842279</v>
      </c>
      <c r="D92" s="403">
        <f>IF(C92="","",(D$3*$C92)/$C$3)</f>
        <v>8.80432229455991</v>
      </c>
      <c r="E92" s="403">
        <f>IF(C92="","",D92-$C92)</f>
        <v>1.98339128613712</v>
      </c>
      <c r="F92" s="404">
        <f>IF(B92="","",C92/B92)</f>
        <v>0.000394027143266039</v>
      </c>
      <c r="G92" s="407"/>
    </row>
    <row r="93" ht="20.05" customHeight="1">
      <c r="A93" s="400">
        <v>44894</v>
      </c>
      <c r="B93" s="401">
        <f>IF(OR(WEEKDAY($A93)=7,WEEKDAY($A93)=1),"",IF(B92="",IF(B91="",B90,B91),B92)+IF(A$2=TRUE,IF(C92="",IF(C91="",C90,C91),C92)*2,IF(C92="",IF(C91="",C90,C91),C92)))</f>
        <v>17324.4569289307</v>
      </c>
      <c r="C93" s="402">
        <f>IF(B93="","",B93*F$6)</f>
        <v>6.8263062723421</v>
      </c>
      <c r="D93" s="403">
        <f>IF(C93="","",(D$3*$C93)/$C$3)</f>
        <v>8.811260578484131</v>
      </c>
      <c r="E93" s="403">
        <f>IF(C93="","",D93-$C93)</f>
        <v>1.98495430614203</v>
      </c>
      <c r="F93" s="404">
        <f>IF(B93="","",C93/B93)</f>
        <v>0.000394027143266039</v>
      </c>
      <c r="G93" s="402">
        <f>G94*B65</f>
        <v>284.4584716903</v>
      </c>
    </row>
    <row r="94" ht="20.05" customHeight="1">
      <c r="A94" s="400">
        <v>44895</v>
      </c>
      <c r="B94" s="401">
        <f>IF(OR(WEEKDAY($A94)=7,WEEKDAY($A94)=1),"",IF(B93="",IF(B92="",B91,B92),B93)+IF(A$2=TRUE,IF(C93="",IF(C92="",C91,C92),C93)*2,IF(C93="",IF(C92="",C91,C92),C93)))</f>
        <v>17338.1095414754</v>
      </c>
      <c r="C94" s="402">
        <f>IF(B94="","",B94*F$6)</f>
        <v>6.83168577226121</v>
      </c>
      <c r="D94" s="403">
        <f>IF(C94="","",(D$3*$C94)/$C$3)</f>
        <v>8.818204330152771</v>
      </c>
      <c r="E94" s="403">
        <f>IF(C94="","",D94-$C94)</f>
        <v>1.98651855789156</v>
      </c>
      <c r="F94" s="404">
        <f>IF(B94="","",C94/B94)</f>
        <v>0.000394027143266039</v>
      </c>
      <c r="G94" s="404">
        <f>(B94-B65)/B65</f>
        <v>0.0166802094475998</v>
      </c>
    </row>
    <row r="95" ht="20.05" customHeight="1">
      <c r="A95" s="400">
        <v>44896</v>
      </c>
      <c r="B95" s="401">
        <f>IF(OR(WEEKDAY($A95)=7,WEEKDAY($A95)=1),"",IF(B94="",IF(B93="",B92,B93),B94)+IF(A$2=TRUE,IF(C94="",IF(C93="",C92,C93),C94)*2,IF(C94="",IF(C93="",C92,C93),C94)))</f>
        <v>17351.7729130199</v>
      </c>
      <c r="C95" s="402">
        <f>IF(B95="","",B95*F$6)</f>
        <v>6.83706951151827</v>
      </c>
      <c r="D95" s="403">
        <f>IF(C95="","",(D$3*$C95)/$C$3)</f>
        <v>8.82515355387465</v>
      </c>
      <c r="E95" s="403">
        <f>IF(C95="","",D95-$C95)</f>
        <v>1.98808404235638</v>
      </c>
      <c r="F95" s="404">
        <f>IF(B95="","",C95/B95)</f>
        <v>0.000394027143266039</v>
      </c>
      <c r="G95" s="404"/>
    </row>
    <row r="96" ht="20.05" customHeight="1">
      <c r="A96" s="400">
        <v>44897</v>
      </c>
      <c r="B96" s="401">
        <f>IF(OR(WEEKDAY($A96)=7,WEEKDAY($A96)=1),"",IF(B95="",IF(B94="",B93,B94),B95)+IF(A$2=TRUE,IF(C95="",IF(C94="",C93,C94),C95)*2,IF(C95="",IF(C94="",C93,C94),C95)))</f>
        <v>17365.4470520429</v>
      </c>
      <c r="C96" s="402">
        <f>IF(B96="","",B96*F$6)</f>
        <v>6.84245749345412</v>
      </c>
      <c r="D96" s="403">
        <f>IF(C96="","",(D$3*$C96)/$C$3)</f>
        <v>8.83210825396206</v>
      </c>
      <c r="E96" s="403">
        <f>IF(C96="","",D96-$C96)</f>
        <v>1.98965076050794</v>
      </c>
      <c r="F96" s="404">
        <f>IF(B96="","",C96/B96)</f>
        <v>0.000394027143266039</v>
      </c>
      <c r="G96" s="404"/>
    </row>
    <row r="97" ht="20.05" customHeight="1">
      <c r="A97" s="400">
        <v>44898</v>
      </c>
      <c r="B97" t="s" s="405">
        <f>IF(OR(WEEKDAY($A97)=7,WEEKDAY($A97)=1),"",IF(B96="",IF(B95="",B94,B95),B96)+IF(A$2=TRUE,IF(C96="",IF(C95="",C94,C95),C96)*2,IF(C96="",IF(C95="",C94,C95),C96)))</f>
      </c>
      <c r="C97" t="s" s="406">
        <f>IF(B97="","",B97*F$6)</f>
      </c>
      <c r="D97" t="s" s="406">
        <f>IF(C97="","",(D$3*$C97)/$C$3)</f>
      </c>
      <c r="E97" t="s" s="406">
        <f>IF(C97="","",D97-$C97)</f>
      </c>
      <c r="F97" t="s" s="406">
        <f>IF(B97="","",C97/B97)</f>
      </c>
      <c r="G97" s="404"/>
    </row>
    <row r="98" ht="20.05" customHeight="1">
      <c r="A98" s="400">
        <v>44899</v>
      </c>
      <c r="B98" t="s" s="405">
        <f>IF(OR(WEEKDAY($A98)=7,WEEKDAY($A98)=1),"",IF(B97="",IF(B96="",B95,B96),B97)+IF(A$2=TRUE,IF(C97="",IF(C96="",C95,C96),C97)*2,IF(C97="",IF(C96="",C95,C96),C97)))</f>
      </c>
      <c r="C98" t="s" s="406">
        <f>IF(B98="","",B98*F$6)</f>
      </c>
      <c r="D98" t="s" s="406">
        <f>IF(C98="","",(D$3*$C98)/$C$3)</f>
      </c>
      <c r="E98" t="s" s="406">
        <f>IF(C98="","",D98-$C98)</f>
      </c>
      <c r="F98" t="s" s="406">
        <f>IF(B98="","",C98/B98)</f>
      </c>
      <c r="G98" s="407"/>
    </row>
    <row r="99" ht="20.05" customHeight="1">
      <c r="A99" s="400">
        <v>44900</v>
      </c>
      <c r="B99" s="401">
        <f>IF(OR(WEEKDAY($A99)=7,WEEKDAY($A99)=1),"",IF(B98="",IF(B97="",B96,B97),B98)+IF(A$2=TRUE,IF(C98="",IF(C97="",C96,C97),C98)*2,IF(C98="",IF(C97="",C96,C97),C98)))</f>
        <v>17379.1319670298</v>
      </c>
      <c r="C99" s="402">
        <f>IF(B99="","",B99*F$6)</f>
        <v>6.84784972141225</v>
      </c>
      <c r="D99" s="403">
        <f>IF(C99="","",(D$3*$C99)/$C$3)</f>
        <v>8.839068434730709</v>
      </c>
      <c r="E99" s="403">
        <f>IF(C99="","",D99-$C99)</f>
        <v>1.99121871331846</v>
      </c>
      <c r="F99" s="404">
        <f>IF(B99="","",C99/B99)</f>
        <v>0.000394027143266039</v>
      </c>
      <c r="G99" s="407"/>
    </row>
    <row r="100" ht="20.05" customHeight="1">
      <c r="A100" s="400">
        <v>44901</v>
      </c>
      <c r="B100" s="401">
        <f>IF(OR(WEEKDAY($A100)=7,WEEKDAY($A100)=1),"",IF(B99="",IF(B98="",B97,B98),B99)+IF(A$2=TRUE,IF(C99="",IF(C98="",C97,C98),C99)*2,IF(C99="",IF(C98="",C97,C98),C99)))</f>
        <v>17392.8276664726</v>
      </c>
      <c r="C100" s="402">
        <f>IF(B100="","",B100*F$6)</f>
        <v>6.85324619873873</v>
      </c>
      <c r="D100" s="403">
        <f>IF(C100="","",(D$3*$C100)/$C$3)</f>
        <v>8.84603410049964</v>
      </c>
      <c r="E100" s="403">
        <f>IF(C100="","",D100-$C100)</f>
        <v>1.99278790176091</v>
      </c>
      <c r="F100" s="404">
        <f>IF(B100="","",C100/B100)</f>
        <v>0.000394027143266039</v>
      </c>
      <c r="G100" s="404"/>
    </row>
    <row r="101" ht="20.05" customHeight="1">
      <c r="A101" s="400">
        <v>44902</v>
      </c>
      <c r="B101" s="401">
        <f>IF(OR(WEEKDAY($A101)=7,WEEKDAY($A101)=1),"",IF(B100="",IF(B99="",B98,B99),B100)+IF(A$2=TRUE,IF(C100="",IF(C99="",C98,C99),C100)*2,IF(C100="",IF(C99="",C98,C99),C100)))</f>
        <v>17406.5341588701</v>
      </c>
      <c r="C101" s="402">
        <f>IF(B101="","",B101*F$6)</f>
        <v>6.85864692878231</v>
      </c>
      <c r="D101" s="403">
        <f>IF(C101="","",(D$3*$C101)/$C$3)</f>
        <v>8.85300525559135</v>
      </c>
      <c r="E101" s="403">
        <f>IF(C101="","",D101-$C101)</f>
        <v>1.99435832680904</v>
      </c>
      <c r="F101" s="404">
        <f>IF(B101="","",C101/B101)</f>
        <v>0.000394027143266039</v>
      </c>
      <c r="G101" s="404"/>
    </row>
    <row r="102" ht="20.05" customHeight="1">
      <c r="A102" s="400">
        <v>44903</v>
      </c>
      <c r="B102" s="401">
        <f>IF(OR(WEEKDAY($A102)=7,WEEKDAY($A102)=1),"",IF(B101="",IF(B100="",B99,B100),B101)+IF(A$2=TRUE,IF(C101="",IF(C100="",C99,C100),C101)*2,IF(C101="",IF(C100="",C99,C100),C101)))</f>
        <v>17420.2514527277</v>
      </c>
      <c r="C102" s="402">
        <f>IF(B102="","",B102*F$6)</f>
        <v>6.86405191489436</v>
      </c>
      <c r="D102" s="403">
        <f>IF(C102="","",(D$3*$C102)/$C$3)</f>
        <v>8.859981904331731</v>
      </c>
      <c r="E102" s="403">
        <f>IF(C102="","",D102-$C102)</f>
        <v>1.99592998943737</v>
      </c>
      <c r="F102" s="404">
        <f>IF(B102="","",C102/B102)</f>
        <v>0.000394027143266039</v>
      </c>
      <c r="G102" s="404"/>
    </row>
    <row r="103" ht="20.05" customHeight="1">
      <c r="A103" s="400">
        <v>44904</v>
      </c>
      <c r="B103" s="401">
        <f>IF(OR(WEEKDAY($A103)=7,WEEKDAY($A103)=1),"",IF(B102="",IF(B101="",B100,B101),B102)+IF(A$2=TRUE,IF(C102="",IF(C101="",C100,C101),C102)*2,IF(C102="",IF(C101="",C100,C101),C102)))</f>
        <v>17433.9795565575</v>
      </c>
      <c r="C103" s="402">
        <f>IF(B103="","",B103*F$6)</f>
        <v>6.86946116042888</v>
      </c>
      <c r="D103" s="403">
        <f>IF(C103="","",(D$3*$C103)/$C$3)</f>
        <v>8.86696405105004</v>
      </c>
      <c r="E103" s="403">
        <f>IF(C103="","",D103-$C103)</f>
        <v>1.99750289062116</v>
      </c>
      <c r="F103" s="404">
        <f>IF(B103="","",C103/B103)</f>
        <v>0.000394027143266039</v>
      </c>
      <c r="G103" s="404"/>
    </row>
    <row r="104" ht="20.05" customHeight="1">
      <c r="A104" s="400">
        <v>44905</v>
      </c>
      <c r="B104" t="s" s="405">
        <f>IF(OR(WEEKDAY($A104)=7,WEEKDAY($A104)=1),"",IF(B103="",IF(B102="",B101,B102),B103)+IF(A$2=TRUE,IF(C103="",IF(C102="",C101,C102),C103)*2,IF(C103="",IF(C102="",C101,C102),C103)))</f>
      </c>
      <c r="C104" t="s" s="406">
        <f>IF(B104="","",B104*F$6)</f>
      </c>
      <c r="D104" t="s" s="406">
        <f>IF(C104="","",(D$3*$C104)/$C$3)</f>
      </c>
      <c r="E104" t="s" s="406">
        <f>IF(C104="","",D104-$C104)</f>
      </c>
      <c r="F104" t="s" s="406">
        <f>IF(B104="","",C104/B104)</f>
      </c>
      <c r="G104" s="404"/>
    </row>
    <row r="105" ht="20.05" customHeight="1">
      <c r="A105" s="400">
        <v>44906</v>
      </c>
      <c r="B105" t="s" s="405">
        <f>IF(OR(WEEKDAY($A105)=7,WEEKDAY($A105)=1),"",IF(B104="",IF(B103="",B102,B103),B104)+IF(A$2=TRUE,IF(C104="",IF(C103="",C102,C103),C104)*2,IF(C104="",IF(C103="",C102,C103),C104)))</f>
      </c>
      <c r="C105" t="s" s="406">
        <f>IF(B105="","",B105*F$6)</f>
      </c>
      <c r="D105" t="s" s="406">
        <f>IF(C105="","",(D$3*$C105)/$C$3)</f>
      </c>
      <c r="E105" t="s" s="406">
        <f>IF(C105="","",D105-$C105)</f>
      </c>
      <c r="F105" t="s" s="406">
        <f>IF(B105="","",C105/B105)</f>
      </c>
      <c r="G105" s="407"/>
    </row>
    <row r="106" ht="20.05" customHeight="1">
      <c r="A106" s="400">
        <v>44907</v>
      </c>
      <c r="B106" s="401">
        <f>IF(OR(WEEKDAY($A106)=7,WEEKDAY($A106)=1),"",IF(B105="",IF(B104="",B103,B104),B105)+IF(A$2=TRUE,IF(C105="",IF(C104="",C103,C104),C105)*2,IF(C105="",IF(C104="",C103,C104),C105)))</f>
        <v>17447.7184788784</v>
      </c>
      <c r="C106" s="402">
        <f>IF(B106="","",B106*F$6)</f>
        <v>6.87487466874254</v>
      </c>
      <c r="D106" s="403">
        <f>IF(C106="","",(D$3*$C106)/$C$3)</f>
        <v>8.87395170007902</v>
      </c>
      <c r="E106" s="403">
        <f>IF(C106="","",D106-$C106)</f>
        <v>1.99907703133648</v>
      </c>
      <c r="F106" s="404">
        <f>IF(B106="","",C106/B106)</f>
        <v>0.000394027143266039</v>
      </c>
      <c r="G106" s="407"/>
    </row>
    <row r="107" ht="20.05" customHeight="1">
      <c r="A107" s="400">
        <v>44908</v>
      </c>
      <c r="B107" s="401">
        <f>IF(OR(WEEKDAY($A107)=7,WEEKDAY($A107)=1),"",IF(B106="",IF(B105="",B104,B105),B106)+IF(A$2=TRUE,IF(C106="",IF(C105="",C104,C105),C106)*2,IF(C106="",IF(C105="",C104,C105),C106)))</f>
        <v>17461.4682282159</v>
      </c>
      <c r="C107" s="402">
        <f>IF(B107="","",B107*F$6)</f>
        <v>6.88029244319461</v>
      </c>
      <c r="D107" s="403">
        <f>IF(C107="","",(D$3*$C107)/$C$3)</f>
        <v>8.880944855754739</v>
      </c>
      <c r="E107" s="403">
        <f>IF(C107="","",D107-$C107)</f>
        <v>2.00065241256013</v>
      </c>
      <c r="F107" s="404">
        <f>IF(B107="","",C107/B107)</f>
        <v>0.000394027143266039</v>
      </c>
      <c r="G107" s="404"/>
    </row>
    <row r="108" ht="20.05" customHeight="1">
      <c r="A108" s="400">
        <v>44909</v>
      </c>
      <c r="B108" s="401">
        <f>IF(OR(WEEKDAY($A108)=7,WEEKDAY($A108)=1),"",IF(B107="",IF(B106="",B105,B106),B107)+IF(A$2=TRUE,IF(C107="",IF(C106="",C105,C106),C107)*2,IF(C107="",IF(C106="",C105,C106),C107)))</f>
        <v>17475.2288131023</v>
      </c>
      <c r="C108" s="402">
        <f>IF(B108="","",B108*F$6)</f>
        <v>6.88571448714707</v>
      </c>
      <c r="D108" s="403">
        <f>IF(C108="","",(D$3*$C108)/$C$3)</f>
        <v>8.887943522416791</v>
      </c>
      <c r="E108" s="403">
        <f>IF(C108="","",D108-$C108)</f>
        <v>2.00222903526972</v>
      </c>
      <c r="F108" s="404">
        <f>IF(B108="","",C108/B108)</f>
        <v>0.000394027143266039</v>
      </c>
      <c r="G108" s="404"/>
    </row>
    <row r="109" ht="20.05" customHeight="1">
      <c r="A109" s="400">
        <v>44910</v>
      </c>
      <c r="B109" s="401">
        <f>IF(OR(WEEKDAY($A109)=7,WEEKDAY($A109)=1),"",IF(B108="",IF(B107="",B106,B107),B108)+IF(A$2=TRUE,IF(C108="",IF(C107="",C106,C107),C108)*2,IF(C108="",IF(C107="",C106,C107),C108)))</f>
        <v>17489.0002420766</v>
      </c>
      <c r="C109" s="402">
        <f>IF(B109="","",B109*F$6)</f>
        <v>6.89114080396451</v>
      </c>
      <c r="D109" s="403">
        <f>IF(C109="","",(D$3*$C109)/$C$3)</f>
        <v>8.894947704408089</v>
      </c>
      <c r="E109" s="403">
        <f>IF(C109="","",D109-$C109)</f>
        <v>2.00380690044358</v>
      </c>
      <c r="F109" s="404">
        <f>IF(B109="","",C109/B109)</f>
        <v>0.000394027143266039</v>
      </c>
      <c r="G109" s="404"/>
    </row>
    <row r="110" ht="20.05" customHeight="1">
      <c r="A110" s="400">
        <v>44911</v>
      </c>
      <c r="B110" s="401">
        <f>IF(OR(WEEKDAY($A110)=7,WEEKDAY($A110)=1),"",IF(B109="",IF(B108="",B107,B108),B109)+IF(A$2=TRUE,IF(C109="",IF(C108="",C107,C108),C109)*2,IF(C109="",IF(C108="",C107,C108),C109)))</f>
        <v>17502.7825236845</v>
      </c>
      <c r="C110" s="402">
        <f>IF(B110="","",B110*F$6)</f>
        <v>6.89657139701416</v>
      </c>
      <c r="D110" s="403">
        <f>IF(C110="","",(D$3*$C110)/$C$3)</f>
        <v>8.90195740607502</v>
      </c>
      <c r="E110" s="403">
        <f>IF(C110="","",D110-$C110)</f>
        <v>2.00538600906086</v>
      </c>
      <c r="F110" s="404">
        <f>IF(B110="","",C110/B110)</f>
        <v>0.000394027143266039</v>
      </c>
      <c r="G110" s="404"/>
    </row>
    <row r="111" ht="20.05" customHeight="1">
      <c r="A111" s="400">
        <v>44912</v>
      </c>
      <c r="B111" t="s" s="405">
        <f>IF(OR(WEEKDAY($A111)=7,WEEKDAY($A111)=1),"",IF(B110="",IF(B109="",B108,B109),B110)+IF(A$2=TRUE,IF(C110="",IF(C109="",C108,C109),C110)*2,IF(C110="",IF(C109="",C108,C109),C110)))</f>
      </c>
      <c r="C111" t="s" s="406">
        <f>IF(B111="","",B111*F$6)</f>
      </c>
      <c r="D111" t="s" s="406">
        <f>IF(C111="","",(D$3*$C111)/$C$3)</f>
      </c>
      <c r="E111" t="s" s="406">
        <f>IF(C111="","",D111-$C111)</f>
      </c>
      <c r="F111" t="s" s="406">
        <f>IF(B111="","",C111/B111)</f>
      </c>
      <c r="G111" s="404"/>
    </row>
    <row r="112" ht="20.05" customHeight="1">
      <c r="A112" s="400">
        <v>44913</v>
      </c>
      <c r="B112" t="s" s="405">
        <f>IF(OR(WEEKDAY($A112)=7,WEEKDAY($A112)=1),"",IF(B111="",IF(B110="",B109,B110),B111)+IF(A$2=TRUE,IF(C111="",IF(C110="",C109,C110),C111)*2,IF(C111="",IF(C110="",C109,C110),C111)))</f>
      </c>
      <c r="C112" t="s" s="406">
        <f>IF(B112="","",B112*F$6)</f>
      </c>
      <c r="D112" t="s" s="406">
        <f>IF(C112="","",(D$3*$C112)/$C$3)</f>
      </c>
      <c r="E112" t="s" s="406">
        <f>IF(C112="","",D112-$C112)</f>
      </c>
      <c r="F112" t="s" s="406">
        <f>IF(B112="","",C112/B112)</f>
      </c>
      <c r="G112" s="407"/>
    </row>
    <row r="113" ht="20.05" customHeight="1">
      <c r="A113" s="400">
        <v>44914</v>
      </c>
      <c r="B113" s="401">
        <f>IF(OR(WEEKDAY($A113)=7,WEEKDAY($A113)=1),"",IF(B112="",IF(B111="",B110,B111),B112)+IF(A$2=TRUE,IF(C112="",IF(C111="",C110,C111),C112)*2,IF(C112="",IF(C111="",C110,C111),C112)))</f>
        <v>17516.5756664785</v>
      </c>
      <c r="C113" s="402">
        <f>IF(B113="","",B113*F$6)</f>
        <v>6.90200626966594</v>
      </c>
      <c r="D113" s="403">
        <f>IF(C113="","",(D$3*$C113)/$C$3)</f>
        <v>8.90897263176738</v>
      </c>
      <c r="E113" s="403">
        <f>IF(C113="","",D113-$C113)</f>
        <v>2.00696636210144</v>
      </c>
      <c r="F113" s="404">
        <f>IF(B113="","",C113/B113)</f>
        <v>0.000394027143266039</v>
      </c>
      <c r="G113" s="407"/>
    </row>
    <row r="114" ht="20.05" customHeight="1">
      <c r="A114" s="400">
        <v>44915</v>
      </c>
      <c r="B114" s="401">
        <f>IF(OR(WEEKDAY($A114)=7,WEEKDAY($A114)=1),"",IF(B113="",IF(B112="",B111,B112),B113)+IF(A$2=TRUE,IF(C113="",IF(C112="",C111,C112),C113)*2,IF(C113="",IF(C112="",C111,C112),C113)))</f>
        <v>17530.3796790178</v>
      </c>
      <c r="C114" s="402">
        <f>IF(B114="","",B114*F$6)</f>
        <v>6.90744542529241</v>
      </c>
      <c r="D114" s="403">
        <f>IF(C114="","",(D$3*$C114)/$C$3)</f>
        <v>8.91599338583843</v>
      </c>
      <c r="E114" s="403">
        <f>IF(C114="","",D114-$C114)</f>
        <v>2.00854796054602</v>
      </c>
      <c r="F114" s="404">
        <f>IF(B114="","",C114/B114)</f>
        <v>0.000394027143266039</v>
      </c>
      <c r="G114" s="404"/>
    </row>
    <row r="115" ht="20.05" customHeight="1">
      <c r="A115" s="400">
        <v>44916</v>
      </c>
      <c r="B115" s="401">
        <f>IF(OR(WEEKDAY($A115)=7,WEEKDAY($A115)=1),"",IF(B114="",IF(B113="",B112,B113),B114)+IF(A$2=TRUE,IF(C114="",IF(C113="",C112,C113),C114)*2,IF(C114="",IF(C113="",C112,C113),C114)))</f>
        <v>17544.1945698684</v>
      </c>
      <c r="C115" s="402">
        <f>IF(B115="","",B115*F$6)</f>
        <v>6.9128888672688</v>
      </c>
      <c r="D115" s="403">
        <f>IF(C115="","",(D$3*$C115)/$C$3)</f>
        <v>8.923019672644831</v>
      </c>
      <c r="E115" s="403">
        <f>IF(C115="","",D115-$C115)</f>
        <v>2.01013080537603</v>
      </c>
      <c r="F115" s="404">
        <f>IF(B115="","",C115/B115)</f>
        <v>0.000394027143266039</v>
      </c>
      <c r="G115" s="404"/>
    </row>
    <row r="116" ht="20.05" customHeight="1">
      <c r="A116" s="400">
        <v>44917</v>
      </c>
      <c r="B116" s="401">
        <f>IF(OR(WEEKDAY($A116)=7,WEEKDAY($A116)=1),"",IF(B115="",IF(B114="",B113,B114),B115)+IF(A$2=TRUE,IF(C115="",IF(C114="",C113,C114),C115)*2,IF(C115="",IF(C114="",C113,C114),C115)))</f>
        <v>17558.0203476029</v>
      </c>
      <c r="C116" s="402">
        <f>IF(B116="","",B116*F$6)</f>
        <v>6.91833659897296</v>
      </c>
      <c r="D116" s="403">
        <f>IF(C116="","",(D$3*$C116)/$C$3)</f>
        <v>8.93005149654666</v>
      </c>
      <c r="E116" s="403">
        <f>IF(C116="","",D116-$C116)</f>
        <v>2.0117148975737</v>
      </c>
      <c r="F116" s="404">
        <f>IF(B116="","",C116/B116)</f>
        <v>0.000394027143266039</v>
      </c>
      <c r="G116" s="404"/>
    </row>
    <row r="117" ht="20.05" customHeight="1">
      <c r="A117" s="400">
        <v>44918</v>
      </c>
      <c r="B117" s="401">
        <f>IF(OR(WEEKDAY($A117)=7,WEEKDAY($A117)=1),"",IF(B116="",IF(B115="",B114,B115),B116)+IF(A$2=TRUE,IF(C116="",IF(C115="",C114,C115),C116)*2,IF(C116="",IF(C115="",C114,C115),C116)))</f>
        <v>17571.8570208008</v>
      </c>
      <c r="C117" s="402">
        <f>IF(B117="","",B117*F$6)</f>
        <v>6.92378862378543</v>
      </c>
      <c r="D117" s="403">
        <f>IF(C117="","",(D$3*$C117)/$C$3)</f>
        <v>8.93708886190743</v>
      </c>
      <c r="E117" s="403">
        <f>IF(C117="","",D117-$C117)</f>
        <v>2.013300238122</v>
      </c>
      <c r="F117" s="404">
        <f>IF(B117="","",C117/B117)</f>
        <v>0.000394027143266039</v>
      </c>
      <c r="G117" s="404"/>
    </row>
    <row r="118" ht="20.05" customHeight="1">
      <c r="A118" s="400">
        <v>44919</v>
      </c>
      <c r="B118" t="s" s="405">
        <f>IF(OR(WEEKDAY($A118)=7,WEEKDAY($A118)=1),"",IF(B117="",IF(B116="",B115,B116),B117)+IF(A$2=TRUE,IF(C117="",IF(C116="",C115,C116),C117)*2,IF(C117="",IF(C116="",C115,C116),C117)))</f>
      </c>
      <c r="C118" t="s" s="406">
        <f>IF(B118="","",B118*F$6)</f>
      </c>
      <c r="D118" t="s" s="406">
        <f>IF(C118="","",(D$3*$C118)/$C$3)</f>
      </c>
      <c r="E118" t="s" s="406">
        <f>IF(C118="","",D118-$C118)</f>
      </c>
      <c r="F118" t="s" s="406">
        <f>IF(B118="","",C118/B118)</f>
      </c>
      <c r="G118" s="404"/>
    </row>
    <row r="119" ht="20.05" customHeight="1">
      <c r="A119" s="400">
        <v>44920</v>
      </c>
      <c r="B119" t="s" s="405">
        <f>IF(OR(WEEKDAY($A119)=7,WEEKDAY($A119)=1),"",IF(B118="",IF(B117="",B116,B117),B118)+IF(A$2=TRUE,IF(C118="",IF(C117="",C116,C117),C118)*2,IF(C118="",IF(C117="",C116,C117),C118)))</f>
      </c>
      <c r="C119" t="s" s="406">
        <f>IF(B119="","",B119*F$6)</f>
      </c>
      <c r="D119" t="s" s="406">
        <f>IF(C119="","",(D$3*$C119)/$C$3)</f>
      </c>
      <c r="E119" t="s" s="406">
        <f>IF(C119="","",D119-$C119)</f>
      </c>
      <c r="F119" t="s" s="406">
        <f>IF(B119="","",C119/B119)</f>
      </c>
      <c r="G119" s="407"/>
    </row>
    <row r="120" ht="20.05" customHeight="1">
      <c r="A120" s="400">
        <v>44921</v>
      </c>
      <c r="B120" s="401">
        <f>IF(OR(WEEKDAY($A120)=7,WEEKDAY($A120)=1),"",IF(B119="",IF(B118="",B117,B118),B119)+IF(A$2=TRUE,IF(C119="",IF(C118="",C117,C118),C119)*2,IF(C119="",IF(C118="",C117,C118),C119)))</f>
        <v>17585.7045980484</v>
      </c>
      <c r="C120" s="402">
        <f>IF(B120="","",B120*F$6)</f>
        <v>6.92924494508946</v>
      </c>
      <c r="D120" s="403">
        <f>IF(C120="","",(D$3*$C120)/$C$3)</f>
        <v>8.944131773094201</v>
      </c>
      <c r="E120" s="403">
        <f>IF(C120="","",D120-$C120)</f>
        <v>2.01488682800474</v>
      </c>
      <c r="F120" s="404">
        <f>IF(B120="","",C120/B120)</f>
        <v>0.000394027143266039</v>
      </c>
      <c r="G120" s="407"/>
    </row>
    <row r="121" ht="20.05" customHeight="1">
      <c r="A121" s="400">
        <v>44922</v>
      </c>
      <c r="B121" s="401">
        <f>IF(OR(WEEKDAY($A121)=7,WEEKDAY($A121)=1),"",IF(B120="",IF(B119="",B118,B119),B120)+IF(A$2=TRUE,IF(C120="",IF(C119="",C118,C119),C120)*2,IF(C120="",IF(C119="",C118,C119),C120)))</f>
        <v>17599.5630879386</v>
      </c>
      <c r="C121" s="402">
        <f>IF(B121="","",B121*F$6)</f>
        <v>6.93470556627087</v>
      </c>
      <c r="D121" s="403">
        <f>IF(C121="","",(D$3*$C121)/$C$3)</f>
        <v>8.95118023447729</v>
      </c>
      <c r="E121" s="403">
        <f>IF(C121="","",D121-$C121)</f>
        <v>2.01647466820642</v>
      </c>
      <c r="F121" s="404">
        <f>IF(B121="","",C121/B121)</f>
        <v>0.000394027143266039</v>
      </c>
      <c r="G121" s="404"/>
    </row>
    <row r="122" ht="20.05" customHeight="1">
      <c r="A122" s="400">
        <v>44923</v>
      </c>
      <c r="B122" s="401">
        <f>IF(OR(WEEKDAY($A122)=7,WEEKDAY($A122)=1),"",IF(B121="",IF(B120="",B119,B120),B121)+IF(A$2=TRUE,IF(C121="",IF(C120="",C119,C120),C121)*2,IF(C121="",IF(C120="",C119,C120),C121)))</f>
        <v>17613.4324990711</v>
      </c>
      <c r="C122" s="402">
        <f>IF(B122="","",B122*F$6)</f>
        <v>6.9401704907182</v>
      </c>
      <c r="D122" s="403">
        <f>IF(C122="","",(D$3*$C122)/$C$3)</f>
        <v>8.95823425043058</v>
      </c>
      <c r="E122" s="403">
        <f>IF(C122="","",D122-$C122)</f>
        <v>2.01806375971238</v>
      </c>
      <c r="F122" s="404">
        <f>IF(B122="","",C122/B122)</f>
        <v>0.000394027143266039</v>
      </c>
      <c r="G122" s="404"/>
    </row>
    <row r="123" ht="20.05" customHeight="1">
      <c r="A123" s="400">
        <v>44924</v>
      </c>
      <c r="B123" s="401">
        <f>IF(OR(WEEKDAY($A123)=7,WEEKDAY($A123)=1),"",IF(B122="",IF(B121="",B120,B121),B122)+IF(A$2=TRUE,IF(C122="",IF(C121="",C120,C121),C122)*2,IF(C122="",IF(C121="",C120,C121),C122)))</f>
        <v>17627.3128400525</v>
      </c>
      <c r="C123" s="402">
        <f>IF(B123="","",B123*F$6)</f>
        <v>6.94563972182266</v>
      </c>
      <c r="D123" s="403">
        <f>IF(C123="","",(D$3*$C123)/$C$3)</f>
        <v>8.965293825331379</v>
      </c>
      <c r="E123" s="403">
        <f>IF(C123="","",D123-$C123)</f>
        <v>2.01965410350872</v>
      </c>
      <c r="F123" s="404">
        <f>IF(B123="","",C123/B123)</f>
        <v>0.000394027143266039</v>
      </c>
      <c r="G123" s="404"/>
    </row>
    <row r="124" ht="20.05" customHeight="1">
      <c r="A124" s="400">
        <v>44925</v>
      </c>
      <c r="B124" s="401">
        <f>IF(OR(WEEKDAY($A124)=7,WEEKDAY($A124)=1),"",IF(B123="",IF(B122="",B121,B122),B123)+IF(A$2=TRUE,IF(C123="",IF(C122="",C121,C122),C123)*2,IF(C123="",IF(C122="",C121,C122),C123)))</f>
        <v>17641.2041194961</v>
      </c>
      <c r="C124" s="402">
        <f>IF(B124="","",B124*F$6)</f>
        <v>6.95111326297813</v>
      </c>
      <c r="D124" s="403">
        <f>IF(C124="","",(D$3*$C124)/$C$3)</f>
        <v>8.972358963560421</v>
      </c>
      <c r="E124" s="403">
        <f>IF(C124="","",D124-$C124)</f>
        <v>2.02124570058229</v>
      </c>
      <c r="F124" s="404">
        <f>IF(B124="","",C124/B124)</f>
        <v>0.000394027143266039</v>
      </c>
      <c r="G124" s="402">
        <f>G125*B95</f>
      </c>
    </row>
    <row r="125" ht="20.05" customHeight="1">
      <c r="A125" s="400">
        <v>44926</v>
      </c>
      <c r="B125" t="s" s="405">
        <f>IF(OR(WEEKDAY($A125)=7,WEEKDAY($A125)=1),"",IF(B124="",IF(B123="",B122,B123),B124)+IF(A$2=TRUE,IF(C124="",IF(C123="",C122,C123),C124)*2,IF(C124="",IF(C123="",C122,C123),C124)))</f>
      </c>
      <c r="C125" t="s" s="406">
        <f>IF(B125="","",B125*F$6)</f>
      </c>
      <c r="D125" t="s" s="406">
        <f>IF(C125="","",(D$3*$C125)/$C$3)</f>
      </c>
      <c r="E125" t="s" s="406">
        <f>IF(C125="","",D125-$C125)</f>
      </c>
      <c r="F125" t="s" s="406">
        <f>IF(B125="","",C125/B125)</f>
      </c>
      <c r="G125" s="404">
        <f>(B125-B95)/B95</f>
      </c>
    </row>
    <row r="126" ht="20.05" customHeight="1">
      <c r="A126" s="400">
        <v>44927</v>
      </c>
      <c r="B126" t="s" s="405">
        <f>IF(OR(WEEKDAY($A126)=7,WEEKDAY($A126)=1),"",IF(B125="",IF(B124="",B123,B124),B125)+IF(A$2=TRUE,IF(C125="",IF(C124="",C123,C124),C125)*2,IF(C125="",IF(C124="",C123,C124),C125)))</f>
      </c>
      <c r="C126" t="s" s="406">
        <f>IF(B126="","",B126*F$6)</f>
      </c>
      <c r="D126" t="s" s="406">
        <f>IF(C126="","",(D$3*$C126)/$C$3)</f>
      </c>
      <c r="E126" t="s" s="406">
        <f>IF(C126="","",D126-$C126)</f>
      </c>
      <c r="F126" t="s" s="406">
        <f>IF(B126="","",C126/B126)</f>
      </c>
      <c r="G126" s="404"/>
    </row>
    <row r="127" ht="20.05" customHeight="1">
      <c r="A127" s="400">
        <v>44928</v>
      </c>
      <c r="B127" s="401">
        <f>IF(OR(WEEKDAY($A127)=7,WEEKDAY($A127)=1),"",IF(B126="",IF(B125="",B124,B125),B126)+IF(A$2=TRUE,IF(C126="",IF(C125="",C124,C125),C126)*2,IF(C126="",IF(C125="",C124,C125),C126)))</f>
        <v>17655.1063460221</v>
      </c>
      <c r="C127" s="402">
        <f>IF(B127="","",B127*F$6)</f>
        <v>6.9565911175812</v>
      </c>
      <c r="D127" s="403">
        <f>IF(C127="","",(D$3*$C127)/$C$3)</f>
        <v>8.97942966950197</v>
      </c>
      <c r="E127" s="403">
        <f>IF(C127="","",D127-$C127)</f>
        <v>2.02283855192077</v>
      </c>
      <c r="F127" s="404">
        <f>IF(B127="","",C127/B127)</f>
        <v>0.000394027143266039</v>
      </c>
      <c r="G127" s="404"/>
    </row>
    <row r="128" ht="20.05" customHeight="1">
      <c r="A128" s="400">
        <v>44929</v>
      </c>
      <c r="B128" s="401">
        <f>IF(OR(WEEKDAY($A128)=7,WEEKDAY($A128)=1),"",IF(B127="",IF(B126="",B125,B126),B127)+IF(A$2=TRUE,IF(C127="",IF(C126="",C125,C126),C127)*2,IF(C127="",IF(C126="",C125,C126),C127)))</f>
        <v>17669.0195282573</v>
      </c>
      <c r="C128" s="402">
        <f>IF(B128="","",B128*F$6)</f>
        <v>6.96207328903108</v>
      </c>
      <c r="D128" s="403">
        <f>IF(C128="","",(D$3*$C128)/$C$3)</f>
        <v>8.986505947543661</v>
      </c>
      <c r="E128" s="403">
        <f>IF(C128="","",D128-$C128)</f>
        <v>2.02443265851258</v>
      </c>
      <c r="F128" s="404">
        <f>IF(B128="","",C128/B128)</f>
        <v>0.000394027143266039</v>
      </c>
      <c r="G128" s="404"/>
    </row>
    <row r="129" ht="20.05" customHeight="1">
      <c r="A129" s="400">
        <v>44930</v>
      </c>
      <c r="B129" s="401">
        <f>IF(OR(WEEKDAY($A129)=7,WEEKDAY($A129)=1),"",IF(B128="",IF(B127="",B126,B127),B128)+IF(A$2=TRUE,IF(C128="",IF(C127="",C126,C127),C128)*2,IF(C128="",IF(C127="",C126,C127),C128)))</f>
        <v>17682.9436748354</v>
      </c>
      <c r="C129" s="402">
        <f>IF(B129="","",B129*F$6)</f>
        <v>6.96755978072967</v>
      </c>
      <c r="D129" s="403">
        <f>IF(C129="","",(D$3*$C129)/$C$3)</f>
        <v>8.9935878020766</v>
      </c>
      <c r="E129" s="403">
        <f>IF(C129="","",D129-$C129)</f>
        <v>2.02602802134693</v>
      </c>
      <c r="F129" s="404">
        <f>IF(B129="","",C129/B129)</f>
        <v>0.000394027143266039</v>
      </c>
      <c r="G129" s="404"/>
    </row>
    <row r="130" ht="20.05" customHeight="1">
      <c r="A130" s="400">
        <v>44931</v>
      </c>
      <c r="B130" s="401">
        <f>IF(OR(WEEKDAY($A130)=7,WEEKDAY($A130)=1),"",IF(B129="",IF(B128="",B127,B128),B129)+IF(A$2=TRUE,IF(C129="",IF(C128="",C127,C128),C129)*2,IF(C129="",IF(C128="",C127,C128),C129)))</f>
        <v>17696.8787943969</v>
      </c>
      <c r="C130" s="402">
        <f>IF(B130="","",B130*F$6)</f>
        <v>6.97305059608155</v>
      </c>
      <c r="D130" s="403">
        <f>IF(C130="","",(D$3*$C130)/$C$3)</f>
        <v>9.000675237495329</v>
      </c>
      <c r="E130" s="403">
        <f>IF(C130="","",D130-$C130)</f>
        <v>2.02762464141378</v>
      </c>
      <c r="F130" s="404">
        <f>IF(B130="","",C130/B130)</f>
        <v>0.000394027143266039</v>
      </c>
      <c r="G130" s="404"/>
    </row>
    <row r="131" ht="20.05" customHeight="1">
      <c r="A131" s="400">
        <v>44932</v>
      </c>
      <c r="B131" s="401">
        <f>IF(OR(WEEKDAY($A131)=7,WEEKDAY($A131)=1),"",IF(B130="",IF(B129="",B128,B129),B130)+IF(A$2=TRUE,IF(C130="",IF(C129="",C128,C129),C130)*2,IF(C130="",IF(C129="",C128,C129),C130)))</f>
        <v>17710.8248955891</v>
      </c>
      <c r="C131" s="402">
        <f>IF(B131="","",B131*F$6)</f>
        <v>6.97854573849402</v>
      </c>
      <c r="D131" s="403">
        <f>IF(C131="","",(D$3*$C131)/$C$3)</f>
        <v>9.007768258197951</v>
      </c>
      <c r="E131" s="403">
        <f>IF(C131="","",D131-$C131)</f>
        <v>2.02922251970393</v>
      </c>
      <c r="F131" s="404">
        <f>IF(B131="","",C131/B131)</f>
        <v>0.000394027143266039</v>
      </c>
      <c r="G131" s="404"/>
    </row>
    <row r="132" ht="20.05" customHeight="1">
      <c r="A132" s="400">
        <v>44933</v>
      </c>
      <c r="B132" t="s" s="405">
        <f>IF(OR(WEEKDAY($A132)=7,WEEKDAY($A132)=1),"",IF(B131="",IF(B130="",B129,B130),B131)+IF(A$2=TRUE,IF(C131="",IF(C130="",C129,C130),C131)*2,IF(C131="",IF(C130="",C129,C130),C131)))</f>
      </c>
      <c r="C132" t="s" s="406">
        <f>IF(B132="","",B132*F$6)</f>
      </c>
      <c r="D132" t="s" s="406">
        <f>IF(C132="","",(D$3*$C132)/$C$3)</f>
      </c>
      <c r="E132" t="s" s="406">
        <f>IF(C132="","",D132-$C132)</f>
      </c>
      <c r="F132" t="s" s="406">
        <f>IF(B132="","",C132/B132)</f>
      </c>
      <c r="G132" s="404"/>
    </row>
    <row r="133" ht="20.05" customHeight="1">
      <c r="A133" s="400">
        <v>44934</v>
      </c>
      <c r="B133" t="s" s="405">
        <f>IF(OR(WEEKDAY($A133)=7,WEEKDAY($A133)=1),"",IF(B132="",IF(B131="",B130,B131),B132)+IF(A$2=TRUE,IF(C132="",IF(C131="",C130,C131),C132)*2,IF(C132="",IF(C131="",C130,C131),C132)))</f>
      </c>
      <c r="C133" t="s" s="406">
        <f>IF(B133="","",B133*F$6)</f>
      </c>
      <c r="D133" t="s" s="406">
        <f>IF(C133="","",(D$3*$C133)/$C$3)</f>
      </c>
      <c r="E133" t="s" s="406">
        <f>IF(C133="","",D133-$C133)</f>
      </c>
      <c r="F133" t="s" s="406">
        <f>IF(B133="","",C133/B133)</f>
      </c>
      <c r="G133" s="404"/>
    </row>
    <row r="134" ht="20.05" customHeight="1">
      <c r="A134" s="400">
        <v>44935</v>
      </c>
      <c r="B134" s="401">
        <f>IF(OR(WEEKDAY($A134)=7,WEEKDAY($A134)=1),"",IF(B133="",IF(B132="",B131,B132),B133)+IF(A$2=TRUE,IF(C133="",IF(C132="",C131,C132),C133)*2,IF(C133="",IF(C132="",C131,C132),C133)))</f>
        <v>17724.7819870661</v>
      </c>
      <c r="C134" s="402">
        <f>IF(B134="","",B134*F$6)</f>
        <v>6.984045211377</v>
      </c>
      <c r="D134" s="403">
        <f>IF(C134="","",(D$3*$C134)/$C$3)</f>
        <v>9.01486686858591</v>
      </c>
      <c r="E134" s="403">
        <f>IF(C134="","",D134-$C134)</f>
        <v>2.03082165720891</v>
      </c>
      <c r="F134" s="404">
        <f>IF(B134="","",C134/B134)</f>
        <v>0.000394027143266039</v>
      </c>
      <c r="G134" s="404"/>
    </row>
    <row r="135" ht="20.05" customHeight="1">
      <c r="A135" s="400">
        <v>44936</v>
      </c>
      <c r="B135" s="401">
        <f>IF(OR(WEEKDAY($A135)=7,WEEKDAY($A135)=1),"",IF(B134="",IF(B133="",B132,B133),B134)+IF(A$2=TRUE,IF(C134="",IF(C133="",C132,C133),C134)*2,IF(C134="",IF(C133="",C132,C133),C134)))</f>
        <v>17738.7500774889</v>
      </c>
      <c r="C135" s="402">
        <f>IF(B135="","",B135*F$6)</f>
        <v>6.98954901814318</v>
      </c>
      <c r="D135" s="403">
        <f>IF(C135="","",(D$3*$C135)/$C$3)</f>
        <v>9.02197107306425</v>
      </c>
      <c r="E135" s="403">
        <f>IF(C135="","",D135-$C135)</f>
        <v>2.03242205492107</v>
      </c>
      <c r="F135" s="404">
        <f>IF(B135="","",C135/B135)</f>
        <v>0.000394027143266039</v>
      </c>
      <c r="G135" s="404"/>
    </row>
    <row r="136" ht="20.05" customHeight="1">
      <c r="A136" s="400">
        <v>44937</v>
      </c>
      <c r="B136" s="401">
        <f>IF(OR(WEEKDAY($A136)=7,WEEKDAY($A136)=1),"",IF(B135="",IF(B134="",B133,B134),B135)+IF(A$2=TRUE,IF(C135="",IF(C134="",C133,C134),C135)*2,IF(C135="",IF(C134="",C133,C134),C135)))</f>
        <v>17752.7291755252</v>
      </c>
      <c r="C136" s="402">
        <f>IF(B136="","",B136*F$6)</f>
        <v>6.99505716220786</v>
      </c>
      <c r="D136" s="403">
        <f>IF(C136="","",(D$3*$C136)/$C$3)</f>
        <v>9.02908087604135</v>
      </c>
      <c r="E136" s="403">
        <f>IF(C136="","",D136-$C136)</f>
        <v>2.03402371383349</v>
      </c>
      <c r="F136" s="404">
        <f>IF(B136="","",C136/B136)</f>
        <v>0.000394027143266039</v>
      </c>
      <c r="G136" s="404"/>
    </row>
    <row r="137" ht="20.05" customHeight="1">
      <c r="A137" s="400">
        <v>44938</v>
      </c>
      <c r="B137" s="401">
        <f>IF(OR(WEEKDAY($A137)=7,WEEKDAY($A137)=1),"",IF(B136="",IF(B135="",B134,B135),B136)+IF(A$2=TRUE,IF(C136="",IF(C135="",C134,C135),C136)*2,IF(C136="",IF(C135="",C134,C135),C136)))</f>
        <v>17766.7192898496</v>
      </c>
      <c r="C137" s="402">
        <f>IF(B137="","",B137*F$6)</f>
        <v>7.00056964698907</v>
      </c>
      <c r="D137" s="403">
        <f>IF(C137="","",(D$3*$C137)/$C$3)</f>
        <v>9.036196281929151</v>
      </c>
      <c r="E137" s="403">
        <f>IF(C137="","",D137-$C137)</f>
        <v>2.03562663494008</v>
      </c>
      <c r="F137" s="404">
        <f>IF(B137="","",C137/B137)</f>
        <v>0.000394027143266039</v>
      </c>
      <c r="G137" s="404"/>
    </row>
    <row r="138" ht="20.05" customHeight="1">
      <c r="A138" s="400">
        <v>44939</v>
      </c>
      <c r="B138" s="401">
        <f>IF(OR(WEEKDAY($A138)=7,WEEKDAY($A138)=1),"",IF(B137="",IF(B136="",B135,B136),B137)+IF(A$2=TRUE,IF(C137="",IF(C136="",C135,C136),C137)*2,IF(C137="",IF(C136="",C135,C136),C137)))</f>
        <v>17780.7204291436</v>
      </c>
      <c r="C138" s="402">
        <f>IF(B138="","",B138*F$6)</f>
        <v>7.00608647590755</v>
      </c>
      <c r="D138" s="403">
        <f>IF(C138="","",(D$3*$C138)/$C$3)</f>
        <v>9.04331729514308</v>
      </c>
      <c r="E138" s="403">
        <f>IF(C138="","",D138-$C138)</f>
        <v>2.03723081923553</v>
      </c>
      <c r="F138" s="404">
        <f>IF(B138="","",C138/B138)</f>
        <v>0.000394027143266039</v>
      </c>
      <c r="G138" s="404"/>
    </row>
    <row r="139" ht="20.05" customHeight="1">
      <c r="A139" s="400">
        <v>44940</v>
      </c>
      <c r="B139" t="s" s="405">
        <f>IF(OR(WEEKDAY($A139)=7,WEEKDAY($A139)=1),"",IF(B138="",IF(B137="",B136,B137),B138)+IF(A$2=TRUE,IF(C138="",IF(C137="",C136,C137),C138)*2,IF(C138="",IF(C137="",C136,C137),C138)))</f>
      </c>
      <c r="C139" t="s" s="406">
        <f>IF(B139="","",B139*F$6)</f>
      </c>
      <c r="D139" t="s" s="406">
        <f>IF(C139="","",(D$3*$C139)/$C$3)</f>
      </c>
      <c r="E139" t="s" s="406">
        <f>IF(C139="","",D139-$C139)</f>
      </c>
      <c r="F139" t="s" s="406">
        <f>IF(B139="","",C139/B139)</f>
      </c>
      <c r="G139" s="404"/>
    </row>
    <row r="140" ht="20.05" customHeight="1">
      <c r="A140" s="400">
        <v>44941</v>
      </c>
      <c r="B140" t="s" s="405">
        <f>IF(OR(WEEKDAY($A140)=7,WEEKDAY($A140)=1),"",IF(B139="",IF(B138="",B137,B138),B139)+IF(A$2=TRUE,IF(C139="",IF(C138="",C137,C138),C139)*2,IF(C139="",IF(C138="",C137,C138),C139)))</f>
      </c>
      <c r="C140" t="s" s="406">
        <f>IF(B140="","",B140*F$6)</f>
      </c>
      <c r="D140" t="s" s="406">
        <f>IF(C140="","",(D$3*$C140)/$C$3)</f>
      </c>
      <c r="E140" t="s" s="406">
        <f>IF(C140="","",D140-$C140)</f>
      </c>
      <c r="F140" t="s" s="406">
        <f>IF(B140="","",C140/B140)</f>
      </c>
      <c r="G140" s="404"/>
    </row>
    <row r="141" ht="20.05" customHeight="1">
      <c r="A141" s="400">
        <v>44942</v>
      </c>
      <c r="B141" s="401">
        <f>IF(OR(WEEKDAY($A141)=7,WEEKDAY($A141)=1),"",IF(B140="",IF(B139="",B138,B139),B140)+IF(A$2=TRUE,IF(C140="",IF(C139="",C138,C139),C140)*2,IF(C140="",IF(C139="",C138,C139),C140)))</f>
        <v>17794.7326020954</v>
      </c>
      <c r="C141" s="402">
        <f>IF(B141="","",B141*F$6)</f>
        <v>7.0116076523867</v>
      </c>
      <c r="D141" s="403">
        <f>IF(C141="","",(D$3*$C141)/$C$3)</f>
        <v>9.05044392010198</v>
      </c>
      <c r="E141" s="403">
        <f>IF(C141="","",D141-$C141)</f>
        <v>2.03883626771528</v>
      </c>
      <c r="F141" s="404">
        <f>IF(B141="","",C141/B141)</f>
        <v>0.000394027143266039</v>
      </c>
      <c r="G141" s="404"/>
    </row>
    <row r="142" ht="20.05" customHeight="1">
      <c r="A142" s="400">
        <v>44943</v>
      </c>
      <c r="B142" s="401">
        <f>IF(OR(WEEKDAY($A142)=7,WEEKDAY($A142)=1),"",IF(B141="",IF(B140="",B139,B140),B141)+IF(A$2=TRUE,IF(C141="",IF(C140="",C139,C140),C141)*2,IF(C141="",IF(C140="",C139,C140),C141)))</f>
        <v>17808.7558174002</v>
      </c>
      <c r="C142" s="402">
        <f>IF(B142="","",B142*F$6)</f>
        <v>7.01713317985265</v>
      </c>
      <c r="D142" s="403">
        <f>IF(C142="","",(D$3*$C142)/$C$3)</f>
        <v>9.057576161228241</v>
      </c>
      <c r="E142" s="403">
        <f>IF(C142="","",D142-$C142)</f>
        <v>2.04044298137559</v>
      </c>
      <c r="F142" s="404">
        <f>IF(B142="","",C142/B142)</f>
        <v>0.000394027143266039</v>
      </c>
      <c r="G142" s="404"/>
    </row>
    <row r="143" ht="20.05" customHeight="1">
      <c r="A143" s="400">
        <v>44944</v>
      </c>
      <c r="B143" s="401">
        <f>IF(OR(WEEKDAY($A143)=7,WEEKDAY($A143)=1),"",IF(B142="",IF(B141="",B140,B141),B142)+IF(A$2=TRUE,IF(C142="",IF(C141="",C140,C141),C142)*2,IF(C142="",IF(C141="",C140,C141),C142)))</f>
        <v>17822.7900837599</v>
      </c>
      <c r="C143" s="402">
        <f>IF(B143="","",B143*F$6)</f>
        <v>7.0226630617342</v>
      </c>
      <c r="D143" s="403">
        <f>IF(C143="","",(D$3*$C143)/$C$3)</f>
        <v>9.06471402294769</v>
      </c>
      <c r="E143" s="403">
        <f>IF(C143="","",D143-$C143)</f>
        <v>2.04205096121349</v>
      </c>
      <c r="F143" s="404">
        <f>IF(B143="","",C143/B143)</f>
        <v>0.000394027143266039</v>
      </c>
      <c r="G143" s="404"/>
    </row>
    <row r="144" ht="20.05" customHeight="1">
      <c r="A144" s="400">
        <v>44945</v>
      </c>
      <c r="B144" s="401">
        <f>IF(OR(WEEKDAY($A144)=7,WEEKDAY($A144)=1),"",IF(B143="",IF(B142="",B141,B142),B143)+IF(A$2=TRUE,IF(C143="",IF(C142="",C141,C142),C143)*2,IF(C143="",IF(C142="",C141,C142),C143)))</f>
        <v>17836.8354098834</v>
      </c>
      <c r="C144" s="402">
        <f>IF(B144="","",B144*F$6)</f>
        <v>7.02819730146288</v>
      </c>
      <c r="D144" s="403">
        <f>IF(C144="","",(D$3*$C144)/$C$3)</f>
        <v>9.07185750968967</v>
      </c>
      <c r="E144" s="403">
        <f>IF(C144="","",D144-$C144)</f>
        <v>2.04366020822679</v>
      </c>
      <c r="F144" s="404">
        <f>IF(B144="","",C144/B144)</f>
        <v>0.000394027143266039</v>
      </c>
      <c r="G144" s="404"/>
    </row>
    <row r="145" ht="20.05" customHeight="1">
      <c r="A145" s="400">
        <v>44946</v>
      </c>
      <c r="B145" s="401">
        <f>IF(OR(WEEKDAY($A145)=7,WEEKDAY($A145)=1),"",IF(B144="",IF(B143="",B142,B143),B144)+IF(A$2=TRUE,IF(C144="",IF(C143="",C142,C143),C144)*2,IF(C144="",IF(C143="",C142,C143),C144)))</f>
        <v>17850.8918044863</v>
      </c>
      <c r="C145" s="402">
        <f>IF(B145="","",B145*F$6)</f>
        <v>7.03373590247288</v>
      </c>
      <c r="D145" s="403">
        <f>IF(C145="","",(D$3*$C145)/$C$3)</f>
        <v>9.079006625886979</v>
      </c>
      <c r="E145" s="403">
        <f>IF(C145="","",D145-$C145)</f>
        <v>2.0452707234141</v>
      </c>
      <c r="F145" s="404">
        <f>IF(B145="","",C145/B145)</f>
        <v>0.000394027143266039</v>
      </c>
      <c r="G145" s="404"/>
    </row>
    <row r="146" ht="20.05" customHeight="1">
      <c r="A146" s="400">
        <v>44947</v>
      </c>
      <c r="B146" t="s" s="405">
        <f>IF(OR(WEEKDAY($A146)=7,WEEKDAY($A146)=1),"",IF(B145="",IF(B144="",B143,B144),B145)+IF(A$2=TRUE,IF(C145="",IF(C144="",C143,C144),C145)*2,IF(C145="",IF(C144="",C143,C144),C145)))</f>
      </c>
      <c r="C146" t="s" s="406">
        <f>IF(B146="","",B146*F$6)</f>
      </c>
      <c r="D146" t="s" s="406">
        <f>IF(C146="","",(D$3*$C146)/$C$3)</f>
      </c>
      <c r="E146" t="s" s="406">
        <f>IF(C146="","",D146-$C146)</f>
      </c>
      <c r="F146" t="s" s="406">
        <f>IF(B146="","",C146/B146)</f>
      </c>
      <c r="G146" s="404"/>
    </row>
    <row r="147" ht="20.05" customHeight="1">
      <c r="A147" s="400">
        <v>44948</v>
      </c>
      <c r="B147" t="s" s="405">
        <f>IF(OR(WEEKDAY($A147)=7,WEEKDAY($A147)=1),"",IF(B146="",IF(B145="",B144,B145),B146)+IF(A$2=TRUE,IF(C146="",IF(C145="",C144,C145),C146)*2,IF(C146="",IF(C145="",C144,C145),C146)))</f>
      </c>
      <c r="C147" t="s" s="406">
        <f>IF(B147="","",B147*F$6)</f>
      </c>
      <c r="D147" t="s" s="406">
        <f>IF(C147="","",(D$3*$C147)/$C$3)</f>
      </c>
      <c r="E147" t="s" s="406">
        <f>IF(C147="","",D147-$C147)</f>
      </c>
      <c r="F147" t="s" s="406">
        <f>IF(B147="","",C147/B147)</f>
      </c>
      <c r="G147" s="404"/>
    </row>
    <row r="148" ht="20.05" customHeight="1">
      <c r="A148" s="400">
        <v>44949</v>
      </c>
      <c r="B148" s="401">
        <f>IF(OR(WEEKDAY($A148)=7,WEEKDAY($A148)=1),"",IF(B147="",IF(B146="",B145,B146),B147)+IF(A$2=TRUE,IF(C147="",IF(C146="",C145,C146),C147)*2,IF(C147="",IF(C146="",C145,C146),C147)))</f>
        <v>17864.9592762912</v>
      </c>
      <c r="C148" s="402">
        <f>IF(B148="","",B148*F$6)</f>
        <v>7.03927886820115</v>
      </c>
      <c r="D148" s="403">
        <f>IF(C148="","",(D$3*$C148)/$C$3)</f>
        <v>9.08616137597595</v>
      </c>
      <c r="E148" s="403">
        <f>IF(C148="","",D148-$C148)</f>
        <v>2.0468825077748</v>
      </c>
      <c r="F148" s="404">
        <f>IF(B148="","",C148/B148)</f>
        <v>0.000394027143266039</v>
      </c>
      <c r="G148" s="404"/>
    </row>
    <row r="149" ht="20.05" customHeight="1">
      <c r="A149" s="400">
        <v>44950</v>
      </c>
      <c r="B149" s="401">
        <f>IF(OR(WEEKDAY($A149)=7,WEEKDAY($A149)=1),"",IF(B148="",IF(B147="",B146,B147),B148)+IF(A$2=TRUE,IF(C148="",IF(C147="",C146,C147),C148)*2,IF(C148="",IF(C147="",C146,C147),C148)))</f>
        <v>17879.0378340276</v>
      </c>
      <c r="C149" s="402">
        <f>IF(B149="","",B149*F$6)</f>
        <v>7.04482620208732</v>
      </c>
      <c r="D149" s="403">
        <f>IF(C149="","",(D$3*$C149)/$C$3)</f>
        <v>9.0933217643964</v>
      </c>
      <c r="E149" s="403">
        <f>IF(C149="","",D149-$C149)</f>
        <v>2.04849556230908</v>
      </c>
      <c r="F149" s="404">
        <f>IF(B149="","",C149/B149)</f>
        <v>0.000394027143266039</v>
      </c>
      <c r="G149" s="404"/>
    </row>
    <row r="150" ht="20.05" customHeight="1">
      <c r="A150" s="400">
        <v>44951</v>
      </c>
      <c r="B150" s="401">
        <f>IF(OR(WEEKDAY($A150)=7,WEEKDAY($A150)=1),"",IF(B149="",IF(B148="",B147,B148),B149)+IF(A$2=TRUE,IF(C149="",IF(C148="",C147,C148),C149)*2,IF(C149="",IF(C148="",C147,C148),C149)))</f>
        <v>17893.1274864318</v>
      </c>
      <c r="C150" s="402">
        <f>IF(B150="","",B150*F$6)</f>
        <v>7.05037790757376</v>
      </c>
      <c r="D150" s="403">
        <f>IF(C150="","",(D$3*$C150)/$C$3)</f>
        <v>9.100487795591659</v>
      </c>
      <c r="E150" s="403">
        <f>IF(C150="","",D150-$C150)</f>
        <v>2.0501098880179</v>
      </c>
      <c r="F150" s="404">
        <f>IF(B150="","",C150/B150)</f>
        <v>0.000394027143266039</v>
      </c>
      <c r="G150" s="404"/>
    </row>
    <row r="151" ht="20.05" customHeight="1">
      <c r="A151" s="400">
        <v>44952</v>
      </c>
      <c r="B151" s="401">
        <f>IF(OR(WEEKDAY($A151)=7,WEEKDAY($A151)=1),"",IF(B150="",IF(B149="",B148,B149),B150)+IF(A$2=TRUE,IF(C150="",IF(C149="",C148,C149),C150)*2,IF(C150="",IF(C149="",C148,C149),C150)))</f>
        <v>17907.2282422469</v>
      </c>
      <c r="C151" s="402">
        <f>IF(B151="","",B151*F$6)</f>
        <v>7.05593398810548</v>
      </c>
      <c r="D151" s="403">
        <f>IF(C151="","",(D$3*$C151)/$C$3)</f>
        <v>9.107659474008489</v>
      </c>
      <c r="E151" s="403">
        <f>IF(C151="","",D151-$C151)</f>
        <v>2.05172548590301</v>
      </c>
      <c r="F151" s="404">
        <f>IF(B151="","",C151/B151)</f>
        <v>0.000394027143266039</v>
      </c>
      <c r="G151" s="404"/>
    </row>
    <row r="152" ht="20.05" customHeight="1">
      <c r="A152" s="400">
        <v>44953</v>
      </c>
      <c r="B152" s="401">
        <f>1445-G152</f>
        <v>1323.78</v>
      </c>
      <c r="C152" s="402">
        <f>IF(B152="","",B152*F$6)</f>
        <v>0.521605251712717</v>
      </c>
      <c r="D152" s="403">
        <f>IF(C152="","",(D$3*$C152)/$C$3)</f>
        <v>0.673277700792301</v>
      </c>
      <c r="E152" s="403">
        <f>IF(C152="","",D152-$C152)</f>
        <v>0.151672449079584</v>
      </c>
      <c r="F152" s="404">
        <f>IF(B152="","",C152/B152)</f>
        <v>0.000394027143266039</v>
      </c>
      <c r="G152" s="402">
        <v>121.22</v>
      </c>
    </row>
    <row r="153" ht="20.05" customHeight="1">
      <c r="A153" s="400">
        <v>44954</v>
      </c>
      <c r="B153" t="s" s="405">
        <f>IF(OR(WEEKDAY($A153)=7,WEEKDAY($A153)=1),"",IF(B152="",IF(B151="",B150,B151),B152)+IF(A$2=TRUE,IF(C152="",IF(C151="",C150,C151),C152)*2,IF(C152="",IF(C151="",C150,C151),C152)))</f>
      </c>
      <c r="C153" t="s" s="406">
        <f>IF(B153="","",B153*F$6)</f>
      </c>
      <c r="D153" t="s" s="406">
        <f>IF(C153="","",(D$3*$C153)/$C$3)</f>
      </c>
      <c r="E153" t="s" s="406">
        <f>IF(C153="","",D153-$C153)</f>
      </c>
      <c r="F153" t="s" s="406">
        <f>IF(B153="","",C153/B153)</f>
      </c>
      <c r="G153" s="404"/>
    </row>
    <row r="154" ht="20.05" customHeight="1">
      <c r="A154" s="400">
        <v>44955</v>
      </c>
      <c r="B154" t="s" s="405">
        <f>IF(OR(WEEKDAY($A154)=7,WEEKDAY($A154)=1),"",IF(B153="",IF(B152="",B151,B152),B153)+IF(A$2=TRUE,IF(C153="",IF(C152="",C151,C152),C153)*2,IF(C153="",IF(C152="",C151,C152),C153)))</f>
      </c>
      <c r="C154" t="s" s="406">
        <f>IF(B154="","",B154*F$6)</f>
      </c>
      <c r="D154" t="s" s="406">
        <f>IF(C154="","",(D$3*$C154)/$C$3)</f>
      </c>
      <c r="E154" t="s" s="406">
        <f>IF(C154="","",D154-$C154)</f>
      </c>
      <c r="F154" t="s" s="406">
        <f>IF(B154="","",C154/B154)</f>
      </c>
      <c r="G154" s="404"/>
    </row>
    <row r="155" ht="20.05" customHeight="1">
      <c r="A155" s="400">
        <v>44956</v>
      </c>
      <c r="B155" s="401">
        <f>IF(OR(WEEKDAY($A155)=7,WEEKDAY($A155)=1),"",IF(B154="",IF(B153="",B152,B153),B154)+IF(A$2=TRUE,IF(C154="",IF(C153="",C152,C153),C154)*2,IF(C154="",IF(C153="",C152,C153),C154)))</f>
        <v>1324.823210503430</v>
      </c>
      <c r="C155" s="402">
        <f>IF(B155="","",B155*F$6)</f>
        <v>0.522016304967209</v>
      </c>
      <c r="D155" s="403">
        <f>IF(C155="","",(D$3*$C155)/$C$3)</f>
        <v>0.67380828017044</v>
      </c>
      <c r="E155" s="403">
        <f>IF(C155="","",D155-$C155)</f>
        <v>0.151791975203231</v>
      </c>
      <c r="F155" s="404">
        <f>IF(B155="","",C155/B155)</f>
        <v>0.000394027143266039</v>
      </c>
      <c r="G155" s="402">
        <f>G156*B128</f>
        <v>-16343.1522851439</v>
      </c>
    </row>
    <row r="156" ht="20.05" customHeight="1">
      <c r="A156" s="400">
        <v>44957</v>
      </c>
      <c r="B156" s="401">
        <f>IF(OR(WEEKDAY($A156)=7,WEEKDAY($A156)=1),"",IF(B155="",IF(B154="",B153,B154),B155)+IF(A$2=TRUE,IF(C155="",IF(C154="",C153,C154),C155)*2,IF(C155="",IF(C154="",C153,C154),C155)))</f>
        <v>1325.867243113360</v>
      </c>
      <c r="C156" s="402">
        <f>IF(B156="","",B156*F$6)</f>
        <v>0.5224276821539759</v>
      </c>
      <c r="D156" s="403">
        <f>IF(C156="","",(D$3*$C156)/$C$3)</f>
        <v>0.674339277673926</v>
      </c>
      <c r="E156" s="403">
        <f>IF(C156="","",D156-$C156)</f>
        <v>0.15191159551995</v>
      </c>
      <c r="F156" s="404">
        <f>IF(B156="","",C156/B156)</f>
        <v>0.000394027143266039</v>
      </c>
      <c r="G156" s="404">
        <f>(B156-B128)/B128</f>
        <v>-0.924960904537292</v>
      </c>
    </row>
    <row r="157" ht="20.05" customHeight="1">
      <c r="A157" s="400">
        <v>44958</v>
      </c>
      <c r="B157" s="401">
        <f>IF(OR(WEEKDAY($A157)=7,WEEKDAY($A157)=1),"",IF(B156="",IF(B155="",B154,B155),B156)+IF(A$2=TRUE,IF(C156="",IF(C155="",C154,C155),C156)*2,IF(C156="",IF(C155="",C154,C155),C156)))</f>
        <v>1326.912098477670</v>
      </c>
      <c r="C157" s="402">
        <f>IF(B157="","",B157*F$6)</f>
        <v>0.5228393835283009</v>
      </c>
      <c r="D157" s="403">
        <f>IF(C157="","",(D$3*$C157)/$C$3)</f>
        <v>0.674870693632275</v>
      </c>
      <c r="E157" s="403">
        <f>IF(C157="","",D157-$C157)</f>
        <v>0.152031310103974</v>
      </c>
      <c r="F157" s="404">
        <f>IF(B157="","",C157/B157)</f>
        <v>0.000394027143266039</v>
      </c>
      <c r="G157" s="404"/>
    </row>
    <row r="158" ht="20.05" customHeight="1">
      <c r="A158" s="400">
        <v>44959</v>
      </c>
      <c r="B158" s="401">
        <f>IF(OR(WEEKDAY($A158)=7,WEEKDAY($A158)=1),"",IF(B157="",IF(B156="",B155,B156),B157)+IF(A$2=TRUE,IF(C157="",IF(C156="",C155,C156),C157)*2,IF(C157="",IF(C156="",C155,C156),C157)))</f>
        <v>1327.957777244730</v>
      </c>
      <c r="C158" s="402">
        <f>IF(B158="","",B158*F$6)</f>
        <v>0.5232514093456599</v>
      </c>
      <c r="D158" s="403">
        <f>IF(C158="","",(D$3*$C158)/$C$3)</f>
        <v>0.6754025283752489</v>
      </c>
      <c r="E158" s="403">
        <f>IF(C158="","",D158-$C158)</f>
        <v>0.152151119029589</v>
      </c>
      <c r="F158" s="404">
        <f>IF(B158="","",C158/B158)</f>
        <v>0.000394027143266039</v>
      </c>
      <c r="G158" s="404"/>
    </row>
    <row r="159" ht="20.05" customHeight="1">
      <c r="A159" s="400">
        <v>44960</v>
      </c>
      <c r="B159" s="401">
        <f>IF(OR(WEEKDAY($A159)=7,WEEKDAY($A159)=1),"",IF(B158="",IF(B157="",B156,B157),B158)+IF(A$2=TRUE,IF(C158="",IF(C157="",C156,C157),C158)*2,IF(C158="",IF(C157="",C156,C157),C158)))</f>
        <v>1329.004280063420</v>
      </c>
      <c r="C159" s="402">
        <f>IF(B159="","",B159*F$6)</f>
        <v>0.523663759861728</v>
      </c>
      <c r="D159" s="403">
        <f>IF(C159="","",(D$3*$C159)/$C$3)</f>
        <v>0.675934782232869</v>
      </c>
      <c r="E159" s="403">
        <f>IF(C159="","",D159-$C159)</f>
        <v>0.152271022371141</v>
      </c>
      <c r="F159" s="404">
        <f>IF(B159="","",C159/B159)</f>
        <v>0.000394027143266039</v>
      </c>
      <c r="G159" s="404"/>
    </row>
    <row r="160" ht="20.05" customHeight="1">
      <c r="A160" s="400">
        <v>44961</v>
      </c>
      <c r="B160" t="s" s="405">
        <f>IF(OR(WEEKDAY($A160)=7,WEEKDAY($A160)=1),"",IF(B159="",IF(B158="",B157,B158),B159)+IF(A$2=TRUE,IF(C159="",IF(C158="",C157,C158),C159)*2,IF(C159="",IF(C158="",C157,C158),C159)))</f>
      </c>
      <c r="C160" t="s" s="406">
        <f>IF(B160="","",B160*F$6)</f>
      </c>
      <c r="D160" t="s" s="406">
        <f>IF(C160="","",(D$3*$C160)/$C$3)</f>
      </c>
      <c r="E160" t="s" s="406">
        <f>IF(C160="","",D160-$C160)</f>
      </c>
      <c r="F160" t="s" s="406">
        <f>IF(B160="","",C160/B160)</f>
      </c>
      <c r="G160" s="404"/>
    </row>
    <row r="161" ht="20.05" customHeight="1">
      <c r="A161" s="400">
        <v>44962</v>
      </c>
      <c r="B161" t="s" s="405">
        <f>IF(OR(WEEKDAY($A161)=7,WEEKDAY($A161)=1),"",IF(B160="",IF(B159="",B158,B159),B160)+IF(A$2=TRUE,IF(C160="",IF(C159="",C158,C159),C160)*2,IF(C160="",IF(C159="",C158,C159),C160)))</f>
      </c>
      <c r="C161" t="s" s="406">
        <f>IF(B161="","",B161*F$6)</f>
      </c>
      <c r="D161" t="s" s="406">
        <f>IF(C161="","",(D$3*$C161)/$C$3)</f>
      </c>
      <c r="E161" t="s" s="406">
        <f>IF(C161="","",D161-$C161)</f>
      </c>
      <c r="F161" t="s" s="406">
        <f>IF(B161="","",C161/B161)</f>
      </c>
      <c r="G161" s="404"/>
    </row>
    <row r="162" ht="20.05" customHeight="1">
      <c r="A162" s="400">
        <v>44963</v>
      </c>
      <c r="B162" s="401">
        <f>IF(OR(WEEKDAY($A162)=7,WEEKDAY($A162)=1),"",IF(B161="",IF(B160="",B159,B160),B161)+IF(A$2=TRUE,IF(C161="",IF(C160="",C159,C160),C161)*2,IF(C161="",IF(C160="",C159,C160),C161)))</f>
        <v>1330.051607583140</v>
      </c>
      <c r="C162" s="402">
        <f>IF(B162="","",B162*F$6)</f>
        <v>0.524076435332387</v>
      </c>
      <c r="D162" s="403">
        <f>IF(C162="","",(D$3*$C162)/$C$3)</f>
        <v>0.676467455535422</v>
      </c>
      <c r="E162" s="403">
        <f>IF(C162="","",D162-$C162)</f>
        <v>0.152391020203035</v>
      </c>
      <c r="F162" s="404">
        <f>IF(B162="","",C162/B162)</f>
        <v>0.000394027143266039</v>
      </c>
      <c r="G162" s="404"/>
    </row>
    <row r="163" ht="20.05" customHeight="1">
      <c r="A163" s="400">
        <v>44964</v>
      </c>
      <c r="B163" s="401">
        <f>IF(OR(WEEKDAY($A163)=7,WEEKDAY($A163)=1),"",IF(B162="",IF(B161="",B160,B161),B162)+IF(A$2=TRUE,IF(C162="",IF(C161="",C160,C161),C162)*2,IF(C162="",IF(C161="",C160,C161),C162)))</f>
        <v>1331.0997604538</v>
      </c>
      <c r="C163" s="402">
        <f>IF(B163="","",B163*F$6)</f>
        <v>0.52448943601372</v>
      </c>
      <c r="D163" s="403">
        <f>IF(C163="","",(D$3*$C163)/$C$3)</f>
        <v>0.677000548613454</v>
      </c>
      <c r="E163" s="403">
        <f>IF(C163="","",D163-$C163)</f>
        <v>0.152511112599734</v>
      </c>
      <c r="F163" s="404">
        <f>IF(B163="","",C163/B163)</f>
        <v>0.000394027143266039</v>
      </c>
      <c r="G163" s="404"/>
    </row>
    <row r="164" ht="20.05" customHeight="1">
      <c r="A164" s="400">
        <v>44965</v>
      </c>
      <c r="B164" s="401">
        <f>IF(OR(WEEKDAY($A164)=7,WEEKDAY($A164)=1),"",IF(B163="",IF(B162="",B161,B162),B163)+IF(A$2=TRUE,IF(C163="",IF(C162="",C161,C162),C163)*2,IF(C163="",IF(C162="",C161,C162),C163)))</f>
        <v>1332.148739325830</v>
      </c>
      <c r="C164" s="402">
        <f>IF(B164="","",B164*F$6)</f>
        <v>0.524902762162012</v>
      </c>
      <c r="D164" s="403">
        <f>IF(C164="","",(D$3*$C164)/$C$3)</f>
        <v>0.677534061797774</v>
      </c>
      <c r="E164" s="403">
        <f>IF(C164="","",D164-$C164)</f>
        <v>0.152631299635762</v>
      </c>
      <c r="F164" s="404">
        <f>IF(B164="","",C164/B164)</f>
        <v>0.000394027143266039</v>
      </c>
      <c r="G164" s="404"/>
    </row>
    <row r="165" ht="20.05" customHeight="1">
      <c r="A165" s="400">
        <v>44966</v>
      </c>
      <c r="B165" s="401">
        <f>IF(OR(WEEKDAY($A165)=7,WEEKDAY($A165)=1),"",IF(B164="",IF(B163="",B162,B163),B164)+IF(A$2=TRUE,IF(C164="",IF(C163="",C162,C163),C164)*2,IF(C164="",IF(C163="",C162,C163),C164)))</f>
        <v>1333.198544850150</v>
      </c>
      <c r="C165" s="402">
        <f>IF(B165="","",B165*F$6)</f>
        <v>0.525316414033745</v>
      </c>
      <c r="D165" s="403">
        <f>IF(C165="","",(D$3*$C165)/$C$3)</f>
        <v>0.678067995419444</v>
      </c>
      <c r="E165" s="403">
        <f>IF(C165="","",D165-$C165)</f>
        <v>0.152751581385699</v>
      </c>
      <c r="F165" s="404">
        <f>IF(B165="","",C165/B165)</f>
        <v>0.000394027143266039</v>
      </c>
      <c r="G165" s="404"/>
    </row>
    <row r="166" ht="20.05" customHeight="1">
      <c r="A166" s="400">
        <v>44967</v>
      </c>
      <c r="B166" s="401">
        <f>IF(OR(WEEKDAY($A166)=7,WEEKDAY($A166)=1),"",IF(B165="",IF(B164="",B163,B164),B165)+IF(A$2=TRUE,IF(C165="",IF(C164="",C163,C164),C165)*2,IF(C165="",IF(C164="",C163,C164),C165)))</f>
        <v>1334.249177678220</v>
      </c>
      <c r="C166" s="402">
        <f>IF(B166="","",B166*F$6)</f>
        <v>0.525730391885611</v>
      </c>
      <c r="D166" s="403">
        <f>IF(C166="","",(D$3*$C166)/$C$3)</f>
        <v>0.6786023498097959</v>
      </c>
      <c r="E166" s="403">
        <f>IF(C166="","",D166-$C166)</f>
        <v>0.152871957924185</v>
      </c>
      <c r="F166" s="404">
        <f>IF(B166="","",C166/B166)</f>
        <v>0.000394027143266039</v>
      </c>
      <c r="G166" s="404"/>
    </row>
    <row r="167" ht="20.05" customHeight="1">
      <c r="A167" s="400">
        <v>44968</v>
      </c>
      <c r="B167" t="s" s="405">
        <f>IF(OR(WEEKDAY($A167)=7,WEEKDAY($A167)=1),"",IF(B166="",IF(B165="",B164,B165),B166)+IF(A$2=TRUE,IF(C166="",IF(C165="",C164,C165),C166)*2,IF(C166="",IF(C165="",C164,C165),C166)))</f>
      </c>
      <c r="C167" t="s" s="406">
        <f>IF(B167="","",B167*F$6)</f>
      </c>
      <c r="D167" t="s" s="406">
        <f>IF(C167="","",(D$3*$C167)/$C$3)</f>
      </c>
      <c r="E167" t="s" s="406">
        <f>IF(C167="","",D167-$C167)</f>
      </c>
      <c r="F167" t="s" s="406">
        <f>IF(B167="","",C167/B167)</f>
      </c>
      <c r="G167" s="404"/>
    </row>
    <row r="168" ht="20.05" customHeight="1">
      <c r="A168" s="400">
        <v>44969</v>
      </c>
      <c r="B168" t="s" s="405">
        <f>IF(OR(WEEKDAY($A168)=7,WEEKDAY($A168)=1),"",IF(B167="",IF(B166="",B165,B166),B167)+IF(A$2=TRUE,IF(C167="",IF(C166="",C165,C166),C167)*2,IF(C167="",IF(C166="",C165,C166),C167)))</f>
      </c>
      <c r="C168" t="s" s="406">
        <f>IF(B168="","",B168*F$6)</f>
      </c>
      <c r="D168" t="s" s="406">
        <f>IF(C168="","",(D$3*$C168)/$C$3)</f>
      </c>
      <c r="E168" t="s" s="406">
        <f>IF(C168="","",D168-$C168)</f>
      </c>
      <c r="F168" t="s" s="406">
        <f>IF(B168="","",C168/B168)</f>
      </c>
      <c r="G168" s="404"/>
    </row>
    <row r="169" ht="20.05" customHeight="1">
      <c r="A169" s="400">
        <v>44970</v>
      </c>
      <c r="B169" s="401">
        <f>IF(OR(WEEKDAY($A169)=7,WEEKDAY($A169)=1),"",IF(B168="",IF(B167="",B166,B167),B168)+IF(A$2=TRUE,IF(C168="",IF(C167="",C166,C167),C168)*2,IF(C168="",IF(C167="",C166,C167),C168)))</f>
        <v>1335.300638461990</v>
      </c>
      <c r="C169" s="402">
        <f>IF(B169="","",B169*F$6)</f>
        <v>0.526144695974496</v>
      </c>
      <c r="D169" s="403">
        <f>IF(C169="","",(D$3*$C169)/$C$3)</f>
        <v>0.679137125300413</v>
      </c>
      <c r="E169" s="403">
        <f>IF(C169="","",D169-$C169)</f>
        <v>0.152992429325917</v>
      </c>
      <c r="F169" s="404">
        <f>IF(B169="","",C169/B169)</f>
        <v>0.000394027143266039</v>
      </c>
      <c r="G169" s="404"/>
    </row>
    <row r="170" ht="20.05" customHeight="1">
      <c r="A170" s="400">
        <v>44971</v>
      </c>
      <c r="B170" s="401">
        <f>IF(OR(WEEKDAY($A170)=7,WEEKDAY($A170)=1),"",IF(B169="",IF(B168="",B167,B168),B169)+IF(A$2=TRUE,IF(C169="",IF(C168="",C167,C168),C169)*2,IF(C169="",IF(C168="",C167,C168),C169)))</f>
        <v>1336.352927853940</v>
      </c>
      <c r="C170" s="402">
        <f>IF(B170="","",B170*F$6)</f>
        <v>0.526559326557495</v>
      </c>
      <c r="D170" s="403">
        <f>IF(C170="","",(D$3*$C170)/$C$3)</f>
        <v>0.67967232222315</v>
      </c>
      <c r="E170" s="403">
        <f>IF(C170="","",D170-$C170)</f>
        <v>0.153112995665655</v>
      </c>
      <c r="F170" s="404">
        <f>IF(B170="","",C170/B170)</f>
        <v>0.000394027143266039</v>
      </c>
      <c r="G170" s="404"/>
    </row>
    <row r="171" ht="20.05" customHeight="1">
      <c r="A171" s="400">
        <v>44972</v>
      </c>
      <c r="B171" s="401">
        <f>IF(OR(WEEKDAY($A171)=7,WEEKDAY($A171)=1),"",IF(B170="",IF(B169="",B168,B169),B170)+IF(A$2=TRUE,IF(C170="",IF(C169="",C168,C169),C170)*2,IF(C170="",IF(C169="",C168,C169),C170)))</f>
        <v>1337.406046507050</v>
      </c>
      <c r="C171" s="402">
        <f>IF(B171="","",B171*F$6)</f>
        <v>0.5269742838919</v>
      </c>
      <c r="D171" s="403">
        <f>IF(C171="","",(D$3*$C171)/$C$3)</f>
        <v>0.6802079409101121</v>
      </c>
      <c r="E171" s="403">
        <f>IF(C171="","",D171-$C171)</f>
        <v>0.153233657018212</v>
      </c>
      <c r="F171" s="404">
        <f>IF(B171="","",C171/B171)</f>
        <v>0.000394027143266039</v>
      </c>
      <c r="G171" s="404"/>
    </row>
    <row r="172" ht="20.05" customHeight="1">
      <c r="A172" s="400">
        <v>44973</v>
      </c>
      <c r="B172" s="401">
        <f>IF(OR(WEEKDAY($A172)=7,WEEKDAY($A172)=1),"",IF(B171="",IF(B170="",B169,B170),B171)+IF(A$2=TRUE,IF(C171="",IF(C170="",C169,C170),C171)*2,IF(C171="",IF(C170="",C169,C170),C171)))</f>
        <v>1338.459995074830</v>
      </c>
      <c r="C172" s="402">
        <f>IF(B172="","",B172*F$6)</f>
        <v>0.527389568235212</v>
      </c>
      <c r="D172" s="403">
        <f>IF(C172="","",(D$3*$C172)/$C$3)</f>
        <v>0.680743981693678</v>
      </c>
      <c r="E172" s="403">
        <f>IF(C172="","",D172-$C172)</f>
        <v>0.153354413458466</v>
      </c>
      <c r="F172" s="404">
        <f>IF(B172="","",C172/B172)</f>
        <v>0.000394027143266039</v>
      </c>
      <c r="G172" s="404"/>
    </row>
    <row r="173" ht="20.05" customHeight="1">
      <c r="A173" s="400">
        <v>44974</v>
      </c>
      <c r="B173" s="401">
        <f>IF(OR(WEEKDAY($A173)=7,WEEKDAY($A173)=1),"",IF(B172="",IF(B171="",B170,B171),B172)+IF(A$2=TRUE,IF(C172="",IF(C171="",C170,C171),C172)*2,IF(C172="",IF(C171="",C170,C171),C172)))</f>
        <v>1339.5147742113</v>
      </c>
      <c r="C173" s="402">
        <f>IF(B173="","",B173*F$6)</f>
        <v>0.527805179845132</v>
      </c>
      <c r="D173" s="403">
        <f>IF(C173="","",(D$3*$C173)/$C$3)</f>
        <v>0.681280444906482</v>
      </c>
      <c r="E173" s="403">
        <f>IF(C173="","",D173-$C173)</f>
        <v>0.15347526506135</v>
      </c>
      <c r="F173" s="404">
        <f>IF(B173="","",C173/B173)</f>
        <v>0.000394027143266039</v>
      </c>
      <c r="G173" s="404"/>
    </row>
    <row r="174" ht="20.05" customHeight="1">
      <c r="A174" s="400">
        <v>44975</v>
      </c>
      <c r="B174" t="s" s="405">
        <f>IF(OR(WEEKDAY($A174)=7,WEEKDAY($A174)=1),"",IF(B173="",IF(B172="",B171,B172),B173)+IF(A$2=TRUE,IF(C173="",IF(C172="",C171,C172),C173)*2,IF(C173="",IF(C172="",C171,C172),C173)))</f>
      </c>
      <c r="C174" t="s" s="406">
        <f>IF(B174="","",B174*F$6)</f>
      </c>
      <c r="D174" t="s" s="406">
        <f>IF(C174="","",(D$3*$C174)/$C$3)</f>
      </c>
      <c r="E174" t="s" s="406">
        <f>IF(C174="","",D174-$C174)</f>
      </c>
      <c r="F174" t="s" s="406">
        <f>IF(B174="","",C174/B174)</f>
      </c>
      <c r="G174" s="404"/>
    </row>
    <row r="175" ht="20.05" customHeight="1">
      <c r="A175" s="400">
        <v>44976</v>
      </c>
      <c r="B175" t="s" s="405">
        <f>IF(OR(WEEKDAY($A175)=7,WEEKDAY($A175)=1),"",IF(B174="",IF(B173="",B172,B173),B174)+IF(A$2=TRUE,IF(C174="",IF(C173="",C172,C173),C174)*2,IF(C174="",IF(C173="",C172,C173),C174)))</f>
      </c>
      <c r="C175" t="s" s="406">
        <f>IF(B175="","",B175*F$6)</f>
      </c>
      <c r="D175" t="s" s="406">
        <f>IF(C175="","",(D$3*$C175)/$C$3)</f>
      </c>
      <c r="E175" t="s" s="406">
        <f>IF(C175="","",D175-$C175)</f>
      </c>
      <c r="F175" t="s" s="406">
        <f>IF(B175="","",C175/B175)</f>
      </c>
      <c r="G175" s="404"/>
    </row>
    <row r="176" ht="20.05" customHeight="1">
      <c r="A176" s="400">
        <v>44977</v>
      </c>
      <c r="B176" s="401">
        <f>IF(OR(WEEKDAY($A176)=7,WEEKDAY($A176)=1),"",IF(B175="",IF(B174="",B173,B174),B175)+IF(A$2=TRUE,IF(C175="",IF(C174="",C173,C174),C175)*2,IF(C175="",IF(C174="",C173,C174),C175)))</f>
        <v>1340.570384570990</v>
      </c>
      <c r="C176" s="402">
        <f>IF(B176="","",B176*F$6)</f>
        <v>0.528221118979562</v>
      </c>
      <c r="D176" s="403">
        <f>IF(C176="","",(D$3*$C176)/$C$3)</f>
        <v>0.68181733088142</v>
      </c>
      <c r="E176" s="403">
        <f>IF(C176="","",D176-$C176)</f>
        <v>0.153596211901858</v>
      </c>
      <c r="F176" s="404">
        <f>IF(B176="","",C176/B176)</f>
        <v>0.000394027143266039</v>
      </c>
      <c r="G176" s="404"/>
    </row>
    <row r="177" ht="20.05" customHeight="1">
      <c r="A177" s="400">
        <v>44978</v>
      </c>
      <c r="B177" s="401">
        <f>IF(OR(WEEKDAY($A177)=7,WEEKDAY($A177)=1),"",IF(B176="",IF(B175="",B174,B175),B176)+IF(A$2=TRUE,IF(C176="",IF(C175="",C174,C175),C176)*2,IF(C176="",IF(C175="",C174,C175),C176)))</f>
        <v>1341.626826808950</v>
      </c>
      <c r="C177" s="402">
        <f>IF(B177="","",B177*F$6)</f>
        <v>0.528637385896611</v>
      </c>
      <c r="D177" s="403">
        <f>IF(C177="","",(D$3*$C177)/$C$3)</f>
        <v>0.682354639951654</v>
      </c>
      <c r="E177" s="403">
        <f>IF(C177="","",D177-$C177)</f>
        <v>0.153717254055043</v>
      </c>
      <c r="F177" s="404">
        <f>IF(B177="","",C177/B177)</f>
        <v>0.000394027143266039</v>
      </c>
      <c r="G177" s="404"/>
    </row>
    <row r="178" ht="20.05" customHeight="1">
      <c r="A178" s="400">
        <v>44979</v>
      </c>
      <c r="B178" s="401">
        <f>IF(OR(WEEKDAY($A178)=7,WEEKDAY($A178)=1),"",IF(B177="",IF(B176="",B175,B176),B177)+IF(A$2=TRUE,IF(C177="",IF(C176="",C175,C176),C177)*2,IF(C177="",IF(C176="",C175,C176),C177)))</f>
        <v>1342.684101580740</v>
      </c>
      <c r="C178" s="402">
        <f>IF(B178="","",B178*F$6)</f>
        <v>0.529053980854587</v>
      </c>
      <c r="D178" s="403">
        <f>IF(C178="","",(D$3*$C178)/$C$3)</f>
        <v>0.682892372450602</v>
      </c>
      <c r="E178" s="403">
        <f>IF(C178="","",D178-$C178)</f>
        <v>0.153838391596015</v>
      </c>
      <c r="F178" s="404">
        <f>IF(B178="","",C178/B178)</f>
        <v>0.000394027143266039</v>
      </c>
      <c r="G178" s="404"/>
    </row>
    <row r="179" ht="20.05" customHeight="1">
      <c r="A179" s="400">
        <v>44980</v>
      </c>
      <c r="B179" s="401">
        <f>IF(OR(WEEKDAY($A179)=7,WEEKDAY($A179)=1),"",IF(B178="",IF(B177="",B176,B177),B178)+IF(A$2=TRUE,IF(C178="",IF(C177="",C176,C177),C178)*2,IF(C178="",IF(C177="",C176,C177),C178)))</f>
        <v>1343.742209542450</v>
      </c>
      <c r="C179" s="402">
        <f>IF(B179="","",B179*F$6)</f>
        <v>0.529470904112007</v>
      </c>
      <c r="D179" s="403">
        <f>IF(C179="","",(D$3*$C179)/$C$3)</f>
        <v>0.683430528711952</v>
      </c>
      <c r="E179" s="403">
        <f>IF(C179="","",D179-$C179)</f>
        <v>0.153959624599945</v>
      </c>
      <c r="F179" s="404">
        <f>IF(B179="","",C179/B179)</f>
        <v>0.000394027143266039</v>
      </c>
      <c r="G179" s="404"/>
    </row>
    <row r="180" ht="20.05" customHeight="1">
      <c r="A180" s="400">
        <v>44981</v>
      </c>
      <c r="B180" s="401">
        <f>IF(OR(WEEKDAY($A180)=7,WEEKDAY($A180)=1),"",IF(B179="",IF(B178="",B177,B178),B179)+IF(A$2=TRUE,IF(C179="",IF(C178="",C177,C178),C179)*2,IF(C179="",IF(C178="",C177,C178),C179)))</f>
        <v>1344.801151350670</v>
      </c>
      <c r="C180" s="402">
        <f>IF(B180="","",B180*F$6)</f>
        <v>0.529888155927585</v>
      </c>
      <c r="D180" s="403">
        <f>IF(C180="","",(D$3*$C180)/$C$3)</f>
        <v>0.683969109069649</v>
      </c>
      <c r="E180" s="403">
        <f>IF(C180="","",D180-$C180)</f>
        <v>0.154080953142064</v>
      </c>
      <c r="F180" s="404">
        <f>IF(B180="","",C180/B180)</f>
        <v>0.000394027143266039</v>
      </c>
      <c r="G180" s="404"/>
    </row>
    <row r="181" ht="20.05" customHeight="1">
      <c r="A181" s="400">
        <v>44982</v>
      </c>
      <c r="B181" t="s" s="405">
        <f>IF(OR(WEEKDAY($A181)=7,WEEKDAY($A181)=1),"",IF(B180="",IF(B179="",B178,B179),B180)+IF(A$2=TRUE,IF(C180="",IF(C179="",C178,C179),C180)*2,IF(C180="",IF(C179="",C178,C179),C180)))</f>
      </c>
      <c r="C181" t="s" s="406">
        <f>IF(B181="","",B181*F$6)</f>
      </c>
      <c r="D181" t="s" s="406">
        <f>IF(C181="","",(D$3*$C181)/$C$3)</f>
      </c>
      <c r="E181" t="s" s="406">
        <f>IF(C181="","",D181-$C181)</f>
      </c>
      <c r="F181" t="s" s="406">
        <f>IF(B181="","",C181/B181)</f>
      </c>
      <c r="G181" s="404"/>
    </row>
    <row r="182" ht="20.05" customHeight="1">
      <c r="A182" s="400">
        <v>44983</v>
      </c>
      <c r="B182" t="s" s="405">
        <f>IF(OR(WEEKDAY($A182)=7,WEEKDAY($A182)=1),"",IF(B181="",IF(B180="",B179,B180),B181)+IF(A$2=TRUE,IF(C181="",IF(C180="",C179,C180),C181)*2,IF(C181="",IF(C180="",C179,C180),C181)))</f>
      </c>
      <c r="C182" t="s" s="406">
        <f>IF(B182="","",B182*F$6)</f>
      </c>
      <c r="D182" t="s" s="406">
        <f>IF(C182="","",(D$3*$C182)/$C$3)</f>
      </c>
      <c r="E182" t="s" s="406">
        <f>IF(C182="","",D182-$C182)</f>
      </c>
      <c r="F182" t="s" s="406">
        <f>IF(B182="","",C182/B182)</f>
      </c>
      <c r="G182" s="404"/>
    </row>
    <row r="183" ht="20.05" customHeight="1">
      <c r="A183" s="400">
        <v>44984</v>
      </c>
      <c r="B183" s="401">
        <f>IF(OR(WEEKDAY($A183)=7,WEEKDAY($A183)=1),"",IF(B182="",IF(B181="",B180,B181),B182)+IF(A$2=TRUE,IF(C182="",IF(C181="",C180,C181),C182)*2,IF(C182="",IF(C181="",C180,C181),C182)))-G152</f>
        <v>1224.640927662530</v>
      </c>
      <c r="C183" s="402">
        <f>IF(B183="","",B183*F$6)</f>
        <v>0.482541766253539</v>
      </c>
      <c r="D183" s="403">
        <f>IF(C183="","",(D$3*$C183)/$C$3)</f>
        <v>0.622855329490384</v>
      </c>
      <c r="E183" s="403">
        <f>IF(C183="","",D183-$C183)</f>
        <v>0.140313563236845</v>
      </c>
      <c r="F183" s="404">
        <f>IF(B183="","",C183/B183)</f>
        <v>0.000394027143266039</v>
      </c>
      <c r="G183" s="402">
        <f>G184*B157</f>
        <v>-101.306087282630</v>
      </c>
    </row>
    <row r="184" ht="20.05" customHeight="1">
      <c r="A184" s="400">
        <v>44985</v>
      </c>
      <c r="B184" s="401">
        <f>IF(OR(WEEKDAY($A184)=7,WEEKDAY($A184)=1),"",IF(B183="",IF(B182="",B181,B182),B183)+IF(A$2=TRUE,IF(C183="",IF(C182="",C181,C182),C183)*2,IF(C183="",IF(C182="",C181,C182),C183)))</f>
        <v>1225.606011195040</v>
      </c>
      <c r="C184" s="402">
        <f>IF(B184="","",B184*F$6)</f>
        <v>0.482922035360867</v>
      </c>
      <c r="D184" s="403">
        <f>IF(C184="","",(D$3*$C184)/$C$3)</f>
        <v>0.6233461733026791</v>
      </c>
      <c r="E184" s="403">
        <f>IF(C184="","",D184-$C184)</f>
        <v>0.140424137941812</v>
      </c>
      <c r="F184" s="404">
        <f>IF(B184="","",C184/B184)</f>
        <v>0.000394027143266039</v>
      </c>
      <c r="G184" s="404">
        <f>(B184-B157)/B157</f>
        <v>-0.07634724817028631</v>
      </c>
    </row>
    <row r="185" ht="20.05" customHeight="1">
      <c r="A185" s="400">
        <v>44986</v>
      </c>
      <c r="B185" s="401">
        <f>IF(OR(WEEKDAY($A185)=7,WEEKDAY($A185)=1),"",IF(B184="",IF(B183="",B182,B183),B184)+IF(A$2=TRUE,IF(C184="",IF(C183="",C182,C183),C184)*2,IF(C184="",IF(C183="",C182,C183),C184)))</f>
        <v>1226.571855265760</v>
      </c>
      <c r="C185" s="402">
        <f>IF(B185="","",B185*F$6)</f>
        <v>0.483302604140893</v>
      </c>
      <c r="D185" s="403">
        <f>IF(C185="","",(D$3*$C185)/$C$3)</f>
        <v>0.623837403926543</v>
      </c>
      <c r="E185" s="403">
        <f>IF(C185="","",D185-$C185)</f>
        <v>0.14053479978565</v>
      </c>
      <c r="F185" s="404">
        <f>IF(B185="","",C185/B185)</f>
        <v>0.000394027143266039</v>
      </c>
      <c r="G185" s="404"/>
    </row>
    <row r="186" ht="20.05" customHeight="1">
      <c r="A186" s="400">
        <v>44987</v>
      </c>
      <c r="B186" s="401">
        <f>IF(OR(WEEKDAY($A186)=7,WEEKDAY($A186)=1),"",IF(B185="",IF(B184="",B183,B184),B185)+IF(A$2=TRUE,IF(C185="",IF(C184="",C183,C184),C185)*2,IF(C185="",IF(C184="",C183,C184),C185)))</f>
        <v>1227.538460474040</v>
      </c>
      <c r="C186" s="402">
        <f>IF(B186="","",B186*F$6)</f>
        <v>0.483683472829778</v>
      </c>
      <c r="D186" s="403">
        <f>IF(C186="","",(D$3*$C186)/$C$3)</f>
        <v>0.624329021666806</v>
      </c>
      <c r="E186" s="403">
        <f>IF(C186="","",D186-$C186)</f>
        <v>0.140645548837028</v>
      </c>
      <c r="F186" s="404">
        <f>IF(B186="","",C186/B186)</f>
        <v>0.000394027143266039</v>
      </c>
      <c r="G186" s="404"/>
    </row>
    <row r="187" ht="20.05" customHeight="1">
      <c r="A187" s="400">
        <v>44988</v>
      </c>
      <c r="B187" s="401">
        <f>IF(OR(WEEKDAY($A187)=7,WEEKDAY($A187)=1),"",IF(B186="",IF(B185="",B184,B185),B186)+IF(A$2=TRUE,IF(C186="",IF(C185="",C184,C185),C186)*2,IF(C186="",IF(C185="",C184,C185),C186)))</f>
        <v>1228.5058274197</v>
      </c>
      <c r="C187" s="402">
        <f>IF(B187="","",B187*F$6)</f>
        <v>0.484064641663866</v>
      </c>
      <c r="D187" s="403">
        <f>IF(C187="","",(D$3*$C187)/$C$3)</f>
        <v>0.624821026828536</v>
      </c>
      <c r="E187" s="403">
        <f>IF(C187="","",D187-$C187)</f>
        <v>0.14075638516467</v>
      </c>
      <c r="F187" s="404">
        <f>IF(B187="","",C187/B187)</f>
        <v>0.000394027143266039</v>
      </c>
      <c r="G187" s="404"/>
    </row>
    <row r="188" ht="20.05" customHeight="1">
      <c r="A188" s="400">
        <v>44989</v>
      </c>
      <c r="B188" t="s" s="405">
        <f>IF(OR(WEEKDAY($A188)=7,WEEKDAY($A188)=1),"",IF(B187="",IF(B186="",B185,B186),B187)+IF(A$2=TRUE,IF(C187="",IF(C186="",C185,C186),C187)*2,IF(C187="",IF(C186="",C185,C186),C187)))</f>
      </c>
      <c r="C188" t="s" s="406">
        <f>IF(B188="","",B188*F$6)</f>
      </c>
      <c r="D188" t="s" s="406">
        <f>IF(C188="","",(D$3*$C188)/$C$3)</f>
      </c>
      <c r="E188" t="s" s="406">
        <f>IF(C188="","",D188-$C188)</f>
      </c>
      <c r="F188" t="s" s="406">
        <f>IF(B188="","",C188/B188)</f>
      </c>
      <c r="G188" s="404"/>
    </row>
    <row r="189" ht="20.05" customHeight="1">
      <c r="A189" s="400">
        <v>44990</v>
      </c>
      <c r="B189" t="s" s="405">
        <f>IF(OR(WEEKDAY($A189)=7,WEEKDAY($A189)=1),"",IF(B188="",IF(B187="",B186,B187),B188)+IF(A$2=TRUE,IF(C188="",IF(C187="",C186,C187),C188)*2,IF(C188="",IF(C187="",C186,C187),C188)))</f>
      </c>
      <c r="C189" t="s" s="406">
        <f>IF(B189="","",B189*F$6)</f>
      </c>
      <c r="D189" t="s" s="406">
        <f>IF(C189="","",(D$3*$C189)/$C$3)</f>
      </c>
      <c r="E189" t="s" s="406">
        <f>IF(C189="","",D189-$C189)</f>
      </c>
      <c r="F189" t="s" s="406">
        <f>IF(B189="","",C189/B189)</f>
      </c>
      <c r="G189" s="404"/>
    </row>
    <row r="190" ht="20.05" customHeight="1">
      <c r="A190" s="400">
        <v>44991</v>
      </c>
      <c r="B190" s="401">
        <f>IF(OR(WEEKDAY($A190)=7,WEEKDAY($A190)=1),"",IF(B189="",IF(B188="",B187,B188),B189)+IF(A$2=TRUE,IF(C189="",IF(C188="",C187,C188),C189)*2,IF(C189="",IF(C188="",C187,C188),C189)))</f>
        <v>1229.473956703030</v>
      </c>
      <c r="C190" s="402">
        <f>IF(B190="","",B190*F$6)</f>
        <v>0.484446110879689</v>
      </c>
      <c r="D190" s="403">
        <f>IF(C190="","",(D$3*$C190)/$C$3)</f>
        <v>0.625313419717045</v>
      </c>
      <c r="E190" s="403">
        <f>IF(C190="","",D190-$C190)</f>
        <v>0.140867308837356</v>
      </c>
      <c r="F190" s="404">
        <f>IF(B190="","",C190/B190)</f>
        <v>0.000394027143266039</v>
      </c>
      <c r="G190" s="404"/>
    </row>
    <row r="191" ht="20.05" customHeight="1">
      <c r="A191" s="400">
        <v>44992</v>
      </c>
      <c r="B191" s="401">
        <f>IF(OR(WEEKDAY($A191)=7,WEEKDAY($A191)=1),"",IF(B190="",IF(B189="",B188,B189),B190)+IF(A$2=TRUE,IF(C190="",IF(C189="",C188,C189),C190)*2,IF(C190="",IF(C189="",C188,C189),C190)))</f>
        <v>1230.442848924790</v>
      </c>
      <c r="C191" s="402">
        <f>IF(B191="","",B191*F$6)</f>
        <v>0.484827880713961</v>
      </c>
      <c r="D191" s="403">
        <f>IF(C191="","",(D$3*$C191)/$C$3)</f>
        <v>0.625806200637879</v>
      </c>
      <c r="E191" s="403">
        <f>IF(C191="","",D191-$C191)</f>
        <v>0.140978319923918</v>
      </c>
      <c r="F191" s="404">
        <f>IF(B191="","",C191/B191)</f>
        <v>0.000394027143266039</v>
      </c>
      <c r="G191" s="404"/>
    </row>
    <row r="192" ht="20.05" customHeight="1">
      <c r="A192" s="400">
        <v>44993</v>
      </c>
      <c r="B192" s="401">
        <f>IF(OR(WEEKDAY($A192)=7,WEEKDAY($A192)=1),"",IF(B191="",IF(B190="",B189,B190),B191)+IF(A$2=TRUE,IF(C191="",IF(C190="",C189,C190),C191)*2,IF(C191="",IF(C190="",C189,C190),C191)))</f>
        <v>1231.412504686220</v>
      </c>
      <c r="C192" s="402">
        <f>IF(B192="","",B192*F$6)</f>
        <v>0.485209951403589</v>
      </c>
      <c r="D192" s="403">
        <f>IF(C192="","",(D$3*$C192)/$C$3)</f>
        <v>0.626299369896831</v>
      </c>
      <c r="E192" s="403">
        <f>IF(C192="","",D192-$C192)</f>
        <v>0.141089418493242</v>
      </c>
      <c r="F192" s="404">
        <f>IF(B192="","",C192/B192)</f>
        <v>0.000394027143266039</v>
      </c>
      <c r="G192" s="404"/>
    </row>
    <row r="193" ht="20.05" customHeight="1">
      <c r="A193" s="400">
        <v>44994</v>
      </c>
      <c r="B193" s="401">
        <f>IF(OR(WEEKDAY($A193)=7,WEEKDAY($A193)=1),"",IF(B192="",IF(B191="",B190,B191),B192)+IF(A$2=TRUE,IF(C192="",IF(C191="",C190,C191),C192)*2,IF(C192="",IF(C191="",C190,C191),C192)))</f>
        <v>1232.382924589030</v>
      </c>
      <c r="C193" s="402">
        <f>IF(B193="","",B193*F$6)</f>
        <v>0.485592323185662</v>
      </c>
      <c r="D193" s="403">
        <f>IF(C193="","",(D$3*$C193)/$C$3)</f>
        <v>0.626792927799933</v>
      </c>
      <c r="E193" s="403">
        <f>IF(C193="","",D193-$C193)</f>
        <v>0.141200604614271</v>
      </c>
      <c r="F193" s="404">
        <f>IF(B193="","",C193/B193)</f>
        <v>0.000394027143266039</v>
      </c>
      <c r="G193" s="404"/>
    </row>
    <row r="194" ht="20.05" customHeight="1">
      <c r="A194" s="400">
        <v>44995</v>
      </c>
      <c r="B194" s="401">
        <f>IF(OR(WEEKDAY($A194)=7,WEEKDAY($A194)=1),"",IF(B193="",IF(B192="",B191,B192),B193)+IF(A$2=TRUE,IF(C193="",IF(C192="",C191,C192),C193)*2,IF(C193="",IF(C192="",C191,C192),C193)))</f>
        <v>1233.3541092354</v>
      </c>
      <c r="C194" s="402">
        <f>IF(B194="","",B194*F$6)</f>
        <v>0.485974996297455</v>
      </c>
      <c r="D194" s="403">
        <f>IF(C194="","",(D$3*$C194)/$C$3)</f>
        <v>0.627286874653453</v>
      </c>
      <c r="E194" s="403">
        <f>IF(C194="","",D194-$C194)</f>
        <v>0.141311878355998</v>
      </c>
      <c r="F194" s="404">
        <f>IF(B194="","",C194/B194)</f>
        <v>0.000394027143266039</v>
      </c>
      <c r="G194" s="404"/>
    </row>
    <row r="195" ht="20.05" customHeight="1">
      <c r="A195" s="400">
        <v>44996</v>
      </c>
      <c r="B195" t="s" s="405">
        <f>IF(OR(WEEKDAY($A195)=7,WEEKDAY($A195)=1),"",IF(B194="",IF(B193="",B192,B193),B194)+IF(A$2=TRUE,IF(C194="",IF(C193="",C192,C193),C194)*2,IF(C194="",IF(C193="",C192,C193),C194)))</f>
      </c>
      <c r="C195" t="s" s="406">
        <f>IF(B195="","",B195*F$6)</f>
      </c>
      <c r="D195" t="s" s="406">
        <f>IF(C195="","",(D$3*$C195)/$C$3)</f>
      </c>
      <c r="E195" t="s" s="406">
        <f>IF(C195="","",D195-$C195)</f>
      </c>
      <c r="F195" t="s" s="406">
        <f>IF(B195="","",C195/B195)</f>
      </c>
      <c r="G195" s="404"/>
    </row>
    <row r="196" ht="20.05" customHeight="1">
      <c r="A196" s="400">
        <v>44997</v>
      </c>
      <c r="B196" t="s" s="405">
        <f>IF(OR(WEEKDAY($A196)=7,WEEKDAY($A196)=1),"",IF(B195="",IF(B194="",B193,B194),B195)+IF(A$2=TRUE,IF(C195="",IF(C194="",C193,C194),C195)*2,IF(C195="",IF(C194="",C193,C194),C195)))</f>
      </c>
      <c r="C196" t="s" s="406">
        <f>IF(B196="","",B196*F$6)</f>
      </c>
      <c r="D196" t="s" s="406">
        <f>IF(C196="","",(D$3*$C196)/$C$3)</f>
      </c>
      <c r="E196" t="s" s="406">
        <f>IF(C196="","",D196-$C196)</f>
      </c>
      <c r="F196" t="s" s="406">
        <f>IF(B196="","",C196/B196)</f>
      </c>
      <c r="G196" s="404"/>
    </row>
    <row r="197" ht="20.05" customHeight="1">
      <c r="A197" s="400">
        <v>44998</v>
      </c>
      <c r="B197" s="401">
        <f>IF(OR(WEEKDAY($A197)=7,WEEKDAY($A197)=1),"",IF(B196="",IF(B195="",B194,B195),B196)+IF(A$2=TRUE,IF(C196="",IF(C195="",C194,C195),C196)*2,IF(C196="",IF(C195="",C194,C195),C196)))</f>
        <v>1234.326059227990</v>
      </c>
      <c r="C197" s="402">
        <f>IF(B197="","",B197*F$6)</f>
        <v>0.486357970976433</v>
      </c>
      <c r="D197" s="403">
        <f>IF(C197="","",(D$3*$C197)/$C$3)</f>
        <v>0.627781210763906</v>
      </c>
      <c r="E197" s="403">
        <f>IF(C197="","",D197-$C197)</f>
        <v>0.141423239787473</v>
      </c>
      <c r="F197" s="404">
        <f>IF(B197="","",C197/B197)</f>
        <v>0.000394027143266039</v>
      </c>
      <c r="G197" s="404"/>
    </row>
    <row r="198" ht="20.05" customHeight="1">
      <c r="A198" s="400">
        <v>44999</v>
      </c>
      <c r="B198" s="401">
        <f>IF(OR(WEEKDAY($A198)=7,WEEKDAY($A198)=1),"",IF(B197="",IF(B196="",B195,B196),B197)+IF(A$2=TRUE,IF(C197="",IF(C196="",C195,C196),C197)*2,IF(C197="",IF(C196="",C195,C196),C197)))</f>
        <v>1235.298775169940</v>
      </c>
      <c r="C198" s="402">
        <f>IF(B198="","",B198*F$6)</f>
        <v>0.486741247460248</v>
      </c>
      <c r="D198" s="403">
        <f>IF(C198="","",(D$3*$C198)/$C$3)</f>
        <v>0.628275936438051</v>
      </c>
      <c r="E198" s="403">
        <f>IF(C198="","",D198-$C198)</f>
        <v>0.141534688977803</v>
      </c>
      <c r="F198" s="404">
        <f>IF(B198="","",C198/B198)</f>
        <v>0.000394027143266039</v>
      </c>
      <c r="G198" s="404"/>
    </row>
    <row r="199" ht="20.05" customHeight="1">
      <c r="A199" s="400">
        <v>45000</v>
      </c>
      <c r="B199" s="401">
        <f>IF(OR(WEEKDAY($A199)=7,WEEKDAY($A199)=1),"",IF(B198="",IF(B197="",B196,B197),B198)+IF(A$2=TRUE,IF(C198="",IF(C197="",C196,C197),C198)*2,IF(C198="",IF(C197="",C196,C197),C198)))</f>
        <v>1236.272257664860</v>
      </c>
      <c r="C199" s="402">
        <f>IF(B199="","",B199*F$6)</f>
        <v>0.487124825986741</v>
      </c>
      <c r="D199" s="403">
        <f>IF(C199="","",(D$3*$C199)/$C$3)</f>
        <v>0.628771051982886</v>
      </c>
      <c r="E199" s="403">
        <f>IF(C199="","",D199-$C199)</f>
        <v>0.141646225996145</v>
      </c>
      <c r="F199" s="404">
        <f>IF(B199="","",C199/B199)</f>
        <v>0.000394027143266039</v>
      </c>
      <c r="G199" s="404"/>
    </row>
    <row r="200" ht="20.05" customHeight="1">
      <c r="A200" s="400">
        <v>45001</v>
      </c>
      <c r="B200" s="401">
        <f>IF(OR(WEEKDAY($A200)=7,WEEKDAY($A200)=1),"",IF(B199="",IF(B198="",B197,B198),B199)+IF(A$2=TRUE,IF(C199="",IF(C198="",C197,C198),C199)*2,IF(C199="",IF(C198="",C197,C198),C199)))</f>
        <v>1237.246507316830</v>
      </c>
      <c r="C200" s="402">
        <f>IF(B200="","",B200*F$6)</f>
        <v>0.487508706793935</v>
      </c>
      <c r="D200" s="403">
        <f>IF(C200="","",(D$3*$C200)/$C$3)</f>
        <v>0.629266557705647</v>
      </c>
      <c r="E200" s="403">
        <f>IF(C200="","",D200-$C200)</f>
        <v>0.141757850911712</v>
      </c>
      <c r="F200" s="404">
        <f>IF(B200="","",C200/B200)</f>
        <v>0.000394027143266039</v>
      </c>
      <c r="G200" s="404"/>
    </row>
    <row r="201" ht="20.05" customHeight="1">
      <c r="A201" s="400">
        <v>45002</v>
      </c>
      <c r="B201" s="401">
        <f>IF(OR(WEEKDAY($A201)=7,WEEKDAY($A201)=1),"",IF(B200="",IF(B199="",B198,B199),B200)+IF(A$2=TRUE,IF(C200="",IF(C199="",C198,C199),C200)*2,IF(C200="",IF(C199="",C198,C199),C200)))</f>
        <v>1238.221524730420</v>
      </c>
      <c r="C201" s="402">
        <f>IF(B201="","",B201*F$6)</f>
        <v>0.487892890120046</v>
      </c>
      <c r="D201" s="403">
        <f>IF(C201="","",(D$3*$C201)/$C$3)</f>
        <v>0.629762453913818</v>
      </c>
      <c r="E201" s="403">
        <f>IF(C201="","",D201-$C201)</f>
        <v>0.141869563793772</v>
      </c>
      <c r="F201" s="404">
        <f>IF(B201="","",C201/B201)</f>
        <v>0.000394027143266039</v>
      </c>
      <c r="G201" s="404"/>
    </row>
    <row r="202" ht="20.05" customHeight="1">
      <c r="A202" s="400">
        <v>45003</v>
      </c>
      <c r="B202" t="s" s="405">
        <f>IF(OR(WEEKDAY($A202)=7,WEEKDAY($A202)=1),"",IF(B201="",IF(B200="",B199,B200),B201)+IF(A$2=TRUE,IF(C201="",IF(C200="",C199,C200),C201)*2,IF(C201="",IF(C200="",C199,C200),C201)))</f>
      </c>
      <c r="C202" t="s" s="406">
        <f>IF(B202="","",B202*F$6)</f>
      </c>
      <c r="D202" t="s" s="406">
        <f>IF(C202="","",(D$3*$C202)/$C$3)</f>
      </c>
      <c r="E202" t="s" s="406">
        <f>IF(C202="","",D202-$C202)</f>
      </c>
      <c r="F202" t="s" s="406">
        <f>IF(B202="","",C202/B202)</f>
      </c>
      <c r="G202" s="404"/>
    </row>
    <row r="203" ht="20.05" customHeight="1">
      <c r="A203" s="400">
        <v>45004</v>
      </c>
      <c r="B203" t="s" s="405">
        <f>IF(OR(WEEKDAY($A203)=7,WEEKDAY($A203)=1),"",IF(B202="",IF(B201="",B200,B201),B202)+IF(A$2=TRUE,IF(C202="",IF(C201="",C200,C201),C202)*2,IF(C202="",IF(C201="",C200,C201),C202)))</f>
      </c>
      <c r="C203" t="s" s="406">
        <f>IF(B203="","",B203*F$6)</f>
      </c>
      <c r="D203" t="s" s="406">
        <f>IF(C203="","",(D$3*$C203)/$C$3)</f>
      </c>
      <c r="E203" t="s" s="406">
        <f>IF(C203="","",D203-$C203)</f>
      </c>
      <c r="F203" t="s" s="406">
        <f>IF(B203="","",C203/B203)</f>
      </c>
      <c r="G203" s="404"/>
    </row>
    <row r="204" ht="20.05" customHeight="1">
      <c r="A204" s="400">
        <v>45005</v>
      </c>
      <c r="B204" s="401">
        <f>IF(OR(WEEKDAY($A204)=7,WEEKDAY($A204)=1),"",IF(B203="",IF(B202="",B201,B202),B203)+IF(A$2=TRUE,IF(C203="",IF(C202="",C201,C202),C203)*2,IF(C203="",IF(C202="",C201,C202),C203)))</f>
        <v>1239.197310510660</v>
      </c>
      <c r="C204" s="402">
        <f>IF(B204="","",B204*F$6)</f>
        <v>0.488277376203474</v>
      </c>
      <c r="D204" s="403">
        <f>IF(C204="","",(D$3*$C204)/$C$3)</f>
        <v>0.630258740915122</v>
      </c>
      <c r="E204" s="403">
        <f>IF(C204="","",D204-$C204)</f>
        <v>0.141981364711648</v>
      </c>
      <c r="F204" s="404">
        <f>IF(B204="","",C204/B204)</f>
        <v>0.000394027143266039</v>
      </c>
      <c r="G204" s="404"/>
    </row>
    <row r="205" ht="20.05" customHeight="1">
      <c r="A205" s="400">
        <v>45006</v>
      </c>
      <c r="B205" s="401">
        <f>IF(OR(WEEKDAY($A205)=7,WEEKDAY($A205)=1),"",IF(B204="",IF(B203="",B202,B203),B204)+IF(A$2=TRUE,IF(C204="",IF(C203="",C202,C203),C204)*2,IF(C204="",IF(C203="",C202,C203),C204)))</f>
        <v>1240.173865263070</v>
      </c>
      <c r="C205" s="402">
        <f>IF(B205="","",B205*F$6)</f>
        <v>0.488662165282809</v>
      </c>
      <c r="D205" s="403">
        <f>IF(C205="","",(D$3*$C205)/$C$3)</f>
        <v>0.630755419017527</v>
      </c>
      <c r="E205" s="403">
        <f>IF(C205="","",D205-$C205)</f>
        <v>0.142093253734718</v>
      </c>
      <c r="F205" s="404">
        <f>IF(B205="","",C205/B205)</f>
        <v>0.000394027143266039</v>
      </c>
      <c r="G205" s="404"/>
    </row>
    <row r="206" ht="20.05" customHeight="1">
      <c r="A206" s="400">
        <v>45007</v>
      </c>
      <c r="B206" s="401">
        <f>IF(OR(WEEKDAY($A206)=7,WEEKDAY($A206)=1),"",IF(B205="",IF(B204="",B203,B204),B205)+IF(A$2=TRUE,IF(C205="",IF(C204="",C203,C204),C205)*2,IF(C205="",IF(C204="",C203,C204),C205)))</f>
        <v>1241.151189593640</v>
      </c>
      <c r="C206" s="402">
        <f>IF(B206="","",B206*F$6)</f>
        <v>0.489047257596828</v>
      </c>
      <c r="D206" s="403">
        <f>IF(C206="","",(D$3*$C206)/$C$3)</f>
        <v>0.631252488529239</v>
      </c>
      <c r="E206" s="403">
        <f>IF(C206="","",D206-$C206)</f>
        <v>0.142205230932411</v>
      </c>
      <c r="F206" s="404">
        <f>IF(B206="","",C206/B206)</f>
        <v>0.000394027143266039</v>
      </c>
      <c r="G206" s="404"/>
    </row>
    <row r="207" ht="20.05" customHeight="1">
      <c r="A207" s="400">
        <v>45008</v>
      </c>
      <c r="B207" s="401">
        <f>IF(OR(WEEKDAY($A207)=7,WEEKDAY($A207)=1),"",IF(B206="",IF(B205="",B204,B205),B206)+IF(A$2=TRUE,IF(C206="",IF(C205="",C204,C205),C206)*2,IF(C206="",IF(C205="",C204,C205),C206)))</f>
        <v>1242.129284108830</v>
      </c>
      <c r="C207" s="402">
        <f>IF(B207="","",B207*F$6)</f>
        <v>0.489432653384492</v>
      </c>
      <c r="D207" s="403">
        <f>IF(C207="","",(D$3*$C207)/$C$3)</f>
        <v>0.631749949758706</v>
      </c>
      <c r="E207" s="403">
        <f>IF(C207="","",D207-$C207)</f>
        <v>0.142317296374214</v>
      </c>
      <c r="F207" s="404">
        <f>IF(B207="","",C207/B207)</f>
        <v>0.000394027143266039</v>
      </c>
      <c r="G207" s="404"/>
    </row>
    <row r="208" ht="20.05" customHeight="1">
      <c r="A208" s="400">
        <v>45009</v>
      </c>
      <c r="B208" s="401">
        <f>IF(OR(WEEKDAY($A208)=7,WEEKDAY($A208)=1),"",IF(B207="",IF(B206="",B205,B206),B207)+IF(A$2=TRUE,IF(C207="",IF(C206="",C205,C206),C207)*2,IF(C207="",IF(C206="",C205,C206),C207)))</f>
        <v>1243.1081494156</v>
      </c>
      <c r="C208" s="402">
        <f>IF(B208="","",B208*F$6)</f>
        <v>0.489818352884961</v>
      </c>
      <c r="D208" s="403">
        <f>IF(C208="","",(D$3*$C208)/$C$3)</f>
        <v>0.632247803014631</v>
      </c>
      <c r="E208" s="403">
        <f>IF(C208="","",D208-$C208)</f>
        <v>0.14242945012967</v>
      </c>
      <c r="F208" s="404">
        <f>IF(B208="","",C208/B208)</f>
        <v>0.000394027143266039</v>
      </c>
      <c r="G208" s="404"/>
    </row>
    <row r="209" ht="20.05" customHeight="1">
      <c r="A209" s="400">
        <v>45010</v>
      </c>
      <c r="B209" t="s" s="405">
        <f>IF(OR(WEEKDAY($A209)=7,WEEKDAY($A209)=1),"",IF(B208="",IF(B207="",B206,B207),B208)+IF(A$2=TRUE,IF(C208="",IF(C207="",C206,C207),C208)*2,IF(C208="",IF(C207="",C206,C207),C208)))</f>
      </c>
      <c r="C209" t="s" s="406">
        <f>IF(B209="","",B209*F$6)</f>
      </c>
      <c r="D209" t="s" s="406">
        <f>IF(C209="","",(D$3*$C209)/$C$3)</f>
      </c>
      <c r="E209" t="s" s="406">
        <f>IF(C209="","",D209-$C209)</f>
      </c>
      <c r="F209" t="s" s="406">
        <f>IF(B209="","",C209/B209)</f>
      </c>
      <c r="G209" s="404"/>
    </row>
    <row r="210" ht="20.05" customHeight="1">
      <c r="A210" s="400">
        <v>45011</v>
      </c>
      <c r="B210" t="s" s="405">
        <f>IF(OR(WEEKDAY($A210)=7,WEEKDAY($A210)=1),"",IF(B209="",IF(B208="",B207,B208),B209)+IF(A$2=TRUE,IF(C209="",IF(C208="",C207,C208),C209)*2,IF(C209="",IF(C208="",C207,C208),C209)))</f>
      </c>
      <c r="C210" t="s" s="406">
        <f>IF(B210="","",B210*F$6)</f>
      </c>
      <c r="D210" t="s" s="406">
        <f>IF(C210="","",(D$3*$C210)/$C$3)</f>
      </c>
      <c r="E210" t="s" s="406">
        <f>IF(C210="","",D210-$C210)</f>
      </c>
      <c r="F210" t="s" s="406">
        <f>IF(B210="","",C210/B210)</f>
      </c>
      <c r="G210" s="404"/>
    </row>
    <row r="211" ht="20.05" customHeight="1">
      <c r="A211" s="400">
        <v>45012</v>
      </c>
      <c r="B211" s="401">
        <f>IF(OR(WEEKDAY($A211)=7,WEEKDAY($A211)=1),"",IF(B210="",IF(B209="",B208,B209),B210)+IF(A$2=TRUE,IF(C210="",IF(C209="",C208,C209),C210)*2,IF(C210="",IF(C209="",C208,C209),C210)))-G152</f>
        <v>1122.867786121370</v>
      </c>
      <c r="C211" s="402">
        <f>IF(B211="","",B211*F$6)</f>
        <v>0.442440386030865</v>
      </c>
      <c r="D211" s="403">
        <f>IF(C211="","",(D$3*$C211)/$C$3)</f>
        <v>0.571093264238421</v>
      </c>
      <c r="E211" s="403">
        <f>IF(C211="","",D211-$C211)</f>
        <v>0.128652878207556</v>
      </c>
      <c r="F211" s="404">
        <f>IF(B211="","",C211/B211)</f>
        <v>0.000394027143266039</v>
      </c>
      <c r="G211" s="404"/>
    </row>
    <row r="212" ht="20.05" customHeight="1">
      <c r="A212" s="400">
        <v>45013</v>
      </c>
      <c r="B212" s="401">
        <f>IF(OR(WEEKDAY($A212)=7,WEEKDAY($A212)=1),"",IF(B211="",IF(B210="",B209,B210),B211)+IF(A$2=TRUE,IF(C211="",IF(C210="",C209,C210),C211)*2,IF(C211="",IF(C210="",C209,C210),C211)))</f>
        <v>1123.752666893430</v>
      </c>
      <c r="C212" s="402">
        <f>IF(B212="","",B212*F$6)</f>
        <v>0.442789053073611</v>
      </c>
      <c r="D212" s="403">
        <f>IF(C212="","",(D$3*$C212)/$C$3)</f>
        <v>0.571543316733313</v>
      </c>
      <c r="E212" s="403">
        <f>IF(C212="","",D212-$C212)</f>
        <v>0.128754263659702</v>
      </c>
      <c r="F212" s="404">
        <f>IF(B212="","",C212/B212)</f>
        <v>0.000394027143266039</v>
      </c>
      <c r="G212" s="404"/>
    </row>
    <row r="213" ht="20.05" customHeight="1">
      <c r="A213" s="400">
        <v>45014</v>
      </c>
      <c r="B213" s="401">
        <f>IF(OR(WEEKDAY($A213)=7,WEEKDAY($A213)=1),"",IF(B212="",IF(B211="",B210,B211),B212)+IF(A$2=TRUE,IF(C212="",IF(C211="",C210,C211),C212)*2,IF(C212="",IF(C211="",C210,C211),C212)))</f>
        <v>1124.638244999580</v>
      </c>
      <c r="C213" s="402">
        <f>IF(B213="","",B213*F$6)</f>
        <v>0.443137994884916</v>
      </c>
      <c r="D213" s="403">
        <f>IF(C213="","",(D$3*$C213)/$C$3)</f>
        <v>0.571993723894005</v>
      </c>
      <c r="E213" s="403">
        <f>IF(C213="","",D213-$C213)</f>
        <v>0.128855729009089</v>
      </c>
      <c r="F213" s="404">
        <f>IF(B213="","",C213/B213)</f>
        <v>0.000394027143266039</v>
      </c>
      <c r="G213" s="404"/>
    </row>
    <row r="214" ht="20.05" customHeight="1">
      <c r="A214" s="400">
        <v>45015</v>
      </c>
      <c r="B214" s="401">
        <f>IF(OR(WEEKDAY($A214)=7,WEEKDAY($A214)=1),"",IF(B213="",IF(B212="",B211,B212),B213)+IF(A$2=TRUE,IF(C213="",IF(C212="",C211,C212),C213)*2,IF(C213="",IF(C212="",C211,C212),C213)))</f>
        <v>1125.524520989350</v>
      </c>
      <c r="C214" s="402">
        <f>IF(B214="","",B214*F$6)</f>
        <v>0.443487211681311</v>
      </c>
      <c r="D214" s="403">
        <f>IF(C214="","",(D$3*$C214)/$C$3)</f>
        <v>0.57244448599999</v>
      </c>
      <c r="E214" s="403">
        <f>IF(C214="","",D214-$C214)</f>
        <v>0.128957274318679</v>
      </c>
      <c r="F214" s="404">
        <f>IF(B214="","",C214/B214)</f>
        <v>0.000394027143266039</v>
      </c>
      <c r="G214" s="402">
        <f>G215*B185</f>
        <v>-100.160359853050</v>
      </c>
    </row>
    <row r="215" ht="20.05" customHeight="1">
      <c r="A215" s="400">
        <v>45016</v>
      </c>
      <c r="B215" s="401">
        <f>IF(OR(WEEKDAY($A215)=7,WEEKDAY($A215)=1),"",IF(B214="",IF(B213="",B212,B213),B214)+IF(A$2=TRUE,IF(C214="",IF(C213="",C212,C213),C214)*2,IF(C214="",IF(C213="",C212,C213),C214)))</f>
        <v>1126.411495412710</v>
      </c>
      <c r="C215" s="402">
        <f>IF(B215="","",B215*F$6)</f>
        <v>0.443836703679497</v>
      </c>
      <c r="D215" s="403">
        <f>IF(C215="","",(D$3*$C215)/$C$3)</f>
        <v>0.572895603330982</v>
      </c>
      <c r="E215" s="403">
        <f>IF(C215="","",D215-$C215)</f>
        <v>0.129058899651485</v>
      </c>
      <c r="F215" s="404">
        <f>IF(B215="","",C215/B215)</f>
        <v>0.000394027143266039</v>
      </c>
      <c r="G215" s="404">
        <f>(B215-B185)/B185</f>
        <v>-0.0816587788339138</v>
      </c>
    </row>
    <row r="216" ht="20.05" customHeight="1">
      <c r="A216" s="400">
        <v>45017</v>
      </c>
      <c r="B216" t="s" s="405">
        <f>IF(OR(WEEKDAY($A216)=7,WEEKDAY($A216)=1),"",IF(B215="",IF(B214="",B213,B214),B215)+IF(A$2=TRUE,IF(C215="",IF(C214="",C213,C214),C215)*2,IF(C215="",IF(C214="",C213,C214),C215)))</f>
      </c>
      <c r="C216" t="s" s="406">
        <f>IF(B216="","",B216*F$6)</f>
      </c>
      <c r="D216" t="s" s="406">
        <f>IF(C216="","",(D$3*$C216)/$C$3)</f>
      </c>
      <c r="E216" t="s" s="406">
        <f>IF(C216="","",D216-$C216)</f>
      </c>
      <c r="F216" t="s" s="406">
        <f>IF(B216="","",C216/B216)</f>
      </c>
      <c r="G216" s="404"/>
    </row>
    <row r="217" ht="20.05" customHeight="1">
      <c r="A217" s="400">
        <v>45018</v>
      </c>
      <c r="B217" t="s" s="405">
        <f>IF(OR(WEEKDAY($A217)=7,WEEKDAY($A217)=1),"",IF(B216="",IF(B215="",B214,B215),B216)+IF(A$2=TRUE,IF(C216="",IF(C215="",C214,C215),C216)*2,IF(C216="",IF(C215="",C214,C215),C216)))</f>
      </c>
      <c r="C217" t="s" s="406">
        <f>IF(B217="","",B217*F$6)</f>
      </c>
      <c r="D217" t="s" s="406">
        <f>IF(C217="","",(D$3*$C217)/$C$3)</f>
      </c>
      <c r="E217" t="s" s="406">
        <f>IF(C217="","",D217-$C217)</f>
      </c>
      <c r="F217" t="s" s="406">
        <f>IF(B217="","",C217/B217)</f>
      </c>
      <c r="G217" s="404"/>
    </row>
    <row r="218" ht="20.05" customHeight="1">
      <c r="A218" s="400">
        <v>45019</v>
      </c>
      <c r="B218" s="401">
        <f>IF(OR(WEEKDAY($A218)=7,WEEKDAY($A218)=1),"",IF(B217="",IF(B216="",B215,B216),B217)+IF(A$2=TRUE,IF(C217="",IF(C216="",C215,C216),C217)*2,IF(C217="",IF(C216="",C215,C216),C217)))</f>
        <v>1127.299168820070</v>
      </c>
      <c r="C218" s="402">
        <f>IF(B218="","",B218*F$6)</f>
        <v>0.444186471096352</v>
      </c>
      <c r="D218" s="403">
        <f>IF(C218="","",(D$3*$C218)/$C$3)</f>
        <v>0.573347076166922</v>
      </c>
      <c r="E218" s="403">
        <f>IF(C218="","",D218-$C218)</f>
        <v>0.12916060507057</v>
      </c>
      <c r="F218" s="404">
        <f>IF(B218="","",C218/B218)</f>
        <v>0.000394027143266039</v>
      </c>
      <c r="G218" s="404"/>
    </row>
    <row r="219" ht="20.05" customHeight="1">
      <c r="A219" s="400">
        <v>45020</v>
      </c>
      <c r="B219" s="401">
        <f>IF(OR(WEEKDAY($A219)=7,WEEKDAY($A219)=1),"",IF(B218="",IF(B217="",B216,B217),B218)+IF(A$2=TRUE,IF(C218="",IF(C217="",C216,C217),C218)*2,IF(C218="",IF(C217="",C216,C217),C218)))</f>
        <v>1128.187541762260</v>
      </c>
      <c r="C219" s="402">
        <f>IF(B219="","",B219*F$6)</f>
        <v>0.444536514148918</v>
      </c>
      <c r="D219" s="403">
        <f>IF(C219="","",(D$3*$C219)/$C$3)</f>
        <v>0.573798904787965</v>
      </c>
      <c r="E219" s="403">
        <f>IF(C219="","",D219-$C219)</f>
        <v>0.129262390639047</v>
      </c>
      <c r="F219" s="404">
        <f>IF(B219="","",C219/B219)</f>
        <v>0.000394027143266039</v>
      </c>
      <c r="G219" s="404"/>
    </row>
    <row r="220" ht="20.05" customHeight="1">
      <c r="A220" s="400">
        <v>45021</v>
      </c>
      <c r="B220" s="401">
        <f>IF(OR(WEEKDAY($A220)=7,WEEKDAY($A220)=1),"",IF(B219="",IF(B218="",B217,B218),B219)+IF(A$2=TRUE,IF(C219="",IF(C218="",C217,C218),C219)*2,IF(C219="",IF(C218="",C217,C218),C219)))</f>
        <v>1129.076614790560</v>
      </c>
      <c r="C220" s="402">
        <f>IF(B220="","",B220*F$6)</f>
        <v>0.444886833054414</v>
      </c>
      <c r="D220" s="403">
        <f>IF(C220="","",(D$3*$C220)/$C$3)</f>
        <v>0.574251089474492</v>
      </c>
      <c r="E220" s="403">
        <f>IF(C220="","",D220-$C220)</f>
        <v>0.129364256420078</v>
      </c>
      <c r="F220" s="404">
        <f>IF(B220="","",C220/B220)</f>
        <v>0.000394027143266039</v>
      </c>
      <c r="G220" s="404"/>
    </row>
    <row r="221" ht="20.05" customHeight="1">
      <c r="A221" s="400">
        <v>45022</v>
      </c>
      <c r="B221" s="401">
        <f>IF(OR(WEEKDAY($A221)=7,WEEKDAY($A221)=1),"",IF(B220="",IF(B219="",B218,B219),B220)+IF(A$2=TRUE,IF(C220="",IF(C219="",C218,C219),C220)*2,IF(C220="",IF(C219="",C218,C219),C220)))</f>
        <v>1129.966388456670</v>
      </c>
      <c r="C221" s="402">
        <f>IF(B221="","",B221*F$6)</f>
        <v>0.445237428030225</v>
      </c>
      <c r="D221" s="403">
        <f>IF(C221="","",(D$3*$C221)/$C$3)</f>
        <v>0.5747036305070991</v>
      </c>
      <c r="E221" s="403">
        <f>IF(C221="","",D221-$C221)</f>
        <v>0.129466202476874</v>
      </c>
      <c r="F221" s="404">
        <f>IF(B221="","",C221/B221)</f>
        <v>0.000394027143266039</v>
      </c>
      <c r="G221" s="404"/>
    </row>
    <row r="222" ht="20.05" customHeight="1">
      <c r="A222" s="400">
        <v>45023</v>
      </c>
      <c r="B222" s="401">
        <f>IF(OR(WEEKDAY($A222)=7,WEEKDAY($A222)=1),"",IF(B221="",IF(B220="",B219,B220),B221)+IF(A$2=TRUE,IF(C221="",IF(C220="",C219,C220),C221)*2,IF(C221="",IF(C220="",C219,C220),C221)))</f>
        <v>1130.856863312730</v>
      </c>
      <c r="C222" s="402">
        <f>IF(B222="","",B222*F$6)</f>
        <v>0.445588299293909</v>
      </c>
      <c r="D222" s="403">
        <f>IF(C222="","",(D$3*$C222)/$C$3)</f>
        <v>0.575156528166606</v>
      </c>
      <c r="E222" s="403">
        <f>IF(C222="","",D222-$C222)</f>
        <v>0.129568228872697</v>
      </c>
      <c r="F222" s="404">
        <f>IF(B222="","",C222/B222)</f>
        <v>0.000394027143266039</v>
      </c>
      <c r="G222" s="404"/>
    </row>
    <row r="223" ht="20.05" customHeight="1">
      <c r="A223" s="400">
        <v>45024</v>
      </c>
      <c r="B223" t="s" s="405">
        <f>IF(OR(WEEKDAY($A223)=7,WEEKDAY($A223)=1),"",IF(B222="",IF(B221="",B220,B221),B222)+IF(A$2=TRUE,IF(C222="",IF(C221="",C220,C221),C222)*2,IF(C222="",IF(C221="",C220,C221),C222)))</f>
      </c>
      <c r="C223" t="s" s="406">
        <f>IF(B223="","",B223*F$6)</f>
      </c>
      <c r="D223" t="s" s="406">
        <f>IF(C223="","",(D$3*$C223)/$C$3)</f>
      </c>
      <c r="E223" t="s" s="406">
        <f>IF(C223="","",D223-$C223)</f>
      </c>
      <c r="F223" t="s" s="406">
        <f>IF(B223="","",C223/B223)</f>
      </c>
      <c r="G223" s="404"/>
    </row>
    <row r="224" ht="20.05" customHeight="1">
      <c r="A224" s="400">
        <v>45025</v>
      </c>
      <c r="B224" t="s" s="405">
        <f>IF(OR(WEEKDAY($A224)=7,WEEKDAY($A224)=1),"",IF(B223="",IF(B222="",B221,B222),B223)+IF(A$2=TRUE,IF(C223="",IF(C222="",C221,C222),C223)*2,IF(C223="",IF(C222="",C221,C222),C223)))</f>
      </c>
      <c r="C224" t="s" s="406">
        <f>IF(B224="","",B224*F$6)</f>
      </c>
      <c r="D224" t="s" s="406">
        <f>IF(C224="","",(D$3*$C224)/$C$3)</f>
      </c>
      <c r="E224" t="s" s="406">
        <f>IF(C224="","",D224-$C224)</f>
      </c>
      <c r="F224" t="s" s="406">
        <f>IF(B224="","",C224/B224)</f>
      </c>
      <c r="G224" s="404"/>
    </row>
    <row r="225" ht="20.05" customHeight="1">
      <c r="A225" s="400">
        <v>45026</v>
      </c>
      <c r="B225" s="401">
        <f>IF(OR(WEEKDAY($A225)=7,WEEKDAY($A225)=1),"",IF(B224="",IF(B223="",B222,B223),B224)+IF(A$2=TRUE,IF(C224="",IF(C223="",C222,C223),C224)*2,IF(C224="",IF(C223="",C222,C223),C224)))</f>
        <v>1131.748039911320</v>
      </c>
      <c r="C225" s="402">
        <f>IF(B225="","",B225*F$6)</f>
        <v>0.445939447063197</v>
      </c>
      <c r="D225" s="403">
        <f>IF(C225="","",(D$3*$C225)/$C$3)</f>
        <v>0.5756097827340561</v>
      </c>
      <c r="E225" s="403">
        <f>IF(C225="","",D225-$C225)</f>
        <v>0.129670335670859</v>
      </c>
      <c r="F225" s="404">
        <f>IF(B225="","",C225/B225)</f>
        <v>0.000394027143266039</v>
      </c>
      <c r="G225" s="404"/>
    </row>
    <row r="226" ht="20.05" customHeight="1">
      <c r="A226" s="400">
        <v>45027</v>
      </c>
      <c r="B226" s="401">
        <f>IF(OR(WEEKDAY($A226)=7,WEEKDAY($A226)=1),"",IF(B225="",IF(B224="",B223,B224),B225)+IF(A$2=TRUE,IF(C225="",IF(C224="",C223,C224),C225)*2,IF(C225="",IF(C224="",C223,C224),C225)))</f>
        <v>1132.639918805450</v>
      </c>
      <c r="C226" s="402">
        <f>IF(B226="","",B226*F$6)</f>
        <v>0.44629087155599</v>
      </c>
      <c r="D226" s="403">
        <f>IF(C226="","",(D$3*$C226)/$C$3)</f>
        <v>0.57606339449071</v>
      </c>
      <c r="E226" s="403">
        <f>IF(C226="","",D226-$C226)</f>
        <v>0.12977252293472</v>
      </c>
      <c r="F226" s="404">
        <f>IF(B226="","",C226/B226)</f>
        <v>0.000394027143266039</v>
      </c>
      <c r="G226" s="404"/>
    </row>
    <row r="227" ht="20.05" customHeight="1">
      <c r="A227" s="400">
        <v>45028</v>
      </c>
      <c r="B227" s="401">
        <f>IF(OR(WEEKDAY($A227)=7,WEEKDAY($A227)=1),"",IF(B226="",IF(B225="",B224,B225),B226)+IF(A$2=TRUE,IF(C226="",IF(C225="",C224,C225),C226)*2,IF(C226="",IF(C225="",C224,C225),C226)))</f>
        <v>1133.532500548560</v>
      </c>
      <c r="C227" s="402">
        <f>IF(B227="","",B227*F$6)</f>
        <v>0.446642572990359</v>
      </c>
      <c r="D227" s="403">
        <f>IF(C227="","",(D$3*$C227)/$C$3)</f>
        <v>0.576517363718052</v>
      </c>
      <c r="E227" s="403">
        <f>IF(C227="","",D227-$C227)</f>
        <v>0.129874790727693</v>
      </c>
      <c r="F227" s="404">
        <f>IF(B227="","",C227/B227)</f>
        <v>0.000394027143266039</v>
      </c>
      <c r="G227" s="404"/>
    </row>
    <row r="228" ht="20.05" customHeight="1">
      <c r="A228" s="400">
        <v>45029</v>
      </c>
      <c r="B228" s="401">
        <f>IF(OR(WEEKDAY($A228)=7,WEEKDAY($A228)=1),"",IF(B227="",IF(B226="",B225,B226),B227)+IF(A$2=TRUE,IF(C227="",IF(C226="",C225,C226),C227)*2,IF(C227="",IF(C226="",C225,C226),C227)))</f>
        <v>1134.425785694540</v>
      </c>
      <c r="C228" s="402">
        <f>IF(B228="","",B228*F$6)</f>
        <v>0.446994551584551</v>
      </c>
      <c r="D228" s="403">
        <f>IF(C228="","",(D$3*$C228)/$C$3)</f>
        <v>0.576971690697789</v>
      </c>
      <c r="E228" s="403">
        <f>IF(C228="","",D228-$C228)</f>
        <v>0.129977139113238</v>
      </c>
      <c r="F228" s="404">
        <f>IF(B228="","",C228/B228)</f>
        <v>0.000394027143266039</v>
      </c>
      <c r="G228" s="404"/>
    </row>
    <row r="229" ht="20.05" customHeight="1">
      <c r="A229" s="400">
        <v>45030</v>
      </c>
      <c r="B229" s="401">
        <f>IF(OR(WEEKDAY($A229)=7,WEEKDAY($A229)=1),"",IF(B228="",IF(B227="",B226,B227),B228)+IF(A$2=TRUE,IF(C228="",IF(C227="",C226,C227),C228)*2,IF(C228="",IF(C227="",C226,C227),C228)))</f>
        <v>1135.319774797710</v>
      </c>
      <c r="C229" s="402">
        <f>IF(B229="","",B229*F$6)</f>
        <v>0.447346807556984</v>
      </c>
      <c r="D229" s="403">
        <f>IF(C229="","",(D$3*$C229)/$C$3)</f>
        <v>0.577426375711852</v>
      </c>
      <c r="E229" s="403">
        <f>IF(C229="","",D229-$C229)</f>
        <v>0.130079568154868</v>
      </c>
      <c r="F229" s="404">
        <f>IF(B229="","",C229/B229)</f>
        <v>0.000394027143266039</v>
      </c>
      <c r="G229" s="404"/>
    </row>
    <row r="230" ht="20.05" customHeight="1">
      <c r="A230" s="400">
        <v>45031</v>
      </c>
      <c r="B230" t="s" s="405">
        <f>IF(OR(WEEKDAY($A230)=7,WEEKDAY($A230)=1),"",IF(B229="",IF(B228="",B227,B228),B229)+IF(A$2=TRUE,IF(C229="",IF(C228="",C227,C228),C229)*2,IF(C229="",IF(C228="",C227,C228),C229)))</f>
      </c>
      <c r="C230" t="s" s="406">
        <f>IF(B230="","",B230*F$6)</f>
      </c>
      <c r="D230" t="s" s="406">
        <f>IF(C230="","",(D$3*$C230)/$C$3)</f>
      </c>
      <c r="E230" t="s" s="406">
        <f>IF(C230="","",D230-$C230)</f>
      </c>
      <c r="F230" t="s" s="406">
        <f>IF(B230="","",C230/B230)</f>
      </c>
      <c r="G230" s="404"/>
    </row>
    <row r="231" ht="20.05" customHeight="1">
      <c r="A231" s="400">
        <v>45032</v>
      </c>
      <c r="B231" t="s" s="405">
        <f>IF(OR(WEEKDAY($A231)=7,WEEKDAY($A231)=1),"",IF(B230="",IF(B229="",B228,B229),B230)+IF(A$2=TRUE,IF(C230="",IF(C229="",C228,C229),C230)*2,IF(C230="",IF(C229="",C228,C229),C230)))</f>
      </c>
      <c r="C231" t="s" s="406">
        <f>IF(B231="","",B231*F$6)</f>
      </c>
      <c r="D231" t="s" s="406">
        <f>IF(C231="","",(D$3*$C231)/$C$3)</f>
      </c>
      <c r="E231" t="s" s="406">
        <f>IF(C231="","",D231-$C231)</f>
      </c>
      <c r="F231" t="s" s="406">
        <f>IF(B231="","",C231/B231)</f>
      </c>
      <c r="G231" s="404"/>
    </row>
    <row r="232" ht="20.05" customHeight="1">
      <c r="A232" s="400">
        <v>45033</v>
      </c>
      <c r="B232" s="401">
        <f>IF(OR(WEEKDAY($A232)=7,WEEKDAY($A232)=1),"",IF(B231="",IF(B230="",B229,B230),B231)+IF(A$2=TRUE,IF(C231="",IF(C230="",C229,C230),C231)*2,IF(C231="",IF(C230="",C229,C230),C231)))</f>
        <v>1136.214468412820</v>
      </c>
      <c r="C232" s="402">
        <f>IF(B232="","",B232*F$6)</f>
        <v>0.447699341126245</v>
      </c>
      <c r="D232" s="403">
        <f>IF(C232="","",(D$3*$C232)/$C$3)</f>
        <v>0.577881419042387</v>
      </c>
      <c r="E232" s="403">
        <f>IF(C232="","",D232-$C232)</f>
        <v>0.130182077916142</v>
      </c>
      <c r="F232" s="404">
        <f>IF(B232="","",C232/B232)</f>
        <v>0.000394027143266039</v>
      </c>
      <c r="G232" s="404"/>
    </row>
    <row r="233" ht="20.05" customHeight="1">
      <c r="A233" s="400">
        <v>45034</v>
      </c>
      <c r="B233" s="401">
        <f>IF(OR(WEEKDAY($A233)=7,WEEKDAY($A233)=1),"",IF(B232="",IF(B231="",B230,B231),B232)+IF(A$2=TRUE,IF(C232="",IF(C231="",C230,C231),C232)*2,IF(C232="",IF(C231="",C230,C231),C232)))</f>
        <v>1137.109867095070</v>
      </c>
      <c r="C233" s="402">
        <f>IF(B233="","",B233*F$6)</f>
        <v>0.448052152511096</v>
      </c>
      <c r="D233" s="403">
        <f>IF(C233="","",(D$3*$C233)/$C$3)</f>
        <v>0.578336820971769</v>
      </c>
      <c r="E233" s="403">
        <f>IF(C233="","",D233-$C233)</f>
        <v>0.130284668460673</v>
      </c>
      <c r="F233" s="404">
        <f>IF(B233="","",C233/B233)</f>
        <v>0.000394027143266039</v>
      </c>
      <c r="G233" s="404"/>
    </row>
    <row r="234" ht="20.05" customHeight="1">
      <c r="A234" s="400">
        <v>45035</v>
      </c>
      <c r="B234" s="401">
        <f>IF(OR(WEEKDAY($A234)=7,WEEKDAY($A234)=1),"",IF(B233="",IF(B232="",B231,B232),B233)+IF(A$2=TRUE,IF(C233="",IF(C232="",C231,C232),C233)*2,IF(C233="",IF(C232="",C231,C232),C233)))</f>
        <v>1138.005971400090</v>
      </c>
      <c r="C234" s="402">
        <f>IF(B234="","",B234*F$6)</f>
        <v>0.448405241930471</v>
      </c>
      <c r="D234" s="403">
        <f>IF(C234="","",(D$3*$C234)/$C$3)</f>
        <v>0.578792581782594</v>
      </c>
      <c r="E234" s="403">
        <f>IF(C234="","",D234-$C234)</f>
        <v>0.130387339852123</v>
      </c>
      <c r="F234" s="404">
        <f>IF(B234="","",C234/B234)</f>
        <v>0.000394027143266039</v>
      </c>
      <c r="G234" s="404"/>
    </row>
    <row r="235" ht="20.05" customHeight="1">
      <c r="A235" s="400">
        <v>45036</v>
      </c>
      <c r="B235" s="401">
        <f>IF(OR(WEEKDAY($A235)=7,WEEKDAY($A235)=1),"",IF(B234="",IF(B233="",B232,B233),B234)+IF(A$2=TRUE,IF(C234="",IF(C233="",C232,C233),C234)*2,IF(C234="",IF(C233="",C232,C233),C234)))</f>
        <v>1138.902781883950</v>
      </c>
      <c r="C235" s="402">
        <f>IF(B235="","",B235*F$6)</f>
        <v>0.448758609603478</v>
      </c>
      <c r="D235" s="403">
        <f>IF(C235="","",(D$3*$C235)/$C$3)</f>
        <v>0.579248701757681</v>
      </c>
      <c r="E235" s="403">
        <f>IF(C235="","",D235-$C235)</f>
        <v>0.130490092154203</v>
      </c>
      <c r="F235" s="404">
        <f>IF(B235="","",C235/B235)</f>
        <v>0.000394027143266039</v>
      </c>
      <c r="G235" s="404"/>
    </row>
    <row r="236" ht="20.05" customHeight="1">
      <c r="A236" s="400">
        <v>45037</v>
      </c>
      <c r="B236" s="401">
        <f>IF(OR(WEEKDAY($A236)=7,WEEKDAY($A236)=1),"",IF(B235="",IF(B234="",B233,B234),B235)+IF(A$2=TRUE,IF(C235="",IF(C234="",C233,C234),C235)*2,IF(C235="",IF(C234="",C233,C234),C235)))</f>
        <v>1139.800299103160</v>
      </c>
      <c r="C236" s="402">
        <f>IF(B236="","",B236*F$6)</f>
        <v>0.449112255749395</v>
      </c>
      <c r="D236" s="403">
        <f>IF(C236="","",(D$3*$C236)/$C$3)</f>
        <v>0.57970518118007</v>
      </c>
      <c r="E236" s="403">
        <f>IF(C236="","",D236-$C236)</f>
        <v>0.130592925430675</v>
      </c>
      <c r="F236" s="404">
        <f>IF(B236="","",C236/B236)</f>
        <v>0.000394027143266039</v>
      </c>
      <c r="G236" s="404"/>
    </row>
    <row r="237" ht="20.05" customHeight="1">
      <c r="A237" s="400">
        <v>45038</v>
      </c>
      <c r="B237" t="s" s="405">
        <f>IF(OR(WEEKDAY($A237)=7,WEEKDAY($A237)=1),"",IF(B236="",IF(B235="",B234,B235),B236)+IF(A$2=TRUE,IF(C236="",IF(C235="",C234,C235),C236)*2,IF(C236="",IF(C235="",C234,C235),C236)))</f>
      </c>
      <c r="C237" t="s" s="406">
        <f>IF(B237="","",B237*F$6)</f>
      </c>
      <c r="D237" t="s" s="406">
        <f>IF(C237="","",(D$3*$C237)/$C$3)</f>
      </c>
      <c r="E237" t="s" s="406">
        <f>IF(C237="","",D237-$C237)</f>
      </c>
      <c r="F237" t="s" s="406">
        <f>IF(B237="","",C237/B237)</f>
      </c>
      <c r="G237" s="404"/>
    </row>
    <row r="238" ht="20.05" customHeight="1">
      <c r="A238" s="400">
        <v>45039</v>
      </c>
      <c r="B238" t="s" s="405">
        <f>IF(OR(WEEKDAY($A238)=7,WEEKDAY($A238)=1),"",IF(B237="",IF(B236="",B235,B236),B237)+IF(A$2=TRUE,IF(C237="",IF(C236="",C235,C236),C237)*2,IF(C237="",IF(C236="",C235,C236),C237)))</f>
      </c>
      <c r="C238" t="s" s="406">
        <f>IF(B238="","",B238*F$6)</f>
      </c>
      <c r="D238" t="s" s="406">
        <f>IF(C238="","",(D$3*$C238)/$C$3)</f>
      </c>
      <c r="E238" t="s" s="406">
        <f>IF(C238="","",D238-$C238)</f>
      </c>
      <c r="F238" t="s" s="406">
        <f>IF(B238="","",C238/B238)</f>
      </c>
      <c r="G238" s="404"/>
    </row>
    <row r="239" ht="20.05" customHeight="1">
      <c r="A239" s="400">
        <v>45040</v>
      </c>
      <c r="B239" s="401">
        <f>IF(OR(WEEKDAY($A239)=7,WEEKDAY($A239)=1),"",IF(B238="",IF(B237="",B236,B237),B238)+IF(A$2=TRUE,IF(C238="",IF(C237="",C236,C237),C238)*2,IF(C238="",IF(C237="",C236,C237),C238)))</f>
        <v>1140.698523614660</v>
      </c>
      <c r="C239" s="402">
        <f>IF(B239="","",B239*F$6)</f>
        <v>0.449466180587673</v>
      </c>
      <c r="D239" s="403">
        <f>IF(C239="","",(D$3*$C239)/$C$3)</f>
        <v>0.580162020333025</v>
      </c>
      <c r="E239" s="403">
        <f>IF(C239="","",D239-$C239)</f>
        <v>0.130695839745352</v>
      </c>
      <c r="F239" s="404">
        <f>IF(B239="","",C239/B239)</f>
        <v>0.000394027143266039</v>
      </c>
      <c r="G239" s="404"/>
    </row>
    <row r="240" ht="20.05" customHeight="1">
      <c r="A240" s="400">
        <v>45041</v>
      </c>
      <c r="B240" s="401">
        <f>IF(OR(WEEKDAY($A240)=7,WEEKDAY($A240)=1),"",IF(B239="",IF(B238="",B237,B238),B239)+IF(A$2=TRUE,IF(C239="",IF(C238="",C237,C238),C239)*2,IF(C239="",IF(C238="",C237,C238),C239)))</f>
        <v>1141.597455975840</v>
      </c>
      <c r="C240" s="402">
        <f>IF(B240="","",B240*F$6)</f>
        <v>0.449820384337938</v>
      </c>
      <c r="D240" s="403">
        <f>IF(C240="","",(D$3*$C240)/$C$3)</f>
        <v>0.580619219500033</v>
      </c>
      <c r="E240" s="403">
        <f>IF(C240="","",D240-$C240)</f>
        <v>0.130798835162095</v>
      </c>
      <c r="F240" s="404">
        <f>IF(B240="","",C240/B240)</f>
        <v>0.000394027143266039</v>
      </c>
      <c r="G240" s="404"/>
    </row>
    <row r="241" ht="20.05" customHeight="1">
      <c r="A241" s="400">
        <v>45042</v>
      </c>
      <c r="B241" s="401">
        <f>IF(OR(WEEKDAY($A241)=7,WEEKDAY($A241)=1),"",IF(B240="",IF(B239="",B238,B239),B240)+IF(A$2=TRUE,IF(C240="",IF(C239="",C238,C239),C240)*2,IF(C240="",IF(C239="",C238,C239),C240)))</f>
        <v>1142.497096744520</v>
      </c>
      <c r="C241" s="402">
        <f>IF(B241="","",B241*F$6)</f>
        <v>0.450174867219987</v>
      </c>
      <c r="D241" s="403">
        <f>IF(C241="","",(D$3*$C241)/$C$3)</f>
        <v>0.581076778964806</v>
      </c>
      <c r="E241" s="403">
        <f>IF(C241="","",D241-$C241)</f>
        <v>0.130901911744819</v>
      </c>
      <c r="F241" s="404">
        <f>IF(B241="","",C241/B241)</f>
        <v>0.000394027143266039</v>
      </c>
      <c r="G241" s="404"/>
    </row>
    <row r="242" ht="20.05" customHeight="1">
      <c r="A242" s="400">
        <v>45043</v>
      </c>
      <c r="B242" s="401">
        <f>IF(OR(WEEKDAY($A242)=7,WEEKDAY($A242)=1),"",IF(B241="",IF(B240="",B239,B240),B241)+IF(A$2=TRUE,IF(C241="",IF(C240="",C239,C240),C241)*2,IF(C241="",IF(C240="",C239,C240),C241)))-G152</f>
        <v>1022.177446478960</v>
      </c>
      <c r="C242" s="402">
        <f>IF(B242="","",B242*F$6)</f>
        <v>0.402765659147079</v>
      </c>
      <c r="D242" s="403">
        <f>IF(C242="","",(D$3*$C242)/$C$3)</f>
        <v>0.519881914643747</v>
      </c>
      <c r="E242" s="403">
        <f>IF(C242="","",D242-$C242)</f>
        <v>0.117116255496668</v>
      </c>
      <c r="F242" s="404">
        <f>IF(B242="","",C242/B242)</f>
        <v>0.000394027143266039</v>
      </c>
      <c r="G242" s="404"/>
    </row>
    <row r="243" ht="20.05" customHeight="1">
      <c r="A243" s="400">
        <v>45044</v>
      </c>
      <c r="B243" s="401">
        <f>IF(OR(WEEKDAY($A243)=7,WEEKDAY($A243)=1),"",IF(B242="",IF(B241="",B240,B241),B242)+IF(A$2=TRUE,IF(C242="",IF(C241="",C240,C241),C242)*2,IF(C242="",IF(C241="",C240,C241),C242)))</f>
        <v>1022.982977797250</v>
      </c>
      <c r="C243" s="402">
        <f>IF(B243="","",B243*F$6)</f>
        <v>0.403083060351236</v>
      </c>
      <c r="D243" s="403">
        <f>IF(C243="","",(D$3*$C243)/$C$3)</f>
        <v>0.5202916098150711</v>
      </c>
      <c r="E243" s="403">
        <f>IF(C243="","",D243-$C243)</f>
        <v>0.117208549463835</v>
      </c>
      <c r="F243" s="404">
        <f>IF(B243="","",C243/B243)</f>
        <v>0.000394027143266039</v>
      </c>
      <c r="G243" s="404"/>
    </row>
    <row r="244" ht="20.05" customHeight="1">
      <c r="A244" s="400">
        <v>45045</v>
      </c>
      <c r="B244" t="s" s="405">
        <f>IF(OR(WEEKDAY($A244)=7,WEEKDAY($A244)=1),"",IF(B243="",IF(B242="",B241,B242),B243)+IF(A$2=TRUE,IF(C243="",IF(C242="",C241,C242),C243)*2,IF(C243="",IF(C242="",C241,C242),C243)))</f>
      </c>
      <c r="C244" t="s" s="406">
        <f>IF(B244="","",B244*F$6)</f>
      </c>
      <c r="D244" t="s" s="406">
        <f>IF(C244="","",(D$3*$C244)/$C$3)</f>
      </c>
      <c r="E244" t="s" s="406">
        <f>IF(C244="","",D244-$C244)</f>
      </c>
      <c r="F244" t="s" s="406">
        <f>IF(B244="","",C244/B244)</f>
      </c>
      <c r="G244" s="402">
        <f>G245*B216</f>
      </c>
    </row>
    <row r="245" ht="20.05" customHeight="1">
      <c r="A245" s="400">
        <v>45046</v>
      </c>
      <c r="B245" t="s" s="405">
        <f>IF(OR(WEEKDAY($A245)=7,WEEKDAY($A245)=1),"",IF(B244="",IF(B243="",B242,B243),B244)+IF(A$2=TRUE,IF(C244="",IF(C243="",C242,C243),C244)*2,IF(C244="",IF(C243="",C242,C243),C244)))</f>
      </c>
      <c r="C245" t="s" s="406">
        <f>IF(B245="","",B245*F$6)</f>
      </c>
      <c r="D245" t="s" s="406">
        <f>IF(C245="","",(D$3*$C245)/$C$3)</f>
      </c>
      <c r="E245" t="s" s="406">
        <f>IF(C245="","",D245-$C245)</f>
      </c>
      <c r="F245" t="s" s="406">
        <f>IF(B245="","",C245/B245)</f>
      </c>
      <c r="G245" s="404">
        <f>(B244-B216)/B216</f>
      </c>
    </row>
    <row r="246" ht="20.05" customHeight="1">
      <c r="A246" s="400">
        <v>45047</v>
      </c>
      <c r="B246" s="401">
        <f>IF(OR(WEEKDAY($A246)=7,WEEKDAY($A246)=1),"",IF(B245="",IF(B244="",B243,B244),B245)+IF(A$2=TRUE,IF(C245="",IF(C244="",C243,C244),C245)*2,IF(C245="",IF(C244="",C243,C244),C245)))</f>
        <v>1023.789143917950</v>
      </c>
      <c r="C246" s="402">
        <f>IF(B246="","",B246*F$6)</f>
        <v>0.403400711684774</v>
      </c>
      <c r="D246" s="403">
        <f>IF(C246="","",(D$3*$C246)/$C$3)</f>
        <v>0.520701627848432</v>
      </c>
      <c r="E246" s="403">
        <f>IF(C246="","",D246-$C246)</f>
        <v>0.117300916163658</v>
      </c>
      <c r="F246" s="404">
        <f>IF(B246="","",C246/B246)</f>
        <v>0.000394027143266039</v>
      </c>
      <c r="G246" s="404"/>
    </row>
    <row r="247" ht="20.05" customHeight="1">
      <c r="A247" s="400">
        <v>45048</v>
      </c>
      <c r="B247" s="401">
        <f>IF(OR(WEEKDAY($A247)=7,WEEKDAY($A247)=1),"",IF(B246="",IF(B245="",B244,B245),B246)+IF(A$2=TRUE,IF(C246="",IF(C245="",C244,C245),C246)*2,IF(C246="",IF(C245="",C244,C245),C246)))</f>
        <v>1024.595945341320</v>
      </c>
      <c r="C247" s="402">
        <f>IF(B247="","",B247*F$6)</f>
        <v>0.403718613344807</v>
      </c>
      <c r="D247" s="403">
        <f>IF(C247="","",(D$3*$C247)/$C$3)</f>
        <v>0.521111968998262</v>
      </c>
      <c r="E247" s="403">
        <f>IF(C247="","",D247-$C247)</f>
        <v>0.117393355653455</v>
      </c>
      <c r="F247" s="404">
        <f>IF(B247="","",C247/B247)</f>
        <v>0.000394027143266039</v>
      </c>
      <c r="G247" s="404"/>
    </row>
    <row r="248" ht="20.05" customHeight="1">
      <c r="A248" s="400">
        <v>45049</v>
      </c>
      <c r="B248" s="401">
        <f>IF(OR(WEEKDAY($A248)=7,WEEKDAY($A248)=1),"",IF(B247="",IF(B246="",B245,B246),B247)+IF(A$2=TRUE,IF(C247="",IF(C246="",C245,C246),C247)*2,IF(C247="",IF(C246="",C245,C246),C247)))</f>
        <v>1025.403382568010</v>
      </c>
      <c r="C248" s="402">
        <f>IF(B248="","",B248*F$6)</f>
        <v>0.404036765528606</v>
      </c>
      <c r="D248" s="403">
        <f>IF(C248="","",(D$3*$C248)/$C$3)</f>
        <v>0.521522633519194</v>
      </c>
      <c r="E248" s="403">
        <f>IF(C248="","",D248-$C248)</f>
        <v>0.117485867990588</v>
      </c>
      <c r="F248" s="404">
        <f>IF(B248="","",C248/B248)</f>
        <v>0.000394027143266039</v>
      </c>
      <c r="G248" s="404"/>
    </row>
    <row r="249" ht="20.05" customHeight="1">
      <c r="A249" s="400">
        <v>45050</v>
      </c>
      <c r="B249" s="401">
        <f>IF(OR(WEEKDAY($A249)=7,WEEKDAY($A249)=1),"",IF(B248="",IF(B247="",B246,B247),B248)+IF(A$2=TRUE,IF(C248="",IF(C247="",C246,C247),C248)*2,IF(C248="",IF(C247="",C246,C247),C248)))</f>
        <v>1026.211456099070</v>
      </c>
      <c r="C249" s="402">
        <f>IF(B249="","",B249*F$6)</f>
        <v>0.404355168433599</v>
      </c>
      <c r="D249" s="403">
        <f>IF(C249="","",(D$3*$C249)/$C$3)</f>
        <v>0.5219336216660641</v>
      </c>
      <c r="E249" s="403">
        <f>IF(C249="","",D249-$C249)</f>
        <v>0.117578453232465</v>
      </c>
      <c r="F249" s="404">
        <f>IF(B249="","",C249/B249)</f>
        <v>0.000394027143266039</v>
      </c>
      <c r="G249" s="404"/>
    </row>
    <row r="250" ht="20.05" customHeight="1">
      <c r="A250" s="400">
        <v>45051</v>
      </c>
      <c r="B250" s="401">
        <f>IF(OR(WEEKDAY($A250)=7,WEEKDAY($A250)=1),"",IF(B249="",IF(B248="",B247,B248),B249)+IF(A$2=TRUE,IF(C249="",IF(C248="",C247,C248),C249)*2,IF(C249="",IF(C248="",C247,C248),C249)))</f>
        <v>1027.020166435940</v>
      </c>
      <c r="C250" s="402">
        <f>IF(B250="","",B250*F$6)</f>
        <v>0.404673822257365</v>
      </c>
      <c r="D250" s="403">
        <f>IF(C250="","",(D$3*$C250)/$C$3)</f>
        <v>0.522344933693904</v>
      </c>
      <c r="E250" s="403">
        <f>IF(C250="","",D250-$C250)</f>
        <v>0.117671111436539</v>
      </c>
      <c r="F250" s="404">
        <f>IF(B250="","",C250/B250)</f>
        <v>0.000394027143266039</v>
      </c>
      <c r="G250" s="404"/>
    </row>
    <row r="251" ht="20.05" customHeight="1">
      <c r="A251" s="400">
        <v>45052</v>
      </c>
      <c r="B251" t="s" s="405">
        <f>IF(OR(WEEKDAY($A251)=7,WEEKDAY($A251)=1),"",IF(B250="",IF(B249="",B248,B249),B250)+IF(A$2=TRUE,IF(C250="",IF(C249="",C248,C249),C250)*2,IF(C250="",IF(C249="",C248,C249),C250)))</f>
      </c>
      <c r="C251" t="s" s="406">
        <f>IF(B251="","",B251*F$6)</f>
      </c>
      <c r="D251" t="s" s="406">
        <f>IF(C251="","",(D$3*$C251)/$C$3)</f>
      </c>
      <c r="E251" t="s" s="406">
        <f>IF(C251="","",D251-$C251)</f>
      </c>
      <c r="F251" t="s" s="406">
        <f>IF(B251="","",C251/B251)</f>
      </c>
      <c r="G251" s="404"/>
    </row>
    <row r="252" ht="20.05" customHeight="1">
      <c r="A252" s="400">
        <v>45053</v>
      </c>
      <c r="B252" t="s" s="405">
        <f>IF(OR(WEEKDAY($A252)=7,WEEKDAY($A252)=1),"",IF(B251="",IF(B250="",B249,B250),B251)+IF(A$2=TRUE,IF(C251="",IF(C250="",C249,C250),C251)*2,IF(C251="",IF(C250="",C249,C250),C251)))</f>
      </c>
      <c r="C252" t="s" s="406">
        <f>IF(B252="","",B252*F$6)</f>
      </c>
      <c r="D252" t="s" s="406">
        <f>IF(C252="","",(D$3*$C252)/$C$3)</f>
      </c>
      <c r="E252" t="s" s="406">
        <f>IF(C252="","",D252-$C252)</f>
      </c>
      <c r="F252" t="s" s="406">
        <f>IF(B252="","",C252/B252)</f>
      </c>
      <c r="G252" s="404"/>
    </row>
    <row r="253" ht="20.05" customHeight="1">
      <c r="A253" s="400">
        <v>45054</v>
      </c>
      <c r="B253" s="401">
        <f>IF(OR(WEEKDAY($A253)=7,WEEKDAY($A253)=1),"",IF(B252="",IF(B251="",B250,B251),B252)+IF(A$2=TRUE,IF(C252="",IF(C251="",C250,C251),C252)*2,IF(C252="",IF(C251="",C250,C251),C252)))</f>
        <v>1027.829514080450</v>
      </c>
      <c r="C253" s="402">
        <f>IF(B253="","",B253*F$6)</f>
        <v>0.404992727197641</v>
      </c>
      <c r="D253" s="403">
        <f>IF(C253="","",(D$3*$C253)/$C$3)</f>
        <v>0.5227565698579481</v>
      </c>
      <c r="E253" s="403">
        <f>IF(C253="","",D253-$C253)</f>
        <v>0.117763842660307</v>
      </c>
      <c r="F253" s="404">
        <f>IF(B253="","",C253/B253)</f>
        <v>0.000394027143266039</v>
      </c>
      <c r="G253" s="404"/>
    </row>
    <row r="254" ht="20.05" customHeight="1">
      <c r="A254" s="400">
        <v>45055</v>
      </c>
      <c r="B254" s="401">
        <f>IF(OR(WEEKDAY($A254)=7,WEEKDAY($A254)=1),"",IF(B253="",IF(B252="",B251,B252),B253)+IF(A$2=TRUE,IF(C253="",IF(C252="",C251,C252),C253)*2,IF(C253="",IF(C252="",C251,C252),C253)))</f>
        <v>1028.639499534850</v>
      </c>
      <c r="C254" s="402">
        <f>IF(B254="","",B254*F$6)</f>
        <v>0.405311883452325</v>
      </c>
      <c r="D254" s="403">
        <f>IF(C254="","",(D$3*$C254)/$C$3)</f>
        <v>0.523168530413639</v>
      </c>
      <c r="E254" s="403">
        <f>IF(C254="","",D254-$C254)</f>
        <v>0.117856646961314</v>
      </c>
      <c r="F254" s="404">
        <f>IF(B254="","",C254/B254)</f>
        <v>0.000394027143266039</v>
      </c>
      <c r="G254" s="404"/>
    </row>
    <row r="255" ht="20.05" customHeight="1">
      <c r="A255" s="400">
        <v>45056</v>
      </c>
      <c r="B255" s="401">
        <f>IF(OR(WEEKDAY($A255)=7,WEEKDAY($A255)=1),"",IF(B254="",IF(B253="",B252,B253),B254)+IF(A$2=TRUE,IF(C254="",IF(C253="",C252,C253),C254)*2,IF(C254="",IF(C253="",C252,C253),C254)))</f>
        <v>1029.450123301750</v>
      </c>
      <c r="C255" s="402">
        <f>IF(B255="","",B255*F$6)</f>
        <v>0.40563129121946</v>
      </c>
      <c r="D255" s="403">
        <f>IF(C255="","",(D$3*$C255)/$C$3)</f>
        <v>0.523580815616608</v>
      </c>
      <c r="E255" s="403">
        <f>IF(C255="","",D255-$C255)</f>
        <v>0.117949524397148</v>
      </c>
      <c r="F255" s="404">
        <f>IF(B255="","",C255/B255)</f>
        <v>0.000394027143266039</v>
      </c>
      <c r="G255" s="404"/>
    </row>
    <row r="256" ht="20.05" customHeight="1">
      <c r="A256" s="400">
        <v>45057</v>
      </c>
      <c r="B256" s="401">
        <f>IF(OR(WEEKDAY($A256)=7,WEEKDAY($A256)=1),"",IF(B255="",IF(B254="",B253,B254),B255)+IF(A$2=TRUE,IF(C255="",IF(C254="",C253,C254),C255)*2,IF(C255="",IF(C254="",C253,C254),C255)))</f>
        <v>1030.261385884190</v>
      </c>
      <c r="C256" s="402">
        <f>IF(B256="","",B256*F$6)</f>
        <v>0.405950950697258</v>
      </c>
      <c r="D256" s="403">
        <f>IF(C256="","",(D$3*$C256)/$C$3)</f>
        <v>0.523993425722702</v>
      </c>
      <c r="E256" s="403">
        <f>IF(C256="","",D256-$C256)</f>
        <v>0.118042475025444</v>
      </c>
      <c r="F256" s="404">
        <f>IF(B256="","",C256/B256)</f>
        <v>0.000394027143266039</v>
      </c>
      <c r="G256" s="404"/>
    </row>
    <row r="257" ht="20.05" customHeight="1">
      <c r="A257" s="400">
        <v>45058</v>
      </c>
      <c r="B257" s="401">
        <f>IF(OR(WEEKDAY($A257)=7,WEEKDAY($A257)=1),"",IF(B256="",IF(B255="",B254,B255),B256)+IF(A$2=TRUE,IF(C256="",IF(C255="",C254,C255),C256)*2,IF(C256="",IF(C255="",C254,C255),C256)))</f>
        <v>1031.073287785580</v>
      </c>
      <c r="C257" s="402">
        <f>IF(B257="","",B257*F$6)</f>
        <v>0.406270862084075</v>
      </c>
      <c r="D257" s="403">
        <f>IF(C257="","",(D$3*$C257)/$C$3)</f>
        <v>0.524406360987955</v>
      </c>
      <c r="E257" s="403">
        <f>IF(C257="","",D257-$C257)</f>
        <v>0.11813549890388</v>
      </c>
      <c r="F257" s="404">
        <f>IF(B257="","",C257/B257)</f>
        <v>0.000394027143266039</v>
      </c>
      <c r="G257" s="404"/>
    </row>
    <row r="258" ht="20.05" customHeight="1">
      <c r="A258" s="400">
        <v>45059</v>
      </c>
      <c r="B258" t="s" s="405">
        <f>IF(OR(WEEKDAY($A258)=7,WEEKDAY($A258)=1),"",IF(B257="",IF(B256="",B255,B256),B257)+IF(A$2=TRUE,IF(C257="",IF(C256="",C255,C256),C257)*2,IF(C257="",IF(C256="",C255,C256),C257)))</f>
      </c>
      <c r="C258" t="s" s="406">
        <f>IF(B258="","",B258*F$6)</f>
      </c>
      <c r="D258" t="s" s="406">
        <f>IF(C258="","",(D$3*$C258)/$C$3)</f>
      </c>
      <c r="E258" t="s" s="406">
        <f>IF(C258="","",D258-$C258)</f>
      </c>
      <c r="F258" t="s" s="406">
        <f>IF(B258="","",C258/B258)</f>
      </c>
      <c r="G258" s="404"/>
    </row>
    <row r="259" ht="20.05" customHeight="1">
      <c r="A259" s="400">
        <v>45060</v>
      </c>
      <c r="B259" t="s" s="405">
        <f>IF(OR(WEEKDAY($A259)=7,WEEKDAY($A259)=1),"",IF(B258="",IF(B257="",B256,B257),B258)+IF(A$2=TRUE,IF(C258="",IF(C257="",C256,C257),C258)*2,IF(C258="",IF(C257="",C256,C257),C258)))</f>
      </c>
      <c r="C259" t="s" s="406">
        <f>IF(B259="","",B259*F$6)</f>
      </c>
      <c r="D259" t="s" s="406">
        <f>IF(C259="","",(D$3*$C259)/$C$3)</f>
      </c>
      <c r="E259" t="s" s="406">
        <f>IF(C259="","",D259-$C259)</f>
      </c>
      <c r="F259" t="s" s="406">
        <f>IF(B259="","",C259/B259)</f>
      </c>
      <c r="G259" s="404"/>
    </row>
    <row r="260" ht="20.05" customHeight="1">
      <c r="A260" s="400">
        <v>45061</v>
      </c>
      <c r="B260" s="401">
        <f>IF(OR(WEEKDAY($A260)=7,WEEKDAY($A260)=1),"",IF(B259="",IF(B258="",B257,B258),B259)+IF(A$2=TRUE,IF(C259="",IF(C258="",C257,C258),C259)*2,IF(C259="",IF(C258="",C257,C258),C259)))</f>
        <v>1031.885829509750</v>
      </c>
      <c r="C260" s="402">
        <f>IF(B260="","",B260*F$6)</f>
        <v>0.406591025578434</v>
      </c>
      <c r="D260" s="403">
        <f>IF(C260="","",(D$3*$C260)/$C$3)</f>
        <v>0.524819621668617</v>
      </c>
      <c r="E260" s="403">
        <f>IF(C260="","",D260-$C260)</f>
        <v>0.118228596090183</v>
      </c>
      <c r="F260" s="404">
        <f>IF(B260="","",C260/B260)</f>
        <v>0.000394027143266039</v>
      </c>
      <c r="G260" s="404"/>
    </row>
    <row r="261" ht="20.05" customHeight="1">
      <c r="A261" s="400">
        <v>45062</v>
      </c>
      <c r="B261" s="401">
        <f>IF(OR(WEEKDAY($A261)=7,WEEKDAY($A261)=1),"",IF(B260="",IF(B259="",B258,B259),B260)+IF(A$2=TRUE,IF(C260="",IF(C259="",C258,C259),C260)*2,IF(C260="",IF(C259="",C258,C259),C260)))</f>
        <v>1032.699011560910</v>
      </c>
      <c r="C261" s="402">
        <f>IF(B261="","",B261*F$6)</f>
        <v>0.406911441379008</v>
      </c>
      <c r="D261" s="403">
        <f>IF(C261="","",(D$3*$C261)/$C$3)</f>
        <v>0.525233208021131</v>
      </c>
      <c r="E261" s="403">
        <f>IF(C261="","",D261-$C261)</f>
        <v>0.118321766642123</v>
      </c>
      <c r="F261" s="404">
        <f>IF(B261="","",C261/B261)</f>
        <v>0.000394027143266039</v>
      </c>
      <c r="G261" s="404"/>
    </row>
    <row r="262" ht="20.05" customHeight="1">
      <c r="A262" s="400">
        <v>45063</v>
      </c>
      <c r="B262" s="401">
        <f>IF(OR(WEEKDAY($A262)=7,WEEKDAY($A262)=1),"",IF(B261="",IF(B260="",B259,B260),B261)+IF(A$2=TRUE,IF(C261="",IF(C260="",C259,C260),C261)*2,IF(C261="",IF(C260="",C259,C260),C261)))</f>
        <v>1033.512834443670</v>
      </c>
      <c r="C262" s="402">
        <f>IF(B262="","",B262*F$6)</f>
        <v>0.407232109684626</v>
      </c>
      <c r="D262" s="403">
        <f>IF(C262="","",(D$3*$C262)/$C$3)</f>
        <v>0.525647120302141</v>
      </c>
      <c r="E262" s="403">
        <f>IF(C262="","",D262-$C262)</f>
        <v>0.118415010617515</v>
      </c>
      <c r="F262" s="404">
        <f>IF(B262="","",C262/B262)</f>
        <v>0.000394027143266039</v>
      </c>
      <c r="G262" s="404"/>
    </row>
    <row r="263" ht="20.05" customHeight="1">
      <c r="A263" s="400">
        <v>45064</v>
      </c>
      <c r="B263" s="401">
        <f>IF(OR(WEEKDAY($A263)=7,WEEKDAY($A263)=1),"",IF(B262="",IF(B261="",B260,B261),B262)+IF(A$2=TRUE,IF(C262="",IF(C261="",C260,C261),C262)*2,IF(C262="",IF(C261="",C260,C261),C262)))</f>
        <v>1034.327298663040</v>
      </c>
      <c r="C263" s="402">
        <f>IF(B263="","",B263*F$6)</f>
        <v>0.407553030694277</v>
      </c>
      <c r="D263" s="403">
        <f>IF(C263="","",(D$3*$C263)/$C$3)</f>
        <v>0.526061358768499</v>
      </c>
      <c r="E263" s="403">
        <f>IF(C263="","",D263-$C263)</f>
        <v>0.118508328074222</v>
      </c>
      <c r="F263" s="404">
        <f>IF(B263="","",C263/B263)</f>
        <v>0.000394027143266039</v>
      </c>
      <c r="G263" s="404"/>
    </row>
    <row r="264" ht="20.05" customHeight="1">
      <c r="A264" s="400">
        <v>45065</v>
      </c>
      <c r="B264" s="401">
        <f>IF(OR(WEEKDAY($A264)=7,WEEKDAY($A264)=1),"",IF(B263="",IF(B262="",B261,B262),B263)+IF(A$2=TRUE,IF(C263="",IF(C262="",C261,C262),C263)*2,IF(C263="",IF(C262="",C261,C262),C263)))</f>
        <v>1035.142404724430</v>
      </c>
      <c r="C264" s="402">
        <f>IF(B264="","",B264*F$6)</f>
        <v>0.407874204607105</v>
      </c>
      <c r="D264" s="403">
        <f>IF(C264="","",(D$3*$C264)/$C$3)</f>
        <v>0.526475923677256</v>
      </c>
      <c r="E264" s="403">
        <f>IF(C264="","",D264-$C264)</f>
        <v>0.118601719070151</v>
      </c>
      <c r="F264" s="404">
        <f>IF(B264="","",C264/B264)</f>
        <v>0.000394027143266039</v>
      </c>
      <c r="G264" s="404"/>
    </row>
    <row r="265" ht="20.05" customHeight="1">
      <c r="A265" s="400">
        <v>45066</v>
      </c>
      <c r="B265" t="s" s="405">
        <f>IF(OR(WEEKDAY($A265)=7,WEEKDAY($A265)=1),"",IF(B264="",IF(B263="",B262,B263),B264)+IF(A$2=TRUE,IF(C264="",IF(C263="",C262,C263),C264)*2,IF(C264="",IF(C263="",C262,C263),C264)))</f>
      </c>
      <c r="C265" t="s" s="406">
        <f>IF(B265="","",B265*F$6)</f>
      </c>
      <c r="D265" t="s" s="406">
        <f>IF(C265="","",(D$3*$C265)/$C$3)</f>
      </c>
      <c r="E265" t="s" s="406">
        <f>IF(C265="","",D265-$C265)</f>
      </c>
      <c r="F265" t="s" s="406">
        <f>IF(B265="","",C265/B265)</f>
      </c>
      <c r="G265" s="404"/>
    </row>
    <row r="266" ht="20.05" customHeight="1">
      <c r="A266" s="400">
        <v>45067</v>
      </c>
      <c r="B266" t="s" s="405">
        <f>IF(OR(WEEKDAY($A266)=7,WEEKDAY($A266)=1),"",IF(B265="",IF(B264="",B263,B264),B265)+IF(A$2=TRUE,IF(C265="",IF(C264="",C263,C264),C265)*2,IF(C265="",IF(C264="",C263,C264),C265)))</f>
      </c>
      <c r="C266" t="s" s="406">
        <f>IF(B266="","",B266*F$6)</f>
      </c>
      <c r="D266" t="s" s="406">
        <f>IF(C266="","",(D$3*$C266)/$C$3)</f>
      </c>
      <c r="E266" t="s" s="406">
        <f>IF(C266="","",D266-$C266)</f>
      </c>
      <c r="F266" t="s" s="406">
        <f>IF(B266="","",C266/B266)</f>
      </c>
      <c r="G266" s="404"/>
    </row>
    <row r="267" ht="20.05" customHeight="1">
      <c r="A267" s="400">
        <v>45068</v>
      </c>
      <c r="B267" s="401">
        <f>IF(OR(WEEKDAY($A267)=7,WEEKDAY($A267)=1),"",IF(B266="",IF(B265="",B264,B265),B266)+IF(A$2=TRUE,IF(C266="",IF(C265="",C264,C265),C266)*2,IF(C266="",IF(C265="",C264,C265),C266)))</f>
        <v>1035.958153133640</v>
      </c>
      <c r="C267" s="402">
        <f>IF(B267="","",B267*F$6)</f>
        <v>0.40819563162241</v>
      </c>
      <c r="D267" s="403">
        <f>IF(C267="","",(D$3*$C267)/$C$3)</f>
        <v>0.5268908152856639</v>
      </c>
      <c r="E267" s="403">
        <f>IF(C267="","",D267-$C267)</f>
        <v>0.118695183663254</v>
      </c>
      <c r="F267" s="404">
        <f>IF(B267="","",C267/B267)</f>
        <v>0.000394027143266039</v>
      </c>
      <c r="G267" s="404"/>
    </row>
    <row r="268" ht="20.05" customHeight="1">
      <c r="A268" s="400">
        <v>45069</v>
      </c>
      <c r="B268" s="401">
        <f>IF(OR(WEEKDAY($A268)=7,WEEKDAY($A268)=1),"",IF(B267="",IF(B266="",B265,B266),B267)+IF(A$2=TRUE,IF(C267="",IF(C266="",C265,C266),C267)*2,IF(C267="",IF(C266="",C265,C266),C267)))</f>
        <v>1036.774544396880</v>
      </c>
      <c r="C268" s="402">
        <f>IF(B268="","",B268*F$6)</f>
        <v>0.408517311939652</v>
      </c>
      <c r="D268" s="403">
        <f>IF(C268="","",(D$3*$C268)/$C$3)</f>
        <v>0.527306033851182</v>
      </c>
      <c r="E268" s="403">
        <f>IF(C268="","",D268-$C268)</f>
        <v>0.11878872191153</v>
      </c>
      <c r="F268" s="404">
        <f>IF(B268="","",C268/B268)</f>
        <v>0.000394027143266039</v>
      </c>
      <c r="G268" s="404"/>
    </row>
    <row r="269" ht="20.05" customHeight="1">
      <c r="A269" s="400">
        <v>45070</v>
      </c>
      <c r="B269" s="401">
        <f>IF(OR(WEEKDAY($A269)=7,WEEKDAY($A269)=1),"",IF(B268="",IF(B267="",B266,B267),B268)+IF(A$2=TRUE,IF(C268="",IF(C267="",C266,C267),C268)*2,IF(C268="",IF(C267="",C266,C267),C268)))</f>
        <v>1037.591579020760</v>
      </c>
      <c r="C269" s="402">
        <f>IF(B269="","",B269*F$6)</f>
        <v>0.408839245758449</v>
      </c>
      <c r="D269" s="403">
        <f>IF(C269="","",(D$3*$C269)/$C$3)</f>
        <v>0.527721579631473</v>
      </c>
      <c r="E269" s="403">
        <f>IF(C269="","",D269-$C269)</f>
        <v>0.118882333873024</v>
      </c>
      <c r="F269" s="404">
        <f>IF(B269="","",C269/B269)</f>
        <v>0.000394027143266039</v>
      </c>
      <c r="G269" s="404"/>
    </row>
    <row r="270" ht="20.05" customHeight="1">
      <c r="A270" s="400">
        <v>45071</v>
      </c>
      <c r="B270" s="401">
        <f>IF(OR(WEEKDAY($A270)=7,WEEKDAY($A270)=1),"",IF(B269="",IF(B268="",B267,B268),B269)+IF(A$2=TRUE,IF(C269="",IF(C268="",C267,C268),C269)*2,IF(C269="",IF(C268="",C267,C268),C269)))</f>
        <v>1038.409257512280</v>
      </c>
      <c r="C270" s="402">
        <f>IF(B270="","",B270*F$6)</f>
        <v>0.409161433278572</v>
      </c>
      <c r="D270" s="403">
        <f>IF(C270="","",(D$3*$C270)/$C$3)</f>
        <v>0.528137452884398</v>
      </c>
      <c r="E270" s="403">
        <f>IF(C270="","",D270-$C270)</f>
        <v>0.118976019605826</v>
      </c>
      <c r="F270" s="404">
        <f>IF(B270="","",C270/B270)</f>
        <v>0.000394027143266039</v>
      </c>
      <c r="G270" s="404"/>
    </row>
    <row r="271" ht="20.05" customHeight="1">
      <c r="A271" s="400">
        <v>45072</v>
      </c>
      <c r="B271" s="401">
        <f>IF(OR(WEEKDAY($A271)=7,WEEKDAY($A271)=1),"",IF(B270="",IF(B269="",B268,B269),B270)+IF(A$2=TRUE,IF(C270="",IF(C269="",C268,C269),C270)*2,IF(C270="",IF(C269="",C268,C269),C270)))</f>
        <v>1039.227580378840</v>
      </c>
      <c r="C271" s="402">
        <f>IF(B271="","",B271*F$6)</f>
        <v>0.409483874699952</v>
      </c>
      <c r="D271" s="403">
        <f>IF(C271="","",(D$3*$C271)/$C$3)</f>
        <v>0.528553653868023</v>
      </c>
      <c r="E271" s="403">
        <f>IF(C271="","",D271-$C271)</f>
        <v>0.119069779168071</v>
      </c>
      <c r="F271" s="404">
        <f>IF(B271="","",C271/B271)</f>
        <v>0.000394027143266039</v>
      </c>
      <c r="G271" s="404"/>
    </row>
    <row r="272" ht="20.05" customHeight="1">
      <c r="A272" s="400">
        <v>45073</v>
      </c>
      <c r="B272" t="s" s="405">
        <f>IF(OR(WEEKDAY($A272)=7,WEEKDAY($A272)=1),"",IF(B271="",IF(B270="",B269,B270),B271)+IF(A$2=TRUE,IF(C271="",IF(C270="",C269,C270),C271)*2,IF(C271="",IF(C270="",C269,C270),C271)))</f>
      </c>
      <c r="C272" t="s" s="406">
        <f>IF(B272="","",B272*F$6)</f>
      </c>
      <c r="D272" t="s" s="406">
        <f>IF(C272="","",(D$3*$C272)/$C$3)</f>
      </c>
      <c r="E272" t="s" s="406">
        <f>IF(C272="","",D272-$C272)</f>
      </c>
      <c r="F272" t="s" s="406">
        <f>IF(B272="","",C272/B272)</f>
      </c>
      <c r="G272" s="404"/>
    </row>
    <row r="273" ht="20.05" customHeight="1">
      <c r="A273" s="400">
        <v>45074</v>
      </c>
      <c r="B273" t="s" s="405">
        <f>IF(OR(WEEKDAY($A273)=7,WEEKDAY($A273)=1),"",IF(B272="",IF(B271="",B270,B271),B272)+IF(A$2=TRUE,IF(C272="",IF(C271="",C270,C271),C272)*2,IF(C272="",IF(C271="",C270,C271),C272)))</f>
      </c>
      <c r="C273" t="s" s="406">
        <f>IF(B273="","",B273*F$6)</f>
      </c>
      <c r="D273" t="s" s="406">
        <f>IF(C273="","",(D$3*$C273)/$C$3)</f>
      </c>
      <c r="E273" t="s" s="406">
        <f>IF(C273="","",D273-$C273)</f>
      </c>
      <c r="F273" t="s" s="406">
        <f>IF(B273="","",C273/B273)</f>
      </c>
      <c r="G273" s="404"/>
    </row>
    <row r="274" ht="20.05" customHeight="1">
      <c r="A274" s="400">
        <v>45075</v>
      </c>
      <c r="B274" s="401">
        <f>IF(OR(WEEKDAY($A274)=7,WEEKDAY($A274)=1),"",IF(B273="",IF(B272="",B271,B272),B273)+IF(A$2=TRUE,IF(C273="",IF(C272="",C271,C272),C273)*2,IF(C273="",IF(C272="",C271,C272),C273)))-G152</f>
        <v>918.826548128240</v>
      </c>
      <c r="C274" s="402">
        <f>IF(B274="","",B274*F$6)</f>
        <v>0.362042599915966</v>
      </c>
      <c r="D274" s="403">
        <f>IF(C274="","",(D$3*$C274)/$C$3)</f>
        <v>0.467317398473091</v>
      </c>
      <c r="E274" s="403">
        <f>IF(C274="","",D274-$C274)</f>
        <v>0.105274798557125</v>
      </c>
      <c r="F274" s="404">
        <f>IF(B274="","",C274/B274)</f>
        <v>0.000394027143266039</v>
      </c>
      <c r="G274" s="404"/>
    </row>
    <row r="275" ht="20.05" customHeight="1">
      <c r="A275" s="400">
        <v>45076</v>
      </c>
      <c r="B275" s="401">
        <f>IF(OR(WEEKDAY($A275)=7,WEEKDAY($A275)=1),"",IF(B274="",IF(B273="",B272,B273),B274)+IF(A$2=TRUE,IF(C274="",IF(C273="",C272,C273),C274)*2,IF(C274="",IF(C273="",C272,C273),C274)))</f>
        <v>919.550633328072</v>
      </c>
      <c r="C275" s="402">
        <f>IF(B275="","",B275*F$6)</f>
        <v>0.362327909138737</v>
      </c>
      <c r="D275" s="403">
        <f>IF(C275="","",(D$3*$C275)/$C$3)</f>
        <v>0.467685669952129</v>
      </c>
      <c r="E275" s="403">
        <f>IF(C275="","",D275-$C275)</f>
        <v>0.105357760813392</v>
      </c>
      <c r="F275" s="404">
        <f>IF(B275="","",C275/B275)</f>
        <v>0.000394027143266039</v>
      </c>
      <c r="G275" s="402">
        <f>G276*B247</f>
        <v>-104.320656194971</v>
      </c>
    </row>
    <row r="276" ht="20.05" customHeight="1">
      <c r="A276" s="400">
        <v>45077</v>
      </c>
      <c r="B276" s="401">
        <f>IF(OR(WEEKDAY($A276)=7,WEEKDAY($A276)=1),"",IF(B275="",IF(B274="",B273,B274),B275)+IF(A$2=TRUE,IF(C275="",IF(C274="",C273,C274),C275)*2,IF(C275="",IF(C274="",C273,C274),C275)))</f>
        <v>920.275289146349</v>
      </c>
      <c r="C276" s="402">
        <f>IF(B276="","",B276*F$6)</f>
        <v>0.362613443200664</v>
      </c>
      <c r="D276" s="403">
        <f>IF(C276="","",(D$3*$C276)/$C$3)</f>
        <v>0.468054231649084</v>
      </c>
      <c r="E276" s="403">
        <f>IF(C276="","",D276-$C276)</f>
        <v>0.10544078844842</v>
      </c>
      <c r="F276" s="404">
        <f>IF(B276="","",C276/B276)</f>
        <v>0.000394027143266039</v>
      </c>
      <c r="G276" s="404">
        <f>(B276-B247)/B247</f>
        <v>-0.101816385931743</v>
      </c>
    </row>
    <row r="277" ht="20.05" customHeight="1">
      <c r="A277" s="400">
        <v>45078</v>
      </c>
      <c r="B277" s="401">
        <f>IF(OR(WEEKDAY($A277)=7,WEEKDAY($A277)=1),"",IF(B276="",IF(B275="",B274,B275),B276)+IF(A$2=TRUE,IF(C276="",IF(C275="",C274,C275),C276)*2,IF(C276="",IF(C275="",C274,C275),C276)))</f>
        <v>921.0005160327501</v>
      </c>
      <c r="C277" s="402">
        <f>IF(B277="","",B277*F$6)</f>
        <v>0.362899202278932</v>
      </c>
      <c r="D277" s="403">
        <f>IF(C277="","",(D$3*$C277)/$C$3)</f>
        <v>0.468423083792664</v>
      </c>
      <c r="E277" s="403">
        <f>IF(C277="","",D277-$C277)</f>
        <v>0.105523881513732</v>
      </c>
      <c r="F277" s="404">
        <f>IF(B277="","",C277/B277)</f>
        <v>0.000394027143266039</v>
      </c>
      <c r="G277" s="404"/>
    </row>
    <row r="278" ht="20.05" customHeight="1">
      <c r="A278" s="400">
        <v>45079</v>
      </c>
      <c r="B278" s="401">
        <f>IF(OR(WEEKDAY($A278)=7,WEEKDAY($A278)=1),"",IF(B277="",IF(B276="",B275,B276),B277)+IF(A$2=TRUE,IF(C277="",IF(C276="",C275,C276),C277)*2,IF(C277="",IF(C276="",C275,C276),C277)))</f>
        <v>921.726314437308</v>
      </c>
      <c r="C278" s="402">
        <f>IF(B278="","",B278*F$6)</f>
        <v>0.363185186550867</v>
      </c>
      <c r="D278" s="403">
        <f>IF(C278="","",(D$3*$C278)/$C$3)</f>
        <v>0.468792226611757</v>
      </c>
      <c r="E278" s="403">
        <f>IF(C278="","",D278-$C278)</f>
        <v>0.10560704006089</v>
      </c>
      <c r="F278" s="404">
        <f>IF(B278="","",C278/B278)</f>
        <v>0.000394027143266039</v>
      </c>
      <c r="G278" s="404"/>
    </row>
    <row r="279" ht="20.05" customHeight="1">
      <c r="A279" s="400">
        <v>45080</v>
      </c>
      <c r="B279" t="s" s="405">
        <f>IF(OR(WEEKDAY($A279)=7,WEEKDAY($A279)=1),"",IF(B278="",IF(B277="",B276,B277),B278)+IF(A$2=TRUE,IF(C278="",IF(C277="",C276,C277),C278)*2,IF(C278="",IF(C277="",C276,C277),C278)))</f>
      </c>
      <c r="C279" t="s" s="406">
        <f>IF(B279="","",B279*F$6)</f>
      </c>
      <c r="D279" t="s" s="406">
        <f>IF(C279="","",(D$3*$C279)/$C$3)</f>
      </c>
      <c r="E279" t="s" s="406">
        <f>IF(C279="","",D279-$C279)</f>
      </c>
      <c r="F279" t="s" s="406">
        <f>IF(B279="","",C279/B279)</f>
      </c>
      <c r="G279" s="404"/>
    </row>
    <row r="280" ht="20.05" customHeight="1">
      <c r="A280" s="400">
        <v>45081</v>
      </c>
      <c r="B280" t="s" s="405">
        <f>IF(OR(WEEKDAY($A280)=7,WEEKDAY($A280)=1),"",IF(B279="",IF(B278="",B277,B278),B279)+IF(A$2=TRUE,IF(C279="",IF(C278="",C277,C278),C279)*2,IF(C279="",IF(C278="",C277,C278),C279)))</f>
      </c>
      <c r="C280" t="s" s="406">
        <f>IF(B280="","",B280*F$6)</f>
      </c>
      <c r="D280" t="s" s="406">
        <f>IF(C280="","",(D$3*$C280)/$C$3)</f>
      </c>
      <c r="E280" t="s" s="406">
        <f>IF(C280="","",D280-$C280)</f>
      </c>
      <c r="F280" t="s" s="406">
        <f>IF(B280="","",C280/B280)</f>
      </c>
      <c r="G280" s="404"/>
    </row>
    <row r="281" ht="20.05" customHeight="1">
      <c r="A281" s="400">
        <v>45082</v>
      </c>
      <c r="B281" s="401">
        <f>IF(OR(WEEKDAY($A281)=7,WEEKDAY($A281)=1),"",IF(B280="",IF(B279="",B278,B279),B280)+IF(A$2=TRUE,IF(C280="",IF(C279="",C278,C279),C280)*2,IF(C280="",IF(C279="",C278,C279),C280)))</f>
        <v>922.452684810410</v>
      </c>
      <c r="C281" s="402">
        <f>IF(B281="","",B281*F$6)</f>
        <v>0.363471396193934</v>
      </c>
      <c r="D281" s="403">
        <f>IF(C281="","",(D$3*$C281)/$C$3)</f>
        <v>0.469161660335433</v>
      </c>
      <c r="E281" s="403">
        <f>IF(C281="","",D281-$C281)</f>
        <v>0.105690264141499</v>
      </c>
      <c r="F281" s="404">
        <f>IF(B281="","",C281/B281)</f>
        <v>0.000394027143266039</v>
      </c>
      <c r="G281" s="404"/>
    </row>
    <row r="282" ht="20.05" customHeight="1">
      <c r="A282" s="400">
        <v>45083</v>
      </c>
      <c r="B282" s="401">
        <f>IF(OR(WEEKDAY($A282)=7,WEEKDAY($A282)=1),"",IF(B281="",IF(B280="",B279,B280),B281)+IF(A$2=TRUE,IF(C281="",IF(C280="",C279,C280),C281)*2,IF(C281="",IF(C280="",C279,C280),C281)))</f>
        <v>923.179627602798</v>
      </c>
      <c r="C282" s="402">
        <f>IF(B282="","",B282*F$6)</f>
        <v>0.363757831385736</v>
      </c>
      <c r="D282" s="403">
        <f>IF(C282="","",(D$3*$C282)/$C$3)</f>
        <v>0.469531385192936</v>
      </c>
      <c r="E282" s="403">
        <f>IF(C282="","",D282-$C282)</f>
        <v>0.1057735538072</v>
      </c>
      <c r="F282" s="404">
        <f>IF(B282="","",C282/B282)</f>
        <v>0.000394027143266039</v>
      </c>
      <c r="G282" s="404"/>
    </row>
    <row r="283" ht="20.05" customHeight="1">
      <c r="A283" s="400">
        <v>45084</v>
      </c>
      <c r="B283" s="401">
        <f>IF(OR(WEEKDAY($A283)=7,WEEKDAY($A283)=1),"",IF(B282="",IF(B281="",B280,B281),B282)+IF(A$2=TRUE,IF(C282="",IF(C281="",C280,C281),C282)*2,IF(C282="",IF(C281="",C280,C281),C282)))</f>
        <v>923.9071432655689</v>
      </c>
      <c r="C283" s="402">
        <f>IF(B283="","",B283*F$6)</f>
        <v>0.364044492304019</v>
      </c>
      <c r="D283" s="403">
        <f>IF(C283="","",(D$3*$C283)/$C$3)</f>
        <v>0.469901401413698</v>
      </c>
      <c r="E283" s="403">
        <f>IF(C283="","",D283-$C283)</f>
        <v>0.105856909109679</v>
      </c>
      <c r="F283" s="404">
        <f>IF(B283="","",C283/B283)</f>
        <v>0.000394027143266039</v>
      </c>
      <c r="G283" s="404"/>
    </row>
    <row r="284" ht="20.05" customHeight="1">
      <c r="A284" s="400">
        <v>45085</v>
      </c>
      <c r="B284" s="401">
        <f>IF(OR(WEEKDAY($A284)=7,WEEKDAY($A284)=1),"",IF(B283="",IF(B282="",B281,B282),B283)+IF(A$2=TRUE,IF(C283="",IF(C282="",C281,C282),C283)*2,IF(C283="",IF(C282="",C281,C282),C283)))</f>
        <v>924.635232250177</v>
      </c>
      <c r="C284" s="402">
        <f>IF(B284="","",B284*F$6)</f>
        <v>0.364331379126668</v>
      </c>
      <c r="D284" s="403">
        <f>IF(C284="","",(D$3*$C284)/$C$3)</f>
        <v>0.47027170922733</v>
      </c>
      <c r="E284" s="403">
        <f>IF(C284="","",D284-$C284)</f>
        <v>0.105940330100662</v>
      </c>
      <c r="F284" s="404">
        <f>IF(B284="","",C284/B284)</f>
        <v>0.000394027143266039</v>
      </c>
      <c r="G284" s="404"/>
    </row>
    <row r="285" ht="20.05" customHeight="1">
      <c r="A285" s="400">
        <v>45086</v>
      </c>
      <c r="B285" s="401">
        <f>IF(OR(WEEKDAY($A285)=7,WEEKDAY($A285)=1),"",IF(B284="",IF(B283="",B282,B283),B284)+IF(A$2=TRUE,IF(C284="",IF(C283="",C282,C283),C284)*2,IF(C284="",IF(C283="",C282,C283),C284)))</f>
        <v>925.3638950084299</v>
      </c>
      <c r="C285" s="402">
        <f>IF(B285="","",B285*F$6)</f>
        <v>0.364618492031707</v>
      </c>
      <c r="D285" s="403">
        <f>IF(C285="","",(D$3*$C285)/$C$3)</f>
        <v>0.470642308863622</v>
      </c>
      <c r="E285" s="403">
        <f>IF(C285="","",D285-$C285)</f>
        <v>0.106023816831915</v>
      </c>
      <c r="F285" s="404">
        <f>IF(B285="","",C285/B285)</f>
        <v>0.00039402714326604</v>
      </c>
      <c r="G285" s="404"/>
    </row>
    <row r="286" ht="20.05" customHeight="1">
      <c r="A286" s="400">
        <v>45087</v>
      </c>
      <c r="B286" t="s" s="405">
        <f>IF(OR(WEEKDAY($A286)=7,WEEKDAY($A286)=1),"",IF(B285="",IF(B284="",B283,B284),B285)+IF(A$2=TRUE,IF(C285="",IF(C284="",C283,C284),C285)*2,IF(C285="",IF(C284="",C283,C284),C285)))</f>
      </c>
      <c r="C286" t="s" s="406">
        <f>IF(B286="","",B286*F$6)</f>
      </c>
      <c r="D286" t="s" s="406">
        <f>IF(C286="","",(D$3*$C286)/$C$3)</f>
      </c>
      <c r="E286" t="s" s="406">
        <f>IF(C286="","",D286-$C286)</f>
      </c>
      <c r="F286" t="s" s="406">
        <f>IF(B286="","",C286/B286)</f>
      </c>
      <c r="G286" s="404"/>
    </row>
    <row r="287" ht="20.05" customHeight="1">
      <c r="A287" s="400">
        <v>45088</v>
      </c>
      <c r="B287" t="s" s="405">
        <f>IF(OR(WEEKDAY($A287)=7,WEEKDAY($A287)=1),"",IF(B286="",IF(B285="",B284,B285),B286)+IF(A$2=TRUE,IF(C286="",IF(C285="",C284,C285),C286)*2,IF(C286="",IF(C285="",C284,C285),C286)))</f>
      </c>
      <c r="C287" t="s" s="406">
        <f>IF(B287="","",B287*F$6)</f>
      </c>
      <c r="D287" t="s" s="406">
        <f>IF(C287="","",(D$3*$C287)/$C$3)</f>
      </c>
      <c r="E287" t="s" s="406">
        <f>IF(C287="","",D287-$C287)</f>
      </c>
      <c r="F287" t="s" s="406">
        <f>IF(B287="","",C287/B287)</f>
      </c>
      <c r="G287" s="404"/>
    </row>
    <row r="288" ht="20.05" customHeight="1">
      <c r="A288" s="400">
        <v>45089</v>
      </c>
      <c r="B288" s="401">
        <f>IF(OR(WEEKDAY($A288)=7,WEEKDAY($A288)=1),"",IF(B287="",IF(B286="",B285,B286),B287)+IF(A$2=TRUE,IF(C287="",IF(C286="",C285,C286),C287)*2,IF(C287="",IF(C286="",C285,C286),C287)))</f>
        <v>926.093131992493</v>
      </c>
      <c r="C288" s="402">
        <f>IF(B288="","",B288*F$6)</f>
        <v>0.364905831197301</v>
      </c>
      <c r="D288" s="403">
        <f>IF(C288="","",(D$3*$C288)/$C$3)</f>
        <v>0.471013200552545</v>
      </c>
      <c r="E288" s="403">
        <f>IF(C288="","",D288-$C288)</f>
        <v>0.106107369355244</v>
      </c>
      <c r="F288" s="404">
        <f>IF(B288="","",C288/B288)</f>
        <v>0.000394027143266039</v>
      </c>
      <c r="G288" s="404"/>
    </row>
    <row r="289" ht="20.05" customHeight="1">
      <c r="A289" s="400">
        <v>45090</v>
      </c>
      <c r="B289" s="401">
        <f>IF(OR(WEEKDAY($A289)=7,WEEKDAY($A289)=1),"",IF(B288="",IF(B287="",B286,B287),B288)+IF(A$2=TRUE,IF(C288="",IF(C287="",C286,C287),C288)*2,IF(C288="",IF(C287="",C286,C287),C288)))</f>
        <v>926.822943654888</v>
      </c>
      <c r="C289" s="402">
        <f>IF(B289="","",B289*F$6)</f>
        <v>0.365193396801757</v>
      </c>
      <c r="D289" s="403">
        <f>IF(C289="","",(D$3*$C289)/$C$3)</f>
        <v>0.471384384524254</v>
      </c>
      <c r="E289" s="403">
        <f>IF(C289="","",D289-$C289)</f>
        <v>0.106190987722497</v>
      </c>
      <c r="F289" s="404">
        <f>IF(B289="","",C289/B289)</f>
        <v>0.000394027143266039</v>
      </c>
      <c r="G289" s="404"/>
    </row>
    <row r="290" ht="20.05" customHeight="1">
      <c r="A290" s="400">
        <v>45091</v>
      </c>
      <c r="B290" s="401">
        <f>IF(OR(WEEKDAY($A290)=7,WEEKDAY($A290)=1),"",IF(B289="",IF(B288="",B287,B288),B289)+IF(A$2=TRUE,IF(C289="",IF(C288="",C287,C288),C289)*2,IF(C289="",IF(C288="",C287,C288),C289)))</f>
        <v>927.553330448492</v>
      </c>
      <c r="C290" s="402">
        <f>IF(B290="","",B290*F$6)</f>
        <v>0.36548118902352</v>
      </c>
      <c r="D290" s="403">
        <f>IF(C290="","",(D$3*$C290)/$C$3)</f>
        <v>0.471755861009083</v>
      </c>
      <c r="E290" s="403">
        <f>IF(C290="","",D290-$C290)</f>
        <v>0.106274671985563</v>
      </c>
      <c r="F290" s="404">
        <f>IF(B290="","",C290/B290)</f>
        <v>0.000394027143266039</v>
      </c>
      <c r="G290" s="404"/>
    </row>
    <row r="291" ht="20.05" customHeight="1">
      <c r="A291" s="400">
        <v>45092</v>
      </c>
      <c r="B291" s="401">
        <f>IF(OR(WEEKDAY($A291)=7,WEEKDAY($A291)=1),"",IF(B290="",IF(B289="",B288,B289),B290)+IF(A$2=TRUE,IF(C290="",IF(C289="",C288,C289),C290)*2,IF(C290="",IF(C289="",C288,C289),C290)))</f>
        <v>928.2842928265389</v>
      </c>
      <c r="C291" s="402">
        <f>IF(B291="","",B291*F$6)</f>
        <v>0.365769208041176</v>
      </c>
      <c r="D291" s="403">
        <f>IF(C291="","",(D$3*$C291)/$C$3)</f>
        <v>0.472127630237546</v>
      </c>
      <c r="E291" s="403">
        <f>IF(C291="","",D291-$C291)</f>
        <v>0.10635842219637</v>
      </c>
      <c r="F291" s="404">
        <f>IF(B291="","",C291/B291)</f>
        <v>0.000394027143266039</v>
      </c>
      <c r="G291" s="404"/>
    </row>
    <row r="292" ht="20.05" customHeight="1">
      <c r="A292" s="400">
        <v>45093</v>
      </c>
      <c r="B292" s="401">
        <f>IF(OR(WEEKDAY($A292)=7,WEEKDAY($A292)=1),"",IF(B291="",IF(B290="",B289,B290),B291)+IF(A$2=TRUE,IF(C291="",IF(C290="",C289,C290),C291)*2,IF(C291="",IF(C290="",C289,C290),C291)))</f>
        <v>929.0158312426209</v>
      </c>
      <c r="C292" s="402">
        <f>IF(B292="","",B292*F$6)</f>
        <v>0.366057454033455</v>
      </c>
      <c r="D292" s="403">
        <f>IF(C292="","",(D$3*$C292)/$C$3)</f>
        <v>0.472499692440346</v>
      </c>
      <c r="E292" s="403">
        <f>IF(C292="","",D292-$C292)</f>
        <v>0.106442238406891</v>
      </c>
      <c r="F292" s="404">
        <f>IF(B292="","",C292/B292)</f>
        <v>0.00039402714326604</v>
      </c>
      <c r="G292" s="404"/>
    </row>
    <row r="293" ht="20.05" customHeight="1">
      <c r="A293" s="400">
        <v>45094</v>
      </c>
      <c r="B293" t="s" s="405">
        <f>IF(OR(WEEKDAY($A293)=7,WEEKDAY($A293)=1),"",IF(B292="",IF(B291="",B290,B291),B292)+IF(A$2=TRUE,IF(C292="",IF(C291="",C290,C291),C292)*2,IF(C292="",IF(C291="",C290,C291),C292)))</f>
      </c>
      <c r="C293" t="s" s="406">
        <f>IF(B293="","",B293*F$6)</f>
      </c>
      <c r="D293" t="s" s="406">
        <f>IF(C293="","",(D$3*$C293)/$C$3)</f>
      </c>
      <c r="E293" t="s" s="406">
        <f>IF(C293="","",D293-$C293)</f>
      </c>
      <c r="F293" t="s" s="406">
        <f>IF(B293="","",C293/B293)</f>
      </c>
      <c r="G293" s="404"/>
    </row>
    <row r="294" ht="20.05" customHeight="1">
      <c r="A294" s="400">
        <v>45095</v>
      </c>
      <c r="B294" t="s" s="405">
        <f>IF(OR(WEEKDAY($A294)=7,WEEKDAY($A294)=1),"",IF(B293="",IF(B292="",B291,B292),B293)+IF(A$2=TRUE,IF(C293="",IF(C292="",C291,C292),C293)*2,IF(C293="",IF(C292="",C291,C292),C293)))</f>
      </c>
      <c r="C294" t="s" s="406">
        <f>IF(B294="","",B294*F$6)</f>
      </c>
      <c r="D294" t="s" s="406">
        <f>IF(C294="","",(D$3*$C294)/$C$3)</f>
      </c>
      <c r="E294" t="s" s="406">
        <f>IF(C294="","",D294-$C294)</f>
      </c>
      <c r="F294" t="s" s="406">
        <f>IF(B294="","",C294/B294)</f>
      </c>
      <c r="G294" s="404"/>
    </row>
    <row r="295" ht="20.05" customHeight="1">
      <c r="A295" s="400">
        <v>45096</v>
      </c>
      <c r="B295" s="401">
        <f>IF(OR(WEEKDAY($A295)=7,WEEKDAY($A295)=1),"",IF(B294="",IF(B293="",B292,B293),B294)+IF(A$2=TRUE,IF(C294="",IF(C293="",C292,C293),C294)*2,IF(C294="",IF(C293="",C292,C293),C294)))</f>
        <v>929.747946150688</v>
      </c>
      <c r="C295" s="402">
        <f>IF(B295="","",B295*F$6)</f>
        <v>0.366345927179223</v>
      </c>
      <c r="D295" s="403">
        <f>IF(C295="","",(D$3*$C295)/$C$3)</f>
        <v>0.472872047848359</v>
      </c>
      <c r="E295" s="403">
        <f>IF(C295="","",D295-$C295)</f>
        <v>0.106526120669136</v>
      </c>
      <c r="F295" s="404">
        <f>IF(B295="","",C295/B295)</f>
        <v>0.000394027143266039</v>
      </c>
      <c r="G295" s="404"/>
    </row>
    <row r="296" ht="20.05" customHeight="1">
      <c r="A296" s="400">
        <v>45097</v>
      </c>
      <c r="B296" s="401">
        <f>IF(OR(WEEKDAY($A296)=7,WEEKDAY($A296)=1),"",IF(B295="",IF(B294="",B293,B294),B295)+IF(A$2=TRUE,IF(C295="",IF(C294="",C293,C294),C295)*2,IF(C295="",IF(C294="",C293,C294),C295)))</f>
        <v>930.480638005046</v>
      </c>
      <c r="C296" s="402">
        <f>IF(B296="","",B296*F$6)</f>
        <v>0.36663462765749</v>
      </c>
      <c r="D296" s="403">
        <f>IF(C296="","",(D$3*$C296)/$C$3)</f>
        <v>0.473244696692647</v>
      </c>
      <c r="E296" s="403">
        <f>IF(C296="","",D296-$C296)</f>
        <v>0.106610069035157</v>
      </c>
      <c r="F296" s="404">
        <f>IF(B296="","",C296/B296)</f>
        <v>0.000394027143266039</v>
      </c>
      <c r="G296" s="404"/>
    </row>
    <row r="297" ht="20.05" customHeight="1">
      <c r="A297" s="400">
        <v>45098</v>
      </c>
      <c r="B297" s="401">
        <f>IF(OR(WEEKDAY($A297)=7,WEEKDAY($A297)=1),"",IF(B296="",IF(B295="",B294,B295),B296)+IF(A$2=TRUE,IF(C296="",IF(C295="",C294,C295),C296)*2,IF(C296="",IF(C295="",C294,C295),C296)))</f>
        <v>931.213907260361</v>
      </c>
      <c r="C297" s="402">
        <f>IF(B297="","",B297*F$6)</f>
        <v>0.366923555647406</v>
      </c>
      <c r="D297" s="403">
        <f>IF(C297="","",(D$3*$C297)/$C$3)</f>
        <v>0.473617639204453</v>
      </c>
      <c r="E297" s="403">
        <f>IF(C297="","",D297-$C297)</f>
        <v>0.106694083557047</v>
      </c>
      <c r="F297" s="404">
        <f>IF(B297="","",C297/B297)</f>
        <v>0.000394027143266039</v>
      </c>
      <c r="G297" s="404"/>
    </row>
    <row r="298" ht="20.05" customHeight="1">
      <c r="A298" s="400">
        <v>45099</v>
      </c>
      <c r="B298" s="401">
        <f>IF(OR(WEEKDAY($A298)=7,WEEKDAY($A298)=1),"",IF(B297="",IF(B296="",B295,B296),B297)+IF(A$2=TRUE,IF(C297="",IF(C296="",C295,C296),C297)*2,IF(C297="",IF(C296="",C295,C296),C297)))</f>
        <v>931.9477543716559</v>
      </c>
      <c r="C298" s="402">
        <f>IF(B298="","",B298*F$6)</f>
        <v>0.367212711328264</v>
      </c>
      <c r="D298" s="403">
        <f>IF(C298="","",(D$3*$C298)/$C$3)</f>
        <v>0.473990875615206</v>
      </c>
      <c r="E298" s="403">
        <f>IF(C298="","",D298-$C298)</f>
        <v>0.106778164286942</v>
      </c>
      <c r="F298" s="404">
        <f>IF(B298="","",C298/B298)</f>
        <v>0.000394027143266039</v>
      </c>
      <c r="G298" s="404"/>
    </row>
    <row r="299" ht="20.05" customHeight="1">
      <c r="A299" s="400">
        <v>45100</v>
      </c>
      <c r="B299" s="401">
        <f>IF(OR(WEEKDAY($A299)=7,WEEKDAY($A299)=1),"",IF(B298="",IF(B297="",B296,B297),B298)+IF(A$2=TRUE,IF(C298="",IF(C297="",C296,C297),C298)*2,IF(C298="",IF(C297="",C296,C297),C298)))</f>
        <v>932.682179794313</v>
      </c>
      <c r="C299" s="402">
        <f>IF(B299="","",B299*F$6)</f>
        <v>0.367502094879495</v>
      </c>
      <c r="D299" s="403">
        <f>IF(C299="","",(D$3*$C299)/$C$3)</f>
        <v>0.474364406156511</v>
      </c>
      <c r="E299" s="403">
        <f>IF(C299="","",D299-$C299)</f>
        <v>0.106862311277016</v>
      </c>
      <c r="F299" s="404">
        <f>IF(B299="","",C299/B299)</f>
        <v>0.000394027143266039</v>
      </c>
      <c r="G299" s="404"/>
    </row>
    <row r="300" ht="20.05" customHeight="1">
      <c r="A300" s="400">
        <v>45101</v>
      </c>
      <c r="B300" t="s" s="405">
        <f>IF(OR(WEEKDAY($A300)=7,WEEKDAY($A300)=1),"",IF(B299="",IF(B298="",B297,B298),B299)+IF(A$2=TRUE,IF(C299="",IF(C298="",C297,C298),C299)*2,IF(C299="",IF(C298="",C297,C298),C299)))</f>
      </c>
      <c r="C300" t="s" s="406">
        <f>IF(B300="","",B300*F$6)</f>
      </c>
      <c r="D300" t="s" s="406">
        <f>IF(C300="","",(D$3*$C300)/$C$3)</f>
      </c>
      <c r="E300" t="s" s="406">
        <f>IF(C300="","",D300-$C300)</f>
      </c>
      <c r="F300" t="s" s="406">
        <f>IF(B300="","",C300/B300)</f>
      </c>
      <c r="G300" s="404"/>
    </row>
    <row r="301" ht="20.05" customHeight="1">
      <c r="A301" s="400">
        <v>45102</v>
      </c>
      <c r="B301" t="s" s="405">
        <f>IF(OR(WEEKDAY($A301)=7,WEEKDAY($A301)=1),"",IF(B300="",IF(B299="",B298,B299),B300)+IF(A$2=TRUE,IF(C300="",IF(C299="",C298,C299),C300)*2,IF(C300="",IF(C299="",C298,C299),C300)))</f>
      </c>
      <c r="C301" t="s" s="406">
        <f>IF(B301="","",B301*F$6)</f>
      </c>
      <c r="D301" t="s" s="406">
        <f>IF(C301="","",(D$3*$C301)/$C$3)</f>
      </c>
      <c r="E301" t="s" s="406">
        <f>IF(C301="","",D301-$C301)</f>
      </c>
      <c r="F301" t="s" s="406">
        <f>IF(B301="","",C301/B301)</f>
      </c>
      <c r="G301" s="404"/>
    </row>
    <row r="302" ht="20.05" customHeight="1">
      <c r="A302" s="400">
        <v>45103</v>
      </c>
      <c r="B302" s="401">
        <f>IF(OR(WEEKDAY($A302)=7,WEEKDAY($A302)=1),"",IF(B301="",IF(B300="",B299,B300),B301)+IF(A$2=TRUE,IF(C301="",IF(C300="",C299,C300),C301)*2,IF(C301="",IF(C300="",C299,C300),C301)))</f>
        <v>933.417183984072</v>
      </c>
      <c r="C302" s="402">
        <f>IF(B302="","",B302*F$6)</f>
        <v>0.367791706480675</v>
      </c>
      <c r="D302" s="403">
        <f>IF(C302="","",(D$3*$C302)/$C$3)</f>
        <v>0.474738231060162</v>
      </c>
      <c r="E302" s="403">
        <f>IF(C302="","",D302-$C302)</f>
        <v>0.106946524579487</v>
      </c>
      <c r="F302" s="404">
        <f>IF(B302="","",C302/B302)</f>
        <v>0.000394027143266039</v>
      </c>
      <c r="G302" s="404"/>
    </row>
    <row r="303" ht="20.05" customHeight="1">
      <c r="A303" s="400">
        <v>45104</v>
      </c>
      <c r="B303" s="401">
        <f>IF(OR(WEEKDAY($A303)=7,WEEKDAY($A303)=1),"",IF(B302="",IF(B301="",B300,B301),B302)+IF(A$2=TRUE,IF(C302="",IF(C301="",C300,C301),C302)*2,IF(C302="",IF(C301="",C300,C301),C302)))-G152</f>
        <v>812.932767397033</v>
      </c>
      <c r="C303" s="402">
        <f>IF(B303="","",B303*F$6)</f>
        <v>0.320317576004808</v>
      </c>
      <c r="D303" s="403">
        <f>IF(C303="","",(D$3*$C303)/$C$3)</f>
        <v>0.413459566190603</v>
      </c>
      <c r="E303" s="403">
        <f>IF(C303="","",D303-$C303)</f>
        <v>0.093141990185795</v>
      </c>
      <c r="F303" s="404">
        <f>IF(B303="","",C303/B303)</f>
        <v>0.000394027143266039</v>
      </c>
      <c r="G303" s="404"/>
    </row>
    <row r="304" ht="20.05" customHeight="1">
      <c r="A304" s="400">
        <v>45105</v>
      </c>
      <c r="B304" s="401">
        <f>IF(OR(WEEKDAY($A304)=7,WEEKDAY($A304)=1),"",IF(B303="",IF(B302="",B301,B302),B303)+IF(A$2=TRUE,IF(C303="",IF(C302="",C301,C302),C303)*2,IF(C303="",IF(C302="",C301,C302),C303)))</f>
        <v>813.573402549043</v>
      </c>
      <c r="C304" s="402">
        <f>IF(B304="","",B304*F$6)</f>
        <v>0.320570003643631</v>
      </c>
      <c r="D304" s="403">
        <f>IF(C304="","",(D$3*$C304)/$C$3)</f>
        <v>0.413785394774049</v>
      </c>
      <c r="E304" s="403">
        <f>IF(C304="","",D304-$C304)</f>
        <v>0.093215391130418</v>
      </c>
      <c r="F304" s="404">
        <f>IF(B304="","",C304/B304)</f>
        <v>0.00039402714326604</v>
      </c>
      <c r="G304" s="404"/>
    </row>
    <row r="305" ht="20.05" customHeight="1">
      <c r="A305" s="400">
        <v>45106</v>
      </c>
      <c r="B305" s="401">
        <f>IF(OR(WEEKDAY($A305)=7,WEEKDAY($A305)=1),"",IF(B304="",IF(B303="",B302,B303),B304)+IF(A$2=TRUE,IF(C304="",IF(C303="",C302,C303),C304)*2,IF(C304="",IF(C303="",C302,C303),C304)))</f>
        <v>814.214542556330</v>
      </c>
      <c r="C305" s="402">
        <f>IF(B305="","",B305*F$6)</f>
        <v>0.320822630209135</v>
      </c>
      <c r="D305" s="403">
        <f>IF(C305="","",(D$3*$C305)/$C$3)</f>
        <v>0.414111480128103</v>
      </c>
      <c r="E305" s="403">
        <f>IF(C305="","",D305-$C305)</f>
        <v>0.09328884991896801</v>
      </c>
      <c r="F305" s="404">
        <f>IF(B305="","",C305/B305)</f>
        <v>0.000394027143266038</v>
      </c>
      <c r="G305" s="402">
        <f>G306*B277</f>
        <v>-106.144328216002</v>
      </c>
    </row>
    <row r="306" ht="20.05" customHeight="1">
      <c r="A306" s="400">
        <v>45107</v>
      </c>
      <c r="B306" s="401">
        <f>IF(OR(WEEKDAY($A306)=7,WEEKDAY($A306)=1),"",IF(B305="",IF(B304="",B303,B304),B305)+IF(A$2=TRUE,IF(C305="",IF(C304="",C303,C304),C305)*2,IF(C305="",IF(C304="",C303,C304),C305)))</f>
        <v>814.856187816748</v>
      </c>
      <c r="C306" s="402">
        <f>IF(B306="","",B306*F$6)</f>
        <v>0.321075455858088</v>
      </c>
      <c r="D306" s="403">
        <f>IF(C306="","",(D$3*$C306)/$C$3)</f>
        <v>0.414437822455121</v>
      </c>
      <c r="E306" s="403">
        <f>IF(C306="","",D306-$C306)</f>
        <v>0.09336236659703299</v>
      </c>
      <c r="F306" s="404">
        <f>IF(B306="","",C306/B306)</f>
        <v>0.000394027143266039</v>
      </c>
      <c r="G306" s="404">
        <f>(B306-B277)/B277</f>
        <v>-0.11524893457522</v>
      </c>
    </row>
    <row r="307" ht="20.05" customHeight="1">
      <c r="A307" s="400">
        <v>45108</v>
      </c>
      <c r="B307" t="s" s="405">
        <f>IF(OR(WEEKDAY($A307)=7,WEEKDAY($A307)=1),"",IF(B306="",IF(B305="",B304,B305),B306)+IF(A$2=TRUE,IF(C306="",IF(C305="",C304,C305),C306)*2,IF(C306="",IF(C305="",C304,C305),C306)))</f>
      </c>
      <c r="C307" t="s" s="406">
        <f>IF(B307="","",B307*F$6)</f>
      </c>
      <c r="D307" t="s" s="406">
        <f>IF(C307="","",(D$3*$C307)/$C$3)</f>
      </c>
      <c r="E307" t="s" s="406">
        <f>IF(C307="","",D307-$C307)</f>
      </c>
      <c r="F307" t="s" s="406">
        <f>IF(B307="","",C307/B307)</f>
      </c>
      <c r="G307" s="404"/>
    </row>
    <row r="308" ht="20.05" customHeight="1">
      <c r="A308" s="400">
        <v>45109</v>
      </c>
      <c r="B308" t="s" s="405">
        <f>IF(OR(WEEKDAY($A308)=7,WEEKDAY($A308)=1),"",IF(B307="",IF(B306="",B305,B306),B307)+IF(A$2=TRUE,IF(C307="",IF(C306="",C305,C306),C307)*2,IF(C307="",IF(C306="",C305,C306),C307)))</f>
      </c>
      <c r="C308" t="s" s="406">
        <f>IF(B308="","",B308*F$6)</f>
      </c>
      <c r="D308" t="s" s="406">
        <f>IF(C308="","",(D$3*$C308)/$C$3)</f>
      </c>
      <c r="E308" t="s" s="406">
        <f>IF(C308="","",D308-$C308)</f>
      </c>
      <c r="F308" t="s" s="406">
        <f>IF(B308="","",C308/B308)</f>
      </c>
      <c r="G308" s="404"/>
    </row>
    <row r="309" ht="20.05" customHeight="1">
      <c r="A309" s="400">
        <v>45110</v>
      </c>
      <c r="B309" s="401">
        <f>IF(OR(WEEKDAY($A309)=7,WEEKDAY($A309)=1),"",IF(B308="",IF(B307="",B306,B307),B308)+IF(A$2=TRUE,IF(C308="",IF(C307="",C306,C307),C308)*2,IF(C308="",IF(C307="",C306,C307),C308)))</f>
        <v>815.498338728464</v>
      </c>
      <c r="C309" s="402">
        <f>IF(B309="","",B309*F$6)</f>
        <v>0.321328480747377</v>
      </c>
      <c r="D309" s="403">
        <f>IF(C309="","",(D$3*$C309)/$C$3)</f>
        <v>0.414764421957607</v>
      </c>
      <c r="E309" s="403">
        <f>IF(C309="","",D309-$C309)</f>
        <v>0.09343594121022999</v>
      </c>
      <c r="F309" s="404">
        <f>IF(B309="","",C309/B309)</f>
        <v>0.000394027143266039</v>
      </c>
      <c r="G309" s="404"/>
    </row>
    <row r="310" ht="20.05" customHeight="1">
      <c r="A310" s="400">
        <v>45111</v>
      </c>
      <c r="B310" s="401">
        <f>IF(OR(WEEKDAY($A310)=7,WEEKDAY($A310)=1),"",IF(B309="",IF(B308="",B307,B308),B309)+IF(A$2=TRUE,IF(C309="",IF(C308="",C307,C308),C309)*2,IF(C309="",IF(C308="",C307,C308),C309)))</f>
        <v>816.140995689959</v>
      </c>
      <c r="C310" s="402">
        <f>IF(B310="","",B310*F$6)</f>
        <v>0.321581705034015</v>
      </c>
      <c r="D310" s="403">
        <f>IF(C310="","",(D$3*$C310)/$C$3)</f>
        <v>0.415091278838232</v>
      </c>
      <c r="E310" s="403">
        <f>IF(C310="","",D310-$C310)</f>
        <v>0.093509573804217</v>
      </c>
      <c r="F310" s="404">
        <f>IF(B310="","",C310/B310)</f>
        <v>0.000394027143266039</v>
      </c>
      <c r="G310" s="404"/>
    </row>
    <row r="311" ht="20.05" customHeight="1">
      <c r="A311" s="400">
        <v>45112</v>
      </c>
      <c r="B311" s="401">
        <f>IF(OR(WEEKDAY($A311)=7,WEEKDAY($A311)=1),"",IF(B310="",IF(B309="",B308,B309),B310)+IF(A$2=TRUE,IF(C310="",IF(C309="",C308,C309),C310)*2,IF(C310="",IF(C309="",C308,C309),C310)))</f>
        <v>816.784159100027</v>
      </c>
      <c r="C311" s="402">
        <f>IF(B311="","",B311*F$6)</f>
        <v>0.321835128875138</v>
      </c>
      <c r="D311" s="403">
        <f>IF(C311="","",(D$3*$C311)/$C$3)</f>
        <v>0.415418393299824</v>
      </c>
      <c r="E311" s="403">
        <f>IF(C311="","",D311-$C311)</f>
        <v>0.09358326442468599</v>
      </c>
      <c r="F311" s="404">
        <f>IF(B311="","",C311/B311)</f>
        <v>0.00039402714326604</v>
      </c>
      <c r="G311" s="404"/>
    </row>
    <row r="312" ht="20.05" customHeight="1">
      <c r="A312" s="400">
        <v>45113</v>
      </c>
      <c r="B312" s="401">
        <f>IF(OR(WEEKDAY($A312)=7,WEEKDAY($A312)=1),"",IF(B311="",IF(B310="",B309,B310),B311)+IF(A$2=TRUE,IF(C311="",IF(C310="",C309,C310),C311)*2,IF(C311="",IF(C310="",C309,C310),C311)))</f>
        <v>817.427829357777</v>
      </c>
      <c r="C312" s="402">
        <f>IF(B312="","",B312*F$6)</f>
        <v>0.322088752428004</v>
      </c>
      <c r="D312" s="403">
        <f>IF(C312="","",(D$3*$C312)/$C$3)</f>
        <v>0.415745765545367</v>
      </c>
      <c r="E312" s="403">
        <f>IF(C312="","",D312-$C312)</f>
        <v>0.09365701311736301</v>
      </c>
      <c r="F312" s="404">
        <f>IF(B312="","",C312/B312)</f>
        <v>0.000394027143266039</v>
      </c>
      <c r="G312" s="404"/>
    </row>
    <row r="313" ht="20.05" customHeight="1">
      <c r="A313" s="400">
        <v>45114</v>
      </c>
      <c r="B313" s="401">
        <f>IF(OR(WEEKDAY($A313)=7,WEEKDAY($A313)=1),"",IF(B312="",IF(B311="",B310,B311),B312)+IF(A$2=TRUE,IF(C312="",IF(C311="",C310,C311),C312)*2,IF(C312="",IF(C311="",C310,C311),C312)))</f>
        <v>818.072006862633</v>
      </c>
      <c r="C313" s="402">
        <f>IF(B313="","",B313*F$6)</f>
        <v>0.322342575849999</v>
      </c>
      <c r="D313" s="403">
        <f>IF(C313="","",(D$3*$C313)/$C$3)</f>
        <v>0.416073395778013</v>
      </c>
      <c r="E313" s="403">
        <f>IF(C313="","",D313-$C313)</f>
        <v>0.09373081992801401</v>
      </c>
      <c r="F313" s="404">
        <f>IF(B313="","",C313/B313)</f>
        <v>0.000394027143266039</v>
      </c>
      <c r="G313" s="404"/>
    </row>
    <row r="314" ht="20.05" customHeight="1">
      <c r="A314" s="400">
        <v>45115</v>
      </c>
      <c r="B314" t="s" s="405">
        <f>IF(OR(WEEKDAY($A314)=7,WEEKDAY($A314)=1),"",IF(B313="",IF(B312="",B311,B312),B313)+IF(A$2=TRUE,IF(C313="",IF(C312="",C311,C312),C313)*2,IF(C313="",IF(C312="",C311,C312),C313)))</f>
      </c>
      <c r="C314" t="s" s="406">
        <f>IF(B314="","",B314*F$6)</f>
      </c>
      <c r="D314" t="s" s="406">
        <f>IF(C314="","",(D$3*$C314)/$C$3)</f>
      </c>
      <c r="E314" t="s" s="406">
        <f>IF(C314="","",D314-$C314)</f>
      </c>
      <c r="F314" t="s" s="406">
        <f>IF(B314="","",C314/B314)</f>
      </c>
      <c r="G314" s="404"/>
    </row>
    <row r="315" ht="20.05" customHeight="1">
      <c r="A315" s="400">
        <v>45116</v>
      </c>
      <c r="B315" t="s" s="405">
        <f>IF(OR(WEEKDAY($A315)=7,WEEKDAY($A315)=1),"",IF(B314="",IF(B313="",B312,B313),B314)+IF(A$2=TRUE,IF(C314="",IF(C313="",C312,C313),C314)*2,IF(C314="",IF(C313="",C312,C313),C314)))</f>
      </c>
      <c r="C315" t="s" s="406">
        <f>IF(B315="","",B315*F$6)</f>
      </c>
      <c r="D315" t="s" s="406">
        <f>IF(C315="","",(D$3*$C315)/$C$3)</f>
      </c>
      <c r="E315" t="s" s="406">
        <f>IF(C315="","",D315-$C315)</f>
      </c>
      <c r="F315" t="s" s="406">
        <f>IF(B315="","",C315/B315)</f>
      </c>
      <c r="G315" s="404"/>
    </row>
    <row r="316" ht="20.05" customHeight="1">
      <c r="A316" s="400">
        <v>45117</v>
      </c>
      <c r="B316" s="401">
        <f>IF(OR(WEEKDAY($A316)=7,WEEKDAY($A316)=1),"",IF(B315="",IF(B314="",B313,B314),B315)+IF(A$2=TRUE,IF(C315="",IF(C314="",C313,C314),C315)*2,IF(C315="",IF(C314="",C313,C314),C315)))</f>
        <v>818.716692014333</v>
      </c>
      <c r="C316" s="402">
        <f>IF(B316="","",B316*F$6)</f>
        <v>0.322596599298629</v>
      </c>
      <c r="D316" s="403">
        <f>IF(C316="","",(D$3*$C316)/$C$3)</f>
        <v>0.416401284201067</v>
      </c>
      <c r="E316" s="403">
        <f>IF(C316="","",D316-$C316)</f>
        <v>0.093804684902438</v>
      </c>
      <c r="F316" s="404">
        <f>IF(B316="","",C316/B316)</f>
        <v>0.000394027143266039</v>
      </c>
      <c r="G316" s="404"/>
    </row>
    <row r="317" ht="20.05" customHeight="1">
      <c r="A317" s="400">
        <v>45118</v>
      </c>
      <c r="B317" s="401">
        <f>IF(OR(WEEKDAY($A317)=7,WEEKDAY($A317)=1),"",IF(B316="",IF(B315="",B314,B315),B316)+IF(A$2=TRUE,IF(C316="",IF(C315="",C314,C315),C316)*2,IF(C316="",IF(C315="",C314,C315),C316)))</f>
        <v>819.361885212930</v>
      </c>
      <c r="C317" s="402">
        <f>IF(B317="","",B317*F$6)</f>
        <v>0.322850822931527</v>
      </c>
      <c r="D317" s="403">
        <f>IF(C317="","",(D$3*$C317)/$C$3)</f>
        <v>0.416729431017999</v>
      </c>
      <c r="E317" s="403">
        <f>IF(C317="","",D317-$C317)</f>
        <v>0.093878608086472</v>
      </c>
      <c r="F317" s="404">
        <f>IF(B317="","",C317/B317)</f>
        <v>0.000394027143266039</v>
      </c>
      <c r="G317" s="404"/>
    </row>
    <row r="318" ht="20.05" customHeight="1">
      <c r="A318" s="400">
        <v>45119</v>
      </c>
      <c r="B318" s="401">
        <f>IF(OR(WEEKDAY($A318)=7,WEEKDAY($A318)=1),"",IF(B317="",IF(B316="",B315,B316),B317)+IF(A$2=TRUE,IF(C317="",IF(C316="",C315,C316),C317)*2,IF(C317="",IF(C316="",C315,C316),C317)))</f>
        <v>820.007586858793</v>
      </c>
      <c r="C318" s="402">
        <f>IF(B318="","",B318*F$6)</f>
        <v>0.323105246906449</v>
      </c>
      <c r="D318" s="403">
        <f>IF(C318="","",(D$3*$C318)/$C$3)</f>
        <v>0.417057836432438</v>
      </c>
      <c r="E318" s="403">
        <f>IF(C318="","",D318-$C318)</f>
        <v>0.09395258952598901</v>
      </c>
      <c r="F318" s="404">
        <f>IF(B318="","",C318/B318)</f>
        <v>0.00039402714326604</v>
      </c>
      <c r="G318" s="404"/>
    </row>
    <row r="319" ht="20.05" customHeight="1">
      <c r="A319" s="400">
        <v>45120</v>
      </c>
      <c r="B319" s="401">
        <f>IF(OR(WEEKDAY($A319)=7,WEEKDAY($A319)=1),"",IF(B318="",IF(B317="",B316,B317),B318)+IF(A$2=TRUE,IF(C318="",IF(C317="",C316,C317),C318)*2,IF(C318="",IF(C317="",C316,C317),C318)))</f>
        <v>820.653797352606</v>
      </c>
      <c r="C319" s="402">
        <f>IF(B319="","",B319*F$6)</f>
        <v>0.323359871381274</v>
      </c>
      <c r="D319" s="403">
        <f>IF(C319="","",(D$3*$C319)/$C$3)</f>
        <v>0.417386500648169</v>
      </c>
      <c r="E319" s="403">
        <f>IF(C319="","",D319-$C319)</f>
        <v>0.09402662926689501</v>
      </c>
      <c r="F319" s="404">
        <f>IF(B319="","",C319/B319)</f>
        <v>0.000394027143266039</v>
      </c>
      <c r="G319" s="404"/>
    </row>
    <row r="320" ht="20.05" customHeight="1">
      <c r="A320" s="400">
        <v>45121</v>
      </c>
      <c r="B320" s="401">
        <f>IF(OR(WEEKDAY($A320)=7,WEEKDAY($A320)=1),"",IF(B319="",IF(B318="",B317,B318),B319)+IF(A$2=TRUE,IF(C319="",IF(C318="",C317,C318),C319)*2,IF(C319="",IF(C318="",C317,C318),C319)))</f>
        <v>821.3005170953689</v>
      </c>
      <c r="C320" s="402">
        <f>IF(B320="","",B320*F$6)</f>
        <v>0.323614696514009</v>
      </c>
      <c r="D320" s="403">
        <f>IF(C320="","",(D$3*$C320)/$C$3)</f>
        <v>0.417715423869146</v>
      </c>
      <c r="E320" s="403">
        <f>IF(C320="","",D320-$C320)</f>
        <v>0.094100727355137</v>
      </c>
      <c r="F320" s="404">
        <f>IF(B320="","",C320/B320)</f>
        <v>0.000394027143266039</v>
      </c>
      <c r="G320" s="404"/>
    </row>
    <row r="321" ht="20.05" customHeight="1">
      <c r="A321" s="400">
        <v>45122</v>
      </c>
      <c r="B321" t="s" s="405">
        <f>IF(OR(WEEKDAY($A321)=7,WEEKDAY($A321)=1),"",IF(B320="",IF(B319="",B318,B319),B320)+IF(A$2=TRUE,IF(C320="",IF(C319="",C318,C319),C320)*2,IF(C320="",IF(C319="",C318,C319),C320)))</f>
      </c>
      <c r="C321" t="s" s="406">
        <f>IF(B321="","",B321*F$6)</f>
      </c>
      <c r="D321" t="s" s="406">
        <f>IF(C321="","",(D$3*$C321)/$C$3)</f>
      </c>
      <c r="E321" t="s" s="406">
        <f>IF(C321="","",D321-$C321)</f>
      </c>
      <c r="F321" t="s" s="406">
        <f>IF(B321="","",C321/B321)</f>
      </c>
      <c r="G321" s="404"/>
    </row>
    <row r="322" ht="20.05" customHeight="1">
      <c r="A322" s="400">
        <v>45123</v>
      </c>
      <c r="B322" t="s" s="405">
        <f>IF(OR(WEEKDAY($A322)=7,WEEKDAY($A322)=1),"",IF(B321="",IF(B320="",B319,B320),B321)+IF(A$2=TRUE,IF(C321="",IF(C320="",C319,C320),C321)*2,IF(C321="",IF(C320="",C319,C320),C321)))</f>
      </c>
      <c r="C322" t="s" s="406">
        <f>IF(B322="","",B322*F$6)</f>
      </c>
      <c r="D322" t="s" s="406">
        <f>IF(C322="","",(D$3*$C322)/$C$3)</f>
      </c>
      <c r="E322" t="s" s="406">
        <f>IF(C322="","",D322-$C322)</f>
      </c>
      <c r="F322" t="s" s="406">
        <f>IF(B322="","",C322/B322)</f>
      </c>
      <c r="G322" s="404"/>
    </row>
    <row r="323" ht="20.05" customHeight="1">
      <c r="A323" s="400">
        <v>45124</v>
      </c>
      <c r="B323" s="401">
        <f>IF(OR(WEEKDAY($A323)=7,WEEKDAY($A323)=1),"",IF(B322="",IF(B321="",B320,B321),B322)+IF(A$2=TRUE,IF(C322="",IF(C321="",C320,C321),C322)*2,IF(C322="",IF(C321="",C320,C321),C322)))</f>
        <v>821.947746488397</v>
      </c>
      <c r="C323" s="402">
        <f>IF(B323="","",B323*F$6)</f>
        <v>0.323869722462782</v>
      </c>
      <c r="D323" s="403">
        <f>IF(C323="","",(D$3*$C323)/$C$3)</f>
        <v>0.418044606299477</v>
      </c>
      <c r="E323" s="403">
        <f>IF(C323="","",D323-$C323)</f>
        <v>0.09417488383669501</v>
      </c>
      <c r="F323" s="404">
        <f>IF(B323="","",C323/B323)</f>
        <v>0.00039402714326604</v>
      </c>
      <c r="G323" s="404"/>
    </row>
    <row r="324" ht="20.05" customHeight="1">
      <c r="A324" s="400">
        <v>45125</v>
      </c>
      <c r="B324" s="401">
        <f>IF(OR(WEEKDAY($A324)=7,WEEKDAY($A324)=1),"",IF(B323="",IF(B322="",B321,B322),B323)+IF(A$2=TRUE,IF(C323="",IF(C322="",C321,C322),C323)*2,IF(C323="",IF(C322="",C321,C322),C323)))</f>
        <v>822.5954859333229</v>
      </c>
      <c r="C324" s="402">
        <f>IF(B324="","",B324*F$6)</f>
        <v>0.324124949385846</v>
      </c>
      <c r="D324" s="403">
        <f>IF(C324="","",(D$3*$C324)/$C$3)</f>
        <v>0.418374048143432</v>
      </c>
      <c r="E324" s="403">
        <f>IF(C324="","",D324-$C324)</f>
        <v>0.094249098757586</v>
      </c>
      <c r="F324" s="404">
        <f>IF(B324="","",C324/B324)</f>
        <v>0.000394027143266038</v>
      </c>
      <c r="G324" s="404"/>
    </row>
    <row r="325" ht="20.05" customHeight="1">
      <c r="A325" s="400">
        <v>45126</v>
      </c>
      <c r="B325" s="401">
        <f>IF(OR(WEEKDAY($A325)=7,WEEKDAY($A325)=1),"",IF(B324="",IF(B323="",B322,B323),B324)+IF(A$2=TRUE,IF(C324="",IF(C323="",C322,C323),C324)*2,IF(C324="",IF(C323="",C322,C323),C324)))</f>
        <v>823.243735832095</v>
      </c>
      <c r="C325" s="402">
        <f>IF(B325="","",B325*F$6)</f>
        <v>0.324380377441582</v>
      </c>
      <c r="D325" s="403">
        <f>IF(C325="","",(D$3*$C325)/$C$3)</f>
        <v>0.418703749605446</v>
      </c>
      <c r="E325" s="403">
        <f>IF(C325="","",D325-$C325)</f>
        <v>0.09432337216386399</v>
      </c>
      <c r="F325" s="404">
        <f>IF(B325="","",C325/B325)</f>
        <v>0.000394027143266039</v>
      </c>
      <c r="G325" s="404"/>
    </row>
    <row r="326" ht="20.05" customHeight="1">
      <c r="A326" s="400">
        <v>45127</v>
      </c>
      <c r="B326" s="401">
        <f>IF(OR(WEEKDAY($A326)=7,WEEKDAY($A326)=1),"",IF(B325="",IF(B324="",B323,B324),B325)+IF(A$2=TRUE,IF(C325="",IF(C324="",C323,C324),C325)*2,IF(C325="",IF(C324="",C323,C324),C325)))</f>
        <v>823.892496586978</v>
      </c>
      <c r="C326" s="402">
        <f>IF(B326="","",B326*F$6)</f>
        <v>0.324636006788492</v>
      </c>
      <c r="D326" s="403">
        <f>IF(C326="","",(D$3*$C326)/$C$3)</f>
        <v>0.41903371089011</v>
      </c>
      <c r="E326" s="403">
        <f>IF(C326="","",D326-$C326)</f>
        <v>0.094397704101618</v>
      </c>
      <c r="F326" s="404">
        <f>IF(B326="","",C326/B326)</f>
        <v>0.000394027143266039</v>
      </c>
      <c r="G326" s="404"/>
    </row>
    <row r="327" ht="20.05" customHeight="1">
      <c r="A327" s="400">
        <v>45128</v>
      </c>
      <c r="B327" s="401">
        <f>IF(OR(WEEKDAY($A327)=7,WEEKDAY($A327)=1),"",IF(B326="",IF(B325="",B324,B325),B326)+IF(A$2=TRUE,IF(C326="",IF(C325="",C324,C325),C326)*2,IF(C326="",IF(C325="",C324,C325),C326)))</f>
        <v>824.541768600555</v>
      </c>
      <c r="C327" s="402">
        <f>IF(B327="","",B327*F$6)</f>
        <v>0.324891837585204</v>
      </c>
      <c r="D327" s="403">
        <f>IF(C327="","",(D$3*$C327)/$C$3)</f>
        <v>0.419363932202178</v>
      </c>
      <c r="E327" s="403">
        <f>IF(C327="","",D327-$C327)</f>
        <v>0.09447209461697401</v>
      </c>
      <c r="F327" s="404">
        <f>IF(B327="","",C327/B327)</f>
        <v>0.000394027143266039</v>
      </c>
      <c r="G327" s="404"/>
    </row>
    <row r="328" ht="20.05" customHeight="1">
      <c r="A328" s="400">
        <v>45129</v>
      </c>
      <c r="B328" t="s" s="405">
        <f>IF(OR(WEEKDAY($A328)=7,WEEKDAY($A328)=1),"",IF(B327="",IF(B326="",B325,B326),B327)+IF(A$2=TRUE,IF(C327="",IF(C326="",C325,C326),C327)*2,IF(C327="",IF(C326="",C325,C326),C327)))</f>
      </c>
      <c r="C328" t="s" s="406">
        <f>IF(B328="","",B328*F$6)</f>
      </c>
      <c r="D328" t="s" s="406">
        <f>IF(C328="","",(D$3*$C328)/$C$3)</f>
      </c>
      <c r="E328" t="s" s="406">
        <f>IF(C328="","",D328-$C328)</f>
      </c>
      <c r="F328" t="s" s="406">
        <f>IF(B328="","",C328/B328)</f>
      </c>
      <c r="G328" s="404"/>
    </row>
    <row r="329" ht="20.05" customHeight="1">
      <c r="A329" s="400">
        <v>45130</v>
      </c>
      <c r="B329" t="s" s="405">
        <f>IF(OR(WEEKDAY($A329)=7,WEEKDAY($A329)=1),"",IF(B328="",IF(B327="",B326,B327),B328)+IF(A$2=TRUE,IF(C328="",IF(C327="",C326,C327),C328)*2,IF(C328="",IF(C327="",C326,C327),C328)))</f>
      </c>
      <c r="C329" t="s" s="406">
        <f>IF(B329="","",B329*F$6)</f>
      </c>
      <c r="D329" t="s" s="406">
        <f>IF(C329="","",(D$3*$C329)/$C$3)</f>
      </c>
      <c r="E329" t="s" s="406">
        <f>IF(C329="","",D329-$C329)</f>
      </c>
      <c r="F329" t="s" s="406">
        <f>IF(B329="","",C329/B329)</f>
      </c>
      <c r="G329" s="404"/>
    </row>
    <row r="330" ht="20.05" customHeight="1">
      <c r="A330" s="400">
        <v>45131</v>
      </c>
      <c r="B330" s="401">
        <f>IF(OR(WEEKDAY($A330)=7,WEEKDAY($A330)=1),"",IF(B329="",IF(B328="",B327,B328),B329)+IF(A$2=TRUE,IF(C329="",IF(C328="",C327,C328),C329)*2,IF(C329="",IF(C328="",C327,C328),C329)))</f>
        <v>825.191552275725</v>
      </c>
      <c r="C330" s="402">
        <f>IF(B330="","",B330*F$6)</f>
        <v>0.325147869990472</v>
      </c>
      <c r="D330" s="403">
        <f>IF(C330="","",(D$3*$C330)/$C$3)</f>
        <v>0.419694413746567</v>
      </c>
      <c r="E330" s="403">
        <f>IF(C330="","",D330-$C330)</f>
        <v>0.094546543756095</v>
      </c>
      <c r="F330" s="404">
        <f>IF(B330="","",C330/B330)</f>
        <v>0.000394027143266039</v>
      </c>
      <c r="G330" s="404"/>
    </row>
    <row r="331" ht="20.05" customHeight="1">
      <c r="A331" s="400">
        <v>45132</v>
      </c>
      <c r="B331" s="401">
        <f>IF(OR(WEEKDAY($A331)=7,WEEKDAY($A331)=1),"",IF(B330="",IF(B329="",B328,B329),B330)+IF(A$2=TRUE,IF(C330="",IF(C329="",C328,C329),C330)*2,IF(C330="",IF(C329="",C328,C329),C330)))</f>
        <v>825.841848015706</v>
      </c>
      <c r="C331" s="402">
        <f>IF(B331="","",B331*F$6)</f>
        <v>0.325404104163175</v>
      </c>
      <c r="D331" s="403">
        <f>IF(C331="","",(D$3*$C331)/$C$3)</f>
        <v>0.420025155728354</v>
      </c>
      <c r="E331" s="403">
        <f>IF(C331="","",D331-$C331)</f>
        <v>0.094621051565179</v>
      </c>
      <c r="F331" s="404">
        <f>IF(B331="","",C331/B331)</f>
        <v>0.000394027143266039</v>
      </c>
      <c r="G331" s="404"/>
    </row>
    <row r="332" ht="20.05" customHeight="1">
      <c r="A332" s="400">
        <v>45133</v>
      </c>
      <c r="B332" s="401">
        <f>IF(OR(WEEKDAY($A332)=7,WEEKDAY($A332)=1),"",IF(B331="",IF(B330="",B329,B330),B331)+IF(A$2=TRUE,IF(C331="",IF(C330="",C329,C330),C331)*2,IF(C331="",IF(C330="",C329,C330),C331)))</f>
        <v>826.492656224032</v>
      </c>
      <c r="C332" s="402">
        <f>IF(B332="","",B332*F$6)</f>
        <v>0.325660540262316</v>
      </c>
      <c r="D332" s="403">
        <f>IF(C332="","",(D$3*$C332)/$C$3)</f>
        <v>0.420356158352777</v>
      </c>
      <c r="E332" s="403">
        <f>IF(C332="","",D332-$C332)</f>
        <v>0.094695618090461</v>
      </c>
      <c r="F332" s="404">
        <f>IF(B332="","",C332/B332)</f>
        <v>0.000394027143266039</v>
      </c>
      <c r="G332" s="404"/>
    </row>
    <row r="333" ht="20.05" customHeight="1">
      <c r="A333" s="400">
        <v>45134</v>
      </c>
      <c r="B333" s="401">
        <f>IF(OR(WEEKDAY($A333)=7,WEEKDAY($A333)=1),"",IF(B332="",IF(B331="",B330,B331),B332)+IF(A$2=TRUE,IF(C332="",IF(C331="",C330,C331),C332)*2,IF(C332="",IF(C331="",C330,C331),C332)))-G152</f>
        <v>705.923977304557</v>
      </c>
      <c r="C333" s="402">
        <f>IF(B333="","",B333*F$6)</f>
        <v>0.278153208140315</v>
      </c>
      <c r="D333" s="403">
        <f>IF(C333="","",(D$3*$C333)/$C$3)</f>
        <v>0.359034637457712</v>
      </c>
      <c r="E333" s="403">
        <f>IF(C333="","",D333-$C333)</f>
        <v>0.080881429317397</v>
      </c>
      <c r="F333" s="404">
        <f>IF(B333="","",C333/B333)</f>
        <v>0.000394027143266039</v>
      </c>
      <c r="G333" s="404"/>
    </row>
    <row r="334" ht="20.05" customHeight="1">
      <c r="A334" s="400">
        <v>45135</v>
      </c>
      <c r="B334" s="401">
        <f>IF(OR(WEEKDAY($A334)=7,WEEKDAY($A334)=1),"",IF(B333="",IF(B332="",B331,B332),B333)+IF(A$2=TRUE,IF(C333="",IF(C332="",C331,C332),C333)*2,IF(C333="",IF(C332="",C331,C332),C333)))</f>
        <v>706.480283720838</v>
      </c>
      <c r="C334" s="402">
        <f>IF(B334="","",B334*F$6)</f>
        <v>0.278372407968303</v>
      </c>
      <c r="D334" s="403">
        <f>IF(C334="","",(D$3*$C334)/$C$3)</f>
        <v>0.359317576242774</v>
      </c>
      <c r="E334" s="403">
        <f>IF(C334="","",D334-$C334)</f>
        <v>0.080945168274471</v>
      </c>
      <c r="F334" s="404">
        <f>IF(B334="","",C334/B334)</f>
        <v>0.00039402714326604</v>
      </c>
      <c r="G334" s="404"/>
    </row>
    <row r="335" ht="20.05" customHeight="1">
      <c r="A335" s="400">
        <v>45136</v>
      </c>
      <c r="B335" t="s" s="405">
        <f>IF(OR(WEEKDAY($A335)=7,WEEKDAY($A335)=1),"",IF(B334="",IF(B333="",B332,B333),B334)+IF(A$2=TRUE,IF(C334="",IF(C333="",C332,C333),C334)*2,IF(C334="",IF(C333="",C332,C333),C334)))</f>
      </c>
      <c r="C335" t="s" s="406">
        <f>IF(B335="","",B335*F$6)</f>
      </c>
      <c r="D335" t="s" s="406">
        <f>IF(C335="","",(D$3*$C335)/$C$3)</f>
      </c>
      <c r="E335" t="s" s="406">
        <f>IF(C335="","",D335-$C335)</f>
      </c>
      <c r="F335" t="s" s="406">
        <f>IF(B335="","",C335/B335)</f>
      </c>
      <c r="G335" s="404"/>
    </row>
    <row r="336" ht="20.05" customHeight="1">
      <c r="A336" s="400">
        <v>45137</v>
      </c>
      <c r="B336" t="s" s="405">
        <f>IF(OR(WEEKDAY($A336)=7,WEEKDAY($A336)=1),"",IF(B335="",IF(B334="",B333,B334),B335)+IF(A$2=TRUE,IF(C335="",IF(C334="",C333,C334),C335)*2,IF(C335="",IF(C334="",C333,C334),C335)))</f>
      </c>
      <c r="C336" t="s" s="406">
        <f>IF(B336="","",B336*F$6)</f>
      </c>
      <c r="D336" t="s" s="406">
        <f>IF(C336="","",(D$3*$C336)/$C$3)</f>
      </c>
      <c r="E336" t="s" s="406">
        <f>IF(C336="","",D336-$C336)</f>
      </c>
      <c r="F336" t="s" s="406">
        <f>IF(B336="","",C336/B336)</f>
      </c>
      <c r="G336" s="402">
        <f>G337*B307</f>
      </c>
    </row>
    <row r="337" ht="20.05" customHeight="1">
      <c r="A337" s="400">
        <v>45138</v>
      </c>
      <c r="B337" s="401">
        <f>IF(OR(WEEKDAY($A337)=7,WEEKDAY($A337)=1),"",IF(B336="",IF(B335="",B334,B335),B336)+IF(A$2=TRUE,IF(C336="",IF(C335="",C334,C335),C336)*2,IF(C336="",IF(C335="",C334,C335),C336)))</f>
        <v>707.037028536775</v>
      </c>
      <c r="C337" s="402">
        <f>IF(B337="","",B337*F$6)</f>
        <v>0.278591780537654</v>
      </c>
      <c r="D337" s="403">
        <f>IF(C337="","",(D$3*$C337)/$C$3)</f>
        <v>0.359600737998958</v>
      </c>
      <c r="E337" s="403">
        <f>IF(C337="","",D337-$C337)</f>
        <v>0.081008957461304</v>
      </c>
      <c r="F337" s="404">
        <f>IF(B337="","",C337/B337)</f>
        <v>0.000394027143266039</v>
      </c>
      <c r="G337" s="404">
        <f>(B335-B307)/B307</f>
      </c>
    </row>
    <row r="338" ht="20.05" customHeight="1">
      <c r="A338" s="400">
        <v>45139</v>
      </c>
      <c r="B338" s="401">
        <f>IF(OR(WEEKDAY($A338)=7,WEEKDAY($A338)=1),"",IF(B337="",IF(B336="",B335,B336),B337)+IF(A$2=TRUE,IF(C337="",IF(C336="",C335,C336),C337)*2,IF(C337="",IF(C336="",C335,C336),C337)))</f>
        <v>707.594212097850</v>
      </c>
      <c r="C338" s="402">
        <f>IF(B338="","",B338*F$6)</f>
        <v>0.2788113259845</v>
      </c>
      <c r="D338" s="403">
        <f>IF(C338="","",(D$3*$C338)/$C$3)</f>
        <v>0.359884122901979</v>
      </c>
      <c r="E338" s="403">
        <f>IF(C338="","",D338-$C338)</f>
        <v>0.081072796917479</v>
      </c>
      <c r="F338" s="404">
        <f>IF(B338="","",C338/B338)</f>
        <v>0.00039402714326604</v>
      </c>
      <c r="G338" s="404"/>
    </row>
    <row r="339" ht="20.05" customHeight="1">
      <c r="A339" s="400">
        <v>45140</v>
      </c>
      <c r="B339" s="401">
        <f>IF(OR(WEEKDAY($A339)=7,WEEKDAY($A339)=1),"",IF(B338="",IF(B337="",B336,B337),B338)+IF(A$2=TRUE,IF(C338="",IF(C337="",C336,C337),C338)*2,IF(C338="",IF(C337="",C336,C337),C338)))</f>
        <v>708.151834749819</v>
      </c>
      <c r="C339" s="402">
        <f>IF(B339="","",B339*F$6)</f>
        <v>0.279031044445075</v>
      </c>
      <c r="D339" s="403">
        <f>IF(C339="","",(D$3*$C339)/$C$3)</f>
        <v>0.360167731127685</v>
      </c>
      <c r="E339" s="403">
        <f>IF(C339="","",D339-$C339)</f>
        <v>0.08113668668261</v>
      </c>
      <c r="F339" s="404">
        <f>IF(B339="","",C339/B339)</f>
        <v>0.000394027143266039</v>
      </c>
      <c r="G339" s="404"/>
    </row>
    <row r="340" ht="20.05" customHeight="1">
      <c r="A340" s="400">
        <v>45141</v>
      </c>
      <c r="B340" s="401">
        <f>IF(OR(WEEKDAY($A340)=7,WEEKDAY($A340)=1),"",IF(B339="",IF(B338="",B337,B338),B339)+IF(A$2=TRUE,IF(C339="",IF(C338="",C337,C338),C339)*2,IF(C339="",IF(C338="",C337,C338),C339)))</f>
        <v>708.709896838709</v>
      </c>
      <c r="C340" s="402">
        <f>IF(B340="","",B340*F$6)</f>
        <v>0.279250936055726</v>
      </c>
      <c r="D340" s="403">
        <f>IF(C340="","",(D$3*$C340)/$C$3)</f>
        <v>0.360451562852072</v>
      </c>
      <c r="E340" s="403">
        <f>IF(C340="","",D340-$C340)</f>
        <v>0.081200626796346</v>
      </c>
      <c r="F340" s="404">
        <f>IF(B340="","",C340/B340)</f>
        <v>0.000394027143266039</v>
      </c>
      <c r="G340" s="404"/>
    </row>
    <row r="341" ht="20.05" customHeight="1">
      <c r="A341" s="400">
        <v>45142</v>
      </c>
      <c r="B341" s="401">
        <f>IF(OR(WEEKDAY($A341)=7,WEEKDAY($A341)=1),"",IF(B340="",IF(B339="",B338,B339),B340)+IF(A$2=TRUE,IF(C340="",IF(C339="",C338,C339),C340)*2,IF(C340="",IF(C339="",C338,C339),C340)))</f>
        <v>709.268398710820</v>
      </c>
      <c r="C341" s="402">
        <f>IF(B341="","",B341*F$6)</f>
        <v>0.279471000952902</v>
      </c>
      <c r="D341" s="403">
        <f>IF(C341="","",(D$3*$C341)/$C$3)</f>
        <v>0.360735618251264</v>
      </c>
      <c r="E341" s="403">
        <f>IF(C341="","",D341-$C341)</f>
        <v>0.081264617298362</v>
      </c>
      <c r="F341" s="404">
        <f>IF(B341="","",C341/B341)</f>
        <v>0.000394027143266039</v>
      </c>
      <c r="G341" s="404"/>
    </row>
    <row r="342" ht="20.05" customHeight="1">
      <c r="A342" s="400">
        <v>45143</v>
      </c>
      <c r="B342" t="s" s="405">
        <f>IF(OR(WEEKDAY($A342)=7,WEEKDAY($A342)=1),"",IF(B341="",IF(B340="",B339,B340),B341)+IF(A$2=TRUE,IF(C341="",IF(C340="",C339,C340),C341)*2,IF(C341="",IF(C340="",C339,C340),C341)))</f>
      </c>
      <c r="C342" t="s" s="406">
        <f>IF(B342="","",B342*F$6)</f>
      </c>
      <c r="D342" t="s" s="406">
        <f>IF(C342="","",(D$3*$C342)/$C$3)</f>
      </c>
      <c r="E342" t="s" s="406">
        <f>IF(C342="","",D342-$C342)</f>
      </c>
      <c r="F342" t="s" s="406">
        <f>IF(B342="","",C342/B342)</f>
      </c>
      <c r="G342" s="404"/>
    </row>
    <row r="343" ht="20.05" customHeight="1">
      <c r="A343" s="400">
        <v>45144</v>
      </c>
      <c r="B343" t="s" s="405">
        <f>IF(OR(WEEKDAY($A343)=7,WEEKDAY($A343)=1),"",IF(B342="",IF(B341="",B340,B341),B342)+IF(A$2=TRUE,IF(C342="",IF(C341="",C340,C341),C342)*2,IF(C342="",IF(C341="",C340,C341),C342)))</f>
      </c>
      <c r="C343" t="s" s="406">
        <f>IF(B343="","",B343*F$6)</f>
      </c>
      <c r="D343" t="s" s="406">
        <f>IF(C343="","",(D$3*$C343)/$C$3)</f>
      </c>
      <c r="E343" t="s" s="406">
        <f>IF(C343="","",D343-$C343)</f>
      </c>
      <c r="F343" t="s" s="406">
        <f>IF(B343="","",C343/B343)</f>
      </c>
      <c r="G343" s="404"/>
    </row>
    <row r="344" ht="20.05" customHeight="1">
      <c r="A344" s="400">
        <v>45145</v>
      </c>
      <c r="B344" s="401">
        <f>IF(OR(WEEKDAY($A344)=7,WEEKDAY($A344)=1),"",IF(B343="",IF(B342="",B341,B342),B343)+IF(A$2=TRUE,IF(C343="",IF(C342="",C341,C342),C343)*2,IF(C343="",IF(C342="",C341,C342),C343)))</f>
        <v>709.827340712726</v>
      </c>
      <c r="C344" s="402">
        <f>IF(B344="","",B344*F$6)</f>
        <v>0.279691239273165</v>
      </c>
      <c r="D344" s="403">
        <f>IF(C344="","",(D$3*$C344)/$C$3)</f>
        <v>0.361019897501532</v>
      </c>
      <c r="E344" s="403">
        <f>IF(C344="","",D344-$C344)</f>
        <v>0.081328658228367</v>
      </c>
      <c r="F344" s="404">
        <f>IF(B344="","",C344/B344)</f>
        <v>0.000394027143266039</v>
      </c>
      <c r="G344" s="404"/>
    </row>
    <row r="345" ht="20.05" customHeight="1">
      <c r="A345" s="400">
        <v>45146</v>
      </c>
      <c r="B345" s="401">
        <f>IF(OR(WEEKDAY($A345)=7,WEEKDAY($A345)=1),"",IF(B344="",IF(B343="",B342,B343),B344)+IF(A$2=TRUE,IF(C344="",IF(C343="",C342,C343),C344)*2,IF(C344="",IF(C343="",C342,C343),C344)))</f>
        <v>710.386723191272</v>
      </c>
      <c r="C345" s="402">
        <f>IF(B345="","",B345*F$6)</f>
        <v>0.279911651153179</v>
      </c>
      <c r="D345" s="403">
        <f>IF(C345="","",(D$3*$C345)/$C$3)</f>
        <v>0.361304400779281</v>
      </c>
      <c r="E345" s="403">
        <f>IF(C345="","",D345-$C345)</f>
        <v>0.081392749626102</v>
      </c>
      <c r="F345" s="404">
        <f>IF(B345="","",C345/B345)</f>
        <v>0.000394027143266039</v>
      </c>
      <c r="G345" s="404"/>
    </row>
    <row r="346" ht="20.05" customHeight="1">
      <c r="A346" s="400">
        <v>45147</v>
      </c>
      <c r="B346" s="401">
        <f>IF(OR(WEEKDAY($A346)=7,WEEKDAY($A346)=1),"",IF(B345="",IF(B344="",B343,B344),B345)+IF(A$2=TRUE,IF(C345="",IF(C344="",C343,C344),C345)*2,IF(C345="",IF(C344="",C343,C344),C345)))</f>
        <v>710.946546493578</v>
      </c>
      <c r="C346" s="402">
        <f>IF(B346="","",B346*F$6)</f>
        <v>0.280132236729721</v>
      </c>
      <c r="D346" s="403">
        <f>IF(C346="","",(D$3*$C346)/$C$3)</f>
        <v>0.361589128261058</v>
      </c>
      <c r="E346" s="403">
        <f>IF(C346="","",D346-$C346)</f>
        <v>0.08145689153133701</v>
      </c>
      <c r="F346" s="404">
        <f>IF(B346="","",C346/B346)</f>
        <v>0.000394027143266039</v>
      </c>
      <c r="G346" s="404"/>
    </row>
    <row r="347" ht="20.05" customHeight="1">
      <c r="A347" s="400">
        <v>45148</v>
      </c>
      <c r="B347" s="401">
        <f>IF(OR(WEEKDAY($A347)=7,WEEKDAY($A347)=1),"",IF(B346="",IF(B345="",B344,B345),B346)+IF(A$2=TRUE,IF(C346="",IF(C345="",C344,C345),C346)*2,IF(C346="",IF(C345="",C344,C345),C346)))</f>
        <v>711.506810967037</v>
      </c>
      <c r="C347" s="402">
        <f>IF(B347="","",B347*F$6)</f>
        <v>0.280352996139671</v>
      </c>
      <c r="D347" s="403">
        <f>IF(C347="","",(D$3*$C347)/$C$3)</f>
        <v>0.361874080123547</v>
      </c>
      <c r="E347" s="403">
        <f>IF(C347="","",D347-$C347)</f>
        <v>0.081521083983876</v>
      </c>
      <c r="F347" s="404">
        <f>IF(B347="","",C347/B347)</f>
        <v>0.000394027143266039</v>
      </c>
      <c r="G347" s="404"/>
    </row>
    <row r="348" ht="20.05" customHeight="1">
      <c r="A348" s="400">
        <v>45149</v>
      </c>
      <c r="B348" s="401">
        <f>IF(OR(WEEKDAY($A348)=7,WEEKDAY($A348)=1),"",IF(B347="",IF(B346="",B345,B346),B347)+IF(A$2=TRUE,IF(C347="",IF(C346="",C345,C346),C347)*2,IF(C347="",IF(C346="",C345,C346),C347)))</f>
        <v>712.067516959316</v>
      </c>
      <c r="C348" s="402">
        <f>IF(B348="","",B348*F$6)</f>
        <v>0.280573929520021</v>
      </c>
      <c r="D348" s="403">
        <f>IF(C348="","",(D$3*$C348)/$C$3)</f>
        <v>0.362159256543573</v>
      </c>
      <c r="E348" s="403">
        <f>IF(C348="","",D348-$C348)</f>
        <v>0.08158532702355201</v>
      </c>
      <c r="F348" s="404">
        <f>IF(B348="","",C348/B348)</f>
        <v>0.000394027143266039</v>
      </c>
      <c r="G348" s="404"/>
    </row>
    <row r="349" ht="20.05" customHeight="1">
      <c r="A349" s="400">
        <v>45150</v>
      </c>
      <c r="B349" t="s" s="405">
        <f>IF(OR(WEEKDAY($A349)=7,WEEKDAY($A349)=1),"",IF(B348="",IF(B347="",B346,B347),B348)+IF(A$2=TRUE,IF(C348="",IF(C347="",C346,C347),C348)*2,IF(C348="",IF(C347="",C346,C347),C348)))</f>
      </c>
      <c r="C349" t="s" s="406">
        <f>IF(B349="","",B349*F$6)</f>
      </c>
      <c r="D349" t="s" s="406">
        <f>IF(C349="","",(D$3*$C349)/$C$3)</f>
      </c>
      <c r="E349" t="s" s="406">
        <f>IF(C349="","",D349-$C349)</f>
      </c>
      <c r="F349" t="s" s="406">
        <f>IF(B349="","",C349/B349)</f>
      </c>
      <c r="G349" s="404"/>
    </row>
    <row r="350" ht="20.05" customHeight="1">
      <c r="A350" s="400">
        <v>45151</v>
      </c>
      <c r="B350" t="s" s="405">
        <f>IF(OR(WEEKDAY($A350)=7,WEEKDAY($A350)=1),"",IF(B349="",IF(B348="",B347,B348),B349)+IF(A$2=TRUE,IF(C349="",IF(C348="",C347,C348),C349)*2,IF(C349="",IF(C348="",C347,C348),C349)))</f>
      </c>
      <c r="C350" t="s" s="406">
        <f>IF(B350="","",B350*F$6)</f>
      </c>
      <c r="D350" t="s" s="406">
        <f>IF(C350="","",(D$3*$C350)/$C$3)</f>
      </c>
      <c r="E350" t="s" s="406">
        <f>IF(C350="","",D350-$C350)</f>
      </c>
      <c r="F350" t="s" s="406">
        <f>IF(B350="","",C350/B350)</f>
      </c>
      <c r="G350" s="404"/>
    </row>
    <row r="351" ht="20.05" customHeight="1">
      <c r="A351" s="400">
        <v>45152</v>
      </c>
      <c r="B351" s="401">
        <f>IF(OR(WEEKDAY($A351)=7,WEEKDAY($A351)=1),"",IF(B350="",IF(B349="",B348,B349),B350)+IF(A$2=TRUE,IF(C350="",IF(C349="",C348,C349),C350)*2,IF(C350="",IF(C349="",C348,C349),C350)))</f>
        <v>712.628664818356</v>
      </c>
      <c r="C351" s="402">
        <f>IF(B351="","",B351*F$6)</f>
        <v>0.280795037007868</v>
      </c>
      <c r="D351" s="403">
        <f>IF(C351="","",(D$3*$C351)/$C$3)</f>
        <v>0.362444657698099</v>
      </c>
      <c r="E351" s="403">
        <f>IF(C351="","",D351-$C351)</f>
        <v>0.081649620690231</v>
      </c>
      <c r="F351" s="404">
        <f>IF(B351="","",C351/B351)</f>
        <v>0.000394027143266038</v>
      </c>
      <c r="G351" s="404"/>
    </row>
    <row r="352" ht="20.05" customHeight="1">
      <c r="A352" s="400">
        <v>45153</v>
      </c>
      <c r="B352" s="401">
        <f>IF(OR(WEEKDAY($A352)=7,WEEKDAY($A352)=1),"",IF(B351="",IF(B350="",B349,B350),B351)+IF(A$2=TRUE,IF(C351="",IF(C350="",C349,C350),C351)*2,IF(C351="",IF(C350="",C349,C350),C351)))</f>
        <v>713.190254892372</v>
      </c>
      <c r="C352" s="402">
        <f>IF(B352="","",B352*F$6)</f>
        <v>0.28101631874042</v>
      </c>
      <c r="D352" s="403">
        <f>IF(C352="","",(D$3*$C352)/$C$3)</f>
        <v>0.36273028376423</v>
      </c>
      <c r="E352" s="403">
        <f>IF(C352="","",D352-$C352)</f>
        <v>0.08171396502381</v>
      </c>
      <c r="F352" s="404">
        <f>IF(B352="","",C352/B352)</f>
        <v>0.00039402714326604</v>
      </c>
      <c r="G352" s="404"/>
    </row>
    <row r="353" ht="20.05" customHeight="1">
      <c r="A353" s="400">
        <v>45154</v>
      </c>
      <c r="B353" s="401">
        <f>IF(OR(WEEKDAY($A353)=7,WEEKDAY($A353)=1),"",IF(B352="",IF(B351="",B350,B351),B352)+IF(A$2=TRUE,IF(C352="",IF(C351="",C350,C351),C352)*2,IF(C352="",IF(C351="",C350,C351),C352)))</f>
        <v>713.752287529853</v>
      </c>
      <c r="C353" s="402">
        <f>IF(B353="","",B353*F$6)</f>
        <v>0.281237774854988</v>
      </c>
      <c r="D353" s="403">
        <f>IF(C353="","",(D$3*$C353)/$C$3)</f>
        <v>0.363016134919204</v>
      </c>
      <c r="E353" s="403">
        <f>IF(C353="","",D353-$C353)</f>
        <v>0.081778360064216</v>
      </c>
      <c r="F353" s="404">
        <f>IF(B353="","",C353/B353)</f>
        <v>0.000394027143266038</v>
      </c>
      <c r="G353" s="404"/>
    </row>
    <row r="354" ht="20.05" customHeight="1">
      <c r="A354" s="400">
        <v>45155</v>
      </c>
      <c r="B354" s="401">
        <f>IF(OR(WEEKDAY($A354)=7,WEEKDAY($A354)=1),"",IF(B353="",IF(B352="",B351,B352),B353)+IF(A$2=TRUE,IF(C353="",IF(C352="",C351,C352),C353)*2,IF(C353="",IF(C352="",C351,C352),C353)))</f>
        <v>714.314763079563</v>
      </c>
      <c r="C354" s="402">
        <f>IF(B354="","",B354*F$6)</f>
        <v>0.281459405488998</v>
      </c>
      <c r="D354" s="403">
        <f>IF(C354="","",(D$3*$C354)/$C$3)</f>
        <v>0.363302211340409</v>
      </c>
      <c r="E354" s="403">
        <f>IF(C354="","",D354-$C354)</f>
        <v>0.081842805851411</v>
      </c>
      <c r="F354" s="404">
        <f>IF(B354="","",C354/B354)</f>
        <v>0.000394027143266039</v>
      </c>
      <c r="G354" s="404"/>
    </row>
    <row r="355" ht="20.05" customHeight="1">
      <c r="A355" s="400">
        <v>45156</v>
      </c>
      <c r="B355" s="401">
        <f>IF(OR(WEEKDAY($A355)=7,WEEKDAY($A355)=1),"",IF(B354="",IF(B353="",B352,B353),B354)+IF(A$2=TRUE,IF(C354="",IF(C353="",C352,C353),C354)*2,IF(C354="",IF(C353="",C352,C353),C354)))</f>
        <v>714.877681890541</v>
      </c>
      <c r="C355" s="402">
        <f>IF(B355="","",B355*F$6)</f>
        <v>0.281681210779978</v>
      </c>
      <c r="D355" s="403">
        <f>IF(C355="","",(D$3*$C355)/$C$3)</f>
        <v>0.363588513205362</v>
      </c>
      <c r="E355" s="403">
        <f>IF(C355="","",D355-$C355)</f>
        <v>0.08190730242538399</v>
      </c>
      <c r="F355" s="404">
        <f>IF(B355="","",C355/B355)</f>
        <v>0.000394027143266039</v>
      </c>
      <c r="G355" s="404"/>
    </row>
    <row r="356" ht="20.05" customHeight="1">
      <c r="A356" s="400">
        <v>45157</v>
      </c>
      <c r="B356" t="s" s="405">
        <f>IF(OR(WEEKDAY($A356)=7,WEEKDAY($A356)=1),"",IF(B355="",IF(B354="",B353,B354),B355)+IF(A$2=TRUE,IF(C355="",IF(C354="",C353,C354),C355)*2,IF(C355="",IF(C354="",C353,C354),C355)))</f>
      </c>
      <c r="C356" t="s" s="406">
        <f>IF(B356="","",B356*F$6)</f>
      </c>
      <c r="D356" t="s" s="406">
        <f>IF(C356="","",(D$3*$C356)/$C$3)</f>
      </c>
      <c r="E356" t="s" s="406">
        <f>IF(C356="","",D356-$C356)</f>
      </c>
      <c r="F356" t="s" s="406">
        <f>IF(B356="","",C356/B356)</f>
      </c>
      <c r="G356" s="404"/>
    </row>
    <row r="357" ht="20.05" customHeight="1">
      <c r="A357" s="400">
        <v>45158</v>
      </c>
      <c r="B357" t="s" s="405">
        <f>IF(OR(WEEKDAY($A357)=7,WEEKDAY($A357)=1),"",IF(B356="",IF(B355="",B354,B355),B356)+IF(A$2=TRUE,IF(C356="",IF(C355="",C354,C355),C356)*2,IF(C356="",IF(C355="",C354,C355),C356)))</f>
      </c>
      <c r="C357" t="s" s="406">
        <f>IF(B357="","",B357*F$6)</f>
      </c>
      <c r="D357" t="s" s="406">
        <f>IF(C357="","",(D$3*$C357)/$C$3)</f>
      </c>
      <c r="E357" t="s" s="406">
        <f>IF(C357="","",D357-$C357)</f>
      </c>
      <c r="F357" t="s" s="406">
        <f>IF(B357="","",C357/B357)</f>
      </c>
      <c r="G357" s="404"/>
    </row>
    <row r="358" ht="20.05" customHeight="1">
      <c r="A358" s="400">
        <v>45159</v>
      </c>
      <c r="B358" s="401">
        <f>IF(OR(WEEKDAY($A358)=7,WEEKDAY($A358)=1),"",IF(B357="",IF(B356="",B355,B356),B357)+IF(A$2=TRUE,IF(C357="",IF(C356="",C355,C356),C357)*2,IF(C357="",IF(C356="",C355,C356),C357)))</f>
        <v>715.441044312101</v>
      </c>
      <c r="C358" s="402">
        <f>IF(B358="","",B358*F$6)</f>
        <v>0.281903190865569</v>
      </c>
      <c r="D358" s="403">
        <f>IF(C358="","",(D$3*$C358)/$C$3)</f>
        <v>0.363875040691727</v>
      </c>
      <c r="E358" s="403">
        <f>IF(C358="","",D358-$C358)</f>
        <v>0.081971849826158</v>
      </c>
      <c r="F358" s="404">
        <f>IF(B358="","",C358/B358)</f>
        <v>0.000394027143266039</v>
      </c>
      <c r="G358" s="404"/>
    </row>
    <row r="359" ht="20.05" customHeight="1">
      <c r="A359" s="400">
        <v>45160</v>
      </c>
      <c r="B359" s="401">
        <f>IF(OR(WEEKDAY($A359)=7,WEEKDAY($A359)=1),"",IF(B358="",IF(B357="",B356,B357),B358)+IF(A$2=TRUE,IF(C358="",IF(C357="",C356,C357),C358)*2,IF(C358="",IF(C357="",C356,C357),C358)))</f>
        <v>716.0048506938321</v>
      </c>
      <c r="C359" s="402">
        <f>IF(B359="","",B359*F$6)</f>
        <v>0.282125345883517</v>
      </c>
      <c r="D359" s="403">
        <f>IF(C359="","",(D$3*$C359)/$C$3)</f>
        <v>0.364161793977306</v>
      </c>
      <c r="E359" s="403">
        <f>IF(C359="","",D359-$C359)</f>
        <v>0.082036448093789</v>
      </c>
      <c r="F359" s="404">
        <f>IF(B359="","",C359/B359)</f>
        <v>0.000394027143266038</v>
      </c>
      <c r="G359" s="404"/>
    </row>
    <row r="360" ht="20.05" customHeight="1">
      <c r="A360" s="400">
        <v>45161</v>
      </c>
      <c r="B360" s="401">
        <f>IF(OR(WEEKDAY($A360)=7,WEEKDAY($A360)=1),"",IF(B359="",IF(B358="",B357,B358),B359)+IF(A$2=TRUE,IF(C359="",IF(C358="",C357,C358),C359)*2,IF(C359="",IF(C358="",C357,C358),C359)))</f>
        <v>716.569101385599</v>
      </c>
      <c r="C360" s="402">
        <f>IF(B360="","",B360*F$6)</f>
        <v>0.28234767597168</v>
      </c>
      <c r="D360" s="403">
        <f>IF(C360="","",(D$3*$C360)/$C$3)</f>
        <v>0.364448773240041</v>
      </c>
      <c r="E360" s="403">
        <f>IF(C360="","",D360-$C360)</f>
        <v>0.082101097268361</v>
      </c>
      <c r="F360" s="404">
        <f>IF(B360="","",C360/B360)</f>
        <v>0.000394027143266039</v>
      </c>
      <c r="G360" s="404"/>
    </row>
    <row r="361" ht="20.05" customHeight="1">
      <c r="A361" s="400">
        <v>45162</v>
      </c>
      <c r="B361" s="401">
        <f>IF(OR(WEEKDAY($A361)=7,WEEKDAY($A361)=1),"",IF(B360="",IF(B359="",B358,B359),B360)+IF(A$2=TRUE,IF(C360="",IF(C359="",C358,C359),C360)*2,IF(C360="",IF(C359="",C358,C359),C360)))</f>
        <v>717.133796737542</v>
      </c>
      <c r="C361" s="402">
        <f>IF(B361="","",B361*F$6)</f>
        <v>0.282570181268022</v>
      </c>
      <c r="D361" s="403">
        <f>IF(C361="","",(D$3*$C361)/$C$3)</f>
        <v>0.364735978658014</v>
      </c>
      <c r="E361" s="403">
        <f>IF(C361="","",D361-$C361)</f>
        <v>0.082165797389992</v>
      </c>
      <c r="F361" s="404">
        <f>IF(B361="","",C361/B361)</f>
        <v>0.000394027143266039</v>
      </c>
      <c r="G361" s="404"/>
    </row>
    <row r="362" ht="20.05" customHeight="1">
      <c r="A362" s="400">
        <v>45163</v>
      </c>
      <c r="B362" s="401">
        <f>IF(OR(WEEKDAY($A362)=7,WEEKDAY($A362)=1),"",IF(B361="",IF(B360="",B359,B360),B361)+IF(A$2=TRUE,IF(C361="",IF(C360="",C359,C360),C361)*2,IF(C361="",IF(C360="",C359,C360),C361)))</f>
        <v>717.698937100078</v>
      </c>
      <c r="C362" s="402">
        <f>IF(B362="","",B362*F$6)</f>
        <v>0.282792861910616</v>
      </c>
      <c r="D362" s="403">
        <f>IF(C362="","",(D$3*$C362)/$C$3)</f>
        <v>0.365023410409448</v>
      </c>
      <c r="E362" s="403">
        <f>IF(C362="","",D362-$C362)</f>
        <v>0.082230548498832</v>
      </c>
      <c r="F362" s="404">
        <f>IF(B362="","",C362/B362)</f>
        <v>0.000394027143266039</v>
      </c>
      <c r="G362" s="404"/>
    </row>
    <row r="363" ht="20.05" customHeight="1">
      <c r="A363" s="400">
        <v>45164</v>
      </c>
      <c r="B363" t="s" s="405">
        <f>IF(OR(WEEKDAY($A363)=7,WEEKDAY($A363)=1),"",IF(B362="",IF(B361="",B360,B361),B362)+IF(A$2=TRUE,IF(C362="",IF(C361="",C360,C361),C362)*2,IF(C362="",IF(C361="",C360,C361),C362)))</f>
      </c>
      <c r="C363" t="s" s="406">
        <f>IF(B363="","",B363*F$6)</f>
      </c>
      <c r="D363" t="s" s="406">
        <f>IF(C363="","",(D$3*$C363)/$C$3)</f>
      </c>
      <c r="E363" t="s" s="406">
        <f>IF(C363="","",D363-$C363)</f>
      </c>
      <c r="F363" t="s" s="406">
        <f>IF(B363="","",C363/B363)</f>
      </c>
      <c r="G363" s="404"/>
    </row>
    <row r="364" ht="20.05" customHeight="1">
      <c r="A364" s="400">
        <v>45165</v>
      </c>
      <c r="B364" t="s" s="405">
        <f>IF(OR(WEEKDAY($A364)=7,WEEKDAY($A364)=1),"",IF(B363="",IF(B362="",B361,B362),B363)+IF(A$2=TRUE,IF(C363="",IF(C362="",C361,C362),C363)*2,IF(C363="",IF(C362="",C361,C362),C363)))</f>
      </c>
      <c r="C364" t="s" s="406">
        <f>IF(B364="","",B364*F$6)</f>
      </c>
      <c r="D364" t="s" s="406">
        <f>IF(C364="","",(D$3*$C364)/$C$3)</f>
      </c>
      <c r="E364" t="s" s="406">
        <f>IF(C364="","",D364-$C364)</f>
      </c>
      <c r="F364" t="s" s="406">
        <f>IF(B364="","",C364/B364)</f>
      </c>
      <c r="G364" s="404"/>
    </row>
    <row r="365" ht="20.05" customHeight="1">
      <c r="A365" s="400">
        <v>45166</v>
      </c>
      <c r="B365" s="401">
        <f>IF(OR(WEEKDAY($A365)=7,WEEKDAY($A365)=1),"",IF(B364="",IF(B363="",B362,B363),B364)+IF(A$2=TRUE,IF(C364="",IF(C363="",C362,C363),C364)*2,IF(C364="",IF(C363="",C362,C363),C364)))-G152</f>
        <v>597.044522823899</v>
      </c>
      <c r="C365" s="402">
        <f>IF(B365="","",B365*F$6)</f>
        <v>0.235251747730936</v>
      </c>
      <c r="D365" s="403">
        <f>IF(C365="","",(D$3*$C365)/$C$3)</f>
        <v>0.30365828430518</v>
      </c>
      <c r="E365" s="403">
        <f>IF(C365="","",D365-$C365)</f>
        <v>0.068406536574244</v>
      </c>
      <c r="F365" s="404">
        <f>IF(B365="","",C365/B365)</f>
        <v>0.000394027143266038</v>
      </c>
      <c r="G365" s="404"/>
    </row>
    <row r="366" ht="20.05" customHeight="1">
      <c r="A366" s="400">
        <v>45167</v>
      </c>
      <c r="B366" s="401">
        <f>IF(OR(WEEKDAY($A366)=7,WEEKDAY($A366)=1),"",IF(B365="",IF(B364="",B363,B364),B365)+IF(A$2=TRUE,IF(C365="",IF(C364="",C363,C364),C365)*2,IF(C365="",IF(C364="",C363,C364),C365)))</f>
        <v>597.515026319361</v>
      </c>
      <c r="C366" s="402">
        <f>IF(B366="","",B366*F$6)</f>
        <v>0.23543713887915</v>
      </c>
      <c r="D366" s="403">
        <f>IF(C366="","",(D$3*$C366)/$C$3)</f>
        <v>0.303897583517768</v>
      </c>
      <c r="E366" s="403">
        <f>IF(C366="","",D366-$C366)</f>
        <v>0.068460444638618</v>
      </c>
      <c r="F366" s="404">
        <f>IF(B366="","",C366/B366)</f>
        <v>0.000394027143266039</v>
      </c>
      <c r="G366" s="404"/>
    </row>
    <row r="367" ht="20.05" customHeight="1">
      <c r="A367" s="400">
        <v>45168</v>
      </c>
      <c r="B367" s="401">
        <f>IF(OR(WEEKDAY($A367)=7,WEEKDAY($A367)=1),"",IF(B366="",IF(B365="",B364,B365),B366)+IF(A$2=TRUE,IF(C366="",IF(C365="",C364,C365),C366)*2,IF(C366="",IF(C365="",C364,C365),C366)))</f>
        <v>597.985900597119</v>
      </c>
      <c r="C367" s="402">
        <f>IF(B367="","",B367*F$6)</f>
        <v>0.235622676125652</v>
      </c>
      <c r="D367" s="403">
        <f>IF(C367="","",(D$3*$C367)/$C$3)</f>
        <v>0.304137071311125</v>
      </c>
      <c r="E367" s="403">
        <f>IF(C367="","",D367-$C367)</f>
        <v>0.068514395185473</v>
      </c>
      <c r="F367" s="404">
        <f>IF(B367="","",C367/B367)</f>
        <v>0.000394027143266038</v>
      </c>
      <c r="G367" s="402">
        <f>G368*B338</f>
        <v>-109.137066148480</v>
      </c>
    </row>
    <row r="368" ht="20.05" customHeight="1">
      <c r="A368" s="400">
        <v>45169</v>
      </c>
      <c r="B368" s="401">
        <f>IF(OR(WEEKDAY($A368)=7,WEEKDAY($A368)=1),"",IF(B367="",IF(B366="",B365,B366),B367)+IF(A$2=TRUE,IF(C367="",IF(C366="",C365,C366),C367)*2,IF(C367="",IF(C366="",C365,C366),C367)))</f>
        <v>598.457145949370</v>
      </c>
      <c r="C368" s="402">
        <f>IF(B368="","",B368*F$6)</f>
        <v>0.235808359585577</v>
      </c>
      <c r="D368" s="403">
        <f>IF(C368="","",(D$3*$C368)/$C$3)</f>
        <v>0.304376747833865</v>
      </c>
      <c r="E368" s="403">
        <f>IF(C368="","",D368-$C368)</f>
        <v>0.068568388248288</v>
      </c>
      <c r="F368" s="404">
        <f>IF(B368="","",C368/B368)</f>
        <v>0.000394027143266039</v>
      </c>
      <c r="G368" s="404">
        <f>(B368-B338)/B338</f>
        <v>-0.154236798835471</v>
      </c>
    </row>
    <row r="369" ht="20.05" customHeight="1">
      <c r="A369" s="400">
        <v>45170</v>
      </c>
      <c r="B369" s="401">
        <f>IF(OR(WEEKDAY($A369)=7,WEEKDAY($A369)=1),"",IF(B368="",IF(B367="",B366,B367),B368)+IF(A$2=TRUE,IF(C368="",IF(C367="",C366,C367),C368)*2,IF(C368="",IF(C367="",C366,C367),C368)))</f>
        <v>598.928762668541</v>
      </c>
      <c r="C369" s="402">
        <f>IF(B369="","",B369*F$6)</f>
        <v>0.235994189374149</v>
      </c>
      <c r="D369" s="403">
        <f>IF(C369="","",(D$3*$C369)/$C$3)</f>
        <v>0.304616613234717</v>
      </c>
      <c r="E369" s="403">
        <f>IF(C369="","",D369-$C369)</f>
        <v>0.06862242386056799</v>
      </c>
      <c r="F369" s="404">
        <f>IF(B369="","",C369/B369)</f>
        <v>0.00039402714326604</v>
      </c>
      <c r="G369" s="404"/>
    </row>
    <row r="370" ht="20.05" customHeight="1">
      <c r="A370" s="400">
        <v>45171</v>
      </c>
      <c r="B370" t="s" s="405">
        <f>IF(OR(WEEKDAY($A370)=7,WEEKDAY($A370)=1),"",IF(B369="",IF(B368="",B367,B368),B369)+IF(A$2=TRUE,IF(C369="",IF(C368="",C367,C368),C369)*2,IF(C369="",IF(C368="",C367,C368),C369)))</f>
      </c>
      <c r="C370" t="s" s="406">
        <f>IF(B370="","",B370*F$6)</f>
      </c>
      <c r="D370" t="s" s="406">
        <f>IF(C370="","",(D$3*$C370)/$C$3)</f>
      </c>
      <c r="E370" t="s" s="406">
        <f>IF(C370="","",D370-$C370)</f>
      </c>
      <c r="F370" t="s" s="406">
        <f>IF(B370="","",C370/B370)</f>
      </c>
      <c r="G370" s="408">
        <f>"Anual: "&amp;ROUND(((B370-B9)/B9)*100,4)&amp;"%"</f>
      </c>
    </row>
    <row r="371" ht="20.05" customHeight="1">
      <c r="A371" s="400">
        <v>45172</v>
      </c>
      <c r="B371" t="s" s="405">
        <f>IF(OR(WEEKDAY($A371)=7,WEEKDAY($A371)=1),"",IF(B370="",IF(B369="",B368,B369),B370)+IF(A$2=TRUE,IF(C370="",IF(C369="",C368,C369),C370)*2,IF(C370="",IF(C369="",C368,C369),C370)))</f>
      </c>
      <c r="C371" t="s" s="406">
        <f>IF(B371="","",B371*F$6)</f>
      </c>
      <c r="D371" t="s" s="406">
        <f>IF(C371="","",(D$3*$C371)/$C$3)</f>
      </c>
      <c r="E371" t="s" s="406">
        <f>IF(C371="","",D371-$C371)</f>
      </c>
      <c r="F371" t="s" s="406">
        <f>IF(B371="","",C371/B371)</f>
      </c>
      <c r="G371" s="408"/>
    </row>
    <row r="372" ht="20.05" customHeight="1">
      <c r="A372" s="400">
        <v>45173</v>
      </c>
      <c r="B372" s="401">
        <f>IF(OR(WEEKDAY($A372)=7,WEEKDAY($A372)=1),"",IF(B371="",IF(B370="",B369,B370),B371)+IF(A$2=TRUE,IF(C371="",IF(C370="",C369,C370),C371)*2,IF(C371="",IF(C370="",C369,C370),C371)))</f>
        <v>599.400751047289</v>
      </c>
      <c r="C372" s="402">
        <f>IF(B372="","",B372*F$6)</f>
        <v>0.236180165606682</v>
      </c>
      <c r="D372" s="403">
        <f>IF(C372="","",(D$3*$C372)/$C$3)</f>
        <v>0.304856667662526</v>
      </c>
      <c r="E372" s="403">
        <f>IF(C372="","",D372-$C372)</f>
        <v>0.068676502055844</v>
      </c>
      <c r="F372" s="404">
        <f>IF(B372="","",C372/B372)</f>
        <v>0.00039402714326604</v>
      </c>
      <c r="G372" s="408"/>
    </row>
    <row r="373" ht="20.05" customHeight="1">
      <c r="A373" s="400">
        <v>45174</v>
      </c>
      <c r="B373" s="401">
        <f>IF(OR(WEEKDAY($A373)=7,WEEKDAY($A373)=1),"",IF(B372="",IF(B371="",B370,B371),B372)+IF(A$2=TRUE,IF(C372="",IF(C371="",C370,C371),C372)*2,IF(C372="",IF(C371="",C370,C371),C372)))</f>
        <v>599.873111378502</v>
      </c>
      <c r="C373" s="402">
        <f>IF(B373="","",B373*F$6)</f>
        <v>0.236366288398582</v>
      </c>
      <c r="D373" s="403">
        <f>IF(C373="","",(D$3*$C373)/$C$3)</f>
        <v>0.305096911266255</v>
      </c>
      <c r="E373" s="403">
        <f>IF(C373="","",D373-$C373)</f>
        <v>0.06873062286767299</v>
      </c>
      <c r="F373" s="404">
        <f>IF(B373="","",C373/B373)</f>
        <v>0.00039402714326604</v>
      </c>
      <c r="G373" s="408"/>
    </row>
    <row r="374" ht="20.05" customHeight="1">
      <c r="A374" s="400">
        <v>45175</v>
      </c>
      <c r="B374" s="401">
        <f>IF(OR(WEEKDAY($A374)=7,WEEKDAY($A374)=1),"",IF(B373="",IF(B372="",B371,B372),B373)+IF(A$2=TRUE,IF(C373="",IF(C372="",C371,C372),C373)*2,IF(C373="",IF(C372="",C371,C372),C373)))</f>
        <v>600.345843955299</v>
      </c>
      <c r="C374" s="402">
        <f>IF(B374="","",B374*F$6)</f>
        <v>0.236552557865346</v>
      </c>
      <c r="D374" s="403">
        <f>IF(C374="","",(D$3*$C374)/$C$3)</f>
        <v>0.305337344194986</v>
      </c>
      <c r="E374" s="403">
        <f>IF(C374="","",D374-$C374)</f>
        <v>0.06878478632964</v>
      </c>
      <c r="F374" s="404">
        <f>IF(B374="","",C374/B374)</f>
        <v>0.00039402714326604</v>
      </c>
      <c r="G374" s="408"/>
    </row>
    <row r="375" ht="20.05" customHeight="1">
      <c r="A375" s="400">
        <v>45176</v>
      </c>
      <c r="B375" s="401">
        <f>IF(OR(WEEKDAY($A375)=7,WEEKDAY($A375)=1),"",IF(B374="",IF(B373="",B372,B373),B374)+IF(A$2=TRUE,IF(C374="",IF(C373="",C372,C373),C374)*2,IF(C374="",IF(C373="",C372,C373),C374)))</f>
        <v>600.818949071030</v>
      </c>
      <c r="C375" s="402">
        <f>IF(B375="","",B375*F$6)</f>
        <v>0.236738974122562</v>
      </c>
      <c r="D375" s="403">
        <f>IF(C375="","",(D$3*$C375)/$C$3)</f>
        <v>0.305577966597917</v>
      </c>
      <c r="E375" s="403">
        <f>IF(C375="","",D375-$C375)</f>
        <v>0.06883899247535499</v>
      </c>
      <c r="F375" s="404">
        <f>IF(B375="","",C375/B375)</f>
        <v>0.000394027143266039</v>
      </c>
      <c r="G375" s="408"/>
    </row>
    <row r="376" ht="20.05" customHeight="1">
      <c r="A376" s="400">
        <v>45177</v>
      </c>
      <c r="B376" s="401">
        <f>IF(OR(WEEKDAY($A376)=7,WEEKDAY($A376)=1),"",IF(B375="",IF(B374="",B373,B374),B375)+IF(A$2=TRUE,IF(C375="",IF(C374="",C373,C374),C375)*2,IF(C375="",IF(C374="",C373,C374),C375)))</f>
        <v>601.292427019275</v>
      </c>
      <c r="C376" s="402">
        <f>IF(B376="","",B376*F$6)</f>
        <v>0.236925537285908</v>
      </c>
      <c r="D376" s="403">
        <f>IF(C376="","",(D$3*$C376)/$C$3)</f>
        <v>0.305818778624364</v>
      </c>
      <c r="E376" s="403">
        <f>IF(C376="","",D376-$C376)</f>
        <v>0.06889324133845599</v>
      </c>
      <c r="F376" s="404">
        <f>IF(B376="","",C376/B376)</f>
        <v>0.000394027143266039</v>
      </c>
      <c r="G376" s="408"/>
    </row>
    <row r="377" ht="20.05" customHeight="1">
      <c r="A377" s="400">
        <v>45178</v>
      </c>
      <c r="B377" t="s" s="405">
        <f>IF(OR(WEEKDAY($A377)=7,WEEKDAY($A377)=1),"",IF(B376="",IF(B375="",B374,B375),B376)+IF(A$2=TRUE,IF(C376="",IF(C375="",C374,C375),C376)*2,IF(C376="",IF(C375="",C374,C375),C376)))</f>
      </c>
      <c r="C377" t="s" s="406">
        <f>IF(B377="","",B377*F$6)</f>
      </c>
      <c r="D377" t="s" s="406">
        <f>IF(C377="","",(D$3*$C377)/$C$3)</f>
      </c>
      <c r="E377" t="s" s="406">
        <f>IF(C377="","",D377-$C377)</f>
      </c>
      <c r="F377" t="s" s="406">
        <f>IF(B377="","",C377/B377)</f>
      </c>
      <c r="G377" s="408"/>
    </row>
    <row r="378" ht="20.05" customHeight="1">
      <c r="A378" s="400">
        <v>45179</v>
      </c>
      <c r="B378" t="s" s="405">
        <f>IF(OR(WEEKDAY($A378)=7,WEEKDAY($A378)=1),"",IF(B377="",IF(B376="",B375,B376),B377)+IF(A$2=TRUE,IF(C377="",IF(C376="",C375,C376),C377)*2,IF(C377="",IF(C376="",C375,C376),C377)))</f>
      </c>
      <c r="C378" t="s" s="406">
        <f>IF(B378="","",B378*F$6)</f>
      </c>
      <c r="D378" t="s" s="406">
        <f>IF(C378="","",(D$3*$C378)/$C$3)</f>
      </c>
      <c r="E378" t="s" s="406">
        <f>IF(C378="","",D378-$C378)</f>
      </c>
      <c r="F378" t="s" s="406">
        <f>IF(B378="","",C378/B378)</f>
      </c>
      <c r="G378" s="408"/>
    </row>
    <row r="379" ht="20.05" customHeight="1">
      <c r="A379" s="400">
        <v>45180</v>
      </c>
      <c r="B379" s="401">
        <f>IF(OR(WEEKDAY($A379)=7,WEEKDAY($A379)=1),"",IF(B378="",IF(B377="",B376,B377),B378)+IF(A$2=TRUE,IF(C378="",IF(C377="",C376,C377),C378)*2,IF(C378="",IF(C377="",C376,C377),C378)))</f>
        <v>601.7662780938469</v>
      </c>
      <c r="C379" s="402">
        <f>IF(B379="","",B379*F$6)</f>
        <v>0.237112247471155</v>
      </c>
      <c r="D379" s="403">
        <f>IF(C379="","",(D$3*$C379)/$C$3)</f>
        <v>0.30605978042376</v>
      </c>
      <c r="E379" s="403">
        <f>IF(C379="","",D379-$C379)</f>
        <v>0.068947532952605</v>
      </c>
      <c r="F379" s="404">
        <f>IF(B379="","",C379/B379)</f>
        <v>0.000394027143266038</v>
      </c>
      <c r="G379" s="408"/>
    </row>
    <row r="380" ht="20.05" customHeight="1">
      <c r="A380" s="400">
        <v>45181</v>
      </c>
      <c r="B380" s="401">
        <f>IF(OR(WEEKDAY($A380)=7,WEEKDAY($A380)=1),"",IF(B379="",IF(B378="",B377,B378),B379)+IF(A$2=TRUE,IF(C379="",IF(C378="",C377,C378),C379)*2,IF(C379="",IF(C378="",C377,C378),C379)))</f>
        <v>602.240502588789</v>
      </c>
      <c r="C380" s="402">
        <f>IF(B380="","",B380*F$6)</f>
        <v>0.237299104794164</v>
      </c>
      <c r="D380" s="403">
        <f>IF(C380="","",(D$3*$C380)/$C$3)</f>
        <v>0.306300972145658</v>
      </c>
      <c r="E380" s="403">
        <f>IF(C380="","",D380-$C380)</f>
        <v>0.069001867351494</v>
      </c>
      <c r="F380" s="404">
        <f>IF(B380="","",C380/B380)</f>
        <v>0.000394027143266039</v>
      </c>
      <c r="G380" s="408"/>
    </row>
    <row r="381" ht="20.05" customHeight="1">
      <c r="A381" s="400">
        <v>45182</v>
      </c>
      <c r="B381" s="401">
        <f>IF(OR(WEEKDAY($A381)=7,WEEKDAY($A381)=1),"",IF(B380="",IF(B379="",B378,B379),B380)+IF(A$2=TRUE,IF(C380="",IF(C379="",C378,C379),C380)*2,IF(C380="",IF(C379="",C378,C379),C380)))</f>
        <v>602.715100798377</v>
      </c>
      <c r="C381" s="402">
        <f>IF(B381="","",B381*F$6)</f>
        <v>0.237486109370887</v>
      </c>
      <c r="D381" s="403">
        <f>IF(C381="","",(D$3*$C381)/$C$3)</f>
        <v>0.306542353939726</v>
      </c>
      <c r="E381" s="403">
        <f>IF(C381="","",D381-$C381)</f>
        <v>0.06905624456883901</v>
      </c>
      <c r="F381" s="404">
        <f>IF(B381="","",C381/B381)</f>
        <v>0.000394027143266039</v>
      </c>
      <c r="G381" s="408"/>
    </row>
    <row r="382" ht="20.05" customHeight="1">
      <c r="A382" s="400">
        <v>45183</v>
      </c>
      <c r="B382" s="401">
        <f>IF(OR(WEEKDAY($A382)=7,WEEKDAY($A382)=1),"",IF(B381="",IF(B380="",B379,B380),B381)+IF(A$2=TRUE,IF(C381="",IF(C380="",C379,C380),C381)*2,IF(C381="",IF(C380="",C379,C380),C381)))</f>
        <v>603.1900730171189</v>
      </c>
      <c r="C382" s="402">
        <f>IF(B382="","",B382*F$6)</f>
        <v>0.237673261317369</v>
      </c>
      <c r="D382" s="403">
        <f>IF(C382="","",(D$3*$C382)/$C$3)</f>
        <v>0.306783925955753</v>
      </c>
      <c r="E382" s="403">
        <f>IF(C382="","",D382-$C382)</f>
        <v>0.069110664638384</v>
      </c>
      <c r="F382" s="404">
        <f>IF(B382="","",C382/B382)</f>
        <v>0.000394027143266039</v>
      </c>
      <c r="G382" s="408"/>
    </row>
    <row r="383" ht="20.05" customHeight="1">
      <c r="A383" s="400">
        <v>45184</v>
      </c>
      <c r="B383" s="401">
        <f>IF(OR(WEEKDAY($A383)=7,WEEKDAY($A383)=1),"",IF(B382="",IF(B381="",B380,B381),B382)+IF(A$2=TRUE,IF(C382="",IF(C381="",C380,C381),C382)*2,IF(C382="",IF(C381="",C380,C381),C382)))</f>
        <v>603.665419539754</v>
      </c>
      <c r="C383" s="402">
        <f>IF(B383="","",B383*F$6)</f>
        <v>0.237860560749744</v>
      </c>
      <c r="D383" s="403">
        <f>IF(C383="","",(D$3*$C383)/$C$3)</f>
        <v>0.307025688343641</v>
      </c>
      <c r="E383" s="403">
        <f>IF(C383="","",D383-$C383)</f>
        <v>0.06916512759389699</v>
      </c>
      <c r="F383" s="404">
        <f>IF(B383="","",C383/B383)</f>
        <v>0.000394027143266039</v>
      </c>
      <c r="G383" s="408"/>
    </row>
    <row r="384" ht="20.05" customHeight="1">
      <c r="A384" s="400">
        <v>45185</v>
      </c>
      <c r="B384" t="s" s="405">
        <f>IF(OR(WEEKDAY($A384)=7,WEEKDAY($A384)=1),"",IF(B383="",IF(B382="",B381,B382),B383)+IF(A$2=TRUE,IF(C383="",IF(C382="",C381,C382),C383)*2,IF(C383="",IF(C382="",C381,C382),C383)))</f>
      </c>
      <c r="C384" t="s" s="406">
        <f>IF(B384="","",B384*F$6)</f>
      </c>
      <c r="D384" t="s" s="406">
        <f>IF(C384="","",(D$3*$C384)/$C$3)</f>
      </c>
      <c r="E384" t="s" s="406">
        <f>IF(C384="","",D384-$C384)</f>
      </c>
      <c r="F384" t="s" s="406">
        <f>IF(B384="","",C384/B384)</f>
      </c>
      <c r="G384" s="408"/>
    </row>
    <row r="385" ht="20.05" customHeight="1">
      <c r="A385" s="400">
        <v>45186</v>
      </c>
      <c r="B385" t="s" s="405">
        <f>IF(OR(WEEKDAY($A385)=7,WEEKDAY($A385)=1),"",IF(B384="",IF(B383="",B382,B383),B384)+IF(A$2=TRUE,IF(C384="",IF(C383="",C382,C383),C384)*2,IF(C384="",IF(C383="",C382,C383),C384)))</f>
      </c>
      <c r="C385" t="s" s="406">
        <f>IF(B385="","",B385*F$6)</f>
      </c>
      <c r="D385" t="s" s="406">
        <f>IF(C385="","",(D$3*$C385)/$C$3)</f>
      </c>
      <c r="E385" t="s" s="406">
        <f>IF(C385="","",D385-$C385)</f>
      </c>
      <c r="F385" t="s" s="406">
        <f>IF(B385="","",C385/B385)</f>
      </c>
      <c r="G385" s="408"/>
    </row>
    <row r="386" ht="20.05" customHeight="1">
      <c r="A386" s="400">
        <v>45187</v>
      </c>
      <c r="B386" s="401">
        <f>IF(OR(WEEKDAY($A386)=7,WEEKDAY($A386)=1),"",IF(B385="",IF(B384="",B383,B384),B385)+IF(A$2=TRUE,IF(C385="",IF(C384="",C383,C384),C385)*2,IF(C385="",IF(C384="",C383,C384),C385)))</f>
        <v>604.141140661253</v>
      </c>
      <c r="C386" s="402">
        <f>IF(B386="","",B386*F$6)</f>
        <v>0.23804800778424</v>
      </c>
      <c r="D386" s="403">
        <f>IF(C386="","",(D$3*$C386)/$C$3)</f>
        <v>0.307267641253416</v>
      </c>
      <c r="E386" s="403">
        <f>IF(C386="","",D386-$C386)</f>
        <v>0.06921963346917601</v>
      </c>
      <c r="F386" s="404">
        <f>IF(B386="","",C386/B386)</f>
        <v>0.000394027143266039</v>
      </c>
      <c r="G386" s="408"/>
    </row>
    <row r="387" ht="20.05" customHeight="1">
      <c r="A387" s="400">
        <v>45188</v>
      </c>
      <c r="B387" s="401">
        <f>IF(OR(WEEKDAY($A387)=7,WEEKDAY($A387)=1),"",IF(B386="",IF(B385="",B384,B385),B386)+IF(A$2=TRUE,IF(C386="",IF(C385="",C384,C385),C386)*2,IF(C386="",IF(C385="",C384,C385),C386)))</f>
        <v>604.617236676821</v>
      </c>
      <c r="C387" s="402">
        <f>IF(B387="","",B387*F$6)</f>
        <v>0.238235602537174</v>
      </c>
      <c r="D387" s="403">
        <f>IF(C387="","",(D$3*$C387)/$C$3)</f>
        <v>0.307509784835218</v>
      </c>
      <c r="E387" s="403">
        <f>IF(C387="","",D387-$C387)</f>
        <v>0.069274182298044</v>
      </c>
      <c r="F387" s="404">
        <f>IF(B387="","",C387/B387)</f>
        <v>0.000394027143266038</v>
      </c>
      <c r="G387" s="408"/>
    </row>
    <row r="388" ht="20.05" customHeight="1">
      <c r="A388" s="400">
        <v>45189</v>
      </c>
      <c r="B388" s="401">
        <f>IF(OR(WEEKDAY($A388)=7,WEEKDAY($A388)=1),"",IF(B387="",IF(B386="",B385,B386),B387)+IF(A$2=TRUE,IF(C387="",IF(C386="",C385,C386),C387)*2,IF(C387="",IF(C386="",C385,C386),C387)))</f>
        <v>605.0937078818951</v>
      </c>
      <c r="C388" s="402">
        <f>IF(B388="","",B388*F$6)</f>
        <v>0.238423345124958</v>
      </c>
      <c r="D388" s="403">
        <f>IF(C388="","",(D$3*$C388)/$C$3)</f>
        <v>0.307752119239307</v>
      </c>
      <c r="E388" s="403">
        <f>IF(C388="","",D388-$C388)</f>
        <v>0.069328774114349</v>
      </c>
      <c r="F388" s="404">
        <f>IF(B388="","",C388/B388)</f>
        <v>0.000394027143266039</v>
      </c>
      <c r="G388" s="408"/>
    </row>
    <row r="389" ht="20.05" customHeight="1">
      <c r="A389" s="400">
        <v>45190</v>
      </c>
      <c r="B389" s="401">
        <f>IF(OR(WEEKDAY($A389)=7,WEEKDAY($A389)=1),"",IF(B388="",IF(B387="",B386,B387),B388)+IF(A$2=TRUE,IF(C388="",IF(C387="",C386,C387),C388)*2,IF(C388="",IF(C387="",C386,C387),C388)))</f>
        <v>605.5705545721451</v>
      </c>
      <c r="C389" s="402">
        <f>IF(B389="","",B389*F$6)</f>
        <v>0.238611235664093</v>
      </c>
      <c r="D389" s="403">
        <f>IF(C389="","",(D$3*$C389)/$C$3)</f>
        <v>0.307994644616063</v>
      </c>
      <c r="E389" s="403">
        <f>IF(C389="","",D389-$C389)</f>
        <v>0.06938340895197</v>
      </c>
      <c r="F389" s="404">
        <f>IF(B389="","",C389/B389)</f>
        <v>0.000394027143266039</v>
      </c>
      <c r="G389" s="408"/>
    </row>
    <row r="390" ht="20.05" customHeight="1">
      <c r="A390" s="400">
        <v>45191</v>
      </c>
      <c r="B390" s="401">
        <f>IF(OR(WEEKDAY($A390)=7,WEEKDAY($A390)=1),"",IF(B389="",IF(B388="",B387,B388),B389)+IF(A$2=TRUE,IF(C389="",IF(C388="",C387,C388),C389)*2,IF(C389="",IF(C388="",C387,C388),C389)))</f>
        <v>606.047777043473</v>
      </c>
      <c r="C390" s="402">
        <f>IF(B390="","",B390*F$6)</f>
        <v>0.238799274271173</v>
      </c>
      <c r="D390" s="403">
        <f>IF(C390="","",(D$3*$C390)/$C$3)</f>
        <v>0.308237361115982</v>
      </c>
      <c r="E390" s="403">
        <f>IF(C390="","",D390-$C390)</f>
        <v>0.069438086844809</v>
      </c>
      <c r="F390" s="404">
        <f>IF(B390="","",C390/B390)</f>
        <v>0.000394027143266039</v>
      </c>
      <c r="G390" s="408"/>
    </row>
    <row r="391" ht="20.05" customHeight="1">
      <c r="A391" s="400">
        <v>45192</v>
      </c>
      <c r="B391" t="s" s="405">
        <f>IF(OR(WEEKDAY($A391)=7,WEEKDAY($A391)=1),"",IF(B390="",IF(B389="",B388,B389),B390)+IF(A$2=TRUE,IF(C390="",IF(C389="",C388,C389),C390)*2,IF(C390="",IF(C389="",C388,C389),C390)))</f>
      </c>
      <c r="C391" t="s" s="406">
        <f>IF(B391="","",B391*F$6)</f>
      </c>
      <c r="D391" t="s" s="406">
        <f>IF(C391="","",(D$3*$C391)/$C$3)</f>
      </c>
      <c r="E391" t="s" s="406">
        <f>IF(C391="","",D391-$C391)</f>
      </c>
      <c r="F391" t="s" s="406">
        <f>IF(B391="","",C391/B391)</f>
      </c>
      <c r="G391" s="408"/>
    </row>
    <row r="392" ht="20.05" customHeight="1">
      <c r="A392" s="400">
        <v>45193</v>
      </c>
      <c r="B392" t="s" s="405">
        <f>IF(OR(WEEKDAY($A392)=7,WEEKDAY($A392)=1),"",IF(B391="",IF(B390="",B389,B390),B391)+IF(A$2=TRUE,IF(C391="",IF(C390="",C389,C390),C391)*2,IF(C391="",IF(C390="",C389,C390),C391)))</f>
      </c>
      <c r="C392" t="s" s="406">
        <f>IF(B392="","",B392*F$6)</f>
      </c>
      <c r="D392" t="s" s="406">
        <f>IF(C392="","",(D$3*$C392)/$C$3)</f>
      </c>
      <c r="E392" t="s" s="406">
        <f>IF(C392="","",D392-$C392)</f>
      </c>
      <c r="F392" t="s" s="406">
        <f>IF(B392="","",C392/B392)</f>
      </c>
      <c r="G392" s="408"/>
    </row>
    <row r="393" ht="20.05" customHeight="1">
      <c r="A393" s="400">
        <v>45194</v>
      </c>
      <c r="B393" s="401">
        <f>IF(OR(WEEKDAY($A393)=7,WEEKDAY($A393)=1),"",IF(B392="",IF(B391="",B390,B391),B392)+IF(A$2=TRUE,IF(C392="",IF(C391="",C390,C391),C392)*2,IF(C392="",IF(C391="",C390,C391),C392)))</f>
        <v>606.5253755920151</v>
      </c>
      <c r="C393" s="402">
        <f>IF(B393="","",B393*F$6)</f>
        <v>0.238987461062883</v>
      </c>
      <c r="D393" s="403">
        <f>IF(C393="","",(D$3*$C393)/$C$3)</f>
        <v>0.308480268889679</v>
      </c>
      <c r="E393" s="403">
        <f>IF(C393="","",D393-$C393)</f>
        <v>0.069492807826796</v>
      </c>
      <c r="F393" s="404">
        <f>IF(B393="","",C393/B393)</f>
        <v>0.000394027143266039</v>
      </c>
      <c r="G393" s="408"/>
    </row>
    <row r="394" ht="20.05" customHeight="1">
      <c r="A394" s="400">
        <v>45195</v>
      </c>
      <c r="B394" s="401">
        <f>IF(OR(WEEKDAY($A394)=7,WEEKDAY($A394)=1),"",IF(B393="",IF(B392="",B391,B392),B393)+IF(A$2=TRUE,IF(C393="",IF(C392="",C391,C392),C393)*2,IF(C393="",IF(C392="",C391,C392),C393)))</f>
        <v>607.0033505141409</v>
      </c>
      <c r="C394" s="402">
        <f>IF(B394="","",B394*F$6)</f>
        <v>0.239175796156001</v>
      </c>
      <c r="D394" s="403">
        <f>IF(C394="","",(D$3*$C394)/$C$3)</f>
        <v>0.308723368087888</v>
      </c>
      <c r="E394" s="403">
        <f>IF(C394="","",D394-$C394)</f>
        <v>0.069547571931887</v>
      </c>
      <c r="F394" s="404">
        <f>IF(B394="","",C394/B394)</f>
        <v>0.000394027143266039</v>
      </c>
      <c r="G394" s="408"/>
    </row>
    <row r="395" ht="20.05" customHeight="1">
      <c r="A395" s="400">
        <v>45196</v>
      </c>
      <c r="B395" s="401">
        <f>IF(OR(WEEKDAY($A395)=7,WEEKDAY($A395)=1),"",IF(B394="",IF(B393="",B392,B393),B394)+IF(A$2=TRUE,IF(C394="",IF(C393="",C392,C393),C394)*2,IF(C394="",IF(C393="",C392,C393),C394)))-G152</f>
        <v>486.261702106453</v>
      </c>
      <c r="C395" s="402">
        <f>IF(B395="","",B395*F$6)</f>
        <v>0.191600309360687</v>
      </c>
      <c r="D395" s="403">
        <f>IF(C395="","",(D$3*$C395)/$C$3)</f>
        <v>0.247313874493936</v>
      </c>
      <c r="E395" s="403">
        <f>IF(C395="","",D395-$C395)</f>
        <v>0.055713565133249</v>
      </c>
      <c r="F395" s="404">
        <f>IF(B395="","",C395/B395)</f>
        <v>0.000394027143266038</v>
      </c>
      <c r="G395" s="408"/>
    </row>
    <row r="396" ht="20.05" customHeight="1">
      <c r="A396" s="400">
        <v>45197</v>
      </c>
      <c r="B396" s="401">
        <f>IF(OR(WEEKDAY($A396)=7,WEEKDAY($A396)=1),"",IF(B395="",IF(B394="",B393,B394),B395)+IF(A$2=TRUE,IF(C395="",IF(C394="",C393,C394),C395)*2,IF(C395="",IF(C394="",C393,C394),C395)))</f>
        <v>486.644902725174</v>
      </c>
      <c r="C396" s="402">
        <f>IF(B396="","",B396*F$6)</f>
        <v>0.19175130080578</v>
      </c>
      <c r="D396" s="403">
        <f>IF(C396="","",(D$3*$C396)/$C$3)</f>
        <v>0.247508771252851</v>
      </c>
      <c r="E396" s="403">
        <f>IF(C396="","",D396-$C396)</f>
        <v>0.055757470447071</v>
      </c>
      <c r="F396" s="404">
        <f>IF(B396="","",C396/B396)</f>
        <v>0.00039402714326604</v>
      </c>
      <c r="G396" s="408"/>
    </row>
    <row r="397" ht="20.05" customHeight="1">
      <c r="A397" s="400">
        <v>45198</v>
      </c>
      <c r="B397" s="401">
        <f>IF(OR(WEEKDAY($A397)=7,WEEKDAY($A397)=1),"",IF(B396="",IF(B395="",B394,B395),B396)+IF(A$2=TRUE,IF(C396="",IF(C395="",C394,C395),C396)*2,IF(C396="",IF(C395="",C394,C395),C396)))</f>
        <v>487.028405326786</v>
      </c>
      <c r="C397" s="402">
        <f>IF(B397="","",B397*F$6)</f>
        <v>0.191902411240328</v>
      </c>
      <c r="D397" s="403">
        <f>IF(C397="","",(D$3*$C397)/$C$3)</f>
        <v>0.247703821600991</v>
      </c>
      <c r="E397" s="403">
        <f>IF(C397="","",D397-$C397)</f>
        <v>0.055801410360663</v>
      </c>
      <c r="F397" s="404">
        <f>IF(B397="","",C397/B397)</f>
        <v>0.000394027143266039</v>
      </c>
      <c r="G397" s="408"/>
    </row>
    <row r="398" ht="20.05" customHeight="1">
      <c r="A398" s="400">
        <v>45199</v>
      </c>
      <c r="B398" t="s" s="405">
        <f>IF(OR(WEEKDAY($A398)=7,WEEKDAY($A398)=1),"",IF(B397="",IF(B396="",B395,B396),B397)+IF(A$2=TRUE,IF(C397="",IF(C396="",C395,C396),C397)*2,IF(C397="",IF(C396="",C395,C396),C397)))</f>
      </c>
      <c r="C398" t="s" s="406">
        <f>IF(B398="","",B398*F$6)</f>
      </c>
      <c r="D398" t="s" s="406">
        <f>IF(C398="","",(D$3*$C398)/$C$3)</f>
      </c>
      <c r="E398" t="s" s="406">
        <f>IF(C398="","",D398-$C398)</f>
      </c>
      <c r="F398" t="s" s="406">
        <f>IF(B398="","",C398/B398)</f>
      </c>
      <c r="G398" s="408"/>
    </row>
    <row r="399" ht="20.05" customHeight="1">
      <c r="A399" s="400">
        <v>45200</v>
      </c>
      <c r="B399" t="s" s="405">
        <f>IF(OR(WEEKDAY($A399)=7,WEEKDAY($A399)=1),"",IF(B398="",IF(B397="",B396,B397),B398)+IF(A$2=TRUE,IF(C398="",IF(C397="",C396,C397),C398)*2,IF(C398="",IF(C397="",C396,C397),C398)))</f>
      </c>
      <c r="C399" t="s" s="406">
        <f>IF(B399="","",B399*F$6)</f>
      </c>
      <c r="D399" t="s" s="406">
        <f>IF(C399="","",(D$3*$C399)/$C$3)</f>
      </c>
      <c r="E399" t="s" s="406">
        <f>IF(C399="","",D399-$C399)</f>
      </c>
      <c r="F399" t="s" s="406">
        <f>IF(B399="","",C399/B399)</f>
      </c>
      <c r="G399" s="408"/>
    </row>
    <row r="400" ht="20.05" customHeight="1">
      <c r="A400" s="400">
        <v>45201</v>
      </c>
      <c r="B400" s="401">
        <f>IF(OR(WEEKDAY($A400)=7,WEEKDAY($A400)=1),"",IF(B399="",IF(B398="",B397,B398),B399)+IF(A$2=TRUE,IF(C399="",IF(C398="",C397,C398),C399)*2,IF(C399="",IF(C398="",C397,C398),C399)))</f>
        <v>487.412210149267</v>
      </c>
      <c r="C400" s="402">
        <f>IF(B400="","",B400*F$6)</f>
        <v>0.192053640758102</v>
      </c>
      <c r="D400" s="403">
        <f>IF(C400="","",(D$3*$C400)/$C$3)</f>
        <v>0.247899025659394</v>
      </c>
      <c r="E400" s="403">
        <f>IF(C400="","",D400-$C400)</f>
        <v>0.055845384901292</v>
      </c>
      <c r="F400" s="404">
        <f>IF(B400="","",C400/B400)</f>
        <v>0.000394027143266039</v>
      </c>
      <c r="G400" s="408"/>
    </row>
    <row r="401" ht="20.05" customHeight="1">
      <c r="A401" s="400">
        <v>45202</v>
      </c>
      <c r="B401" s="401">
        <f>IF(OR(WEEKDAY($A401)=7,WEEKDAY($A401)=1),"",IF(B400="",IF(B399="",B398,B399),B400)+IF(A$2=TRUE,IF(C400="",IF(C399="",C398,C399),C400)*2,IF(C400="",IF(C399="",C398,C399),C400)))</f>
        <v>487.796317430783</v>
      </c>
      <c r="C401" s="402">
        <f>IF(B401="","",B401*F$6)</f>
        <v>0.192204989452945</v>
      </c>
      <c r="D401" s="403">
        <f>IF(C401="","",(D$3*$C401)/$C$3)</f>
        <v>0.248094383549191</v>
      </c>
      <c r="E401" s="403">
        <f>IF(C401="","",D401-$C401)</f>
        <v>0.055889394096246</v>
      </c>
      <c r="F401" s="404">
        <f>IF(B401="","",C401/B401)</f>
        <v>0.000394027143266038</v>
      </c>
      <c r="G401" s="408"/>
    </row>
    <row r="402" ht="20.05" customHeight="1">
      <c r="A402" s="400">
        <v>45203</v>
      </c>
      <c r="B402" s="401">
        <f>IF(OR(WEEKDAY($A402)=7,WEEKDAY($A402)=1),"",IF(B401="",IF(B400="",B399,B400),B401)+IF(A$2=TRUE,IF(C401="",IF(C400="",C399,C400),C401)*2,IF(C401="",IF(C400="",C399,C400),C401)))</f>
        <v>488.180727409689</v>
      </c>
      <c r="C402" s="402">
        <f>IF(B402="","",B402*F$6)</f>
        <v>0.192356457418777</v>
      </c>
      <c r="D402" s="403">
        <f>IF(C402="","",(D$3*$C402)/$C$3)</f>
        <v>0.248289895391613</v>
      </c>
      <c r="E402" s="403">
        <f>IF(C402="","",D402-$C402)</f>
        <v>0.055933437972836</v>
      </c>
      <c r="F402" s="404">
        <f>IF(B402="","",C402/B402)</f>
        <v>0.00039402714326604</v>
      </c>
      <c r="G402" s="408"/>
    </row>
    <row r="403" ht="20.05" customHeight="1">
      <c r="A403" s="400">
        <v>45204</v>
      </c>
      <c r="B403" s="401">
        <f>IF(OR(WEEKDAY($A403)=7,WEEKDAY($A403)=1),"",IF(B402="",IF(B401="",B400,B401),B402)+IF(A$2=TRUE,IF(C402="",IF(C401="",C400,C401),C402)*2,IF(C402="",IF(C401="",C400,C401),C402)))</f>
        <v>488.565440324527</v>
      </c>
      <c r="C403" s="402">
        <f>IF(B403="","",B403*F$6)</f>
        <v>0.192508044749588</v>
      </c>
      <c r="D403" s="403">
        <f>IF(C403="","",(D$3*$C403)/$C$3)</f>
        <v>0.248485561307979</v>
      </c>
      <c r="E403" s="403">
        <f>IF(C403="","",D403-$C403)</f>
        <v>0.055977516558391</v>
      </c>
      <c r="F403" s="404">
        <f>IF(B403="","",C403/B403)</f>
        <v>0.000394027143266039</v>
      </c>
      <c r="G403" s="408"/>
    </row>
    <row r="404" ht="20.05" customHeight="1">
      <c r="A404" s="400">
        <v>45205</v>
      </c>
      <c r="B404" s="401">
        <f>IF(OR(WEEKDAY($A404)=7,WEEKDAY($A404)=1),"",IF(B403="",IF(B402="",B401,B402),B403)+IF(A$2=TRUE,IF(C403="",IF(C402="",C401,C402),C403)*2,IF(C403="",IF(C402="",C401,C402),C403)))</f>
        <v>488.950456414026</v>
      </c>
      <c r="C404" s="402">
        <f>IF(B404="","",B404*F$6)</f>
        <v>0.192659751539445</v>
      </c>
      <c r="D404" s="403">
        <f>IF(C404="","",(D$3*$C404)/$C$3)</f>
        <v>0.248681381419709</v>
      </c>
      <c r="E404" s="403">
        <f>IF(C404="","",D404-$C404)</f>
        <v>0.056021629880264</v>
      </c>
      <c r="F404" s="404">
        <f>IF(B404="","",C404/B404)</f>
        <v>0.00039402714326604</v>
      </c>
      <c r="G404" s="408"/>
    </row>
    <row r="405" ht="20.05" customHeight="1">
      <c r="A405" s="400">
        <v>45206</v>
      </c>
      <c r="B405" t="s" s="405">
        <f>IF(OR(WEEKDAY($A405)=7,WEEKDAY($A405)=1),"",IF(B404="",IF(B403="",B402,B403),B404)+IF(A$2=TRUE,IF(C404="",IF(C403="",C402,C403),C404)*2,IF(C404="",IF(C403="",C402,C403),C404)))</f>
      </c>
      <c r="C405" t="s" s="406">
        <f>IF(B405="","",B405*F$6)</f>
      </c>
      <c r="D405" t="s" s="406">
        <f>IF(C405="","",(D$3*$C405)/$C$3)</f>
      </c>
      <c r="E405" t="s" s="406">
        <f>IF(C405="","",D405-$C405)</f>
      </c>
      <c r="F405" t="s" s="406">
        <f>IF(B405="","",C405/B405)</f>
      </c>
      <c r="G405" s="408"/>
    </row>
    <row r="406" ht="20.05" customHeight="1">
      <c r="A406" s="400">
        <v>45207</v>
      </c>
      <c r="B406" t="s" s="405">
        <f>IF(OR(WEEKDAY($A406)=7,WEEKDAY($A406)=1),"",IF(B405="",IF(B404="",B403,B404),B405)+IF(A$2=TRUE,IF(C405="",IF(C404="",C403,C404),C405)*2,IF(C405="",IF(C404="",C403,C404),C405)))</f>
      </c>
      <c r="C406" t="s" s="406">
        <f>IF(B406="","",B406*F$6)</f>
      </c>
      <c r="D406" t="s" s="406">
        <f>IF(C406="","",(D$3*$C406)/$C$3)</f>
      </c>
      <c r="E406" t="s" s="406">
        <f>IF(C406="","",D406-$C406)</f>
      </c>
      <c r="F406" t="s" s="406">
        <f>IF(B406="","",C406/B406)</f>
      </c>
      <c r="G406" s="408"/>
    </row>
    <row r="407" ht="20.05" customHeight="1">
      <c r="A407" s="400">
        <v>45208</v>
      </c>
      <c r="B407" s="401">
        <f>IF(OR(WEEKDAY($A407)=7,WEEKDAY($A407)=1),"",IF(B406="",IF(B405="",B404,B405),B406)+IF(A$2=TRUE,IF(C406="",IF(C405="",C404,C405),C406)*2,IF(C406="",IF(C405="",C404,C405),C406)))</f>
        <v>489.335775917105</v>
      </c>
      <c r="C407" s="402">
        <f>IF(B407="","",B407*F$6)</f>
        <v>0.192811577882487</v>
      </c>
      <c r="D407" s="403">
        <f>IF(C407="","",(D$3*$C407)/$C$3)</f>
        <v>0.248877355848317</v>
      </c>
      <c r="E407" s="403">
        <f>IF(C407="","",D407-$C407)</f>
        <v>0.05606577796583</v>
      </c>
      <c r="F407" s="404">
        <f>IF(B407="","",C407/B407)</f>
        <v>0.000394027143266038</v>
      </c>
      <c r="G407" s="408"/>
    </row>
    <row r="408" ht="20.05" customHeight="1">
      <c r="A408" s="400">
        <v>45209</v>
      </c>
      <c r="B408" s="401">
        <f>IF(OR(WEEKDAY($A408)=7,WEEKDAY($A408)=1),"",IF(B407="",IF(B406="",B405,B406),B407)+IF(A$2=TRUE,IF(C407="",IF(C406="",C405,C406),C407)*2,IF(C407="",IF(C406="",C405,C406),C407)))</f>
        <v>489.721399072870</v>
      </c>
      <c r="C408" s="402">
        <f>IF(B408="","",B408*F$6)</f>
        <v>0.192963523872931</v>
      </c>
      <c r="D408" s="403">
        <f>IF(C408="","",(D$3*$C408)/$C$3)</f>
        <v>0.249073484715414</v>
      </c>
      <c r="E408" s="403">
        <f>IF(C408="","",D408-$C408)</f>
        <v>0.056109960842483</v>
      </c>
      <c r="F408" s="404">
        <f>IF(B408="","",C408/B408)</f>
        <v>0.000394027143266039</v>
      </c>
      <c r="G408" s="408"/>
    </row>
    <row r="409" ht="20.05" customHeight="1">
      <c r="A409" s="400">
        <v>45210</v>
      </c>
      <c r="B409" s="401">
        <f>IF(OR(WEEKDAY($A409)=7,WEEKDAY($A409)=1),"",IF(B408="",IF(B407="",B406,B407),B408)+IF(A$2=TRUE,IF(C408="",IF(C407="",C406,C407),C408)*2,IF(C408="",IF(C407="",C406,C407),C408)))</f>
        <v>490.107326120616</v>
      </c>
      <c r="C409" s="402">
        <f>IF(B409="","",B409*F$6)</f>
        <v>0.193115589605063</v>
      </c>
      <c r="D409" s="403">
        <f>IF(C409="","",(D$3*$C409)/$C$3)</f>
        <v>0.249269768142705</v>
      </c>
      <c r="E409" s="403">
        <f>IF(C409="","",D409-$C409)</f>
        <v>0.056154178537642</v>
      </c>
      <c r="F409" s="404">
        <f>IF(B409="","",C409/B409)</f>
        <v>0.000394027143266038</v>
      </c>
      <c r="G409" s="408"/>
    </row>
    <row r="410" ht="20.05" customHeight="1">
      <c r="A410" s="400">
        <v>45211</v>
      </c>
      <c r="B410" s="401">
        <f>IF(OR(WEEKDAY($A410)=7,WEEKDAY($A410)=1),"",IF(B409="",IF(B408="",B407,B408),B409)+IF(A$2=TRUE,IF(C409="",IF(C408="",C407,C408),C409)*2,IF(C409="",IF(C408="",C407,C408),C409)))</f>
        <v>490.493557299826</v>
      </c>
      <c r="C410" s="402">
        <f>IF(B410="","",B410*F$6)</f>
        <v>0.193267775173248</v>
      </c>
      <c r="D410" s="403">
        <f>IF(C410="","",(D$3*$C410)/$C$3)</f>
        <v>0.249466206251994</v>
      </c>
      <c r="E410" s="403">
        <f>IF(C410="","",D410-$C410)</f>
        <v>0.056198431078746</v>
      </c>
      <c r="F410" s="404">
        <f>IF(B410="","",C410/B410)</f>
        <v>0.00039402714326604</v>
      </c>
      <c r="G410" s="408"/>
    </row>
    <row r="411" ht="20.05" customHeight="1">
      <c r="A411" s="400">
        <v>45212</v>
      </c>
      <c r="B411" s="401">
        <f>IF(OR(WEEKDAY($A411)=7,WEEKDAY($A411)=1),"",IF(B410="",IF(B409="",B408,B409),B410)+IF(A$2=TRUE,IF(C410="",IF(C409="",C408,C409),C410)*2,IF(C410="",IF(C409="",C408,C409),C410)))</f>
        <v>490.880092850172</v>
      </c>
      <c r="C411" s="402">
        <f>IF(B411="","",B411*F$6)</f>
        <v>0.193420080671921</v>
      </c>
      <c r="D411" s="403">
        <f>IF(C411="","",(D$3*$C411)/$C$3)</f>
        <v>0.249662799165175</v>
      </c>
      <c r="E411" s="403">
        <f>IF(C411="","",D411-$C411)</f>
        <v>0.056242718493254</v>
      </c>
      <c r="F411" s="404">
        <f>IF(B411="","",C411/B411)</f>
        <v>0.000394027143266038</v>
      </c>
      <c r="G411" s="408"/>
    </row>
    <row r="412" ht="20.05" customHeight="1">
      <c r="A412" s="400">
        <v>45213</v>
      </c>
      <c r="B412" t="s" s="405">
        <f>IF(OR(WEEKDAY($A412)=7,WEEKDAY($A412)=1),"",IF(B411="",IF(B410="",B409,B410),B411)+IF(A$2=TRUE,IF(C411="",IF(C410="",C409,C410),C411)*2,IF(C411="",IF(C410="",C409,C410),C411)))</f>
      </c>
      <c r="C412" t="s" s="406">
        <f>IF(B412="","",B412*F$6)</f>
      </c>
      <c r="D412" t="s" s="406">
        <f>IF(C412="","",(D$3*$C412)/$C$3)</f>
      </c>
      <c r="E412" t="s" s="406">
        <f>IF(C412="","",D412-$C412)</f>
      </c>
      <c r="F412" t="s" s="406">
        <f>IF(B412="","",C412/B412)</f>
      </c>
      <c r="G412" s="408"/>
    </row>
    <row r="413" ht="20.05" customHeight="1">
      <c r="A413" s="400">
        <v>45214</v>
      </c>
      <c r="B413" t="s" s="405">
        <f>IF(OR(WEEKDAY($A413)=7,WEEKDAY($A413)=1),"",IF(B412="",IF(B411="",B410,B411),B412)+IF(A$2=TRUE,IF(C412="",IF(C411="",C410,C411),C412)*2,IF(C412="",IF(C411="",C410,C411),C412)))</f>
      </c>
      <c r="C413" t="s" s="406">
        <f>IF(B413="","",B413*F$6)</f>
      </c>
      <c r="D413" t="s" s="406">
        <f>IF(C413="","",(D$3*$C413)/$C$3)</f>
      </c>
      <c r="E413" t="s" s="406">
        <f>IF(C413="","",D413-$C413)</f>
      </c>
      <c r="F413" t="s" s="406">
        <f>IF(B413="","",C413/B413)</f>
      </c>
      <c r="G413" s="408"/>
    </row>
    <row r="414" ht="20.05" customHeight="1">
      <c r="A414" s="400">
        <v>45215</v>
      </c>
      <c r="B414" s="401">
        <f>IF(OR(WEEKDAY($A414)=7,WEEKDAY($A414)=1),"",IF(B413="",IF(B412="",B411,B412),B413)+IF(A$2=TRUE,IF(C413="",IF(C412="",C411,C412),C413)*2,IF(C413="",IF(C412="",C411,C412),C413)))</f>
        <v>491.266933011516</v>
      </c>
      <c r="C414" s="402">
        <f>IF(B414="","",B414*F$6)</f>
        <v>0.193572506195596</v>
      </c>
      <c r="D414" s="403">
        <f>IF(C414="","",(D$3*$C414)/$C$3)</f>
        <v>0.249859547004244</v>
      </c>
      <c r="E414" s="403">
        <f>IF(C414="","",D414-$C414)</f>
        <v>0.056287040808648</v>
      </c>
      <c r="F414" s="404">
        <f>IF(B414="","",C414/B414)</f>
        <v>0.000394027143266039</v>
      </c>
      <c r="G414" s="408"/>
    </row>
    <row r="415" ht="20.05" customHeight="1">
      <c r="A415" s="400">
        <v>45216</v>
      </c>
      <c r="B415" s="401">
        <f>IF(OR(WEEKDAY($A415)=7,WEEKDAY($A415)=1),"",IF(B414="",IF(B413="",B412,B413),B414)+IF(A$2=TRUE,IF(C414="",IF(C413="",C412,C413),C414)*2,IF(C414="",IF(C413="",C412,C413),C414)))</f>
        <v>491.654078023907</v>
      </c>
      <c r="C415" s="402">
        <f>IF(B415="","",B415*F$6)</f>
        <v>0.193725051838858</v>
      </c>
      <c r="D415" s="403">
        <f>IF(C415="","",(D$3*$C415)/$C$3)</f>
        <v>0.250056449891292</v>
      </c>
      <c r="E415" s="403">
        <f>IF(C415="","",D415-$C415)</f>
        <v>0.056331398052434</v>
      </c>
      <c r="F415" s="404">
        <f>IF(B415="","",C415/B415)</f>
        <v>0.000394027143266038</v>
      </c>
      <c r="G415" s="408"/>
    </row>
    <row r="416" ht="20.05" customHeight="1">
      <c r="A416" s="400">
        <v>45217</v>
      </c>
      <c r="B416" s="401">
        <f>IF(OR(WEEKDAY($A416)=7,WEEKDAY($A416)=1),"",IF(B415="",IF(B414="",B413,B414),B415)+IF(A$2=TRUE,IF(C415="",IF(C414="",C413,C414),C415)*2,IF(C415="",IF(C414="",C413,C414),C415)))</f>
        <v>492.041528127585</v>
      </c>
      <c r="C416" s="402">
        <f>IF(B416="","",B416*F$6)</f>
        <v>0.193877717696369</v>
      </c>
      <c r="D416" s="403">
        <f>IF(C416="","",(D$3*$C416)/$C$3)</f>
        <v>0.250253507948505</v>
      </c>
      <c r="E416" s="403">
        <f>IF(C416="","",D416-$C416)</f>
        <v>0.056375790252136</v>
      </c>
      <c r="F416" s="404">
        <f>IF(B416="","",C416/B416)</f>
        <v>0.00039402714326604</v>
      </c>
      <c r="G416" s="408"/>
    </row>
    <row r="417" ht="20.05" customHeight="1">
      <c r="A417" s="400">
        <v>45218</v>
      </c>
      <c r="B417" s="401">
        <f>IF(OR(WEEKDAY($A417)=7,WEEKDAY($A417)=1),"",IF(B416="",IF(B415="",B414,B415),B416)+IF(A$2=TRUE,IF(C416="",IF(C415="",C414,C415),C416)*2,IF(C416="",IF(C415="",C414,C415),C416)))</f>
        <v>492.429283562978</v>
      </c>
      <c r="C417" s="402">
        <f>IF(B417="","",B417*F$6)</f>
        <v>0.194030503862862</v>
      </c>
      <c r="D417" s="403">
        <f>IF(C417="","",(D$3*$C417)/$C$3)</f>
        <v>0.250450721298162</v>
      </c>
      <c r="E417" s="403">
        <f>IF(C417="","",D417-$C417)</f>
        <v>0.0564202174353</v>
      </c>
      <c r="F417" s="404">
        <f>IF(B417="","",C417/B417)</f>
        <v>0.000394027143266038</v>
      </c>
      <c r="G417" s="408"/>
    </row>
    <row r="418" ht="20.05" customHeight="1">
      <c r="A418" s="400">
        <v>45219</v>
      </c>
      <c r="B418" s="401">
        <f>IF(OR(WEEKDAY($A418)=7,WEEKDAY($A418)=1),"",IF(B417="",IF(B416="",B415,B416),B417)+IF(A$2=TRUE,IF(C417="",IF(C416="",C415,C416),C417)*2,IF(C417="",IF(C416="",C415,C416),C417)))</f>
        <v>492.817344570704</v>
      </c>
      <c r="C418" s="402">
        <f>IF(B418="","",B418*F$6)</f>
        <v>0.19418341043315</v>
      </c>
      <c r="D418" s="403">
        <f>IF(C418="","",(D$3*$C418)/$C$3)</f>
        <v>0.250648090062648</v>
      </c>
      <c r="E418" s="403">
        <f>IF(C418="","",D418-$C418)</f>
        <v>0.056464679629498</v>
      </c>
      <c r="F418" s="404">
        <f>IF(B418="","",C418/B418)</f>
        <v>0.00039402714326604</v>
      </c>
      <c r="G418" s="408"/>
    </row>
    <row r="419" ht="20.05" customHeight="1">
      <c r="A419" s="400">
        <v>45220</v>
      </c>
      <c r="B419" t="s" s="405">
        <f>IF(OR(WEEKDAY($A419)=7,WEEKDAY($A419)=1),"",IF(B418="",IF(B417="",B416,B417),B418)+IF(A$2=TRUE,IF(C418="",IF(C417="",C416,C417),C418)*2,IF(C418="",IF(C417="",C416,C417),C418)))</f>
      </c>
      <c r="C419" t="s" s="406">
        <f>IF(B419="","",B419*F$6)</f>
      </c>
      <c r="D419" t="s" s="406">
        <f>IF(C419="","",(D$3*$C419)/$C$3)</f>
      </c>
      <c r="E419" t="s" s="406">
        <f>IF(C419="","",D419-$C419)</f>
      </c>
      <c r="F419" t="s" s="406">
        <f>IF(B419="","",C419/B419)</f>
      </c>
      <c r="G419" s="408"/>
    </row>
    <row r="420" ht="20.05" customHeight="1">
      <c r="A420" s="400">
        <v>45221</v>
      </c>
      <c r="B420" t="s" s="405">
        <f>IF(OR(WEEKDAY($A420)=7,WEEKDAY($A420)=1),"",IF(B419="",IF(B418="",B417,B418),B419)+IF(A$2=TRUE,IF(C419="",IF(C418="",C417,C418),C419)*2,IF(C419="",IF(C418="",C417,C418),C419)))</f>
      </c>
      <c r="C420" t="s" s="406">
        <f>IF(B420="","",B420*F$6)</f>
      </c>
      <c r="D420" t="s" s="406">
        <f>IF(C420="","",(D$3*$C420)/$C$3)</f>
      </c>
      <c r="E420" t="s" s="406">
        <f>IF(C420="","",D420-$C420)</f>
      </c>
      <c r="F420" t="s" s="406">
        <f>IF(B420="","",C420/B420)</f>
      </c>
      <c r="G420" s="408"/>
    </row>
    <row r="421" ht="20.05" customHeight="1">
      <c r="A421" s="400">
        <v>45222</v>
      </c>
      <c r="B421" s="401">
        <f>IF(OR(WEEKDAY($A421)=7,WEEKDAY($A421)=1),"",IF(B420="",IF(B419="",B418,B419),B420)+IF(A$2=TRUE,IF(C420="",IF(C419="",C418,C419),C420)*2,IF(C420="",IF(C419="",C418,C419),C420)))</f>
        <v>493.205711391570</v>
      </c>
      <c r="C421" s="402">
        <f>IF(B421="","",B421*F$6)</f>
        <v>0.194336437502115</v>
      </c>
      <c r="D421" s="403">
        <f>IF(C421="","",(D$3*$C421)/$C$3)</f>
        <v>0.250845614364432</v>
      </c>
      <c r="E421" s="403">
        <f>IF(C421="","",D421-$C421)</f>
        <v>0.056509176862317</v>
      </c>
      <c r="F421" s="404">
        <f>IF(B421="","",C421/B421)</f>
        <v>0.000394027143266039</v>
      </c>
      <c r="G421" s="408"/>
    </row>
    <row r="422" ht="20.05" customHeight="1">
      <c r="A422" s="400">
        <v>45223</v>
      </c>
      <c r="B422" s="401">
        <f>IF(OR(WEEKDAY($A422)=7,WEEKDAY($A422)=1),"",IF(B421="",IF(B420="",B419,B420),B421)+IF(A$2=TRUE,IF(C421="",IF(C420="",C419,C420),C421)*2,IF(C421="",IF(C420="",C419,C420),C421)))</f>
        <v>493.594384266574</v>
      </c>
      <c r="C422" s="402">
        <f>IF(B422="","",B422*F$6)</f>
        <v>0.194489585164718</v>
      </c>
      <c r="D422" s="403">
        <f>IF(C422="","",(D$3*$C422)/$C$3)</f>
        <v>0.25104329432609</v>
      </c>
      <c r="E422" s="403">
        <f>IF(C422="","",D422-$C422)</f>
        <v>0.056553709161372</v>
      </c>
      <c r="F422" s="404">
        <f>IF(B422="","",C422/B422)</f>
        <v>0.00039402714326604</v>
      </c>
      <c r="G422" s="408"/>
    </row>
    <row r="423" ht="20.05" customHeight="1">
      <c r="A423" s="400">
        <v>45224</v>
      </c>
      <c r="B423" s="401">
        <f>IF(OR(WEEKDAY($A423)=7,WEEKDAY($A423)=1),"",IF(B422="",IF(B421="",B420,B421),B422)+IF(A$2=TRUE,IF(C422="",IF(C421="",C420,C421),C422)*2,IF(C422="",IF(C421="",C420,C421),C422)))</f>
        <v>493.983363436903</v>
      </c>
      <c r="C423" s="402">
        <f>IF(B423="","",B423*F$6)</f>
        <v>0.194642853515992</v>
      </c>
      <c r="D423" s="403">
        <f>IF(C423="","",(D$3*$C423)/$C$3)</f>
        <v>0.251241130070288</v>
      </c>
      <c r="E423" s="403">
        <f>IF(C423="","",D423-$C423)</f>
        <v>0.056598276554296</v>
      </c>
      <c r="F423" s="404">
        <f>IF(B423="","",C423/B423)</f>
        <v>0.000394027143266038</v>
      </c>
      <c r="G423" s="408"/>
    </row>
    <row r="424" ht="20.05" customHeight="1">
      <c r="A424" s="400">
        <v>45225</v>
      </c>
      <c r="B424" s="401">
        <f>IF(OR(WEEKDAY($A424)=7,WEEKDAY($A424)=1),"",IF(B423="",IF(B422="",B421,B422),B423)+IF(A$2=TRUE,IF(C423="",IF(C422="",C421,C422),C423)*2,IF(C423="",IF(C422="",C421,C422),C423)))</f>
        <v>494.372649143935</v>
      </c>
      <c r="C424" s="402">
        <f>IF(B424="","",B424*F$6)</f>
        <v>0.194796242651049</v>
      </c>
      <c r="D424" s="403">
        <f>IF(C424="","",(D$3*$C424)/$C$3)</f>
        <v>0.251439121719794</v>
      </c>
      <c r="E424" s="403">
        <f>IF(C424="","",D424-$C424)</f>
        <v>0.056642879068745</v>
      </c>
      <c r="F424" s="404">
        <f>IF(B424="","",C424/B424)</f>
        <v>0.00039402714326604</v>
      </c>
      <c r="G424" s="408"/>
    </row>
    <row r="425" ht="20.05" customHeight="1">
      <c r="A425" s="400">
        <v>45226</v>
      </c>
      <c r="B425" s="401">
        <f>IF(OR(WEEKDAY($A425)=7,WEEKDAY($A425)=1),"",IF(B424="",IF(B423="",B422,B423),B424)+IF(A$2=TRUE,IF(C424="",IF(C423="",C422,C423),C424)*2,IF(C424="",IF(C423="",C422,C423),C424)))-G152</f>
        <v>373.542241629237</v>
      </c>
      <c r="C425" s="402">
        <f>IF(B425="","",B425*F$6)</f>
        <v>0.147185782358361</v>
      </c>
      <c r="D425" s="403">
        <f>IF(C425="","",(D$3*$C425)/$C$3)</f>
        <v>0.189984485029941</v>
      </c>
      <c r="E425" s="403">
        <f>IF(C425="","",D425-$C425)</f>
        <v>0.04279870267158</v>
      </c>
      <c r="F425" s="404">
        <f>IF(B425="","",C425/B425)</f>
        <v>0.00039402714326604</v>
      </c>
      <c r="G425" s="408"/>
    </row>
    <row r="426" ht="20.05" customHeight="1">
      <c r="A426" s="400">
        <v>45227</v>
      </c>
      <c r="B426" t="s" s="405">
        <f>IF(OR(WEEKDAY($A426)=7,WEEKDAY($A426)=1),"",IF(B425="",IF(B424="",B423,B424),B425)+IF(A$2=TRUE,IF(C425="",IF(C424="",C423,C424),C425)*2,IF(C425="",IF(C424="",C423,C424),C425)))</f>
      </c>
      <c r="C426" t="s" s="406">
        <f>IF(B426="","",B426*F$6)</f>
      </c>
      <c r="D426" t="s" s="406">
        <f>IF(C426="","",(D$3*$C426)/$C$3)</f>
      </c>
      <c r="E426" t="s" s="406">
        <f>IF(C426="","",D426-$C426)</f>
      </c>
      <c r="F426" t="s" s="406">
        <f>IF(B426="","",C426/B426)</f>
      </c>
      <c r="G426" s="408"/>
    </row>
    <row r="427" ht="20.05" customHeight="1">
      <c r="A427" s="400">
        <v>45228</v>
      </c>
      <c r="B427" t="s" s="405">
        <f>IF(OR(WEEKDAY($A427)=7,WEEKDAY($A427)=1),"",IF(B426="",IF(B425="",B424,B425),B426)+IF(A$2=TRUE,IF(C426="",IF(C425="",C424,C425),C426)*2,IF(C426="",IF(C425="",C424,C425),C426)))</f>
      </c>
      <c r="C427" t="s" s="406">
        <f>IF(B427="","",B427*F$6)</f>
      </c>
      <c r="D427" t="s" s="406">
        <f>IF(C427="","",(D$3*$C427)/$C$3)</f>
      </c>
      <c r="E427" t="s" s="406">
        <f>IF(C427="","",D427-$C427)</f>
      </c>
      <c r="F427" t="s" s="406">
        <f>IF(B427="","",C427/B427)</f>
      </c>
      <c r="G427" s="408"/>
    </row>
    <row r="428" ht="20.05" customHeight="1">
      <c r="A428" s="400">
        <v>45229</v>
      </c>
      <c r="B428" s="401">
        <f>IF(OR(WEEKDAY($A428)=7,WEEKDAY($A428)=1),"",IF(B427="",IF(B426="",B425,B426),B427)+IF(A$2=TRUE,IF(C427="",IF(C426="",C425,C426),C427)*2,IF(C427="",IF(C426="",C425,C426),C427)))</f>
        <v>373.836613193954</v>
      </c>
      <c r="C428" s="402">
        <f>IF(B428="","",B428*F$6)</f>
        <v>0.147301772745065</v>
      </c>
      <c r="D428" s="403">
        <f>IF(C428="","",(D$3*$C428)/$C$3)</f>
        <v>0.190134203117743</v>
      </c>
      <c r="E428" s="403">
        <f>IF(C428="","",D428-$C428)</f>
        <v>0.042832430372678</v>
      </c>
      <c r="F428" s="404">
        <f>IF(B428="","",C428/B428)</f>
        <v>0.000394027143266039</v>
      </c>
      <c r="G428" s="408"/>
    </row>
    <row r="429" ht="20.05" customHeight="1">
      <c r="A429" s="400">
        <v>45230</v>
      </c>
      <c r="B429" s="401">
        <f>IF(OR(WEEKDAY($A429)=7,WEEKDAY($A429)=1),"",IF(B428="",IF(B427="",B426,B427),B428)+IF(A$2=TRUE,IF(C428="",IF(C427="",C426,C427),C428)*2,IF(C428="",IF(C427="",C426,C427),C428)))</f>
        <v>374.131216739444</v>
      </c>
      <c r="C429" s="402">
        <f>IF(B429="","",B429*F$6)</f>
        <v>0.14741785453849</v>
      </c>
      <c r="D429" s="403">
        <f>IF(C429="","",(D$3*$C429)/$C$3)</f>
        <v>0.190284039191526</v>
      </c>
      <c r="E429" s="403">
        <f>IF(C429="","",D429-$C429)</f>
        <v>0.042866184653036</v>
      </c>
      <c r="F429" s="404">
        <f>IF(B429="","",C429/B429)</f>
        <v>0.000394027143266038</v>
      </c>
      <c r="G429" s="408"/>
    </row>
    <row r="430" ht="20.05" customHeight="1">
      <c r="A430" s="400">
        <v>45231</v>
      </c>
      <c r="B430" s="401">
        <f>IF(OR(WEEKDAY($A430)=7,WEEKDAY($A430)=1),"",IF(B429="",IF(B428="",B427,B428),B429)+IF(A$2=TRUE,IF(C429="",IF(C428="",C427,C428),C429)*2,IF(C429="",IF(C428="",C427,C428),C429)))</f>
        <v>374.426052448521</v>
      </c>
      <c r="C430" s="402">
        <f>IF(B430="","",B430*F$6)</f>
        <v>0.147534027810671</v>
      </c>
      <c r="D430" s="403">
        <f>IF(C430="","",(D$3*$C430)/$C$3)</f>
        <v>0.19043399334427</v>
      </c>
      <c r="E430" s="403">
        <f>IF(C430="","",D430-$C430)</f>
        <v>0.042899965533599</v>
      </c>
      <c r="F430" s="404">
        <f>IF(B430="","",C430/B430)</f>
        <v>0.000394027143266039</v>
      </c>
      <c r="G430" s="408"/>
    </row>
    <row r="431" ht="20.05" customHeight="1">
      <c r="A431" s="400">
        <v>45232</v>
      </c>
      <c r="B431" s="401">
        <f>IF(OR(WEEKDAY($A431)=7,WEEKDAY($A431)=1),"",IF(B430="",IF(B429="",B428,B429),B430)+IF(A$2=TRUE,IF(C430="",IF(C429="",C428,C429),C430)*2,IF(C430="",IF(C429="",C428,C429),C430)))</f>
        <v>374.721120504142</v>
      </c>
      <c r="C431" s="402">
        <f>IF(B431="","",B431*F$6)</f>
        <v>0.147650292633696</v>
      </c>
      <c r="D431" s="403">
        <f>IF(C431="","",(D$3*$C431)/$C$3)</f>
        <v>0.190584065669026</v>
      </c>
      <c r="E431" s="403">
        <f>IF(C431="","",D431-$C431)</f>
        <v>0.04293377303533</v>
      </c>
      <c r="F431" s="404">
        <f>IF(B431="","",C431/B431)</f>
        <v>0.000394027143266038</v>
      </c>
      <c r="G431" s="408"/>
    </row>
    <row r="432" ht="20.05" customHeight="1">
      <c r="A432" s="400">
        <v>45233</v>
      </c>
      <c r="B432" s="401">
        <f>IF(OR(WEEKDAY($A432)=7,WEEKDAY($A432)=1),"",IF(B431="",IF(B430="",B429,B430),B431)+IF(A$2=TRUE,IF(C431="",IF(C430="",C429,C430),C431)*2,IF(C431="",IF(C430="",C429,C430),C431)))</f>
        <v>375.016421089409</v>
      </c>
      <c r="C432" s="402">
        <f>IF(B432="","",B432*F$6)</f>
        <v>0.147766649079714</v>
      </c>
      <c r="D432" s="403">
        <f>IF(C432="","",(D$3*$C432)/$C$3)</f>
        <v>0.190734256258922</v>
      </c>
      <c r="E432" s="403">
        <f>IF(C432="","",D432-$C432)</f>
        <v>0.042967607179208</v>
      </c>
      <c r="F432" s="404">
        <f>IF(B432="","",C432/B432)</f>
        <v>0.00039402714326604</v>
      </c>
      <c r="G432" s="408"/>
    </row>
    <row r="433" ht="20.05" customHeight="1">
      <c r="A433" s="400">
        <v>45234</v>
      </c>
      <c r="B433" t="s" s="405">
        <f>IF(OR(WEEKDAY($A433)=7,WEEKDAY($A433)=1),"",IF(B432="",IF(B431="",B430,B431),B432)+IF(A$2=TRUE,IF(C432="",IF(C431="",C430,C431),C432)*2,IF(C432="",IF(C431="",C430,C431),C432)))</f>
      </c>
      <c r="C433" t="s" s="406">
        <f>IF(B433="","",B433*F$6)</f>
      </c>
      <c r="D433" t="s" s="406">
        <f>IF(C433="","",(D$3*$C433)/$C$3)</f>
      </c>
      <c r="E433" t="s" s="406">
        <f>IF(C433="","",D433-$C433)</f>
      </c>
      <c r="F433" t="s" s="406">
        <f>IF(B433="","",C433/B433)</f>
      </c>
      <c r="G433" s="408"/>
    </row>
    <row r="434" ht="20.05" customHeight="1">
      <c r="A434" s="400">
        <v>45235</v>
      </c>
      <c r="B434" t="s" s="405">
        <f>IF(OR(WEEKDAY($A434)=7,WEEKDAY($A434)=1),"",IF(B433="",IF(B432="",B431,B432),B433)+IF(A$2=TRUE,IF(C433="",IF(C432="",C431,C432),C433)*2,IF(C433="",IF(C432="",C431,C432),C433)))</f>
      </c>
      <c r="C434" t="s" s="406">
        <f>IF(B434="","",B434*F$6)</f>
      </c>
      <c r="D434" t="s" s="406">
        <f>IF(C434="","",(D$3*$C434)/$C$3)</f>
      </c>
      <c r="E434" t="s" s="406">
        <f>IF(C434="","",D434-$C434)</f>
      </c>
      <c r="F434" t="s" s="406">
        <f>IF(B434="","",C434/B434)</f>
      </c>
      <c r="G434" s="408"/>
    </row>
    <row r="435" ht="20.05" customHeight="1">
      <c r="A435" s="400">
        <v>45236</v>
      </c>
      <c r="B435" s="401">
        <f>IF(OR(WEEKDAY($A435)=7,WEEKDAY($A435)=1),"",IF(B434="",IF(B433="",B432,B433),B434)+IF(A$2=TRUE,IF(C434="",IF(C433="",C432,C433),C434)*2,IF(C434="",IF(C433="",C432,C433),C434)))</f>
        <v>375.311954387568</v>
      </c>
      <c r="C435" s="402">
        <f>IF(B435="","",B435*F$6)</f>
        <v>0.147883097220927</v>
      </c>
      <c r="D435" s="403">
        <f>IF(C435="","",(D$3*$C435)/$C$3)</f>
        <v>0.190884565207154</v>
      </c>
      <c r="E435" s="403">
        <f>IF(C435="","",D435-$C435)</f>
        <v>0.043001467986227</v>
      </c>
      <c r="F435" s="404">
        <f>IF(B435="","",C435/B435)</f>
        <v>0.000394027143266038</v>
      </c>
      <c r="G435" s="408"/>
    </row>
    <row r="436" ht="20.05" customHeight="1">
      <c r="A436" s="400">
        <v>45237</v>
      </c>
      <c r="B436" s="401">
        <f>IF(OR(WEEKDAY($A436)=7,WEEKDAY($A436)=1),"",IF(B435="",IF(B434="",B433,B434),B435)+IF(A$2=TRUE,IF(C435="",IF(C434="",C433,C434),C435)*2,IF(C435="",IF(C434="",C433,C434),C435)))</f>
        <v>375.607720582010</v>
      </c>
      <c r="C436" s="402">
        <f>IF(B436="","",B436*F$6)</f>
        <v>0.147999637129598</v>
      </c>
      <c r="D436" s="403">
        <f>IF(C436="","",(D$3*$C436)/$C$3)</f>
        <v>0.191034992606999</v>
      </c>
      <c r="E436" s="403">
        <f>IF(C436="","",D436-$C436)</f>
        <v>0.043035355477401</v>
      </c>
      <c r="F436" s="404">
        <f>IF(B436="","",C436/B436)</f>
        <v>0.000394027143266039</v>
      </c>
      <c r="G436" s="408"/>
    </row>
    <row r="437" ht="20.05" customHeight="1">
      <c r="A437" s="400">
        <v>45238</v>
      </c>
      <c r="B437" s="401">
        <f>IF(OR(WEEKDAY($A437)=7,WEEKDAY($A437)=1),"",IF(B436="",IF(B435="",B434,B435),B436)+IF(A$2=TRUE,IF(C436="",IF(C435="",C434,C435),C436)*2,IF(C436="",IF(C435="",C434,C435),C436)))</f>
        <v>375.903719856269</v>
      </c>
      <c r="C437" s="402">
        <f>IF(B437="","",B437*F$6)</f>
        <v>0.148116268878043</v>
      </c>
      <c r="D437" s="403">
        <f>IF(C437="","",(D$3*$C437)/$C$3)</f>
        <v>0.1911855385518</v>
      </c>
      <c r="E437" s="403">
        <f>IF(C437="","",D437-$C437)</f>
        <v>0.043069269673757</v>
      </c>
      <c r="F437" s="404">
        <f>IF(B437="","",C437/B437)</f>
        <v>0.000394027143266039</v>
      </c>
      <c r="G437" s="408"/>
    </row>
    <row r="438" ht="20.05" customHeight="1">
      <c r="A438" s="400">
        <v>45239</v>
      </c>
      <c r="B438" s="401">
        <f>IF(OR(WEEKDAY($A438)=7,WEEKDAY($A438)=1),"",IF(B437="",IF(B436="",B435,B436),B437)+IF(A$2=TRUE,IF(C437="",IF(C436="",C435,C436),C437)*2,IF(C437="",IF(C436="",C435,C436),C437)))</f>
        <v>376.199952394025</v>
      </c>
      <c r="C438" s="402">
        <f>IF(B438="","",B438*F$6)</f>
        <v>0.148232992538638</v>
      </c>
      <c r="D438" s="403">
        <f>IF(C438="","",(D$3*$C438)/$C$3)</f>
        <v>0.19133620313498</v>
      </c>
      <c r="E438" s="403">
        <f>IF(C438="","",D438-$C438)</f>
        <v>0.043103210596342</v>
      </c>
      <c r="F438" s="404">
        <f>IF(B438="","",C438/B438)</f>
        <v>0.00039402714326604</v>
      </c>
      <c r="G438" s="408"/>
    </row>
    <row r="439" ht="20.05" customHeight="1">
      <c r="A439" s="400">
        <v>45240</v>
      </c>
      <c r="B439" s="401">
        <f>IF(OR(WEEKDAY($A439)=7,WEEKDAY($A439)=1),"",IF(B438="",IF(B437="",B436,B437),B438)+IF(A$2=TRUE,IF(C438="",IF(C437="",C436,C437),C438)*2,IF(C438="",IF(C437="",C436,C437),C438)))</f>
        <v>376.496418379102</v>
      </c>
      <c r="C439" s="402">
        <f>IF(B439="","",B439*F$6)</f>
        <v>0.148349808183813</v>
      </c>
      <c r="D439" s="403">
        <f>IF(C439="","",(D$3*$C439)/$C$3)</f>
        <v>0.191486986450028</v>
      </c>
      <c r="E439" s="403">
        <f>IF(C439="","",D439-$C439)</f>
        <v>0.043137178266215</v>
      </c>
      <c r="F439" s="404">
        <f>IF(B439="","",C439/B439)</f>
        <v>0.000394027143266039</v>
      </c>
      <c r="G439" s="408"/>
    </row>
    <row r="440" ht="20.05" customHeight="1">
      <c r="A440" s="400">
        <v>45241</v>
      </c>
      <c r="B440" t="s" s="405">
        <f>IF(OR(WEEKDAY($A440)=7,WEEKDAY($A440)=1),"",IF(B439="",IF(B438="",B437,B438),B439)+IF(A$2=TRUE,IF(C439="",IF(C438="",C437,C438),C439)*2,IF(C439="",IF(C438="",C437,C438),C439)))</f>
      </c>
      <c r="C440" t="s" s="406">
        <f>IF(B440="","",B440*F$6)</f>
      </c>
      <c r="D440" t="s" s="406">
        <f>IF(C440="","",(D$3*$C440)/$C$3)</f>
      </c>
      <c r="E440" t="s" s="406">
        <f>IF(C440="","",D440-$C440)</f>
      </c>
      <c r="F440" t="s" s="406">
        <f>IF(B440="","",C440/B440)</f>
      </c>
      <c r="G440" s="408"/>
    </row>
    <row r="441" ht="20.05" customHeight="1">
      <c r="A441" s="400">
        <v>45242</v>
      </c>
      <c r="B441" t="s" s="405">
        <f>IF(OR(WEEKDAY($A441)=7,WEEKDAY($A441)=1),"",IF(B440="",IF(B439="",B438,B439),B440)+IF(A$2=TRUE,IF(C440="",IF(C439="",C438,C439),C440)*2,IF(C440="",IF(C439="",C438,C439),C440)))</f>
      </c>
      <c r="C441" t="s" s="406">
        <f>IF(B441="","",B441*F$6)</f>
      </c>
      <c r="D441" t="s" s="406">
        <f>IF(C441="","",(D$3*$C441)/$C$3)</f>
      </c>
      <c r="E441" t="s" s="406">
        <f>IF(C441="","",D441-$C441)</f>
      </c>
      <c r="F441" t="s" s="406">
        <f>IF(B441="","",C441/B441)</f>
      </c>
      <c r="G441" s="408"/>
    </row>
    <row r="442" ht="20.05" customHeight="1">
      <c r="A442" s="400">
        <v>45243</v>
      </c>
      <c r="B442" s="401">
        <f>IF(OR(WEEKDAY($A442)=7,WEEKDAY($A442)=1),"",IF(B441="",IF(B440="",B439,B440),B441)+IF(A$2=TRUE,IF(C441="",IF(C440="",C439,C440),C441)*2,IF(C441="",IF(C440="",C439,C440),C441)))</f>
        <v>376.793117995470</v>
      </c>
      <c r="C442" s="402">
        <f>IF(B442="","",B442*F$6)</f>
        <v>0.148466715886059</v>
      </c>
      <c r="D442" s="403">
        <f>IF(C442="","",(D$3*$C442)/$C$3)</f>
        <v>0.191637888590516</v>
      </c>
      <c r="E442" s="403">
        <f>IF(C442="","",D442-$C442)</f>
        <v>0.043171172704457</v>
      </c>
      <c r="F442" s="404">
        <f>IF(B442="","",C442/B442)</f>
        <v>0.00039402714326604</v>
      </c>
      <c r="G442" s="408"/>
    </row>
    <row r="443" ht="20.05" customHeight="1">
      <c r="A443" s="400">
        <v>45244</v>
      </c>
      <c r="B443" s="401">
        <f>IF(OR(WEEKDAY($A443)=7,WEEKDAY($A443)=1),"",IF(B442="",IF(B441="",B440,B441),B442)+IF(A$2=TRUE,IF(C442="",IF(C441="",C440,C441),C442)*2,IF(C442="",IF(C441="",C440,C441),C442)))</f>
        <v>377.090051427242</v>
      </c>
      <c r="C443" s="402">
        <f>IF(B443="","",B443*F$6)</f>
        <v>0.14858371571792</v>
      </c>
      <c r="D443" s="403">
        <f>IF(C443="","",(D$3*$C443)/$C$3)</f>
        <v>0.191788909650081</v>
      </c>
      <c r="E443" s="403">
        <f>IF(C443="","",D443-$C443)</f>
        <v>0.043205193932161</v>
      </c>
      <c r="F443" s="404">
        <f>IF(B443="","",C443/B443)</f>
        <v>0.000394027143266039</v>
      </c>
      <c r="G443" s="408"/>
    </row>
    <row r="444" ht="20.05" customHeight="1">
      <c r="A444" s="400">
        <v>45245</v>
      </c>
      <c r="B444" s="401">
        <f>IF(OR(WEEKDAY($A444)=7,WEEKDAY($A444)=1),"",IF(B443="",IF(B442="",B441,B442),B443)+IF(A$2=TRUE,IF(C443="",IF(C442="",C441,C442),C443)*2,IF(C443="",IF(C442="",C441,C442),C443)))</f>
        <v>377.387218858678</v>
      </c>
      <c r="C444" s="402">
        <f>IF(B444="","",B444*F$6)</f>
        <v>0.148700807752</v>
      </c>
      <c r="D444" s="403">
        <f>IF(C444="","",(D$3*$C444)/$C$3)</f>
        <v>0.19194004972244</v>
      </c>
      <c r="E444" s="403">
        <f>IF(C444="","",D444-$C444)</f>
        <v>0.04323924197044</v>
      </c>
      <c r="F444" s="404">
        <f>IF(B444="","",C444/B444)</f>
        <v>0.000394027143266038</v>
      </c>
      <c r="G444" s="408"/>
    </row>
    <row r="445" ht="20.05" customHeight="1">
      <c r="A445" s="400">
        <v>45246</v>
      </c>
      <c r="B445" s="401">
        <f>IF(OR(WEEKDAY($A445)=7,WEEKDAY($A445)=1),"",IF(B444="",IF(B443="",B442,B443),B444)+IF(A$2=TRUE,IF(C444="",IF(C443="",C442,C443),C444)*2,IF(C444="",IF(C443="",C442,C443),C444)))</f>
        <v>377.684620474182</v>
      </c>
      <c r="C445" s="402">
        <f>IF(B445="","",B445*F$6)</f>
        <v>0.14881799206096</v>
      </c>
      <c r="D445" s="403">
        <f>IF(C445="","",(D$3*$C445)/$C$3)</f>
        <v>0.192091308901381</v>
      </c>
      <c r="E445" s="403">
        <f>IF(C445="","",D445-$C445)</f>
        <v>0.043273316840421</v>
      </c>
      <c r="F445" s="404">
        <f>IF(B445="","",C445/B445)</f>
        <v>0.000394027143266039</v>
      </c>
      <c r="G445" s="408"/>
    </row>
    <row r="446" ht="20.05" customHeight="1">
      <c r="A446" s="400">
        <v>45247</v>
      </c>
      <c r="B446" s="401">
        <f>336.61-125</f>
        <v>211.61</v>
      </c>
      <c r="C446" s="402">
        <f>IF(B446="","",B446*F$6)</f>
        <v>0.0833800837865265</v>
      </c>
      <c r="D446" s="403">
        <f>IF(C446="","",(D$3*$C446)/$C$3)</f>
        <v>0.107625356376935</v>
      </c>
      <c r="E446" s="403">
        <f>IF(C446="","",D446-$C446)</f>
        <v>0.0242452725904085</v>
      </c>
      <c r="F446" s="404">
        <f>IF(B446="","",C446/B446)</f>
        <v>0.000394027143266039</v>
      </c>
      <c r="G446" s="408"/>
    </row>
    <row r="447" ht="20.05" customHeight="1">
      <c r="A447" s="400">
        <v>45248</v>
      </c>
      <c r="B447" t="s" s="405">
        <f>IF(OR(WEEKDAY($A447)=7,WEEKDAY($A447)=1),"",IF(B446="",IF(B445="",B444,B445),B446)+IF(A$2=TRUE,IF(C446="",IF(C445="",C444,C445),C446)*2,IF(C446="",IF(C445="",C444,C445),C446)))</f>
      </c>
      <c r="C447" t="s" s="406">
        <f>IF(B447="","",B447*F$6)</f>
      </c>
      <c r="D447" t="s" s="406">
        <f>IF(C447="","",(D$3*$C447)/$C$3)</f>
      </c>
      <c r="E447" t="s" s="406">
        <f>IF(C447="","",D447-$C447)</f>
      </c>
      <c r="F447" t="s" s="406">
        <f>IF(B447="","",C447/B447)</f>
      </c>
      <c r="G447" s="408"/>
    </row>
    <row r="448" ht="20.05" customHeight="1">
      <c r="A448" s="400">
        <v>45249</v>
      </c>
      <c r="B448" t="s" s="405">
        <f>IF(OR(WEEKDAY($A448)=7,WEEKDAY($A448)=1),"",IF(B447="",IF(B446="",B445,B446),B447)+IF(A$2=TRUE,IF(C447="",IF(C446="",C445,C446),C447)*2,IF(C447="",IF(C446="",C445,C446),C447)))</f>
      </c>
      <c r="C448" t="s" s="406">
        <f>IF(B448="","",B448*F$6)</f>
      </c>
      <c r="D448" t="s" s="406">
        <f>IF(C448="","",(D$3*$C448)/$C$3)</f>
      </c>
      <c r="E448" t="s" s="406">
        <f>IF(C448="","",D448-$C448)</f>
      </c>
      <c r="F448" t="s" s="406">
        <f>IF(B448="","",C448/B448)</f>
      </c>
      <c r="G448" s="408"/>
    </row>
    <row r="449" ht="20.05" customHeight="1">
      <c r="A449" s="400">
        <v>45250</v>
      </c>
      <c r="B449" s="401">
        <f>IF(OR(WEEKDAY($A449)=7,WEEKDAY($A449)=1),"",IF(B448="",IF(B447="",B446,B447),B448)+IF(A$2=TRUE,IF(C448="",IF(C447="",C446,C447),C448)*2,IF(C448="",IF(C447="",C446,C447),C448)))</f>
        <v>211.776760167573</v>
      </c>
      <c r="C449" s="402">
        <f>IF(B449="","",B449*F$6)</f>
        <v>0.0834457918189659</v>
      </c>
      <c r="D449" s="403">
        <f>IF(C449="","",(D$3*$C449)/$C$3)</f>
        <v>0.107710171000367</v>
      </c>
      <c r="E449" s="403">
        <f>IF(C449="","",D449-$C449)</f>
        <v>0.0242643791814011</v>
      </c>
      <c r="F449" s="404">
        <f>IF(B449="","",C449/B449)</f>
        <v>0.000394027143266039</v>
      </c>
      <c r="G449" s="408"/>
    </row>
    <row r="450" ht="20.05" customHeight="1">
      <c r="A450" s="400">
        <v>45251</v>
      </c>
      <c r="B450" s="401">
        <f>IF(OR(WEEKDAY($A450)=7,WEEKDAY($A450)=1),"",IF(B449="",IF(B448="",B447,B448),B449)+IF(A$2=TRUE,IF(C449="",IF(C448="",C447,C448),C449)*2,IF(C449="",IF(C448="",C447,C448),C449)))</f>
        <v>211.943651751211</v>
      </c>
      <c r="C450" s="402">
        <f>IF(B450="","",B450*F$6)</f>
        <v>0.0835115516329019</v>
      </c>
      <c r="D450" s="403">
        <f>IF(C450="","",(D$3*$C450)/$C$3)</f>
        <v>0.107795052462327</v>
      </c>
      <c r="E450" s="403">
        <f>IF(C450="","",D450-$C450)</f>
        <v>0.0242835008294251</v>
      </c>
      <c r="F450" s="404">
        <f>IF(B450="","",C450/B450)</f>
        <v>0.000394027143266039</v>
      </c>
      <c r="G450" s="408"/>
    </row>
    <row r="451" ht="20.05" customHeight="1">
      <c r="A451" s="400">
        <v>45252</v>
      </c>
      <c r="B451" s="401">
        <f>IF(OR(WEEKDAY($A451)=7,WEEKDAY($A451)=1),"",IF(B450="",IF(B449="",B448,B449),B450)+IF(A$2=TRUE,IF(C450="",IF(C449="",C448,C449),C450)*2,IF(C450="",IF(C449="",C448,C449),C450)))</f>
        <v>212.110674854477</v>
      </c>
      <c r="C451" s="402">
        <f>IF(B451="","",B451*F$6)</f>
        <v>0.0835773632691412</v>
      </c>
      <c r="D451" s="403">
        <f>IF(C451="","",(D$3*$C451)/$C$3)</f>
        <v>0.107880000815487</v>
      </c>
      <c r="E451" s="403">
        <f>IF(C451="","",D451-$C451)</f>
        <v>0.0243026375463458</v>
      </c>
      <c r="F451" s="404">
        <f>IF(B451="","",C451/B451)</f>
        <v>0.000394027143266039</v>
      </c>
      <c r="G451" s="408"/>
    </row>
    <row r="452" ht="20.05" customHeight="1">
      <c r="A452" s="400">
        <v>45253</v>
      </c>
      <c r="B452" s="401">
        <f>IF(OR(WEEKDAY($A452)=7,WEEKDAY($A452)=1),"",IF(B451="",IF(B450="",B449,B450),B451)+IF(A$2=TRUE,IF(C451="",IF(C450="",C449,C450),C451)*2,IF(C451="",IF(C450="",C449,C450),C451)))</f>
        <v>212.277829581015</v>
      </c>
      <c r="C452" s="402">
        <f>IF(B452="","",B452*F$6)</f>
        <v>0.0836432267685224</v>
      </c>
      <c r="D452" s="403">
        <f>IF(C452="","",(D$3*$C452)/$C$3)</f>
        <v>0.107965016112561</v>
      </c>
      <c r="E452" s="403">
        <f>IF(C452="","",D452-$C452)</f>
        <v>0.0243217893440386</v>
      </c>
      <c r="F452" s="404">
        <f>IF(B452="","",C452/B452)</f>
        <v>0.000394027143266039</v>
      </c>
      <c r="G452" s="408"/>
    </row>
    <row r="453" ht="20.05" customHeight="1">
      <c r="A453" s="400">
        <v>45254</v>
      </c>
      <c r="B453" s="401">
        <f>IF(OR(WEEKDAY($A453)=7,WEEKDAY($A453)=1),"",IF(B452="",IF(B451="",B450,B451),B452)+IF(A$2=TRUE,IF(C452="",IF(C451="",C450,C451),C452)*2,IF(C452="",IF(C451="",C450,C451),C452)))</f>
        <v>212.445116034552</v>
      </c>
      <c r="C453" s="402">
        <f>IF(B453="","",B453*F$6)</f>
        <v>0.0837091421719167</v>
      </c>
      <c r="D453" s="403">
        <f>IF(C453="","",(D$3*$C453)/$C$3)</f>
        <v>0.108050098406304</v>
      </c>
      <c r="E453" s="403">
        <f>IF(C453="","",D453-$C453)</f>
        <v>0.0243409562343873</v>
      </c>
      <c r="F453" s="404">
        <f>IF(B453="","",C453/B453)</f>
        <v>0.000394027143266039</v>
      </c>
      <c r="G453" s="408"/>
    </row>
    <row r="454" ht="20.05" customHeight="1">
      <c r="A454" s="400">
        <v>45255</v>
      </c>
      <c r="B454" t="s" s="405">
        <f>IF(OR(WEEKDAY($A454)=7,WEEKDAY($A454)=1),"",IF(B453="",IF(B452="",B451,B452),B453)+IF(A$2=TRUE,IF(C453="",IF(C452="",C451,C452),C453)*2,IF(C453="",IF(C452="",C451,C452),C453)))</f>
      </c>
      <c r="C454" t="s" s="406">
        <f>IF(B454="","",B454*F$6)</f>
      </c>
      <c r="D454" t="s" s="406">
        <f>IF(C454="","",(D$3*$C454)/$C$3)</f>
      </c>
      <c r="E454" t="s" s="406">
        <f>IF(C454="","",D454-$C454)</f>
      </c>
      <c r="F454" t="s" s="406">
        <f>IF(B454="","",C454/B454)</f>
      </c>
      <c r="G454" s="408"/>
    </row>
    <row r="455" ht="20.05" customHeight="1">
      <c r="A455" s="400">
        <v>45256</v>
      </c>
      <c r="B455" t="s" s="405">
        <f>IF(OR(WEEKDAY($A455)=7,WEEKDAY($A455)=1),"",IF(B454="",IF(B453="",B452,B453),B454)+IF(A$2=TRUE,IF(C454="",IF(C453="",C452,C453),C454)*2,IF(C454="",IF(C453="",C452,C453),C454)))</f>
      </c>
      <c r="C455" t="s" s="406">
        <f>IF(B455="","",B455*F$6)</f>
      </c>
      <c r="D455" t="s" s="406">
        <f>IF(C455="","",(D$3*$C455)/$C$3)</f>
      </c>
      <c r="E455" t="s" s="406">
        <f>IF(C455="","",D455-$C455)</f>
      </c>
      <c r="F455" t="s" s="406">
        <f>IF(B455="","",C455/B455)</f>
      </c>
      <c r="G455" s="408"/>
    </row>
    <row r="456" ht="20.05" customHeight="1">
      <c r="A456" s="400">
        <v>45257</v>
      </c>
      <c r="B456" s="401">
        <f>IF(OR(WEEKDAY($A456)=7,WEEKDAY($A456)=1),"",IF(B455="",IF(B454="",B453,B454),B455)+IF(A$2=TRUE,IF(C455="",IF(C454="",C453,C454),C455)*2,IF(C455="",IF(C454="",C453,C454),C455)))-G152</f>
        <v>91.3925343188958</v>
      </c>
      <c r="C456" s="402">
        <f>IF(B456="","",B456*F$6)</f>
        <v>0.0360111392135179</v>
      </c>
      <c r="D456" s="403">
        <f>IF(C456="","",(D$3*$C456)/$C$3)</f>
        <v>0.0464824633819876</v>
      </c>
      <c r="E456" s="403">
        <f>IF(C456="","",D456-$C456)</f>
        <v>0.0104713241684697</v>
      </c>
      <c r="F456" s="404">
        <f>IF(B456="","",C456/B456)</f>
        <v>0.000394027143266039</v>
      </c>
      <c r="G456" s="408"/>
    </row>
    <row r="457" ht="20.05" customHeight="1">
      <c r="A457" s="400">
        <v>45258</v>
      </c>
      <c r="B457" s="401">
        <f>IF(OR(WEEKDAY($A457)=7,WEEKDAY($A457)=1),"",IF(B456="",IF(B455="",B454,B455),B456)+IF(A$2=TRUE,IF(C456="",IF(C455="",C454,C455),C456)*2,IF(C456="",IF(C455="",C454,C455),C456)))</f>
        <v>91.4645565973228</v>
      </c>
      <c r="C457" s="402">
        <f>IF(B457="","",B457*F$6)</f>
        <v>0.036039517946138</v>
      </c>
      <c r="D457" s="403">
        <f>IF(C457="","",(D$3*$C457)/$C$3)</f>
        <v>0.0465190940865044</v>
      </c>
      <c r="E457" s="403">
        <f>IF(C457="","",D457-$C457)</f>
        <v>0.0104795761403664</v>
      </c>
      <c r="F457" s="404">
        <f>IF(B457="","",C457/B457)</f>
        <v>0.000394027143266039</v>
      </c>
      <c r="G457" s="408"/>
    </row>
    <row r="458" ht="20.05" customHeight="1">
      <c r="A458" s="400">
        <v>45259</v>
      </c>
      <c r="B458" s="401">
        <f>IF(OR(WEEKDAY($A458)=7,WEEKDAY($A458)=1),"",IF(B457="",IF(B456="",B455,B456),B457)+IF(A$2=TRUE,IF(C457="",IF(C456="",C455,C456),C457)*2,IF(C457="",IF(C456="",C455,C456),C457)))</f>
        <v>91.5366356332151</v>
      </c>
      <c r="C458" s="402">
        <f>IF(B458="","",B458*F$6)</f>
        <v>0.0360679190427401</v>
      </c>
      <c r="D458" s="403">
        <f>IF(C458="","",(D$3*$C458)/$C$3)</f>
        <v>0.046555753658005</v>
      </c>
      <c r="E458" s="403">
        <f>IF(C458="","",D458-$C458)</f>
        <v>0.0104878346152649</v>
      </c>
      <c r="F458" s="404">
        <f>IF(B458="","",C458/B458)</f>
        <v>0.000394027143266039</v>
      </c>
      <c r="G458" s="408"/>
    </row>
    <row r="459" ht="20.05" customHeight="1">
      <c r="A459" s="400">
        <v>45260</v>
      </c>
      <c r="B459" s="401">
        <f>IF(OR(WEEKDAY($A459)=7,WEEKDAY($A459)=1),"",IF(B458="",IF(B457="",B456,B457),B458)+IF(A$2=TRUE,IF(C458="",IF(C457="",C456,C457),C458)*2,IF(C458="",IF(C457="",C456,C457),C458)))</f>
        <v>91.6087714713006</v>
      </c>
      <c r="C459" s="402">
        <f>IF(B459="","",B459*F$6)</f>
        <v>0.036096342520948</v>
      </c>
      <c r="D459" s="403">
        <f>IF(C459="","",(D$3*$C459)/$C$3)</f>
        <v>0.0465924421192378</v>
      </c>
      <c r="E459" s="403">
        <f>IF(C459="","",D459-$C459)</f>
        <v>0.0104960995982898</v>
      </c>
      <c r="F459" s="404">
        <f>IF(B459="","",C459/B459)</f>
        <v>0.000394027143266039</v>
      </c>
      <c r="G459" s="408"/>
    </row>
    <row r="460" ht="20.05" customHeight="1">
      <c r="A460" s="400">
        <v>45261</v>
      </c>
      <c r="B460" s="401">
        <f>IF(OR(WEEKDAY($A460)=7,WEEKDAY($A460)=1),"",IF(B459="",IF(B458="",B457,B458),B459)+IF(A$2=TRUE,IF(C459="",IF(C458="",C457,C458),C459)*2,IF(C459="",IF(C458="",C457,C458),C459)))</f>
        <v>91.6809641563425</v>
      </c>
      <c r="C460" s="402">
        <f>IF(B460="","",B460*F$6)</f>
        <v>0.0361247883983998</v>
      </c>
      <c r="D460" s="403">
        <f>IF(C460="","",(D$3*$C460)/$C$3)</f>
        <v>0.04662915949297</v>
      </c>
      <c r="E460" s="403">
        <f>IF(C460="","",D460-$C460)</f>
        <v>0.0105043710945702</v>
      </c>
      <c r="F460" s="404">
        <f>IF(B460="","",C460/B460)</f>
        <v>0.00039402714326604</v>
      </c>
      <c r="G460" s="408"/>
    </row>
    <row r="461" ht="20.05" customHeight="1">
      <c r="A461" s="400">
        <v>45262</v>
      </c>
      <c r="B461" t="s" s="405">
        <f>IF(OR(WEEKDAY($A461)=7,WEEKDAY($A461)=1),"",IF(B460="",IF(B459="",B458,B459),B460)+IF(A$2=TRUE,IF(C460="",IF(C459="",C458,C459),C460)*2,IF(C460="",IF(C459="",C458,C459),C460)))</f>
      </c>
      <c r="C461" t="s" s="406">
        <f>IF(B461="","",B461*F$6)</f>
      </c>
      <c r="D461" t="s" s="406">
        <f>IF(C461="","",(D$3*$C461)/$C$3)</f>
      </c>
      <c r="E461" t="s" s="406">
        <f>IF(C461="","",D461-$C461)</f>
      </c>
      <c r="F461" t="s" s="406">
        <f>IF(B461="","",C461/B461)</f>
      </c>
      <c r="G461" s="408"/>
    </row>
    <row r="462" ht="20.05" customHeight="1">
      <c r="A462" s="400">
        <v>45263</v>
      </c>
      <c r="B462" t="s" s="405">
        <f>IF(OR(WEEKDAY($A462)=7,WEEKDAY($A462)=1),"",IF(B461="",IF(B460="",B459,B460),B461)+IF(A$2=TRUE,IF(C461="",IF(C460="",C459,C460),C461)*2,IF(C461="",IF(C460="",C459,C460),C461)))</f>
      </c>
      <c r="C462" t="s" s="406">
        <f>IF(B462="","",B462*F$6)</f>
      </c>
      <c r="D462" t="s" s="406">
        <f>IF(C462="","",(D$3*$C462)/$C$3)</f>
      </c>
      <c r="E462" t="s" s="406">
        <f>IF(C462="","",D462-$C462)</f>
      </c>
      <c r="F462" t="s" s="406">
        <f>IF(B462="","",C462/B462)</f>
      </c>
      <c r="G462" s="408"/>
    </row>
    <row r="463" ht="20.05" customHeight="1">
      <c r="A463" s="400">
        <v>45264</v>
      </c>
      <c r="B463" s="401">
        <f>IF(OR(WEEKDAY($A463)=7,WEEKDAY($A463)=1),"",IF(B462="",IF(B461="",B460,B461),B462)+IF(A$2=TRUE,IF(C462="",IF(C461="",C460,C461),C462)*2,IF(C462="",IF(C461="",C460,C461),C462)))</f>
        <v>91.7532137331393</v>
      </c>
      <c r="C463" s="402">
        <f>IF(B463="","",B463*F$6)</f>
        <v>0.0361532566927472</v>
      </c>
      <c r="D463" s="403">
        <f>IF(C463="","",(D$3*$C463)/$C$3)</f>
        <v>0.0466659058019857</v>
      </c>
      <c r="E463" s="403">
        <f>IF(C463="","",D463-$C463)</f>
        <v>0.0105126491092385</v>
      </c>
      <c r="F463" s="404">
        <f>IF(B463="","",C463/B463)</f>
        <v>0.000394027143266039</v>
      </c>
      <c r="G463" s="408"/>
    </row>
    <row r="464" ht="20.05" customHeight="1">
      <c r="A464" s="400">
        <v>45265</v>
      </c>
      <c r="B464" s="401">
        <f>IF(OR(WEEKDAY($A464)=7,WEEKDAY($A464)=1),"",IF(B463="",IF(B462="",B461,B462),B463)+IF(A$2=TRUE,IF(C463="",IF(C462="",C461,C462),C463)*2,IF(C463="",IF(C462="",C461,C462),C463)))</f>
        <v>91.8255202465248</v>
      </c>
      <c r="C464" s="402">
        <f>IF(B464="","",B464*F$6)</f>
        <v>0.036181747421656</v>
      </c>
      <c r="D464" s="403">
        <f>IF(C464="","",(D$3*$C464)/$C$3)</f>
        <v>0.0467026810690879</v>
      </c>
      <c r="E464" s="403">
        <f>IF(C464="","",D464-$C464)</f>
        <v>0.0105209336474319</v>
      </c>
      <c r="F464" s="404">
        <f>IF(B464="","",C464/B464)</f>
        <v>0.000394027143266039</v>
      </c>
      <c r="G464" s="408"/>
    </row>
    <row r="465" ht="20.05" customHeight="1">
      <c r="A465" s="400">
        <v>45266</v>
      </c>
      <c r="B465" s="401">
        <f>IF(OR(WEEKDAY($A465)=7,WEEKDAY($A465)=1),"",IF(B464="",IF(B463="",B462,B463),B464)+IF(A$2=TRUE,IF(C464="",IF(C463="",C462,C463),C464)*2,IF(C464="",IF(C463="",C462,C463),C464)))</f>
        <v>91.8978837413681</v>
      </c>
      <c r="C465" s="402">
        <f>IF(B465="","",B465*F$6)</f>
        <v>0.0362102606028058</v>
      </c>
      <c r="D465" s="403">
        <f>IF(C465="","",(D$3*$C465)/$C$3)</f>
        <v>0.0467394853170968</v>
      </c>
      <c r="E465" s="403">
        <f>IF(C465="","",D465-$C465)</f>
        <v>0.010529224714291</v>
      </c>
      <c r="F465" s="404">
        <f>IF(B465="","",C465/B465)</f>
        <v>0.000394027143266039</v>
      </c>
      <c r="G465" s="408"/>
    </row>
    <row r="466" ht="20.05" customHeight="1">
      <c r="A466" s="400">
        <v>45267</v>
      </c>
      <c r="B466" s="401">
        <f>IF(OR(WEEKDAY($A466)=7,WEEKDAY($A466)=1),"",IF(B465="",IF(B464="",B463,B464),B465)+IF(A$2=TRUE,IF(C465="",IF(C464="",C463,C464),C465)*2,IF(C465="",IF(C464="",C463,C464),C465)))</f>
        <v>91.97030426257371</v>
      </c>
      <c r="C466" s="402">
        <f>IF(B466="","",B466*F$6)</f>
        <v>0.0362387962538903</v>
      </c>
      <c r="D466" s="403">
        <f>IF(C466="","",(D$3*$C466)/$C$3)</f>
        <v>0.0467763185688513</v>
      </c>
      <c r="E466" s="403">
        <f>IF(C466="","",D466-$C466)</f>
        <v>0.010537522314961</v>
      </c>
      <c r="F466" s="404">
        <f>IF(B466="","",C466/B466)</f>
        <v>0.000394027143266039</v>
      </c>
      <c r="G466" s="408"/>
    </row>
    <row r="467" ht="20.05" customHeight="1">
      <c r="A467" s="400">
        <v>45268</v>
      </c>
      <c r="B467" s="401">
        <f>IF(OR(WEEKDAY($A467)=7,WEEKDAY($A467)=1),"",IF(B466="",IF(B465="",B464,B465),B466)+IF(A$2=TRUE,IF(C466="",IF(C465="",C464,C465),C466)*2,IF(C466="",IF(C465="",C464,C465),C466)))</f>
        <v>92.0427818550815</v>
      </c>
      <c r="C467" s="402">
        <f>IF(B467="","",B467*F$6)</f>
        <v>0.036267354392617</v>
      </c>
      <c r="D467" s="403">
        <f>IF(C467="","",(D$3*$C467)/$C$3)</f>
        <v>0.0468131808472078</v>
      </c>
      <c r="E467" s="403">
        <f>IF(C467="","",D467-$C467)</f>
        <v>0.0105458264545908</v>
      </c>
      <c r="F467" s="404">
        <f>IF(B467="","",C467/B467)</f>
        <v>0.000394027143266039</v>
      </c>
      <c r="G467" s="408"/>
    </row>
    <row r="468" ht="20.05" customHeight="1">
      <c r="A468" s="400">
        <v>45269</v>
      </c>
      <c r="B468" t="s" s="405">
        <f>IF(OR(WEEKDAY($A468)=7,WEEKDAY($A468)=1),"",IF(B467="",IF(B466="",B465,B466),B467)+IF(A$2=TRUE,IF(C467="",IF(C466="",C465,C466),C467)*2,IF(C467="",IF(C466="",C465,C466),C467)))</f>
      </c>
      <c r="C468" t="s" s="406">
        <f>IF(B468="","",B468*F$6)</f>
      </c>
      <c r="D468" t="s" s="406">
        <f>IF(C468="","",(D$3*$C468)/$C$3)</f>
      </c>
      <c r="E468" t="s" s="406">
        <f>IF(C468="","",D468-$C468)</f>
      </c>
      <c r="F468" t="s" s="406">
        <f>IF(B468="","",C468/B468)</f>
      </c>
      <c r="G468" s="408"/>
    </row>
    <row r="469" ht="20.05" customHeight="1">
      <c r="A469" s="400">
        <v>45270</v>
      </c>
      <c r="B469" t="s" s="405">
        <f>IF(OR(WEEKDAY($A469)=7,WEEKDAY($A469)=1),"",IF(B468="",IF(B467="",B466,B467),B468)+IF(A$2=TRUE,IF(C468="",IF(C467="",C466,C467),C468)*2,IF(C468="",IF(C467="",C466,C467),C468)))</f>
      </c>
      <c r="C469" t="s" s="406">
        <f>IF(B469="","",B469*F$6)</f>
      </c>
      <c r="D469" t="s" s="406">
        <f>IF(C469="","",(D$3*$C469)/$C$3)</f>
      </c>
      <c r="E469" t="s" s="406">
        <f>IF(C469="","",D469-$C469)</f>
      </c>
      <c r="F469" t="s" s="406">
        <f>IF(B469="","",C469/B469)</f>
      </c>
      <c r="G469" s="408"/>
    </row>
    <row r="470" ht="20.05" customHeight="1">
      <c r="A470" s="400">
        <v>45271</v>
      </c>
      <c r="B470" s="401">
        <f>IF(OR(WEEKDAY($A470)=7,WEEKDAY($A470)=1),"",IF(B469="",IF(B468="",B467,B468),B469)+IF(A$2=TRUE,IF(C469="",IF(C468="",C467,C468),C469)*2,IF(C469="",IF(C468="",C467,C468),C469)))</f>
        <v>92.1153165638667</v>
      </c>
      <c r="C470" s="402">
        <f>IF(B470="","",B470*F$6)</f>
        <v>0.0362959350367072</v>
      </c>
      <c r="D470" s="403">
        <f>IF(C470="","",(D$3*$C470)/$C$3)</f>
        <v>0.0468500721750405</v>
      </c>
      <c r="E470" s="403">
        <f>IF(C470="","",D470-$C470)</f>
        <v>0.0105541371383333</v>
      </c>
      <c r="F470" s="404">
        <f>IF(B470="","",C470/B470)</f>
        <v>0.000394027143266039</v>
      </c>
      <c r="G470" s="408"/>
    </row>
    <row r="471" ht="20.05" customHeight="1">
      <c r="A471" s="400">
        <v>45272</v>
      </c>
      <c r="B471" s="401">
        <f>IF(OR(WEEKDAY($A471)=7,WEEKDAY($A471)=1),"",IF(B470="",IF(B469="",B468,B469),B470)+IF(A$2=TRUE,IF(C470="",IF(C469="",C468,C469),C470)*2,IF(C470="",IF(C469="",C468,C469),C470)))</f>
        <v>92.18790843394009</v>
      </c>
      <c r="C471" s="402">
        <f>IF(B471="","",B471*F$6)</f>
        <v>0.0363245382038966</v>
      </c>
      <c r="D471" s="403">
        <f>IF(C471="","",(D$3*$C471)/$C$3)</f>
        <v>0.0468869925752424</v>
      </c>
      <c r="E471" s="403">
        <f>IF(C471="","",D471-$C471)</f>
        <v>0.0105624543713458</v>
      </c>
      <c r="F471" s="404">
        <f>IF(B471="","",C471/B471)</f>
        <v>0.000394027143266039</v>
      </c>
      <c r="G471" s="408"/>
    </row>
    <row r="472" ht="20.05" customHeight="1">
      <c r="A472" s="400">
        <v>45273</v>
      </c>
      <c r="B472" s="401">
        <f>IF(OR(WEEKDAY($A472)=7,WEEKDAY($A472)=1),"",IF(B471="",IF(B470="",B469,B470),B471)+IF(A$2=TRUE,IF(C471="",IF(C470="",C469,C470),C471)*2,IF(C471="",IF(C470="",C469,C470),C471)))</f>
        <v>92.26055751034789</v>
      </c>
      <c r="C472" s="402">
        <f>IF(B472="","",B472*F$6)</f>
        <v>0.0363531639119345</v>
      </c>
      <c r="D472" s="403">
        <f>IF(C472="","",(D$3*$C472)/$C$3)</f>
        <v>0.046923942070724</v>
      </c>
      <c r="E472" s="403">
        <f>IF(C472="","",D472-$C472)</f>
        <v>0.0105707781587895</v>
      </c>
      <c r="F472" s="404">
        <f>IF(B472="","",C472/B472)</f>
        <v>0.000394027143266039</v>
      </c>
      <c r="G472" s="408"/>
    </row>
    <row r="473" ht="20.05" customHeight="1">
      <c r="A473" s="400">
        <v>45274</v>
      </c>
      <c r="B473" s="401">
        <f>IF(OR(WEEKDAY($A473)=7,WEEKDAY($A473)=1),"",IF(B472="",IF(B471="",B470,B471),B472)+IF(A$2=TRUE,IF(C472="",IF(C471="",C470,C471),C472)*2,IF(C472="",IF(C471="",C470,C471),C472)))</f>
        <v>92.3332638381718</v>
      </c>
      <c r="C473" s="402">
        <f>IF(B473="","",B473*F$6)</f>
        <v>0.0363818121785843</v>
      </c>
      <c r="D473" s="403">
        <f>IF(C473="","",(D$3*$C473)/$C$3)</f>
        <v>0.0469609206844138</v>
      </c>
      <c r="E473" s="403">
        <f>IF(C473="","",D473-$C473)</f>
        <v>0.0105791085058295</v>
      </c>
      <c r="F473" s="404">
        <f>IF(B473="","",C473/B473)</f>
        <v>0.000394027143266039</v>
      </c>
      <c r="G473" s="408"/>
    </row>
    <row r="474" ht="20.05" customHeight="1">
      <c r="A474" s="400">
        <v>45275</v>
      </c>
      <c r="B474" s="401">
        <f>IF(OR(WEEKDAY($A474)=7,WEEKDAY($A474)=1),"",IF(B473="",IF(B472="",B471,B472),B473)+IF(A$2=TRUE,IF(C473="",IF(C472="",C471,C472),C473)*2,IF(C473="",IF(C472="",C471,C472),C473)))</f>
        <v>92.406027462529</v>
      </c>
      <c r="C474" s="402">
        <f>IF(B474="","",B474*F$6)</f>
        <v>0.0364104830216234</v>
      </c>
      <c r="D474" s="403">
        <f>IF(C474="","",(D$3*$C474)/$C$3)</f>
        <v>0.0469979284392586</v>
      </c>
      <c r="E474" s="403">
        <f>IF(C474="","",D474-$C474)</f>
        <v>0.0105874454176352</v>
      </c>
      <c r="F474" s="404">
        <f>IF(B474="","",C474/B474)</f>
        <v>0.000394027143266038</v>
      </c>
      <c r="G474" s="408"/>
    </row>
    <row r="475" ht="20.05" customHeight="1">
      <c r="A475" s="400">
        <v>45276</v>
      </c>
      <c r="B475" t="s" s="405">
        <f>IF(OR(WEEKDAY($A475)=7,WEEKDAY($A475)=1),"",IF(B474="",IF(B473="",B472,B473),B474)+IF(A$2=TRUE,IF(C474="",IF(C473="",C472,C473),C474)*2,IF(C474="",IF(C473="",C472,C473),C474)))</f>
      </c>
      <c r="C475" t="s" s="406">
        <f>IF(B475="","",B475*F$6)</f>
      </c>
      <c r="D475" t="s" s="406">
        <f>IF(C475="","",(D$3*$C475)/$C$3)</f>
      </c>
      <c r="E475" t="s" s="406">
        <f>IF(C475="","",D475-$C475)</f>
      </c>
      <c r="F475" t="s" s="406">
        <f>IF(B475="","",C475/B475)</f>
      </c>
      <c r="G475" s="408"/>
    </row>
    <row r="476" ht="20.05" customHeight="1">
      <c r="A476" s="400">
        <v>45277</v>
      </c>
      <c r="B476" t="s" s="405">
        <f>IF(OR(WEEKDAY($A476)=7,WEEKDAY($A476)=1),"",IF(B475="",IF(B474="",B473,B474),B475)+IF(A$2=TRUE,IF(C475="",IF(C474="",C473,C474),C475)*2,IF(C475="",IF(C474="",C473,C474),C475)))</f>
      </c>
      <c r="C476" t="s" s="406">
        <f>IF(B476="","",B476*F$6)</f>
      </c>
      <c r="D476" t="s" s="406">
        <f>IF(C476="","",(D$3*$C476)/$C$3)</f>
      </c>
      <c r="E476" t="s" s="406">
        <f>IF(C476="","",D476-$C476)</f>
      </c>
      <c r="F476" t="s" s="406">
        <f>IF(B476="","",C476/B476)</f>
      </c>
      <c r="G476" s="408"/>
    </row>
    <row r="477" ht="20.05" customHeight="1">
      <c r="A477" s="400">
        <v>45278</v>
      </c>
      <c r="B477" s="401">
        <f>215.14-125</f>
        <v>90.14</v>
      </c>
      <c r="C477" s="402">
        <f>IF(B477="","",B477*F$6)</f>
        <v>0.0355176066940008</v>
      </c>
      <c r="D477" s="403">
        <f>IF(C477="","",(D$3*$C477)/$C$3)</f>
        <v>0.0458454214064407</v>
      </c>
      <c r="E477" s="403">
        <f>IF(C477="","",D477-$C477)</f>
        <v>0.0103278147124399</v>
      </c>
      <c r="F477" s="404">
        <f>IF(B477="","",C477/B477)</f>
        <v>0.000394027143266039</v>
      </c>
      <c r="G477" s="408"/>
    </row>
    <row r="478" ht="20.05" customHeight="1">
      <c r="A478" s="400">
        <v>45279</v>
      </c>
      <c r="B478" s="401">
        <f>IF(OR(WEEKDAY($A478)=7,WEEKDAY($A478)=1),"",IF(B477="",IF(B476="",B475,B476),B477)+IF(A$2=TRUE,IF(C477="",IF(C476="",C475,C476),C477)*2,IF(C477="",IF(C476="",C475,C476),C477)))</f>
        <v>90.211035213388</v>
      </c>
      <c r="C478" s="402">
        <f>IF(B478="","",B478*F$6)</f>
        <v>0.0355455964962033</v>
      </c>
      <c r="D478" s="403">
        <f>IF(C478="","",(D$3*$C478)/$C$3)</f>
        <v>0.0458815500872979</v>
      </c>
      <c r="E478" s="403">
        <f>IF(C478="","",D478-$C478)</f>
        <v>0.0103359535910946</v>
      </c>
      <c r="F478" s="404">
        <f>IF(B478="","",C478/B478)</f>
        <v>0.000394027143266039</v>
      </c>
      <c r="G478" s="408"/>
    </row>
    <row r="479" ht="20.05" customHeight="1">
      <c r="A479" s="400">
        <v>45280</v>
      </c>
      <c r="B479" s="401">
        <f>IF(OR(WEEKDAY($A479)=7,WEEKDAY($A479)=1),"",IF(B478="",IF(B477="",B476,B477),B478)+IF(A$2=TRUE,IF(C478="",IF(C477="",C476,C477),C478)*2,IF(C478="",IF(C477="",C476,C477),C478)))</f>
        <v>90.2821264063804</v>
      </c>
      <c r="C479" s="402">
        <f>IF(B479="","",B479*F$6)</f>
        <v>0.0355736083558895</v>
      </c>
      <c r="D479" s="403">
        <f>IF(C479="","",(D$3*$C479)/$C$3)</f>
        <v>0.0459177072395169</v>
      </c>
      <c r="E479" s="403">
        <f>IF(C479="","",D479-$C479)</f>
        <v>0.0103440988836274</v>
      </c>
      <c r="F479" s="404">
        <f>IF(B479="","",C479/B479)</f>
        <v>0.000394027143266039</v>
      </c>
      <c r="G479" s="408"/>
    </row>
    <row r="480" ht="20.05" customHeight="1">
      <c r="A480" s="400">
        <v>45281</v>
      </c>
      <c r="B480" s="401">
        <f>IF(OR(WEEKDAY($A480)=7,WEEKDAY($A480)=1),"",IF(B479="",IF(B478="",B477,B478),B479)+IF(A$2=TRUE,IF(C479="",IF(C478="",C477,C478),C479)*2,IF(C479="",IF(C478="",C477,C478),C479)))</f>
        <v>90.35327362309221</v>
      </c>
      <c r="C480" s="402">
        <f>IF(B480="","",B480*F$6)</f>
        <v>0.0356016422904418</v>
      </c>
      <c r="D480" s="403">
        <f>IF(C480="","",(D$3*$C480)/$C$3)</f>
        <v>0.0459538928855348</v>
      </c>
      <c r="E480" s="403">
        <f>IF(C480="","",D480-$C480)</f>
        <v>0.010352250595093</v>
      </c>
      <c r="F480" s="404">
        <f>IF(B480="","",C480/B480)</f>
        <v>0.000394027143266039</v>
      </c>
      <c r="G480" s="408"/>
    </row>
    <row r="481" ht="20.05" customHeight="1">
      <c r="A481" s="400">
        <v>45282</v>
      </c>
      <c r="B481" s="401">
        <f>IF(OR(WEEKDAY($A481)=7,WEEKDAY($A481)=1),"",IF(B480="",IF(B479="",B478,B479),B480)+IF(A$2=TRUE,IF(C480="",IF(C479="",C478,C479),C480)*2,IF(C480="",IF(C479="",C478,C479),C480)))</f>
        <v>90.4244769076731</v>
      </c>
      <c r="C481" s="402">
        <f>IF(B481="","",B481*F$6)</f>
        <v>0.0356296983172563</v>
      </c>
      <c r="D481" s="403">
        <f>IF(C481="","",(D$3*$C481)/$C$3)</f>
        <v>0.045990107047806</v>
      </c>
      <c r="E481" s="403">
        <f>IF(C481="","",D481-$C481)</f>
        <v>0.0103604087305497</v>
      </c>
      <c r="F481" s="404">
        <f>IF(B481="","",C481/B481)</f>
        <v>0.000394027143266039</v>
      </c>
      <c r="G481" s="408"/>
    </row>
    <row r="482" ht="20.05" customHeight="1">
      <c r="A482" s="400">
        <v>45283</v>
      </c>
      <c r="B482" t="s" s="405">
        <f>IF(OR(WEEKDAY($A482)=7,WEEKDAY($A482)=1),"",IF(B481="",IF(B480="",B479,B480),B481)+IF(A$2=TRUE,IF(C481="",IF(C480="",C479,C480),C481)*2,IF(C481="",IF(C480="",C479,C480),C481)))</f>
      </c>
      <c r="C482" t="s" s="406">
        <f>IF(B482="","",B482*F$6)</f>
      </c>
      <c r="D482" t="s" s="406">
        <f>IF(C482="","",(D$3*$C482)/$C$3)</f>
      </c>
      <c r="E482" t="s" s="406">
        <f>IF(C482="","",D482-$C482)</f>
      </c>
      <c r="F482" t="s" s="406">
        <f>IF(B482="","",C482/B482)</f>
      </c>
      <c r="G482" s="408"/>
    </row>
    <row r="483" ht="20.05" customHeight="1">
      <c r="A483" s="400">
        <v>45284</v>
      </c>
      <c r="B483" t="s" s="405">
        <f>IF(OR(WEEKDAY($A483)=7,WEEKDAY($A483)=1),"",IF(B482="",IF(B481="",B480,B481),B482)+IF(A$2=TRUE,IF(C482="",IF(C481="",C480,C481),C482)*2,IF(C482="",IF(C481="",C480,C481),C482)))</f>
      </c>
      <c r="C483" t="s" s="406">
        <f>IF(B483="","",B483*F$6)</f>
      </c>
      <c r="D483" t="s" s="406">
        <f>IF(C483="","",(D$3*$C483)/$C$3)</f>
      </c>
      <c r="E483" t="s" s="406">
        <f>IF(C483="","",D483-$C483)</f>
      </c>
      <c r="F483" t="s" s="406">
        <f>IF(B483="","",C483/B483)</f>
      </c>
      <c r="G483" s="408"/>
    </row>
    <row r="484" ht="20.05" customHeight="1">
      <c r="A484" s="400">
        <v>45285</v>
      </c>
      <c r="B484" s="401">
        <f>IF(OR(WEEKDAY($A484)=7,WEEKDAY($A484)=1),"",IF(B483="",IF(B482="",B481,B482),B483)+IF(A$2=TRUE,IF(C483="",IF(C482="",C481,C482),C483)*2,IF(C483="",IF(C482="",C481,C482),C483)))</f>
        <v>90.4957363043076</v>
      </c>
      <c r="C484" s="402">
        <f>IF(B484="","",B484*F$6)</f>
        <v>0.0356577764537431</v>
      </c>
      <c r="D484" s="403">
        <f>IF(C484="","",(D$3*$C484)/$C$3)</f>
        <v>0.0460263497488032</v>
      </c>
      <c r="E484" s="403">
        <f>IF(C484="","",D484-$C484)</f>
        <v>0.0103685732950601</v>
      </c>
      <c r="F484" s="404">
        <f>IF(B484="","",C484/B484)</f>
        <v>0.000394027143266039</v>
      </c>
      <c r="G484" s="408"/>
    </row>
    <row r="485" ht="20.05" customHeight="1">
      <c r="A485" s="400">
        <v>45286</v>
      </c>
      <c r="B485" s="401">
        <f>IF(OR(WEEKDAY($A485)=7,WEEKDAY($A485)=1),"",IF(B484="",IF(B483="",B482,B483),B484)+IF(A$2=TRUE,IF(C484="",IF(C483="",C482,C483),C484)*2,IF(C484="",IF(C483="",C482,C483),C484)))</f>
        <v>90.56705185721511</v>
      </c>
      <c r="C485" s="402">
        <f>IF(B485="","",B485*F$6)</f>
        <v>0.0356858767173257</v>
      </c>
      <c r="D485" s="403">
        <f>IF(C485="","",(D$3*$C485)/$C$3)</f>
        <v>0.0460626210110162</v>
      </c>
      <c r="E485" s="403">
        <f>IF(C485="","",D485-$C485)</f>
        <v>0.0103767442936905</v>
      </c>
      <c r="F485" s="404">
        <f>IF(B485="","",C485/B485)</f>
        <v>0.000394027143266039</v>
      </c>
      <c r="G485" s="408"/>
    </row>
    <row r="486" ht="20.05" customHeight="1">
      <c r="A486" s="400">
        <v>45287</v>
      </c>
      <c r="B486" s="401">
        <f>IF(OR(WEEKDAY($A486)=7,WEEKDAY($A486)=1),"",IF(B485="",IF(B484="",B483,B484),B485)+IF(A$2=TRUE,IF(C485="",IF(C484="",C483,C484),C485)*2,IF(C485="",IF(C484="",C483,C484),C485)))-G152</f>
        <v>-30.5815763893502</v>
      </c>
      <c r="C486" s="402">
        <f>IF(B486="","",B486*F$6)</f>
        <v>-0.0120499711812678</v>
      </c>
      <c r="D486" s="403">
        <f>IF(C486="","",(D$3*$C486)/$C$3)</f>
        <v>-0.0155538635105726</v>
      </c>
      <c r="E486" s="403">
        <f>IF(C486="","",D486-$C486)</f>
        <v>-0.0035038923293048</v>
      </c>
      <c r="F486" s="404">
        <f>IF(B486="","",C486/B486)</f>
        <v>0.000394027143266039</v>
      </c>
      <c r="G486" s="408"/>
    </row>
    <row r="487" ht="20.05" customHeight="1">
      <c r="A487" s="400">
        <v>45288</v>
      </c>
      <c r="B487" s="401">
        <f>IF(OR(WEEKDAY($A487)=7,WEEKDAY($A487)=1),"",IF(B486="",IF(B485="",B484,B485),B486)+IF(A$2=TRUE,IF(C486="",IF(C485="",C484,C485),C486)*2,IF(C486="",IF(C485="",C484,C485),C486)))</f>
        <v>-30.6056763317127</v>
      </c>
      <c r="C487" s="402">
        <f>IF(B487="","",B487*F$6)</f>
        <v>-0.0120594672127098</v>
      </c>
      <c r="D487" s="403">
        <f>IF(C487="","",(D$3*$C487)/$C$3)</f>
        <v>-0.0155661207993843</v>
      </c>
      <c r="E487" s="403">
        <f>IF(C487="","",D487-$C487)</f>
        <v>-0.0035066535866745</v>
      </c>
      <c r="F487" s="404">
        <f>IF(B487="","",C487/B487)</f>
        <v>0.00039402714326604</v>
      </c>
      <c r="G487" s="408"/>
    </row>
    <row r="488" ht="20.05" customHeight="1">
      <c r="A488" s="400">
        <v>45289</v>
      </c>
      <c r="B488" s="401">
        <f>IF(OR(WEEKDAY($A488)=7,WEEKDAY($A488)=1),"",IF(B487="",IF(B486="",B485,B486),B487)+IF(A$2=TRUE,IF(C487="",IF(C486="",C485,C486),C487)*2,IF(C487="",IF(C486="",C485,C486),C487)))</f>
        <v>-30.6297952661381</v>
      </c>
      <c r="C488" s="402">
        <f>IF(B488="","",B488*F$6)</f>
        <v>-0.01206897072754</v>
      </c>
      <c r="D488" s="403">
        <f>IF(C488="","",(D$3*$C488)/$C$3)</f>
        <v>-0.0155783877476048</v>
      </c>
      <c r="E488" s="403">
        <f>IF(C488="","",D488-$C488)</f>
        <v>-0.0035094170200648</v>
      </c>
      <c r="F488" s="404">
        <f>IF(B488="","",C488/B488)</f>
        <v>0.000394027143266038</v>
      </c>
      <c r="G488" s="408"/>
    </row>
    <row r="489" ht="20.05" customHeight="1">
      <c r="A489" s="400">
        <v>45290</v>
      </c>
      <c r="B489" t="s" s="405">
        <f>IF(OR(WEEKDAY($A489)=7,WEEKDAY($A489)=1),"",IF(B488="",IF(B487="",B486,B487),B488)+IF(A$2=TRUE,IF(C488="",IF(C487="",C486,C487),C488)*2,IF(C488="",IF(C487="",C486,C487),C488)))</f>
      </c>
      <c r="C489" t="s" s="406">
        <f>IF(B489="","",B489*F$6)</f>
      </c>
      <c r="D489" t="s" s="406">
        <f>IF(C489="","",(D$3*$C489)/$C$3)</f>
      </c>
      <c r="E489" t="s" s="406">
        <f>IF(C489="","",D489-$C489)</f>
      </c>
      <c r="F489" t="s" s="406">
        <f>IF(B489="","",C489/B489)</f>
      </c>
      <c r="G489" s="408"/>
    </row>
    <row r="490" ht="20.05" customHeight="1">
      <c r="A490" s="400">
        <v>45291</v>
      </c>
      <c r="B490" t="s" s="405">
        <f>IF(OR(WEEKDAY($A490)=7,WEEKDAY($A490)=1),"",IF(B489="",IF(B488="",B487,B488),B489)+IF(A$2=TRUE,IF(C489="",IF(C488="",C487,C488),C489)*2,IF(C489="",IF(C488="",C487,C488),C489)))</f>
      </c>
      <c r="C490" t="s" s="406">
        <f>IF(B490="","",B490*F$6)</f>
      </c>
      <c r="D490" t="s" s="406">
        <f>IF(C490="","",(D$3*$C490)/$C$3)</f>
      </c>
      <c r="E490" t="s" s="406">
        <f>IF(C490="","",D490-$C490)</f>
      </c>
      <c r="F490" t="s" s="406">
        <f>IF(B490="","",C490/B490)</f>
      </c>
      <c r="G490" s="408"/>
    </row>
    <row r="491" ht="20.05" customHeight="1">
      <c r="A491" s="400">
        <v>45292</v>
      </c>
      <c r="B491" s="401">
        <f>IF(OR(WEEKDAY($A491)=7,WEEKDAY($A491)=1),"",IF(B490="",IF(B489="",B488,B489),B490)+IF(A$2=TRUE,IF(C490="",IF(C489="",C488,C489),C490)*2,IF(C490="",IF(C489="",C488,C489),C490)))</f>
        <v>-30.6539332075932</v>
      </c>
      <c r="C491" s="402">
        <f>IF(B491="","",B491*F$6)</f>
        <v>-0.0120784817316559</v>
      </c>
      <c r="D491" s="403">
        <f>IF(C491="","",(D$3*$C491)/$C$3)</f>
        <v>-0.0155906643628466</v>
      </c>
      <c r="E491" s="403">
        <f>IF(C491="","",D491-$C491)</f>
        <v>-0.0035121826311907</v>
      </c>
      <c r="F491" s="404">
        <f>IF(B491="","",C491/B491)</f>
        <v>0.000394027143266038</v>
      </c>
      <c r="G491" s="408"/>
    </row>
    <row r="492" ht="20.05" customHeight="1">
      <c r="A492" s="400">
        <v>45293</v>
      </c>
      <c r="B492" s="401">
        <f>IF(OR(WEEKDAY($A492)=7,WEEKDAY($A492)=1),"",IF(B491="",IF(B490="",B489,B490),B491)+IF(A$2=TRUE,IF(C491="",IF(C490="",C489,C490),C491)*2,IF(C491="",IF(C490="",C489,C490),C491)))</f>
        <v>-30.6780901710565</v>
      </c>
      <c r="C492" s="402">
        <f>IF(B492="","",B492*F$6)</f>
        <v>-0.0120880002309593</v>
      </c>
      <c r="D492" s="403">
        <f>IF(C492="","",(D$3*$C492)/$C$3)</f>
        <v>-0.0156029506527276</v>
      </c>
      <c r="E492" s="403">
        <f>IF(C492="","",D492-$C492)</f>
        <v>-0.0035149504217683</v>
      </c>
      <c r="F492" s="404">
        <f>IF(B492="","",C492/B492)</f>
        <v>0.000394027143266038</v>
      </c>
      <c r="G492" s="408"/>
    </row>
    <row r="493" ht="20.05" customHeight="1">
      <c r="A493" s="400">
        <v>45294</v>
      </c>
      <c r="B493" s="401">
        <f>IF(OR(WEEKDAY($A493)=7,WEEKDAY($A493)=1),"",IF(B492="",IF(B491="",B490,B491),B492)+IF(A$2=TRUE,IF(C492="",IF(C491="",C490,C491),C492)*2,IF(C492="",IF(C491="",C490,C491),C492)))</f>
        <v>-30.7022661715184</v>
      </c>
      <c r="C493" s="402">
        <f>IF(B493="","",B493*F$6)</f>
        <v>-0.0120975262313569</v>
      </c>
      <c r="D493" s="403">
        <f>IF(C493="","",(D$3*$C493)/$C$3)</f>
        <v>-0.015615246624872</v>
      </c>
      <c r="E493" s="403">
        <f>IF(C493="","",D493-$C493)</f>
        <v>-0.0035177203935151</v>
      </c>
      <c r="F493" s="404">
        <f>IF(B493="","",C493/B493)</f>
        <v>0.000394027143266038</v>
      </c>
      <c r="G493" s="408"/>
    </row>
    <row r="494" ht="20.05" customHeight="1">
      <c r="A494" s="400">
        <v>45295</v>
      </c>
      <c r="B494" s="401">
        <f>IF(OR(WEEKDAY($A494)=7,WEEKDAY($A494)=1),"",IF(B493="",IF(B492="",B491,B492),B493)+IF(A$2=TRUE,IF(C493="",IF(C492="",C491,C492),C493)*2,IF(C493="",IF(C492="",C491,C492),C493)))</f>
        <v>-30.7264612239811</v>
      </c>
      <c r="C494" s="402">
        <f>IF(B494="","",B494*F$6)</f>
        <v>-0.01210705973876</v>
      </c>
      <c r="D494" s="403">
        <f>IF(C494="","",(D$3*$C494)/$C$3)</f>
        <v>-0.0156275522869101</v>
      </c>
      <c r="E494" s="403">
        <f>IF(C494="","",D494-$C494)</f>
        <v>-0.0035204925481501</v>
      </c>
      <c r="F494" s="404">
        <f>IF(B494="","",C494/B494)</f>
        <v>0.000394027143266039</v>
      </c>
      <c r="G494" s="408"/>
    </row>
    <row r="495" ht="20.05" customHeight="1">
      <c r="A495" s="400">
        <v>45296</v>
      </c>
      <c r="B495" s="401">
        <f>IF(OR(WEEKDAY($A495)=7,WEEKDAY($A495)=1),"",IF(B494="",IF(B493="",B492,B493),B494)+IF(A$2=TRUE,IF(C494="",IF(C493="",C492,C493),C494)*2,IF(C494="",IF(C493="",C492,C493),C494)))</f>
        <v>-30.7506753434586</v>
      </c>
      <c r="C495" s="402">
        <f>IF(B495="","",B495*F$6)</f>
        <v>-0.0121166007590844</v>
      </c>
      <c r="D495" s="403">
        <f>IF(C495="","",(D$3*$C495)/$C$3)</f>
        <v>-0.0156398676464777</v>
      </c>
      <c r="E495" s="403">
        <f>IF(C495="","",D495-$C495)</f>
        <v>-0.0035232668873933</v>
      </c>
      <c r="F495" s="404">
        <f>IF(B495="","",C495/B495)</f>
        <v>0.000394027143266039</v>
      </c>
      <c r="G495" s="408"/>
    </row>
    <row r="496" ht="20.05" customHeight="1">
      <c r="A496" s="400">
        <v>45297</v>
      </c>
      <c r="B496" t="s" s="405">
        <f>IF(OR(WEEKDAY($A496)=7,WEEKDAY($A496)=1),"",IF(B495="",IF(B494="",B493,B494),B495)+IF(A$2=TRUE,IF(C495="",IF(C494="",C493,C494),C495)*2,IF(C495="",IF(C494="",C493,C494),C495)))</f>
      </c>
      <c r="C496" t="s" s="406">
        <f>IF(B496="","",B496*F$6)</f>
      </c>
      <c r="D496" t="s" s="406">
        <f>IF(C496="","",(D$3*$C496)/$C$3)</f>
      </c>
      <c r="E496" t="s" s="406">
        <f>IF(C496="","",D496-$C496)</f>
      </c>
      <c r="F496" t="s" s="406">
        <f>IF(B496="","",C496/B496)</f>
      </c>
      <c r="G496" s="408"/>
    </row>
    <row r="497" ht="20.05" customHeight="1">
      <c r="A497" s="400">
        <v>45298</v>
      </c>
      <c r="B497" t="s" s="405">
        <f>IF(OR(WEEKDAY($A497)=7,WEEKDAY($A497)=1),"",IF(B496="",IF(B495="",B494,B495),B496)+IF(A$2=TRUE,IF(C496="",IF(C495="",C494,C495),C496)*2,IF(C496="",IF(C495="",C494,C495),C496)))</f>
      </c>
      <c r="C497" t="s" s="406">
        <f>IF(B497="","",B497*F$6)</f>
      </c>
      <c r="D497" t="s" s="406">
        <f>IF(C497="","",(D$3*$C497)/$C$3)</f>
      </c>
      <c r="E497" t="s" s="406">
        <f>IF(C497="","",D497-$C497)</f>
      </c>
      <c r="F497" t="s" s="406">
        <f>IF(B497="","",C497/B497)</f>
      </c>
      <c r="G497" s="408"/>
    </row>
    <row r="498" ht="20.05" customHeight="1">
      <c r="A498" s="400">
        <v>45299</v>
      </c>
      <c r="B498" s="401">
        <f>IF(OR(WEEKDAY($A498)=7,WEEKDAY($A498)=1),"",IF(B497="",IF(B496="",B495,B496),B497)+IF(A$2=TRUE,IF(C497="",IF(C496="",C495,C496),C497)*2,IF(C497="",IF(C496="",C495,C496),C497)))</f>
        <v>-30.7749085449768</v>
      </c>
      <c r="C498" s="402">
        <f>IF(B498="","",B498*F$6)</f>
        <v>-0.0121261492982508</v>
      </c>
      <c r="D498" s="403">
        <f>IF(C498="","",(D$3*$C498)/$C$3)</f>
        <v>-0.0156521927112173</v>
      </c>
      <c r="E498" s="403">
        <f>IF(C498="","",D498-$C498)</f>
        <v>-0.0035260434129665</v>
      </c>
      <c r="F498" s="404">
        <f>IF(B498="","",C498/B498)</f>
        <v>0.000394027143266038</v>
      </c>
      <c r="G498" s="408"/>
    </row>
    <row r="499" ht="20.05" customHeight="1">
      <c r="A499" s="400">
        <v>45300</v>
      </c>
      <c r="B499" s="401">
        <f>IF(OR(WEEKDAY($A499)=7,WEEKDAY($A499)=1),"",IF(B498="",IF(B497="",B496,B497),B498)+IF(A$2=TRUE,IF(C498="",IF(C497="",C496,C497),C498)*2,IF(C498="",IF(C497="",C496,C497),C498)))</f>
        <v>-30.7991608435733</v>
      </c>
      <c r="C499" s="402">
        <f>IF(B499="","",B499*F$6)</f>
        <v>-0.0121357053621844</v>
      </c>
      <c r="D499" s="403">
        <f>IF(C499="","",(D$3*$C499)/$C$3)</f>
        <v>-0.015664527488777</v>
      </c>
      <c r="E499" s="403">
        <f>IF(C499="","",D499-$C499)</f>
        <v>-0.0035288221265926</v>
      </c>
      <c r="F499" s="404">
        <f>IF(B499="","",C499/B499)</f>
        <v>0.000394027143266038</v>
      </c>
      <c r="G499" s="408"/>
    </row>
    <row r="500" ht="20.05" customHeight="1">
      <c r="A500" s="400">
        <v>45301</v>
      </c>
      <c r="B500" s="401">
        <f>IF(OR(WEEKDAY($A500)=7,WEEKDAY($A500)=1),"",IF(B499="",IF(B498="",B497,B498),B499)+IF(A$2=TRUE,IF(C499="",IF(C498="",C497,C498),C499)*2,IF(C499="",IF(C498="",C497,C498),C499)))</f>
        <v>-30.8234322542977</v>
      </c>
      <c r="C500" s="402">
        <f>IF(B500="","",B500*F$6)</f>
        <v>-0.0121452689568152</v>
      </c>
      <c r="D500" s="403">
        <f>IF(C500="","",(D$3*$C500)/$C$3)</f>
        <v>-0.0156768719868111</v>
      </c>
      <c r="E500" s="403">
        <f>IF(C500="","",D500-$C500)</f>
        <v>-0.0035316030299959</v>
      </c>
      <c r="F500" s="404">
        <f>IF(B500="","",C500/B500)</f>
        <v>0.000394027143266039</v>
      </c>
      <c r="G500" s="408"/>
    </row>
    <row r="501" ht="20.05" customHeight="1">
      <c r="A501" s="400">
        <v>45302</v>
      </c>
      <c r="B501" s="401">
        <f>IF(OR(WEEKDAY($A501)=7,WEEKDAY($A501)=1),"",IF(B500="",IF(B499="",B498,B499),B500)+IF(A$2=TRUE,IF(C500="",IF(C499="",C498,C499),C500)*2,IF(C500="",IF(C499="",C498,C499),C500)))</f>
        <v>-30.8477227922113</v>
      </c>
      <c r="C501" s="402">
        <f>IF(B501="","",B501*F$6)</f>
        <v>-0.0121548400880777</v>
      </c>
      <c r="D501" s="403">
        <f>IF(C501="","",(D$3*$C501)/$C$3)</f>
        <v>-0.0156892262129797</v>
      </c>
      <c r="E501" s="403">
        <f>IF(C501="","",D501-$C501)</f>
        <v>-0.003534386124902</v>
      </c>
      <c r="F501" s="404">
        <f>IF(B501="","",C501/B501)</f>
        <v>0.000394027143266039</v>
      </c>
      <c r="G501" s="408"/>
    </row>
    <row r="502" ht="20.05" customHeight="1">
      <c r="A502" s="400">
        <v>45303</v>
      </c>
      <c r="B502" s="401">
        <f>IF(OR(WEEKDAY($A502)=7,WEEKDAY($A502)=1),"",IF(B501="",IF(B500="",B499,B500),B501)+IF(A$2=TRUE,IF(C501="",IF(C500="",C499,C500),C501)*2,IF(C501="",IF(C500="",C499,C500),C501)))</f>
        <v>-30.8720324723875</v>
      </c>
      <c r="C502" s="402">
        <f>IF(B502="","",B502*F$6)</f>
        <v>-0.0121644187619112</v>
      </c>
      <c r="D502" s="403">
        <f>IF(C502="","",(D$3*$C502)/$C$3)</f>
        <v>-0.0157015901749492</v>
      </c>
      <c r="E502" s="403">
        <f>IF(C502="","",D502-$C502)</f>
        <v>-0.003537171413038</v>
      </c>
      <c r="F502" s="404">
        <f>IF(B502="","",C502/B502)</f>
        <v>0.000394027143266038</v>
      </c>
      <c r="G502" s="408"/>
    </row>
    <row r="503" ht="20.05" customHeight="1">
      <c r="A503" s="400">
        <v>45304</v>
      </c>
      <c r="B503" t="s" s="405">
        <f>IF(OR(WEEKDAY($A503)=7,WEEKDAY($A503)=1),"",IF(B502="",IF(B501="",B500,B501),B502)+IF(A$2=TRUE,IF(C502="",IF(C501="",C500,C501),C502)*2,IF(C502="",IF(C501="",C500,C501),C502)))</f>
      </c>
      <c r="C503" t="s" s="406">
        <f>IF(B503="","",B503*F$6)</f>
      </c>
      <c r="D503" t="s" s="406">
        <f>IF(C503="","",(D$3*$C503)/$C$3)</f>
      </c>
      <c r="E503" t="s" s="406">
        <f>IF(C503="","",D503-$C503)</f>
      </c>
      <c r="F503" t="s" s="406">
        <f>IF(B503="","",C503/B503)</f>
      </c>
      <c r="G503" s="408"/>
    </row>
    <row r="504" ht="20.05" customHeight="1">
      <c r="A504" s="400">
        <v>45305</v>
      </c>
      <c r="B504" t="s" s="405">
        <f>IF(OR(WEEKDAY($A504)=7,WEEKDAY($A504)=1),"",IF(B503="",IF(B502="",B501,B502),B503)+IF(A$2=TRUE,IF(C503="",IF(C502="",C501,C502),C503)*2,IF(C503="",IF(C502="",C501,C502),C503)))</f>
      </c>
      <c r="C504" t="s" s="406">
        <f>IF(B504="","",B504*F$6)</f>
      </c>
      <c r="D504" t="s" s="406">
        <f>IF(C504="","",(D$3*$C504)/$C$3)</f>
      </c>
      <c r="E504" t="s" s="406">
        <f>IF(C504="","",D504-$C504)</f>
      </c>
      <c r="F504" t="s" s="406">
        <f>IF(B504="","",C504/B504)</f>
      </c>
      <c r="G504" s="408"/>
    </row>
    <row r="505" ht="20.05" customHeight="1">
      <c r="A505" s="400">
        <v>45306</v>
      </c>
      <c r="B505" s="401">
        <f>IF(OR(WEEKDAY($A505)=7,WEEKDAY($A505)=1),"",IF(B504="",IF(B503="",B502,B503),B504)+IF(A$2=TRUE,IF(C504="",IF(C503="",C502,C503),C504)*2,IF(C504="",IF(C503="",C502,C503),C504)))</f>
        <v>-30.8963613099113</v>
      </c>
      <c r="C505" s="402">
        <f>IF(B505="","",B505*F$6)</f>
        <v>-0.0121740049842597</v>
      </c>
      <c r="D505" s="403">
        <f>IF(C505="","",(D$3*$C505)/$C$3)</f>
        <v>-0.015713963880392</v>
      </c>
      <c r="E505" s="403">
        <f>IF(C505="","",D505-$C505)</f>
        <v>-0.0035399588961323</v>
      </c>
      <c r="F505" s="404">
        <f>IF(B505="","",C505/B505)</f>
        <v>0.000394027143266038</v>
      </c>
      <c r="G505" s="408"/>
    </row>
    <row r="506" ht="20.05" customHeight="1">
      <c r="A506" s="400">
        <v>45307</v>
      </c>
      <c r="B506" s="401">
        <f>IF(OR(WEEKDAY($A506)=7,WEEKDAY($A506)=1),"",IF(B505="",IF(B504="",B503,B504),B505)+IF(A$2=TRUE,IF(C505="",IF(C504="",C503,C504),C505)*2,IF(C505="",IF(C504="",C503,C504),C505)))</f>
        <v>-30.9207093198798</v>
      </c>
      <c r="C506" s="402">
        <f>IF(B506="","",B506*F$6)</f>
        <v>-0.0121835987610718</v>
      </c>
      <c r="D506" s="403">
        <f>IF(C506="","",(D$3*$C506)/$C$3)</f>
        <v>-0.0157263473369863</v>
      </c>
      <c r="E506" s="403">
        <f>IF(C506="","",D506-$C506)</f>
        <v>-0.0035427485759145</v>
      </c>
      <c r="F506" s="404">
        <f>IF(B506="","",C506/B506)</f>
        <v>0.000394027143266038</v>
      </c>
      <c r="G506" s="408"/>
    </row>
    <row r="507" ht="20.05" customHeight="1">
      <c r="A507" s="400">
        <v>45308</v>
      </c>
      <c r="B507" s="401">
        <f>IF(OR(WEEKDAY($A507)=7,WEEKDAY($A507)=1),"",IF(B506="",IF(B505="",B504,B505),B506)+IF(A$2=TRUE,IF(C506="",IF(C505="",C504,C505),C506)*2,IF(C506="",IF(C505="",C504,C505),C506)))</f>
        <v>-30.9450765174019</v>
      </c>
      <c r="C507" s="402">
        <f>IF(B507="","",B507*F$6)</f>
        <v>-0.0121932000983009</v>
      </c>
      <c r="D507" s="403">
        <f>IF(C507="","",(D$3*$C507)/$C$3)</f>
        <v>-0.0157387405524168</v>
      </c>
      <c r="E507" s="403">
        <f>IF(C507="","",D507-$C507)</f>
        <v>-0.0035455404541159</v>
      </c>
      <c r="F507" s="404">
        <f>IF(B507="","",C507/B507)</f>
        <v>0.00039402714326604</v>
      </c>
      <c r="G507" s="408"/>
    </row>
    <row r="508" ht="20.05" customHeight="1">
      <c r="A508" s="400">
        <v>45309</v>
      </c>
      <c r="B508" s="401">
        <f>IF(OR(WEEKDAY($A508)=7,WEEKDAY($A508)=1),"",IF(B507="",IF(B506="",B505,B506),B507)+IF(A$2=TRUE,IF(C507="",IF(C506="",C505,C506),C507)*2,IF(C507="",IF(C506="",C505,C506),C507)))</f>
        <v>-30.9694629175985</v>
      </c>
      <c r="C508" s="402">
        <f>IF(B508="","",B508*F$6)</f>
        <v>-0.0122028090019049</v>
      </c>
      <c r="D508" s="403">
        <f>IF(C508="","",(D$3*$C508)/$C$3)</f>
        <v>-0.0157511435343737</v>
      </c>
      <c r="E508" s="403">
        <f>IF(C508="","",D508-$C508)</f>
        <v>-0.0035483345324688</v>
      </c>
      <c r="F508" s="404">
        <f>IF(B508="","",C508/B508)</f>
        <v>0.00039402714326604</v>
      </c>
      <c r="G508" s="408"/>
    </row>
    <row r="509" ht="20.05" customHeight="1">
      <c r="A509" s="400">
        <v>45310</v>
      </c>
      <c r="B509" s="401">
        <f>IF(OR(WEEKDAY($A509)=7,WEEKDAY($A509)=1),"",IF(B508="",IF(B507="",B506,B507),B508)+IF(A$2=TRUE,IF(C508="",IF(C507="",C506,C507),C508)*2,IF(C508="",IF(C507="",C506,C507),C508)))</f>
        <v>-30.9938685356023</v>
      </c>
      <c r="C509" s="402">
        <f>IF(B509="","",B509*F$6)</f>
        <v>-0.0122124254778465</v>
      </c>
      <c r="D509" s="403">
        <f>IF(C509="","",(D$3*$C509)/$C$3)</f>
        <v>-0.0157635562905536</v>
      </c>
      <c r="E509" s="403">
        <f>IF(C509="","",D509-$C509)</f>
        <v>-0.0035511308127071</v>
      </c>
      <c r="F509" s="404">
        <f>IF(B509="","",C509/B509)</f>
        <v>0.000394027143266038</v>
      </c>
      <c r="G509" s="408"/>
    </row>
    <row r="510" ht="20.05" customHeight="1">
      <c r="A510" s="400">
        <v>45311</v>
      </c>
      <c r="B510" t="s" s="405">
        <f>IF(OR(WEEKDAY($A510)=7,WEEKDAY($A510)=1),"",IF(B509="",IF(B508="",B507,B508),B509)+IF(A$2=TRUE,IF(C509="",IF(C508="",C507,C508),C509)*2,IF(C509="",IF(C508="",C507,C508),C509)))</f>
      </c>
      <c r="C510" t="s" s="406">
        <f>IF(B510="","",B510*F$6)</f>
      </c>
      <c r="D510" t="s" s="406">
        <f>IF(C510="","",(D$3*$C510)/$C$3)</f>
      </c>
      <c r="E510" t="s" s="406">
        <f>IF(C510="","",D510-$C510)</f>
      </c>
      <c r="F510" t="s" s="406">
        <f>IF(B510="","",C510/B510)</f>
      </c>
      <c r="G510" s="408"/>
    </row>
    <row r="511" ht="20.05" customHeight="1">
      <c r="A511" s="400">
        <v>45312</v>
      </c>
      <c r="B511" t="s" s="405">
        <f>IF(OR(WEEKDAY($A511)=7,WEEKDAY($A511)=1),"",IF(B510="",IF(B509="",B508,B509),B510)+IF(A$2=TRUE,IF(C510="",IF(C509="",C508,C509),C510)*2,IF(C510="",IF(C509="",C508,C509),C510)))</f>
      </c>
      <c r="C511" t="s" s="406">
        <f>IF(B511="","",B511*F$6)</f>
      </c>
      <c r="D511" t="s" s="406">
        <f>IF(C511="","",(D$3*$C511)/$C$3)</f>
      </c>
      <c r="E511" t="s" s="406">
        <f>IF(C511="","",D511-$C511)</f>
      </c>
      <c r="F511" t="s" s="406">
        <f>IF(B511="","",C511/B511)</f>
      </c>
      <c r="G511" s="408"/>
    </row>
    <row r="512" ht="20.05" customHeight="1">
      <c r="A512" s="400">
        <v>45313</v>
      </c>
      <c r="B512" s="401">
        <f>IF(OR(WEEKDAY($A512)=7,WEEKDAY($A512)=1),"",IF(B511="",IF(B510="",B509,B510),B511)+IF(A$2=TRUE,IF(C511="",IF(C510="",C509,C510),C511)*2,IF(C511="",IF(C510="",C509,C510),C511)))</f>
        <v>-31.018293386558</v>
      </c>
      <c r="C512" s="402">
        <f>IF(B512="","",B512*F$6)</f>
        <v>-0.0122220495320933</v>
      </c>
      <c r="D512" s="403">
        <f>IF(C512="","",(D$3*$C512)/$C$3)</f>
        <v>-0.0157759788286594</v>
      </c>
      <c r="E512" s="403">
        <f>IF(C512="","",D512-$C512)</f>
        <v>-0.0035539292965661</v>
      </c>
      <c r="F512" s="404">
        <f>IF(B512="","",C512/B512)</f>
        <v>0.000394027143266038</v>
      </c>
      <c r="G512" s="408"/>
    </row>
    <row r="513" ht="20.05" customHeight="1">
      <c r="A513" s="400">
        <v>45314</v>
      </c>
      <c r="B513" s="401">
        <f>IF(OR(WEEKDAY($A513)=7,WEEKDAY($A513)=1),"",IF(B512="",IF(B511="",B510,B511),B512)+IF(A$2=TRUE,IF(C512="",IF(C511="",C510,C511),C512)*2,IF(C512="",IF(C511="",C510,C511),C512)))</f>
        <v>-31.0427374856222</v>
      </c>
      <c r="C513" s="402">
        <f>IF(B513="","",B513*F$6)</f>
        <v>-0.0122316811706173</v>
      </c>
      <c r="D513" s="403">
        <f>IF(C513="","",(D$3*$C513)/$C$3)</f>
        <v>-0.0157884111563996</v>
      </c>
      <c r="E513" s="403">
        <f>IF(C513="","",D513-$C513)</f>
        <v>-0.0035567299857823</v>
      </c>
      <c r="F513" s="404">
        <f>IF(B513="","",C513/B513)</f>
        <v>0.000394027143266039</v>
      </c>
      <c r="G513" s="408"/>
    </row>
    <row r="514" ht="20.05" customHeight="1">
      <c r="A514" s="400">
        <v>45315</v>
      </c>
      <c r="B514" s="401">
        <f>IF(OR(WEEKDAY($A514)=7,WEEKDAY($A514)=1),"",IF(B513="",IF(B512="",B511,B512),B513)+IF(A$2=TRUE,IF(C513="",IF(C512="",C511,C512),C513)*2,IF(C513="",IF(C512="",C511,C512),C513)))</f>
        <v>-31.0672008479634</v>
      </c>
      <c r="C514" s="402">
        <f>IF(B514="","",B514*F$6)</f>
        <v>-0.0122413203993953</v>
      </c>
      <c r="D514" s="403">
        <f>IF(C514="","",(D$3*$C514)/$C$3)</f>
        <v>-0.015800853281489</v>
      </c>
      <c r="E514" s="403">
        <f>IF(C514="","",D514-$C514)</f>
        <v>-0.0035595328820937</v>
      </c>
      <c r="F514" s="404">
        <f>IF(B514="","",C514/B514)</f>
        <v>0.00039402714326604</v>
      </c>
      <c r="G514" s="408"/>
    </row>
    <row r="515" ht="20.05" customHeight="1">
      <c r="A515" s="400">
        <v>45316</v>
      </c>
      <c r="B515" s="401">
        <f>IF(OR(WEEKDAY($A515)=7,WEEKDAY($A515)=1),"",IF(B514="",IF(B513="",B512,B513),B514)+IF(A$2=TRUE,IF(C514="",IF(C513="",C512,C513),C514)*2,IF(C514="",IF(C513="",C512,C513),C514)))</f>
        <v>-31.0916834887622</v>
      </c>
      <c r="C515" s="402">
        <f>IF(B515="","",B515*F$6)</f>
        <v>-0.0122509672244088</v>
      </c>
      <c r="D515" s="403">
        <f>IF(C515="","",(D$3*$C515)/$C$3)</f>
        <v>-0.0158133052116482</v>
      </c>
      <c r="E515" s="403">
        <f>IF(C515="","",D515-$C515)</f>
        <v>-0.0035623379872394</v>
      </c>
      <c r="F515" s="404">
        <f>IF(B515="","",C515/B515)</f>
        <v>0.000394027143266038</v>
      </c>
      <c r="G515" s="408"/>
    </row>
    <row r="516" ht="20.05" customHeight="1">
      <c r="A516" s="400">
        <v>45317</v>
      </c>
      <c r="B516" s="401">
        <f>IF(OR(WEEKDAY($A516)=7,WEEKDAY($A516)=1),"",IF(B515="",IF(B514="",B513,B514),B515)+IF(A$2=TRUE,IF(C515="",IF(C514="",C513,C514),C515)*2,IF(C515="",IF(C514="",C513,C514),C515)))</f>
        <v>-31.116185423211</v>
      </c>
      <c r="C516" s="402">
        <f>IF(B516="","",B516*F$6)</f>
        <v>-0.0122606216516442</v>
      </c>
      <c r="D516" s="403">
        <f>IF(C516="","",(D$3*$C516)/$C$3)</f>
        <v>-0.0158257669546046</v>
      </c>
      <c r="E516" s="403">
        <f>IF(C516="","",D516-$C516)</f>
        <v>-0.0035651453029604</v>
      </c>
      <c r="F516" s="404">
        <f>IF(B516="","",C516/B516)</f>
        <v>0.000394027143266039</v>
      </c>
      <c r="G516" s="408"/>
    </row>
    <row r="517" ht="20.05" customHeight="1">
      <c r="A517" s="400">
        <v>45318</v>
      </c>
      <c r="B517" t="s" s="405">
        <f>IF(OR(WEEKDAY($A517)=7,WEEKDAY($A517)=1),"",IF(B516="",IF(B515="",B514,B515),B516)+IF(A$2=TRUE,IF(C516="",IF(C515="",C514,C515),C516)*2,IF(C516="",IF(C515="",C514,C515),C516)))</f>
      </c>
      <c r="C517" t="s" s="406">
        <f>IF(B517="","",B517*F$6)</f>
      </c>
      <c r="D517" t="s" s="406">
        <f>IF(C517="","",(D$3*$C517)/$C$3)</f>
      </c>
      <c r="E517" t="s" s="406">
        <f>IF(C517="","",D517-$C517)</f>
      </c>
      <c r="F517" t="s" s="406">
        <f>IF(B517="","",C517/B517)</f>
      </c>
      <c r="G517" s="408"/>
    </row>
    <row r="518" ht="20.05" customHeight="1">
      <c r="A518" s="400">
        <v>45319</v>
      </c>
      <c r="B518" t="s" s="405">
        <f>IF(OR(WEEKDAY($A518)=7,WEEKDAY($A518)=1),"",IF(B517="",IF(B516="",B515,B516),B517)+IF(A$2=TRUE,IF(C517="",IF(C516="",C515,C516),C517)*2,IF(C517="",IF(C516="",C515,C516),C517)))</f>
      </c>
      <c r="C518" t="s" s="406">
        <f>IF(B518="","",B518*F$6)</f>
      </c>
      <c r="D518" t="s" s="406">
        <f>IF(C518="","",(D$3*$C518)/$C$3)</f>
      </c>
      <c r="E518" t="s" s="406">
        <f>IF(C518="","",D518-$C518)</f>
      </c>
      <c r="F518" t="s" s="406">
        <f>IF(B518="","",C518/B518)</f>
      </c>
      <c r="G518" s="408"/>
    </row>
    <row r="519" ht="20.05" customHeight="1">
      <c r="A519" s="400">
        <v>45320</v>
      </c>
      <c r="B519" s="401">
        <f>IF(OR(WEEKDAY($A519)=7,WEEKDAY($A519)=1),"",IF(B518="",IF(B517="",B516,B517),B518)+IF(A$2=TRUE,IF(C518="",IF(C517="",C516,C517),C518)*2,IF(C518="",IF(C517="",C516,C517),C518)))</f>
        <v>-31.1407066665143</v>
      </c>
      <c r="C519" s="402">
        <f>IF(B519="","",B519*F$6)</f>
        <v>-0.0122702836870923</v>
      </c>
      <c r="D519" s="403">
        <f>IF(C519="","",(D$3*$C519)/$C$3)</f>
        <v>-0.0158382385180908</v>
      </c>
      <c r="E519" s="403">
        <f>IF(C519="","",D519-$C519)</f>
        <v>-0.0035679548309985</v>
      </c>
      <c r="F519" s="404">
        <f>IF(B519="","",C519/B519)</f>
        <v>0.000394027143266038</v>
      </c>
      <c r="G519" s="408"/>
    </row>
    <row r="520" ht="20.05" customHeight="1">
      <c r="A520" s="400">
        <v>45321</v>
      </c>
      <c r="B520" s="401">
        <f>IF(OR(WEEKDAY($A520)=7,WEEKDAY($A520)=1),"",IF(B519="",IF(B518="",B517,B518),B519)+IF(A$2=TRUE,IF(C519="",IF(C518="",C517,C518),C519)*2,IF(C519="",IF(C518="",C517,C518),C519)))</f>
        <v>-31.1652472338885</v>
      </c>
      <c r="C520" s="402">
        <f>IF(B520="","",B520*F$6)</f>
        <v>-0.0122799533367489</v>
      </c>
      <c r="D520" s="403">
        <f>IF(C520="","",(D$3*$C520)/$C$3)</f>
        <v>-0.0158507199098461</v>
      </c>
      <c r="E520" s="403">
        <f>IF(C520="","",D520-$C520)</f>
        <v>-0.0035707665730972</v>
      </c>
      <c r="F520" s="404">
        <f>IF(B520="","",C520/B520)</f>
        <v>0.000394027143266039</v>
      </c>
      <c r="G520" s="408"/>
    </row>
    <row r="521" ht="20.05" customHeight="1">
      <c r="A521" s="400">
        <v>45322</v>
      </c>
      <c r="B521" s="401">
        <f>IF(OR(WEEKDAY($A521)=7,WEEKDAY($A521)=1),"",IF(B520="",IF(B519="",B518,B519),B520)+IF(A$2=TRUE,IF(C520="",IF(C519="",C518,C519),C520)*2,IF(C520="",IF(C519="",C518,C519),C520)))</f>
        <v>-31.189807140562</v>
      </c>
      <c r="C521" s="402">
        <f>IF(B521="","",B521*F$6)</f>
        <v>-0.0122896306066143</v>
      </c>
      <c r="D521" s="403">
        <f>IF(C521="","",(D$3*$C521)/$C$3)</f>
        <v>-0.0158632111376156</v>
      </c>
      <c r="E521" s="403">
        <f>IF(C521="","",D521-$C521)</f>
        <v>-0.0035735805310013</v>
      </c>
      <c r="F521" s="404">
        <f>IF(B521="","",C521/B521)</f>
        <v>0.000394027143266037</v>
      </c>
      <c r="G521" s="408"/>
    </row>
    <row r="522" ht="20.05" customHeight="1">
      <c r="A522" s="400">
        <v>45323</v>
      </c>
      <c r="B522" s="401">
        <f>IF(OR(WEEKDAY($A522)=7,WEEKDAY($A522)=1),"",IF(B521="",IF(B520="",B519,B520),B521)+IF(A$2=TRUE,IF(C521="",IF(C520="",C519,C520),C521)*2,IF(C521="",IF(C520="",C519,C520),C521)))</f>
        <v>-31.2143864017752</v>
      </c>
      <c r="C522" s="402">
        <f>IF(B522="","",B522*F$6)</f>
        <v>-0.0122993155026938</v>
      </c>
      <c r="D522" s="403">
        <f>IF(C522="","",(D$3*$C522)/$C$3)</f>
        <v>-0.0158757122091509</v>
      </c>
      <c r="E522" s="403">
        <f>IF(C522="","",D522-$C522)</f>
        <v>-0.0035763967064571</v>
      </c>
      <c r="F522" s="404">
        <f>IF(B522="","",C522/B522)</f>
        <v>0.00039402714326604</v>
      </c>
      <c r="G522" s="408"/>
    </row>
    <row r="523" ht="20.05" customHeight="1">
      <c r="A523" s="400">
        <v>45324</v>
      </c>
      <c r="B523" s="401">
        <f>IF(OR(WEEKDAY($A523)=7,WEEKDAY($A523)=1),"",IF(B522="",IF(B521="",B520,B521),B522)+IF(A$2=TRUE,IF(C522="",IF(C521="",C520,C521),C522)*2,IF(C522="",IF(C521="",C520,C521),C522)))</f>
        <v>-31.2389850327806</v>
      </c>
      <c r="C523" s="402">
        <f>IF(B523="","",B523*F$6)</f>
        <v>-0.0123090080309971</v>
      </c>
      <c r="D523" s="403">
        <f>IF(C523="","",(D$3*$C523)/$C$3)</f>
        <v>-0.015888223132209</v>
      </c>
      <c r="E523" s="403">
        <f>IF(C523="","",D523-$C523)</f>
        <v>-0.0035792151012119</v>
      </c>
      <c r="F523" s="404">
        <f>IF(B523="","",C523/B523)</f>
        <v>0.000394027143266039</v>
      </c>
      <c r="G523" s="408"/>
    </row>
    <row r="524" ht="20.05" customHeight="1">
      <c r="A524" s="400">
        <v>45325</v>
      </c>
      <c r="B524" t="s" s="405">
        <f>IF(OR(WEEKDAY($A524)=7,WEEKDAY($A524)=1),"",IF(B523="",IF(B522="",B521,B522),B523)+IF(A$2=TRUE,IF(C523="",IF(C522="",C521,C522),C523)*2,IF(C523="",IF(C522="",C521,C522),C523)))</f>
      </c>
      <c r="C524" t="s" s="406">
        <f>IF(B524="","",B524*F$6)</f>
      </c>
      <c r="D524" t="s" s="406">
        <f>IF(C524="","",(D$3*$C524)/$C$3)</f>
      </c>
      <c r="E524" t="s" s="406">
        <f>IF(C524="","",D524-$C524)</f>
      </c>
      <c r="F524" t="s" s="406">
        <f>IF(B524="","",C524/B524)</f>
      </c>
      <c r="G524" s="408"/>
    </row>
    <row r="525" ht="20.05" customHeight="1">
      <c r="A525" s="400">
        <v>45326</v>
      </c>
      <c r="B525" t="s" s="405">
        <f>IF(OR(WEEKDAY($A525)=7,WEEKDAY($A525)=1),"",IF(B524="",IF(B523="",B522,B523),B524)+IF(A$2=TRUE,IF(C524="",IF(C523="",C522,C523),C524)*2,IF(C524="",IF(C523="",C522,C523),C524)))</f>
      </c>
      <c r="C525" t="s" s="406">
        <f>IF(B525="","",B525*F$6)</f>
      </c>
      <c r="D525" t="s" s="406">
        <f>IF(C525="","",(D$3*$C525)/$C$3)</f>
      </c>
      <c r="E525" t="s" s="406">
        <f>IF(C525="","",D525-$C525)</f>
      </c>
      <c r="F525" t="s" s="406">
        <f>IF(B525="","",C525/B525)</f>
      </c>
      <c r="G525" s="408"/>
    </row>
    <row r="526" ht="20.05" customHeight="1">
      <c r="A526" s="400">
        <v>45327</v>
      </c>
      <c r="B526" s="401">
        <f>IF(OR(WEEKDAY($A526)=7,WEEKDAY($A526)=1),"",IF(B525="",IF(B524="",B523,B524),B525)+IF(A$2=TRUE,IF(C525="",IF(C524="",C523,C524),C525)*2,IF(C525="",IF(C524="",C523,C524),C525)))</f>
        <v>-31.2636030488426</v>
      </c>
      <c r="C526" s="402">
        <f>IF(B526="","",B526*F$6)</f>
        <v>-0.0123187081975389</v>
      </c>
      <c r="D526" s="403">
        <f>IF(C526="","",(D$3*$C526)/$C$3)</f>
        <v>-0.0159007439145538</v>
      </c>
      <c r="E526" s="403">
        <f>IF(C526="","",D526-$C526)</f>
        <v>-0.0035820357170149</v>
      </c>
      <c r="F526" s="404">
        <f>IF(B526="","",C526/B526)</f>
        <v>0.00039402714326604</v>
      </c>
      <c r="G526" s="408"/>
    </row>
    <row r="527" ht="20.05" customHeight="1">
      <c r="A527" s="400">
        <v>45328</v>
      </c>
      <c r="B527" s="401">
        <f>IF(OR(WEEKDAY($A527)=7,WEEKDAY($A527)=1),"",IF(B526="",IF(B525="",B524,B525),B526)+IF(A$2=TRUE,IF(C526="",IF(C525="",C524,C525),C526)*2,IF(C526="",IF(C525="",C524,C525),C526)))</f>
        <v>-31.2882404652377</v>
      </c>
      <c r="C527" s="402">
        <f>IF(B527="","",B527*F$6)</f>
        <v>-0.0123284160083385</v>
      </c>
      <c r="D527" s="403">
        <f>IF(C527="","",(D$3*$C527)/$C$3)</f>
        <v>-0.0159132745639547</v>
      </c>
      <c r="E527" s="403">
        <f>IF(C527="","",D527-$C527)</f>
        <v>-0.0035848585556162</v>
      </c>
      <c r="F527" s="404">
        <f>IF(B527="","",C527/B527)</f>
        <v>0.000394027143266039</v>
      </c>
      <c r="G527" s="408"/>
    </row>
    <row r="528" ht="20.05" customHeight="1">
      <c r="A528" s="400">
        <v>45329</v>
      </c>
      <c r="B528" s="401">
        <f>IF(OR(WEEKDAY($A528)=7,WEEKDAY($A528)=1),"",IF(B527="",IF(B526="",B525,B526),B527)+IF(A$2=TRUE,IF(C527="",IF(C526="",C525,C526),C527)*2,IF(C527="",IF(C526="",C525,C526),C527)))</f>
        <v>-31.3128972972544</v>
      </c>
      <c r="C528" s="402">
        <f>IF(B528="","",B528*F$6)</f>
        <v>-0.01233813146942</v>
      </c>
      <c r="D528" s="403">
        <f>IF(C528="","",(D$3*$C528)/$C$3)</f>
        <v>-0.0159258150881875</v>
      </c>
      <c r="E528" s="403">
        <f>IF(C528="","",D528-$C528)</f>
        <v>-0.0035876836187675</v>
      </c>
      <c r="F528" s="404">
        <f>IF(B528="","",C528/B528)</f>
        <v>0.000394027143266038</v>
      </c>
      <c r="G528" s="408"/>
    </row>
    <row r="529" ht="20.05" customHeight="1">
      <c r="A529" s="400">
        <v>45330</v>
      </c>
      <c r="B529" s="401">
        <f>IF(OR(WEEKDAY($A529)=7,WEEKDAY($A529)=1),"",IF(B528="",IF(B527="",B526,B527),B528)+IF(A$2=TRUE,IF(C528="",IF(C527="",C526,C527),C528)*2,IF(C528="",IF(C527="",C526,C527),C528)))</f>
        <v>-31.3375735601932</v>
      </c>
      <c r="C529" s="402">
        <f>IF(B529="","",B529*F$6)</f>
        <v>-0.0123478545868123</v>
      </c>
      <c r="D529" s="403">
        <f>IF(C529="","",(D$3*$C529)/$C$3)</f>
        <v>-0.0159383654950343</v>
      </c>
      <c r="E529" s="403">
        <f>IF(C529="","",D529-$C529)</f>
        <v>-0.003590510908222</v>
      </c>
      <c r="F529" s="404">
        <f>IF(B529="","",C529/B529)</f>
        <v>0.00039402714326604</v>
      </c>
      <c r="G529" s="408"/>
    </row>
    <row r="530" ht="20.05" customHeight="1">
      <c r="A530" s="400">
        <v>45331</v>
      </c>
      <c r="B530" s="401">
        <f>IF(OR(WEEKDAY($A530)=7,WEEKDAY($A530)=1),"",IF(B529="",IF(B528="",B527,B528),B529)+IF(A$2=TRUE,IF(C529="",IF(C528="",C527,C528),C529)*2,IF(C529="",IF(C528="",C527,C528),C529)))</f>
        <v>-31.3622692693668</v>
      </c>
      <c r="C530" s="402">
        <f>IF(B530="","",B530*F$6)</f>
        <v>-0.0123575853665489</v>
      </c>
      <c r="D530" s="403">
        <f>IF(C530="","",(D$3*$C530)/$C$3)</f>
        <v>-0.015950925792283</v>
      </c>
      <c r="E530" s="403">
        <f>IF(C530="","",D530-$C530)</f>
        <v>-0.0035933404257341</v>
      </c>
      <c r="F530" s="404">
        <f>IF(B530="","",C530/B530)</f>
        <v>0.000394027143266039</v>
      </c>
      <c r="G530" s="408"/>
    </row>
    <row r="531" ht="20.05" customHeight="1">
      <c r="A531" s="400">
        <v>45332</v>
      </c>
      <c r="B531" t="s" s="405">
        <f>IF(OR(WEEKDAY($A531)=7,WEEKDAY($A531)=1),"",IF(B530="",IF(B529="",B528,B529),B530)+IF(A$2=TRUE,IF(C530="",IF(C529="",C528,C529),C530)*2,IF(C530="",IF(C529="",C528,C529),C530)))</f>
      </c>
      <c r="C531" t="s" s="406">
        <f>IF(B531="","",B531*F$6)</f>
      </c>
      <c r="D531" t="s" s="406">
        <f>IF(C531="","",(D$3*$C531)/$C$3)</f>
      </c>
      <c r="E531" t="s" s="406">
        <f>IF(C531="","",D531-$C531)</f>
      </c>
      <c r="F531" t="s" s="406">
        <f>IF(B531="","",C531/B531)</f>
      </c>
      <c r="G531" s="408"/>
    </row>
    <row r="532" ht="20.05" customHeight="1">
      <c r="A532" s="400">
        <v>45333</v>
      </c>
      <c r="B532" t="s" s="405">
        <f>IF(OR(WEEKDAY($A532)=7,WEEKDAY($A532)=1),"",IF(B531="",IF(B530="",B529,B530),B531)+IF(A$2=TRUE,IF(C531="",IF(C530="",C529,C530),C531)*2,IF(C531="",IF(C530="",C529,C530),C531)))</f>
      </c>
      <c r="C532" t="s" s="406">
        <f>IF(B532="","",B532*F$6)</f>
      </c>
      <c r="D532" t="s" s="406">
        <f>IF(C532="","",(D$3*$C532)/$C$3)</f>
      </c>
      <c r="E532" t="s" s="406">
        <f>IF(C532="","",D532-$C532)</f>
      </c>
      <c r="F532" t="s" s="406">
        <f>IF(B532="","",C532/B532)</f>
      </c>
      <c r="G532" s="408"/>
    </row>
    <row r="533" ht="20.05" customHeight="1">
      <c r="A533" s="400">
        <v>45334</v>
      </c>
      <c r="B533" s="401">
        <f>IF(OR(WEEKDAY($A533)=7,WEEKDAY($A533)=1),"",IF(B532="",IF(B531="",B530,B531),B532)+IF(A$2=TRUE,IF(C532="",IF(C531="",C530,C531),C532)*2,IF(C532="",IF(C531="",C530,C531),C532)))</f>
        <v>-31.3869844400999</v>
      </c>
      <c r="C533" s="402">
        <f>IF(B533="","",B533*F$6)</f>
        <v>-0.0123673238146682</v>
      </c>
      <c r="D533" s="403">
        <f>IF(C533="","",(D$3*$C533)/$C$3)</f>
        <v>-0.0159634959877277</v>
      </c>
      <c r="E533" s="403">
        <f>IF(C533="","",D533-$C533)</f>
        <v>-0.0035961721730595</v>
      </c>
      <c r="F533" s="404">
        <f>IF(B533="","",C533/B533)</f>
        <v>0.00039402714326604</v>
      </c>
      <c r="G533" s="408"/>
    </row>
    <row r="534" ht="20.05" customHeight="1">
      <c r="A534" s="400">
        <v>45335</v>
      </c>
      <c r="B534" s="401">
        <f>IF(OR(WEEKDAY($A534)=7,WEEKDAY($A534)=1),"",IF(B533="",IF(B532="",B531,B532),B533)+IF(A$2=TRUE,IF(C533="",IF(C532="",C531,C532),C533)*2,IF(C533="",IF(C532="",C531,C532),C533)))</f>
        <v>-31.4117190877292</v>
      </c>
      <c r="C534" s="402">
        <f>IF(B534="","",B534*F$6)</f>
        <v>-0.0123770699372132</v>
      </c>
      <c r="D534" s="403">
        <f>IF(C534="","",(D$3*$C534)/$C$3)</f>
        <v>-0.0159760760891688</v>
      </c>
      <c r="E534" s="403">
        <f>IF(C534="","",D534-$C534)</f>
        <v>-0.0035990061519556</v>
      </c>
      <c r="F534" s="404">
        <f>IF(B534="","",C534/B534)</f>
        <v>0.000394027143266038</v>
      </c>
      <c r="G534" s="408"/>
    </row>
    <row r="535" ht="20.05" customHeight="1">
      <c r="A535" s="400">
        <v>45336</v>
      </c>
      <c r="B535" s="401">
        <f>IF(OR(WEEKDAY($A535)=7,WEEKDAY($A535)=1),"",IF(B534="",IF(B533="",B532,B533),B534)+IF(A$2=TRUE,IF(C534="",IF(C533="",C532,C533),C534)*2,IF(C534="",IF(C533="",C532,C533),C534)))</f>
        <v>-31.4364732276036</v>
      </c>
      <c r="C535" s="402">
        <f>IF(B535="","",B535*F$6)</f>
        <v>-0.012386823740232</v>
      </c>
      <c r="D535" s="403">
        <f>IF(C535="","",(D$3*$C535)/$C$3)</f>
        <v>-0.0159886661044129</v>
      </c>
      <c r="E535" s="403">
        <f>IF(C535="","",D535-$C535)</f>
        <v>-0.0036018423641809</v>
      </c>
      <c r="F535" s="404">
        <f>IF(B535="","",C535/B535)</f>
        <v>0.00039402714326604</v>
      </c>
      <c r="G535" s="408"/>
    </row>
    <row r="536" ht="20.05" customHeight="1">
      <c r="A536" s="400">
        <v>45337</v>
      </c>
      <c r="B536" s="401">
        <f>IF(OR(WEEKDAY($A536)=7,WEEKDAY($A536)=1),"",IF(B535="",IF(B534="",B533,B534),B535)+IF(A$2=TRUE,IF(C535="",IF(C534="",C533,C534),C535)*2,IF(C535="",IF(C534="",C533,C534),C535)))</f>
        <v>-31.4612468750841</v>
      </c>
      <c r="C536" s="402">
        <f>IF(B536="","",B536*F$6)</f>
        <v>-0.012396585229777</v>
      </c>
      <c r="D536" s="403">
        <f>IF(C536="","",(D$3*$C536)/$C$3)</f>
        <v>-0.0160012660412724</v>
      </c>
      <c r="E536" s="403">
        <f>IF(C536="","",D536-$C536)</f>
        <v>-0.0036046808114954</v>
      </c>
      <c r="F536" s="404">
        <f>IF(B536="","",C536/B536)</f>
        <v>0.000394027143266039</v>
      </c>
      <c r="G536" s="408"/>
    </row>
    <row r="537" ht="20.05" customHeight="1">
      <c r="A537" s="400">
        <v>45338</v>
      </c>
      <c r="B537" s="401">
        <f>IF(OR(WEEKDAY($A537)=7,WEEKDAY($A537)=1),"",IF(B536="",IF(B535="",B534,B535),B536)+IF(A$2=TRUE,IF(C536="",IF(C535="",C534,C535),C536)*2,IF(C536="",IF(C535="",C534,C535),C536)))</f>
        <v>-31.4860400455437</v>
      </c>
      <c r="C537" s="402">
        <f>IF(B537="","",B537*F$6)</f>
        <v>-0.0124063544119057</v>
      </c>
      <c r="D537" s="403">
        <f>IF(C537="","",(D$3*$C537)/$C$3)</f>
        <v>-0.0160138759075662</v>
      </c>
      <c r="E537" s="403">
        <f>IF(C537="","",D537-$C537)</f>
        <v>-0.0036075214956605</v>
      </c>
      <c r="F537" s="404">
        <f>IF(B537="","",C537/B537)</f>
        <v>0.000394027143266039</v>
      </c>
      <c r="G537" s="408"/>
    </row>
    <row r="538" ht="20.05" customHeight="1">
      <c r="A538" s="400">
        <v>45339</v>
      </c>
      <c r="B538" t="s" s="405">
        <f>IF(OR(WEEKDAY($A538)=7,WEEKDAY($A538)=1),"",IF(B537="",IF(B536="",B535,B536),B537)+IF(A$2=TRUE,IF(C537="",IF(C536="",C535,C536),C537)*2,IF(C537="",IF(C536="",C535,C536),C537)))</f>
      </c>
      <c r="C538" t="s" s="406">
        <f>IF(B538="","",B538*F$6)</f>
      </c>
      <c r="D538" t="s" s="406">
        <f>IF(C538="","",(D$3*$C538)/$C$3)</f>
      </c>
      <c r="E538" t="s" s="406">
        <f>IF(C538="","",D538-$C538)</f>
      </c>
      <c r="F538" t="s" s="406">
        <f>IF(B538="","",C538/B538)</f>
      </c>
      <c r="G538" s="408"/>
    </row>
    <row r="539" ht="20.05" customHeight="1">
      <c r="A539" s="400">
        <v>45340</v>
      </c>
      <c r="B539" t="s" s="405">
        <f>IF(OR(WEEKDAY($A539)=7,WEEKDAY($A539)=1),"",IF(B538="",IF(B537="",B536,B537),B538)+IF(A$2=TRUE,IF(C538="",IF(C537="",C536,C537),C538)*2,IF(C538="",IF(C537="",C536,C537),C538)))</f>
      </c>
      <c r="C539" t="s" s="406">
        <f>IF(B539="","",B539*F$6)</f>
      </c>
      <c r="D539" t="s" s="406">
        <f>IF(C539="","",(D$3*$C539)/$C$3)</f>
      </c>
      <c r="E539" t="s" s="406">
        <f>IF(C539="","",D539-$C539)</f>
      </c>
      <c r="F539" t="s" s="406">
        <f>IF(B539="","",C539/B539)</f>
      </c>
      <c r="G539" s="408"/>
    </row>
    <row r="540" ht="20.05" customHeight="1">
      <c r="A540" s="400">
        <v>45341</v>
      </c>
      <c r="B540" s="401">
        <f>IF(OR(WEEKDAY($A540)=7,WEEKDAY($A540)=1),"",IF(B539="",IF(B538="",B537,B538),B539)+IF(A$2=TRUE,IF(C539="",IF(C538="",C537,C538),C539)*2,IF(C539="",IF(C538="",C537,C538),C539)))</f>
        <v>-31.5108527543675</v>
      </c>
      <c r="C540" s="402">
        <f>IF(B540="","",B540*F$6)</f>
        <v>-0.0124161312926802</v>
      </c>
      <c r="D540" s="403">
        <f>IF(C540="","",(D$3*$C540)/$C$3)</f>
        <v>-0.0160264957111191</v>
      </c>
      <c r="E540" s="403">
        <f>IF(C540="","",D540-$C540)</f>
        <v>-0.0036103644184389</v>
      </c>
      <c r="F540" s="404">
        <f>IF(B540="","",C540/B540)</f>
        <v>0.000394027143266038</v>
      </c>
      <c r="G540" s="408"/>
    </row>
    <row r="541" ht="20.05" customHeight="1">
      <c r="A541" s="400">
        <v>45342</v>
      </c>
      <c r="B541" s="401">
        <f>IF(OR(WEEKDAY($A541)=7,WEEKDAY($A541)=1),"",IF(B540="",IF(B539="",B538,B539),B540)+IF(A$2=TRUE,IF(C540="",IF(C539="",C538,C539),C540)*2,IF(C540="",IF(C539="",C538,C539),C540)))</f>
        <v>-31.5356850169529</v>
      </c>
      <c r="C541" s="402">
        <f>IF(B541="","",B541*F$6)</f>
        <v>-0.0124259158781676</v>
      </c>
      <c r="D541" s="403">
        <f>IF(C541="","",(D$3*$C541)/$C$3)</f>
        <v>-0.0160391254597624</v>
      </c>
      <c r="E541" s="403">
        <f>IF(C541="","",D541-$C541)</f>
        <v>-0.0036132095815948</v>
      </c>
      <c r="F541" s="404">
        <f>IF(B541="","",C541/B541)</f>
        <v>0.00039402714326604</v>
      </c>
      <c r="G541" s="408"/>
    </row>
    <row r="542" ht="20.05" customHeight="1">
      <c r="A542" s="400">
        <v>45343</v>
      </c>
      <c r="B542" s="401">
        <f>IF(OR(WEEKDAY($A542)=7,WEEKDAY($A542)=1),"",IF(B541="",IF(B540="",B539,B540),B541)+IF(A$2=TRUE,IF(C541="",IF(C540="",C539,C540),C541)*2,IF(C541="",IF(C540="",C539,C540),C541)))</f>
        <v>-31.5605368487092</v>
      </c>
      <c r="C542" s="402">
        <f>IF(B542="","",B542*F$6)</f>
        <v>-0.0124357081744394</v>
      </c>
      <c r="D542" s="403">
        <f>IF(C542="","",(D$3*$C542)/$C$3)</f>
        <v>-0.0160517651613331</v>
      </c>
      <c r="E542" s="403">
        <f>IF(C542="","",D542-$C542)</f>
        <v>-0.0036160569868937</v>
      </c>
      <c r="F542" s="404">
        <f>IF(B542="","",C542/B542)</f>
        <v>0.000394027143266038</v>
      </c>
      <c r="G542" s="408"/>
    </row>
    <row r="543" ht="20.05" customHeight="1">
      <c r="A543" s="400">
        <v>45344</v>
      </c>
      <c r="B543" s="401">
        <f>IF(OR(WEEKDAY($A543)=7,WEEKDAY($A543)=1),"",IF(B542="",IF(B541="",B540,B541),B542)+IF(A$2=TRUE,IF(C542="",IF(C541="",C540,C541),C542)*2,IF(C542="",IF(C541="",C540,C541),C542)))</f>
        <v>-31.5854082650581</v>
      </c>
      <c r="C543" s="402">
        <f>IF(B543="","",B543*F$6)</f>
        <v>-0.0124455081875724</v>
      </c>
      <c r="D543" s="403">
        <f>IF(C543="","",(D$3*$C543)/$C$3)</f>
        <v>-0.016064414823675</v>
      </c>
      <c r="E543" s="403">
        <f>IF(C543="","",D543-$C543)</f>
        <v>-0.0036189066361026</v>
      </c>
      <c r="F543" s="404">
        <f>IF(B543="","",C543/B543)</f>
        <v>0.00039402714326604</v>
      </c>
      <c r="G543" s="408"/>
    </row>
    <row r="544" ht="20.05" customHeight="1">
      <c r="A544" s="400">
        <v>45345</v>
      </c>
      <c r="B544" s="401">
        <f>IF(OR(WEEKDAY($A544)=7,WEEKDAY($A544)=1),"",IF(B543="",IF(B542="",B541,B542),B543)+IF(A$2=TRUE,IF(C543="",IF(C542="",C541,C542),C543)*2,IF(C543="",IF(C542="",C541,C542),C543)))</f>
        <v>-31.6102992814332</v>
      </c>
      <c r="C544" s="402">
        <f>IF(B544="","",B544*F$6)</f>
        <v>-0.0124553159236476</v>
      </c>
      <c r="D544" s="403">
        <f>IF(C544="","",(D$3*$C544)/$C$3)</f>
        <v>-0.0160770744546373</v>
      </c>
      <c r="E544" s="403">
        <f>IF(C544="","",D544-$C544)</f>
        <v>-0.0036217585309897</v>
      </c>
      <c r="F544" s="404">
        <f>IF(B544="","",C544/B544)</f>
        <v>0.000394027143266037</v>
      </c>
      <c r="G544" s="408"/>
    </row>
    <row r="545" ht="20.05" customHeight="1">
      <c r="A545" s="400">
        <v>45346</v>
      </c>
      <c r="B545" t="s" s="405">
        <f>IF(OR(WEEKDAY($A545)=7,WEEKDAY($A545)=1),"",IF(B544="",IF(B543="",B542,B543),B544)+IF(A$2=TRUE,IF(C544="",IF(C543="",C542,C543),C544)*2,IF(C544="",IF(C543="",C542,C543),C544)))</f>
      </c>
      <c r="C545" t="s" s="406">
        <f>IF(B545="","",B545*F$6)</f>
      </c>
      <c r="D545" t="s" s="406">
        <f>IF(C545="","",(D$3*$C545)/$C$3)</f>
      </c>
      <c r="E545" t="s" s="406">
        <f>IF(C545="","",D545-$C545)</f>
      </c>
      <c r="F545" t="s" s="406">
        <f>IF(B545="","",C545/B545)</f>
      </c>
      <c r="G545" s="408"/>
    </row>
    <row r="546" ht="20.05" customHeight="1">
      <c r="A546" s="400">
        <v>45347</v>
      </c>
      <c r="B546" t="s" s="405">
        <f>IF(OR(WEEKDAY($A546)=7,WEEKDAY($A546)=1),"",IF(B545="",IF(B544="",B543,B544),B545)+IF(A$2=TRUE,IF(C545="",IF(C544="",C543,C544),C545)*2,IF(C545="",IF(C544="",C543,C544),C545)))</f>
      </c>
      <c r="C546" t="s" s="406">
        <f>IF(B546="","",B546*F$6)</f>
      </c>
      <c r="D546" t="s" s="406">
        <f>IF(C546="","",(D$3*$C546)/$C$3)</f>
      </c>
      <c r="E546" t="s" s="406">
        <f>IF(C546="","",D546-$C546)</f>
      </c>
      <c r="F546" t="s" s="406">
        <f>IF(B546="","",C546/B546)</f>
      </c>
      <c r="G546" s="408"/>
    </row>
    <row r="547" ht="20.05" customHeight="1">
      <c r="A547" s="400">
        <v>45348</v>
      </c>
      <c r="B547" s="401">
        <f>IF(OR(WEEKDAY($A547)=7,WEEKDAY($A547)=1),"",IF(B546="",IF(B545="",B544,B545),B546)+IF(A$2=TRUE,IF(C546="",IF(C545="",C544,C545),C546)*2,IF(C546="",IF(C545="",C544,C545),C546)))</f>
        <v>-31.6352099132805</v>
      </c>
      <c r="C547" s="402">
        <f>IF(B547="","",B547*F$6)</f>
        <v>-0.0124651313887514</v>
      </c>
      <c r="D547" s="403">
        <f>IF(C547="","",(D$3*$C547)/$C$3)</f>
        <v>-0.0160897440620763</v>
      </c>
      <c r="E547" s="403">
        <f>IF(C547="","",D547-$C547)</f>
        <v>-0.0036246126733249</v>
      </c>
      <c r="F547" s="404">
        <f>IF(B547="","",C547/B547)</f>
        <v>0.000394027143266039</v>
      </c>
      <c r="G547" s="408"/>
    </row>
    <row r="548" ht="20.05" customHeight="1">
      <c r="A548" s="400">
        <v>45349</v>
      </c>
      <c r="B548" s="401">
        <f>IF(OR(WEEKDAY($A548)=7,WEEKDAY($A548)=1),"",IF(B547="",IF(B546="",B545,B546),B547)+IF(A$2=TRUE,IF(C547="",IF(C546="",C545,C546),C547)*2,IF(C547="",IF(C546="",C545,C546),C547)))</f>
        <v>-31.660140176058</v>
      </c>
      <c r="C548" s="402">
        <f>IF(B548="","",B548*F$6)</f>
        <v>-0.0124749545889745</v>
      </c>
      <c r="D548" s="403">
        <f>IF(C548="","",(D$3*$C548)/$C$3)</f>
        <v>-0.0161024236538536</v>
      </c>
      <c r="E548" s="403">
        <f>IF(C548="","",D548-$C548)</f>
        <v>-0.0036274690648791</v>
      </c>
      <c r="F548" s="404">
        <f>IF(B548="","",C548/B548)</f>
        <v>0.00039402714326604</v>
      </c>
      <c r="G548" s="408"/>
    </row>
    <row r="549" ht="20.05" customHeight="1">
      <c r="A549" s="400">
        <v>45350</v>
      </c>
      <c r="B549" s="401">
        <f>IF(OR(WEEKDAY($A549)=7,WEEKDAY($A549)=1),"",IF(B548="",IF(B547="",B546,B547),B548)+IF(A$2=TRUE,IF(C548="",IF(C547="",C546,C547),C548)*2,IF(C548="",IF(C547="",C546,C547),C548)))</f>
        <v>-31.6850900852359</v>
      </c>
      <c r="C549" s="402">
        <f>IF(B549="","",B549*F$6)</f>
        <v>-0.0124847855304126</v>
      </c>
      <c r="D549" s="403">
        <f>IF(C549="","",(D$3*$C549)/$C$3)</f>
        <v>-0.0161151132378375</v>
      </c>
      <c r="E549" s="403">
        <f>IF(C549="","",D549-$C549)</f>
        <v>-0.0036303277074249</v>
      </c>
      <c r="F549" s="404">
        <f>IF(B549="","",C549/B549)</f>
        <v>0.000394027143266039</v>
      </c>
      <c r="G549" s="408"/>
    </row>
    <row r="550" ht="20.05" customHeight="1">
      <c r="A550" s="400">
        <v>45351</v>
      </c>
      <c r="B550" s="401">
        <f>IF(OR(WEEKDAY($A550)=7,WEEKDAY($A550)=1),"",IF(B549="",IF(B548="",B547,B548),B549)+IF(A$2=TRUE,IF(C549="",IF(C548="",C547,C548),C549)*2,IF(C549="",IF(C548="",C547,C548),C549)))</f>
        <v>-31.7100596562967</v>
      </c>
      <c r="C550" s="402">
        <f>IF(B550="","",B550*F$6)</f>
        <v>-0.0124946242191663</v>
      </c>
      <c r="D550" s="403">
        <f>IF(C550="","",(D$3*$C550)/$C$3)</f>
        <v>-0.0161278128219026</v>
      </c>
      <c r="E550" s="403">
        <f>IF(C550="","",D550-$C550)</f>
        <v>-0.0036331886027363</v>
      </c>
      <c r="F550" s="404">
        <f>IF(B550="","",C550/B550)</f>
        <v>0.00039402714326604</v>
      </c>
      <c r="G550" s="408"/>
    </row>
    <row r="551" ht="20.05" customHeight="1">
      <c r="A551" s="400">
        <v>45352</v>
      </c>
      <c r="B551" s="401">
        <f>IF(OR(WEEKDAY($A551)=7,WEEKDAY($A551)=1),"",IF(B550="",IF(B549="",B548,B549),B550)+IF(A$2=TRUE,IF(C550="",IF(C549="",C548,C549),C550)*2,IF(C550="",IF(C549="",C548,C549),C550)))</f>
        <v>-31.735048904735</v>
      </c>
      <c r="C551" s="402">
        <f>IF(B551="","",B551*F$6)</f>
        <v>-0.0125044706613408</v>
      </c>
      <c r="D551" s="403">
        <f>IF(C551="","",(D$3*$C551)/$C$3)</f>
        <v>-0.0161405224139293</v>
      </c>
      <c r="E551" s="403">
        <f>IF(C551="","",D551-$C551)</f>
        <v>-0.0036360517525885</v>
      </c>
      <c r="F551" s="404">
        <f>IF(B551="","",C551/B551)</f>
        <v>0.00039402714326604</v>
      </c>
      <c r="G551" s="408"/>
    </row>
    <row r="552" ht="20.05" customHeight="1">
      <c r="A552" s="400">
        <v>45353</v>
      </c>
      <c r="B552" t="s" s="405">
        <f>IF(OR(WEEKDAY($A552)=7,WEEKDAY($A552)=1),"",IF(B551="",IF(B550="",B549,B550),B551)+IF(A$2=TRUE,IF(C551="",IF(C550="",C549,C550),C551)*2,IF(C551="",IF(C550="",C549,C550),C551)))</f>
      </c>
      <c r="C552" t="s" s="406">
        <f>IF(B552="","",B552*F$6)</f>
      </c>
      <c r="D552" t="s" s="406">
        <f>IF(C552="","",(D$3*$C552)/$C$3)</f>
      </c>
      <c r="E552" t="s" s="406">
        <f>IF(C552="","",D552-$C552)</f>
      </c>
      <c r="F552" t="s" s="406">
        <f>IF(B552="","",C552/B552)</f>
      </c>
      <c r="G552" s="408"/>
    </row>
    <row r="553" ht="20.05" customHeight="1">
      <c r="A553" s="400">
        <v>45354</v>
      </c>
      <c r="B553" t="s" s="405">
        <f>IF(OR(WEEKDAY($A553)=7,WEEKDAY($A553)=1),"",IF(B552="",IF(B551="",B550,B551),B552)+IF(A$2=TRUE,IF(C552="",IF(C551="",C550,C551),C552)*2,IF(C552="",IF(C551="",C550,C551),C552)))</f>
      </c>
      <c r="C553" t="s" s="406">
        <f>IF(B553="","",B553*F$6)</f>
      </c>
      <c r="D553" t="s" s="406">
        <f>IF(C553="","",(D$3*$C553)/$C$3)</f>
      </c>
      <c r="E553" t="s" s="406">
        <f>IF(C553="","",D553-$C553)</f>
      </c>
      <c r="F553" t="s" s="406">
        <f>IF(B553="","",C553/B553)</f>
      </c>
      <c r="G553" s="408"/>
    </row>
    <row r="554" ht="20.05" customHeight="1">
      <c r="A554" s="400">
        <v>45355</v>
      </c>
      <c r="B554" s="401">
        <f>IF(OR(WEEKDAY($A554)=7,WEEKDAY($A554)=1),"",IF(B553="",IF(B552="",B551,B552),B553)+IF(A$2=TRUE,IF(C553="",IF(C552="",C551,C552),C553)*2,IF(C553="",IF(C552="",C551,C552),C553)))</f>
        <v>-31.7600578460577</v>
      </c>
      <c r="C554" s="402">
        <f>IF(B554="","",B554*F$6)</f>
        <v>-0.0125143248630463</v>
      </c>
      <c r="D554" s="403">
        <f>IF(C554="","",(D$3*$C554)/$C$3)</f>
        <v>-0.0161532420218044</v>
      </c>
      <c r="E554" s="403">
        <f>IF(C554="","",D554-$C554)</f>
        <v>-0.0036389171587581</v>
      </c>
      <c r="F554" s="404">
        <f>IF(B554="","",C554/B554)</f>
        <v>0.00039402714326604</v>
      </c>
      <c r="G554" s="408"/>
    </row>
    <row r="555" ht="20.05" customHeight="1">
      <c r="A555" s="400">
        <v>45356</v>
      </c>
      <c r="B555" s="401">
        <f>IF(OR(WEEKDAY($A555)=7,WEEKDAY($A555)=1),"",IF(B554="",IF(B553="",B552,B553),B554)+IF(A$2=TRUE,IF(C554="",IF(C553="",C552,C553),C554)*2,IF(C554="",IF(C553="",C552,C553),C554)))</f>
        <v>-31.7850864957838</v>
      </c>
      <c r="C555" s="402">
        <f>IF(B555="","",B555*F$6)</f>
        <v>-0.0125241868303976</v>
      </c>
      <c r="D555" s="403">
        <f>IF(C555="","",(D$3*$C555)/$C$3)</f>
        <v>-0.016165971653421</v>
      </c>
      <c r="E555" s="403">
        <f>IF(C555="","",D555-$C555)</f>
        <v>-0.0036417848230234</v>
      </c>
      <c r="F555" s="404">
        <f>IF(B555="","",C555/B555)</f>
        <v>0.000394027143266038</v>
      </c>
      <c r="G555" s="408"/>
    </row>
    <row r="556" ht="20.05" customHeight="1">
      <c r="A556" s="400">
        <v>45357</v>
      </c>
      <c r="B556" s="401">
        <f>IF(OR(WEEKDAY($A556)=7,WEEKDAY($A556)=1),"",IF(B555="",IF(B554="",B553,B554),B555)+IF(A$2=TRUE,IF(C555="",IF(C554="",C553,C554),C555)*2,IF(C555="",IF(C554="",C553,C554),C555)))</f>
        <v>-31.8101348694446</v>
      </c>
      <c r="C556" s="402">
        <f>IF(B556="","",B556*F$6)</f>
        <v>-0.0125340565695147</v>
      </c>
      <c r="D556" s="403">
        <f>IF(C556="","",(D$3*$C556)/$C$3)</f>
        <v>-0.0161787113166785</v>
      </c>
      <c r="E556" s="403">
        <f>IF(C556="","",D556-$C556)</f>
        <v>-0.0036446547471638</v>
      </c>
      <c r="F556" s="404">
        <f>IF(B556="","",C556/B556)</f>
        <v>0.00039402714326604</v>
      </c>
      <c r="G556" s="408"/>
    </row>
    <row r="557" ht="20.05" customHeight="1">
      <c r="A557" s="400">
        <v>45358</v>
      </c>
      <c r="B557" s="401">
        <f>IF(OR(WEEKDAY($A557)=7,WEEKDAY($A557)=1),"",IF(B556="",IF(B555="",B554,B555),B556)+IF(A$2=TRUE,IF(C556="",IF(C555="",C554,C555),C556)*2,IF(C556="",IF(C555="",C554,C555),C556)))</f>
        <v>-31.8352029825836</v>
      </c>
      <c r="C557" s="402">
        <f>IF(B557="","",B557*F$6)</f>
        <v>-0.0125439340865219</v>
      </c>
      <c r="D557" s="403">
        <f>IF(C557="","",(D$3*$C557)/$C$3)</f>
        <v>-0.0161914610194822</v>
      </c>
      <c r="E557" s="403">
        <f>IF(C557="","",D557-$C557)</f>
        <v>-0.0036475269329603</v>
      </c>
      <c r="F557" s="404">
        <f>IF(B557="","",C557/B557)</f>
        <v>0.000394027143266039</v>
      </c>
      <c r="G557" s="408"/>
    </row>
    <row r="558" ht="20.05" customHeight="1">
      <c r="A558" s="400">
        <v>45359</v>
      </c>
      <c r="B558" s="401">
        <f>IF(OR(WEEKDAY($A558)=7,WEEKDAY($A558)=1),"",IF(B557="",IF(B556="",B555,B556),B557)+IF(A$2=TRUE,IF(C557="",IF(C556="",C555,C556),C557)*2,IF(C557="",IF(C556="",C555,C556),C557)))</f>
        <v>-31.8602908507566</v>
      </c>
      <c r="C558" s="402">
        <f>IF(B558="","",B558*F$6)</f>
        <v>-0.0125538193875487</v>
      </c>
      <c r="D558" s="403">
        <f>IF(C558="","",(D$3*$C558)/$C$3)</f>
        <v>-0.0162042207697437</v>
      </c>
      <c r="E558" s="403">
        <f>IF(C558="","",D558-$C558)</f>
        <v>-0.003650401382195</v>
      </c>
      <c r="F558" s="404">
        <f>IF(B558="","",C558/B558)</f>
        <v>0.000394027143266038</v>
      </c>
      <c r="G558" s="408"/>
    </row>
    <row r="559" ht="20.05" customHeight="1">
      <c r="A559" s="400">
        <v>45360</v>
      </c>
      <c r="B559" t="s" s="405">
        <f>IF(OR(WEEKDAY($A559)=7,WEEKDAY($A559)=1),"",IF(B558="",IF(B557="",B556,B557),B558)+IF(A$2=TRUE,IF(C558="",IF(C557="",C556,C557),C558)*2,IF(C558="",IF(C557="",C556,C557),C558)))</f>
      </c>
      <c r="C559" t="s" s="406">
        <f>IF(B559="","",B559*F$6)</f>
      </c>
      <c r="D559" t="s" s="406">
        <f>IF(C559="","",(D$3*$C559)/$C$3)</f>
      </c>
      <c r="E559" t="s" s="406">
        <f>IF(C559="","",D559-$C559)</f>
      </c>
      <c r="F559" t="s" s="406">
        <f>IF(B559="","",C559/B559)</f>
      </c>
      <c r="G559" s="408"/>
    </row>
    <row r="560" ht="20.05" customHeight="1">
      <c r="A560" s="400">
        <v>45361</v>
      </c>
      <c r="B560" t="s" s="405">
        <f>IF(OR(WEEKDAY($A560)=7,WEEKDAY($A560)=1),"",IF(B559="",IF(B558="",B557,B558),B559)+IF(A$2=TRUE,IF(C559="",IF(C558="",C557,C558),C559)*2,IF(C559="",IF(C558="",C557,C558),C559)))</f>
      </c>
      <c r="C560" t="s" s="406">
        <f>IF(B560="","",B560*F$6)</f>
      </c>
      <c r="D560" t="s" s="406">
        <f>IF(C560="","",(D$3*$C560)/$C$3)</f>
      </c>
      <c r="E560" t="s" s="406">
        <f>IF(C560="","",D560-$C560)</f>
      </c>
      <c r="F560" t="s" s="406">
        <f>IF(B560="","",C560/B560)</f>
      </c>
      <c r="G560" s="408"/>
    </row>
    <row r="561" ht="20.05" customHeight="1">
      <c r="A561" s="400">
        <v>45362</v>
      </c>
      <c r="B561" s="401">
        <f>IF(OR(WEEKDAY($A561)=7,WEEKDAY($A561)=1),"",IF(B560="",IF(B559="",B558,B559),B560)+IF(A$2=TRUE,IF(C560="",IF(C559="",C558,C559),C560)*2,IF(C560="",IF(C559="",C558,C559),C560)))</f>
        <v>-31.8853984895317</v>
      </c>
      <c r="C561" s="402">
        <f>IF(B561="","",B561*F$6)</f>
        <v>-0.0125637124787295</v>
      </c>
      <c r="D561" s="403">
        <f>IF(C561="","",(D$3*$C561)/$C$3)</f>
        <v>-0.0162169905753813</v>
      </c>
      <c r="E561" s="403">
        <f>IF(C561="","",D561-$C561)</f>
        <v>-0.0036532780966518</v>
      </c>
      <c r="F561" s="404">
        <f>IF(B561="","",C561/B561)</f>
        <v>0.000394027143266041</v>
      </c>
      <c r="G561" s="408"/>
    </row>
    <row r="562" ht="20.05" customHeight="1">
      <c r="A562" s="400">
        <v>45363</v>
      </c>
      <c r="B562" s="401">
        <f>IF(OR(WEEKDAY($A562)=7,WEEKDAY($A562)=1),"",IF(B561="",IF(B560="",B559,B560),B561)+IF(A$2=TRUE,IF(C561="",IF(C560="",C559,C560),C561)*2,IF(C561="",IF(C560="",C559,C560),C561)))</f>
        <v>-31.9105259144892</v>
      </c>
      <c r="C562" s="402">
        <f>IF(B562="","",B562*F$6)</f>
        <v>-0.0125736133662031</v>
      </c>
      <c r="D562" s="403">
        <f>IF(C562="","",(D$3*$C562)/$C$3)</f>
        <v>-0.0162297704443189</v>
      </c>
      <c r="E562" s="403">
        <f>IF(C562="","",D562-$C562)</f>
        <v>-0.0036561570781158</v>
      </c>
      <c r="F562" s="404">
        <f>IF(B562="","",C562/B562)</f>
        <v>0.000394027143266039</v>
      </c>
      <c r="G562" s="408"/>
    </row>
    <row r="563" ht="20.05" customHeight="1">
      <c r="A563" s="400">
        <v>45364</v>
      </c>
      <c r="B563" s="401">
        <f>IF(OR(WEEKDAY($A563)=7,WEEKDAY($A563)=1),"",IF(B562="",IF(B561="",B560,B561),B562)+IF(A$2=TRUE,IF(C562="",IF(C561="",C560,C561),C562)*2,IF(C562="",IF(C561="",C560,C561),C562)))</f>
        <v>-31.9356731412216</v>
      </c>
      <c r="C563" s="402">
        <f>IF(B563="","",B563*F$6)</f>
        <v>-0.0125835220561135</v>
      </c>
      <c r="D563" s="403">
        <f>IF(C563="","",(D$3*$C563)/$C$3)</f>
        <v>-0.0162425603844869</v>
      </c>
      <c r="E563" s="403">
        <f>IF(C563="","",D563-$C563)</f>
        <v>-0.0036590383283734</v>
      </c>
      <c r="F563" s="404">
        <f>IF(B563="","",C563/B563)</f>
        <v>0.000394027143266038</v>
      </c>
      <c r="G563" s="408"/>
    </row>
    <row r="564" ht="20.05" customHeight="1">
      <c r="A564" s="400">
        <v>45365</v>
      </c>
      <c r="B564" s="401">
        <f>IF(OR(WEEKDAY($A564)=7,WEEKDAY($A564)=1),"",IF(B563="",IF(B562="",B561,B562),B563)+IF(A$2=TRUE,IF(C563="",IF(C562="",C561,C562),C563)*2,IF(C563="",IF(C562="",C561,C562),C563)))</f>
        <v>-31.9608401853338</v>
      </c>
      <c r="C564" s="402">
        <f>IF(B564="","",B564*F$6)</f>
        <v>-0.0125934385546095</v>
      </c>
      <c r="D564" s="403">
        <f>IF(C564="","",(D$3*$C564)/$C$3)</f>
        <v>-0.0162553604038222</v>
      </c>
      <c r="E564" s="403">
        <f>IF(C564="","",D564-$C564)</f>
        <v>-0.0036619218492127</v>
      </c>
      <c r="F564" s="404">
        <f>IF(B564="","",C564/B564)</f>
        <v>0.000394027143266039</v>
      </c>
      <c r="G564" s="408"/>
    </row>
    <row r="565" ht="20.05" customHeight="1">
      <c r="A565" s="400">
        <v>45366</v>
      </c>
      <c r="B565" s="401">
        <f>IF(OR(WEEKDAY($A565)=7,WEEKDAY($A565)=1),"",IF(B564="",IF(B563="",B562,B563),B564)+IF(A$2=TRUE,IF(C564="",IF(C563="",C562,C563),C564)*2,IF(C564="",IF(C563="",C562,C563),C564)))</f>
        <v>-31.986027062443</v>
      </c>
      <c r="C565" s="402">
        <f>IF(B565="","",B565*F$6)</f>
        <v>-0.0126033628678446</v>
      </c>
      <c r="D565" s="403">
        <f>IF(C565="","",(D$3*$C565)/$C$3)</f>
        <v>-0.0162681705102675</v>
      </c>
      <c r="E565" s="403">
        <f>IF(C565="","",D565-$C565)</f>
        <v>-0.0036648076424229</v>
      </c>
      <c r="F565" s="404">
        <f>IF(B565="","",C565/B565)</f>
        <v>0.000394027143266038</v>
      </c>
      <c r="G565" s="408"/>
    </row>
    <row r="566" ht="20.05" customHeight="1">
      <c r="A566" s="400">
        <v>45367</v>
      </c>
      <c r="B566" t="s" s="405">
        <f>IF(OR(WEEKDAY($A566)=7,WEEKDAY($A566)=1),"",IF(B565="",IF(B564="",B563,B564),B565)+IF(A$2=TRUE,IF(C565="",IF(C564="",C563,C564),C565)*2,IF(C565="",IF(C564="",C563,C564),C565)))</f>
      </c>
      <c r="C566" t="s" s="406">
        <f>IF(B566="","",B566*F$6)</f>
      </c>
      <c r="D566" t="s" s="406">
        <f>IF(C566="","",(D$3*$C566)/$C$3)</f>
      </c>
      <c r="E566" t="s" s="406">
        <f>IF(C566="","",D566-$C566)</f>
      </c>
      <c r="F566" t="s" s="406">
        <f>IF(B566="","",C566/B566)</f>
      </c>
      <c r="G566" s="408"/>
    </row>
    <row r="567" ht="20.05" customHeight="1">
      <c r="A567" s="400">
        <v>45368</v>
      </c>
      <c r="B567" t="s" s="405">
        <f>IF(OR(WEEKDAY($A567)=7,WEEKDAY($A567)=1),"",IF(B566="",IF(B565="",B564,B565),B566)+IF(A$2=TRUE,IF(C566="",IF(C565="",C564,C565),C566)*2,IF(C566="",IF(C565="",C564,C565),C566)))</f>
      </c>
      <c r="C567" t="s" s="406">
        <f>IF(B567="","",B567*F$6)</f>
      </c>
      <c r="D567" t="s" s="406">
        <f>IF(C567="","",(D$3*$C567)/$C$3)</f>
      </c>
      <c r="E567" t="s" s="406">
        <f>IF(C567="","",D567-$C567)</f>
      </c>
      <c r="F567" t="s" s="406">
        <f>IF(B567="","",C567/B567)</f>
      </c>
      <c r="G567" s="408"/>
    </row>
    <row r="568" ht="20.05" customHeight="1">
      <c r="A568" s="400">
        <v>45369</v>
      </c>
      <c r="B568" s="401">
        <f>IF(OR(WEEKDAY($A568)=7,WEEKDAY($A568)=1),"",IF(B567="",IF(B566="",B565,B566),B567)+IF(A$2=TRUE,IF(C567="",IF(C566="",C565,C566),C567)*2,IF(C567="",IF(C566="",C565,C566),C567)))</f>
        <v>-32.0112337881787</v>
      </c>
      <c r="C568" s="402">
        <f>IF(B568="","",B568*F$6)</f>
        <v>-0.0126132950019774</v>
      </c>
      <c r="D568" s="403">
        <f>IF(C568="","",(D$3*$C568)/$C$3)</f>
        <v>-0.0162809907117722</v>
      </c>
      <c r="E568" s="403">
        <f>IF(C568="","",D568-$C568)</f>
        <v>-0.0036676957097948</v>
      </c>
      <c r="F568" s="404">
        <f>IF(B568="","",C568/B568)</f>
        <v>0.00039402714326604</v>
      </c>
      <c r="G568" s="408"/>
    </row>
    <row r="569" ht="20.05" customHeight="1">
      <c r="A569" s="400">
        <v>45370</v>
      </c>
      <c r="B569" s="401">
        <f>IF(OR(WEEKDAY($A569)=7,WEEKDAY($A569)=1),"",IF(B568="",IF(B567="",B566,B567),B568)+IF(A$2=TRUE,IF(C568="",IF(C567="",C566,C567),C568)*2,IF(C568="",IF(C567="",C566,C567),C568)))</f>
        <v>-32.0364603781827</v>
      </c>
      <c r="C569" s="402">
        <f>IF(B569="","",B569*F$6)</f>
        <v>-0.012623234963171</v>
      </c>
      <c r="D569" s="403">
        <f>IF(C569="","",(D$3*$C569)/$C$3)</f>
        <v>-0.0162938210162916</v>
      </c>
      <c r="E569" s="403">
        <f>IF(C569="","",D569-$C569)</f>
        <v>-0.0036705860531206</v>
      </c>
      <c r="F569" s="404">
        <f>IF(B569="","",C569/B569)</f>
        <v>0.00039402714326604</v>
      </c>
      <c r="G569" s="408"/>
    </row>
    <row r="570" ht="20.05" customHeight="1">
      <c r="A570" s="400">
        <v>45371</v>
      </c>
      <c r="B570" s="401">
        <f>IF(OR(WEEKDAY($A570)=7,WEEKDAY($A570)=1),"",IF(B569="",IF(B568="",B567,B568),B569)+IF(A$2=TRUE,IF(C569="",IF(C568="",C567,C568),C569)*2,IF(C569="",IF(C568="",C567,C568),C569)))</f>
        <v>-32.061706848109</v>
      </c>
      <c r="C570" s="402">
        <f>IF(B570="","",B570*F$6)</f>
        <v>-0.0126331827575936</v>
      </c>
      <c r="D570" s="403">
        <f>IF(C570="","",(D$3*$C570)/$C$3)</f>
        <v>-0.0163066614317875</v>
      </c>
      <c r="E570" s="403">
        <f>IF(C570="","",D570-$C570)</f>
        <v>-0.0036734786741939</v>
      </c>
      <c r="F570" s="404">
        <f>IF(B570="","",C570/B570)</f>
        <v>0.000394027143266039</v>
      </c>
      <c r="G570" s="408"/>
    </row>
    <row r="571" ht="20.05" customHeight="1">
      <c r="A571" s="400">
        <v>45372</v>
      </c>
      <c r="B571" s="401">
        <f>IF(OR(WEEKDAY($A571)=7,WEEKDAY($A571)=1),"",IF(B570="",IF(B569="",B568,B569),B570)+IF(A$2=TRUE,IF(C570="",IF(C569="",C568,C569),C570)*2,IF(C570="",IF(C569="",C568,C569),C570)))</f>
        <v>-32.0869732136242</v>
      </c>
      <c r="C571" s="402">
        <f>IF(B571="","",B571*F$6)</f>
        <v>-0.0126431383914183</v>
      </c>
      <c r="D571" s="403">
        <f>IF(C571="","",(D$3*$C571)/$C$3)</f>
        <v>-0.0163195119662279</v>
      </c>
      <c r="E571" s="403">
        <f>IF(C571="","",D571-$C571)</f>
        <v>-0.0036763735748096</v>
      </c>
      <c r="F571" s="404">
        <f>IF(B571="","",C571/B571)</f>
        <v>0.00039402714326604</v>
      </c>
      <c r="G571" s="408"/>
    </row>
    <row r="572" ht="20.05" customHeight="1">
      <c r="A572" s="400">
        <v>45373</v>
      </c>
      <c r="B572" s="401">
        <f>IF(OR(WEEKDAY($A572)=7,WEEKDAY($A572)=1),"",IF(B571="",IF(B570="",B569,B570),B571)+IF(A$2=TRUE,IF(C571="",IF(C570="",C569,C570),C571)*2,IF(C571="",IF(C570="",C569,C570),C571)))</f>
        <v>-32.112259490407</v>
      </c>
      <c r="C572" s="402">
        <f>IF(B572="","",B572*F$6)</f>
        <v>-0.0126531018708228</v>
      </c>
      <c r="D572" s="403">
        <f>IF(C572="","",(D$3*$C572)/$C$3)</f>
        <v>-0.0163323726275869</v>
      </c>
      <c r="E572" s="403">
        <f>IF(C572="","",D572-$C572)</f>
        <v>-0.0036792707567641</v>
      </c>
      <c r="F572" s="404">
        <f>IF(B572="","",C572/B572)</f>
        <v>0.000394027143266038</v>
      </c>
      <c r="G572" s="408"/>
    </row>
    <row r="573" ht="20.05" customHeight="1">
      <c r="A573" s="400">
        <v>45374</v>
      </c>
      <c r="B573" t="s" s="405">
        <f>IF(OR(WEEKDAY($A573)=7,WEEKDAY($A573)=1),"",IF(B572="",IF(B571="",B570,B571),B572)+IF(A$2=TRUE,IF(C572="",IF(C571="",C570,C571),C572)*2,IF(C572="",IF(C571="",C570,C571),C572)))</f>
      </c>
      <c r="C573" t="s" s="406">
        <f>IF(B573="","",B573*F$6)</f>
      </c>
      <c r="D573" t="s" s="406">
        <f>IF(C573="","",(D$3*$C573)/$C$3)</f>
      </c>
      <c r="E573" t="s" s="406">
        <f>IF(C573="","",D573-$C573)</f>
      </c>
      <c r="F573" t="s" s="406">
        <f>IF(B573="","",C573/B573)</f>
      </c>
      <c r="G573" s="408"/>
    </row>
    <row r="574" ht="20.05" customHeight="1">
      <c r="A574" s="400">
        <v>45375</v>
      </c>
      <c r="B574" t="s" s="405">
        <f>IF(OR(WEEKDAY($A574)=7,WEEKDAY($A574)=1),"",IF(B573="",IF(B572="",B571,B572),B573)+IF(A$2=TRUE,IF(C573="",IF(C572="",C571,C572),C573)*2,IF(C573="",IF(C572="",C571,C572),C573)))</f>
      </c>
      <c r="C574" t="s" s="406">
        <f>IF(B574="","",B574*F$6)</f>
      </c>
      <c r="D574" t="s" s="406">
        <f>IF(C574="","",(D$3*$C574)/$C$3)</f>
      </c>
      <c r="E574" t="s" s="406">
        <f>IF(C574="","",D574-$C574)</f>
      </c>
      <c r="F574" t="s" s="406">
        <f>IF(B574="","",C574/B574)</f>
      </c>
      <c r="G574" s="408"/>
    </row>
    <row r="575" ht="20.05" customHeight="1">
      <c r="A575" s="400">
        <v>45376</v>
      </c>
      <c r="B575" s="401">
        <f>IF(OR(WEEKDAY($A575)=7,WEEKDAY($A575)=1),"",IF(B574="",IF(B573="",B572,B573),B574)+IF(A$2=TRUE,IF(C574="",IF(C573="",C572,C573),C574)*2,IF(C574="",IF(C573="",C572,C573),C574)))</f>
        <v>-32.1375656941486</v>
      </c>
      <c r="C575" s="402">
        <f>IF(B575="","",B575*F$6)</f>
        <v>-0.01266307320199</v>
      </c>
      <c r="D575" s="403">
        <f>IF(C575="","",(D$3*$C575)/$C$3)</f>
        <v>-0.0163452434238452</v>
      </c>
      <c r="E575" s="403">
        <f>IF(C575="","",D575-$C575)</f>
        <v>-0.0036821702218552</v>
      </c>
      <c r="F575" s="404">
        <f>IF(B575="","",C575/B575)</f>
        <v>0.000394027143266038</v>
      </c>
      <c r="G575" s="408"/>
    </row>
    <row r="576" ht="20.05" customHeight="1">
      <c r="A576" s="400">
        <v>45377</v>
      </c>
      <c r="B576" s="401">
        <f>IF(OR(WEEKDAY($A576)=7,WEEKDAY($A576)=1),"",IF(B575="",IF(B574="",B573,B574),B575)+IF(A$2=TRUE,IF(C575="",IF(C574="",C573,C574),C575)*2,IF(C575="",IF(C574="",C573,C574),C575)))</f>
        <v>-32.1628918405526</v>
      </c>
      <c r="C576" s="402">
        <f>IF(B576="","",B576*F$6)</f>
        <v>-0.0126730523911075</v>
      </c>
      <c r="D576" s="403">
        <f>IF(C576="","",(D$3*$C576)/$C$3)</f>
        <v>-0.0163581243629898</v>
      </c>
      <c r="E576" s="403">
        <f>IF(C576="","",D576-$C576)</f>
        <v>-0.0036850719718823</v>
      </c>
      <c r="F576" s="404">
        <f>IF(B576="","",C576/B576)</f>
        <v>0.000394027143266038</v>
      </c>
      <c r="G576" s="408"/>
    </row>
    <row r="577" ht="20.05" customHeight="1">
      <c r="A577" s="400">
        <v>45378</v>
      </c>
      <c r="B577" s="401">
        <f>IF(OR(WEEKDAY($A577)=7,WEEKDAY($A577)=1),"",IF(B576="",IF(B575="",B574,B575),B576)+IF(A$2=TRUE,IF(C576="",IF(C575="",C574,C575),C576)*2,IF(C576="",IF(C575="",C574,C575),C576)))</f>
        <v>-32.1882379453348</v>
      </c>
      <c r="C577" s="402">
        <f>IF(B577="","",B577*F$6)</f>
        <v>-0.0126830394443678</v>
      </c>
      <c r="D577" s="403">
        <f>IF(C577="","",(D$3*$C577)/$C$3)</f>
        <v>-0.0163710154530138</v>
      </c>
      <c r="E577" s="403">
        <f>IF(C577="","",D577-$C577)</f>
        <v>-0.003687976008646</v>
      </c>
      <c r="F577" s="404">
        <f>IF(B577="","",C577/B577)</f>
        <v>0.000394027143266039</v>
      </c>
      <c r="G577" s="408"/>
    </row>
    <row r="578" ht="20.05" customHeight="1">
      <c r="A578" s="400">
        <v>45379</v>
      </c>
      <c r="B578" s="401">
        <f>IF(OR(WEEKDAY($A578)=7,WEEKDAY($A578)=1),"",IF(B577="",IF(B576="",B575,B576),B577)+IF(A$2=TRUE,IF(C577="",IF(C576="",C575,C576),C577)*2,IF(C577="",IF(C576="",C575,C576),C577)))</f>
        <v>-32.2136040242235</v>
      </c>
      <c r="C578" s="402">
        <f>IF(B578="","",B578*F$6)</f>
        <v>-0.0126930343679682</v>
      </c>
      <c r="D578" s="403">
        <f>IF(C578="","",(D$3*$C578)/$C$3)</f>
        <v>-0.0163839167019164</v>
      </c>
      <c r="E578" s="403">
        <f>IF(C578="","",D578-$C578)</f>
        <v>-0.0036908823339482</v>
      </c>
      <c r="F578" s="404">
        <f>IF(B578="","",C578/B578)</f>
        <v>0.00039402714326604</v>
      </c>
      <c r="G578" s="408"/>
    </row>
    <row r="579" ht="20.05" customHeight="1">
      <c r="A579" s="400">
        <v>45380</v>
      </c>
      <c r="B579" s="401">
        <f>IF(OR(WEEKDAY($A579)=7,WEEKDAY($A579)=1),"",IF(B578="",IF(B577="",B576,B577),B578)+IF(A$2=TRUE,IF(C578="",IF(C577="",C576,C577),C578)*2,IF(C578="",IF(C577="",C576,C577),C578)))</f>
        <v>-32.2389900929594</v>
      </c>
      <c r="C579" s="402">
        <f>IF(B579="","",B579*F$6)</f>
        <v>-0.0127030371681109</v>
      </c>
      <c r="D579" s="403">
        <f>IF(C579="","",(D$3*$C579)/$C$3)</f>
        <v>-0.0163968281177034</v>
      </c>
      <c r="E579" s="403">
        <f>IF(C579="","",D579-$C579)</f>
        <v>-0.0036937909495925</v>
      </c>
      <c r="F579" s="404">
        <f>IF(B579="","",C579/B579)</f>
        <v>0.000394027143266038</v>
      </c>
      <c r="G579" s="408"/>
    </row>
    <row r="580" ht="20.05" customHeight="1">
      <c r="A580" s="400">
        <v>45381</v>
      </c>
      <c r="B580" t="s" s="405">
        <f>IF(OR(WEEKDAY($A580)=7,WEEKDAY($A580)=1),"",IF(B579="",IF(B578="",B577,B578),B579)+IF(A$2=TRUE,IF(C579="",IF(C578="",C577,C578),C579)*2,IF(C579="",IF(C578="",C577,C578),C579)))</f>
      </c>
      <c r="C580" t="s" s="406">
        <f>IF(B580="","",B580*F$6)</f>
      </c>
      <c r="D580" t="s" s="406">
        <f>IF(C580="","",(D$3*$C580)/$C$3)</f>
      </c>
      <c r="E580" t="s" s="406">
        <f>IF(C580="","",D580-$C580)</f>
      </c>
      <c r="F580" t="s" s="406">
        <f>IF(B580="","",C580/B580)</f>
      </c>
      <c r="G580" s="408"/>
    </row>
    <row r="581" ht="20.05" customHeight="1">
      <c r="A581" s="400">
        <v>45382</v>
      </c>
      <c r="B581" t="s" s="405">
        <f>IF(OR(WEEKDAY($A581)=7,WEEKDAY($A581)=1),"",IF(B580="",IF(B579="",B578,B579),B580)+IF(A$2=TRUE,IF(C580="",IF(C579="",C578,C579),C580)*2,IF(C580="",IF(C579="",C578,C579),C580)))</f>
      </c>
      <c r="C581" t="s" s="406">
        <f>IF(B581="","",B581*F$6)</f>
      </c>
      <c r="D581" t="s" s="406">
        <f>IF(C581="","",(D$3*$C581)/$C$3)</f>
      </c>
      <c r="E581" t="s" s="406">
        <f>IF(C581="","",D581-$C581)</f>
      </c>
      <c r="F581" t="s" s="406">
        <f>IF(B581="","",C581/B581)</f>
      </c>
      <c r="G581" s="408"/>
    </row>
    <row r="582" ht="20.05" customHeight="1">
      <c r="A582" s="400">
        <v>45383</v>
      </c>
      <c r="B582" s="401">
        <f>IF(OR(WEEKDAY($A582)=7,WEEKDAY($A582)=1),"",IF(B581="",IF(B580="",B579,B580),B581)+IF(A$2=TRUE,IF(C581="",IF(C580="",C579,C580),C581)*2,IF(C581="",IF(C580="",C579,C580),C581)))</f>
        <v>-32.2643961672956</v>
      </c>
      <c r="C582" s="402">
        <f>IF(B582="","",B582*F$6)</f>
        <v>-0.0127130478510032</v>
      </c>
      <c r="D582" s="403">
        <f>IF(C582="","",(D$3*$C582)/$C$3)</f>
        <v>-0.0164097497083871</v>
      </c>
      <c r="E582" s="403">
        <f>IF(C582="","",D582-$C582)</f>
        <v>-0.0036967018573839</v>
      </c>
      <c r="F582" s="404">
        <f>IF(B582="","",C582/B582)</f>
        <v>0.000394027143266038</v>
      </c>
      <c r="G582" s="408"/>
    </row>
    <row r="583" ht="20.05" customHeight="1">
      <c r="A583" s="400">
        <v>45384</v>
      </c>
      <c r="B583" s="401">
        <f>IF(OR(WEEKDAY($A583)=7,WEEKDAY($A583)=1),"",IF(B582="",IF(B581="",B580,B581),B582)+IF(A$2=TRUE,IF(C582="",IF(C581="",C580,C581),C582)*2,IF(C582="",IF(C581="",C580,C581),C582)))</f>
        <v>-32.2898222629976</v>
      </c>
      <c r="C583" s="402">
        <f>IF(B583="","",B583*F$6)</f>
        <v>-0.0127230664228571</v>
      </c>
      <c r="D583" s="403">
        <f>IF(C583="","",(D$3*$C583)/$C$3)</f>
        <v>-0.0164226814819858</v>
      </c>
      <c r="E583" s="403">
        <f>IF(C583="","",D583-$C583)</f>
        <v>-0.0036996150591287</v>
      </c>
      <c r="F583" s="404">
        <f>IF(B583="","",C583/B583)</f>
        <v>0.000394027143266039</v>
      </c>
      <c r="G583" s="408"/>
    </row>
    <row r="584" ht="20.05" customHeight="1">
      <c r="A584" s="400">
        <v>45385</v>
      </c>
      <c r="B584" s="401">
        <f>IF(OR(WEEKDAY($A584)=7,WEEKDAY($A584)=1),"",IF(B583="",IF(B582="",B581,B582),B583)+IF(A$2=TRUE,IF(C583="",IF(C582="",C581,C582),C583)*2,IF(C583="",IF(C582="",C581,C582),C583)))</f>
        <v>-32.3152683958433</v>
      </c>
      <c r="C584" s="402">
        <f>IF(B584="","",B584*F$6)</f>
        <v>-0.0127330928898895</v>
      </c>
      <c r="D584" s="403">
        <f>IF(C584="","",(D$3*$C584)/$C$3)</f>
        <v>-0.016435623446524</v>
      </c>
      <c r="E584" s="403">
        <f>IF(C584="","",D584-$C584)</f>
        <v>-0.0037025305566345</v>
      </c>
      <c r="F584" s="404">
        <f>IF(B584="","",C584/B584)</f>
        <v>0.000394027143266041</v>
      </c>
      <c r="G584" s="408"/>
    </row>
    <row r="585" ht="20.05" customHeight="1">
      <c r="A585" s="400">
        <v>45386</v>
      </c>
      <c r="B585" s="401">
        <f>IF(OR(WEEKDAY($A585)=7,WEEKDAY($A585)=1),"",IF(B584="",IF(B583="",B582,B583),B584)+IF(A$2=TRUE,IF(C584="",IF(C583="",C582,C583),C584)*2,IF(C584="",IF(C583="",C582,C583),C584)))</f>
        <v>-32.3407345816231</v>
      </c>
      <c r="C585" s="402">
        <f>IF(B585="","",B585*F$6)</f>
        <v>-0.0127431272583221</v>
      </c>
      <c r="D585" s="403">
        <f>IF(C585="","",(D$3*$C585)/$C$3)</f>
        <v>-0.0164485756100328</v>
      </c>
      <c r="E585" s="403">
        <f>IF(C585="","",D585-$C585)</f>
        <v>-0.0037054483517107</v>
      </c>
      <c r="F585" s="404">
        <f>IF(B585="","",C585/B585)</f>
        <v>0.000394027143266038</v>
      </c>
      <c r="G585" s="408"/>
    </row>
    <row r="586" ht="20.05" customHeight="1">
      <c r="A586" s="400">
        <v>45387</v>
      </c>
      <c r="B586" s="401">
        <f>IF(OR(WEEKDAY($A586)=7,WEEKDAY($A586)=1),"",IF(B585="",IF(B584="",B583,B584),B585)+IF(A$2=TRUE,IF(C585="",IF(C584="",C583,C584),C585)*2,IF(C585="",IF(C584="",C583,C584),C585)))</f>
        <v>-32.3662208361397</v>
      </c>
      <c r="C586" s="402">
        <f>IF(B586="","",B586*F$6)</f>
        <v>-0.0127531695343819</v>
      </c>
      <c r="D586" s="403">
        <f>IF(C586="","",(D$3*$C586)/$C$3)</f>
        <v>-0.0164615379805497</v>
      </c>
      <c r="E586" s="403">
        <f>IF(C586="","",D586-$C586)</f>
        <v>-0.0037083684461678</v>
      </c>
      <c r="F586" s="404">
        <f>IF(B586="","",C586/B586)</f>
        <v>0.00039402714326604</v>
      </c>
      <c r="G586" s="408"/>
    </row>
    <row r="587" ht="20.05" customHeight="1">
      <c r="A587" s="400">
        <v>45388</v>
      </c>
      <c r="B587" t="s" s="405">
        <f>IF(OR(WEEKDAY($A587)=7,WEEKDAY($A587)=1),"",IF(B586="",IF(B585="",B584,B585),B586)+IF(A$2=TRUE,IF(C586="",IF(C585="",C584,C585),C586)*2,IF(C586="",IF(C585="",C584,C585),C586)))</f>
      </c>
      <c r="C587" t="s" s="406">
        <f>IF(B587="","",B587*F$6)</f>
      </c>
      <c r="D587" t="s" s="406">
        <f>IF(C587="","",(D$3*$C587)/$C$3)</f>
      </c>
      <c r="E587" t="s" s="406">
        <f>IF(C587="","",D587-$C587)</f>
      </c>
      <c r="F587" t="s" s="406">
        <f>IF(B587="","",C587/B587)</f>
      </c>
      <c r="G587" s="408"/>
    </row>
    <row r="588" ht="20.05" customHeight="1">
      <c r="A588" s="400">
        <v>45389</v>
      </c>
      <c r="B588" t="s" s="405">
        <f>IF(OR(WEEKDAY($A588)=7,WEEKDAY($A588)=1),"",IF(B587="",IF(B586="",B585,B586),B587)+IF(A$2=TRUE,IF(C587="",IF(C586="",C585,C586),C587)*2,IF(C587="",IF(C586="",C585,C586),C587)))</f>
      </c>
      <c r="C588" t="s" s="406">
        <f>IF(B588="","",B588*F$6)</f>
      </c>
      <c r="D588" t="s" s="406">
        <f>IF(C588="","",(D$3*$C588)/$C$3)</f>
      </c>
      <c r="E588" t="s" s="406">
        <f>IF(C588="","",D588-$C588)</f>
      </c>
      <c r="F588" t="s" s="406">
        <f>IF(B588="","",C588/B588)</f>
      </c>
      <c r="G588" s="408"/>
    </row>
    <row r="589" ht="20.05" customHeight="1">
      <c r="A589" s="400">
        <v>45390</v>
      </c>
      <c r="B589" s="401">
        <f>IF(OR(WEEKDAY($A589)=7,WEEKDAY($A589)=1),"",IF(B588="",IF(B587="",B586,B587),B588)+IF(A$2=TRUE,IF(C588="",IF(C587="",C586,C587),C588)*2,IF(C588="",IF(C587="",C586,C587),C588)))</f>
        <v>-32.3917271752085</v>
      </c>
      <c r="C589" s="402">
        <f>IF(B589="","",B589*F$6)</f>
        <v>-0.0127632197243003</v>
      </c>
      <c r="D589" s="403">
        <f>IF(C589="","",(D$3*$C589)/$C$3)</f>
        <v>-0.0164745105661181</v>
      </c>
      <c r="E589" s="403">
        <f>IF(C589="","",D589-$C589)</f>
        <v>-0.0037112908418178</v>
      </c>
      <c r="F589" s="404">
        <f>IF(B589="","",C589/B589)</f>
        <v>0.000394027143266038</v>
      </c>
      <c r="G589" s="408"/>
    </row>
    <row r="590" ht="20.05" customHeight="1">
      <c r="A590" s="400">
        <v>45391</v>
      </c>
      <c r="B590" s="401">
        <f>IF(OR(WEEKDAY($A590)=7,WEEKDAY($A590)=1),"",IF(B589="",IF(B588="",B587,B588),B589)+IF(A$2=TRUE,IF(C589="",IF(C588="",C587,C588),C589)*2,IF(C589="",IF(C588="",C587,C588),C589)))</f>
        <v>-32.4172536146571</v>
      </c>
      <c r="C590" s="402">
        <f>IF(B590="","",B590*F$6)</f>
        <v>-0.012773277834314</v>
      </c>
      <c r="D590" s="403">
        <f>IF(C590="","",(D$3*$C590)/$C$3)</f>
        <v>-0.0164874933747883</v>
      </c>
      <c r="E590" s="403">
        <f>IF(C590="","",D590-$C590)</f>
        <v>-0.0037142155404743</v>
      </c>
      <c r="F590" s="404">
        <f>IF(B590="","",C590/B590)</f>
        <v>0.000394027143266039</v>
      </c>
      <c r="G590" s="408"/>
    </row>
    <row r="591" ht="20.05" customHeight="1">
      <c r="A591" s="400">
        <v>45392</v>
      </c>
      <c r="B591" s="401">
        <f>IF(OR(WEEKDAY($A591)=7,WEEKDAY($A591)=1),"",IF(B590="",IF(B589="",B588,B589),B590)+IF(A$2=TRUE,IF(C590="",IF(C589="",C588,C589),C590)*2,IF(C590="",IF(C589="",C588,C589),C590)))</f>
        <v>-32.4428001703257</v>
      </c>
      <c r="C591" s="402">
        <f>IF(B591="","",B591*F$6)</f>
        <v>-0.0127833438706644</v>
      </c>
      <c r="D591" s="403">
        <f>IF(C591="","",(D$3*$C591)/$C$3)</f>
        <v>-0.0165004864146165</v>
      </c>
      <c r="E591" s="403">
        <f>IF(C591="","",D591-$C591)</f>
        <v>-0.0037171425439521</v>
      </c>
      <c r="F591" s="404">
        <f>IF(B591="","",C591/B591)</f>
        <v>0.000394027143266039</v>
      </c>
      <c r="G591" s="408"/>
    </row>
    <row r="592" ht="20.05" customHeight="1">
      <c r="A592" s="400">
        <v>45393</v>
      </c>
      <c r="B592" s="401">
        <f>IF(OR(WEEKDAY($A592)=7,WEEKDAY($A592)=1),"",IF(B591="",IF(B590="",B589,B590),B591)+IF(A$2=TRUE,IF(C591="",IF(C590="",C589,C590),C591)*2,IF(C591="",IF(C590="",C589,C590),C591)))</f>
        <v>-32.468366858067</v>
      </c>
      <c r="C592" s="402">
        <f>IF(B592="","",B592*F$6)</f>
        <v>-0.0127934178395979</v>
      </c>
      <c r="D592" s="403">
        <f>IF(C592="","",(D$3*$C592)/$C$3)</f>
        <v>-0.0165134896936654</v>
      </c>
      <c r="E592" s="403">
        <f>IF(C592="","",D592-$C592)</f>
        <v>-0.0037200718540675</v>
      </c>
      <c r="F592" s="404">
        <f>IF(B592="","",C592/B592)</f>
        <v>0.00039402714326604</v>
      </c>
      <c r="G592" s="408"/>
    </row>
    <row r="593" ht="20.05" customHeight="1">
      <c r="A593" s="400">
        <v>45394</v>
      </c>
      <c r="B593" s="401">
        <f>IF(OR(WEEKDAY($A593)=7,WEEKDAY($A593)=1),"",IF(B592="",IF(B591="",B590,B591),B592)+IF(A$2=TRUE,IF(C592="",IF(C591="",C590,C591),C592)*2,IF(C592="",IF(C591="",C590,C591),C592)))</f>
        <v>-32.4939536937462</v>
      </c>
      <c r="C593" s="402">
        <f>IF(B593="","",B593*F$6)</f>
        <v>-0.0128034997473658</v>
      </c>
      <c r="D593" s="403">
        <f>IF(C593="","",(D$3*$C593)/$C$3)</f>
        <v>-0.0165265032200041</v>
      </c>
      <c r="E593" s="403">
        <f>IF(C593="","",D593-$C593)</f>
        <v>-0.0037230034726383</v>
      </c>
      <c r="F593" s="404">
        <f>IF(B593="","",C593/B593)</f>
        <v>0.00039402714326604</v>
      </c>
      <c r="G593" s="408"/>
    </row>
    <row r="594" ht="20.05" customHeight="1">
      <c r="A594" s="400">
        <v>45395</v>
      </c>
      <c r="B594" t="s" s="405">
        <f>IF(OR(WEEKDAY($A594)=7,WEEKDAY($A594)=1),"",IF(B593="",IF(B592="",B591,B592),B593)+IF(A$2=TRUE,IF(C593="",IF(C592="",C591,C592),C593)*2,IF(C593="",IF(C592="",C591,C592),C593)))</f>
      </c>
      <c r="C594" t="s" s="406">
        <f>IF(B594="","",B594*F$6)</f>
      </c>
      <c r="D594" t="s" s="406">
        <f>IF(C594="","",(D$3*$C594)/$C$3)</f>
      </c>
      <c r="E594" t="s" s="406">
        <f>IF(C594="","",D594-$C594)</f>
      </c>
      <c r="F594" t="s" s="406">
        <f>IF(B594="","",C594/B594)</f>
      </c>
      <c r="G594" s="408"/>
    </row>
    <row r="595" ht="20.05" customHeight="1">
      <c r="A595" s="400">
        <v>45396</v>
      </c>
      <c r="B595" t="s" s="405">
        <f>IF(OR(WEEKDAY($A595)=7,WEEKDAY($A595)=1),"",IF(B594="",IF(B593="",B592,B593),B594)+IF(A$2=TRUE,IF(C594="",IF(C593="",C592,C593),C594)*2,IF(C594="",IF(C593="",C592,C593),C594)))</f>
      </c>
      <c r="C595" t="s" s="406">
        <f>IF(B595="","",B595*F$6)</f>
      </c>
      <c r="D595" t="s" s="406">
        <f>IF(C595="","",(D$3*$C595)/$C$3)</f>
      </c>
      <c r="E595" t="s" s="406">
        <f>IF(C595="","",D595-$C595)</f>
      </c>
      <c r="F595" t="s" s="406">
        <f>IF(B595="","",C595/B595)</f>
      </c>
      <c r="G595" s="408"/>
    </row>
    <row r="596" ht="20.05" customHeight="1">
      <c r="A596" s="400">
        <v>45397</v>
      </c>
      <c r="B596" s="401">
        <f>IF(OR(WEEKDAY($A596)=7,WEEKDAY($A596)=1),"",IF(B595="",IF(B594="",B593,B594),B595)+IF(A$2=TRUE,IF(C595="",IF(C594="",C593,C594),C595)*2,IF(C595="",IF(C594="",C593,C594),C595)))</f>
        <v>-32.5195606932409</v>
      </c>
      <c r="C596" s="402">
        <f>IF(B596="","",B596*F$6)</f>
        <v>-0.0128135896002243</v>
      </c>
      <c r="D596" s="403">
        <f>IF(C596="","",(D$3*$C596)/$C$3)</f>
        <v>-0.016539527001708</v>
      </c>
      <c r="E596" s="403">
        <f>IF(C596="","",D596-$C596)</f>
        <v>-0.0037259374014837</v>
      </c>
      <c r="F596" s="404">
        <f>IF(B596="","",C596/B596)</f>
        <v>0.00039402714326604</v>
      </c>
      <c r="G596" s="408"/>
    </row>
    <row r="597" ht="20.05" customHeight="1">
      <c r="A597" s="400">
        <v>45398</v>
      </c>
      <c r="B597" s="401">
        <f>IF(OR(WEEKDAY($A597)=7,WEEKDAY($A597)=1),"",IF(B596="",IF(B595="",B594,B595),B596)+IF(A$2=TRUE,IF(C596="",IF(C595="",C594,C595),C596)*2,IF(C596="",IF(C595="",C594,C595),C596)))</f>
        <v>-32.5451878724413</v>
      </c>
      <c r="C597" s="402">
        <f>IF(B597="","",B597*F$6)</f>
        <v>-0.0128236874044346</v>
      </c>
      <c r="D597" s="403">
        <f>IF(C597="","",(D$3*$C597)/$C$3)</f>
        <v>-0.0165525610468588</v>
      </c>
      <c r="E597" s="403">
        <f>IF(C597="","",D597-$C597)</f>
        <v>-0.0037288736424242</v>
      </c>
      <c r="F597" s="404">
        <f>IF(B597="","",C597/B597)</f>
        <v>0.00039402714326604</v>
      </c>
      <c r="G597" s="408"/>
    </row>
    <row r="598" ht="20.05" customHeight="1">
      <c r="A598" s="400">
        <v>45399</v>
      </c>
      <c r="B598" s="401">
        <f>IF(OR(WEEKDAY($A598)=7,WEEKDAY($A598)=1),"",IF(B597="",IF(B596="",B595,B596),B597)+IF(A$2=TRUE,IF(C597="",IF(C596="",C595,C596),C597)*2,IF(C597="",IF(C596="",C595,C596),C597)))</f>
        <v>-32.5708352472502</v>
      </c>
      <c r="C598" s="402">
        <f>IF(B598="","",B598*F$6)</f>
        <v>-0.0128337931662628</v>
      </c>
      <c r="D598" s="403">
        <f>IF(C598="","",(D$3*$C598)/$C$3)</f>
        <v>-0.0165656053635449</v>
      </c>
      <c r="E598" s="403">
        <f>IF(C598="","",D598-$C598)</f>
        <v>-0.0037318121972821</v>
      </c>
      <c r="F598" s="404">
        <f>IF(B598="","",C598/B598)</f>
        <v>0.000394027143266039</v>
      </c>
      <c r="G598" s="408"/>
    </row>
    <row r="599" ht="20.05" customHeight="1">
      <c r="A599" s="400">
        <v>45400</v>
      </c>
      <c r="B599" s="401">
        <f>IF(OR(WEEKDAY($A599)=7,WEEKDAY($A599)=1),"",IF(B598="",IF(B597="",B596,B597),B598)+IF(A$2=TRUE,IF(C598="",IF(C597="",C596,C597),C598)*2,IF(C598="",IF(C597="",C596,C597),C598)))</f>
        <v>-32.5965028335827</v>
      </c>
      <c r="C599" s="402">
        <f>IF(B599="","",B599*F$6)</f>
        <v>-0.0128439068919799</v>
      </c>
      <c r="D599" s="403">
        <f>IF(C599="","",(D$3*$C599)/$C$3)</f>
        <v>-0.0165786599598606</v>
      </c>
      <c r="E599" s="403">
        <f>IF(C599="","",D599-$C599)</f>
        <v>-0.0037347530678807</v>
      </c>
      <c r="F599" s="404">
        <f>IF(B599="","",C599/B599)</f>
        <v>0.000394027143266038</v>
      </c>
      <c r="G599" s="408"/>
    </row>
    <row r="600" ht="20.05" customHeight="1">
      <c r="A600" s="400">
        <v>45401</v>
      </c>
      <c r="B600" s="401">
        <f>IF(OR(WEEKDAY($A600)=7,WEEKDAY($A600)=1),"",IF(B599="",IF(B598="",B597,B598),B599)+IF(A$2=TRUE,IF(C599="",IF(C598="",C597,C598),C599)*2,IF(C599="",IF(C598="",C597,C598),C599)))</f>
        <v>-32.6221906473667</v>
      </c>
      <c r="C600" s="402">
        <f>IF(B600="","",B600*F$6)</f>
        <v>-0.012854028587862</v>
      </c>
      <c r="D600" s="403">
        <f>IF(C600="","",(D$3*$C600)/$C$3)</f>
        <v>-0.016591724843907</v>
      </c>
      <c r="E600" s="403">
        <f>IF(C600="","",D600-$C600)</f>
        <v>-0.003737696256045</v>
      </c>
      <c r="F600" s="404">
        <f>IF(B600="","",C600/B600)</f>
        <v>0.000394027143266039</v>
      </c>
      <c r="G600" s="408"/>
    </row>
    <row r="601" ht="20.05" customHeight="1">
      <c r="A601" s="400">
        <v>45402</v>
      </c>
      <c r="B601" t="s" s="405">
        <f>IF(OR(WEEKDAY($A601)=7,WEEKDAY($A601)=1),"",IF(B600="",IF(B599="",B598,B599),B600)+IF(A$2=TRUE,IF(C600="",IF(C599="",C598,C599),C600)*2,IF(C600="",IF(C599="",C598,C599),C600)))</f>
      </c>
      <c r="C601" t="s" s="406">
        <f>IF(B601="","",B601*F$6)</f>
      </c>
      <c r="D601" t="s" s="406">
        <f>IF(C601="","",(D$3*$C601)/$C$3)</f>
      </c>
      <c r="E601" t="s" s="406">
        <f>IF(C601="","",D601-$C601)</f>
      </c>
      <c r="F601" t="s" s="406">
        <f>IF(B601="","",C601/B601)</f>
      </c>
      <c r="G601" s="408"/>
    </row>
    <row r="602" ht="20.05" customHeight="1">
      <c r="A602" s="400">
        <v>45403</v>
      </c>
      <c r="B602" t="s" s="405">
        <f>IF(OR(WEEKDAY($A602)=7,WEEKDAY($A602)=1),"",IF(B601="",IF(B600="",B599,B600),B601)+IF(A$2=TRUE,IF(C601="",IF(C600="",C599,C600),C601)*2,IF(C601="",IF(C600="",C599,C600),C601)))</f>
      </c>
      <c r="C602" t="s" s="406">
        <f>IF(B602="","",B602*F$6)</f>
      </c>
      <c r="D602" t="s" s="406">
        <f>IF(C602="","",(D$3*$C602)/$C$3)</f>
      </c>
      <c r="E602" t="s" s="406">
        <f>IF(C602="","",D602-$C602)</f>
      </c>
      <c r="F602" t="s" s="406">
        <f>IF(B602="","",C602/B602)</f>
      </c>
      <c r="G602" s="408"/>
    </row>
    <row r="603" ht="20.05" customHeight="1">
      <c r="A603" s="400">
        <v>45404</v>
      </c>
      <c r="B603" s="401">
        <f>IF(OR(WEEKDAY($A603)=7,WEEKDAY($A603)=1),"",IF(B602="",IF(B601="",B600,B601),B602)+IF(A$2=TRUE,IF(C602="",IF(C601="",C600,C601),C602)*2,IF(C602="",IF(C601="",C600,C601),C602)))</f>
        <v>-32.6478987045424</v>
      </c>
      <c r="C603" s="402">
        <f>IF(B603="","",B603*F$6)</f>
        <v>-0.0128641582601899</v>
      </c>
      <c r="D603" s="403">
        <f>IF(C603="","",(D$3*$C603)/$C$3)</f>
        <v>-0.0166048000237912</v>
      </c>
      <c r="E603" s="403">
        <f>IF(C603="","",D603-$C603)</f>
        <v>-0.0037406417636013</v>
      </c>
      <c r="F603" s="404">
        <f>IF(B603="","",C603/B603)</f>
        <v>0.00039402714326604</v>
      </c>
      <c r="G603" s="408"/>
    </row>
    <row r="604" ht="20.05" customHeight="1">
      <c r="A604" s="400">
        <v>45405</v>
      </c>
      <c r="B604" s="401">
        <f>IF(OR(WEEKDAY($A604)=7,WEEKDAY($A604)=1),"",IF(B603="",IF(B602="",B601,B602),B603)+IF(A$2=TRUE,IF(C603="",IF(C602="",C601,C602),C603)*2,IF(C603="",IF(C602="",C601,C602),C603)))</f>
        <v>-32.6736270210628</v>
      </c>
      <c r="C604" s="402">
        <f>IF(B604="","",B604*F$6)</f>
        <v>-0.0128742959152494</v>
      </c>
      <c r="D604" s="403">
        <f>IF(C604="","",(D$3*$C604)/$C$3)</f>
        <v>-0.0166178855076269</v>
      </c>
      <c r="E604" s="403">
        <f>IF(C604="","",D604-$C604)</f>
        <v>-0.0037435895923775</v>
      </c>
      <c r="F604" s="404">
        <f>IF(B604="","",C604/B604)</f>
        <v>0.000394027143266038</v>
      </c>
      <c r="G604" s="408"/>
    </row>
    <row r="605" ht="20.05" customHeight="1">
      <c r="A605" s="400">
        <v>45406</v>
      </c>
      <c r="B605" s="401">
        <f>IF(OR(WEEKDAY($A605)=7,WEEKDAY($A605)=1),"",IF(B604="",IF(B603="",B602,B603),B604)+IF(A$2=TRUE,IF(C604="",IF(C603="",C602,C603),C604)*2,IF(C604="",IF(C603="",C602,C603),C604)))</f>
        <v>-32.6993756128933</v>
      </c>
      <c r="C605" s="402">
        <f>IF(B605="","",B605*F$6)</f>
        <v>-0.0128844415593315</v>
      </c>
      <c r="D605" s="403">
        <f>IF(C605="","",(D$3*$C605)/$C$3)</f>
        <v>-0.0166309813035343</v>
      </c>
      <c r="E605" s="403">
        <f>IF(C605="","",D605-$C605)</f>
        <v>-0.0037465397442028</v>
      </c>
      <c r="F605" s="404">
        <f>IF(B605="","",C605/B605)</f>
        <v>0.000394027143266038</v>
      </c>
      <c r="G605" s="408"/>
    </row>
    <row r="606" ht="20.05" customHeight="1">
      <c r="A606" s="400">
        <v>45407</v>
      </c>
      <c r="B606" s="401">
        <f>IF(OR(WEEKDAY($A606)=7,WEEKDAY($A606)=1),"",IF(B605="",IF(B604="",B603,B604),B605)+IF(A$2=TRUE,IF(C605="",IF(C604="",C603,C604),C605)*2,IF(C605="",IF(C604="",C603,C604),C605)))</f>
        <v>-32.725144496012</v>
      </c>
      <c r="C606" s="402">
        <f>IF(B606="","",B606*F$6)</f>
        <v>-0.0128945951987319</v>
      </c>
      <c r="D606" s="403">
        <f>IF(C606="","",(D$3*$C606)/$C$3)</f>
        <v>-0.0166440874196398</v>
      </c>
      <c r="E606" s="403">
        <f>IF(C606="","",D606-$C606)</f>
        <v>-0.0037494922209079</v>
      </c>
      <c r="F606" s="404">
        <f>IF(B606="","",C606/B606)</f>
        <v>0.000394027143266038</v>
      </c>
      <c r="G606" s="408"/>
    </row>
    <row r="607" ht="20.05" customHeight="1">
      <c r="A607" s="400">
        <v>45408</v>
      </c>
      <c r="B607" s="401">
        <f>IF(OR(WEEKDAY($A607)=7,WEEKDAY($A607)=1),"",IF(B606="",IF(B605="",B604,B605),B606)+IF(A$2=TRUE,IF(C606="",IF(C605="",C604,C605),C606)*2,IF(C606="",IF(C605="",C604,C605),C606)))</f>
        <v>-32.7509336864095</v>
      </c>
      <c r="C607" s="402">
        <f>IF(B607="","",B607*F$6)</f>
        <v>-0.0129047568397514</v>
      </c>
      <c r="D607" s="403">
        <f>IF(C607="","",(D$3*$C607)/$C$3)</f>
        <v>-0.0166572038640763</v>
      </c>
      <c r="E607" s="403">
        <f>IF(C607="","",D607-$C607)</f>
        <v>-0.0037524470243249</v>
      </c>
      <c r="F607" s="404">
        <f>IF(B607="","",C607/B607)</f>
        <v>0.000394027143266038</v>
      </c>
      <c r="G607" s="408"/>
    </row>
    <row r="608" ht="20.05" customHeight="1">
      <c r="A608" s="400">
        <v>45409</v>
      </c>
      <c r="B608" t="s" s="405">
        <f>IF(OR(WEEKDAY($A608)=7,WEEKDAY($A608)=1),"",IF(B607="",IF(B606="",B605,B606),B607)+IF(A$2=TRUE,IF(C607="",IF(C606="",C605,C606),C607)*2,IF(C607="",IF(C606="",C605,C606),C607)))</f>
      </c>
      <c r="C608" t="s" s="406">
        <f>IF(B608="","",B608*F$6)</f>
      </c>
      <c r="D608" t="s" s="406">
        <f>IF(C608="","",(D$3*$C608)/$C$3)</f>
      </c>
      <c r="E608" t="s" s="406">
        <f>IF(C608="","",D608-$C608)</f>
      </c>
      <c r="F608" t="s" s="406">
        <f>IF(B608="","",C608/B608)</f>
      </c>
      <c r="G608" s="408"/>
    </row>
    <row r="609" ht="20.05" customHeight="1">
      <c r="A609" s="400">
        <v>45410</v>
      </c>
      <c r="B609" t="s" s="405">
        <f>IF(OR(WEEKDAY($A609)=7,WEEKDAY($A609)=1),"",IF(B608="",IF(B607="",B606,B607),B608)+IF(A$2=TRUE,IF(C608="",IF(C607="",C606,C607),C608)*2,IF(C608="",IF(C607="",C606,C607),C608)))</f>
      </c>
      <c r="C609" t="s" s="406">
        <f>IF(B609="","",B609*F$6)</f>
      </c>
      <c r="D609" t="s" s="406">
        <f>IF(C609="","",(D$3*$C609)/$C$3)</f>
      </c>
      <c r="E609" t="s" s="406">
        <f>IF(C609="","",D609-$C609)</f>
      </c>
      <c r="F609" t="s" s="406">
        <f>IF(B609="","",C609/B609)</f>
      </c>
      <c r="G609" s="408"/>
    </row>
    <row r="610" ht="20.05" customHeight="1">
      <c r="A610" s="400">
        <v>45411</v>
      </c>
      <c r="B610" s="401">
        <f>IF(OR(WEEKDAY($A610)=7,WEEKDAY($A610)=1),"",IF(B609="",IF(B608="",B607,B608),B609)+IF(A$2=TRUE,IF(C609="",IF(C608="",C607,C608),C609)*2,IF(C609="",IF(C608="",C607,C608),C609)))</f>
        <v>-32.776743200089</v>
      </c>
      <c r="C610" s="402">
        <f>IF(B610="","",B610*F$6)</f>
        <v>-0.0129149264886956</v>
      </c>
      <c r="D610" s="403">
        <f>IF(C610="","",(D$3*$C610)/$C$3)</f>
        <v>-0.016670330644983</v>
      </c>
      <c r="E610" s="403">
        <f>IF(C610="","",D610-$C610)</f>
        <v>-0.0037554041562874</v>
      </c>
      <c r="F610" s="404">
        <f>IF(B610="","",C610/B610)</f>
        <v>0.000394027143266038</v>
      </c>
      <c r="G610" s="408"/>
    </row>
    <row r="611" ht="20.05" customHeight="1">
      <c r="A611" s="400">
        <v>45412</v>
      </c>
      <c r="B611" s="401">
        <f>IF(OR(WEEKDAY($A611)=7,WEEKDAY($A611)=1),"",IF(B610="",IF(B609="",B608,B609),B610)+IF(A$2=TRUE,IF(C610="",IF(C609="",C608,C609),C610)*2,IF(C610="",IF(C609="",C608,C609),C610)))</f>
        <v>-32.8025730530664</v>
      </c>
      <c r="C611" s="402">
        <f>IF(B611="","",B611*F$6)</f>
        <v>-0.0129251041518753</v>
      </c>
      <c r="D611" s="403">
        <f>IF(C611="","",(D$3*$C611)/$C$3)</f>
        <v>-0.0166834677705057</v>
      </c>
      <c r="E611" s="403">
        <f>IF(C611="","",D611-$C611)</f>
        <v>-0.0037583636186304</v>
      </c>
      <c r="F611" s="404">
        <f>IF(B611="","",C611/B611)</f>
        <v>0.000394027143266039</v>
      </c>
      <c r="G611" s="408"/>
    </row>
    <row r="612" ht="20.05" customHeight="1">
      <c r="A612" s="400">
        <v>45413</v>
      </c>
      <c r="B612" s="401">
        <f>IF(OR(WEEKDAY($A612)=7,WEEKDAY($A612)=1),"",IF(B611="",IF(B610="",B609,B610),B611)+IF(A$2=TRUE,IF(C611="",IF(C610="",C609,C610),C611)*2,IF(C611="",IF(C610="",C609,C610),C611)))</f>
        <v>-32.8284232613702</v>
      </c>
      <c r="C612" s="402">
        <f>IF(B612="","",B612*F$6)</f>
        <v>-0.0129352898356061</v>
      </c>
      <c r="D612" s="403">
        <f>IF(C612="","",(D$3*$C612)/$C$3)</f>
        <v>-0.0166966152487965</v>
      </c>
      <c r="E612" s="403">
        <f>IF(C612="","",D612-$C612)</f>
        <v>-0.0037613254131904</v>
      </c>
      <c r="F612" s="404">
        <f>IF(B612="","",C612/B612)</f>
        <v>0.00039402714326604</v>
      </c>
      <c r="G612" s="408"/>
    </row>
    <row r="613" ht="20.05" customHeight="1">
      <c r="A613" s="400">
        <v>45414</v>
      </c>
      <c r="B613" s="401">
        <f>IF(OR(WEEKDAY($A613)=7,WEEKDAY($A613)=1),"",IF(B612="",IF(B611="",B610,B611),B612)+IF(A$2=TRUE,IF(C612="",IF(C611="",C610,C611),C612)*2,IF(C612="",IF(C611="",C610,C611),C612)))</f>
        <v>-32.8542938410414</v>
      </c>
      <c r="C613" s="402">
        <f>IF(B613="","",B613*F$6)</f>
        <v>-0.0129454835462086</v>
      </c>
      <c r="D613" s="403">
        <f>IF(C613="","",(D$3*$C613)/$C$3)</f>
        <v>-0.0167097730880139</v>
      </c>
      <c r="E613" s="403">
        <f>IF(C613="","",D613-$C613)</f>
        <v>-0.0037642895418053</v>
      </c>
      <c r="F613" s="404">
        <f>IF(B613="","",C613/B613)</f>
        <v>0.00039402714326604</v>
      </c>
      <c r="G613" s="408"/>
    </row>
    <row r="614" ht="20.05" customHeight="1">
      <c r="A614" s="400">
        <v>45415</v>
      </c>
      <c r="B614" s="401">
        <f>IF(OR(WEEKDAY($A614)=7,WEEKDAY($A614)=1),"",IF(B613="",IF(B612="",B611,B612),B613)+IF(A$2=TRUE,IF(C613="",IF(C612="",C611,C612),C613)*2,IF(C613="",IF(C612="",C611,C612),C613)))</f>
        <v>-32.8801848081338</v>
      </c>
      <c r="C614" s="402">
        <f>IF(B614="","",B614*F$6)</f>
        <v>-0.0129556852900084</v>
      </c>
      <c r="D614" s="403">
        <f>IF(C614="","",(D$3*$C614)/$C$3)</f>
        <v>-0.0167229412963229</v>
      </c>
      <c r="E614" s="403">
        <f>IF(C614="","",D614-$C614)</f>
        <v>-0.0037672560063145</v>
      </c>
      <c r="F614" s="404">
        <f>IF(B614="","",C614/B614)</f>
        <v>0.00039402714326604</v>
      </c>
      <c r="G614" s="408"/>
    </row>
  </sheetData>
  <mergeCells count="1">
    <mergeCell ref="A1:G1"/>
  </mergeCells>
  <conditionalFormatting sqref="A2:A614">
    <cfRule type="timePeriod" dxfId="171" priority="1" stopIfTrue="1" timePeriod="today">
      <formula>AND(A2&gt;=TODAY(),A2&lt;TODAY()+1)</formula>
    </cfRule>
  </conditionalFormatting>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2:M22"/>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3" width="16.3516" style="409" customWidth="1"/>
    <col min="14" max="16384" width="16.3516" style="409" customWidth="1"/>
  </cols>
  <sheetData>
    <row r="1" ht="27.65" customHeight="1">
      <c r="A1" t="s" s="393">
        <v>547</v>
      </c>
      <c r="B1" s="393"/>
      <c r="C1" s="393"/>
      <c r="D1" s="393"/>
      <c r="E1" s="393"/>
      <c r="F1" s="393"/>
      <c r="G1" s="393"/>
      <c r="H1" s="393"/>
      <c r="I1" s="393"/>
      <c r="J1" s="393"/>
      <c r="K1" s="393"/>
      <c r="L1" s="393"/>
      <c r="M1" s="393"/>
    </row>
    <row r="2" ht="20.25" customHeight="1">
      <c r="A2" s="410"/>
      <c r="B2" t="s" s="395">
        <v>548</v>
      </c>
      <c r="C2" t="s" s="395">
        <v>549</v>
      </c>
      <c r="D2" t="s" s="395">
        <v>16</v>
      </c>
      <c r="E2" s="411">
        <v>0.015</v>
      </c>
      <c r="F2" s="410"/>
      <c r="G2" s="410"/>
      <c r="H2" s="410"/>
      <c r="I2" s="410"/>
      <c r="J2" s="412"/>
      <c r="K2" s="412"/>
      <c r="L2" s="410"/>
      <c r="M2" s="410"/>
    </row>
    <row r="3" ht="20.25" customHeight="1">
      <c r="A3" s="413">
        <v>44774</v>
      </c>
      <c r="B3" s="397">
        <f>54.9+396.74</f>
        <v>451.64</v>
      </c>
      <c r="C3" s="398">
        <f>B3*E$2</f>
        <v>6.7746</v>
      </c>
      <c r="D3" s="398"/>
      <c r="E3" s="399"/>
      <c r="F3" s="399"/>
      <c r="G3" s="398"/>
      <c r="H3" s="398"/>
      <c r="I3" s="398"/>
      <c r="J3" s="398"/>
      <c r="K3" s="398"/>
      <c r="L3" s="398"/>
      <c r="M3" s="398"/>
    </row>
    <row r="4" ht="20.05" customHeight="1">
      <c r="A4" s="414">
        <v>44805</v>
      </c>
      <c r="B4" s="415">
        <f>52.5+396.74</f>
        <v>449.24</v>
      </c>
      <c r="C4" s="403">
        <f>B4*E$2</f>
        <v>6.7386</v>
      </c>
      <c r="D4" s="403"/>
      <c r="E4" s="407"/>
      <c r="F4" s="416">
        <f>29*2</f>
        <v>58</v>
      </c>
      <c r="G4" s="416">
        <f>F4*1.8</f>
        <v>104.4</v>
      </c>
      <c r="H4" s="407"/>
      <c r="I4" s="407"/>
      <c r="J4" s="402"/>
      <c r="K4" s="402"/>
      <c r="L4" s="407"/>
      <c r="M4" s="407"/>
    </row>
    <row r="5" ht="20.05" customHeight="1">
      <c r="A5" s="414">
        <v>44835</v>
      </c>
      <c r="B5" s="415">
        <f>54.9+42+52.5+396.74+630+245+39</f>
        <v>1460.14</v>
      </c>
      <c r="C5" s="403">
        <f>B5*E$2</f>
        <v>21.9021</v>
      </c>
      <c r="D5" s="403"/>
      <c r="E5" s="407"/>
      <c r="F5" s="416">
        <f>G5/1.8</f>
        <v>200</v>
      </c>
      <c r="G5" s="416">
        <v>360</v>
      </c>
      <c r="H5" s="407"/>
      <c r="I5" s="416">
        <v>347.88</v>
      </c>
      <c r="J5" s="402">
        <f>I5*(1+E$2)</f>
        <v>353.0982</v>
      </c>
      <c r="K5" s="402">
        <f>I5*(1+E$2)</f>
        <v>353.0982</v>
      </c>
      <c r="L5" s="416">
        <v>7000</v>
      </c>
      <c r="M5" s="407"/>
    </row>
    <row r="6" ht="20.05" customHeight="1">
      <c r="A6" s="414">
        <v>44866</v>
      </c>
      <c r="B6" s="415">
        <f t="shared" si="11" ref="B6:B14">52.5+396.74+630+245</f>
        <v>1324.24</v>
      </c>
      <c r="C6" s="403">
        <f>B6*E$2</f>
        <v>19.8636</v>
      </c>
      <c r="D6" s="403"/>
      <c r="E6" s="407"/>
      <c r="F6" s="407"/>
      <c r="G6" s="407"/>
      <c r="H6" s="407"/>
      <c r="I6" s="416">
        <v>347.88</v>
      </c>
      <c r="J6" s="402">
        <f>(J5+I6)*(1+E$2)</f>
        <v>711.492873</v>
      </c>
      <c r="K6" s="402">
        <f>((K5+I6)-M6)*(1+E$2)</f>
        <v>711.492873</v>
      </c>
      <c r="L6" s="416">
        <v>7000</v>
      </c>
      <c r="M6" s="407"/>
    </row>
    <row r="7" ht="20.05" customHeight="1">
      <c r="A7" s="414">
        <v>44896</v>
      </c>
      <c r="B7" s="415">
        <f t="shared" si="11"/>
        <v>1324.24</v>
      </c>
      <c r="C7" s="403">
        <f>B7*E$2</f>
        <v>19.8636</v>
      </c>
      <c r="D7" s="403">
        <f>11877.64+(22*202)+(27.5*47)</f>
        <v>17614.14</v>
      </c>
      <c r="E7" s="402">
        <f>D7*E$2</f>
        <v>264.2121</v>
      </c>
      <c r="F7" s="407"/>
      <c r="G7" s="407"/>
      <c r="H7" s="407"/>
      <c r="I7" s="416">
        <v>347.88</v>
      </c>
      <c r="J7" s="402">
        <f>(J6+I7)*(1+E$2)</f>
        <v>1075.263466095</v>
      </c>
      <c r="K7" s="402">
        <f>((K6+I7)-M7)*(1+E$2)</f>
        <v>1075.263466095</v>
      </c>
      <c r="L7" s="416">
        <v>14000</v>
      </c>
      <c r="M7" s="407"/>
    </row>
    <row r="8" ht="20.05" customHeight="1">
      <c r="A8" s="414">
        <v>44927</v>
      </c>
      <c r="B8" s="415">
        <f t="shared" si="11"/>
        <v>1324.24</v>
      </c>
      <c r="C8" s="403"/>
      <c r="D8" s="403">
        <f>D7*(1+E$2)-B8</f>
        <v>16554.1121</v>
      </c>
      <c r="E8" s="402">
        <f>D8*E$2</f>
        <v>248.3116815</v>
      </c>
      <c r="F8" s="407"/>
      <c r="G8" s="407"/>
      <c r="H8" s="407"/>
      <c r="I8" s="416">
        <v>347.88</v>
      </c>
      <c r="J8" s="402">
        <f>(J7+I8)*(1+E$2)</f>
        <v>1444.490618086430</v>
      </c>
      <c r="K8" s="402">
        <f>((K7+I8)-M8)*(1+E$2)</f>
        <v>1444.490618086430</v>
      </c>
      <c r="L8" s="416">
        <v>7000</v>
      </c>
      <c r="M8" s="407"/>
    </row>
    <row r="9" ht="20.05" customHeight="1">
      <c r="A9" s="414">
        <v>44958</v>
      </c>
      <c r="B9" s="415">
        <f t="shared" si="11"/>
        <v>1324.24</v>
      </c>
      <c r="C9" s="403"/>
      <c r="D9" s="403">
        <f>D8*(1+E$2)-B9</f>
        <v>15478.1837815</v>
      </c>
      <c r="E9" s="402">
        <f>D9*E$2</f>
        <v>232.1727567225</v>
      </c>
      <c r="F9" s="407"/>
      <c r="G9" s="407"/>
      <c r="H9" s="407"/>
      <c r="I9" s="416">
        <v>347.88</v>
      </c>
      <c r="J9" s="402">
        <f>(J8+I9)*(1+E$2)</f>
        <v>1819.256177357730</v>
      </c>
      <c r="K9" s="402">
        <f>((K8+I9)-M9)*(1+E$2)</f>
        <v>1819.256177357730</v>
      </c>
      <c r="L9" s="416">
        <v>7000</v>
      </c>
      <c r="M9" s="407"/>
    </row>
    <row r="10" ht="20.05" customHeight="1">
      <c r="A10" s="414">
        <v>44986</v>
      </c>
      <c r="B10" s="415">
        <f t="shared" si="11"/>
        <v>1324.24</v>
      </c>
      <c r="C10" s="403"/>
      <c r="D10" s="403">
        <f>D9*(1+E$2)-B10+G3</f>
        <v>14386.1165382225</v>
      </c>
      <c r="E10" s="402">
        <f>D10*E$2</f>
        <v>215.791748073338</v>
      </c>
      <c r="F10" s="407"/>
      <c r="G10" s="407"/>
      <c r="H10" s="407"/>
      <c r="I10" s="416">
        <v>347.88</v>
      </c>
      <c r="J10" s="402">
        <f>(J9+I10)*(1+E$2)</f>
        <v>2199.6432200181</v>
      </c>
      <c r="K10" s="402">
        <f>((K9+I10)-M10)*(1+E$2)</f>
        <v>1119.6020200181</v>
      </c>
      <c r="L10" s="416">
        <v>14000</v>
      </c>
      <c r="M10" s="416">
        <v>1064.08</v>
      </c>
    </row>
    <row r="11" ht="20.05" customHeight="1">
      <c r="A11" s="414">
        <v>45017</v>
      </c>
      <c r="B11" s="415">
        <f t="shared" si="11"/>
        <v>1324.24</v>
      </c>
      <c r="C11" s="403"/>
      <c r="D11" s="403">
        <f>D10*(1+E$2)-B11</f>
        <v>13277.6682862958</v>
      </c>
      <c r="E11" s="402">
        <f>D11*E$2</f>
        <v>199.165024294437</v>
      </c>
      <c r="F11" s="407"/>
      <c r="G11" s="407"/>
      <c r="H11" s="407"/>
      <c r="I11" s="416">
        <v>347.88</v>
      </c>
      <c r="J11" s="402">
        <f>(J10+I11)*(1+E$2)</f>
        <v>2585.736068318370</v>
      </c>
      <c r="K11" s="402">
        <f>((K10+I11)-M11)*(1+E$2)</f>
        <v>1489.494250318370</v>
      </c>
      <c r="L11" s="416">
        <v>7000</v>
      </c>
      <c r="M11" s="407"/>
    </row>
    <row r="12" ht="20.05" customHeight="1">
      <c r="A12" s="414">
        <v>45047</v>
      </c>
      <c r="B12" s="415">
        <f t="shared" si="11"/>
        <v>1324.24</v>
      </c>
      <c r="C12" s="403"/>
      <c r="D12" s="403">
        <f>D11*(1+E$2)-B12</f>
        <v>12152.5933105902</v>
      </c>
      <c r="E12" s="402">
        <f>D12*E$2</f>
        <v>182.288899658853</v>
      </c>
      <c r="F12" s="407"/>
      <c r="G12" s="407"/>
      <c r="H12" s="407"/>
      <c r="I12" s="416">
        <v>347.88</v>
      </c>
      <c r="J12" s="402">
        <f>(J11+I12)*(1+E$2)</f>
        <v>2977.620309343150</v>
      </c>
      <c r="K12" s="402">
        <f>((K11+I12)-M12)*(1+E$2)</f>
        <v>1864.934864073150</v>
      </c>
      <c r="L12" s="416">
        <v>7000</v>
      </c>
      <c r="M12" s="407"/>
    </row>
    <row r="13" ht="20.05" customHeight="1">
      <c r="A13" s="414">
        <v>45078</v>
      </c>
      <c r="B13" s="415">
        <f t="shared" si="11"/>
        <v>1324.24</v>
      </c>
      <c r="C13" s="403"/>
      <c r="D13" s="403">
        <f>D12*(1+E$2)-B13</f>
        <v>11010.6422102491</v>
      </c>
      <c r="E13" s="402">
        <f>D13*E$2</f>
        <v>165.159633153737</v>
      </c>
      <c r="F13" s="407"/>
      <c r="G13" s="407"/>
      <c r="H13" s="407"/>
      <c r="I13" s="416">
        <v>347.88</v>
      </c>
      <c r="J13" s="402">
        <f>(J12+I13)*(1+E$2)</f>
        <v>3375.3828139833</v>
      </c>
      <c r="K13" s="402">
        <f>((K12+I13)-M13)*(1+E$2)</f>
        <v>1165.965887034250</v>
      </c>
      <c r="L13" s="416">
        <v>14000</v>
      </c>
      <c r="M13" s="416">
        <v>1064.08</v>
      </c>
    </row>
    <row r="14" ht="20.05" customHeight="1">
      <c r="A14" s="414">
        <v>45108</v>
      </c>
      <c r="B14" s="415">
        <f t="shared" si="11"/>
        <v>1324.24</v>
      </c>
      <c r="C14" s="403"/>
      <c r="D14" s="403">
        <f>D13*(1+E$2)-B14</f>
        <v>9851.561843402840</v>
      </c>
      <c r="E14" s="402">
        <f>D14*E$2</f>
        <v>147.773427651043</v>
      </c>
      <c r="F14" s="407"/>
      <c r="G14" s="407"/>
      <c r="H14" s="407"/>
      <c r="I14" s="416">
        <v>347.88</v>
      </c>
      <c r="J14" s="402">
        <f>(J13+I14)*(1+E$2)</f>
        <v>3779.111756193050</v>
      </c>
      <c r="K14" s="402">
        <f>((K13+I14)-M14)*(1+E$2)</f>
        <v>1536.553575339760</v>
      </c>
      <c r="L14" s="416">
        <v>7000</v>
      </c>
      <c r="M14" s="407"/>
    </row>
    <row r="15" ht="20.05" customHeight="1">
      <c r="A15" s="414">
        <v>45139</v>
      </c>
      <c r="B15" s="415">
        <f>52.5+630+245</f>
        <v>927.5</v>
      </c>
      <c r="C15" s="403"/>
      <c r="D15" s="403">
        <f>D14*(1+E$2)-B15</f>
        <v>9071.835271053880</v>
      </c>
      <c r="E15" s="402">
        <f>D15*E$2</f>
        <v>136.077529065808</v>
      </c>
      <c r="F15" s="407"/>
      <c r="G15" s="407"/>
      <c r="H15" s="407"/>
      <c r="I15" s="407"/>
      <c r="J15" s="402">
        <f>(J14+I15)*(1+E$2)</f>
        <v>3835.798432535950</v>
      </c>
      <c r="K15" s="402">
        <f>((K14+I15)-M15)*(1+E$2)</f>
        <v>1559.601878969860</v>
      </c>
      <c r="L15" s="416">
        <v>7000</v>
      </c>
      <c r="M15" s="407"/>
    </row>
    <row r="16" ht="20.05" customHeight="1">
      <c r="A16" s="414">
        <v>45170</v>
      </c>
      <c r="B16" s="415">
        <f>630+245</f>
        <v>875</v>
      </c>
      <c r="C16" s="403"/>
      <c r="D16" s="403">
        <f>D15*(1+E$2)-B16</f>
        <v>8332.912800119690</v>
      </c>
      <c r="E16" s="402">
        <f>D16*E$2</f>
        <v>124.993692001795</v>
      </c>
      <c r="F16" s="407"/>
      <c r="G16" s="407"/>
      <c r="H16" s="407"/>
      <c r="I16" s="407"/>
      <c r="J16" s="402">
        <f>(J15+I16)*(1+E$2)</f>
        <v>3893.335409023990</v>
      </c>
      <c r="K16" s="402">
        <f>((K15+I16)-M16)*(1+E$2)</f>
        <v>502.954707154408</v>
      </c>
      <c r="L16" s="416">
        <v>14000</v>
      </c>
      <c r="M16" s="416">
        <v>1064.08</v>
      </c>
    </row>
    <row r="17" ht="20.05" customHeight="1">
      <c r="A17" s="414">
        <v>45200</v>
      </c>
      <c r="B17" s="415"/>
      <c r="C17" s="403"/>
      <c r="D17" s="403">
        <f>D16*(1+E$2)-B17</f>
        <v>8457.906492121490</v>
      </c>
      <c r="E17" s="402">
        <f>D17*E$2</f>
        <v>126.868597381822</v>
      </c>
      <c r="F17" s="407"/>
      <c r="G17" s="407"/>
      <c r="H17" s="407"/>
      <c r="I17" s="407"/>
      <c r="J17" s="402">
        <f>(J16+I17)*(1+E$2)</f>
        <v>3951.735440159350</v>
      </c>
      <c r="K17" s="402">
        <f>((K16+I17)-M17)*(1+E$2)</f>
        <v>510.499027761724</v>
      </c>
      <c r="L17" s="407"/>
      <c r="M17" s="407"/>
    </row>
    <row r="18" ht="20.05" customHeight="1">
      <c r="A18" s="414">
        <v>45231</v>
      </c>
      <c r="B18" s="415"/>
      <c r="C18" s="403"/>
      <c r="D18" s="403">
        <f>D17*(1+E$2)-B18</f>
        <v>8584.775089503310</v>
      </c>
      <c r="E18" s="402">
        <f>D18*E$2</f>
        <v>128.771626342550</v>
      </c>
      <c r="F18" s="407"/>
      <c r="G18" s="407"/>
      <c r="H18" s="407"/>
      <c r="I18" s="407"/>
      <c r="J18" s="402">
        <f>(J17+I18)*(1+E$2)</f>
        <v>4011.011471761740</v>
      </c>
      <c r="K18" s="402">
        <f>((K17+I18)-M18)*(1+E$2)</f>
        <v>518.156513178150</v>
      </c>
      <c r="L18" s="407"/>
      <c r="M18" s="407"/>
    </row>
    <row r="19" ht="20.05" customHeight="1">
      <c r="A19" s="414">
        <v>45261</v>
      </c>
      <c r="B19" s="415"/>
      <c r="C19" s="403"/>
      <c r="D19" s="403">
        <f>D18*(1+E$2)-B19</f>
        <v>8713.546715845860</v>
      </c>
      <c r="E19" s="402">
        <f>D19*E$2</f>
        <v>130.703200737688</v>
      </c>
      <c r="F19" s="407"/>
      <c r="G19" s="407"/>
      <c r="H19" s="407"/>
      <c r="I19" s="407"/>
      <c r="J19" s="402">
        <f>(J18+I19)*(1+E$2)</f>
        <v>4071.176643838170</v>
      </c>
      <c r="K19" s="402">
        <f>((K18+I19)-M19)*(1+E$2)</f>
        <v>-554.112339124178</v>
      </c>
      <c r="L19" s="416">
        <v>4211.45</v>
      </c>
      <c r="M19" s="416">
        <v>1064.08</v>
      </c>
    </row>
    <row r="20" ht="20.05" customHeight="1">
      <c r="A20" s="417"/>
      <c r="B20" s="415"/>
      <c r="C20" s="403"/>
      <c r="D20" s="403">
        <f>D19*(1+E$2)-B20</f>
        <v>8844.249916583551</v>
      </c>
      <c r="E20" s="402">
        <f>D20*E$2</f>
        <v>132.663748748753</v>
      </c>
      <c r="F20" s="407"/>
      <c r="G20" s="407"/>
      <c r="H20" s="407"/>
      <c r="I20" s="407"/>
      <c r="J20" s="402"/>
      <c r="K20" s="402"/>
      <c r="L20" s="416">
        <f>L19-J19</f>
        <v>140.273356161830</v>
      </c>
      <c r="M20" s="407"/>
    </row>
    <row r="21" ht="20.25" customHeight="1">
      <c r="A21" s="418"/>
      <c r="B21" s="419"/>
      <c r="C21" s="420"/>
      <c r="D21" s="420">
        <f>D20*(1+E$2)-B21</f>
        <v>8976.9136653323</v>
      </c>
      <c r="E21" s="421">
        <f>D21*E$2</f>
        <v>134.653704979985</v>
      </c>
      <c r="F21" s="422"/>
      <c r="G21" s="422"/>
      <c r="H21" s="422"/>
      <c r="I21" s="422"/>
      <c r="J21" s="421"/>
      <c r="K21" s="421"/>
      <c r="L21" s="422"/>
      <c r="M21" s="422"/>
    </row>
    <row r="22" ht="20.25" customHeight="1">
      <c r="A22" s="423"/>
      <c r="B22" s="424">
        <f>SUM(B3:B21)</f>
        <v>16081.68</v>
      </c>
      <c r="C22" s="424"/>
      <c r="D22" s="424">
        <f>D16-SUM(B3:C7)</f>
        <v>3248.270300119690</v>
      </c>
      <c r="E22" s="425">
        <f>SUM(E7:E21)</f>
        <v>2569.607370312310</v>
      </c>
      <c r="F22" s="423"/>
      <c r="G22" s="423"/>
      <c r="H22" s="423"/>
      <c r="I22" s="423"/>
      <c r="J22" s="425"/>
      <c r="K22" s="425"/>
      <c r="L22" s="423"/>
      <c r="M22" s="423"/>
    </row>
  </sheetData>
  <mergeCells count="1">
    <mergeCell ref="A1:M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2:G27"/>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7" width="16.3516" style="426" customWidth="1"/>
    <col min="8" max="16384" width="16.3516" style="426" customWidth="1"/>
  </cols>
  <sheetData>
    <row r="1" ht="27.65" customHeight="1">
      <c r="A1" t="s" s="393">
        <v>541</v>
      </c>
      <c r="B1" s="393"/>
      <c r="C1" s="393"/>
      <c r="D1" s="393"/>
      <c r="E1" s="393"/>
      <c r="F1" s="393"/>
      <c r="G1" s="393"/>
    </row>
    <row r="2" ht="20.25" customHeight="1">
      <c r="A2" s="410"/>
      <c r="B2" s="427"/>
      <c r="C2" s="410"/>
      <c r="D2" s="410"/>
      <c r="E2" s="410"/>
      <c r="F2" s="410"/>
      <c r="G2" s="410"/>
    </row>
    <row r="3" ht="20.25" customHeight="1">
      <c r="A3" s="428"/>
      <c r="B3" s="397"/>
      <c r="C3" s="399"/>
      <c r="D3" s="399"/>
      <c r="E3" s="399"/>
      <c r="F3" s="399"/>
      <c r="G3" s="399"/>
    </row>
    <row r="4" ht="20.05" customHeight="1">
      <c r="A4" t="s" s="429">
        <v>550</v>
      </c>
      <c r="B4" s="415">
        <v>-56</v>
      </c>
      <c r="C4" s="407"/>
      <c r="D4" s="407"/>
      <c r="E4" s="407"/>
      <c r="F4" s="407"/>
      <c r="G4" s="407"/>
    </row>
    <row r="5" ht="20.05" customHeight="1">
      <c r="A5" t="s" s="429">
        <v>551</v>
      </c>
      <c r="B5" s="415">
        <f>-396.66*12</f>
        <v>-4759.92</v>
      </c>
      <c r="C5" s="416">
        <v>-396.66</v>
      </c>
      <c r="D5" s="407"/>
      <c r="E5" s="407"/>
      <c r="F5" s="407"/>
      <c r="G5" s="407"/>
    </row>
    <row r="6" ht="20.05" customHeight="1">
      <c r="A6" t="s" s="429">
        <v>550</v>
      </c>
      <c r="B6" s="415">
        <v>-27.9</v>
      </c>
      <c r="C6" s="407"/>
      <c r="D6" s="430">
        <v>44562</v>
      </c>
      <c r="E6" s="407"/>
      <c r="F6" s="416">
        <f>12950.63/700</f>
        <v>18.5009</v>
      </c>
      <c r="G6" s="407"/>
    </row>
    <row r="7" ht="20.05" customHeight="1">
      <c r="A7" t="s" s="429">
        <v>552</v>
      </c>
      <c r="B7" s="415">
        <v>-7560</v>
      </c>
      <c r="C7" s="403">
        <f>B7/12</f>
        <v>-630</v>
      </c>
      <c r="D7" s="430">
        <v>44593</v>
      </c>
      <c r="E7" s="407"/>
      <c r="F7" s="416">
        <f>6327.31/342</f>
        <v>18.5009064327485</v>
      </c>
      <c r="G7" s="407"/>
    </row>
    <row r="8" ht="20.05" customHeight="1">
      <c r="A8" t="s" s="429">
        <v>553</v>
      </c>
      <c r="B8" s="415">
        <v>-42</v>
      </c>
      <c r="C8" s="407"/>
      <c r="D8" s="430">
        <v>44621</v>
      </c>
      <c r="E8" s="407"/>
      <c r="F8" s="407"/>
      <c r="G8" s="407"/>
    </row>
    <row r="9" ht="20.05" customHeight="1">
      <c r="A9" t="s" s="429">
        <v>554</v>
      </c>
      <c r="B9" s="415">
        <v>11877.58</v>
      </c>
      <c r="C9" s="407"/>
      <c r="D9" s="430">
        <v>44652</v>
      </c>
      <c r="E9" s="407"/>
      <c r="F9" s="407"/>
      <c r="G9" s="407"/>
    </row>
    <row r="10" ht="20.05" customHeight="1">
      <c r="A10" s="417"/>
      <c r="B10" s="415"/>
      <c r="C10" s="407"/>
      <c r="D10" s="430">
        <v>44682</v>
      </c>
      <c r="E10" s="407"/>
      <c r="F10" s="407"/>
      <c r="G10" s="407"/>
    </row>
    <row r="11" ht="20.05" customHeight="1">
      <c r="A11" s="417"/>
      <c r="B11" s="415"/>
      <c r="C11" s="407"/>
      <c r="D11" s="430">
        <v>44713</v>
      </c>
      <c r="E11" s="407"/>
      <c r="F11" s="407"/>
      <c r="G11" s="407"/>
    </row>
    <row r="12" ht="20.05" customHeight="1">
      <c r="A12" s="417"/>
      <c r="B12" s="415"/>
      <c r="C12" s="407"/>
      <c r="D12" s="430">
        <v>44743</v>
      </c>
      <c r="E12" s="407"/>
      <c r="F12" s="407"/>
      <c r="G12" s="407"/>
    </row>
    <row r="13" ht="20.05" customHeight="1">
      <c r="A13" s="417"/>
      <c r="B13" s="415"/>
      <c r="C13" s="407"/>
      <c r="D13" s="430">
        <v>44774</v>
      </c>
      <c r="E13" s="416">
        <f>C5</f>
        <v>-396.66</v>
      </c>
      <c r="F13" s="407"/>
      <c r="G13" s="407"/>
    </row>
    <row r="14" ht="20.05" customHeight="1">
      <c r="A14" s="417"/>
      <c r="B14" s="415"/>
      <c r="C14" s="407"/>
      <c r="D14" s="430">
        <v>44805</v>
      </c>
      <c r="E14" s="416">
        <f>C5</f>
        <v>-396.66</v>
      </c>
      <c r="F14" s="407"/>
      <c r="G14" s="407"/>
    </row>
    <row r="15" ht="20.05" customHeight="1">
      <c r="A15" s="417"/>
      <c r="B15" s="415"/>
      <c r="C15" s="407"/>
      <c r="D15" s="430">
        <v>44835</v>
      </c>
      <c r="E15" s="416">
        <f>SUM(C$5:C$7)</f>
        <v>-1026.66</v>
      </c>
      <c r="F15" s="407"/>
      <c r="G15" s="407"/>
    </row>
    <row r="16" ht="20.05" customHeight="1">
      <c r="A16" s="417"/>
      <c r="B16" s="415"/>
      <c r="C16" s="407"/>
      <c r="D16" s="430">
        <v>44866</v>
      </c>
      <c r="E16" s="416">
        <f>SUM(C$5:C$7)</f>
        <v>-1026.66</v>
      </c>
      <c r="F16" s="407"/>
      <c r="G16" s="407"/>
    </row>
    <row r="17" ht="20.05" customHeight="1">
      <c r="A17" s="417"/>
      <c r="B17" s="415"/>
      <c r="C17" s="407"/>
      <c r="D17" s="430">
        <v>44896</v>
      </c>
      <c r="E17" s="416">
        <f>SUM(C$5:C$7)</f>
        <v>-1026.66</v>
      </c>
      <c r="F17" s="407"/>
      <c r="G17" s="407"/>
    </row>
    <row r="18" ht="20.05" customHeight="1">
      <c r="A18" s="417"/>
      <c r="B18" s="415"/>
      <c r="C18" s="407"/>
      <c r="D18" s="430">
        <v>44927</v>
      </c>
      <c r="E18" s="416">
        <f>SUM(C$5:C$7)</f>
        <v>-1026.66</v>
      </c>
      <c r="F18" s="416">
        <f>B$9+E18</f>
        <v>10850.92</v>
      </c>
      <c r="G18" s="416">
        <f>F18-E18</f>
        <v>11877.58</v>
      </c>
    </row>
    <row r="19" ht="20.05" customHeight="1">
      <c r="A19" s="417"/>
      <c r="B19" s="415"/>
      <c r="C19" s="407"/>
      <c r="D19" s="430">
        <v>44958</v>
      </c>
      <c r="E19" s="416">
        <f>SUM(C$5:C$7)</f>
        <v>-1026.66</v>
      </c>
      <c r="F19" s="416">
        <f>F18*1.015+E19</f>
        <v>9987.023800000001</v>
      </c>
      <c r="G19" s="407"/>
    </row>
    <row r="20" ht="20.05" customHeight="1">
      <c r="A20" s="417"/>
      <c r="B20" s="415"/>
      <c r="C20" s="407"/>
      <c r="D20" s="430">
        <v>44986</v>
      </c>
      <c r="E20" s="416">
        <f>SUM(C$5:C$7)</f>
        <v>-1026.66</v>
      </c>
      <c r="F20" s="416">
        <f>F19*1.015+E20</f>
        <v>9110.169157</v>
      </c>
      <c r="G20" s="407"/>
    </row>
    <row r="21" ht="20.05" customHeight="1">
      <c r="A21" s="417"/>
      <c r="B21" s="415"/>
      <c r="C21" s="407"/>
      <c r="D21" s="430">
        <v>45017</v>
      </c>
      <c r="E21" s="416">
        <f>SUM(C$5:C$7)</f>
        <v>-1026.66</v>
      </c>
      <c r="F21" s="416">
        <f>F20*1.015+E21</f>
        <v>8220.161694355</v>
      </c>
      <c r="G21" s="407"/>
    </row>
    <row r="22" ht="20.05" customHeight="1">
      <c r="A22" s="417"/>
      <c r="B22" s="415"/>
      <c r="C22" s="407"/>
      <c r="D22" s="430">
        <v>45047</v>
      </c>
      <c r="E22" s="416">
        <f>SUM(C$5:C$7)</f>
        <v>-1026.66</v>
      </c>
      <c r="F22" s="416">
        <f>F21*1.015+E22</f>
        <v>7316.804119770330</v>
      </c>
      <c r="G22" s="407"/>
    </row>
    <row r="23" ht="20.05" customHeight="1">
      <c r="A23" s="417"/>
      <c r="B23" s="415"/>
      <c r="C23" s="407"/>
      <c r="D23" s="430">
        <v>45078</v>
      </c>
      <c r="E23" s="416">
        <f>SUM(C$5:C$7)</f>
        <v>-1026.66</v>
      </c>
      <c r="F23" s="416">
        <f>F22*1.015+E23</f>
        <v>6399.896181566880</v>
      </c>
      <c r="G23" s="407"/>
    </row>
    <row r="24" ht="20.05" customHeight="1">
      <c r="A24" s="417"/>
      <c r="B24" s="415"/>
      <c r="C24" s="407"/>
      <c r="D24" s="430">
        <v>45108</v>
      </c>
      <c r="E24" s="403">
        <f>C7</f>
        <v>-630</v>
      </c>
      <c r="F24" s="416">
        <f>F23*1.015+E24</f>
        <v>5865.894624290380</v>
      </c>
      <c r="G24" s="407"/>
    </row>
    <row r="25" ht="20.05" customHeight="1">
      <c r="A25" s="417"/>
      <c r="B25" s="415"/>
      <c r="C25" s="407"/>
      <c r="D25" s="430">
        <v>45139</v>
      </c>
      <c r="E25" s="403">
        <f>C7</f>
        <v>-630</v>
      </c>
      <c r="F25" s="416">
        <f>F24*1.015+E25</f>
        <v>5323.883043654740</v>
      </c>
      <c r="G25" s="407"/>
    </row>
    <row r="26" ht="20.25" customHeight="1">
      <c r="A26" s="418"/>
      <c r="B26" s="419"/>
      <c r="C26" s="422"/>
      <c r="D26" s="431">
        <v>45170</v>
      </c>
      <c r="E26" s="420">
        <f>C7</f>
        <v>-630</v>
      </c>
      <c r="F26" s="432">
        <f>F25*1.015+E26</f>
        <v>4773.741289309560</v>
      </c>
      <c r="G26" s="432">
        <f>F26+SUM(E13:E17)</f>
        <v>900.441289309560</v>
      </c>
    </row>
    <row r="27" ht="20.25" customHeight="1">
      <c r="A27" s="423"/>
      <c r="B27" s="424">
        <f>SUM(B3:B26)</f>
        <v>-568.24</v>
      </c>
      <c r="C27" s="423"/>
      <c r="D27" s="423"/>
      <c r="E27" s="423"/>
      <c r="F27" s="423"/>
      <c r="G27" s="423"/>
    </row>
  </sheetData>
  <mergeCells count="1">
    <mergeCell ref="A1:G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2:F35"/>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6" width="16.3516" style="433" customWidth="1"/>
    <col min="7" max="16384" width="16.3516" style="433" customWidth="1"/>
  </cols>
  <sheetData>
    <row r="1" ht="27.65" customHeight="1">
      <c r="A1" t="s" s="393">
        <v>555</v>
      </c>
      <c r="B1" s="393"/>
      <c r="C1" s="393"/>
      <c r="D1" s="393"/>
      <c r="E1" s="393"/>
      <c r="F1" s="393"/>
    </row>
    <row r="2" ht="20.25" customHeight="1">
      <c r="A2" s="410"/>
      <c r="B2" s="394">
        <v>3</v>
      </c>
      <c r="C2" s="410"/>
      <c r="D2" t="s" s="395">
        <v>556</v>
      </c>
      <c r="E2" t="s" s="395">
        <v>557</v>
      </c>
      <c r="F2" s="410"/>
    </row>
    <row r="3" ht="20.25" customHeight="1">
      <c r="A3" s="434">
        <v>0</v>
      </c>
      <c r="B3" s="435"/>
      <c r="C3" s="399"/>
      <c r="D3" s="436">
        <f t="shared" si="0" ref="D3:F3">0</f>
        <v>0</v>
      </c>
      <c r="E3" s="436">
        <f t="shared" si="0"/>
        <v>0</v>
      </c>
      <c r="F3" s="436">
        <f t="shared" si="0"/>
        <v>0</v>
      </c>
    </row>
    <row r="4" ht="20.05" customHeight="1">
      <c r="A4" s="437">
        <v>1</v>
      </c>
      <c r="B4" s="438">
        <f>$A4</f>
        <v>1</v>
      </c>
      <c r="C4" s="416">
        <f>$A4</f>
        <v>1</v>
      </c>
      <c r="D4" s="416">
        <f>E3+D3</f>
        <v>0</v>
      </c>
      <c r="E4" s="416">
        <f>E3+1</f>
        <v>1</v>
      </c>
      <c r="F4" s="416">
        <f>SUM(D4:E4)</f>
        <v>1</v>
      </c>
    </row>
    <row r="5" ht="20.05" customHeight="1">
      <c r="A5" s="437">
        <v>2</v>
      </c>
      <c r="B5" s="438">
        <f>SUM($A$4:$A5)</f>
        <v>3</v>
      </c>
      <c r="C5" s="416">
        <f>$A4+$A5</f>
        <v>3</v>
      </c>
      <c r="D5" s="416">
        <f>E4+D4</f>
        <v>1</v>
      </c>
      <c r="E5" s="416">
        <f>E4+1</f>
        <v>2</v>
      </c>
      <c r="F5" s="416">
        <f>SUM(D5:E5)</f>
        <v>3</v>
      </c>
    </row>
    <row r="6" ht="20.05" customHeight="1">
      <c r="A6" s="437">
        <v>3</v>
      </c>
      <c r="B6" s="438">
        <f>SUM($A$4:$A6)</f>
        <v>6</v>
      </c>
      <c r="C6" s="416">
        <f>C5+$A6</f>
        <v>6</v>
      </c>
      <c r="D6" s="416">
        <f>E5+D5</f>
        <v>3</v>
      </c>
      <c r="E6" s="416">
        <f>E5+1</f>
        <v>3</v>
      </c>
      <c r="F6" s="416">
        <f>SUM(D6:E6)</f>
        <v>6</v>
      </c>
    </row>
    <row r="7" ht="20.05" customHeight="1">
      <c r="A7" s="437">
        <v>4</v>
      </c>
      <c r="B7" s="438">
        <f>SUM($A$4:$A7)</f>
        <v>10</v>
      </c>
      <c r="C7" s="416">
        <f>C6+$A7</f>
        <v>10</v>
      </c>
      <c r="D7" s="416">
        <f>E6+D6</f>
        <v>6</v>
      </c>
      <c r="E7" s="416">
        <f>E6+1</f>
        <v>4</v>
      </c>
      <c r="F7" s="416">
        <f>SUM(D7:E7)</f>
        <v>10</v>
      </c>
    </row>
    <row r="8" ht="20.05" customHeight="1">
      <c r="A8" s="437">
        <v>5</v>
      </c>
      <c r="B8" s="438">
        <f>SUM($A$4:$A8)</f>
        <v>15</v>
      </c>
      <c r="C8" s="416">
        <f>C7+$A8</f>
        <v>15</v>
      </c>
      <c r="D8" s="416">
        <f>E7+D7</f>
        <v>10</v>
      </c>
      <c r="E8" s="416">
        <f>E7+1</f>
        <v>5</v>
      </c>
      <c r="F8" s="416">
        <f>SUM(D8:E8)</f>
        <v>15</v>
      </c>
    </row>
    <row r="9" ht="20.05" customHeight="1">
      <c r="A9" s="417"/>
      <c r="B9" s="439"/>
      <c r="C9" s="407"/>
      <c r="D9" s="407"/>
      <c r="E9" s="407"/>
      <c r="F9" s="407"/>
    </row>
    <row r="10" ht="20.05" customHeight="1">
      <c r="A10" s="417"/>
      <c r="B10" s="439"/>
      <c r="C10" s="407"/>
      <c r="D10" s="407"/>
      <c r="E10" s="407"/>
      <c r="F10" s="407"/>
    </row>
    <row r="11" ht="20.05" customHeight="1">
      <c r="A11" s="417"/>
      <c r="B11" s="439"/>
      <c r="C11" s="407"/>
      <c r="D11" s="407"/>
      <c r="E11" s="407"/>
      <c r="F11" s="407"/>
    </row>
    <row r="12" ht="20.05" customHeight="1">
      <c r="A12" s="417"/>
      <c r="B12" s="439"/>
      <c r="C12" s="407"/>
      <c r="D12" s="407"/>
      <c r="E12" s="407"/>
      <c r="F12" s="407"/>
    </row>
    <row r="13" ht="20.05" customHeight="1">
      <c r="A13" s="417"/>
      <c r="B13" s="439"/>
      <c r="C13" s="407"/>
      <c r="D13" s="407"/>
      <c r="E13" s="407"/>
      <c r="F13" s="407"/>
    </row>
    <row r="14" ht="20.05" customHeight="1">
      <c r="A14" s="417"/>
      <c r="B14" s="439"/>
      <c r="C14" s="407"/>
      <c r="D14" s="407"/>
      <c r="E14" s="407"/>
      <c r="F14" s="407"/>
    </row>
    <row r="15" ht="20.05" customHeight="1">
      <c r="A15" s="437">
        <v>1</v>
      </c>
      <c r="B15" s="438">
        <v>10</v>
      </c>
      <c r="C15" s="416">
        <v>1</v>
      </c>
      <c r="D15" s="416">
        <f>B15*C15</f>
        <v>10</v>
      </c>
      <c r="E15" s="407"/>
      <c r="F15" s="407"/>
    </row>
    <row r="16" ht="20.05" customHeight="1">
      <c r="A16" s="437">
        <v>2</v>
      </c>
      <c r="B16" s="438">
        <v>9</v>
      </c>
      <c r="C16" s="416">
        <v>2</v>
      </c>
      <c r="D16" s="416">
        <f>B16*C16</f>
        <v>18</v>
      </c>
      <c r="E16" s="407"/>
      <c r="F16" s="407"/>
    </row>
    <row r="17" ht="20.05" customHeight="1">
      <c r="A17" s="437">
        <v>3</v>
      </c>
      <c r="B17" s="438">
        <v>8</v>
      </c>
      <c r="C17" s="416">
        <v>3</v>
      </c>
      <c r="D17" s="416">
        <f>B17*C17</f>
        <v>24</v>
      </c>
      <c r="E17" s="407"/>
      <c r="F17" s="407"/>
    </row>
    <row r="18" ht="20.05" customHeight="1">
      <c r="A18" s="437">
        <v>4</v>
      </c>
      <c r="B18" s="438">
        <v>7</v>
      </c>
      <c r="C18" s="416">
        <v>4</v>
      </c>
      <c r="D18" s="416">
        <f>B18*C18</f>
        <v>28</v>
      </c>
      <c r="E18" s="407"/>
      <c r="F18" s="407"/>
    </row>
    <row r="19" ht="20.05" customHeight="1">
      <c r="A19" s="417"/>
      <c r="B19" s="439"/>
      <c r="C19" s="407"/>
      <c r="D19" s="407"/>
      <c r="E19" s="407"/>
      <c r="F19" s="407"/>
    </row>
    <row r="20" ht="20.05" customHeight="1">
      <c r="A20" s="417"/>
      <c r="B20" s="439"/>
      <c r="C20" s="416">
        <f>SUM(C15:C18)</f>
        <v>10</v>
      </c>
      <c r="D20" s="416">
        <f>SUM(D15:D18)</f>
        <v>80</v>
      </c>
      <c r="E20" s="407"/>
      <c r="F20" s="407"/>
    </row>
    <row r="21" ht="20.05" customHeight="1">
      <c r="A21" s="417"/>
      <c r="B21" s="439"/>
      <c r="C21" s="416">
        <f>D20/C20</f>
        <v>8</v>
      </c>
      <c r="D21" s="407"/>
      <c r="E21" s="407"/>
      <c r="F21" s="407"/>
    </row>
    <row r="22" ht="20.05" customHeight="1">
      <c r="A22" s="417"/>
      <c r="B22" s="439"/>
      <c r="C22" s="407"/>
      <c r="D22" s="407"/>
      <c r="E22" s="407"/>
      <c r="F22" s="407"/>
    </row>
    <row r="23" ht="20.05" customHeight="1">
      <c r="A23" s="417"/>
      <c r="B23" s="439"/>
      <c r="C23" s="407"/>
      <c r="D23" s="407"/>
      <c r="E23" s="407"/>
      <c r="F23" s="407"/>
    </row>
    <row r="24" ht="20.05" customHeight="1">
      <c r="A24" s="417"/>
      <c r="B24" s="439"/>
      <c r="C24" s="407"/>
      <c r="D24" s="407"/>
      <c r="E24" s="407"/>
      <c r="F24" s="407"/>
    </row>
    <row r="25" ht="20.05" customHeight="1">
      <c r="A25" s="417"/>
      <c r="B25" s="439"/>
      <c r="C25" s="407"/>
      <c r="D25" s="407"/>
      <c r="E25" s="407"/>
      <c r="F25" s="407"/>
    </row>
    <row r="26" ht="20.05" customHeight="1">
      <c r="A26" s="417"/>
      <c r="B26" s="439"/>
      <c r="C26" s="407"/>
      <c r="D26" s="407"/>
      <c r="E26" s="407"/>
      <c r="F26" s="407"/>
    </row>
    <row r="27" ht="20.05" customHeight="1">
      <c r="A27" s="417"/>
      <c r="B27" s="439"/>
      <c r="C27" s="407"/>
      <c r="D27" s="407"/>
      <c r="E27" s="407"/>
      <c r="F27" s="407"/>
    </row>
    <row r="28" ht="20.05" customHeight="1">
      <c r="A28" s="417"/>
      <c r="B28" s="439"/>
      <c r="C28" s="407"/>
      <c r="D28" s="407"/>
      <c r="E28" s="407"/>
      <c r="F28" s="407"/>
    </row>
    <row r="29" ht="20.05" customHeight="1">
      <c r="A29" s="417"/>
      <c r="B29" s="439"/>
      <c r="C29" s="407"/>
      <c r="D29" s="407"/>
      <c r="E29" s="407"/>
      <c r="F29" s="407"/>
    </row>
    <row r="30" ht="20.05" customHeight="1">
      <c r="A30" s="417"/>
      <c r="B30" s="439"/>
      <c r="C30" s="407"/>
      <c r="D30" s="407"/>
      <c r="E30" s="407"/>
      <c r="F30" s="407"/>
    </row>
    <row r="31" ht="20.05" customHeight="1">
      <c r="A31" s="417"/>
      <c r="B31" s="439"/>
      <c r="C31" s="407"/>
      <c r="D31" s="407"/>
      <c r="E31" s="407"/>
      <c r="F31" s="407"/>
    </row>
    <row r="32" ht="20.05" customHeight="1">
      <c r="A32" s="417"/>
      <c r="B32" s="439"/>
      <c r="C32" s="407"/>
      <c r="D32" s="407"/>
      <c r="E32" s="407"/>
      <c r="F32" s="407"/>
    </row>
    <row r="33" ht="20.05" customHeight="1">
      <c r="A33" s="417"/>
      <c r="B33" s="439"/>
      <c r="C33" s="407"/>
      <c r="D33" s="407"/>
      <c r="E33" s="407"/>
      <c r="F33" s="407"/>
    </row>
    <row r="34" ht="20.25" customHeight="1">
      <c r="A34" s="418"/>
      <c r="B34" s="440"/>
      <c r="C34" s="422"/>
      <c r="D34" s="422"/>
      <c r="E34" s="422"/>
      <c r="F34" s="422"/>
    </row>
    <row r="35" ht="20.25" customHeight="1">
      <c r="A35" s="423"/>
      <c r="B35" s="423"/>
      <c r="C35" s="423"/>
      <c r="D35" s="423"/>
      <c r="E35" s="423"/>
      <c r="F35" s="423"/>
    </row>
  </sheetData>
  <mergeCells count="1">
    <mergeCell ref="A1:F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